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AJUSTE\Concessionárias de Distribuição\2022\09 - D49 - Santa Maria (Charles)\Estrutura\"/>
    </mc:Choice>
  </mc:AlternateContent>
  <xr:revisionPtr revIDLastSave="0" documentId="13_ncr:1_{9AC7C7AB-5233-4059-911A-2BA4D3BB5109}" xr6:coauthVersionLast="47" xr6:coauthVersionMax="47" xr10:uidLastSave="{00000000-0000-0000-0000-000000000000}"/>
  <bookViews>
    <workbookView xWindow="-120" yWindow="-120" windowWidth="20730" windowHeight="11160" firstSheet="22" activeTab="29" xr2:uid="{C9E10884-F042-442E-86C0-30D1C2FEDC78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28" r:id="rId20"/>
    <sheet name="CONSISTENCIA" sheetId="21" r:id="rId21"/>
    <sheet name="TUSD" sheetId="23" r:id="rId22"/>
    <sheet name="TE" sheetId="24" r:id="rId23"/>
    <sheet name="RESUMO TUSD" sheetId="25" r:id="rId24"/>
    <sheet name="RESUMO TE" sheetId="26" r:id="rId25"/>
    <sheet name="Descontos" sheetId="20" r:id="rId26"/>
    <sheet name="ERD" sheetId="27" r:id="rId27"/>
    <sheet name="TA - Aplicação" sheetId="29" r:id="rId28"/>
    <sheet name="TA - BE" sheetId="30" r:id="rId29"/>
    <sheet name="TA - CVA" sheetId="31" r:id="rId30"/>
  </sheets>
  <definedNames>
    <definedName name="DadosExternos_1" localSheetId="27" hidden="1">'TA - Aplicação'!$B$3:$AT$49</definedName>
    <definedName name="DadosExternos_1" localSheetId="28" hidden="1">'TA - BE'!$B$3:$AT$49</definedName>
    <definedName name="DadosExternos_1" localSheetId="29" hidden="1">'TA - CVA'!$B$3:$AT$49</definedName>
  </definedNames>
  <calcPr calcId="191029" iterate="1"/>
  <pivotCaches>
    <pivotCache cacheId="138" r:id="rId31"/>
    <pivotCache cacheId="139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3" i="28" l="1"/>
  <c r="V32" i="28"/>
  <c r="V31" i="28"/>
  <c r="V30" i="28"/>
  <c r="V29" i="28"/>
  <c r="V28" i="28"/>
  <c r="V27" i="28"/>
  <c r="V26" i="28"/>
  <c r="V21" i="28"/>
  <c r="V16" i="28"/>
  <c r="V25" i="28"/>
  <c r="V20" i="28"/>
  <c r="V15" i="28"/>
  <c r="V24" i="28"/>
  <c r="V23" i="28"/>
  <c r="V22" i="28"/>
  <c r="V19" i="28"/>
  <c r="V18" i="28"/>
  <c r="V17" i="28"/>
  <c r="V14" i="28"/>
  <c r="V13" i="28"/>
  <c r="V12" i="28"/>
  <c r="V11" i="28"/>
  <c r="V9" i="28"/>
  <c r="V10" i="28"/>
  <c r="V8" i="28"/>
  <c r="V7" i="28"/>
  <c r="V6" i="28"/>
  <c r="V5" i="28"/>
  <c r="J11" i="28"/>
  <c r="J10" i="28"/>
  <c r="J6" i="28"/>
  <c r="J5" i="28"/>
  <c r="I3" i="27"/>
  <c r="I2" i="27" s="1"/>
  <c r="B2" i="27"/>
  <c r="C2" i="27"/>
  <c r="D2" i="27"/>
  <c r="E2" i="27"/>
  <c r="F2" i="27"/>
  <c r="G2" i="27"/>
  <c r="H2" i="27"/>
  <c r="J2" i="27"/>
  <c r="K2" i="27"/>
  <c r="L2" i="27"/>
  <c r="B11" i="27"/>
  <c r="P11" i="5" l="1"/>
  <c r="R11" i="5" s="1"/>
  <c r="P10" i="5"/>
  <c r="R10" i="5" s="1"/>
  <c r="P9" i="5"/>
  <c r="R9" i="5" s="1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D36" i="5" s="1"/>
  <c r="E36" i="5" l="1"/>
  <c r="D30" i="5" s="1"/>
  <c r="F36" i="5"/>
  <c r="D4" i="5" l="1"/>
  <c r="F4" i="5" l="1"/>
  <c r="E4" i="5"/>
  <c r="E30" i="5"/>
  <c r="F30" i="5"/>
  <c r="AJ56" i="6" l="1"/>
  <c r="W56" i="6"/>
  <c r="E28" i="5"/>
  <c r="L5" i="26"/>
  <c r="K5" i="26"/>
  <c r="J5" i="26"/>
  <c r="I5" i="26"/>
  <c r="H5" i="26"/>
  <c r="G5" i="26"/>
  <c r="F5" i="26"/>
  <c r="E5" i="26"/>
  <c r="D5" i="26"/>
  <c r="C5" i="26"/>
  <c r="B5" i="26"/>
  <c r="I2" i="26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C5" i="25"/>
  <c r="B5" i="25"/>
  <c r="I2" i="25"/>
  <c r="AE13" i="21"/>
  <c r="AD13" i="21"/>
  <c r="AC13" i="21"/>
  <c r="AB13" i="21"/>
  <c r="AA13" i="21"/>
  <c r="W13" i="21"/>
  <c r="V13" i="21"/>
  <c r="U13" i="21"/>
  <c r="AI13" i="21" s="1"/>
  <c r="T13" i="21"/>
  <c r="S13" i="21"/>
  <c r="Y13" i="21" s="1"/>
  <c r="AG13" i="21" s="1"/>
  <c r="R13" i="21"/>
  <c r="X13" i="21" s="1"/>
  <c r="AF13" i="21" s="1"/>
  <c r="AE12" i="21"/>
  <c r="AD12" i="21"/>
  <c r="AE8" i="21"/>
  <c r="AD8" i="21"/>
  <c r="AC8" i="21"/>
  <c r="AB8" i="21"/>
  <c r="AA8" i="21"/>
  <c r="W8" i="21"/>
  <c r="V8" i="21"/>
  <c r="U8" i="21"/>
  <c r="AI8" i="21" s="1"/>
  <c r="T8" i="21"/>
  <c r="S8" i="21"/>
  <c r="Y8" i="21" s="1"/>
  <c r="AG8" i="21" s="1"/>
  <c r="R8" i="21"/>
  <c r="X8" i="21" s="1"/>
  <c r="AF8" i="21" s="1"/>
  <c r="AE6" i="21"/>
  <c r="AD6" i="21"/>
  <c r="AC6" i="21"/>
  <c r="AB6" i="21"/>
  <c r="AA6" i="21"/>
  <c r="W6" i="21"/>
  <c r="V6" i="21"/>
  <c r="U6" i="21"/>
  <c r="AI6" i="21" s="1"/>
  <c r="T6" i="21"/>
  <c r="S6" i="21"/>
  <c r="R6" i="21"/>
  <c r="AE5" i="21"/>
  <c r="AD5" i="21"/>
  <c r="AC5" i="21"/>
  <c r="AB5" i="21"/>
  <c r="AA5" i="21"/>
  <c r="Y5" i="21"/>
  <c r="W5" i="21"/>
  <c r="V5" i="21"/>
  <c r="U5" i="21"/>
  <c r="T5" i="21"/>
  <c r="S5" i="21"/>
  <c r="R5" i="21"/>
  <c r="AE4" i="21"/>
  <c r="AD4" i="21"/>
  <c r="AC4" i="21"/>
  <c r="AB4" i="21"/>
  <c r="AA4" i="21"/>
  <c r="W4" i="21"/>
  <c r="V4" i="21"/>
  <c r="Y4" i="21" s="1"/>
  <c r="AG4" i="21" s="1"/>
  <c r="U4" i="21"/>
  <c r="AI4" i="21" s="1"/>
  <c r="T4" i="21"/>
  <c r="S4" i="21"/>
  <c r="R4" i="21"/>
  <c r="AE3" i="21"/>
  <c r="AD3" i="21"/>
  <c r="AC3" i="21"/>
  <c r="AB3" i="21"/>
  <c r="AA3" i="21"/>
  <c r="W3" i="21"/>
  <c r="V3" i="21"/>
  <c r="U3" i="21"/>
  <c r="T3" i="21"/>
  <c r="S3" i="21"/>
  <c r="R3" i="21"/>
  <c r="X3" i="21" s="1"/>
  <c r="AF3" i="21" s="1"/>
  <c r="J1244" i="21"/>
  <c r="J1243" i="21"/>
  <c r="M1243" i="21" s="1"/>
  <c r="J1242" i="21"/>
  <c r="M1242" i="21" s="1"/>
  <c r="J1241" i="21"/>
  <c r="J1240" i="21"/>
  <c r="M1240" i="21" s="1"/>
  <c r="J1239" i="21"/>
  <c r="M1239" i="21" s="1"/>
  <c r="J1238" i="21"/>
  <c r="M1238" i="21" s="1"/>
  <c r="J1237" i="21"/>
  <c r="J1236" i="21"/>
  <c r="J1235" i="21"/>
  <c r="M1235" i="21" s="1"/>
  <c r="J1234" i="21"/>
  <c r="M1234" i="21" s="1"/>
  <c r="J1233" i="21"/>
  <c r="J537" i="21"/>
  <c r="J536" i="21"/>
  <c r="J535" i="21"/>
  <c r="J534" i="21"/>
  <c r="J533" i="21"/>
  <c r="J532" i="21"/>
  <c r="J531" i="21"/>
  <c r="J530" i="21"/>
  <c r="J529" i="21"/>
  <c r="J528" i="21"/>
  <c r="J527" i="21"/>
  <c r="J526" i="21"/>
  <c r="J525" i="21"/>
  <c r="L524" i="21"/>
  <c r="K524" i="21"/>
  <c r="L523" i="21"/>
  <c r="K523" i="21"/>
  <c r="L522" i="21"/>
  <c r="K522" i="21"/>
  <c r="L521" i="21"/>
  <c r="K521" i="21"/>
  <c r="L520" i="21"/>
  <c r="K520" i="21"/>
  <c r="L519" i="21"/>
  <c r="K519" i="21"/>
  <c r="L518" i="21"/>
  <c r="K518" i="21"/>
  <c r="L517" i="21"/>
  <c r="K517" i="21"/>
  <c r="L516" i="21"/>
  <c r="K516" i="21"/>
  <c r="L515" i="21"/>
  <c r="K515" i="21"/>
  <c r="L514" i="21"/>
  <c r="K514" i="21"/>
  <c r="L513" i="21"/>
  <c r="K513" i="21"/>
  <c r="L512" i="21"/>
  <c r="K512" i="21"/>
  <c r="J511" i="21"/>
  <c r="J510" i="21"/>
  <c r="J509" i="21"/>
  <c r="J508" i="21"/>
  <c r="J507" i="21"/>
  <c r="J506" i="21"/>
  <c r="J505" i="21"/>
  <c r="J504" i="21"/>
  <c r="J503" i="21"/>
  <c r="J502" i="21"/>
  <c r="J501" i="21"/>
  <c r="J500" i="21"/>
  <c r="J499" i="21"/>
  <c r="M1261" i="21"/>
  <c r="J1261" i="21"/>
  <c r="J1260" i="21"/>
  <c r="M1260" i="21" s="1"/>
  <c r="J1259" i="21"/>
  <c r="M1259" i="21" s="1"/>
  <c r="M1258" i="21"/>
  <c r="J1258" i="21"/>
  <c r="M1257" i="21"/>
  <c r="J1257" i="21"/>
  <c r="J1256" i="21"/>
  <c r="M1256" i="21" s="1"/>
  <c r="M1255" i="21"/>
  <c r="J1255" i="21"/>
  <c r="J1254" i="21"/>
  <c r="M1254" i="21" s="1"/>
  <c r="J1253" i="21"/>
  <c r="M1253" i="21" s="1"/>
  <c r="J1252" i="21"/>
  <c r="M1252" i="21" s="1"/>
  <c r="J1251" i="21"/>
  <c r="M1251" i="21" s="1"/>
  <c r="J1250" i="21"/>
  <c r="M1250" i="21" s="1"/>
  <c r="J1249" i="21"/>
  <c r="M1249" i="21" s="1"/>
  <c r="M1248" i="21"/>
  <c r="J1248" i="21"/>
  <c r="M1247" i="21"/>
  <c r="J1247" i="21"/>
  <c r="J1246" i="21"/>
  <c r="M1246" i="21" s="1"/>
  <c r="J1245" i="21"/>
  <c r="M1244" i="21"/>
  <c r="M1241" i="21"/>
  <c r="M1237" i="21"/>
  <c r="M1236" i="21"/>
  <c r="M1233" i="21"/>
  <c r="J1232" i="21"/>
  <c r="M1232" i="21" s="1"/>
  <c r="J1231" i="21"/>
  <c r="M1231" i="21" s="1"/>
  <c r="J1230" i="21"/>
  <c r="M1230" i="21" s="1"/>
  <c r="J1229" i="21"/>
  <c r="M1229" i="21" s="1"/>
  <c r="J1228" i="21"/>
  <c r="M1228" i="21" s="1"/>
  <c r="J1227" i="21"/>
  <c r="M1227" i="21" s="1"/>
  <c r="J1226" i="21"/>
  <c r="M1226" i="21" s="1"/>
  <c r="J1225" i="21"/>
  <c r="M1225" i="21" s="1"/>
  <c r="M1224" i="21"/>
  <c r="J1224" i="21"/>
  <c r="J1223" i="21"/>
  <c r="M1223" i="21" s="1"/>
  <c r="J1222" i="21"/>
  <c r="M1222" i="21" s="1"/>
  <c r="M1221" i="21"/>
  <c r="J1221" i="21"/>
  <c r="J1220" i="21"/>
  <c r="M1220" i="21" s="1"/>
  <c r="J1219" i="21"/>
  <c r="M1219" i="21" s="1"/>
  <c r="J1218" i="21"/>
  <c r="M1218" i="21" s="1"/>
  <c r="M1217" i="21"/>
  <c r="J1217" i="21"/>
  <c r="M1216" i="21"/>
  <c r="J1216" i="21"/>
  <c r="J1215" i="21"/>
  <c r="M1215" i="21" s="1"/>
  <c r="J1214" i="21"/>
  <c r="M1214" i="21" s="1"/>
  <c r="J1213" i="21"/>
  <c r="M1213" i="21" s="1"/>
  <c r="J1212" i="21"/>
  <c r="M1212" i="21" s="1"/>
  <c r="J1211" i="21"/>
  <c r="M1211" i="21" s="1"/>
  <c r="J1210" i="21"/>
  <c r="M1210" i="21" s="1"/>
  <c r="M1209" i="21"/>
  <c r="J1209" i="21"/>
  <c r="J1208" i="21"/>
  <c r="M1208" i="21" s="1"/>
  <c r="J1207" i="21"/>
  <c r="M1207" i="21" s="1"/>
  <c r="J1206" i="21"/>
  <c r="M1206" i="21" s="1"/>
  <c r="J1205" i="21"/>
  <c r="M1205" i="21" s="1"/>
  <c r="J1204" i="21"/>
  <c r="M1204" i="21" s="1"/>
  <c r="J1203" i="21"/>
  <c r="M1203" i="21" s="1"/>
  <c r="M1202" i="21"/>
  <c r="J1202" i="21"/>
  <c r="M1201" i="21"/>
  <c r="J1201" i="21"/>
  <c r="J1200" i="21"/>
  <c r="M1200" i="21" s="1"/>
  <c r="J1199" i="21"/>
  <c r="M1199" i="21" s="1"/>
  <c r="M1198" i="21"/>
  <c r="J1198" i="21"/>
  <c r="M1197" i="21"/>
  <c r="J1197" i="21"/>
  <c r="J1196" i="21"/>
  <c r="M1196" i="21" s="1"/>
  <c r="J1195" i="21"/>
  <c r="M1195" i="21" s="1"/>
  <c r="J1194" i="21"/>
  <c r="M1194" i="21" s="1"/>
  <c r="J1193" i="21"/>
  <c r="M1193" i="21" s="1"/>
  <c r="M1192" i="21"/>
  <c r="J1192" i="21"/>
  <c r="J1191" i="21"/>
  <c r="M1191" i="21" s="1"/>
  <c r="J1190" i="21"/>
  <c r="M1190" i="21" s="1"/>
  <c r="M1189" i="21"/>
  <c r="J1189" i="21"/>
  <c r="J1188" i="21"/>
  <c r="M1188" i="21" s="1"/>
  <c r="J1187" i="21"/>
  <c r="M1187" i="21" s="1"/>
  <c r="J1186" i="21"/>
  <c r="M1186" i="21" s="1"/>
  <c r="J1185" i="21"/>
  <c r="M1185" i="21" s="1"/>
  <c r="J1184" i="21"/>
  <c r="M1184" i="21" s="1"/>
  <c r="J1183" i="21"/>
  <c r="M1183" i="21" s="1"/>
  <c r="J1182" i="21"/>
  <c r="M1182" i="21" s="1"/>
  <c r="J1181" i="21"/>
  <c r="M1181" i="21" s="1"/>
  <c r="J1180" i="21"/>
  <c r="M1180" i="21" s="1"/>
  <c r="J1179" i="21"/>
  <c r="M1179" i="21" s="1"/>
  <c r="J1178" i="21"/>
  <c r="M1178" i="21" s="1"/>
  <c r="J1177" i="21"/>
  <c r="M1177" i="21" s="1"/>
  <c r="J1176" i="21"/>
  <c r="M1176" i="21" s="1"/>
  <c r="J1175" i="21"/>
  <c r="M1175" i="21" s="1"/>
  <c r="M1174" i="21"/>
  <c r="J1174" i="21"/>
  <c r="M1173" i="21"/>
  <c r="J1173" i="21"/>
  <c r="J1172" i="21"/>
  <c r="M1172" i="21" s="1"/>
  <c r="J1171" i="21"/>
  <c r="M1171" i="21" s="1"/>
  <c r="J1170" i="21"/>
  <c r="M1170" i="21" s="1"/>
  <c r="J1169" i="21"/>
  <c r="M1169" i="21" s="1"/>
  <c r="M1168" i="21"/>
  <c r="J1168" i="21"/>
  <c r="J1167" i="21"/>
  <c r="M1167" i="21" s="1"/>
  <c r="J1166" i="21"/>
  <c r="M1166" i="21" s="1"/>
  <c r="M1165" i="21"/>
  <c r="J1165" i="21"/>
  <c r="M1164" i="21"/>
  <c r="J1164" i="21"/>
  <c r="J1163" i="21"/>
  <c r="M1163" i="21" s="1"/>
  <c r="J1162" i="21"/>
  <c r="M1162" i="21" s="1"/>
  <c r="J1161" i="21"/>
  <c r="M1161" i="21" s="1"/>
  <c r="J1160" i="21"/>
  <c r="M1160" i="21" s="1"/>
  <c r="J1159" i="21"/>
  <c r="M1159" i="21" s="1"/>
  <c r="J1158" i="21"/>
  <c r="M1158" i="21" s="1"/>
  <c r="M1157" i="21"/>
  <c r="J1157" i="21"/>
  <c r="J1156" i="21"/>
  <c r="M1156" i="21" s="1"/>
  <c r="J1155" i="21"/>
  <c r="M1155" i="21" s="1"/>
  <c r="M1154" i="21"/>
  <c r="J1154" i="21"/>
  <c r="J1153" i="21"/>
  <c r="M1153" i="21" s="1"/>
  <c r="M1152" i="21"/>
  <c r="J1152" i="21"/>
  <c r="J1151" i="21"/>
  <c r="M1151" i="21" s="1"/>
  <c r="J1150" i="21"/>
  <c r="M1150" i="21" s="1"/>
  <c r="J1149" i="21"/>
  <c r="M1149" i="21" s="1"/>
  <c r="J1148" i="21"/>
  <c r="M1148" i="21" s="1"/>
  <c r="J1147" i="21"/>
  <c r="M1147" i="21" s="1"/>
  <c r="M1146" i="21"/>
  <c r="J1146" i="21"/>
  <c r="J1145" i="21"/>
  <c r="M1145" i="21" s="1"/>
  <c r="J1144" i="21"/>
  <c r="M1144" i="21" s="1"/>
  <c r="J1143" i="21"/>
  <c r="M1143" i="21" s="1"/>
  <c r="J1142" i="21"/>
  <c r="M1142" i="21" s="1"/>
  <c r="J1141" i="21"/>
  <c r="M1141" i="21" s="1"/>
  <c r="J1140" i="21"/>
  <c r="M1140" i="21" s="1"/>
  <c r="J1139" i="21"/>
  <c r="M1139" i="21" s="1"/>
  <c r="J1138" i="21"/>
  <c r="M1138" i="21" s="1"/>
  <c r="M1137" i="21"/>
  <c r="J1137" i="21"/>
  <c r="J1136" i="21"/>
  <c r="M1136" i="21" s="1"/>
  <c r="J1135" i="21"/>
  <c r="M1135" i="21" s="1"/>
  <c r="J1134" i="21"/>
  <c r="M1134" i="21" s="1"/>
  <c r="M1133" i="21"/>
  <c r="J1133" i="21"/>
  <c r="J1132" i="21"/>
  <c r="M1132" i="21" s="1"/>
  <c r="J1131" i="21"/>
  <c r="M1131" i="21" s="1"/>
  <c r="M1130" i="21"/>
  <c r="J1130" i="21"/>
  <c r="J1129" i="21"/>
  <c r="M1129" i="21" s="1"/>
  <c r="J1128" i="21"/>
  <c r="M1128" i="21" s="1"/>
  <c r="J1127" i="21"/>
  <c r="M1127" i="21" s="1"/>
  <c r="J1126" i="21"/>
  <c r="M1126" i="21" s="1"/>
  <c r="J1125" i="21"/>
  <c r="M1125" i="21" s="1"/>
  <c r="J1124" i="21"/>
  <c r="M1124" i="21" s="1"/>
  <c r="J1123" i="21"/>
  <c r="M1123" i="21" s="1"/>
  <c r="J1122" i="21"/>
  <c r="M1122" i="21" s="1"/>
  <c r="J1121" i="21"/>
  <c r="M1121" i="21" s="1"/>
  <c r="J1120" i="21"/>
  <c r="M1120" i="21" s="1"/>
  <c r="J1119" i="21"/>
  <c r="M1119" i="21" s="1"/>
  <c r="M1118" i="21"/>
  <c r="J1118" i="21"/>
  <c r="J1117" i="21"/>
  <c r="M1117" i="21" s="1"/>
  <c r="J1116" i="21"/>
  <c r="M1116" i="21" s="1"/>
  <c r="J1115" i="21"/>
  <c r="M1115" i="21" s="1"/>
  <c r="J1114" i="21"/>
  <c r="M1114" i="21" s="1"/>
  <c r="J1113" i="21"/>
  <c r="M1113" i="21" s="1"/>
  <c r="J1112" i="21"/>
  <c r="M1112" i="21" s="1"/>
  <c r="J1111" i="21"/>
  <c r="M1111" i="21" s="1"/>
  <c r="J1110" i="21"/>
  <c r="M1110" i="21" s="1"/>
  <c r="J1109" i="21"/>
  <c r="M1109" i="21" s="1"/>
  <c r="M1108" i="21"/>
  <c r="J1108" i="21"/>
  <c r="J1107" i="21"/>
  <c r="M1107" i="21" s="1"/>
  <c r="J1106" i="21"/>
  <c r="M1106" i="21" s="1"/>
  <c r="M1105" i="21"/>
  <c r="J1105" i="21"/>
  <c r="J1104" i="21"/>
  <c r="M1104" i="21" s="1"/>
  <c r="M1103" i="21"/>
  <c r="J1103" i="21"/>
  <c r="J1102" i="21"/>
  <c r="M1102" i="21" s="1"/>
  <c r="J1101" i="21"/>
  <c r="M1101" i="21" s="1"/>
  <c r="J1100" i="21"/>
  <c r="M1100" i="21" s="1"/>
  <c r="J1099" i="21"/>
  <c r="M1099" i="21" s="1"/>
  <c r="J1098" i="21"/>
  <c r="M1098" i="21" s="1"/>
  <c r="J1097" i="21"/>
  <c r="M1097" i="21" s="1"/>
  <c r="J1096" i="21"/>
  <c r="M1096" i="21" s="1"/>
  <c r="J1095" i="21"/>
  <c r="M1095" i="21" s="1"/>
  <c r="J1094" i="21"/>
  <c r="M1094" i="21" s="1"/>
  <c r="J1093" i="21"/>
  <c r="M1093" i="21" s="1"/>
  <c r="J1092" i="21"/>
  <c r="M1092" i="21" s="1"/>
  <c r="M1091" i="21"/>
  <c r="J1091" i="21"/>
  <c r="J1090" i="21"/>
  <c r="M1090" i="21" s="1"/>
  <c r="J1089" i="21"/>
  <c r="M1089" i="21" s="1"/>
  <c r="J1088" i="21"/>
  <c r="M1088" i="21" s="1"/>
  <c r="J1087" i="21"/>
  <c r="M1087" i="21" s="1"/>
  <c r="J1086" i="21"/>
  <c r="M1086" i="21" s="1"/>
  <c r="J1085" i="21"/>
  <c r="M1085" i="21" s="1"/>
  <c r="M1084" i="21"/>
  <c r="J1084" i="21"/>
  <c r="J1083" i="21"/>
  <c r="M1083" i="21" s="1"/>
  <c r="M1082" i="21"/>
  <c r="J1082" i="21"/>
  <c r="J1081" i="21"/>
  <c r="M1081" i="21" s="1"/>
  <c r="J1080" i="21"/>
  <c r="M1080" i="21" s="1"/>
  <c r="J1079" i="21"/>
  <c r="M1079" i="21" s="1"/>
  <c r="M1078" i="21"/>
  <c r="J1078" i="21"/>
  <c r="J1077" i="21"/>
  <c r="M1077" i="21" s="1"/>
  <c r="J1076" i="21"/>
  <c r="M1076" i="21" s="1"/>
  <c r="J1075" i="21"/>
  <c r="M1075" i="21" s="1"/>
  <c r="J1074" i="21"/>
  <c r="M1074" i="21" s="1"/>
  <c r="J1073" i="21"/>
  <c r="M1073" i="21" s="1"/>
  <c r="J1072" i="21"/>
  <c r="M1072" i="21" s="1"/>
  <c r="J1071" i="21"/>
  <c r="M1071" i="21" s="1"/>
  <c r="M1070" i="21"/>
  <c r="J1070" i="21"/>
  <c r="J1069" i="21"/>
  <c r="M1069" i="21" s="1"/>
  <c r="J1068" i="21"/>
  <c r="M1068" i="21" s="1"/>
  <c r="J1067" i="21"/>
  <c r="M1067" i="21" s="1"/>
  <c r="M1066" i="21"/>
  <c r="J1066" i="21"/>
  <c r="J1065" i="21"/>
  <c r="M1065" i="21" s="1"/>
  <c r="J1064" i="21"/>
  <c r="M1064" i="21" s="1"/>
  <c r="J1063" i="21"/>
  <c r="M1063" i="21" s="1"/>
  <c r="M1062" i="21"/>
  <c r="J1062" i="21"/>
  <c r="J1061" i="21"/>
  <c r="M1061" i="21" s="1"/>
  <c r="J1060" i="21"/>
  <c r="M1060" i="21" s="1"/>
  <c r="J1059" i="21"/>
  <c r="M1059" i="21" s="1"/>
  <c r="J1058" i="21"/>
  <c r="M1058" i="21" s="1"/>
  <c r="J1057" i="21"/>
  <c r="M1057" i="21" s="1"/>
  <c r="J1056" i="21"/>
  <c r="M1056" i="21" s="1"/>
  <c r="J1055" i="21"/>
  <c r="M1055" i="21" s="1"/>
  <c r="J1054" i="21"/>
  <c r="M1054" i="21" s="1"/>
  <c r="J1053" i="21"/>
  <c r="M1053" i="21" s="1"/>
  <c r="J1052" i="21"/>
  <c r="M1052" i="21" s="1"/>
  <c r="J1051" i="21"/>
  <c r="M1051" i="21" s="1"/>
  <c r="J1050" i="21"/>
  <c r="M1050" i="21" s="1"/>
  <c r="J1049" i="21"/>
  <c r="M1049" i="21" s="1"/>
  <c r="J1048" i="21"/>
  <c r="M1048" i="21" s="1"/>
  <c r="M1047" i="21"/>
  <c r="J1047" i="21"/>
  <c r="M1046" i="21"/>
  <c r="J1046" i="21"/>
  <c r="J1045" i="21"/>
  <c r="M1045" i="21" s="1"/>
  <c r="M1044" i="21"/>
  <c r="J1044" i="21"/>
  <c r="J1043" i="21"/>
  <c r="M1043" i="21" s="1"/>
  <c r="M1042" i="21"/>
  <c r="J1042" i="21"/>
  <c r="J1041" i="21"/>
  <c r="M1041" i="21" s="1"/>
  <c r="J1040" i="21"/>
  <c r="M1040" i="21" s="1"/>
  <c r="M1039" i="21"/>
  <c r="J1039" i="21"/>
  <c r="J1038" i="21"/>
  <c r="M1038" i="21" s="1"/>
  <c r="J1037" i="21"/>
  <c r="M1037" i="21" s="1"/>
  <c r="M1036" i="21"/>
  <c r="J1036" i="21"/>
  <c r="J1035" i="21"/>
  <c r="M1035" i="21" s="1"/>
  <c r="M1034" i="21"/>
  <c r="J1034" i="21"/>
  <c r="J1033" i="21"/>
  <c r="M1033" i="21" s="1"/>
  <c r="M1032" i="21"/>
  <c r="J1032" i="21"/>
  <c r="J1031" i="21"/>
  <c r="M1031" i="21" s="1"/>
  <c r="J1030" i="21"/>
  <c r="M1030" i="21" s="1"/>
  <c r="J1029" i="21"/>
  <c r="M1029" i="21" s="1"/>
  <c r="M1028" i="21"/>
  <c r="J1028" i="21"/>
  <c r="M1027" i="21"/>
  <c r="J1027" i="21"/>
  <c r="M1026" i="21"/>
  <c r="J1026" i="21"/>
  <c r="J1025" i="21"/>
  <c r="M1025" i="21" s="1"/>
  <c r="J1024" i="21"/>
  <c r="M1024" i="21" s="1"/>
  <c r="M1023" i="21"/>
  <c r="J1023" i="21"/>
  <c r="J1022" i="21"/>
  <c r="M1022" i="21" s="1"/>
  <c r="J1021" i="21"/>
  <c r="M1021" i="21" s="1"/>
  <c r="J1020" i="21"/>
  <c r="M1020" i="21" s="1"/>
  <c r="J1019" i="21"/>
  <c r="M1019" i="21" s="1"/>
  <c r="M1018" i="21"/>
  <c r="J1018" i="21"/>
  <c r="J1017" i="21"/>
  <c r="M1017" i="21" s="1"/>
  <c r="J1016" i="21"/>
  <c r="M1016" i="21" s="1"/>
  <c r="J1015" i="21"/>
  <c r="M1015" i="21" s="1"/>
  <c r="M1014" i="21"/>
  <c r="J1014" i="21"/>
  <c r="J1013" i="21"/>
  <c r="M1013" i="21" s="1"/>
  <c r="J1012" i="21"/>
  <c r="M1012" i="21" s="1"/>
  <c r="J1011" i="21"/>
  <c r="M1011" i="21" s="1"/>
  <c r="M1010" i="21"/>
  <c r="J1010" i="21"/>
  <c r="J1009" i="21"/>
  <c r="M1009" i="21" s="1"/>
  <c r="M1008" i="21"/>
  <c r="J1008" i="21"/>
  <c r="M1007" i="21"/>
  <c r="J1007" i="21"/>
  <c r="J1006" i="21"/>
  <c r="M1006" i="21" s="1"/>
  <c r="J1005" i="21"/>
  <c r="M1005" i="21" s="1"/>
  <c r="J1004" i="21"/>
  <c r="M1004" i="21" s="1"/>
  <c r="J1003" i="21"/>
  <c r="M1003" i="21" s="1"/>
  <c r="M1002" i="21"/>
  <c r="J1002" i="21"/>
  <c r="J1001" i="21"/>
  <c r="M1001" i="21" s="1"/>
  <c r="M1000" i="21"/>
  <c r="J1000" i="21"/>
  <c r="J999" i="21"/>
  <c r="M999" i="21" s="1"/>
  <c r="M998" i="21"/>
  <c r="J998" i="21"/>
  <c r="J997" i="21"/>
  <c r="M997" i="21" s="1"/>
  <c r="J996" i="21"/>
  <c r="M996" i="21" s="1"/>
  <c r="J995" i="21"/>
  <c r="M995" i="21" s="1"/>
  <c r="M994" i="21"/>
  <c r="J994" i="21"/>
  <c r="J993" i="21"/>
  <c r="M993" i="21" s="1"/>
  <c r="M992" i="21"/>
  <c r="J992" i="21"/>
  <c r="M991" i="21"/>
  <c r="J991" i="21"/>
  <c r="M990" i="21"/>
  <c r="J990" i="21"/>
  <c r="J989" i="21"/>
  <c r="M989" i="21" s="1"/>
  <c r="J988" i="21"/>
  <c r="M988" i="21" s="1"/>
  <c r="J987" i="21"/>
  <c r="M987" i="21" s="1"/>
  <c r="M986" i="21"/>
  <c r="J986" i="21"/>
  <c r="J985" i="21"/>
  <c r="M985" i="21" s="1"/>
  <c r="M984" i="21"/>
  <c r="J984" i="21"/>
  <c r="J983" i="21"/>
  <c r="M983" i="21" s="1"/>
  <c r="J982" i="21"/>
  <c r="M982" i="21" s="1"/>
  <c r="J981" i="21"/>
  <c r="M981" i="21" s="1"/>
  <c r="M980" i="21"/>
  <c r="J980" i="21"/>
  <c r="M979" i="21"/>
  <c r="J979" i="21"/>
  <c r="M978" i="21"/>
  <c r="J978" i="21"/>
  <c r="J977" i="21"/>
  <c r="M977" i="21" s="1"/>
  <c r="J976" i="21"/>
  <c r="M976" i="21" s="1"/>
  <c r="M975" i="21"/>
  <c r="J975" i="21"/>
  <c r="J974" i="21"/>
  <c r="M974" i="21" s="1"/>
  <c r="J973" i="21"/>
  <c r="M973" i="21" s="1"/>
  <c r="J972" i="21"/>
  <c r="M972" i="21" s="1"/>
  <c r="J971" i="21"/>
  <c r="M971" i="21" s="1"/>
  <c r="M970" i="21"/>
  <c r="J970" i="21"/>
  <c r="J969" i="21"/>
  <c r="M969" i="21" s="1"/>
  <c r="M968" i="21"/>
  <c r="J968" i="21"/>
  <c r="J967" i="21"/>
  <c r="M967" i="21" s="1"/>
  <c r="M966" i="21"/>
  <c r="J966" i="21"/>
  <c r="J965" i="21"/>
  <c r="M965" i="21" s="1"/>
  <c r="M964" i="21"/>
  <c r="J964" i="21"/>
  <c r="M963" i="21"/>
  <c r="J963" i="21"/>
  <c r="J962" i="21"/>
  <c r="M962" i="21" s="1"/>
  <c r="J961" i="21"/>
  <c r="M961" i="21" s="1"/>
  <c r="M960" i="21"/>
  <c r="J960" i="21"/>
  <c r="J959" i="21"/>
  <c r="M959" i="21" s="1"/>
  <c r="J958" i="21"/>
  <c r="M958" i="21" s="1"/>
  <c r="J957" i="21"/>
  <c r="J956" i="21"/>
  <c r="M956" i="21" s="1"/>
  <c r="M955" i="21"/>
  <c r="J955" i="21"/>
  <c r="M954" i="21"/>
  <c r="J954" i="21"/>
  <c r="J953" i="21"/>
  <c r="M953" i="21" s="1"/>
  <c r="M952" i="21"/>
  <c r="J952" i="21"/>
  <c r="J951" i="21"/>
  <c r="M951" i="21" s="1"/>
  <c r="M950" i="21"/>
  <c r="J950" i="21"/>
  <c r="J949" i="21"/>
  <c r="M949" i="21" s="1"/>
  <c r="J948" i="21"/>
  <c r="M948" i="21" s="1"/>
  <c r="M947" i="21"/>
  <c r="J947" i="21"/>
  <c r="J946" i="21"/>
  <c r="M946" i="21" s="1"/>
  <c r="J945" i="21"/>
  <c r="M945" i="21" s="1"/>
  <c r="M944" i="21"/>
  <c r="J944" i="21"/>
  <c r="J943" i="21"/>
  <c r="M943" i="21" s="1"/>
  <c r="M942" i="21"/>
  <c r="J942" i="21"/>
  <c r="J941" i="21"/>
  <c r="M941" i="21" s="1"/>
  <c r="J940" i="21"/>
  <c r="M940" i="21" s="1"/>
  <c r="J939" i="21"/>
  <c r="M939" i="21" s="1"/>
  <c r="M938" i="21"/>
  <c r="J938" i="21"/>
  <c r="J937" i="21"/>
  <c r="M937" i="21" s="1"/>
  <c r="M936" i="21"/>
  <c r="J936" i="21"/>
  <c r="J935" i="21"/>
  <c r="M935" i="21" s="1"/>
  <c r="M934" i="21"/>
  <c r="J934" i="21"/>
  <c r="J933" i="21"/>
  <c r="M933" i="21" s="1"/>
  <c r="J932" i="21"/>
  <c r="M932" i="21" s="1"/>
  <c r="J931" i="21"/>
  <c r="M931" i="21" s="1"/>
  <c r="M930" i="21"/>
  <c r="J930" i="21"/>
  <c r="J929" i="21"/>
  <c r="M929" i="21" s="1"/>
  <c r="J928" i="21"/>
  <c r="M928" i="21" s="1"/>
  <c r="M927" i="21"/>
  <c r="J927" i="21"/>
  <c r="M926" i="21"/>
  <c r="J926" i="21"/>
  <c r="J925" i="21"/>
  <c r="M925" i="21" s="1"/>
  <c r="M924" i="21"/>
  <c r="J924" i="21"/>
  <c r="M923" i="21"/>
  <c r="J923" i="21"/>
  <c r="J922" i="21"/>
  <c r="M922" i="21" s="1"/>
  <c r="J921" i="21"/>
  <c r="M921" i="21" s="1"/>
  <c r="J920" i="21"/>
  <c r="M920" i="21" s="1"/>
  <c r="J919" i="21"/>
  <c r="M919" i="21" s="1"/>
  <c r="J918" i="21"/>
  <c r="M918" i="21" s="1"/>
  <c r="J917" i="21"/>
  <c r="M917" i="21" s="1"/>
  <c r="J916" i="21"/>
  <c r="M916" i="21" s="1"/>
  <c r="J915" i="21"/>
  <c r="M915" i="21" s="1"/>
  <c r="J914" i="21"/>
  <c r="M914" i="21" s="1"/>
  <c r="J913" i="21"/>
  <c r="M913" i="21" s="1"/>
  <c r="J912" i="21"/>
  <c r="M912" i="21" s="1"/>
  <c r="M911" i="21"/>
  <c r="J911" i="21"/>
  <c r="M910" i="21"/>
  <c r="J910" i="21"/>
  <c r="J909" i="21"/>
  <c r="M909" i="21" s="1"/>
  <c r="M908" i="21"/>
  <c r="J908" i="21"/>
  <c r="J907" i="21"/>
  <c r="M907" i="21" s="1"/>
  <c r="M906" i="21"/>
  <c r="J906" i="21"/>
  <c r="J905" i="21"/>
  <c r="M905" i="21" s="1"/>
  <c r="J904" i="21"/>
  <c r="M904" i="21" s="1"/>
  <c r="J903" i="21"/>
  <c r="M903" i="21" s="1"/>
  <c r="M902" i="21"/>
  <c r="J902" i="21"/>
  <c r="J901" i="21"/>
  <c r="M901" i="21" s="1"/>
  <c r="J900" i="21"/>
  <c r="M900" i="21" s="1"/>
  <c r="J899" i="21"/>
  <c r="M899" i="21" s="1"/>
  <c r="M898" i="21"/>
  <c r="J898" i="21"/>
  <c r="J897" i="21"/>
  <c r="M897" i="21" s="1"/>
  <c r="M896" i="21"/>
  <c r="J896" i="21"/>
  <c r="J895" i="21"/>
  <c r="M895" i="21" s="1"/>
  <c r="J894" i="21"/>
  <c r="M894" i="21" s="1"/>
  <c r="J893" i="21"/>
  <c r="M893" i="21" s="1"/>
  <c r="M892" i="21"/>
  <c r="J892" i="21"/>
  <c r="J891" i="21"/>
  <c r="M891" i="21" s="1"/>
  <c r="J890" i="21"/>
  <c r="M890" i="21" s="1"/>
  <c r="J889" i="21"/>
  <c r="M889" i="21" s="1"/>
  <c r="M888" i="21"/>
  <c r="J888" i="21"/>
  <c r="M887" i="21"/>
  <c r="J887" i="21"/>
  <c r="J886" i="21"/>
  <c r="M886" i="21" s="1"/>
  <c r="J885" i="21"/>
  <c r="M885" i="21" s="1"/>
  <c r="J884" i="21"/>
  <c r="M884" i="21" s="1"/>
  <c r="J883" i="21"/>
  <c r="M883" i="21" s="1"/>
  <c r="J882" i="21"/>
  <c r="M882" i="21" s="1"/>
  <c r="J881" i="21"/>
  <c r="M881" i="21" s="1"/>
  <c r="J880" i="21"/>
  <c r="M880" i="21" s="1"/>
  <c r="J879" i="21"/>
  <c r="M879" i="21" s="1"/>
  <c r="J878" i="21"/>
  <c r="M878" i="21" s="1"/>
  <c r="J877" i="21"/>
  <c r="M877" i="21" s="1"/>
  <c r="J876" i="21"/>
  <c r="M876" i="21" s="1"/>
  <c r="M875" i="21"/>
  <c r="J875" i="21"/>
  <c r="M874" i="21"/>
  <c r="J874" i="21"/>
  <c r="J873" i="21"/>
  <c r="M873" i="21" s="1"/>
  <c r="M872" i="21"/>
  <c r="J872" i="21"/>
  <c r="J871" i="21"/>
  <c r="M871" i="21" s="1"/>
  <c r="M870" i="21"/>
  <c r="J870" i="21"/>
  <c r="J869" i="21"/>
  <c r="M869" i="21" s="1"/>
  <c r="J868" i="21"/>
  <c r="M868" i="21" s="1"/>
  <c r="J867" i="21"/>
  <c r="M867" i="21" s="1"/>
  <c r="M866" i="21"/>
  <c r="J866" i="21"/>
  <c r="J865" i="21"/>
  <c r="M865" i="21" s="1"/>
  <c r="J864" i="21"/>
  <c r="M864" i="21" s="1"/>
  <c r="J863" i="21"/>
  <c r="M863" i="21" s="1"/>
  <c r="M862" i="21"/>
  <c r="J862" i="21"/>
  <c r="J861" i="21"/>
  <c r="M861" i="21" s="1"/>
  <c r="M860" i="21"/>
  <c r="J860" i="21"/>
  <c r="M859" i="21"/>
  <c r="J859" i="21"/>
  <c r="J858" i="21"/>
  <c r="M858" i="21" s="1"/>
  <c r="J857" i="21"/>
  <c r="M857" i="21" s="1"/>
  <c r="M856" i="21"/>
  <c r="J856" i="21"/>
  <c r="J855" i="21"/>
  <c r="M855" i="21" s="1"/>
  <c r="J854" i="21"/>
  <c r="M854" i="21" s="1"/>
  <c r="J853" i="21"/>
  <c r="M853" i="21" s="1"/>
  <c r="J852" i="21"/>
  <c r="M852" i="21" s="1"/>
  <c r="J851" i="21"/>
  <c r="M851" i="21" s="1"/>
  <c r="J850" i="21"/>
  <c r="M850" i="21" s="1"/>
  <c r="J849" i="21"/>
  <c r="M849" i="21" s="1"/>
  <c r="J848" i="21"/>
  <c r="M848" i="21" s="1"/>
  <c r="M847" i="21"/>
  <c r="J847" i="21"/>
  <c r="M846" i="21"/>
  <c r="J846" i="21"/>
  <c r="J845" i="21"/>
  <c r="M845" i="21" s="1"/>
  <c r="J844" i="21"/>
  <c r="M844" i="21" s="1"/>
  <c r="J843" i="21"/>
  <c r="M843" i="21" s="1"/>
  <c r="M842" i="21"/>
  <c r="J842" i="21"/>
  <c r="J841" i="21"/>
  <c r="M841" i="21" s="1"/>
  <c r="J840" i="21"/>
  <c r="M840" i="21" s="1"/>
  <c r="J839" i="21"/>
  <c r="M839" i="21" s="1"/>
  <c r="M838" i="21"/>
  <c r="J838" i="21"/>
  <c r="J837" i="21"/>
  <c r="M837" i="21" s="1"/>
  <c r="M836" i="21"/>
  <c r="J836" i="21"/>
  <c r="J835" i="21"/>
  <c r="M835" i="21" s="1"/>
  <c r="J834" i="21"/>
  <c r="M834" i="21" s="1"/>
  <c r="J833" i="21"/>
  <c r="M833" i="21" s="1"/>
  <c r="M832" i="21"/>
  <c r="J832" i="21"/>
  <c r="J831" i="21"/>
  <c r="M831" i="21" s="1"/>
  <c r="J830" i="21"/>
  <c r="M830" i="21" s="1"/>
  <c r="J829" i="21"/>
  <c r="M829" i="21" s="1"/>
  <c r="J828" i="21"/>
  <c r="M828" i="21" s="1"/>
  <c r="J827" i="21"/>
  <c r="M827" i="21" s="1"/>
  <c r="M826" i="21"/>
  <c r="J826" i="21"/>
  <c r="J825" i="21"/>
  <c r="M825" i="21" s="1"/>
  <c r="J824" i="21"/>
  <c r="M824" i="21" s="1"/>
  <c r="J823" i="21"/>
  <c r="M823" i="21" s="1"/>
  <c r="J822" i="21"/>
  <c r="M822" i="21" s="1"/>
  <c r="J821" i="21"/>
  <c r="M821" i="21" s="1"/>
  <c r="J820" i="21"/>
  <c r="M820" i="21" s="1"/>
  <c r="J819" i="21"/>
  <c r="M819" i="21" s="1"/>
  <c r="J818" i="21"/>
  <c r="M818" i="21" s="1"/>
  <c r="J801" i="21"/>
  <c r="M801" i="21" s="1"/>
  <c r="J781" i="21"/>
  <c r="M781" i="21" s="1"/>
  <c r="J780" i="21"/>
  <c r="M780" i="21" s="1"/>
  <c r="M779" i="21"/>
  <c r="J779" i="21"/>
  <c r="J778" i="21"/>
  <c r="M778" i="21" s="1"/>
  <c r="J777" i="21"/>
  <c r="M777" i="21" s="1"/>
  <c r="J776" i="21"/>
  <c r="M776" i="21" s="1"/>
  <c r="M775" i="21"/>
  <c r="J775" i="21"/>
  <c r="J774" i="21"/>
  <c r="M774" i="21" s="1"/>
  <c r="J773" i="21"/>
  <c r="M773" i="21" s="1"/>
  <c r="J772" i="21"/>
  <c r="M772" i="21" s="1"/>
  <c r="J771" i="21"/>
  <c r="M771" i="21" s="1"/>
  <c r="J770" i="21"/>
  <c r="M770" i="21" s="1"/>
  <c r="J769" i="21"/>
  <c r="M769" i="21" s="1"/>
  <c r="J768" i="21"/>
  <c r="M768" i="21" s="1"/>
  <c r="J767" i="21"/>
  <c r="M767" i="21" s="1"/>
  <c r="J766" i="21"/>
  <c r="M766" i="21" s="1"/>
  <c r="J765" i="21"/>
  <c r="M765" i="21" s="1"/>
  <c r="J764" i="21"/>
  <c r="M764" i="21" s="1"/>
  <c r="M763" i="21"/>
  <c r="J763" i="21"/>
  <c r="J762" i="21"/>
  <c r="M762" i="21" s="1"/>
  <c r="M761" i="21"/>
  <c r="J761" i="21"/>
  <c r="J760" i="21"/>
  <c r="M760" i="21" s="1"/>
  <c r="M759" i="21"/>
  <c r="J759" i="21"/>
  <c r="J758" i="21"/>
  <c r="M758" i="21" s="1"/>
  <c r="J757" i="21"/>
  <c r="M757" i="21" s="1"/>
  <c r="J756" i="21"/>
  <c r="M756" i="21" s="1"/>
  <c r="M755" i="21"/>
  <c r="J755" i="21"/>
  <c r="J754" i="21"/>
  <c r="M754" i="21" s="1"/>
  <c r="J753" i="21"/>
  <c r="M753" i="21" s="1"/>
  <c r="J752" i="21"/>
  <c r="M752" i="21" s="1"/>
  <c r="J751" i="21"/>
  <c r="M751" i="21" s="1"/>
  <c r="J750" i="21"/>
  <c r="M750" i="21" s="1"/>
  <c r="M749" i="21"/>
  <c r="J749" i="21"/>
  <c r="J748" i="21"/>
  <c r="M748" i="21" s="1"/>
  <c r="M747" i="21"/>
  <c r="J747" i="21"/>
  <c r="J746" i="21"/>
  <c r="M746" i="21" s="1"/>
  <c r="M745" i="21"/>
  <c r="J745" i="21"/>
  <c r="J744" i="21"/>
  <c r="M744" i="21" s="1"/>
  <c r="M743" i="21"/>
  <c r="J743" i="21"/>
  <c r="J742" i="21"/>
  <c r="M742" i="21" s="1"/>
  <c r="J741" i="21"/>
  <c r="M741" i="21" s="1"/>
  <c r="J740" i="21"/>
  <c r="M740" i="21" s="1"/>
  <c r="M739" i="21"/>
  <c r="J739" i="21"/>
  <c r="J738" i="21"/>
  <c r="M738" i="21" s="1"/>
  <c r="J737" i="21"/>
  <c r="M737" i="21" s="1"/>
  <c r="J736" i="21"/>
  <c r="M736" i="21" s="1"/>
  <c r="J735" i="21"/>
  <c r="M735" i="21" s="1"/>
  <c r="J734" i="21"/>
  <c r="M734" i="21" s="1"/>
  <c r="J733" i="21"/>
  <c r="M733" i="21" s="1"/>
  <c r="J732" i="21"/>
  <c r="M732" i="21" s="1"/>
  <c r="M731" i="21"/>
  <c r="J731" i="21"/>
  <c r="J730" i="21"/>
  <c r="M730" i="21" s="1"/>
  <c r="J729" i="21"/>
  <c r="M729" i="21" s="1"/>
  <c r="J728" i="21"/>
  <c r="M728" i="21" s="1"/>
  <c r="J727" i="21"/>
  <c r="M727" i="21" s="1"/>
  <c r="J726" i="21"/>
  <c r="M726" i="21" s="1"/>
  <c r="J725" i="21"/>
  <c r="M725" i="21" s="1"/>
  <c r="M724" i="21"/>
  <c r="J724" i="21"/>
  <c r="J723" i="21"/>
  <c r="M723" i="21" s="1"/>
  <c r="M722" i="21"/>
  <c r="J722" i="21"/>
  <c r="J721" i="21"/>
  <c r="M721" i="21" s="1"/>
  <c r="M720" i="21"/>
  <c r="J720" i="21"/>
  <c r="J719" i="21"/>
  <c r="M719" i="21" s="1"/>
  <c r="J718" i="21"/>
  <c r="M718" i="21" s="1"/>
  <c r="J717" i="21"/>
  <c r="M717" i="21" s="1"/>
  <c r="M716" i="21"/>
  <c r="J716" i="21"/>
  <c r="J715" i="21"/>
  <c r="M715" i="21" s="1"/>
  <c r="J714" i="21"/>
  <c r="M714" i="21" s="1"/>
  <c r="J713" i="21"/>
  <c r="M713" i="21" s="1"/>
  <c r="M712" i="21"/>
  <c r="J712" i="21"/>
  <c r="J711" i="21"/>
  <c r="M711" i="21" s="1"/>
  <c r="M710" i="21"/>
  <c r="J710" i="21"/>
  <c r="J709" i="21"/>
  <c r="M709" i="21" s="1"/>
  <c r="M708" i="21"/>
  <c r="J708" i="21"/>
  <c r="J707" i="21"/>
  <c r="M707" i="21" s="1"/>
  <c r="M706" i="21"/>
  <c r="J706" i="21"/>
  <c r="J705" i="21"/>
  <c r="M705" i="21" s="1"/>
  <c r="M704" i="21"/>
  <c r="J704" i="21"/>
  <c r="J703" i="21"/>
  <c r="M703" i="21" s="1"/>
  <c r="J702" i="21"/>
  <c r="M702" i="21" s="1"/>
  <c r="J701" i="21"/>
  <c r="M701" i="21" s="1"/>
  <c r="M700" i="21"/>
  <c r="J700" i="21"/>
  <c r="J699" i="21"/>
  <c r="M699" i="21" s="1"/>
  <c r="J698" i="21"/>
  <c r="M698" i="21" s="1"/>
  <c r="J697" i="21"/>
  <c r="M697" i="21" s="1"/>
  <c r="M696" i="21"/>
  <c r="J696" i="21"/>
  <c r="J695" i="21"/>
  <c r="M695" i="21" s="1"/>
  <c r="M694" i="21"/>
  <c r="J694" i="21"/>
  <c r="J693" i="21"/>
  <c r="M693" i="21" s="1"/>
  <c r="M692" i="21"/>
  <c r="J692" i="21"/>
  <c r="J691" i="21"/>
  <c r="M691" i="21" s="1"/>
  <c r="J690" i="21"/>
  <c r="M690" i="21" s="1"/>
  <c r="J689" i="21"/>
  <c r="M689" i="21" s="1"/>
  <c r="M688" i="21"/>
  <c r="J688" i="21"/>
  <c r="J687" i="21"/>
  <c r="M687" i="21" s="1"/>
  <c r="J686" i="21"/>
  <c r="M686" i="21" s="1"/>
  <c r="J685" i="21"/>
  <c r="M685" i="21" s="1"/>
  <c r="J684" i="21"/>
  <c r="M684" i="21" s="1"/>
  <c r="J683" i="21"/>
  <c r="M683" i="21" s="1"/>
  <c r="J682" i="21"/>
  <c r="M682" i="21" s="1"/>
  <c r="J681" i="21"/>
  <c r="M681" i="21" s="1"/>
  <c r="M680" i="21"/>
  <c r="J680" i="21"/>
  <c r="J679" i="21"/>
  <c r="M679" i="21" s="1"/>
  <c r="J678" i="21"/>
  <c r="M678" i="21" s="1"/>
  <c r="J677" i="21"/>
  <c r="M677" i="21" s="1"/>
  <c r="M676" i="21"/>
  <c r="J676" i="21"/>
  <c r="J675" i="21"/>
  <c r="M675" i="21" s="1"/>
  <c r="J674" i="21"/>
  <c r="M674" i="21" s="1"/>
  <c r="J673" i="21"/>
  <c r="M673" i="21" s="1"/>
  <c r="M672" i="21"/>
  <c r="J672" i="21"/>
  <c r="J671" i="21"/>
  <c r="M671" i="21" s="1"/>
  <c r="J670" i="21"/>
  <c r="M670" i="21" s="1"/>
  <c r="J669" i="21"/>
  <c r="M669" i="21" s="1"/>
  <c r="J668" i="21"/>
  <c r="M668" i="21" s="1"/>
  <c r="J667" i="21"/>
  <c r="M667" i="21" s="1"/>
  <c r="J666" i="21"/>
  <c r="M666" i="21" s="1"/>
  <c r="J665" i="21"/>
  <c r="M665" i="21" s="1"/>
  <c r="J664" i="21"/>
  <c r="M664" i="21" s="1"/>
  <c r="J663" i="21"/>
  <c r="M663" i="21" s="1"/>
  <c r="J662" i="21"/>
  <c r="M662" i="21" s="1"/>
  <c r="J661" i="21"/>
  <c r="M661" i="21" s="1"/>
  <c r="M660" i="21"/>
  <c r="J660" i="21"/>
  <c r="J659" i="21"/>
  <c r="M659" i="21" s="1"/>
  <c r="M658" i="21"/>
  <c r="J658" i="21"/>
  <c r="J657" i="21"/>
  <c r="M657" i="21" s="1"/>
  <c r="M656" i="21"/>
  <c r="J656" i="21"/>
  <c r="J655" i="21"/>
  <c r="M655" i="21" s="1"/>
  <c r="J654" i="21"/>
  <c r="M654" i="21" s="1"/>
  <c r="J653" i="21"/>
  <c r="M653" i="21" s="1"/>
  <c r="M652" i="21"/>
  <c r="J652" i="21"/>
  <c r="J651" i="21"/>
  <c r="M651" i="21" s="1"/>
  <c r="J650" i="21"/>
  <c r="M650" i="21" s="1"/>
  <c r="J649" i="21"/>
  <c r="M649" i="21" s="1"/>
  <c r="M648" i="21"/>
  <c r="J648" i="21"/>
  <c r="J647" i="21"/>
  <c r="M647" i="21" s="1"/>
  <c r="M646" i="21"/>
  <c r="J646" i="21"/>
  <c r="J645" i="21"/>
  <c r="M645" i="21" s="1"/>
  <c r="M644" i="21"/>
  <c r="J644" i="21"/>
  <c r="J643" i="21"/>
  <c r="M643" i="21" s="1"/>
  <c r="M642" i="21"/>
  <c r="J642" i="21"/>
  <c r="J641" i="21"/>
  <c r="M641" i="21" s="1"/>
  <c r="M640" i="21"/>
  <c r="J640" i="21"/>
  <c r="J639" i="21"/>
  <c r="M639" i="21" s="1"/>
  <c r="J638" i="21"/>
  <c r="M638" i="21" s="1"/>
  <c r="J637" i="21"/>
  <c r="M637" i="21" s="1"/>
  <c r="M636" i="21"/>
  <c r="J636" i="21"/>
  <c r="J635" i="21"/>
  <c r="M635" i="21" s="1"/>
  <c r="J634" i="21"/>
  <c r="M634" i="21" s="1"/>
  <c r="J633" i="21"/>
  <c r="M633" i="21" s="1"/>
  <c r="M632" i="21"/>
  <c r="J632" i="21"/>
  <c r="J631" i="21"/>
  <c r="M631" i="21" s="1"/>
  <c r="M630" i="21"/>
  <c r="J630" i="21"/>
  <c r="J629" i="21"/>
  <c r="M629" i="21" s="1"/>
  <c r="M628" i="21"/>
  <c r="J628" i="21"/>
  <c r="J627" i="21"/>
  <c r="M627" i="21" s="1"/>
  <c r="J626" i="21"/>
  <c r="M626" i="21" s="1"/>
  <c r="J625" i="21"/>
  <c r="M625" i="21" s="1"/>
  <c r="M624" i="21"/>
  <c r="J624" i="21"/>
  <c r="J623" i="21"/>
  <c r="M623" i="21" s="1"/>
  <c r="J622" i="21"/>
  <c r="M622" i="21" s="1"/>
  <c r="J621" i="21"/>
  <c r="M621" i="21" s="1"/>
  <c r="J620" i="21"/>
  <c r="M620" i="21" s="1"/>
  <c r="J619" i="21"/>
  <c r="M619" i="21" s="1"/>
  <c r="J618" i="21"/>
  <c r="M618" i="21" s="1"/>
  <c r="J617" i="21"/>
  <c r="M617" i="21" s="1"/>
  <c r="M616" i="21"/>
  <c r="J616" i="21"/>
  <c r="J615" i="21"/>
  <c r="M615" i="21" s="1"/>
  <c r="J614" i="21"/>
  <c r="M614" i="21" s="1"/>
  <c r="J613" i="21"/>
  <c r="M613" i="21" s="1"/>
  <c r="M612" i="21"/>
  <c r="J612" i="21"/>
  <c r="J611" i="21"/>
  <c r="M611" i="21" s="1"/>
  <c r="J610" i="21"/>
  <c r="M610" i="21" s="1"/>
  <c r="J609" i="21"/>
  <c r="M609" i="21" s="1"/>
  <c r="M608" i="21"/>
  <c r="J608" i="21"/>
  <c r="J607" i="21"/>
  <c r="M607" i="21" s="1"/>
  <c r="J606" i="21"/>
  <c r="M606" i="21" s="1"/>
  <c r="J605" i="21"/>
  <c r="M605" i="21" s="1"/>
  <c r="J604" i="21"/>
  <c r="M604" i="21" s="1"/>
  <c r="J603" i="21"/>
  <c r="M603" i="21" s="1"/>
  <c r="J602" i="21"/>
  <c r="M602" i="21" s="1"/>
  <c r="J601" i="21"/>
  <c r="M601" i="21" s="1"/>
  <c r="J600" i="21"/>
  <c r="M600" i="21" s="1"/>
  <c r="J599" i="21"/>
  <c r="M599" i="21" s="1"/>
  <c r="J598" i="21"/>
  <c r="M598" i="21" s="1"/>
  <c r="J597" i="21"/>
  <c r="M597" i="21" s="1"/>
  <c r="M596" i="21"/>
  <c r="J596" i="21"/>
  <c r="J595" i="21"/>
  <c r="M595" i="21" s="1"/>
  <c r="M594" i="21"/>
  <c r="J594" i="21"/>
  <c r="J593" i="21"/>
  <c r="M593" i="21" s="1"/>
  <c r="M592" i="21"/>
  <c r="J592" i="21"/>
  <c r="J591" i="21"/>
  <c r="M591" i="21" s="1"/>
  <c r="J590" i="21"/>
  <c r="M590" i="21" s="1"/>
  <c r="J589" i="21"/>
  <c r="M589" i="21" s="1"/>
  <c r="M588" i="21"/>
  <c r="J588" i="21"/>
  <c r="J587" i="21"/>
  <c r="M587" i="21" s="1"/>
  <c r="J586" i="21"/>
  <c r="M586" i="21" s="1"/>
  <c r="J585" i="21"/>
  <c r="M585" i="21" s="1"/>
  <c r="M584" i="21"/>
  <c r="J584" i="21"/>
  <c r="J583" i="21"/>
  <c r="M583" i="21" s="1"/>
  <c r="M582" i="21"/>
  <c r="J582" i="21"/>
  <c r="J581" i="21"/>
  <c r="M581" i="21" s="1"/>
  <c r="M580" i="21"/>
  <c r="J580" i="21"/>
  <c r="J579" i="21"/>
  <c r="M579" i="21" s="1"/>
  <c r="M578" i="21"/>
  <c r="J578" i="21"/>
  <c r="J577" i="21"/>
  <c r="M577" i="21" s="1"/>
  <c r="M576" i="21"/>
  <c r="J576" i="21"/>
  <c r="J575" i="21"/>
  <c r="M575" i="21" s="1"/>
  <c r="J574" i="21"/>
  <c r="M574" i="21" s="1"/>
  <c r="J573" i="21"/>
  <c r="M573" i="21" s="1"/>
  <c r="M572" i="21"/>
  <c r="J572" i="21"/>
  <c r="J571" i="21"/>
  <c r="M571" i="21" s="1"/>
  <c r="J570" i="21"/>
  <c r="M570" i="21" s="1"/>
  <c r="J569" i="21"/>
  <c r="M569" i="21" s="1"/>
  <c r="M568" i="21"/>
  <c r="J568" i="21"/>
  <c r="J567" i="21"/>
  <c r="M567" i="21" s="1"/>
  <c r="M566" i="21"/>
  <c r="J566" i="21"/>
  <c r="J565" i="21"/>
  <c r="M565" i="21" s="1"/>
  <c r="M564" i="21"/>
  <c r="J564" i="21"/>
  <c r="J563" i="21"/>
  <c r="M563" i="21" s="1"/>
  <c r="J562" i="21"/>
  <c r="M562" i="21" s="1"/>
  <c r="J561" i="21"/>
  <c r="M561" i="21" s="1"/>
  <c r="M560" i="21"/>
  <c r="J560" i="21"/>
  <c r="J559" i="21"/>
  <c r="M559" i="21" s="1"/>
  <c r="J558" i="21"/>
  <c r="M558" i="21" s="1"/>
  <c r="J557" i="21"/>
  <c r="M557" i="21" s="1"/>
  <c r="J556" i="21"/>
  <c r="M556" i="21" s="1"/>
  <c r="J555" i="21"/>
  <c r="M555" i="21" s="1"/>
  <c r="J554" i="21"/>
  <c r="M554" i="21" s="1"/>
  <c r="J553" i="21"/>
  <c r="M553" i="21" s="1"/>
  <c r="M552" i="21"/>
  <c r="J552" i="21"/>
  <c r="J551" i="21"/>
  <c r="M551" i="21" s="1"/>
  <c r="J550" i="21"/>
  <c r="M550" i="21" s="1"/>
  <c r="J549" i="21"/>
  <c r="M549" i="21" s="1"/>
  <c r="M548" i="21"/>
  <c r="J548" i="21"/>
  <c r="J547" i="21"/>
  <c r="M547" i="21" s="1"/>
  <c r="J546" i="21"/>
  <c r="M546" i="21" s="1"/>
  <c r="J545" i="21"/>
  <c r="M545" i="21" s="1"/>
  <c r="M544" i="21"/>
  <c r="J544" i="21"/>
  <c r="J543" i="21"/>
  <c r="M543" i="21" s="1"/>
  <c r="J542" i="21"/>
  <c r="M542" i="21" s="1"/>
  <c r="J541" i="21"/>
  <c r="M541" i="21" s="1"/>
  <c r="J540" i="21"/>
  <c r="M540" i="21" s="1"/>
  <c r="J539" i="21"/>
  <c r="M539" i="21" s="1"/>
  <c r="M538" i="21"/>
  <c r="J538" i="21"/>
  <c r="M537" i="21"/>
  <c r="M536" i="21"/>
  <c r="M535" i="21"/>
  <c r="M534" i="21"/>
  <c r="M533" i="21"/>
  <c r="M532" i="21"/>
  <c r="M531" i="21"/>
  <c r="M530" i="21"/>
  <c r="M529" i="21"/>
  <c r="M528" i="21"/>
  <c r="M527" i="21"/>
  <c r="M526" i="21"/>
  <c r="M525" i="21"/>
  <c r="O524" i="21"/>
  <c r="N524" i="21"/>
  <c r="O523" i="21"/>
  <c r="N523" i="21"/>
  <c r="O522" i="21"/>
  <c r="N522" i="21"/>
  <c r="O521" i="21"/>
  <c r="N521" i="21"/>
  <c r="O520" i="21"/>
  <c r="N520" i="21"/>
  <c r="O519" i="21"/>
  <c r="N519" i="21"/>
  <c r="O518" i="21"/>
  <c r="N518" i="21"/>
  <c r="O517" i="21"/>
  <c r="N517" i="21"/>
  <c r="O516" i="21"/>
  <c r="N516" i="21"/>
  <c r="O515" i="21"/>
  <c r="N515" i="21"/>
  <c r="O514" i="21"/>
  <c r="N514" i="21"/>
  <c r="O513" i="21"/>
  <c r="N513" i="21"/>
  <c r="O512" i="21"/>
  <c r="N512" i="21"/>
  <c r="M511" i="21"/>
  <c r="M510" i="21"/>
  <c r="M509" i="21"/>
  <c r="M508" i="21"/>
  <c r="M507" i="21"/>
  <c r="M506" i="21"/>
  <c r="M505" i="21"/>
  <c r="M504" i="21"/>
  <c r="M503" i="21"/>
  <c r="M502" i="21"/>
  <c r="M501" i="21"/>
  <c r="M500" i="21"/>
  <c r="M499" i="21"/>
  <c r="M498" i="21"/>
  <c r="J498" i="21"/>
  <c r="M497" i="21"/>
  <c r="J497" i="21"/>
  <c r="M496" i="21"/>
  <c r="J496" i="21"/>
  <c r="J495" i="21"/>
  <c r="M495" i="21" s="1"/>
  <c r="J494" i="21"/>
  <c r="M494" i="21" s="1"/>
  <c r="J493" i="21"/>
  <c r="M493" i="21" s="1"/>
  <c r="J492" i="21"/>
  <c r="M492" i="21" s="1"/>
  <c r="J491" i="21"/>
  <c r="M491" i="21" s="1"/>
  <c r="M490" i="21"/>
  <c r="J490" i="21"/>
  <c r="J489" i="21"/>
  <c r="M489" i="21" s="1"/>
  <c r="M488" i="21"/>
  <c r="J488" i="21"/>
  <c r="J487" i="21"/>
  <c r="M487" i="21" s="1"/>
  <c r="L486" i="21"/>
  <c r="O486" i="21" s="1"/>
  <c r="K486" i="21"/>
  <c r="N486" i="21" s="1"/>
  <c r="O485" i="21"/>
  <c r="L485" i="21"/>
  <c r="K485" i="21"/>
  <c r="N485" i="21" s="1"/>
  <c r="L484" i="21"/>
  <c r="O484" i="21" s="1"/>
  <c r="K484" i="21"/>
  <c r="N484" i="21" s="1"/>
  <c r="O483" i="21"/>
  <c r="L483" i="21"/>
  <c r="K483" i="21"/>
  <c r="N483" i="21" s="1"/>
  <c r="O482" i="21"/>
  <c r="L482" i="21"/>
  <c r="K482" i="21"/>
  <c r="N482" i="21" s="1"/>
  <c r="O481" i="21"/>
  <c r="L481" i="21"/>
  <c r="K481" i="21"/>
  <c r="N481" i="21" s="1"/>
  <c r="L480" i="21"/>
  <c r="O480" i="21" s="1"/>
  <c r="K480" i="21"/>
  <c r="N480" i="21" s="1"/>
  <c r="O479" i="21"/>
  <c r="L479" i="21"/>
  <c r="K479" i="21"/>
  <c r="N479" i="21" s="1"/>
  <c r="L478" i="21"/>
  <c r="O478" i="21" s="1"/>
  <c r="K478" i="21"/>
  <c r="N478" i="21" s="1"/>
  <c r="N477" i="21"/>
  <c r="L477" i="21"/>
  <c r="O477" i="21" s="1"/>
  <c r="K477" i="21"/>
  <c r="L476" i="21"/>
  <c r="O476" i="21" s="1"/>
  <c r="K476" i="21"/>
  <c r="N476" i="21" s="1"/>
  <c r="O475" i="21"/>
  <c r="L475" i="21"/>
  <c r="K475" i="21"/>
  <c r="N475" i="21" s="1"/>
  <c r="O474" i="21"/>
  <c r="N474" i="21"/>
  <c r="L474" i="21"/>
  <c r="K474" i="21"/>
  <c r="L473" i="21"/>
  <c r="O473" i="21" s="1"/>
  <c r="K473" i="21"/>
  <c r="N473" i="21" s="1"/>
  <c r="L472" i="21"/>
  <c r="O472" i="21" s="1"/>
  <c r="K472" i="21"/>
  <c r="N472" i="21" s="1"/>
  <c r="O471" i="21"/>
  <c r="L471" i="21"/>
  <c r="K471" i="21"/>
  <c r="N471" i="21" s="1"/>
  <c r="L470" i="21"/>
  <c r="O470" i="21" s="1"/>
  <c r="K470" i="21"/>
  <c r="N470" i="21" s="1"/>
  <c r="N469" i="21"/>
  <c r="L469" i="21"/>
  <c r="O469" i="21" s="1"/>
  <c r="K469" i="21"/>
  <c r="L468" i="21"/>
  <c r="O468" i="21" s="1"/>
  <c r="K468" i="21"/>
  <c r="N468" i="21" s="1"/>
  <c r="O467" i="21"/>
  <c r="L467" i="21"/>
  <c r="K467" i="21"/>
  <c r="N467" i="21" s="1"/>
  <c r="O466" i="21"/>
  <c r="N466" i="21"/>
  <c r="L466" i="21"/>
  <c r="K466" i="21"/>
  <c r="L465" i="21"/>
  <c r="O465" i="21" s="1"/>
  <c r="K465" i="21"/>
  <c r="N465" i="21" s="1"/>
  <c r="L464" i="21"/>
  <c r="O464" i="21" s="1"/>
  <c r="K464" i="21"/>
  <c r="N464" i="21" s="1"/>
  <c r="O463" i="21"/>
  <c r="L463" i="21"/>
  <c r="K463" i="21"/>
  <c r="N463" i="21" s="1"/>
  <c r="J462" i="21"/>
  <c r="M462" i="21" s="1"/>
  <c r="M461" i="21"/>
  <c r="J461" i="21"/>
  <c r="J460" i="21"/>
  <c r="M460" i="21" s="1"/>
  <c r="J459" i="21"/>
  <c r="M459" i="21" s="1"/>
  <c r="J458" i="21"/>
  <c r="M458" i="21" s="1"/>
  <c r="J457" i="21"/>
  <c r="M457" i="21" s="1"/>
  <c r="J456" i="21"/>
  <c r="M456" i="21" s="1"/>
  <c r="J455" i="21"/>
  <c r="M455" i="21" s="1"/>
  <c r="M454" i="21"/>
  <c r="J454" i="21"/>
  <c r="J453" i="21"/>
  <c r="M453" i="21" s="1"/>
  <c r="J452" i="21"/>
  <c r="M452" i="21" s="1"/>
  <c r="J451" i="21"/>
  <c r="M451" i="21" s="1"/>
  <c r="M450" i="21"/>
  <c r="J450" i="21"/>
  <c r="J449" i="21"/>
  <c r="M449" i="21" s="1"/>
  <c r="J448" i="21"/>
  <c r="M448" i="21" s="1"/>
  <c r="J447" i="21"/>
  <c r="M447" i="21" s="1"/>
  <c r="M446" i="21"/>
  <c r="J446" i="21"/>
  <c r="M445" i="21"/>
  <c r="J445" i="21"/>
  <c r="J444" i="21"/>
  <c r="M444" i="21" s="1"/>
  <c r="J443" i="21"/>
  <c r="M443" i="21" s="1"/>
  <c r="J442" i="21"/>
  <c r="M442" i="21" s="1"/>
  <c r="J441" i="21"/>
  <c r="M441" i="21" s="1"/>
  <c r="J440" i="21"/>
  <c r="M440" i="21" s="1"/>
  <c r="J439" i="21"/>
  <c r="M439" i="21" s="1"/>
  <c r="M438" i="21"/>
  <c r="J438" i="21"/>
  <c r="J437" i="21"/>
  <c r="M437" i="21" s="1"/>
  <c r="J436" i="21"/>
  <c r="M436" i="21" s="1"/>
  <c r="J435" i="21"/>
  <c r="M435" i="21" s="1"/>
  <c r="M434" i="21"/>
  <c r="J434" i="21"/>
  <c r="M433" i="21"/>
  <c r="J433" i="21"/>
  <c r="J432" i="21"/>
  <c r="M432" i="21" s="1"/>
  <c r="J431" i="21"/>
  <c r="M431" i="21" s="1"/>
  <c r="M430" i="21"/>
  <c r="J430" i="21"/>
  <c r="M429" i="21"/>
  <c r="J429" i="21"/>
  <c r="J428" i="21"/>
  <c r="M428" i="21" s="1"/>
  <c r="J427" i="21"/>
  <c r="M427" i="21" s="1"/>
  <c r="J426" i="21"/>
  <c r="M426" i="21" s="1"/>
  <c r="M425" i="21"/>
  <c r="J425" i="21"/>
  <c r="J424" i="21"/>
  <c r="M424" i="21" s="1"/>
  <c r="J423" i="21"/>
  <c r="M423" i="21" s="1"/>
  <c r="J422" i="21"/>
  <c r="M422" i="21" s="1"/>
  <c r="L421" i="21"/>
  <c r="O421" i="21" s="1"/>
  <c r="K421" i="21"/>
  <c r="N421" i="21" s="1"/>
  <c r="L420" i="21"/>
  <c r="O420" i="21" s="1"/>
  <c r="K420" i="21"/>
  <c r="N420" i="21" s="1"/>
  <c r="N419" i="21"/>
  <c r="L419" i="21"/>
  <c r="O419" i="21" s="1"/>
  <c r="K419" i="21"/>
  <c r="L418" i="21"/>
  <c r="O418" i="21" s="1"/>
  <c r="K418" i="21"/>
  <c r="N418" i="21" s="1"/>
  <c r="L417" i="21"/>
  <c r="O417" i="21" s="1"/>
  <c r="K417" i="21"/>
  <c r="N417" i="21" s="1"/>
  <c r="L416" i="21"/>
  <c r="O416" i="21" s="1"/>
  <c r="K416" i="21"/>
  <c r="N416" i="21" s="1"/>
  <c r="N415" i="21"/>
  <c r="L415" i="21"/>
  <c r="O415" i="21" s="1"/>
  <c r="K415" i="21"/>
  <c r="O414" i="21"/>
  <c r="L414" i="21"/>
  <c r="K414" i="21"/>
  <c r="N414" i="21" s="1"/>
  <c r="L413" i="21"/>
  <c r="O413" i="21" s="1"/>
  <c r="K413" i="21"/>
  <c r="N413" i="21" s="1"/>
  <c r="L412" i="21"/>
  <c r="O412" i="21" s="1"/>
  <c r="K412" i="21"/>
  <c r="N412" i="21" s="1"/>
  <c r="L411" i="21"/>
  <c r="O411" i="21" s="1"/>
  <c r="K411" i="21"/>
  <c r="N411" i="21" s="1"/>
  <c r="N410" i="21"/>
  <c r="L410" i="21"/>
  <c r="O410" i="21" s="1"/>
  <c r="K410" i="21"/>
  <c r="L409" i="21"/>
  <c r="O409" i="21" s="1"/>
  <c r="K409" i="21"/>
  <c r="N409" i="21" s="1"/>
  <c r="L408" i="21"/>
  <c r="O408" i="21" s="1"/>
  <c r="K408" i="21"/>
  <c r="N408" i="21" s="1"/>
  <c r="O407" i="21"/>
  <c r="L407" i="21"/>
  <c r="K407" i="21"/>
  <c r="N407" i="21" s="1"/>
  <c r="L406" i="21"/>
  <c r="O406" i="21" s="1"/>
  <c r="K406" i="21"/>
  <c r="N406" i="21" s="1"/>
  <c r="L405" i="21"/>
  <c r="O405" i="21" s="1"/>
  <c r="K405" i="21"/>
  <c r="N405" i="21" s="1"/>
  <c r="L404" i="21"/>
  <c r="O404" i="21" s="1"/>
  <c r="K404" i="21"/>
  <c r="N404" i="21" s="1"/>
  <c r="N403" i="21"/>
  <c r="L403" i="21"/>
  <c r="O403" i="21" s="1"/>
  <c r="K403" i="21"/>
  <c r="O402" i="21"/>
  <c r="N402" i="21"/>
  <c r="L402" i="21"/>
  <c r="K402" i="21"/>
  <c r="L401" i="21"/>
  <c r="O401" i="21" s="1"/>
  <c r="K401" i="21"/>
  <c r="N401" i="21" s="1"/>
  <c r="L400" i="21"/>
  <c r="O400" i="21" s="1"/>
  <c r="K400" i="21"/>
  <c r="N400" i="21" s="1"/>
  <c r="O399" i="21"/>
  <c r="L399" i="21"/>
  <c r="K399" i="21"/>
  <c r="N399" i="21" s="1"/>
  <c r="O398" i="21"/>
  <c r="L398" i="21"/>
  <c r="K398" i="21"/>
  <c r="N398" i="21" s="1"/>
  <c r="N397" i="21"/>
  <c r="L397" i="21"/>
  <c r="O397" i="21" s="1"/>
  <c r="K397" i="21"/>
  <c r="L396" i="21"/>
  <c r="O396" i="21" s="1"/>
  <c r="K396" i="21"/>
  <c r="N396" i="21" s="1"/>
  <c r="L395" i="21"/>
  <c r="O395" i="21" s="1"/>
  <c r="K395" i="21"/>
  <c r="N395" i="21" s="1"/>
  <c r="M394" i="21"/>
  <c r="J394" i="21"/>
  <c r="J393" i="21"/>
  <c r="M393" i="21" s="1"/>
  <c r="J392" i="21"/>
  <c r="M392" i="21" s="1"/>
  <c r="J391" i="21"/>
  <c r="M391" i="21" s="1"/>
  <c r="J390" i="21"/>
  <c r="M390" i="21" s="1"/>
  <c r="M389" i="21"/>
  <c r="J389" i="21"/>
  <c r="J388" i="21"/>
  <c r="M388" i="21" s="1"/>
  <c r="J387" i="21"/>
  <c r="M387" i="21" s="1"/>
  <c r="J386" i="21"/>
  <c r="M386" i="21" s="1"/>
  <c r="M385" i="21"/>
  <c r="J385" i="21"/>
  <c r="J384" i="21"/>
  <c r="M384" i="21" s="1"/>
  <c r="J383" i="21"/>
  <c r="M383" i="21" s="1"/>
  <c r="J382" i="21"/>
  <c r="M382" i="21" s="1"/>
  <c r="J381" i="21"/>
  <c r="M381" i="21" s="1"/>
  <c r="J380" i="21"/>
  <c r="M380" i="21" s="1"/>
  <c r="J379" i="21"/>
  <c r="M379" i="21" s="1"/>
  <c r="J378" i="21"/>
  <c r="M378" i="21" s="1"/>
  <c r="J377" i="21"/>
  <c r="M377" i="21" s="1"/>
  <c r="J376" i="21"/>
  <c r="M376" i="21" s="1"/>
  <c r="J375" i="21"/>
  <c r="M375" i="21" s="1"/>
  <c r="J374" i="21"/>
  <c r="M374" i="21" s="1"/>
  <c r="J373" i="21"/>
  <c r="M373" i="21" s="1"/>
  <c r="J372" i="21"/>
  <c r="M372" i="21" s="1"/>
  <c r="J371" i="21"/>
  <c r="M371" i="21" s="1"/>
  <c r="J370" i="21"/>
  <c r="M370" i="21" s="1"/>
  <c r="M369" i="21"/>
  <c r="J369" i="21"/>
  <c r="J368" i="21"/>
  <c r="M368" i="21" s="1"/>
  <c r="J367" i="21"/>
  <c r="M367" i="21" s="1"/>
  <c r="J366" i="21"/>
  <c r="M366" i="21" s="1"/>
  <c r="L365" i="21"/>
  <c r="O365" i="21" s="1"/>
  <c r="J365" i="21"/>
  <c r="M365" i="21" s="1"/>
  <c r="L364" i="21"/>
  <c r="O364" i="21" s="1"/>
  <c r="J364" i="21"/>
  <c r="M364" i="21" s="1"/>
  <c r="L363" i="21"/>
  <c r="O363" i="21" s="1"/>
  <c r="J363" i="21"/>
  <c r="M363" i="21" s="1"/>
  <c r="O362" i="21"/>
  <c r="L362" i="21"/>
  <c r="J362" i="21"/>
  <c r="M362" i="21" s="1"/>
  <c r="M361" i="21"/>
  <c r="L361" i="21"/>
  <c r="O361" i="21" s="1"/>
  <c r="J361" i="21"/>
  <c r="L360" i="21"/>
  <c r="O360" i="21" s="1"/>
  <c r="J360" i="21"/>
  <c r="M360" i="21" s="1"/>
  <c r="L359" i="21"/>
  <c r="O359" i="21" s="1"/>
  <c r="J359" i="21"/>
  <c r="M359" i="21" s="1"/>
  <c r="L358" i="21"/>
  <c r="O358" i="21" s="1"/>
  <c r="J358" i="21"/>
  <c r="M358" i="21" s="1"/>
  <c r="L357" i="21"/>
  <c r="O357" i="21" s="1"/>
  <c r="J357" i="21"/>
  <c r="M357" i="21" s="1"/>
  <c r="L356" i="21"/>
  <c r="O356" i="21" s="1"/>
  <c r="J356" i="21"/>
  <c r="M356" i="21" s="1"/>
  <c r="L355" i="21"/>
  <c r="O355" i="21" s="1"/>
  <c r="J355" i="21"/>
  <c r="M355" i="21" s="1"/>
  <c r="O354" i="21"/>
  <c r="L354" i="21"/>
  <c r="J354" i="21"/>
  <c r="M354" i="21" s="1"/>
  <c r="L353" i="21"/>
  <c r="O353" i="21" s="1"/>
  <c r="K353" i="21"/>
  <c r="N353" i="21" s="1"/>
  <c r="L352" i="21"/>
  <c r="O352" i="21" s="1"/>
  <c r="K352" i="21"/>
  <c r="N352" i="21" s="1"/>
  <c r="N351" i="21"/>
  <c r="L351" i="21"/>
  <c r="O351" i="21" s="1"/>
  <c r="K351" i="21"/>
  <c r="L350" i="21"/>
  <c r="O350" i="21" s="1"/>
  <c r="K350" i="21"/>
  <c r="N350" i="21" s="1"/>
  <c r="N349" i="21"/>
  <c r="L349" i="21"/>
  <c r="O349" i="21" s="1"/>
  <c r="K349" i="21"/>
  <c r="L348" i="21"/>
  <c r="O348" i="21" s="1"/>
  <c r="K348" i="21"/>
  <c r="N348" i="21" s="1"/>
  <c r="L347" i="21"/>
  <c r="O347" i="21" s="1"/>
  <c r="K347" i="21"/>
  <c r="N347" i="21" s="1"/>
  <c r="O346" i="21"/>
  <c r="N346" i="21"/>
  <c r="L346" i="21"/>
  <c r="K346" i="21"/>
  <c r="L345" i="21"/>
  <c r="O345" i="21" s="1"/>
  <c r="K345" i="21"/>
  <c r="N345" i="21" s="1"/>
  <c r="L344" i="21"/>
  <c r="O344" i="21" s="1"/>
  <c r="K344" i="21"/>
  <c r="N344" i="21" s="1"/>
  <c r="N343" i="21"/>
  <c r="L343" i="21"/>
  <c r="O343" i="21" s="1"/>
  <c r="K343" i="21"/>
  <c r="O342" i="21"/>
  <c r="L342" i="21"/>
  <c r="J342" i="21"/>
  <c r="M342" i="21" s="1"/>
  <c r="L341" i="21"/>
  <c r="O341" i="21" s="1"/>
  <c r="J341" i="21"/>
  <c r="M341" i="21" s="1"/>
  <c r="L340" i="21"/>
  <c r="O340" i="21" s="1"/>
  <c r="J340" i="21"/>
  <c r="M340" i="21" s="1"/>
  <c r="L339" i="21"/>
  <c r="O339" i="21" s="1"/>
  <c r="J339" i="21"/>
  <c r="M339" i="21" s="1"/>
  <c r="L338" i="21"/>
  <c r="O338" i="21" s="1"/>
  <c r="J338" i="21"/>
  <c r="M338" i="21" s="1"/>
  <c r="M337" i="21"/>
  <c r="L337" i="21"/>
  <c r="O337" i="21" s="1"/>
  <c r="J337" i="21"/>
  <c r="L336" i="21"/>
  <c r="O336" i="21" s="1"/>
  <c r="J336" i="21"/>
  <c r="M336" i="21" s="1"/>
  <c r="L335" i="21"/>
  <c r="O335" i="21" s="1"/>
  <c r="J335" i="21"/>
  <c r="M335" i="21" s="1"/>
  <c r="L334" i="21"/>
  <c r="O334" i="21" s="1"/>
  <c r="J334" i="21"/>
  <c r="M334" i="21" s="1"/>
  <c r="L333" i="21"/>
  <c r="O333" i="21" s="1"/>
  <c r="J333" i="21"/>
  <c r="M333" i="21" s="1"/>
  <c r="L332" i="21"/>
  <c r="O332" i="21" s="1"/>
  <c r="J332" i="21"/>
  <c r="M332" i="21" s="1"/>
  <c r="M331" i="21"/>
  <c r="L331" i="21"/>
  <c r="O331" i="21" s="1"/>
  <c r="J331" i="21"/>
  <c r="J330" i="21"/>
  <c r="M330" i="21" s="1"/>
  <c r="J329" i="21"/>
  <c r="M329" i="21" s="1"/>
  <c r="J328" i="21"/>
  <c r="M328" i="21" s="1"/>
  <c r="J327" i="21"/>
  <c r="M327" i="21" s="1"/>
  <c r="J326" i="21"/>
  <c r="M326" i="21" s="1"/>
  <c r="M325" i="21"/>
  <c r="J325" i="21"/>
  <c r="J324" i="21"/>
  <c r="M324" i="21" s="1"/>
  <c r="J323" i="21"/>
  <c r="M323" i="21" s="1"/>
  <c r="J322" i="21"/>
  <c r="M322" i="21" s="1"/>
  <c r="J321" i="21"/>
  <c r="M321" i="21" s="1"/>
  <c r="J320" i="21"/>
  <c r="M320" i="21" s="1"/>
  <c r="J319" i="21"/>
  <c r="M319" i="21" s="1"/>
  <c r="L318" i="21"/>
  <c r="O318" i="21" s="1"/>
  <c r="K318" i="21"/>
  <c r="N318" i="21" s="1"/>
  <c r="O317" i="21"/>
  <c r="L317" i="21"/>
  <c r="K317" i="21"/>
  <c r="N317" i="21" s="1"/>
  <c r="N316" i="21"/>
  <c r="L316" i="21"/>
  <c r="O316" i="21" s="1"/>
  <c r="K316" i="21"/>
  <c r="L315" i="21"/>
  <c r="O315" i="21" s="1"/>
  <c r="K315" i="21"/>
  <c r="N315" i="21" s="1"/>
  <c r="L314" i="21"/>
  <c r="O314" i="21" s="1"/>
  <c r="K314" i="21"/>
  <c r="N314" i="21" s="1"/>
  <c r="O313" i="21"/>
  <c r="L313" i="21"/>
  <c r="K313" i="21"/>
  <c r="N313" i="21" s="1"/>
  <c r="N312" i="21"/>
  <c r="L312" i="21"/>
  <c r="O312" i="21" s="1"/>
  <c r="K312" i="21"/>
  <c r="O311" i="21"/>
  <c r="L311" i="21"/>
  <c r="K311" i="21"/>
  <c r="N311" i="21" s="1"/>
  <c r="L310" i="21"/>
  <c r="O310" i="21" s="1"/>
  <c r="K310" i="21"/>
  <c r="N310" i="21" s="1"/>
  <c r="O309" i="21"/>
  <c r="L309" i="21"/>
  <c r="K309" i="21"/>
  <c r="N309" i="21" s="1"/>
  <c r="N308" i="21"/>
  <c r="L308" i="21"/>
  <c r="O308" i="21" s="1"/>
  <c r="K308" i="21"/>
  <c r="O307" i="21"/>
  <c r="L307" i="21"/>
  <c r="K307" i="21"/>
  <c r="N307" i="21" s="1"/>
  <c r="M306" i="21"/>
  <c r="J306" i="21"/>
  <c r="J305" i="21"/>
  <c r="M305" i="21" s="1"/>
  <c r="M304" i="21"/>
  <c r="J304" i="21"/>
  <c r="J303" i="21"/>
  <c r="M303" i="21" s="1"/>
  <c r="J302" i="21"/>
  <c r="M302" i="21" s="1"/>
  <c r="J301" i="21"/>
  <c r="M301" i="21" s="1"/>
  <c r="J300" i="21"/>
  <c r="M300" i="21" s="1"/>
  <c r="J299" i="21"/>
  <c r="M299" i="21" s="1"/>
  <c r="J298" i="21"/>
  <c r="M298" i="21" s="1"/>
  <c r="J297" i="21"/>
  <c r="M297" i="21" s="1"/>
  <c r="J296" i="21"/>
  <c r="M296" i="21" s="1"/>
  <c r="J295" i="21"/>
  <c r="M295" i="21" s="1"/>
  <c r="J294" i="21"/>
  <c r="M294" i="21" s="1"/>
  <c r="J293" i="21"/>
  <c r="M293" i="21" s="1"/>
  <c r="M292" i="21"/>
  <c r="J292" i="21"/>
  <c r="J291" i="21"/>
  <c r="M291" i="21" s="1"/>
  <c r="M290" i="21"/>
  <c r="J290" i="21"/>
  <c r="J289" i="21"/>
  <c r="M289" i="21" s="1"/>
  <c r="M288" i="21"/>
  <c r="J288" i="21"/>
  <c r="J287" i="21"/>
  <c r="M287" i="21" s="1"/>
  <c r="M286" i="21"/>
  <c r="J286" i="21"/>
  <c r="J285" i="21"/>
  <c r="M285" i="21" s="1"/>
  <c r="M284" i="21"/>
  <c r="J284" i="21"/>
  <c r="J283" i="21"/>
  <c r="M283" i="21" s="1"/>
  <c r="J282" i="21"/>
  <c r="M282" i="21" s="1"/>
  <c r="J281" i="21"/>
  <c r="M281" i="21" s="1"/>
  <c r="M280" i="21"/>
  <c r="J280" i="21"/>
  <c r="J279" i="21"/>
  <c r="M279" i="21" s="1"/>
  <c r="M278" i="21"/>
  <c r="J278" i="21"/>
  <c r="J277" i="21"/>
  <c r="M277" i="21" s="1"/>
  <c r="J276" i="21"/>
  <c r="M276" i="21" s="1"/>
  <c r="J275" i="21"/>
  <c r="M275" i="21" s="1"/>
  <c r="J274" i="21"/>
  <c r="M274" i="21" s="1"/>
  <c r="J273" i="21"/>
  <c r="M273" i="21" s="1"/>
  <c r="M272" i="21"/>
  <c r="J272" i="21"/>
  <c r="J271" i="21"/>
  <c r="M271" i="21" s="1"/>
  <c r="N270" i="21"/>
  <c r="L270" i="21"/>
  <c r="O270" i="21" s="1"/>
  <c r="K270" i="21"/>
  <c r="O269" i="21"/>
  <c r="L269" i="21"/>
  <c r="K269" i="21"/>
  <c r="N269" i="21" s="1"/>
  <c r="L268" i="21"/>
  <c r="O268" i="21" s="1"/>
  <c r="K268" i="21"/>
  <c r="N268" i="21" s="1"/>
  <c r="O267" i="21"/>
  <c r="L267" i="21"/>
  <c r="K267" i="21"/>
  <c r="N267" i="21" s="1"/>
  <c r="N266" i="21"/>
  <c r="L266" i="21"/>
  <c r="O266" i="21" s="1"/>
  <c r="K266" i="21"/>
  <c r="O265" i="21"/>
  <c r="L265" i="21"/>
  <c r="K265" i="21"/>
  <c r="N265" i="21" s="1"/>
  <c r="L264" i="21"/>
  <c r="O264" i="21" s="1"/>
  <c r="K264" i="21"/>
  <c r="N264" i="21" s="1"/>
  <c r="O263" i="21"/>
  <c r="L263" i="21"/>
  <c r="K263" i="21"/>
  <c r="N263" i="21" s="1"/>
  <c r="L262" i="21"/>
  <c r="O262" i="21" s="1"/>
  <c r="K262" i="21"/>
  <c r="N262" i="21" s="1"/>
  <c r="L261" i="21"/>
  <c r="O261" i="21" s="1"/>
  <c r="K261" i="21"/>
  <c r="N261" i="21" s="1"/>
  <c r="L260" i="21"/>
  <c r="O260" i="21" s="1"/>
  <c r="K260" i="21"/>
  <c r="N260" i="21" s="1"/>
  <c r="L259" i="21"/>
  <c r="O259" i="21" s="1"/>
  <c r="K259" i="21"/>
  <c r="N259" i="21" s="1"/>
  <c r="N258" i="21"/>
  <c r="L258" i="21"/>
  <c r="O258" i="21" s="1"/>
  <c r="K258" i="21"/>
  <c r="L257" i="21"/>
  <c r="O257" i="21" s="1"/>
  <c r="K257" i="21"/>
  <c r="N257" i="21" s="1"/>
  <c r="N256" i="21"/>
  <c r="L256" i="21"/>
  <c r="O256" i="21" s="1"/>
  <c r="K256" i="21"/>
  <c r="O255" i="21"/>
  <c r="L255" i="21"/>
  <c r="K255" i="21"/>
  <c r="N255" i="21" s="1"/>
  <c r="L254" i="21"/>
  <c r="O254" i="21" s="1"/>
  <c r="K254" i="21"/>
  <c r="N254" i="21" s="1"/>
  <c r="O253" i="21"/>
  <c r="L253" i="21"/>
  <c r="K253" i="21"/>
  <c r="N253" i="21" s="1"/>
  <c r="L252" i="21"/>
  <c r="O252" i="21" s="1"/>
  <c r="K252" i="21"/>
  <c r="N252" i="21" s="1"/>
  <c r="O251" i="21"/>
  <c r="L251" i="21"/>
  <c r="K251" i="21"/>
  <c r="N251" i="21" s="1"/>
  <c r="N250" i="21"/>
  <c r="L250" i="21"/>
  <c r="O250" i="21" s="1"/>
  <c r="K250" i="21"/>
  <c r="O249" i="21"/>
  <c r="L249" i="21"/>
  <c r="K249" i="21"/>
  <c r="N249" i="21" s="1"/>
  <c r="L248" i="21"/>
  <c r="O248" i="21" s="1"/>
  <c r="K248" i="21"/>
  <c r="N248" i="21" s="1"/>
  <c r="O247" i="21"/>
  <c r="L247" i="21"/>
  <c r="K247" i="21"/>
  <c r="N247" i="21" s="1"/>
  <c r="L246" i="21"/>
  <c r="O246" i="21" s="1"/>
  <c r="K246" i="21"/>
  <c r="N246" i="21" s="1"/>
  <c r="O245" i="21"/>
  <c r="L245" i="21"/>
  <c r="K245" i="21"/>
  <c r="N245" i="21" s="1"/>
  <c r="L244" i="21"/>
  <c r="O244" i="21" s="1"/>
  <c r="K244" i="21"/>
  <c r="N244" i="21" s="1"/>
  <c r="J243" i="21"/>
  <c r="M243" i="21" s="1"/>
  <c r="M242" i="21"/>
  <c r="J242" i="21"/>
  <c r="J241" i="21"/>
  <c r="M241" i="21" s="1"/>
  <c r="M240" i="21"/>
  <c r="J240" i="21"/>
  <c r="J239" i="21"/>
  <c r="M239" i="21" s="1"/>
  <c r="M238" i="21"/>
  <c r="J238" i="21"/>
  <c r="J237" i="21"/>
  <c r="M237" i="21" s="1"/>
  <c r="J236" i="21"/>
  <c r="M236" i="21" s="1"/>
  <c r="J235" i="21"/>
  <c r="M235" i="21" s="1"/>
  <c r="J234" i="21"/>
  <c r="M234" i="21" s="1"/>
  <c r="J233" i="21"/>
  <c r="M233" i="21" s="1"/>
  <c r="M232" i="21"/>
  <c r="J232" i="21"/>
  <c r="J231" i="21"/>
  <c r="M231" i="21" s="1"/>
  <c r="J230" i="21"/>
  <c r="M230" i="21" s="1"/>
  <c r="J229" i="21"/>
  <c r="M229" i="21" s="1"/>
  <c r="J228" i="21"/>
  <c r="M228" i="21" s="1"/>
  <c r="J227" i="21"/>
  <c r="M227" i="21" s="1"/>
  <c r="J226" i="21"/>
  <c r="M226" i="21" s="1"/>
  <c r="J225" i="21"/>
  <c r="M225" i="21" s="1"/>
  <c r="M224" i="21"/>
  <c r="J224" i="21"/>
  <c r="J223" i="21"/>
  <c r="M223" i="21" s="1"/>
  <c r="M222" i="21"/>
  <c r="J222" i="21"/>
  <c r="J221" i="21"/>
  <c r="M221" i="21" s="1"/>
  <c r="M220" i="21"/>
  <c r="J220" i="21"/>
  <c r="O219" i="21"/>
  <c r="L219" i="21"/>
  <c r="K219" i="21"/>
  <c r="N219" i="21" s="1"/>
  <c r="N218" i="21"/>
  <c r="L218" i="21"/>
  <c r="O218" i="21" s="1"/>
  <c r="K218" i="21"/>
  <c r="O217" i="21"/>
  <c r="L217" i="21"/>
  <c r="K217" i="21"/>
  <c r="N217" i="21" s="1"/>
  <c r="L216" i="21"/>
  <c r="O216" i="21" s="1"/>
  <c r="K216" i="21"/>
  <c r="N216" i="21" s="1"/>
  <c r="O215" i="21"/>
  <c r="L215" i="21"/>
  <c r="K215" i="21"/>
  <c r="N215" i="21" s="1"/>
  <c r="N214" i="21"/>
  <c r="L214" i="21"/>
  <c r="O214" i="21" s="1"/>
  <c r="K214" i="21"/>
  <c r="L213" i="21"/>
  <c r="O213" i="21" s="1"/>
  <c r="K213" i="21"/>
  <c r="N213" i="21" s="1"/>
  <c r="L212" i="21"/>
  <c r="O212" i="21" s="1"/>
  <c r="K212" i="21"/>
  <c r="N212" i="21" s="1"/>
  <c r="O211" i="21"/>
  <c r="L211" i="21"/>
  <c r="K211" i="21"/>
  <c r="N211" i="21" s="1"/>
  <c r="N210" i="21"/>
  <c r="L210" i="21"/>
  <c r="O210" i="21" s="1"/>
  <c r="K210" i="21"/>
  <c r="L209" i="21"/>
  <c r="O209" i="21" s="1"/>
  <c r="K209" i="21"/>
  <c r="N209" i="21" s="1"/>
  <c r="L208" i="21"/>
  <c r="O208" i="21" s="1"/>
  <c r="K208" i="21"/>
  <c r="N208" i="21" s="1"/>
  <c r="L207" i="21"/>
  <c r="O207" i="21" s="1"/>
  <c r="K207" i="21"/>
  <c r="N207" i="21" s="1"/>
  <c r="L206" i="21"/>
  <c r="O206" i="21" s="1"/>
  <c r="K206" i="21"/>
  <c r="N206" i="21" s="1"/>
  <c r="O205" i="21"/>
  <c r="L205" i="21"/>
  <c r="K205" i="21"/>
  <c r="N205" i="21" s="1"/>
  <c r="N204" i="21"/>
  <c r="L204" i="21"/>
  <c r="O204" i="21" s="1"/>
  <c r="K204" i="21"/>
  <c r="O203" i="21"/>
  <c r="L203" i="21"/>
  <c r="K203" i="21"/>
  <c r="N203" i="21" s="1"/>
  <c r="L202" i="21"/>
  <c r="O202" i="21" s="1"/>
  <c r="K202" i="21"/>
  <c r="N202" i="21" s="1"/>
  <c r="O201" i="21"/>
  <c r="L201" i="21"/>
  <c r="K201" i="21"/>
  <c r="N201" i="21" s="1"/>
  <c r="L200" i="21"/>
  <c r="O200" i="21" s="1"/>
  <c r="K200" i="21"/>
  <c r="N200" i="21" s="1"/>
  <c r="L199" i="21"/>
  <c r="O199" i="21" s="1"/>
  <c r="K199" i="21"/>
  <c r="N199" i="21" s="1"/>
  <c r="L198" i="21"/>
  <c r="O198" i="21" s="1"/>
  <c r="K198" i="21"/>
  <c r="N198" i="21" s="1"/>
  <c r="O197" i="21"/>
  <c r="L197" i="21"/>
  <c r="K197" i="21"/>
  <c r="N197" i="21" s="1"/>
  <c r="N196" i="21"/>
  <c r="L196" i="21"/>
  <c r="O196" i="21" s="1"/>
  <c r="K196" i="21"/>
  <c r="O195" i="21"/>
  <c r="L195" i="21"/>
  <c r="K195" i="21"/>
  <c r="N195" i="21" s="1"/>
  <c r="L194" i="21"/>
  <c r="O194" i="21" s="1"/>
  <c r="K194" i="21"/>
  <c r="N194" i="21" s="1"/>
  <c r="O193" i="21"/>
  <c r="L193" i="21"/>
  <c r="K193" i="21"/>
  <c r="N193" i="21" s="1"/>
  <c r="L192" i="21"/>
  <c r="O192" i="21" s="1"/>
  <c r="K192" i="21"/>
  <c r="N192" i="21" s="1"/>
  <c r="L191" i="21"/>
  <c r="O191" i="21" s="1"/>
  <c r="K191" i="21"/>
  <c r="N191" i="21" s="1"/>
  <c r="L190" i="21"/>
  <c r="O190" i="21" s="1"/>
  <c r="K190" i="21"/>
  <c r="N190" i="21" s="1"/>
  <c r="O189" i="21"/>
  <c r="L189" i="21"/>
  <c r="K189" i="21"/>
  <c r="N189" i="21" s="1"/>
  <c r="N188" i="21"/>
  <c r="L188" i="21"/>
  <c r="O188" i="21" s="1"/>
  <c r="K188" i="21"/>
  <c r="O187" i="21"/>
  <c r="L187" i="21"/>
  <c r="K187" i="21"/>
  <c r="N187" i="21" s="1"/>
  <c r="L186" i="21"/>
  <c r="O186" i="21" s="1"/>
  <c r="K186" i="21"/>
  <c r="N186" i="21" s="1"/>
  <c r="O185" i="21"/>
  <c r="L185" i="21"/>
  <c r="K185" i="21"/>
  <c r="N185" i="21" s="1"/>
  <c r="L184" i="21"/>
  <c r="O184" i="21" s="1"/>
  <c r="K184" i="21"/>
  <c r="N184" i="21" s="1"/>
  <c r="L85" i="21"/>
  <c r="O85" i="21" s="1"/>
  <c r="O84" i="21"/>
  <c r="L84" i="21"/>
  <c r="L83" i="21"/>
  <c r="O83" i="21" s="1"/>
  <c r="O82" i="21"/>
  <c r="L82" i="21"/>
  <c r="L81" i="21"/>
  <c r="O81" i="21" s="1"/>
  <c r="L80" i="21"/>
  <c r="O80" i="21" s="1"/>
  <c r="L79" i="21"/>
  <c r="O79" i="21" s="1"/>
  <c r="O78" i="21"/>
  <c r="L78" i="21"/>
  <c r="L77" i="21"/>
  <c r="O77" i="21" s="1"/>
  <c r="L76" i="21"/>
  <c r="O76" i="21" s="1"/>
  <c r="L75" i="21"/>
  <c r="O75" i="21" s="1"/>
  <c r="L74" i="21"/>
  <c r="O74" i="21" s="1"/>
  <c r="L73" i="21"/>
  <c r="O73" i="21" s="1"/>
  <c r="J73" i="21"/>
  <c r="M73" i="21" s="1"/>
  <c r="L72" i="21"/>
  <c r="O72" i="21" s="1"/>
  <c r="J72" i="21"/>
  <c r="M72" i="21" s="1"/>
  <c r="L71" i="21"/>
  <c r="O71" i="21" s="1"/>
  <c r="J71" i="21"/>
  <c r="M71" i="21" s="1"/>
  <c r="O70" i="21"/>
  <c r="L70" i="21"/>
  <c r="J70" i="21"/>
  <c r="M70" i="21" s="1"/>
  <c r="L69" i="21"/>
  <c r="O69" i="21" s="1"/>
  <c r="J69" i="21"/>
  <c r="M69" i="21" s="1"/>
  <c r="L68" i="21"/>
  <c r="O68" i="21" s="1"/>
  <c r="J68" i="21"/>
  <c r="M68" i="21" s="1"/>
  <c r="L67" i="21"/>
  <c r="O67" i="21" s="1"/>
  <c r="J67" i="21"/>
  <c r="M67" i="21" s="1"/>
  <c r="L66" i="21"/>
  <c r="O66" i="21" s="1"/>
  <c r="J66" i="21"/>
  <c r="M66" i="21" s="1"/>
  <c r="L65" i="21"/>
  <c r="O65" i="21" s="1"/>
  <c r="J65" i="21"/>
  <c r="M65" i="21" s="1"/>
  <c r="L64" i="21"/>
  <c r="O64" i="21" s="1"/>
  <c r="J64" i="21"/>
  <c r="M64" i="21" s="1"/>
  <c r="L63" i="21"/>
  <c r="O63" i="21" s="1"/>
  <c r="J63" i="21"/>
  <c r="M63" i="21" s="1"/>
  <c r="L62" i="21"/>
  <c r="O62" i="21" s="1"/>
  <c r="J62" i="21"/>
  <c r="M62" i="21" s="1"/>
  <c r="L61" i="21"/>
  <c r="O61" i="21" s="1"/>
  <c r="L60" i="21"/>
  <c r="O60" i="21" s="1"/>
  <c r="L59" i="21"/>
  <c r="O59" i="21" s="1"/>
  <c r="O58" i="21"/>
  <c r="L58" i="21"/>
  <c r="L57" i="21"/>
  <c r="O57" i="21" s="1"/>
  <c r="L56" i="21"/>
  <c r="O56" i="21" s="1"/>
  <c r="L55" i="21"/>
  <c r="O55" i="21" s="1"/>
  <c r="L54" i="21"/>
  <c r="O54" i="21" s="1"/>
  <c r="L53" i="21"/>
  <c r="O53" i="21" s="1"/>
  <c r="O52" i="21"/>
  <c r="L52" i="21"/>
  <c r="L51" i="21"/>
  <c r="O51" i="21" s="1"/>
  <c r="O50" i="21"/>
  <c r="L50" i="21"/>
  <c r="X1244" i="16"/>
  <c r="W1244" i="16"/>
  <c r="X1243" i="16"/>
  <c r="W1243" i="16"/>
  <c r="X1242" i="16"/>
  <c r="W1242" i="16"/>
  <c r="X1241" i="16"/>
  <c r="W1241" i="16"/>
  <c r="X1240" i="16"/>
  <c r="W1240" i="16"/>
  <c r="X1239" i="16"/>
  <c r="W1239" i="16"/>
  <c r="X1238" i="16"/>
  <c r="W1238" i="16"/>
  <c r="X1237" i="16"/>
  <c r="W1237" i="16"/>
  <c r="X1236" i="16"/>
  <c r="W1236" i="16"/>
  <c r="X1235" i="16"/>
  <c r="W1235" i="16"/>
  <c r="X1234" i="16"/>
  <c r="W1234" i="16"/>
  <c r="X1233" i="16"/>
  <c r="W1233" i="16"/>
  <c r="X537" i="16"/>
  <c r="W537" i="16"/>
  <c r="X536" i="16"/>
  <c r="W536" i="16"/>
  <c r="X535" i="16"/>
  <c r="W535" i="16"/>
  <c r="X534" i="16"/>
  <c r="W534" i="16"/>
  <c r="X533" i="16"/>
  <c r="W533" i="16"/>
  <c r="X532" i="16"/>
  <c r="W532" i="16"/>
  <c r="X531" i="16"/>
  <c r="W531" i="16"/>
  <c r="X530" i="16"/>
  <c r="W530" i="16"/>
  <c r="X529" i="16"/>
  <c r="W529" i="16"/>
  <c r="X528" i="16"/>
  <c r="W528" i="16"/>
  <c r="X527" i="16"/>
  <c r="W527" i="16"/>
  <c r="X526" i="16"/>
  <c r="W526" i="16"/>
  <c r="X525" i="16"/>
  <c r="W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X511" i="16"/>
  <c r="W511" i="16"/>
  <c r="AD510" i="17"/>
  <c r="X510" i="17"/>
  <c r="W510" i="17"/>
  <c r="X510" i="16"/>
  <c r="W510" i="16"/>
  <c r="AD509" i="17"/>
  <c r="X509" i="17"/>
  <c r="W509" i="17"/>
  <c r="AC509" i="17" s="1"/>
  <c r="X509" i="16"/>
  <c r="W509" i="16"/>
  <c r="AD508" i="17"/>
  <c r="X508" i="17"/>
  <c r="W508" i="17"/>
  <c r="X508" i="16"/>
  <c r="W508" i="16"/>
  <c r="AD507" i="17"/>
  <c r="X507" i="17"/>
  <c r="W507" i="17"/>
  <c r="AC507" i="17" s="1"/>
  <c r="X507" i="16"/>
  <c r="W507" i="16"/>
  <c r="AD506" i="17"/>
  <c r="X506" i="17"/>
  <c r="W506" i="17"/>
  <c r="AC506" i="17" s="1"/>
  <c r="X506" i="16"/>
  <c r="W506" i="16"/>
  <c r="AD505" i="17"/>
  <c r="X505" i="17"/>
  <c r="W505" i="17"/>
  <c r="X505" i="16"/>
  <c r="W505" i="16"/>
  <c r="AD504" i="17"/>
  <c r="X504" i="17"/>
  <c r="AC504" i="17" s="1"/>
  <c r="W504" i="17"/>
  <c r="X504" i="16"/>
  <c r="W504" i="16"/>
  <c r="AD503" i="17"/>
  <c r="AC503" i="17"/>
  <c r="X503" i="17"/>
  <c r="W503" i="17"/>
  <c r="X503" i="16"/>
  <c r="W503" i="16"/>
  <c r="AD502" i="17"/>
  <c r="X502" i="17"/>
  <c r="W502" i="17"/>
  <c r="X502" i="16"/>
  <c r="W502" i="16"/>
  <c r="AD501" i="17"/>
  <c r="X501" i="17"/>
  <c r="W501" i="17"/>
  <c r="X501" i="16"/>
  <c r="W501" i="16"/>
  <c r="AD500" i="17"/>
  <c r="X500" i="17"/>
  <c r="W500" i="17"/>
  <c r="X500" i="16"/>
  <c r="W500" i="16"/>
  <c r="AD499" i="17"/>
  <c r="AD11" i="21" s="1"/>
  <c r="X499" i="17"/>
  <c r="W499" i="17"/>
  <c r="AC499" i="17" s="1"/>
  <c r="X499" i="16"/>
  <c r="W499" i="16"/>
  <c r="AD197" i="17"/>
  <c r="X197" i="17"/>
  <c r="W197" i="17"/>
  <c r="AD196" i="17"/>
  <c r="X196" i="17"/>
  <c r="W196" i="17"/>
  <c r="AD195" i="17"/>
  <c r="AB195" i="17"/>
  <c r="X195" i="17"/>
  <c r="W195" i="17"/>
  <c r="AC195" i="17" s="1"/>
  <c r="AD194" i="17"/>
  <c r="X194" i="17"/>
  <c r="W194" i="17"/>
  <c r="AD193" i="17"/>
  <c r="AB193" i="17"/>
  <c r="X193" i="17"/>
  <c r="W193" i="17"/>
  <c r="AC193" i="17" s="1"/>
  <c r="AD192" i="17"/>
  <c r="X192" i="17"/>
  <c r="W192" i="17"/>
  <c r="AD191" i="17"/>
  <c r="X191" i="17"/>
  <c r="W191" i="17"/>
  <c r="AC191" i="17" s="1"/>
  <c r="AD190" i="17"/>
  <c r="X190" i="17"/>
  <c r="AC190" i="17" s="1"/>
  <c r="W190" i="17"/>
  <c r="AD189" i="17"/>
  <c r="X189" i="17"/>
  <c r="W189" i="17"/>
  <c r="AD188" i="17"/>
  <c r="X188" i="17"/>
  <c r="W188" i="17"/>
  <c r="AD187" i="17"/>
  <c r="AB187" i="17"/>
  <c r="X187" i="17"/>
  <c r="W187" i="17"/>
  <c r="AC187" i="17" s="1"/>
  <c r="AD186" i="17"/>
  <c r="X186" i="17"/>
  <c r="W186" i="17"/>
  <c r="AD185" i="17"/>
  <c r="AB185" i="17"/>
  <c r="X185" i="17"/>
  <c r="W185" i="17"/>
  <c r="AC185" i="17" s="1"/>
  <c r="AE184" i="17"/>
  <c r="V184" i="17"/>
  <c r="AB184" i="17" s="1"/>
  <c r="AE183" i="17"/>
  <c r="V183" i="17"/>
  <c r="AB183" i="17" s="1"/>
  <c r="X183" i="16"/>
  <c r="W183" i="16"/>
  <c r="V183" i="16"/>
  <c r="AE182" i="17"/>
  <c r="V182" i="17"/>
  <c r="AB182" i="17" s="1"/>
  <c r="X182" i="16"/>
  <c r="W182" i="16"/>
  <c r="V182" i="16"/>
  <c r="AE181" i="17"/>
  <c r="V181" i="17"/>
  <c r="AB181" i="17" s="1"/>
  <c r="X181" i="16"/>
  <c r="W181" i="16"/>
  <c r="V181" i="16"/>
  <c r="AE180" i="17"/>
  <c r="V180" i="17"/>
  <c r="AB180" i="17" s="1"/>
  <c r="X180" i="16"/>
  <c r="W180" i="16"/>
  <c r="V180" i="16"/>
  <c r="AE179" i="17"/>
  <c r="V179" i="17"/>
  <c r="AB179" i="17" s="1"/>
  <c r="X179" i="16"/>
  <c r="W179" i="16"/>
  <c r="V179" i="16"/>
  <c r="AE178" i="17"/>
  <c r="V178" i="17"/>
  <c r="AB178" i="17" s="1"/>
  <c r="X178" i="16"/>
  <c r="W178" i="16"/>
  <c r="V178" i="16"/>
  <c r="AE177" i="17"/>
  <c r="V177" i="17"/>
  <c r="AB177" i="17" s="1"/>
  <c r="X177" i="16"/>
  <c r="W177" i="16"/>
  <c r="V177" i="16"/>
  <c r="AE176" i="17"/>
  <c r="V176" i="17"/>
  <c r="AB176" i="17" s="1"/>
  <c r="X176" i="16"/>
  <c r="W176" i="16"/>
  <c r="V176" i="16"/>
  <c r="AE175" i="17"/>
  <c r="V175" i="17"/>
  <c r="AB175" i="17" s="1"/>
  <c r="X175" i="16"/>
  <c r="W175" i="16"/>
  <c r="V175" i="16"/>
  <c r="AE174" i="17"/>
  <c r="V174" i="17"/>
  <c r="AB174" i="17" s="1"/>
  <c r="X174" i="16"/>
  <c r="W174" i="16"/>
  <c r="V174" i="16"/>
  <c r="AE173" i="17"/>
  <c r="V173" i="17"/>
  <c r="AB173" i="17" s="1"/>
  <c r="X173" i="16"/>
  <c r="W173" i="16"/>
  <c r="V173" i="16"/>
  <c r="AE172" i="17"/>
  <c r="V172" i="17"/>
  <c r="AB172" i="17" s="1"/>
  <c r="X172" i="16"/>
  <c r="W172" i="16"/>
  <c r="V172" i="16"/>
  <c r="AD171" i="17"/>
  <c r="X171" i="17"/>
  <c r="W171" i="17"/>
  <c r="X171" i="16"/>
  <c r="W171" i="16"/>
  <c r="V171" i="16"/>
  <c r="AD170" i="17"/>
  <c r="X170" i="17"/>
  <c r="W170" i="17"/>
  <c r="AC170" i="17" s="1"/>
  <c r="X170" i="16"/>
  <c r="W170" i="16"/>
  <c r="V170" i="16"/>
  <c r="AD169" i="17"/>
  <c r="X169" i="17"/>
  <c r="W169" i="17"/>
  <c r="X169" i="16"/>
  <c r="W169" i="16"/>
  <c r="V169" i="16"/>
  <c r="AD168" i="17"/>
  <c r="X168" i="17"/>
  <c r="W168" i="17"/>
  <c r="X168" i="16"/>
  <c r="W168" i="16"/>
  <c r="V168" i="16"/>
  <c r="AD167" i="17"/>
  <c r="X167" i="17"/>
  <c r="W167" i="17"/>
  <c r="AC167" i="17" s="1"/>
  <c r="X167" i="16"/>
  <c r="W167" i="16"/>
  <c r="V167" i="16"/>
  <c r="AD166" i="17"/>
  <c r="X166" i="17"/>
  <c r="W166" i="17"/>
  <c r="X166" i="16"/>
  <c r="W166" i="16"/>
  <c r="V166" i="16"/>
  <c r="AD165" i="17"/>
  <c r="X165" i="17"/>
  <c r="W165" i="17"/>
  <c r="AC165" i="17" s="1"/>
  <c r="X165" i="16"/>
  <c r="W165" i="16"/>
  <c r="V165" i="16"/>
  <c r="AD164" i="17"/>
  <c r="X164" i="17"/>
  <c r="W164" i="17"/>
  <c r="AC164" i="17" s="1"/>
  <c r="X164" i="16"/>
  <c r="W164" i="16"/>
  <c r="V164" i="16"/>
  <c r="AD163" i="17"/>
  <c r="X163" i="17"/>
  <c r="W163" i="17"/>
  <c r="X163" i="16"/>
  <c r="W163" i="16"/>
  <c r="V163" i="16"/>
  <c r="AD162" i="17"/>
  <c r="X162" i="17"/>
  <c r="W162" i="17"/>
  <c r="AC162" i="17" s="1"/>
  <c r="X162" i="16"/>
  <c r="W162" i="16"/>
  <c r="V162" i="16"/>
  <c r="AD161" i="17"/>
  <c r="X161" i="17"/>
  <c r="W161" i="17"/>
  <c r="X161" i="16"/>
  <c r="W161" i="16"/>
  <c r="V161" i="16"/>
  <c r="AD160" i="17"/>
  <c r="X160" i="17"/>
  <c r="W160" i="17"/>
  <c r="X160" i="16"/>
  <c r="W160" i="16"/>
  <c r="V160" i="16"/>
  <c r="AD159" i="17"/>
  <c r="X159" i="17"/>
  <c r="W159" i="17"/>
  <c r="AC159" i="17" s="1"/>
  <c r="X159" i="16"/>
  <c r="W159" i="16"/>
  <c r="V159" i="16"/>
  <c r="X158" i="16"/>
  <c r="W158" i="16"/>
  <c r="V158" i="16"/>
  <c r="X157" i="16"/>
  <c r="W157" i="16"/>
  <c r="V157" i="16"/>
  <c r="X156" i="16"/>
  <c r="W156" i="16"/>
  <c r="V156" i="16"/>
  <c r="X155" i="16"/>
  <c r="W155" i="16"/>
  <c r="V155" i="16"/>
  <c r="X154" i="16"/>
  <c r="W154" i="16"/>
  <c r="V154" i="16"/>
  <c r="X153" i="16"/>
  <c r="W153" i="16"/>
  <c r="V153" i="16"/>
  <c r="X152" i="16"/>
  <c r="W152" i="16"/>
  <c r="V152" i="16"/>
  <c r="X151" i="16"/>
  <c r="W151" i="16"/>
  <c r="V151" i="16"/>
  <c r="X150" i="16"/>
  <c r="W150" i="16"/>
  <c r="V150" i="16"/>
  <c r="X149" i="16"/>
  <c r="W149" i="16"/>
  <c r="V149" i="16"/>
  <c r="X148" i="16"/>
  <c r="W148" i="16"/>
  <c r="V148" i="16"/>
  <c r="X147" i="16"/>
  <c r="W147" i="16"/>
  <c r="V147" i="16"/>
  <c r="X146" i="16"/>
  <c r="W146" i="16"/>
  <c r="V146" i="16"/>
  <c r="X145" i="16"/>
  <c r="W145" i="16"/>
  <c r="V145" i="16"/>
  <c r="X144" i="16"/>
  <c r="W144" i="16"/>
  <c r="V144" i="16"/>
  <c r="X143" i="16"/>
  <c r="W143" i="16"/>
  <c r="V143" i="16"/>
  <c r="X142" i="16"/>
  <c r="W142" i="16"/>
  <c r="V142" i="16"/>
  <c r="X141" i="16"/>
  <c r="W141" i="16"/>
  <c r="V141" i="16"/>
  <c r="X140" i="16"/>
  <c r="W140" i="16"/>
  <c r="V140" i="16"/>
  <c r="X139" i="16"/>
  <c r="W139" i="16"/>
  <c r="V139" i="16"/>
  <c r="X138" i="16"/>
  <c r="W138" i="16"/>
  <c r="V138" i="16"/>
  <c r="X137" i="16"/>
  <c r="W137" i="16"/>
  <c r="V137" i="16"/>
  <c r="X136" i="16"/>
  <c r="W136" i="16"/>
  <c r="V136" i="16"/>
  <c r="X135" i="16"/>
  <c r="W135" i="16"/>
  <c r="V135" i="16"/>
  <c r="X134" i="16"/>
  <c r="W134" i="16"/>
  <c r="V134" i="16"/>
  <c r="X87" i="17"/>
  <c r="W87" i="17"/>
  <c r="AC87" i="17" s="1"/>
  <c r="V87" i="17"/>
  <c r="AB87" i="17" s="1"/>
  <c r="X86" i="17"/>
  <c r="W86" i="17"/>
  <c r="V86" i="17"/>
  <c r="AB86" i="17" s="1"/>
  <c r="X85" i="17"/>
  <c r="W85" i="17"/>
  <c r="AC85" i="17" s="1"/>
  <c r="V85" i="17"/>
  <c r="AB85" i="17" s="1"/>
  <c r="X84" i="17"/>
  <c r="AC84" i="17" s="1"/>
  <c r="W84" i="17"/>
  <c r="V84" i="17"/>
  <c r="AB84" i="17" s="1"/>
  <c r="X83" i="17"/>
  <c r="W83" i="17"/>
  <c r="V83" i="17"/>
  <c r="AB83" i="17" s="1"/>
  <c r="X82" i="17"/>
  <c r="AC82" i="17" s="1"/>
  <c r="W82" i="17"/>
  <c r="V82" i="17"/>
  <c r="AB82" i="17" s="1"/>
  <c r="X81" i="17"/>
  <c r="W81" i="17"/>
  <c r="V81" i="17"/>
  <c r="AB81" i="17" s="1"/>
  <c r="X80" i="17"/>
  <c r="AC80" i="17" s="1"/>
  <c r="W80" i="17"/>
  <c r="V80" i="17"/>
  <c r="AB80" i="17" s="1"/>
  <c r="X79" i="17"/>
  <c r="W79" i="17"/>
  <c r="AC79" i="17" s="1"/>
  <c r="V79" i="17"/>
  <c r="AB79" i="17" s="1"/>
  <c r="X78" i="17"/>
  <c r="W78" i="17"/>
  <c r="V78" i="17"/>
  <c r="AB78" i="17" s="1"/>
  <c r="X77" i="17"/>
  <c r="W77" i="17"/>
  <c r="AC77" i="17" s="1"/>
  <c r="V77" i="17"/>
  <c r="AB77" i="17" s="1"/>
  <c r="X76" i="17"/>
  <c r="AC76" i="17" s="1"/>
  <c r="W76" i="17"/>
  <c r="V76" i="17"/>
  <c r="AB76" i="17" s="1"/>
  <c r="X75" i="17"/>
  <c r="W75" i="17"/>
  <c r="V75" i="17"/>
  <c r="AB75" i="17" s="1"/>
  <c r="X74" i="17"/>
  <c r="AC74" i="17" s="1"/>
  <c r="W74" i="17"/>
  <c r="V74" i="17"/>
  <c r="AB74" i="17" s="1"/>
  <c r="X73" i="17"/>
  <c r="W73" i="17"/>
  <c r="V73" i="17"/>
  <c r="AB73" i="17" s="1"/>
  <c r="X72" i="17"/>
  <c r="AC72" i="17" s="1"/>
  <c r="W72" i="17"/>
  <c r="V72" i="17"/>
  <c r="AB72" i="17" s="1"/>
  <c r="X71" i="17"/>
  <c r="W71" i="17"/>
  <c r="AC71" i="17" s="1"/>
  <c r="V71" i="17"/>
  <c r="AB71" i="17" s="1"/>
  <c r="AB70" i="17"/>
  <c r="X70" i="17"/>
  <c r="W70" i="17"/>
  <c r="AC70" i="17" s="1"/>
  <c r="V70" i="17"/>
  <c r="X69" i="17"/>
  <c r="W69" i="17"/>
  <c r="AC69" i="17" s="1"/>
  <c r="V69" i="17"/>
  <c r="AB69" i="17" s="1"/>
  <c r="AB68" i="17"/>
  <c r="X68" i="17"/>
  <c r="W68" i="17"/>
  <c r="V68" i="17"/>
  <c r="X67" i="17"/>
  <c r="W67" i="17"/>
  <c r="AC67" i="17" s="1"/>
  <c r="V67" i="17"/>
  <c r="AB67" i="17" s="1"/>
  <c r="X66" i="17"/>
  <c r="W66" i="17"/>
  <c r="V66" i="17"/>
  <c r="AB66" i="17" s="1"/>
  <c r="X65" i="17"/>
  <c r="AC65" i="17" s="1"/>
  <c r="W65" i="17"/>
  <c r="V65" i="17"/>
  <c r="AB65" i="17" s="1"/>
  <c r="X64" i="17"/>
  <c r="W64" i="17"/>
  <c r="AC64" i="17" s="1"/>
  <c r="V64" i="17"/>
  <c r="AB64" i="17" s="1"/>
  <c r="X63" i="17"/>
  <c r="W63" i="17"/>
  <c r="AC63" i="17" s="1"/>
  <c r="V63" i="17"/>
  <c r="AB63" i="17" s="1"/>
  <c r="X62" i="17"/>
  <c r="W62" i="17"/>
  <c r="V62" i="17"/>
  <c r="AB62" i="17" s="1"/>
  <c r="X61" i="17"/>
  <c r="AC61" i="17" s="1"/>
  <c r="W61" i="17"/>
  <c r="V61" i="17"/>
  <c r="AB61" i="17" s="1"/>
  <c r="X60" i="17"/>
  <c r="W60" i="17"/>
  <c r="AC60" i="17" s="1"/>
  <c r="V60" i="17"/>
  <c r="AB60" i="17" s="1"/>
  <c r="X59" i="17"/>
  <c r="W59" i="17"/>
  <c r="AC59" i="17" s="1"/>
  <c r="V59" i="17"/>
  <c r="AB59" i="17" s="1"/>
  <c r="X58" i="17"/>
  <c r="W58" i="17"/>
  <c r="AC58" i="17" s="1"/>
  <c r="V58" i="17"/>
  <c r="AB58" i="17" s="1"/>
  <c r="X57" i="17"/>
  <c r="AC57" i="17" s="1"/>
  <c r="W57" i="17"/>
  <c r="V57" i="17"/>
  <c r="AB57" i="17" s="1"/>
  <c r="AC56" i="17"/>
  <c r="X56" i="17"/>
  <c r="W56" i="17"/>
  <c r="V56" i="17"/>
  <c r="AB56" i="17" s="1"/>
  <c r="X55" i="17"/>
  <c r="W55" i="17"/>
  <c r="AC55" i="17" s="1"/>
  <c r="V55" i="17"/>
  <c r="AB55" i="17" s="1"/>
  <c r="X54" i="17"/>
  <c r="W54" i="17"/>
  <c r="AC54" i="17" s="1"/>
  <c r="V54" i="17"/>
  <c r="AB54" i="17" s="1"/>
  <c r="X53" i="17"/>
  <c r="W53" i="17"/>
  <c r="V53" i="17"/>
  <c r="AB53" i="17" s="1"/>
  <c r="AC52" i="17"/>
  <c r="X52" i="17"/>
  <c r="W52" i="17"/>
  <c r="V52" i="17"/>
  <c r="AB52" i="17" s="1"/>
  <c r="X51" i="17"/>
  <c r="W51" i="17"/>
  <c r="V51" i="17"/>
  <c r="AB51" i="17" s="1"/>
  <c r="X50" i="17"/>
  <c r="W50" i="17"/>
  <c r="AC50" i="17" s="1"/>
  <c r="V50" i="17"/>
  <c r="AB50" i="17" s="1"/>
  <c r="X49" i="17"/>
  <c r="W49" i="17"/>
  <c r="V49" i="17"/>
  <c r="AB49" i="17" s="1"/>
  <c r="X48" i="17"/>
  <c r="AC48" i="17" s="1"/>
  <c r="W48" i="17"/>
  <c r="V48" i="17"/>
  <c r="AB48" i="17" s="1"/>
  <c r="X47" i="17"/>
  <c r="W47" i="17"/>
  <c r="AC47" i="17" s="1"/>
  <c r="V47" i="17"/>
  <c r="AB47" i="17" s="1"/>
  <c r="X46" i="17"/>
  <c r="W46" i="17"/>
  <c r="V46" i="17"/>
  <c r="AB46" i="17" s="1"/>
  <c r="X45" i="17"/>
  <c r="W45" i="17"/>
  <c r="V45" i="17"/>
  <c r="AB45" i="17" s="1"/>
  <c r="X44" i="17"/>
  <c r="AC44" i="17" s="1"/>
  <c r="W44" i="17"/>
  <c r="V44" i="17"/>
  <c r="AB44" i="17" s="1"/>
  <c r="X43" i="17"/>
  <c r="W43" i="17"/>
  <c r="V43" i="17"/>
  <c r="AB43" i="17" s="1"/>
  <c r="X42" i="17"/>
  <c r="W42" i="17"/>
  <c r="AC42" i="17" s="1"/>
  <c r="V42" i="17"/>
  <c r="AB42" i="17" s="1"/>
  <c r="X41" i="17"/>
  <c r="AC41" i="17" s="1"/>
  <c r="W41" i="17"/>
  <c r="V41" i="17"/>
  <c r="AB41" i="17" s="1"/>
  <c r="X40" i="17"/>
  <c r="W40" i="17"/>
  <c r="AC40" i="17" s="1"/>
  <c r="V40" i="17"/>
  <c r="AB40" i="17" s="1"/>
  <c r="X39" i="17"/>
  <c r="AC39" i="17" s="1"/>
  <c r="W39" i="17"/>
  <c r="V39" i="17"/>
  <c r="AB39" i="17" s="1"/>
  <c r="X38" i="17"/>
  <c r="W38" i="17"/>
  <c r="V38" i="17"/>
  <c r="AB38" i="17" s="1"/>
  <c r="M40" i="5"/>
  <c r="M39" i="5"/>
  <c r="M38" i="5"/>
  <c r="J817" i="21" s="1"/>
  <c r="M817" i="21" s="1"/>
  <c r="AJ9" i="17"/>
  <c r="AI9" i="17"/>
  <c r="AJ4" i="17"/>
  <c r="AI4" i="17"/>
  <c r="AD498" i="17"/>
  <c r="AD497" i="17"/>
  <c r="AD496" i="17"/>
  <c r="AD495" i="17"/>
  <c r="AD494" i="17"/>
  <c r="AD493" i="17"/>
  <c r="AD492" i="17"/>
  <c r="AD491" i="17"/>
  <c r="AD490" i="17"/>
  <c r="AD489" i="17"/>
  <c r="AD488" i="17"/>
  <c r="AD487" i="17"/>
  <c r="AD486" i="17"/>
  <c r="AD485" i="17"/>
  <c r="AD484" i="17"/>
  <c r="AD483" i="17"/>
  <c r="AD482" i="17"/>
  <c r="AD481" i="17"/>
  <c r="AD480" i="17"/>
  <c r="AD479" i="17"/>
  <c r="AD478" i="17"/>
  <c r="AD477" i="17"/>
  <c r="AD476" i="17"/>
  <c r="AD475" i="17"/>
  <c r="AD474" i="17"/>
  <c r="AD473" i="17"/>
  <c r="AD472" i="17"/>
  <c r="AD471" i="17"/>
  <c r="AD470" i="17"/>
  <c r="AD469" i="17"/>
  <c r="AD468" i="17"/>
  <c r="AD467" i="17"/>
  <c r="AD466" i="17"/>
  <c r="AD465" i="17"/>
  <c r="AD464" i="17"/>
  <c r="AD463" i="17"/>
  <c r="AD462" i="17"/>
  <c r="AD461" i="17"/>
  <c r="AD460" i="17"/>
  <c r="AD459" i="17"/>
  <c r="AD458" i="17"/>
  <c r="AD457" i="17"/>
  <c r="AD456" i="17"/>
  <c r="AD455" i="17"/>
  <c r="AD454" i="17"/>
  <c r="AD453" i="17"/>
  <c r="AD452" i="17"/>
  <c r="AD451" i="17"/>
  <c r="AD450" i="17"/>
  <c r="AD449" i="17"/>
  <c r="AD448" i="17"/>
  <c r="AD447" i="17"/>
  <c r="AD446" i="17"/>
  <c r="AD445" i="17"/>
  <c r="AD444" i="17"/>
  <c r="AD443" i="17"/>
  <c r="AD442" i="17"/>
  <c r="AD441" i="17"/>
  <c r="AD440" i="17"/>
  <c r="AD439" i="17"/>
  <c r="AD438" i="17"/>
  <c r="AD437" i="17"/>
  <c r="AD436" i="17"/>
  <c r="AD435" i="17"/>
  <c r="AD434" i="17"/>
  <c r="AD433" i="17"/>
  <c r="AD432" i="17"/>
  <c r="AD431" i="17"/>
  <c r="AD430" i="17"/>
  <c r="AD429" i="17"/>
  <c r="AD428" i="17"/>
  <c r="AD427" i="17"/>
  <c r="AD426" i="17"/>
  <c r="AD425" i="17"/>
  <c r="AD424" i="17"/>
  <c r="AD423" i="17"/>
  <c r="AD422" i="17"/>
  <c r="AD421" i="17"/>
  <c r="AD420" i="17"/>
  <c r="AD419" i="17"/>
  <c r="AD418" i="17"/>
  <c r="AD417" i="17"/>
  <c r="AD416" i="17"/>
  <c r="AD415" i="17"/>
  <c r="AD414" i="17"/>
  <c r="AD413" i="17"/>
  <c r="AD412" i="17"/>
  <c r="AD411" i="17"/>
  <c r="AD410" i="17"/>
  <c r="AD409" i="17"/>
  <c r="AD408" i="17"/>
  <c r="AD407" i="17"/>
  <c r="AD406" i="17"/>
  <c r="AD405" i="17"/>
  <c r="AD404" i="17"/>
  <c r="AD403" i="17"/>
  <c r="AD402" i="17"/>
  <c r="AD401" i="17"/>
  <c r="AD400" i="17"/>
  <c r="AD399" i="17"/>
  <c r="AD398" i="17"/>
  <c r="AD397" i="17"/>
  <c r="AD396" i="17"/>
  <c r="AD395" i="17"/>
  <c r="AD394" i="17"/>
  <c r="AD393" i="17"/>
  <c r="AD392" i="17"/>
  <c r="AD391" i="17"/>
  <c r="AD390" i="17"/>
  <c r="AD389" i="17"/>
  <c r="AD388" i="17"/>
  <c r="AD387" i="17"/>
  <c r="AD386" i="17"/>
  <c r="AD385" i="17"/>
  <c r="AD384" i="17"/>
  <c r="AD383" i="17"/>
  <c r="AD382" i="17"/>
  <c r="AD381" i="17"/>
  <c r="AD380" i="17"/>
  <c r="AD379" i="17"/>
  <c r="AD378" i="17"/>
  <c r="AD377" i="17"/>
  <c r="AD376" i="17"/>
  <c r="AD375" i="17"/>
  <c r="AD374" i="17"/>
  <c r="AD373" i="17"/>
  <c r="AD372" i="17"/>
  <c r="AD371" i="17"/>
  <c r="AD370" i="17"/>
  <c r="AD369" i="17"/>
  <c r="AD368" i="17"/>
  <c r="AD367" i="17"/>
  <c r="AD366" i="17"/>
  <c r="AD365" i="17"/>
  <c r="AD364" i="17"/>
  <c r="AD363" i="17"/>
  <c r="AD362" i="17"/>
  <c r="AD361" i="17"/>
  <c r="AD360" i="17"/>
  <c r="AD359" i="17"/>
  <c r="AD358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D329" i="17"/>
  <c r="AD328" i="17"/>
  <c r="AD327" i="17"/>
  <c r="AD326" i="17"/>
  <c r="AD325" i="17"/>
  <c r="AD324" i="17"/>
  <c r="AD323" i="17"/>
  <c r="AD322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D293" i="17"/>
  <c r="AD292" i="17"/>
  <c r="AD291" i="17"/>
  <c r="AD290" i="17"/>
  <c r="AD289" i="17"/>
  <c r="AD288" i="17"/>
  <c r="AD287" i="17"/>
  <c r="AD286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57" i="17"/>
  <c r="AD256" i="17"/>
  <c r="AD255" i="17"/>
  <c r="AD254" i="17"/>
  <c r="AD253" i="17"/>
  <c r="AD252" i="17"/>
  <c r="AD251" i="17"/>
  <c r="AD250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21" i="17"/>
  <c r="AD220" i="17"/>
  <c r="AD219" i="17"/>
  <c r="AD218" i="17"/>
  <c r="AD217" i="17"/>
  <c r="AD216" i="17"/>
  <c r="AD215" i="17"/>
  <c r="AD214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58" i="17"/>
  <c r="AD157" i="17"/>
  <c r="AD156" i="17"/>
  <c r="AD155" i="17"/>
  <c r="AD154" i="17"/>
  <c r="AD153" i="17"/>
  <c r="AD152" i="17"/>
  <c r="AD151" i="17"/>
  <c r="AD150" i="17"/>
  <c r="AD149" i="17"/>
  <c r="AD148" i="17"/>
  <c r="AD147" i="17"/>
  <c r="AE146" i="17"/>
  <c r="AE145" i="17"/>
  <c r="AE144" i="17"/>
  <c r="AE143" i="17"/>
  <c r="AE142" i="17"/>
  <c r="AE141" i="17"/>
  <c r="AE140" i="17"/>
  <c r="AE139" i="17"/>
  <c r="AE138" i="17"/>
  <c r="AE137" i="17"/>
  <c r="AE136" i="17"/>
  <c r="AD135" i="17"/>
  <c r="AD134" i="17"/>
  <c r="AD133" i="17"/>
  <c r="AD132" i="17"/>
  <c r="AD131" i="17"/>
  <c r="AD130" i="17"/>
  <c r="AD129" i="17"/>
  <c r="AD128" i="17"/>
  <c r="AD127" i="17"/>
  <c r="AD126" i="17"/>
  <c r="AD125" i="17"/>
  <c r="AD124" i="17"/>
  <c r="AE123" i="17"/>
  <c r="AE122" i="17"/>
  <c r="AE121" i="17"/>
  <c r="AE120" i="17"/>
  <c r="AE119" i="17"/>
  <c r="AE118" i="17"/>
  <c r="AE117" i="17"/>
  <c r="AE116" i="17"/>
  <c r="AE115" i="17"/>
  <c r="AE114" i="17"/>
  <c r="AE113" i="17"/>
  <c r="AE112" i="17"/>
  <c r="AE111" i="17"/>
  <c r="AE110" i="17"/>
  <c r="AE109" i="17"/>
  <c r="AE108" i="17"/>
  <c r="AE107" i="17"/>
  <c r="AE106" i="17"/>
  <c r="AE105" i="17"/>
  <c r="AE104" i="17"/>
  <c r="AE103" i="17"/>
  <c r="AE102" i="17"/>
  <c r="AE101" i="17"/>
  <c r="AE100" i="17"/>
  <c r="AE99" i="17"/>
  <c r="AE98" i="17"/>
  <c r="AE97" i="17"/>
  <c r="AE96" i="17"/>
  <c r="AE95" i="17"/>
  <c r="AE94" i="17"/>
  <c r="AE93" i="17"/>
  <c r="AE92" i="17"/>
  <c r="AE91" i="17"/>
  <c r="AE90" i="17"/>
  <c r="AE89" i="17"/>
  <c r="AE88" i="17"/>
  <c r="AD25" i="17"/>
  <c r="AD24" i="17"/>
  <c r="AD23" i="17"/>
  <c r="AD22" i="17"/>
  <c r="AD21" i="17"/>
  <c r="AD20" i="17"/>
  <c r="AD19" i="17"/>
  <c r="AD18" i="17"/>
  <c r="AD17" i="17"/>
  <c r="AD16" i="17"/>
  <c r="AD15" i="17"/>
  <c r="AD14" i="17"/>
  <c r="V510" i="17"/>
  <c r="AB510" i="17" s="1"/>
  <c r="V509" i="17"/>
  <c r="AB509" i="17" s="1"/>
  <c r="V508" i="17"/>
  <c r="AB508" i="17" s="1"/>
  <c r="V507" i="17"/>
  <c r="AB507" i="17" s="1"/>
  <c r="V506" i="17"/>
  <c r="AB506" i="17" s="1"/>
  <c r="V505" i="17"/>
  <c r="AB505" i="17" s="1"/>
  <c r="V504" i="17"/>
  <c r="AB504" i="17" s="1"/>
  <c r="V503" i="17"/>
  <c r="AB503" i="17" s="1"/>
  <c r="V502" i="17"/>
  <c r="AB502" i="17" s="1"/>
  <c r="V501" i="17"/>
  <c r="AB501" i="17" s="1"/>
  <c r="V500" i="17"/>
  <c r="AB500" i="17" s="1"/>
  <c r="V499" i="17"/>
  <c r="AB499" i="17" s="1"/>
  <c r="X498" i="17"/>
  <c r="W498" i="17"/>
  <c r="V498" i="17"/>
  <c r="AB498" i="17" s="1"/>
  <c r="X497" i="17"/>
  <c r="W497" i="17"/>
  <c r="V497" i="17"/>
  <c r="AB497" i="17" s="1"/>
  <c r="X496" i="17"/>
  <c r="W496" i="17"/>
  <c r="V496" i="17"/>
  <c r="AB496" i="17" s="1"/>
  <c r="X495" i="17"/>
  <c r="W495" i="17"/>
  <c r="V495" i="17"/>
  <c r="AB495" i="17" s="1"/>
  <c r="X494" i="17"/>
  <c r="W494" i="17"/>
  <c r="V494" i="17"/>
  <c r="AB494" i="17" s="1"/>
  <c r="X493" i="17"/>
  <c r="W493" i="17"/>
  <c r="V493" i="17"/>
  <c r="AB493" i="17" s="1"/>
  <c r="X492" i="17"/>
  <c r="W492" i="17"/>
  <c r="V492" i="17"/>
  <c r="AB492" i="17" s="1"/>
  <c r="X491" i="17"/>
  <c r="W491" i="17"/>
  <c r="V491" i="17"/>
  <c r="AB491" i="17" s="1"/>
  <c r="X490" i="17"/>
  <c r="W490" i="17"/>
  <c r="V490" i="17"/>
  <c r="AB490" i="17" s="1"/>
  <c r="X489" i="17"/>
  <c r="W489" i="17"/>
  <c r="V489" i="17"/>
  <c r="AB489" i="17" s="1"/>
  <c r="X488" i="17"/>
  <c r="W488" i="17"/>
  <c r="V488" i="17"/>
  <c r="AB488" i="17" s="1"/>
  <c r="X487" i="17"/>
  <c r="W487" i="17"/>
  <c r="V487" i="17"/>
  <c r="AB487" i="17" s="1"/>
  <c r="X486" i="17"/>
  <c r="W486" i="17"/>
  <c r="V486" i="17"/>
  <c r="AB486" i="17" s="1"/>
  <c r="X485" i="17"/>
  <c r="W485" i="17"/>
  <c r="V485" i="17"/>
  <c r="AB485" i="17" s="1"/>
  <c r="X484" i="17"/>
  <c r="W484" i="17"/>
  <c r="V484" i="17"/>
  <c r="AB484" i="17" s="1"/>
  <c r="X483" i="17"/>
  <c r="W483" i="17"/>
  <c r="V483" i="17"/>
  <c r="AB483" i="17" s="1"/>
  <c r="X482" i="17"/>
  <c r="W482" i="17"/>
  <c r="V482" i="17"/>
  <c r="AB482" i="17" s="1"/>
  <c r="X481" i="17"/>
  <c r="W481" i="17"/>
  <c r="V481" i="17"/>
  <c r="AB481" i="17" s="1"/>
  <c r="X480" i="17"/>
  <c r="W480" i="17"/>
  <c r="V480" i="17"/>
  <c r="AB480" i="17" s="1"/>
  <c r="X479" i="17"/>
  <c r="W479" i="17"/>
  <c r="V479" i="17"/>
  <c r="AB479" i="17" s="1"/>
  <c r="X478" i="17"/>
  <c r="W478" i="17"/>
  <c r="V478" i="17"/>
  <c r="AB478" i="17" s="1"/>
  <c r="X477" i="17"/>
  <c r="W477" i="17"/>
  <c r="V477" i="17"/>
  <c r="AB477" i="17" s="1"/>
  <c r="X476" i="17"/>
  <c r="W476" i="17"/>
  <c r="V476" i="17"/>
  <c r="AB476" i="17" s="1"/>
  <c r="X475" i="17"/>
  <c r="W475" i="17"/>
  <c r="V475" i="17"/>
  <c r="AB475" i="17" s="1"/>
  <c r="X474" i="17"/>
  <c r="W474" i="17"/>
  <c r="V474" i="17"/>
  <c r="AB474" i="17" s="1"/>
  <c r="X473" i="17"/>
  <c r="W473" i="17"/>
  <c r="V473" i="17"/>
  <c r="AB473" i="17" s="1"/>
  <c r="X472" i="17"/>
  <c r="W472" i="17"/>
  <c r="V472" i="17"/>
  <c r="AB472" i="17" s="1"/>
  <c r="X471" i="17"/>
  <c r="W471" i="17"/>
  <c r="V471" i="17"/>
  <c r="AB471" i="17" s="1"/>
  <c r="X470" i="17"/>
  <c r="W470" i="17"/>
  <c r="V470" i="17"/>
  <c r="AB470" i="17" s="1"/>
  <c r="X469" i="17"/>
  <c r="W469" i="17"/>
  <c r="V469" i="17"/>
  <c r="AB469" i="17" s="1"/>
  <c r="X468" i="17"/>
  <c r="W468" i="17"/>
  <c r="V468" i="17"/>
  <c r="AB468" i="17" s="1"/>
  <c r="X467" i="17"/>
  <c r="W467" i="17"/>
  <c r="V467" i="17"/>
  <c r="AB467" i="17" s="1"/>
  <c r="X466" i="17"/>
  <c r="W466" i="17"/>
  <c r="V466" i="17"/>
  <c r="AB466" i="17" s="1"/>
  <c r="X465" i="17"/>
  <c r="W465" i="17"/>
  <c r="V465" i="17"/>
  <c r="AB465" i="17" s="1"/>
  <c r="X464" i="17"/>
  <c r="W464" i="17"/>
  <c r="V464" i="17"/>
  <c r="AB464" i="17" s="1"/>
  <c r="X463" i="17"/>
  <c r="W463" i="17"/>
  <c r="V463" i="17"/>
  <c r="AB463" i="17" s="1"/>
  <c r="X462" i="17"/>
  <c r="W462" i="17"/>
  <c r="V462" i="17"/>
  <c r="AB462" i="17" s="1"/>
  <c r="X461" i="17"/>
  <c r="W461" i="17"/>
  <c r="V461" i="17"/>
  <c r="AB461" i="17" s="1"/>
  <c r="X460" i="17"/>
  <c r="W460" i="17"/>
  <c r="V460" i="17"/>
  <c r="AB460" i="17" s="1"/>
  <c r="X459" i="17"/>
  <c r="W459" i="17"/>
  <c r="V459" i="17"/>
  <c r="AB459" i="17" s="1"/>
  <c r="X458" i="17"/>
  <c r="W458" i="17"/>
  <c r="V458" i="17"/>
  <c r="AB458" i="17" s="1"/>
  <c r="X457" i="17"/>
  <c r="W457" i="17"/>
  <c r="V457" i="17"/>
  <c r="AB457" i="17" s="1"/>
  <c r="X456" i="17"/>
  <c r="W456" i="17"/>
  <c r="V456" i="17"/>
  <c r="AB456" i="17" s="1"/>
  <c r="X455" i="17"/>
  <c r="W455" i="17"/>
  <c r="V455" i="17"/>
  <c r="AB455" i="17" s="1"/>
  <c r="X454" i="17"/>
  <c r="W454" i="17"/>
  <c r="V454" i="17"/>
  <c r="AB454" i="17" s="1"/>
  <c r="X453" i="17"/>
  <c r="W453" i="17"/>
  <c r="V453" i="17"/>
  <c r="AB453" i="17" s="1"/>
  <c r="X452" i="17"/>
  <c r="W452" i="17"/>
  <c r="V452" i="17"/>
  <c r="AB452" i="17" s="1"/>
  <c r="X451" i="17"/>
  <c r="W451" i="17"/>
  <c r="V451" i="17"/>
  <c r="AB451" i="17" s="1"/>
  <c r="X450" i="17"/>
  <c r="W450" i="17"/>
  <c r="V450" i="17"/>
  <c r="AB450" i="17" s="1"/>
  <c r="X449" i="17"/>
  <c r="W449" i="17"/>
  <c r="V449" i="17"/>
  <c r="AB449" i="17" s="1"/>
  <c r="X448" i="17"/>
  <c r="W448" i="17"/>
  <c r="V448" i="17"/>
  <c r="AB448" i="17" s="1"/>
  <c r="X447" i="17"/>
  <c r="W447" i="17"/>
  <c r="V447" i="17"/>
  <c r="AB447" i="17" s="1"/>
  <c r="X446" i="17"/>
  <c r="W446" i="17"/>
  <c r="V446" i="17"/>
  <c r="AB446" i="17" s="1"/>
  <c r="X445" i="17"/>
  <c r="W445" i="17"/>
  <c r="V445" i="17"/>
  <c r="AB445" i="17" s="1"/>
  <c r="X444" i="17"/>
  <c r="W444" i="17"/>
  <c r="V444" i="17"/>
  <c r="AB444" i="17" s="1"/>
  <c r="X443" i="17"/>
  <c r="W443" i="17"/>
  <c r="V443" i="17"/>
  <c r="AB443" i="17" s="1"/>
  <c r="X442" i="17"/>
  <c r="W442" i="17"/>
  <c r="V442" i="17"/>
  <c r="AB442" i="17" s="1"/>
  <c r="X441" i="17"/>
  <c r="W441" i="17"/>
  <c r="V441" i="17"/>
  <c r="AB441" i="17" s="1"/>
  <c r="X440" i="17"/>
  <c r="W440" i="17"/>
  <c r="V440" i="17"/>
  <c r="AB440" i="17" s="1"/>
  <c r="X439" i="17"/>
  <c r="W439" i="17"/>
  <c r="V439" i="17"/>
  <c r="AB439" i="17" s="1"/>
  <c r="X438" i="17"/>
  <c r="W438" i="17"/>
  <c r="V438" i="17"/>
  <c r="AB438" i="17" s="1"/>
  <c r="X437" i="17"/>
  <c r="W437" i="17"/>
  <c r="V437" i="17"/>
  <c r="AB437" i="17" s="1"/>
  <c r="X436" i="17"/>
  <c r="W436" i="17"/>
  <c r="V436" i="17"/>
  <c r="AB436" i="17" s="1"/>
  <c r="X435" i="17"/>
  <c r="W435" i="17"/>
  <c r="V435" i="17"/>
  <c r="AB435" i="17" s="1"/>
  <c r="X434" i="17"/>
  <c r="W434" i="17"/>
  <c r="V434" i="17"/>
  <c r="AB434" i="17" s="1"/>
  <c r="X433" i="17"/>
  <c r="W433" i="17"/>
  <c r="V433" i="17"/>
  <c r="AB433" i="17" s="1"/>
  <c r="X432" i="17"/>
  <c r="W432" i="17"/>
  <c r="V432" i="17"/>
  <c r="AB432" i="17" s="1"/>
  <c r="X431" i="17"/>
  <c r="W431" i="17"/>
  <c r="V431" i="17"/>
  <c r="AB431" i="17" s="1"/>
  <c r="X430" i="17"/>
  <c r="W430" i="17"/>
  <c r="V430" i="17"/>
  <c r="AB430" i="17" s="1"/>
  <c r="X429" i="17"/>
  <c r="W429" i="17"/>
  <c r="V429" i="17"/>
  <c r="AB429" i="17" s="1"/>
  <c r="X428" i="17"/>
  <c r="W428" i="17"/>
  <c r="V428" i="17"/>
  <c r="AB428" i="17" s="1"/>
  <c r="X427" i="17"/>
  <c r="W427" i="17"/>
  <c r="V427" i="17"/>
  <c r="AB427" i="17" s="1"/>
  <c r="X426" i="17"/>
  <c r="W426" i="17"/>
  <c r="V426" i="17"/>
  <c r="AB426" i="17" s="1"/>
  <c r="X425" i="17"/>
  <c r="W425" i="17"/>
  <c r="V425" i="17"/>
  <c r="AB425" i="17" s="1"/>
  <c r="X424" i="17"/>
  <c r="W424" i="17"/>
  <c r="V424" i="17"/>
  <c r="AB424" i="17" s="1"/>
  <c r="X423" i="17"/>
  <c r="W423" i="17"/>
  <c r="V423" i="17"/>
  <c r="AB423" i="17" s="1"/>
  <c r="X422" i="17"/>
  <c r="W422" i="17"/>
  <c r="V422" i="17"/>
  <c r="AB422" i="17" s="1"/>
  <c r="X421" i="17"/>
  <c r="W421" i="17"/>
  <c r="V421" i="17"/>
  <c r="AB421" i="17" s="1"/>
  <c r="X420" i="17"/>
  <c r="W420" i="17"/>
  <c r="V420" i="17"/>
  <c r="AB420" i="17" s="1"/>
  <c r="X419" i="17"/>
  <c r="W419" i="17"/>
  <c r="V419" i="17"/>
  <c r="AB419" i="17" s="1"/>
  <c r="X418" i="17"/>
  <c r="W418" i="17"/>
  <c r="V418" i="17"/>
  <c r="AB418" i="17" s="1"/>
  <c r="X417" i="17"/>
  <c r="W417" i="17"/>
  <c r="V417" i="17"/>
  <c r="AB417" i="17" s="1"/>
  <c r="X416" i="17"/>
  <c r="W416" i="17"/>
  <c r="V416" i="17"/>
  <c r="AB416" i="17" s="1"/>
  <c r="X415" i="17"/>
  <c r="W415" i="17"/>
  <c r="V415" i="17"/>
  <c r="AB415" i="17" s="1"/>
  <c r="X414" i="17"/>
  <c r="W414" i="17"/>
  <c r="V414" i="17"/>
  <c r="AB414" i="17" s="1"/>
  <c r="X413" i="17"/>
  <c r="W413" i="17"/>
  <c r="V413" i="17"/>
  <c r="AB413" i="17" s="1"/>
  <c r="X412" i="17"/>
  <c r="W412" i="17"/>
  <c r="V412" i="17"/>
  <c r="AB412" i="17" s="1"/>
  <c r="X411" i="17"/>
  <c r="W411" i="17"/>
  <c r="V411" i="17"/>
  <c r="AB411" i="17" s="1"/>
  <c r="X410" i="17"/>
  <c r="W410" i="17"/>
  <c r="V410" i="17"/>
  <c r="AB410" i="17" s="1"/>
  <c r="X409" i="17"/>
  <c r="W409" i="17"/>
  <c r="V409" i="17"/>
  <c r="AB409" i="17" s="1"/>
  <c r="X408" i="17"/>
  <c r="W408" i="17"/>
  <c r="V408" i="17"/>
  <c r="AB408" i="17" s="1"/>
  <c r="X407" i="17"/>
  <c r="W407" i="17"/>
  <c r="V407" i="17"/>
  <c r="AB407" i="17" s="1"/>
  <c r="X406" i="17"/>
  <c r="W406" i="17"/>
  <c r="V406" i="17"/>
  <c r="AB406" i="17" s="1"/>
  <c r="X405" i="17"/>
  <c r="W405" i="17"/>
  <c r="V405" i="17"/>
  <c r="AB405" i="17" s="1"/>
  <c r="X404" i="17"/>
  <c r="W404" i="17"/>
  <c r="V404" i="17"/>
  <c r="AB404" i="17" s="1"/>
  <c r="X403" i="17"/>
  <c r="W403" i="17"/>
  <c r="V403" i="17"/>
  <c r="AB403" i="17" s="1"/>
  <c r="X402" i="17"/>
  <c r="W402" i="17"/>
  <c r="V402" i="17"/>
  <c r="AB402" i="17" s="1"/>
  <c r="X401" i="17"/>
  <c r="W401" i="17"/>
  <c r="V401" i="17"/>
  <c r="AB401" i="17" s="1"/>
  <c r="X400" i="17"/>
  <c r="W400" i="17"/>
  <c r="V400" i="17"/>
  <c r="AB400" i="17" s="1"/>
  <c r="X399" i="17"/>
  <c r="W399" i="17"/>
  <c r="V399" i="17"/>
  <c r="AB399" i="17" s="1"/>
  <c r="X398" i="17"/>
  <c r="W398" i="17"/>
  <c r="V398" i="17"/>
  <c r="AB398" i="17" s="1"/>
  <c r="X397" i="17"/>
  <c r="W397" i="17"/>
  <c r="V397" i="17"/>
  <c r="AB397" i="17" s="1"/>
  <c r="X396" i="17"/>
  <c r="W396" i="17"/>
  <c r="V396" i="17"/>
  <c r="AB396" i="17" s="1"/>
  <c r="X395" i="17"/>
  <c r="W395" i="17"/>
  <c r="V395" i="17"/>
  <c r="AB395" i="17" s="1"/>
  <c r="X394" i="17"/>
  <c r="W394" i="17"/>
  <c r="V394" i="17"/>
  <c r="AB394" i="17" s="1"/>
  <c r="X393" i="17"/>
  <c r="W393" i="17"/>
  <c r="V393" i="17"/>
  <c r="AB393" i="17" s="1"/>
  <c r="X392" i="17"/>
  <c r="W392" i="17"/>
  <c r="V392" i="17"/>
  <c r="AB392" i="17" s="1"/>
  <c r="X391" i="17"/>
  <c r="W391" i="17"/>
  <c r="V391" i="17"/>
  <c r="AB391" i="17" s="1"/>
  <c r="X390" i="17"/>
  <c r="W390" i="17"/>
  <c r="V390" i="17"/>
  <c r="AB390" i="17" s="1"/>
  <c r="X389" i="17"/>
  <c r="W389" i="17"/>
  <c r="V389" i="17"/>
  <c r="AB389" i="17" s="1"/>
  <c r="X388" i="17"/>
  <c r="W388" i="17"/>
  <c r="V388" i="17"/>
  <c r="AB388" i="17" s="1"/>
  <c r="X387" i="17"/>
  <c r="W387" i="17"/>
  <c r="V387" i="17"/>
  <c r="AB387" i="17" s="1"/>
  <c r="X386" i="17"/>
  <c r="W386" i="17"/>
  <c r="V386" i="17"/>
  <c r="AB386" i="17" s="1"/>
  <c r="X385" i="17"/>
  <c r="W385" i="17"/>
  <c r="V385" i="17"/>
  <c r="AB385" i="17" s="1"/>
  <c r="X384" i="17"/>
  <c r="W384" i="17"/>
  <c r="V384" i="17"/>
  <c r="AB384" i="17" s="1"/>
  <c r="X383" i="17"/>
  <c r="W383" i="17"/>
  <c r="V383" i="17"/>
  <c r="AB383" i="17" s="1"/>
  <c r="X382" i="17"/>
  <c r="W382" i="17"/>
  <c r="V382" i="17"/>
  <c r="AB382" i="17" s="1"/>
  <c r="X381" i="17"/>
  <c r="W381" i="17"/>
  <c r="V381" i="17"/>
  <c r="AB381" i="17" s="1"/>
  <c r="X380" i="17"/>
  <c r="W380" i="17"/>
  <c r="V380" i="17"/>
  <c r="AB380" i="17" s="1"/>
  <c r="X379" i="17"/>
  <c r="W379" i="17"/>
  <c r="V379" i="17"/>
  <c r="AB379" i="17" s="1"/>
  <c r="X378" i="17"/>
  <c r="W378" i="17"/>
  <c r="V378" i="17"/>
  <c r="AB378" i="17" s="1"/>
  <c r="X377" i="17"/>
  <c r="W377" i="17"/>
  <c r="V377" i="17"/>
  <c r="AB377" i="17" s="1"/>
  <c r="X376" i="17"/>
  <c r="W376" i="17"/>
  <c r="V376" i="17"/>
  <c r="AB376" i="17" s="1"/>
  <c r="X375" i="17"/>
  <c r="W375" i="17"/>
  <c r="V375" i="17"/>
  <c r="AB375" i="17" s="1"/>
  <c r="X374" i="17"/>
  <c r="W374" i="17"/>
  <c r="V374" i="17"/>
  <c r="AB374" i="17" s="1"/>
  <c r="X373" i="17"/>
  <c r="W373" i="17"/>
  <c r="V373" i="17"/>
  <c r="AB373" i="17" s="1"/>
  <c r="X372" i="17"/>
  <c r="W372" i="17"/>
  <c r="V372" i="17"/>
  <c r="AB372" i="17" s="1"/>
  <c r="X371" i="17"/>
  <c r="W371" i="17"/>
  <c r="V371" i="17"/>
  <c r="AB371" i="17" s="1"/>
  <c r="X370" i="17"/>
  <c r="W370" i="17"/>
  <c r="V370" i="17"/>
  <c r="AB370" i="17" s="1"/>
  <c r="X369" i="17"/>
  <c r="W369" i="17"/>
  <c r="V369" i="17"/>
  <c r="AB369" i="17" s="1"/>
  <c r="X368" i="17"/>
  <c r="W368" i="17"/>
  <c r="V368" i="17"/>
  <c r="AB368" i="17" s="1"/>
  <c r="X367" i="17"/>
  <c r="W367" i="17"/>
  <c r="V367" i="17"/>
  <c r="AB367" i="17" s="1"/>
  <c r="X366" i="17"/>
  <c r="W366" i="17"/>
  <c r="V366" i="17"/>
  <c r="AB366" i="17" s="1"/>
  <c r="X365" i="17"/>
  <c r="W365" i="17"/>
  <c r="V365" i="17"/>
  <c r="AB365" i="17" s="1"/>
  <c r="X364" i="17"/>
  <c r="W364" i="17"/>
  <c r="V364" i="17"/>
  <c r="AB364" i="17" s="1"/>
  <c r="X363" i="17"/>
  <c r="W363" i="17"/>
  <c r="V363" i="17"/>
  <c r="AB363" i="17" s="1"/>
  <c r="X362" i="17"/>
  <c r="W362" i="17"/>
  <c r="V362" i="17"/>
  <c r="AB362" i="17" s="1"/>
  <c r="X361" i="17"/>
  <c r="W361" i="17"/>
  <c r="V361" i="17"/>
  <c r="AB361" i="17" s="1"/>
  <c r="X360" i="17"/>
  <c r="W360" i="17"/>
  <c r="V360" i="17"/>
  <c r="AB360" i="17" s="1"/>
  <c r="X359" i="17"/>
  <c r="W359" i="17"/>
  <c r="V359" i="17"/>
  <c r="AB359" i="17" s="1"/>
  <c r="X358" i="17"/>
  <c r="W358" i="17"/>
  <c r="AC358" i="17" s="1"/>
  <c r="V358" i="17"/>
  <c r="AB358" i="17" s="1"/>
  <c r="X357" i="17"/>
  <c r="W357" i="17"/>
  <c r="V357" i="17"/>
  <c r="AB357" i="17" s="1"/>
  <c r="X356" i="17"/>
  <c r="W356" i="17"/>
  <c r="V356" i="17"/>
  <c r="AB356" i="17" s="1"/>
  <c r="X355" i="17"/>
  <c r="W355" i="17"/>
  <c r="V355" i="17"/>
  <c r="AB355" i="17" s="1"/>
  <c r="X354" i="17"/>
  <c r="W354" i="17"/>
  <c r="V354" i="17"/>
  <c r="AB354" i="17" s="1"/>
  <c r="X353" i="17"/>
  <c r="W353" i="17"/>
  <c r="V353" i="17"/>
  <c r="AB353" i="17" s="1"/>
  <c r="X352" i="17"/>
  <c r="W352" i="17"/>
  <c r="AC352" i="17" s="1"/>
  <c r="V352" i="17"/>
  <c r="AB352" i="17" s="1"/>
  <c r="X351" i="17"/>
  <c r="W351" i="17"/>
  <c r="V351" i="17"/>
  <c r="AB351" i="17" s="1"/>
  <c r="X350" i="17"/>
  <c r="W350" i="17"/>
  <c r="AC350" i="17" s="1"/>
  <c r="V350" i="17"/>
  <c r="AB350" i="17" s="1"/>
  <c r="X349" i="17"/>
  <c r="W349" i="17"/>
  <c r="V349" i="17"/>
  <c r="AB349" i="17" s="1"/>
  <c r="X348" i="17"/>
  <c r="W348" i="17"/>
  <c r="V348" i="17"/>
  <c r="AB348" i="17" s="1"/>
  <c r="X347" i="17"/>
  <c r="W347" i="17"/>
  <c r="V347" i="17"/>
  <c r="AB347" i="17" s="1"/>
  <c r="X346" i="17"/>
  <c r="W346" i="17"/>
  <c r="V346" i="17"/>
  <c r="AB346" i="17" s="1"/>
  <c r="X345" i="17"/>
  <c r="W345" i="17"/>
  <c r="V345" i="17"/>
  <c r="AB345" i="17" s="1"/>
  <c r="X344" i="17"/>
  <c r="W344" i="17"/>
  <c r="V344" i="17"/>
  <c r="AB344" i="17" s="1"/>
  <c r="X343" i="17"/>
  <c r="W343" i="17"/>
  <c r="V343" i="17"/>
  <c r="AB343" i="17" s="1"/>
  <c r="X342" i="17"/>
  <c r="W342" i="17"/>
  <c r="AC342" i="17" s="1"/>
  <c r="V342" i="17"/>
  <c r="AB342" i="17" s="1"/>
  <c r="X341" i="17"/>
  <c r="W341" i="17"/>
  <c r="V341" i="17"/>
  <c r="AB341" i="17" s="1"/>
  <c r="X340" i="17"/>
  <c r="W340" i="17"/>
  <c r="V340" i="17"/>
  <c r="AB340" i="17" s="1"/>
  <c r="X339" i="17"/>
  <c r="W339" i="17"/>
  <c r="V339" i="17"/>
  <c r="AB339" i="17" s="1"/>
  <c r="X338" i="17"/>
  <c r="W338" i="17"/>
  <c r="V338" i="17"/>
  <c r="AB338" i="17" s="1"/>
  <c r="X337" i="17"/>
  <c r="W337" i="17"/>
  <c r="V337" i="17"/>
  <c r="AB337" i="17" s="1"/>
  <c r="X336" i="17"/>
  <c r="W336" i="17"/>
  <c r="V336" i="17"/>
  <c r="AB336" i="17" s="1"/>
  <c r="X335" i="17"/>
  <c r="W335" i="17"/>
  <c r="V335" i="17"/>
  <c r="AB335" i="17" s="1"/>
  <c r="X334" i="17"/>
  <c r="W334" i="17"/>
  <c r="V334" i="17"/>
  <c r="AB334" i="17" s="1"/>
  <c r="X333" i="17"/>
  <c r="W333" i="17"/>
  <c r="V333" i="17"/>
  <c r="AB333" i="17" s="1"/>
  <c r="X332" i="17"/>
  <c r="W332" i="17"/>
  <c r="V332" i="17"/>
  <c r="AB332" i="17" s="1"/>
  <c r="X331" i="17"/>
  <c r="W331" i="17"/>
  <c r="V331" i="17"/>
  <c r="AB331" i="17" s="1"/>
  <c r="X330" i="17"/>
  <c r="W330" i="17"/>
  <c r="V330" i="17"/>
  <c r="AB330" i="17" s="1"/>
  <c r="X329" i="17"/>
  <c r="W329" i="17"/>
  <c r="V329" i="17"/>
  <c r="AB329" i="17" s="1"/>
  <c r="X328" i="17"/>
  <c r="W328" i="17"/>
  <c r="V328" i="17"/>
  <c r="AB328" i="17" s="1"/>
  <c r="X327" i="17"/>
  <c r="W327" i="17"/>
  <c r="V327" i="17"/>
  <c r="AB327" i="17" s="1"/>
  <c r="X326" i="17"/>
  <c r="W326" i="17"/>
  <c r="V326" i="17"/>
  <c r="AB326" i="17" s="1"/>
  <c r="X325" i="17"/>
  <c r="W325" i="17"/>
  <c r="V325" i="17"/>
  <c r="AB325" i="17" s="1"/>
  <c r="X324" i="17"/>
  <c r="W324" i="17"/>
  <c r="V324" i="17"/>
  <c r="AB324" i="17" s="1"/>
  <c r="X323" i="17"/>
  <c r="W323" i="17"/>
  <c r="V323" i="17"/>
  <c r="AB323" i="17" s="1"/>
  <c r="X322" i="17"/>
  <c r="W322" i="17"/>
  <c r="V322" i="17"/>
  <c r="AB322" i="17" s="1"/>
  <c r="X321" i="17"/>
  <c r="W321" i="17"/>
  <c r="V321" i="17"/>
  <c r="AB321" i="17" s="1"/>
  <c r="X320" i="17"/>
  <c r="W320" i="17"/>
  <c r="V320" i="17"/>
  <c r="AB320" i="17" s="1"/>
  <c r="X319" i="17"/>
  <c r="W319" i="17"/>
  <c r="V319" i="17"/>
  <c r="AB319" i="17" s="1"/>
  <c r="X318" i="17"/>
  <c r="W318" i="17"/>
  <c r="V318" i="17"/>
  <c r="AB318" i="17" s="1"/>
  <c r="X317" i="17"/>
  <c r="W317" i="17"/>
  <c r="V317" i="17"/>
  <c r="AB317" i="17" s="1"/>
  <c r="X316" i="17"/>
  <c r="W316" i="17"/>
  <c r="V316" i="17"/>
  <c r="AB316" i="17" s="1"/>
  <c r="X315" i="17"/>
  <c r="W315" i="17"/>
  <c r="V315" i="17"/>
  <c r="AB315" i="17" s="1"/>
  <c r="X314" i="17"/>
  <c r="W314" i="17"/>
  <c r="V314" i="17"/>
  <c r="AB314" i="17" s="1"/>
  <c r="X313" i="17"/>
  <c r="W313" i="17"/>
  <c r="V313" i="17"/>
  <c r="AB313" i="17" s="1"/>
  <c r="X312" i="17"/>
  <c r="W312" i="17"/>
  <c r="V312" i="17"/>
  <c r="AB312" i="17" s="1"/>
  <c r="X311" i="17"/>
  <c r="W311" i="17"/>
  <c r="V311" i="17"/>
  <c r="AB311" i="17" s="1"/>
  <c r="X310" i="17"/>
  <c r="W310" i="17"/>
  <c r="V310" i="17"/>
  <c r="AB310" i="17" s="1"/>
  <c r="X309" i="17"/>
  <c r="W309" i="17"/>
  <c r="V309" i="17"/>
  <c r="AB309" i="17" s="1"/>
  <c r="X308" i="17"/>
  <c r="W308" i="17"/>
  <c r="V308" i="17"/>
  <c r="AB308" i="17" s="1"/>
  <c r="X307" i="17"/>
  <c r="W307" i="17"/>
  <c r="V307" i="17"/>
  <c r="AB307" i="17" s="1"/>
  <c r="X306" i="17"/>
  <c r="W306" i="17"/>
  <c r="V306" i="17"/>
  <c r="AB306" i="17" s="1"/>
  <c r="X305" i="17"/>
  <c r="W305" i="17"/>
  <c r="V305" i="17"/>
  <c r="AB305" i="17" s="1"/>
  <c r="X304" i="17"/>
  <c r="W304" i="17"/>
  <c r="V304" i="17"/>
  <c r="AB304" i="17" s="1"/>
  <c r="X303" i="17"/>
  <c r="W303" i="17"/>
  <c r="V303" i="17"/>
  <c r="AB303" i="17" s="1"/>
  <c r="X302" i="17"/>
  <c r="W302" i="17"/>
  <c r="V302" i="17"/>
  <c r="AB302" i="17" s="1"/>
  <c r="X301" i="17"/>
  <c r="W301" i="17"/>
  <c r="V301" i="17"/>
  <c r="AB301" i="17" s="1"/>
  <c r="X300" i="17"/>
  <c r="W300" i="17"/>
  <c r="V300" i="17"/>
  <c r="AB300" i="17" s="1"/>
  <c r="X299" i="17"/>
  <c r="W299" i="17"/>
  <c r="V299" i="17"/>
  <c r="AB299" i="17" s="1"/>
  <c r="X298" i="17"/>
  <c r="W298" i="17"/>
  <c r="V298" i="17"/>
  <c r="AB298" i="17" s="1"/>
  <c r="X297" i="17"/>
  <c r="W297" i="17"/>
  <c r="V297" i="17"/>
  <c r="AB297" i="17" s="1"/>
  <c r="X296" i="17"/>
  <c r="W296" i="17"/>
  <c r="V296" i="17"/>
  <c r="AB296" i="17" s="1"/>
  <c r="X295" i="17"/>
  <c r="W295" i="17"/>
  <c r="V295" i="17"/>
  <c r="AB295" i="17" s="1"/>
  <c r="X294" i="17"/>
  <c r="W294" i="17"/>
  <c r="V294" i="17"/>
  <c r="AB294" i="17" s="1"/>
  <c r="X293" i="17"/>
  <c r="W293" i="17"/>
  <c r="V293" i="17"/>
  <c r="AB293" i="17" s="1"/>
  <c r="X292" i="17"/>
  <c r="W292" i="17"/>
  <c r="V292" i="17"/>
  <c r="AB292" i="17" s="1"/>
  <c r="X291" i="17"/>
  <c r="W291" i="17"/>
  <c r="V291" i="17"/>
  <c r="AB291" i="17" s="1"/>
  <c r="X290" i="17"/>
  <c r="W290" i="17"/>
  <c r="V290" i="17"/>
  <c r="AB290" i="17" s="1"/>
  <c r="X289" i="17"/>
  <c r="W289" i="17"/>
  <c r="V289" i="17"/>
  <c r="AB289" i="17" s="1"/>
  <c r="X288" i="17"/>
  <c r="W288" i="17"/>
  <c r="V288" i="17"/>
  <c r="AB288" i="17" s="1"/>
  <c r="X287" i="17"/>
  <c r="W287" i="17"/>
  <c r="AC287" i="17" s="1"/>
  <c r="V287" i="17"/>
  <c r="AB287" i="17" s="1"/>
  <c r="X286" i="17"/>
  <c r="W286" i="17"/>
  <c r="V286" i="17"/>
  <c r="AB286" i="17" s="1"/>
  <c r="X285" i="17"/>
  <c r="W285" i="17"/>
  <c r="V285" i="17"/>
  <c r="AB285" i="17" s="1"/>
  <c r="X284" i="17"/>
  <c r="W284" i="17"/>
  <c r="V284" i="17"/>
  <c r="AB284" i="17" s="1"/>
  <c r="X283" i="17"/>
  <c r="W283" i="17"/>
  <c r="V283" i="17"/>
  <c r="AB283" i="17" s="1"/>
  <c r="X282" i="17"/>
  <c r="W282" i="17"/>
  <c r="V282" i="17"/>
  <c r="AB282" i="17" s="1"/>
  <c r="X281" i="17"/>
  <c r="W281" i="17"/>
  <c r="V281" i="17"/>
  <c r="AB281" i="17" s="1"/>
  <c r="X280" i="17"/>
  <c r="W280" i="17"/>
  <c r="V280" i="17"/>
  <c r="AB280" i="17" s="1"/>
  <c r="X279" i="17"/>
  <c r="W279" i="17"/>
  <c r="V279" i="17"/>
  <c r="AB279" i="17" s="1"/>
  <c r="X278" i="17"/>
  <c r="W278" i="17"/>
  <c r="V278" i="17"/>
  <c r="AB278" i="17" s="1"/>
  <c r="X277" i="17"/>
  <c r="W277" i="17"/>
  <c r="V277" i="17"/>
  <c r="AB277" i="17" s="1"/>
  <c r="X276" i="17"/>
  <c r="W276" i="17"/>
  <c r="V276" i="17"/>
  <c r="AB276" i="17" s="1"/>
  <c r="X275" i="17"/>
  <c r="W275" i="17"/>
  <c r="V275" i="17"/>
  <c r="AB275" i="17" s="1"/>
  <c r="X274" i="17"/>
  <c r="W274" i="17"/>
  <c r="V274" i="17"/>
  <c r="AB274" i="17" s="1"/>
  <c r="X273" i="17"/>
  <c r="W273" i="17"/>
  <c r="V273" i="17"/>
  <c r="AB273" i="17" s="1"/>
  <c r="X272" i="17"/>
  <c r="W272" i="17"/>
  <c r="V272" i="17"/>
  <c r="AB272" i="17" s="1"/>
  <c r="X271" i="17"/>
  <c r="W271" i="17"/>
  <c r="V271" i="17"/>
  <c r="AB271" i="17" s="1"/>
  <c r="X270" i="17"/>
  <c r="W270" i="17"/>
  <c r="V270" i="17"/>
  <c r="AB270" i="17" s="1"/>
  <c r="X269" i="17"/>
  <c r="W269" i="17"/>
  <c r="V269" i="17"/>
  <c r="AB269" i="17" s="1"/>
  <c r="X268" i="17"/>
  <c r="W268" i="17"/>
  <c r="V268" i="17"/>
  <c r="AB268" i="17" s="1"/>
  <c r="X267" i="17"/>
  <c r="W267" i="17"/>
  <c r="V267" i="17"/>
  <c r="AB267" i="17" s="1"/>
  <c r="X266" i="17"/>
  <c r="W266" i="17"/>
  <c r="V266" i="17"/>
  <c r="AB266" i="17" s="1"/>
  <c r="X265" i="17"/>
  <c r="W265" i="17"/>
  <c r="V265" i="17"/>
  <c r="AB265" i="17" s="1"/>
  <c r="X264" i="17"/>
  <c r="W264" i="17"/>
  <c r="V264" i="17"/>
  <c r="AB264" i="17" s="1"/>
  <c r="X263" i="17"/>
  <c r="W263" i="17"/>
  <c r="AC263" i="17" s="1"/>
  <c r="V263" i="17"/>
  <c r="AB263" i="17" s="1"/>
  <c r="X262" i="17"/>
  <c r="W262" i="17"/>
  <c r="V262" i="17"/>
  <c r="AB262" i="17" s="1"/>
  <c r="X261" i="17"/>
  <c r="W261" i="17"/>
  <c r="V261" i="17"/>
  <c r="AB261" i="17" s="1"/>
  <c r="X260" i="17"/>
  <c r="W260" i="17"/>
  <c r="V260" i="17"/>
  <c r="AB260" i="17" s="1"/>
  <c r="X259" i="17"/>
  <c r="W259" i="17"/>
  <c r="V259" i="17"/>
  <c r="AB259" i="17" s="1"/>
  <c r="X258" i="17"/>
  <c r="W258" i="17"/>
  <c r="V258" i="17"/>
  <c r="AB258" i="17" s="1"/>
  <c r="X257" i="17"/>
  <c r="W257" i="17"/>
  <c r="V257" i="17"/>
  <c r="AB257" i="17" s="1"/>
  <c r="X256" i="17"/>
  <c r="W256" i="17"/>
  <c r="V256" i="17"/>
  <c r="AB256" i="17" s="1"/>
  <c r="X255" i="17"/>
  <c r="W255" i="17"/>
  <c r="AC255" i="17" s="1"/>
  <c r="V255" i="17"/>
  <c r="AB255" i="17" s="1"/>
  <c r="X254" i="17"/>
  <c r="W254" i="17"/>
  <c r="V254" i="17"/>
  <c r="AB254" i="17" s="1"/>
  <c r="X253" i="17"/>
  <c r="W253" i="17"/>
  <c r="V253" i="17"/>
  <c r="AB253" i="17" s="1"/>
  <c r="X252" i="17"/>
  <c r="W252" i="17"/>
  <c r="V252" i="17"/>
  <c r="AB252" i="17" s="1"/>
  <c r="X251" i="17"/>
  <c r="W251" i="17"/>
  <c r="V251" i="17"/>
  <c r="AB251" i="17" s="1"/>
  <c r="X250" i="17"/>
  <c r="W250" i="17"/>
  <c r="V250" i="17"/>
  <c r="AB250" i="17" s="1"/>
  <c r="X249" i="17"/>
  <c r="W249" i="17"/>
  <c r="V249" i="17"/>
  <c r="AB249" i="17" s="1"/>
  <c r="X248" i="17"/>
  <c r="W248" i="17"/>
  <c r="V248" i="17"/>
  <c r="AB248" i="17" s="1"/>
  <c r="X247" i="17"/>
  <c r="W247" i="17"/>
  <c r="AC247" i="17" s="1"/>
  <c r="V247" i="17"/>
  <c r="AB247" i="17" s="1"/>
  <c r="X246" i="17"/>
  <c r="W246" i="17"/>
  <c r="V246" i="17"/>
  <c r="AB246" i="17" s="1"/>
  <c r="X245" i="17"/>
  <c r="W245" i="17"/>
  <c r="V245" i="17"/>
  <c r="AB245" i="17" s="1"/>
  <c r="X244" i="17"/>
  <c r="W244" i="17"/>
  <c r="V244" i="17"/>
  <c r="AB244" i="17" s="1"/>
  <c r="X243" i="17"/>
  <c r="W243" i="17"/>
  <c r="V243" i="17"/>
  <c r="AB243" i="17" s="1"/>
  <c r="X242" i="17"/>
  <c r="W242" i="17"/>
  <c r="V242" i="17"/>
  <c r="AB242" i="17" s="1"/>
  <c r="X241" i="17"/>
  <c r="W241" i="17"/>
  <c r="V241" i="17"/>
  <c r="AB241" i="17" s="1"/>
  <c r="X240" i="17"/>
  <c r="W240" i="17"/>
  <c r="V240" i="17"/>
  <c r="AB240" i="17" s="1"/>
  <c r="X239" i="17"/>
  <c r="W239" i="17"/>
  <c r="AC239" i="17" s="1"/>
  <c r="V239" i="17"/>
  <c r="AB239" i="17" s="1"/>
  <c r="X238" i="17"/>
  <c r="W238" i="17"/>
  <c r="V238" i="17"/>
  <c r="AB238" i="17" s="1"/>
  <c r="X237" i="17"/>
  <c r="W237" i="17"/>
  <c r="V237" i="17"/>
  <c r="AB237" i="17" s="1"/>
  <c r="X236" i="17"/>
  <c r="W236" i="17"/>
  <c r="V236" i="17"/>
  <c r="AB236" i="17" s="1"/>
  <c r="X235" i="17"/>
  <c r="W235" i="17"/>
  <c r="V235" i="17"/>
  <c r="AB235" i="17" s="1"/>
  <c r="X234" i="17"/>
  <c r="W234" i="17"/>
  <c r="V234" i="17"/>
  <c r="AB234" i="17" s="1"/>
  <c r="X233" i="17"/>
  <c r="W233" i="17"/>
  <c r="V233" i="17"/>
  <c r="AB233" i="17" s="1"/>
  <c r="X232" i="17"/>
  <c r="W232" i="17"/>
  <c r="V232" i="17"/>
  <c r="AB232" i="17" s="1"/>
  <c r="X231" i="17"/>
  <c r="W231" i="17"/>
  <c r="AC231" i="17" s="1"/>
  <c r="V231" i="17"/>
  <c r="AB231" i="17" s="1"/>
  <c r="X230" i="17"/>
  <c r="W230" i="17"/>
  <c r="V230" i="17"/>
  <c r="AB230" i="17" s="1"/>
  <c r="X229" i="17"/>
  <c r="W229" i="17"/>
  <c r="V229" i="17"/>
  <c r="AB229" i="17" s="1"/>
  <c r="X228" i="17"/>
  <c r="W228" i="17"/>
  <c r="V228" i="17"/>
  <c r="AB228" i="17" s="1"/>
  <c r="X227" i="17"/>
  <c r="W227" i="17"/>
  <c r="V227" i="17"/>
  <c r="AB227" i="17" s="1"/>
  <c r="X226" i="17"/>
  <c r="W226" i="17"/>
  <c r="V226" i="17"/>
  <c r="AB226" i="17" s="1"/>
  <c r="X225" i="17"/>
  <c r="W225" i="17"/>
  <c r="V225" i="17"/>
  <c r="AB225" i="17" s="1"/>
  <c r="X224" i="17"/>
  <c r="W224" i="17"/>
  <c r="V224" i="17"/>
  <c r="AB224" i="17" s="1"/>
  <c r="X223" i="17"/>
  <c r="W223" i="17"/>
  <c r="AC223" i="17" s="1"/>
  <c r="V223" i="17"/>
  <c r="AB223" i="17" s="1"/>
  <c r="X222" i="17"/>
  <c r="W222" i="17"/>
  <c r="V222" i="17"/>
  <c r="AB222" i="17" s="1"/>
  <c r="X221" i="17"/>
  <c r="W221" i="17"/>
  <c r="V221" i="17"/>
  <c r="AB221" i="17" s="1"/>
  <c r="X220" i="17"/>
  <c r="W220" i="17"/>
  <c r="V220" i="17"/>
  <c r="AB220" i="17" s="1"/>
  <c r="X219" i="17"/>
  <c r="W219" i="17"/>
  <c r="V219" i="17"/>
  <c r="AB219" i="17" s="1"/>
  <c r="X218" i="17"/>
  <c r="W218" i="17"/>
  <c r="V218" i="17"/>
  <c r="AB218" i="17" s="1"/>
  <c r="X217" i="17"/>
  <c r="W217" i="17"/>
  <c r="V217" i="17"/>
  <c r="AB217" i="17" s="1"/>
  <c r="X216" i="17"/>
  <c r="W216" i="17"/>
  <c r="V216" i="17"/>
  <c r="AB216" i="17" s="1"/>
  <c r="X215" i="17"/>
  <c r="W215" i="17"/>
  <c r="AC215" i="17" s="1"/>
  <c r="V215" i="17"/>
  <c r="AB215" i="17" s="1"/>
  <c r="X214" i="17"/>
  <c r="W214" i="17"/>
  <c r="V214" i="17"/>
  <c r="AB214" i="17" s="1"/>
  <c r="X213" i="17"/>
  <c r="W213" i="17"/>
  <c r="V213" i="17"/>
  <c r="AB213" i="17" s="1"/>
  <c r="X212" i="17"/>
  <c r="W212" i="17"/>
  <c r="V212" i="17"/>
  <c r="AB212" i="17" s="1"/>
  <c r="X211" i="17"/>
  <c r="W211" i="17"/>
  <c r="V211" i="17"/>
  <c r="AB211" i="17" s="1"/>
  <c r="X210" i="17"/>
  <c r="W210" i="17"/>
  <c r="V210" i="17"/>
  <c r="AB210" i="17" s="1"/>
  <c r="X209" i="17"/>
  <c r="W209" i="17"/>
  <c r="V209" i="17"/>
  <c r="AB209" i="17" s="1"/>
  <c r="X208" i="17"/>
  <c r="W208" i="17"/>
  <c r="V208" i="17"/>
  <c r="AB208" i="17" s="1"/>
  <c r="X207" i="17"/>
  <c r="W207" i="17"/>
  <c r="AC207" i="17" s="1"/>
  <c r="V207" i="17"/>
  <c r="AB207" i="17" s="1"/>
  <c r="X206" i="17"/>
  <c r="W206" i="17"/>
  <c r="V206" i="17"/>
  <c r="AB206" i="17" s="1"/>
  <c r="X205" i="17"/>
  <c r="W205" i="17"/>
  <c r="V205" i="17"/>
  <c r="AB205" i="17" s="1"/>
  <c r="X204" i="17"/>
  <c r="W204" i="17"/>
  <c r="V204" i="17"/>
  <c r="AB204" i="17" s="1"/>
  <c r="X203" i="17"/>
  <c r="W203" i="17"/>
  <c r="V203" i="17"/>
  <c r="AB203" i="17" s="1"/>
  <c r="X202" i="17"/>
  <c r="W202" i="17"/>
  <c r="V202" i="17"/>
  <c r="AB202" i="17" s="1"/>
  <c r="X201" i="17"/>
  <c r="W201" i="17"/>
  <c r="V201" i="17"/>
  <c r="AB201" i="17" s="1"/>
  <c r="X200" i="17"/>
  <c r="W200" i="17"/>
  <c r="V200" i="17"/>
  <c r="AB200" i="17" s="1"/>
  <c r="X199" i="17"/>
  <c r="W199" i="17"/>
  <c r="V199" i="17"/>
  <c r="AB199" i="17" s="1"/>
  <c r="X198" i="17"/>
  <c r="W198" i="17"/>
  <c r="V198" i="17"/>
  <c r="AB198" i="17" s="1"/>
  <c r="V197" i="17"/>
  <c r="AB197" i="17" s="1"/>
  <c r="V196" i="17"/>
  <c r="AB196" i="17" s="1"/>
  <c r="V195" i="17"/>
  <c r="V194" i="17"/>
  <c r="AB194" i="17" s="1"/>
  <c r="V193" i="17"/>
  <c r="V192" i="17"/>
  <c r="AB192" i="17" s="1"/>
  <c r="V191" i="17"/>
  <c r="AB191" i="17" s="1"/>
  <c r="V190" i="17"/>
  <c r="AB190" i="17" s="1"/>
  <c r="V189" i="17"/>
  <c r="AB189" i="17" s="1"/>
  <c r="V188" i="17"/>
  <c r="AB188" i="17" s="1"/>
  <c r="V187" i="17"/>
  <c r="V186" i="17"/>
  <c r="AB186" i="17" s="1"/>
  <c r="V185" i="17"/>
  <c r="X184" i="17"/>
  <c r="W184" i="17"/>
  <c r="AC184" i="17" s="1"/>
  <c r="X183" i="17"/>
  <c r="W183" i="17"/>
  <c r="AC183" i="17" s="1"/>
  <c r="X182" i="17"/>
  <c r="W182" i="17"/>
  <c r="AC182" i="17" s="1"/>
  <c r="X181" i="17"/>
  <c r="W181" i="17"/>
  <c r="AC181" i="17" s="1"/>
  <c r="X180" i="17"/>
  <c r="W180" i="17"/>
  <c r="AC180" i="17" s="1"/>
  <c r="X179" i="17"/>
  <c r="W179" i="17"/>
  <c r="AC179" i="17" s="1"/>
  <c r="X178" i="17"/>
  <c r="W178" i="17"/>
  <c r="AC178" i="17" s="1"/>
  <c r="X177" i="17"/>
  <c r="W177" i="17"/>
  <c r="AC177" i="17" s="1"/>
  <c r="X176" i="17"/>
  <c r="W176" i="17"/>
  <c r="AC176" i="17" s="1"/>
  <c r="X175" i="17"/>
  <c r="W175" i="17"/>
  <c r="AC175" i="17" s="1"/>
  <c r="X174" i="17"/>
  <c r="W174" i="17"/>
  <c r="AC174" i="17" s="1"/>
  <c r="X173" i="17"/>
  <c r="W173" i="17"/>
  <c r="AC173" i="17" s="1"/>
  <c r="X172" i="17"/>
  <c r="W172" i="17"/>
  <c r="AC172" i="17" s="1"/>
  <c r="V171" i="17"/>
  <c r="AB171" i="17" s="1"/>
  <c r="V170" i="17"/>
  <c r="AB170" i="17" s="1"/>
  <c r="V169" i="17"/>
  <c r="AB169" i="17" s="1"/>
  <c r="V168" i="17"/>
  <c r="AB168" i="17" s="1"/>
  <c r="V167" i="17"/>
  <c r="AB167" i="17" s="1"/>
  <c r="V166" i="17"/>
  <c r="AB166" i="17" s="1"/>
  <c r="V165" i="17"/>
  <c r="AB165" i="17" s="1"/>
  <c r="V164" i="17"/>
  <c r="AB164" i="17" s="1"/>
  <c r="V163" i="17"/>
  <c r="AB163" i="17" s="1"/>
  <c r="V162" i="17"/>
  <c r="AB162" i="17" s="1"/>
  <c r="V161" i="17"/>
  <c r="AB161" i="17" s="1"/>
  <c r="V160" i="17"/>
  <c r="AB160" i="17" s="1"/>
  <c r="V159" i="17"/>
  <c r="AB159" i="17" s="1"/>
  <c r="X158" i="17"/>
  <c r="W158" i="17"/>
  <c r="V158" i="17"/>
  <c r="AB158" i="17" s="1"/>
  <c r="X157" i="17"/>
  <c r="W157" i="17"/>
  <c r="AC157" i="17" s="1"/>
  <c r="V157" i="17"/>
  <c r="AB157" i="17" s="1"/>
  <c r="X156" i="17"/>
  <c r="W156" i="17"/>
  <c r="V156" i="17"/>
  <c r="AB156" i="17" s="1"/>
  <c r="X155" i="17"/>
  <c r="W155" i="17"/>
  <c r="AC155" i="17" s="1"/>
  <c r="V155" i="17"/>
  <c r="AB155" i="17" s="1"/>
  <c r="X154" i="17"/>
  <c r="W154" i="17"/>
  <c r="V154" i="17"/>
  <c r="AB154" i="17" s="1"/>
  <c r="X153" i="17"/>
  <c r="W153" i="17"/>
  <c r="V153" i="17"/>
  <c r="AB153" i="17" s="1"/>
  <c r="X152" i="17"/>
  <c r="W152" i="17"/>
  <c r="V152" i="17"/>
  <c r="AB152" i="17" s="1"/>
  <c r="X151" i="17"/>
  <c r="W151" i="17"/>
  <c r="V151" i="17"/>
  <c r="AB151" i="17" s="1"/>
  <c r="X150" i="17"/>
  <c r="W150" i="17"/>
  <c r="V150" i="17"/>
  <c r="AB150" i="17" s="1"/>
  <c r="X149" i="17"/>
  <c r="W149" i="17"/>
  <c r="AC149" i="17" s="1"/>
  <c r="V149" i="17"/>
  <c r="AB149" i="17" s="1"/>
  <c r="X148" i="17"/>
  <c r="W148" i="17"/>
  <c r="V148" i="17"/>
  <c r="AB148" i="17" s="1"/>
  <c r="X147" i="17"/>
  <c r="W147" i="17"/>
  <c r="AC147" i="17" s="1"/>
  <c r="V147" i="17"/>
  <c r="AB147" i="17" s="1"/>
  <c r="X146" i="17"/>
  <c r="W146" i="17"/>
  <c r="V146" i="17"/>
  <c r="AB146" i="17" s="1"/>
  <c r="X145" i="17"/>
  <c r="W145" i="17"/>
  <c r="V145" i="17"/>
  <c r="AB145" i="17" s="1"/>
  <c r="X144" i="17"/>
  <c r="W144" i="17"/>
  <c r="V144" i="17"/>
  <c r="AB144" i="17" s="1"/>
  <c r="X143" i="17"/>
  <c r="W143" i="17"/>
  <c r="V143" i="17"/>
  <c r="AB143" i="17" s="1"/>
  <c r="X142" i="17"/>
  <c r="W142" i="17"/>
  <c r="V142" i="17"/>
  <c r="AB142" i="17" s="1"/>
  <c r="X141" i="17"/>
  <c r="W141" i="17"/>
  <c r="AC141" i="17" s="1"/>
  <c r="V141" i="17"/>
  <c r="AB141" i="17" s="1"/>
  <c r="X140" i="17"/>
  <c r="W140" i="17"/>
  <c r="V140" i="17"/>
  <c r="AB140" i="17" s="1"/>
  <c r="X139" i="17"/>
  <c r="W139" i="17"/>
  <c r="AC139" i="17" s="1"/>
  <c r="V139" i="17"/>
  <c r="AB139" i="17" s="1"/>
  <c r="X138" i="17"/>
  <c r="W138" i="17"/>
  <c r="V138" i="17"/>
  <c r="AB138" i="17" s="1"/>
  <c r="X137" i="17"/>
  <c r="W137" i="17"/>
  <c r="V137" i="17"/>
  <c r="AB137" i="17" s="1"/>
  <c r="X136" i="17"/>
  <c r="W136" i="17"/>
  <c r="V136" i="17"/>
  <c r="AB136" i="17" s="1"/>
  <c r="X135" i="17"/>
  <c r="W135" i="17"/>
  <c r="V135" i="17"/>
  <c r="AB135" i="17" s="1"/>
  <c r="X134" i="17"/>
  <c r="W134" i="17"/>
  <c r="V134" i="17"/>
  <c r="AB134" i="17" s="1"/>
  <c r="X133" i="17"/>
  <c r="W133" i="17"/>
  <c r="AC133" i="17" s="1"/>
  <c r="V133" i="17"/>
  <c r="AB133" i="17" s="1"/>
  <c r="X132" i="17"/>
  <c r="W132" i="17"/>
  <c r="V132" i="17"/>
  <c r="AB132" i="17" s="1"/>
  <c r="X131" i="17"/>
  <c r="W131" i="17"/>
  <c r="AC131" i="17" s="1"/>
  <c r="V131" i="17"/>
  <c r="AB131" i="17" s="1"/>
  <c r="X130" i="17"/>
  <c r="W130" i="17"/>
  <c r="V130" i="17"/>
  <c r="AB130" i="17" s="1"/>
  <c r="X129" i="17"/>
  <c r="W129" i="17"/>
  <c r="V129" i="17"/>
  <c r="AB129" i="17" s="1"/>
  <c r="X128" i="17"/>
  <c r="W128" i="17"/>
  <c r="V128" i="17"/>
  <c r="AB128" i="17" s="1"/>
  <c r="X127" i="17"/>
  <c r="W127" i="17"/>
  <c r="V127" i="17"/>
  <c r="AB127" i="17" s="1"/>
  <c r="X126" i="17"/>
  <c r="W126" i="17"/>
  <c r="V126" i="17"/>
  <c r="AB126" i="17" s="1"/>
  <c r="X125" i="17"/>
  <c r="W125" i="17"/>
  <c r="AC125" i="17" s="1"/>
  <c r="V125" i="17"/>
  <c r="AB125" i="17" s="1"/>
  <c r="X124" i="17"/>
  <c r="W124" i="17"/>
  <c r="V124" i="17"/>
  <c r="AB124" i="17" s="1"/>
  <c r="X123" i="17"/>
  <c r="W123" i="17"/>
  <c r="AC123" i="17" s="1"/>
  <c r="V123" i="17"/>
  <c r="AB123" i="17" s="1"/>
  <c r="X122" i="17"/>
  <c r="W122" i="17"/>
  <c r="V122" i="17"/>
  <c r="AB122" i="17" s="1"/>
  <c r="X121" i="17"/>
  <c r="W121" i="17"/>
  <c r="V121" i="17"/>
  <c r="AB121" i="17" s="1"/>
  <c r="X120" i="17"/>
  <c r="W120" i="17"/>
  <c r="V120" i="17"/>
  <c r="AB120" i="17" s="1"/>
  <c r="X119" i="17"/>
  <c r="W119" i="17"/>
  <c r="V119" i="17"/>
  <c r="AB119" i="17" s="1"/>
  <c r="X118" i="17"/>
  <c r="W118" i="17"/>
  <c r="V118" i="17"/>
  <c r="AB118" i="17" s="1"/>
  <c r="X117" i="17"/>
  <c r="W117" i="17"/>
  <c r="AC117" i="17" s="1"/>
  <c r="V117" i="17"/>
  <c r="AB117" i="17" s="1"/>
  <c r="X116" i="17"/>
  <c r="W116" i="17"/>
  <c r="V116" i="17"/>
  <c r="AB116" i="17" s="1"/>
  <c r="X115" i="17"/>
  <c r="W115" i="17"/>
  <c r="AC115" i="17" s="1"/>
  <c r="V115" i="17"/>
  <c r="AB115" i="17" s="1"/>
  <c r="X114" i="17"/>
  <c r="W114" i="17"/>
  <c r="V114" i="17"/>
  <c r="AB114" i="17" s="1"/>
  <c r="X113" i="17"/>
  <c r="W113" i="17"/>
  <c r="V113" i="17"/>
  <c r="AB113" i="17" s="1"/>
  <c r="X112" i="17"/>
  <c r="W112" i="17"/>
  <c r="V112" i="17"/>
  <c r="AB112" i="17" s="1"/>
  <c r="X111" i="17"/>
  <c r="W111" i="17"/>
  <c r="V111" i="17"/>
  <c r="AB111" i="17" s="1"/>
  <c r="X110" i="17"/>
  <c r="W110" i="17"/>
  <c r="V110" i="17"/>
  <c r="AB110" i="17" s="1"/>
  <c r="X109" i="17"/>
  <c r="W109" i="17"/>
  <c r="AC109" i="17" s="1"/>
  <c r="V109" i="17"/>
  <c r="AB109" i="17" s="1"/>
  <c r="X108" i="17"/>
  <c r="W108" i="17"/>
  <c r="V108" i="17"/>
  <c r="AB108" i="17" s="1"/>
  <c r="X107" i="17"/>
  <c r="W107" i="17"/>
  <c r="AC107" i="17" s="1"/>
  <c r="V107" i="17"/>
  <c r="AB107" i="17" s="1"/>
  <c r="X106" i="17"/>
  <c r="W106" i="17"/>
  <c r="V106" i="17"/>
  <c r="AB106" i="17" s="1"/>
  <c r="X105" i="17"/>
  <c r="W105" i="17"/>
  <c r="V105" i="17"/>
  <c r="AB105" i="17" s="1"/>
  <c r="X104" i="17"/>
  <c r="W104" i="17"/>
  <c r="V104" i="17"/>
  <c r="AB104" i="17" s="1"/>
  <c r="X103" i="17"/>
  <c r="W103" i="17"/>
  <c r="V103" i="17"/>
  <c r="AB103" i="17" s="1"/>
  <c r="X102" i="17"/>
  <c r="W102" i="17"/>
  <c r="V102" i="17"/>
  <c r="AB102" i="17" s="1"/>
  <c r="X101" i="17"/>
  <c r="W101" i="17"/>
  <c r="AC101" i="17" s="1"/>
  <c r="V101" i="17"/>
  <c r="AB101" i="17" s="1"/>
  <c r="X100" i="17"/>
  <c r="W100" i="17"/>
  <c r="V100" i="17"/>
  <c r="AB100" i="17" s="1"/>
  <c r="X99" i="17"/>
  <c r="W99" i="17"/>
  <c r="AC99" i="17" s="1"/>
  <c r="V99" i="17"/>
  <c r="AB99" i="17" s="1"/>
  <c r="X98" i="17"/>
  <c r="W98" i="17"/>
  <c r="V98" i="17"/>
  <c r="AB98" i="17" s="1"/>
  <c r="X97" i="17"/>
  <c r="W97" i="17"/>
  <c r="V97" i="17"/>
  <c r="AB97" i="17" s="1"/>
  <c r="X96" i="17"/>
  <c r="W96" i="17"/>
  <c r="V96" i="17"/>
  <c r="AB96" i="17" s="1"/>
  <c r="X95" i="17"/>
  <c r="W95" i="17"/>
  <c r="AC95" i="17" s="1"/>
  <c r="V95" i="17"/>
  <c r="AB95" i="17" s="1"/>
  <c r="X94" i="17"/>
  <c r="W94" i="17"/>
  <c r="V94" i="17"/>
  <c r="AB94" i="17" s="1"/>
  <c r="X93" i="17"/>
  <c r="W93" i="17"/>
  <c r="AC93" i="17" s="1"/>
  <c r="V93" i="17"/>
  <c r="AB93" i="17" s="1"/>
  <c r="X92" i="17"/>
  <c r="W92" i="17"/>
  <c r="V92" i="17"/>
  <c r="AB92" i="17" s="1"/>
  <c r="X91" i="17"/>
  <c r="W91" i="17"/>
  <c r="AC91" i="17" s="1"/>
  <c r="V91" i="17"/>
  <c r="AB91" i="17" s="1"/>
  <c r="X90" i="17"/>
  <c r="W90" i="17"/>
  <c r="V90" i="17"/>
  <c r="AB90" i="17" s="1"/>
  <c r="X89" i="17"/>
  <c r="W89" i="17"/>
  <c r="V89" i="17"/>
  <c r="AB89" i="17" s="1"/>
  <c r="X88" i="17"/>
  <c r="W88" i="17"/>
  <c r="V88" i="17"/>
  <c r="AB88" i="17" s="1"/>
  <c r="X37" i="17"/>
  <c r="W37" i="17"/>
  <c r="AC37" i="17" s="1"/>
  <c r="V37" i="17"/>
  <c r="AB37" i="17" s="1"/>
  <c r="X36" i="17"/>
  <c r="W36" i="17"/>
  <c r="V36" i="17"/>
  <c r="AB36" i="17" s="1"/>
  <c r="X35" i="17"/>
  <c r="W35" i="17"/>
  <c r="V35" i="17"/>
  <c r="AB35" i="17" s="1"/>
  <c r="X34" i="17"/>
  <c r="W34" i="17"/>
  <c r="V34" i="17"/>
  <c r="AB34" i="17" s="1"/>
  <c r="X33" i="17"/>
  <c r="W33" i="17"/>
  <c r="V33" i="17"/>
  <c r="AB33" i="17" s="1"/>
  <c r="X32" i="17"/>
  <c r="W32" i="17"/>
  <c r="V32" i="17"/>
  <c r="AB32" i="17" s="1"/>
  <c r="X31" i="17"/>
  <c r="W31" i="17"/>
  <c r="V31" i="17"/>
  <c r="AB31" i="17" s="1"/>
  <c r="X30" i="17"/>
  <c r="W30" i="17"/>
  <c r="V30" i="17"/>
  <c r="AB30" i="17" s="1"/>
  <c r="X29" i="17"/>
  <c r="W29" i="17"/>
  <c r="AC29" i="17" s="1"/>
  <c r="V29" i="17"/>
  <c r="AB29" i="17" s="1"/>
  <c r="X28" i="17"/>
  <c r="W28" i="17"/>
  <c r="V28" i="17"/>
  <c r="AB28" i="17" s="1"/>
  <c r="X27" i="17"/>
  <c r="W27" i="17"/>
  <c r="V27" i="17"/>
  <c r="AB27" i="17" s="1"/>
  <c r="X26" i="17"/>
  <c r="W26" i="17"/>
  <c r="V26" i="17"/>
  <c r="AB26" i="17" s="1"/>
  <c r="X25" i="17"/>
  <c r="W25" i="17"/>
  <c r="V25" i="17"/>
  <c r="AB25" i="17" s="1"/>
  <c r="X24" i="17"/>
  <c r="W24" i="17"/>
  <c r="V24" i="17"/>
  <c r="AB24" i="17" s="1"/>
  <c r="X23" i="17"/>
  <c r="W23" i="17"/>
  <c r="V23" i="17"/>
  <c r="AB23" i="17" s="1"/>
  <c r="X22" i="17"/>
  <c r="W22" i="17"/>
  <c r="V22" i="17"/>
  <c r="AB22" i="17" s="1"/>
  <c r="X21" i="17"/>
  <c r="W21" i="17"/>
  <c r="V21" i="17"/>
  <c r="AB21" i="17" s="1"/>
  <c r="X20" i="17"/>
  <c r="W20" i="17"/>
  <c r="V20" i="17"/>
  <c r="AB20" i="17" s="1"/>
  <c r="X19" i="17"/>
  <c r="W19" i="17"/>
  <c r="V19" i="17"/>
  <c r="AB19" i="17" s="1"/>
  <c r="X18" i="17"/>
  <c r="W18" i="17"/>
  <c r="V18" i="17"/>
  <c r="AB18" i="17" s="1"/>
  <c r="X17" i="17"/>
  <c r="W17" i="17"/>
  <c r="V17" i="17"/>
  <c r="AB17" i="17" s="1"/>
  <c r="X16" i="17"/>
  <c r="W16" i="17"/>
  <c r="V16" i="17"/>
  <c r="AB16" i="17" s="1"/>
  <c r="X15" i="17"/>
  <c r="W15" i="17"/>
  <c r="V15" i="17"/>
  <c r="AB15" i="17" s="1"/>
  <c r="X14" i="17"/>
  <c r="W14" i="17"/>
  <c r="V14" i="17"/>
  <c r="AB14" i="17" s="1"/>
  <c r="X13" i="17"/>
  <c r="W13" i="17"/>
  <c r="AC13" i="17" s="1"/>
  <c r="V13" i="17"/>
  <c r="AB13" i="17" s="1"/>
  <c r="X12" i="17"/>
  <c r="W12" i="17"/>
  <c r="AC12" i="17" s="1"/>
  <c r="V12" i="17"/>
  <c r="AB12" i="17" s="1"/>
  <c r="X11" i="17"/>
  <c r="W11" i="17"/>
  <c r="AC11" i="17" s="1"/>
  <c r="V11" i="17"/>
  <c r="AB11" i="17" s="1"/>
  <c r="X10" i="17"/>
  <c r="W10" i="17"/>
  <c r="V10" i="17"/>
  <c r="AB10" i="17" s="1"/>
  <c r="X9" i="17"/>
  <c r="W9" i="17"/>
  <c r="AC9" i="17" s="1"/>
  <c r="V9" i="17"/>
  <c r="AB9" i="17" s="1"/>
  <c r="X8" i="17"/>
  <c r="W8" i="17"/>
  <c r="V8" i="17"/>
  <c r="AB8" i="17" s="1"/>
  <c r="X7" i="17"/>
  <c r="W7" i="17"/>
  <c r="V7" i="17"/>
  <c r="AB7" i="17" s="1"/>
  <c r="X6" i="17"/>
  <c r="W6" i="17"/>
  <c r="V6" i="17"/>
  <c r="AB6" i="17" s="1"/>
  <c r="X5" i="17"/>
  <c r="W5" i="17"/>
  <c r="AC5" i="17" s="1"/>
  <c r="V5" i="17"/>
  <c r="AB5" i="17" s="1"/>
  <c r="X4" i="17"/>
  <c r="W4" i="17"/>
  <c r="AC4" i="17" s="1"/>
  <c r="V4" i="17"/>
  <c r="AB4" i="17" s="1"/>
  <c r="X3" i="17"/>
  <c r="W3" i="17"/>
  <c r="AC3" i="17" s="1"/>
  <c r="V3" i="17"/>
  <c r="AB3" i="17" s="1"/>
  <c r="X2" i="17"/>
  <c r="W2" i="17"/>
  <c r="V2" i="17"/>
  <c r="AB2" i="17" s="1"/>
  <c r="AE1261" i="16"/>
  <c r="AD1261" i="16"/>
  <c r="AE1260" i="16"/>
  <c r="AE1259" i="16"/>
  <c r="AE1258" i="16"/>
  <c r="AE1257" i="16"/>
  <c r="AE1256" i="16"/>
  <c r="AE1255" i="16"/>
  <c r="AE1254" i="16"/>
  <c r="AE1253" i="16"/>
  <c r="AE1252" i="16"/>
  <c r="AE1251" i="16"/>
  <c r="AE1250" i="16"/>
  <c r="AE1249" i="16"/>
  <c r="AE1248" i="16"/>
  <c r="AE1247" i="16"/>
  <c r="AE1246" i="16"/>
  <c r="AE1245" i="16"/>
  <c r="AE1244" i="16"/>
  <c r="AD1244" i="16"/>
  <c r="AC1244" i="16"/>
  <c r="AE1243" i="16"/>
  <c r="AD1243" i="16"/>
  <c r="AC1243" i="16"/>
  <c r="AE1242" i="16"/>
  <c r="AD1242" i="16"/>
  <c r="AC1242" i="16"/>
  <c r="AE1241" i="16"/>
  <c r="AD1241" i="16"/>
  <c r="AC1241" i="16"/>
  <c r="AE1240" i="16"/>
  <c r="AD1240" i="16"/>
  <c r="AC1240" i="16"/>
  <c r="AE1239" i="16"/>
  <c r="AD1239" i="16"/>
  <c r="AC1239" i="16"/>
  <c r="AE1238" i="16"/>
  <c r="AD1238" i="16"/>
  <c r="AC1238" i="16"/>
  <c r="AE1237" i="16"/>
  <c r="AD1237" i="16"/>
  <c r="AC1237" i="16"/>
  <c r="AE1236" i="16"/>
  <c r="AD1236" i="16"/>
  <c r="AC1236" i="16"/>
  <c r="AE1235" i="16"/>
  <c r="AD1235" i="16"/>
  <c r="AC1235" i="16"/>
  <c r="AE1234" i="16"/>
  <c r="AD1234" i="16"/>
  <c r="AC1234" i="16"/>
  <c r="AE1233" i="16"/>
  <c r="AD1233" i="16"/>
  <c r="AC1233" i="16"/>
  <c r="AE1232" i="16"/>
  <c r="AE1231" i="16"/>
  <c r="AE1230" i="16"/>
  <c r="AE1229" i="16"/>
  <c r="AE1228" i="16"/>
  <c r="AE1227" i="16"/>
  <c r="AE1226" i="16"/>
  <c r="AE1225" i="16"/>
  <c r="AE1224" i="16"/>
  <c r="AE1223" i="16"/>
  <c r="AE1222" i="16"/>
  <c r="AE1221" i="16"/>
  <c r="AE1220" i="16"/>
  <c r="AE1219" i="16"/>
  <c r="AE1218" i="16"/>
  <c r="AE1217" i="16"/>
  <c r="AE1216" i="16"/>
  <c r="AE1215" i="16"/>
  <c r="AE1214" i="16"/>
  <c r="AE1213" i="16"/>
  <c r="AE1212" i="16"/>
  <c r="AE1211" i="16"/>
  <c r="AE1210" i="16"/>
  <c r="AE1209" i="16"/>
  <c r="AE1208" i="16"/>
  <c r="AE1207" i="16"/>
  <c r="AE1206" i="16"/>
  <c r="AE1205" i="16"/>
  <c r="AE1204" i="16"/>
  <c r="AE1203" i="16"/>
  <c r="AE1202" i="16"/>
  <c r="AE1201" i="16"/>
  <c r="AE1200" i="16"/>
  <c r="AE1199" i="16"/>
  <c r="AE1198" i="16"/>
  <c r="AE1197" i="16"/>
  <c r="AE1196" i="16"/>
  <c r="AE1195" i="16"/>
  <c r="AE1194" i="16"/>
  <c r="AE1193" i="16"/>
  <c r="AE1192" i="16"/>
  <c r="AE1191" i="16"/>
  <c r="AE1190" i="16"/>
  <c r="AE1189" i="16"/>
  <c r="AE1188" i="16"/>
  <c r="AE1187" i="16"/>
  <c r="AE1186" i="16"/>
  <c r="AE1185" i="16"/>
  <c r="AE1184" i="16"/>
  <c r="AE1183" i="16"/>
  <c r="AE1182" i="16"/>
  <c r="AE1181" i="16"/>
  <c r="AE1180" i="16"/>
  <c r="AE1179" i="16"/>
  <c r="AE1178" i="16"/>
  <c r="AE1177" i="16"/>
  <c r="AE1176" i="16"/>
  <c r="AE1175" i="16"/>
  <c r="AE1174" i="16"/>
  <c r="AE1173" i="16"/>
  <c r="AE1172" i="16"/>
  <c r="AE1171" i="16"/>
  <c r="AE1170" i="16"/>
  <c r="AE1169" i="16"/>
  <c r="AE1168" i="16"/>
  <c r="AE1167" i="16"/>
  <c r="AE1166" i="16"/>
  <c r="AE1165" i="16"/>
  <c r="AE1164" i="16"/>
  <c r="AE1163" i="16"/>
  <c r="AE1162" i="16"/>
  <c r="AE1161" i="16"/>
  <c r="AE1160" i="16"/>
  <c r="AE1159" i="16"/>
  <c r="AE1158" i="16"/>
  <c r="AE1157" i="16"/>
  <c r="AE1156" i="16"/>
  <c r="AE1155" i="16"/>
  <c r="AE1154" i="16"/>
  <c r="AE1153" i="16"/>
  <c r="AE1152" i="16"/>
  <c r="AE1151" i="16"/>
  <c r="AE1150" i="16"/>
  <c r="AE1149" i="16"/>
  <c r="AE1148" i="16"/>
  <c r="AE1147" i="16"/>
  <c r="AE1146" i="16"/>
  <c r="AE1145" i="16"/>
  <c r="AE1144" i="16"/>
  <c r="AE1143" i="16"/>
  <c r="AE1142" i="16"/>
  <c r="AE1141" i="16"/>
  <c r="AE1140" i="16"/>
  <c r="AE1139" i="16"/>
  <c r="AE1138" i="16"/>
  <c r="AE1137" i="16"/>
  <c r="AE1136" i="16"/>
  <c r="AE1135" i="16"/>
  <c r="AE1134" i="16"/>
  <c r="AE1133" i="16"/>
  <c r="AE1132" i="16"/>
  <c r="AE1131" i="16"/>
  <c r="AE1130" i="16"/>
  <c r="AE1129" i="16"/>
  <c r="AE1128" i="16"/>
  <c r="AE1127" i="16"/>
  <c r="AE1126" i="16"/>
  <c r="AE1125" i="16"/>
  <c r="AE1124" i="16"/>
  <c r="AE1123" i="16"/>
  <c r="AE1122" i="16"/>
  <c r="AE1121" i="16"/>
  <c r="AE1120" i="16"/>
  <c r="AE1119" i="16"/>
  <c r="AE1118" i="16"/>
  <c r="AE1117" i="16"/>
  <c r="AE1116" i="16"/>
  <c r="AE1115" i="16"/>
  <c r="AE1114" i="16"/>
  <c r="AE1113" i="16"/>
  <c r="AE1112" i="16"/>
  <c r="AE1111" i="16"/>
  <c r="AE1110" i="16"/>
  <c r="AE1109" i="16"/>
  <c r="AE1108" i="16"/>
  <c r="AE1107" i="16"/>
  <c r="AE1106" i="16"/>
  <c r="AE1105" i="16"/>
  <c r="AE1104" i="16"/>
  <c r="AE1103" i="16"/>
  <c r="AE1102" i="16"/>
  <c r="AE1101" i="16"/>
  <c r="AE1100" i="16"/>
  <c r="AE1099" i="16"/>
  <c r="AE1098" i="16"/>
  <c r="AE1097" i="16"/>
  <c r="AE1096" i="16"/>
  <c r="AE1095" i="16"/>
  <c r="AE1094" i="16"/>
  <c r="AE1093" i="16"/>
  <c r="AE1092" i="16"/>
  <c r="AE1091" i="16"/>
  <c r="AE1090" i="16"/>
  <c r="AE1089" i="16"/>
  <c r="AE1088" i="16"/>
  <c r="AE1087" i="16"/>
  <c r="AE1086" i="16"/>
  <c r="AE1085" i="16"/>
  <c r="AE1084" i="16"/>
  <c r="AE1083" i="16"/>
  <c r="AE1082" i="16"/>
  <c r="AE1081" i="16"/>
  <c r="AE1080" i="16"/>
  <c r="AE1079" i="16"/>
  <c r="AE1078" i="16"/>
  <c r="AE1077" i="16"/>
  <c r="AE1076" i="16"/>
  <c r="AE1075" i="16"/>
  <c r="AE1074" i="16"/>
  <c r="AE1073" i="16"/>
  <c r="AE1072" i="16"/>
  <c r="AE1071" i="16"/>
  <c r="AE1070" i="16"/>
  <c r="AE1069" i="16"/>
  <c r="AE1068" i="16"/>
  <c r="AE1067" i="16"/>
  <c r="AE1066" i="16"/>
  <c r="AE1065" i="16"/>
  <c r="AE1064" i="16"/>
  <c r="AE1063" i="16"/>
  <c r="AE1062" i="16"/>
  <c r="AE1061" i="16"/>
  <c r="AE1060" i="16"/>
  <c r="AE1059" i="16"/>
  <c r="AE1058" i="16"/>
  <c r="AE1057" i="16"/>
  <c r="AE1056" i="16"/>
  <c r="AE1055" i="16"/>
  <c r="AE1054" i="16"/>
  <c r="AE1053" i="16"/>
  <c r="AE1052" i="16"/>
  <c r="AE1051" i="16"/>
  <c r="AE1050" i="16"/>
  <c r="AE1049" i="16"/>
  <c r="AE1048" i="16"/>
  <c r="AE1047" i="16"/>
  <c r="AE1046" i="16"/>
  <c r="AE1045" i="16"/>
  <c r="AE1044" i="16"/>
  <c r="AE1043" i="16"/>
  <c r="AE1042" i="16"/>
  <c r="AE1041" i="16"/>
  <c r="AE1040" i="16"/>
  <c r="AE1039" i="16"/>
  <c r="AE1038" i="16"/>
  <c r="AE1037" i="16"/>
  <c r="AE1036" i="16"/>
  <c r="AE1035" i="16"/>
  <c r="AE1034" i="16"/>
  <c r="AE1033" i="16"/>
  <c r="AE1032" i="16"/>
  <c r="AE1031" i="16"/>
  <c r="AE1030" i="16"/>
  <c r="AE1029" i="16"/>
  <c r="AE1028" i="16"/>
  <c r="AE1027" i="16"/>
  <c r="AE1026" i="16"/>
  <c r="AE1025" i="16"/>
  <c r="AE1024" i="16"/>
  <c r="AE1023" i="16"/>
  <c r="AE1022" i="16"/>
  <c r="AE1021" i="16"/>
  <c r="AE1020" i="16"/>
  <c r="AE1019" i="16"/>
  <c r="AE1018" i="16"/>
  <c r="AE1017" i="16"/>
  <c r="AE1016" i="16"/>
  <c r="AE1015" i="16"/>
  <c r="AE1014" i="16"/>
  <c r="AE1013" i="16"/>
  <c r="AE1012" i="16"/>
  <c r="AE1011" i="16"/>
  <c r="AE1010" i="16"/>
  <c r="AE1009" i="16"/>
  <c r="AE1008" i="16"/>
  <c r="AE1007" i="16"/>
  <c r="AE1006" i="16"/>
  <c r="AE1005" i="16"/>
  <c r="AE1004" i="16"/>
  <c r="AE1003" i="16"/>
  <c r="AE1002" i="16"/>
  <c r="AE1001" i="16"/>
  <c r="AE1000" i="16"/>
  <c r="AE999" i="16"/>
  <c r="AE998" i="16"/>
  <c r="AE997" i="16"/>
  <c r="AE996" i="16"/>
  <c r="AE995" i="16"/>
  <c r="AE994" i="16"/>
  <c r="AE993" i="16"/>
  <c r="AE992" i="16"/>
  <c r="AE991" i="16"/>
  <c r="AE990" i="16"/>
  <c r="AE989" i="16"/>
  <c r="AE988" i="16"/>
  <c r="AE987" i="16"/>
  <c r="AE986" i="16"/>
  <c r="AE985" i="16"/>
  <c r="AE984" i="16"/>
  <c r="AE983" i="16"/>
  <c r="AE982" i="16"/>
  <c r="AE981" i="16"/>
  <c r="AE980" i="16"/>
  <c r="AE979" i="16"/>
  <c r="AE978" i="16"/>
  <c r="AE977" i="16"/>
  <c r="AE976" i="16"/>
  <c r="AE975" i="16"/>
  <c r="AE974" i="16"/>
  <c r="AE973" i="16"/>
  <c r="AE972" i="16"/>
  <c r="AE971" i="16"/>
  <c r="AE970" i="16"/>
  <c r="AE969" i="16"/>
  <c r="AE968" i="16"/>
  <c r="AE967" i="16"/>
  <c r="AE966" i="16"/>
  <c r="AE965" i="16"/>
  <c r="AE964" i="16"/>
  <c r="AE963" i="16"/>
  <c r="AE962" i="16"/>
  <c r="AE961" i="16"/>
  <c r="AE960" i="16"/>
  <c r="AE959" i="16"/>
  <c r="AE958" i="16"/>
  <c r="AE957" i="16"/>
  <c r="AE956" i="16"/>
  <c r="AE955" i="16"/>
  <c r="AE954" i="16"/>
  <c r="AE953" i="16"/>
  <c r="AE952" i="16"/>
  <c r="AE951" i="16"/>
  <c r="AE950" i="16"/>
  <c r="AE949" i="16"/>
  <c r="AE948" i="16"/>
  <c r="AE947" i="16"/>
  <c r="AE946" i="16"/>
  <c r="AE945" i="16"/>
  <c r="AE944" i="16"/>
  <c r="AE943" i="16"/>
  <c r="AE942" i="16"/>
  <c r="AE941" i="16"/>
  <c r="AE940" i="16"/>
  <c r="AE939" i="16"/>
  <c r="AE938" i="16"/>
  <c r="AE937" i="16"/>
  <c r="AE936" i="16"/>
  <c r="AE935" i="16"/>
  <c r="AE934" i="16"/>
  <c r="AE933" i="16"/>
  <c r="AE932" i="16"/>
  <c r="AE931" i="16"/>
  <c r="AE930" i="16"/>
  <c r="AE929" i="16"/>
  <c r="AE928" i="16"/>
  <c r="AE927" i="16"/>
  <c r="AE926" i="16"/>
  <c r="AE925" i="16"/>
  <c r="AE924" i="16"/>
  <c r="AE923" i="16"/>
  <c r="AE922" i="16"/>
  <c r="AE921" i="16"/>
  <c r="AE920" i="16"/>
  <c r="AE919" i="16"/>
  <c r="AE918" i="16"/>
  <c r="AE917" i="16"/>
  <c r="AE916" i="16"/>
  <c r="AE915" i="16"/>
  <c r="AE914" i="16"/>
  <c r="AE913" i="16"/>
  <c r="AE912" i="16"/>
  <c r="AE911" i="16"/>
  <c r="AE910" i="16"/>
  <c r="AE909" i="16"/>
  <c r="AE908" i="16"/>
  <c r="AE907" i="16"/>
  <c r="AE906" i="16"/>
  <c r="AE905" i="16"/>
  <c r="AE904" i="16"/>
  <c r="AE903" i="16"/>
  <c r="AE902" i="16"/>
  <c r="AE901" i="16"/>
  <c r="AE900" i="16"/>
  <c r="AE899" i="16"/>
  <c r="AE898" i="16"/>
  <c r="AE897" i="16"/>
  <c r="AE896" i="16"/>
  <c r="AE895" i="16"/>
  <c r="AE894" i="16"/>
  <c r="AE893" i="16"/>
  <c r="AE892" i="16"/>
  <c r="AE891" i="16"/>
  <c r="AE890" i="16"/>
  <c r="AE889" i="16"/>
  <c r="AE888" i="16"/>
  <c r="AE887" i="16"/>
  <c r="AE886" i="16"/>
  <c r="AE885" i="16"/>
  <c r="AE884" i="16"/>
  <c r="AE883" i="16"/>
  <c r="AE882" i="16"/>
  <c r="AE881" i="16"/>
  <c r="AE880" i="16"/>
  <c r="AE879" i="16"/>
  <c r="AE878" i="16"/>
  <c r="AE877" i="16"/>
  <c r="AE876" i="16"/>
  <c r="AE875" i="16"/>
  <c r="AE874" i="16"/>
  <c r="AE873" i="16"/>
  <c r="AE872" i="16"/>
  <c r="AE871" i="16"/>
  <c r="AE870" i="16"/>
  <c r="AE869" i="16"/>
  <c r="AE868" i="16"/>
  <c r="AE867" i="16"/>
  <c r="AE866" i="16"/>
  <c r="AE865" i="16"/>
  <c r="AE864" i="16"/>
  <c r="AE863" i="16"/>
  <c r="AE862" i="16"/>
  <c r="AE861" i="16"/>
  <c r="AE860" i="16"/>
  <c r="AE859" i="16"/>
  <c r="AE858" i="16"/>
  <c r="AE857" i="16"/>
  <c r="AE856" i="16"/>
  <c r="AE855" i="16"/>
  <c r="AE854" i="16"/>
  <c r="AE853" i="16"/>
  <c r="AE852" i="16"/>
  <c r="AE851" i="16"/>
  <c r="AE850" i="16"/>
  <c r="AE849" i="16"/>
  <c r="AE848" i="16"/>
  <c r="AE847" i="16"/>
  <c r="AE846" i="16"/>
  <c r="AE845" i="16"/>
  <c r="AE844" i="16"/>
  <c r="AE843" i="16"/>
  <c r="AE842" i="16"/>
  <c r="AE841" i="16"/>
  <c r="AE840" i="16"/>
  <c r="AE839" i="16"/>
  <c r="AE838" i="16"/>
  <c r="AE837" i="16"/>
  <c r="AE836" i="16"/>
  <c r="AE835" i="16"/>
  <c r="AE834" i="16"/>
  <c r="AE833" i="16"/>
  <c r="AE832" i="16"/>
  <c r="AE831" i="16"/>
  <c r="AE830" i="16"/>
  <c r="AE829" i="16"/>
  <c r="AE828" i="16"/>
  <c r="AE827" i="16"/>
  <c r="AE826" i="16"/>
  <c r="AE825" i="16"/>
  <c r="AE824" i="16"/>
  <c r="AE823" i="16"/>
  <c r="AE822" i="16"/>
  <c r="AE821" i="16"/>
  <c r="AE820" i="16"/>
  <c r="AE819" i="16"/>
  <c r="AE818" i="16"/>
  <c r="AE817" i="16"/>
  <c r="AE816" i="16"/>
  <c r="AE815" i="16"/>
  <c r="AE814" i="16"/>
  <c r="AE813" i="16"/>
  <c r="AE812" i="16"/>
  <c r="AE811" i="16"/>
  <c r="AE810" i="16"/>
  <c r="AE809" i="16"/>
  <c r="AE808" i="16"/>
  <c r="AE807" i="16"/>
  <c r="AE806" i="16"/>
  <c r="AE805" i="16"/>
  <c r="AE804" i="16"/>
  <c r="AE803" i="16"/>
  <c r="AE802" i="16"/>
  <c r="AE801" i="16"/>
  <c r="AE800" i="16"/>
  <c r="AE799" i="16"/>
  <c r="AE798" i="16"/>
  <c r="AE797" i="16"/>
  <c r="AE796" i="16"/>
  <c r="AE795" i="16"/>
  <c r="AE794" i="16"/>
  <c r="AE793" i="16"/>
  <c r="AE792" i="16"/>
  <c r="AE791" i="16"/>
  <c r="AE790" i="16"/>
  <c r="AE789" i="16"/>
  <c r="AE788" i="16"/>
  <c r="AE787" i="16"/>
  <c r="AE786" i="16"/>
  <c r="AE785" i="16"/>
  <c r="AE784" i="16"/>
  <c r="AE783" i="16"/>
  <c r="AE782" i="16"/>
  <c r="AE781" i="16"/>
  <c r="AE780" i="16"/>
  <c r="AE779" i="16"/>
  <c r="AE778" i="16"/>
  <c r="AE777" i="16"/>
  <c r="AE776" i="16"/>
  <c r="AE775" i="16"/>
  <c r="AE774" i="16"/>
  <c r="AE773" i="16"/>
  <c r="AE772" i="16"/>
  <c r="AE771" i="16"/>
  <c r="AE770" i="16"/>
  <c r="AE769" i="16"/>
  <c r="AE768" i="16"/>
  <c r="AE767" i="16"/>
  <c r="AE766" i="16"/>
  <c r="AE765" i="16"/>
  <c r="AE764" i="16"/>
  <c r="AE763" i="16"/>
  <c r="AE762" i="16"/>
  <c r="AE761" i="16"/>
  <c r="AE760" i="16"/>
  <c r="AE759" i="16"/>
  <c r="AE758" i="16"/>
  <c r="AE757" i="16"/>
  <c r="AE756" i="16"/>
  <c r="AE755" i="16"/>
  <c r="AE754" i="16"/>
  <c r="AE753" i="16"/>
  <c r="AE752" i="16"/>
  <c r="AE751" i="16"/>
  <c r="AE750" i="16"/>
  <c r="AE749" i="16"/>
  <c r="AE748" i="16"/>
  <c r="AE747" i="16"/>
  <c r="AE746" i="16"/>
  <c r="AE745" i="16"/>
  <c r="AE744" i="16"/>
  <c r="AE743" i="16"/>
  <c r="AE742" i="16"/>
  <c r="AE741" i="16"/>
  <c r="AE740" i="16"/>
  <c r="AE739" i="16"/>
  <c r="AE738" i="16"/>
  <c r="AE737" i="16"/>
  <c r="AE736" i="16"/>
  <c r="AE735" i="16"/>
  <c r="AE734" i="16"/>
  <c r="AE733" i="16"/>
  <c r="AE732" i="16"/>
  <c r="AE731" i="16"/>
  <c r="AE730" i="16"/>
  <c r="AE729" i="16"/>
  <c r="AE728" i="16"/>
  <c r="AE727" i="16"/>
  <c r="AE726" i="16"/>
  <c r="AE725" i="16"/>
  <c r="AE724" i="16"/>
  <c r="AE723" i="16"/>
  <c r="AE722" i="16"/>
  <c r="AE721" i="16"/>
  <c r="AE720" i="16"/>
  <c r="AE719" i="16"/>
  <c r="AE718" i="16"/>
  <c r="AE717" i="16"/>
  <c r="AE716" i="16"/>
  <c r="AE715" i="16"/>
  <c r="AE714" i="16"/>
  <c r="AE713" i="16"/>
  <c r="AE712" i="16"/>
  <c r="AE711" i="16"/>
  <c r="AE710" i="16"/>
  <c r="AE709" i="16"/>
  <c r="AE708" i="16"/>
  <c r="AE707" i="16"/>
  <c r="AE706" i="16"/>
  <c r="AE705" i="16"/>
  <c r="AE704" i="16"/>
  <c r="AE703" i="16"/>
  <c r="AE702" i="16"/>
  <c r="AE701" i="16"/>
  <c r="AE700" i="16"/>
  <c r="AE699" i="16"/>
  <c r="AE698" i="16"/>
  <c r="AE697" i="16"/>
  <c r="AE696" i="16"/>
  <c r="AE695" i="16"/>
  <c r="AE694" i="16"/>
  <c r="AE693" i="16"/>
  <c r="AE692" i="16"/>
  <c r="AE691" i="16"/>
  <c r="AE690" i="16"/>
  <c r="AE689" i="16"/>
  <c r="AE688" i="16"/>
  <c r="AE687" i="16"/>
  <c r="AE686" i="16"/>
  <c r="AE685" i="16"/>
  <c r="AE684" i="16"/>
  <c r="AE683" i="16"/>
  <c r="AE682" i="16"/>
  <c r="AE681" i="16"/>
  <c r="AE680" i="16"/>
  <c r="AE679" i="16"/>
  <c r="AE678" i="16"/>
  <c r="AE677" i="16"/>
  <c r="AE676" i="16"/>
  <c r="AE675" i="16"/>
  <c r="AE674" i="16"/>
  <c r="AE673" i="16"/>
  <c r="AE672" i="16"/>
  <c r="AE671" i="16"/>
  <c r="AE670" i="16"/>
  <c r="AE669" i="16"/>
  <c r="AE668" i="16"/>
  <c r="AE667" i="16"/>
  <c r="AE666" i="16"/>
  <c r="AE665" i="16"/>
  <c r="AE664" i="16"/>
  <c r="AE663" i="16"/>
  <c r="AE662" i="16"/>
  <c r="AE661" i="16"/>
  <c r="AE660" i="16"/>
  <c r="AE659" i="16"/>
  <c r="AE658" i="16"/>
  <c r="AE657" i="16"/>
  <c r="AE656" i="16"/>
  <c r="AE655" i="16"/>
  <c r="AE654" i="16"/>
  <c r="AE653" i="16"/>
  <c r="AE652" i="16"/>
  <c r="AE651" i="16"/>
  <c r="AE650" i="16"/>
  <c r="AE649" i="16"/>
  <c r="AE648" i="16"/>
  <c r="AE647" i="16"/>
  <c r="AE646" i="16"/>
  <c r="AE645" i="16"/>
  <c r="AE644" i="16"/>
  <c r="AE643" i="16"/>
  <c r="AE642" i="16"/>
  <c r="AE641" i="16"/>
  <c r="AE640" i="16"/>
  <c r="AE639" i="16"/>
  <c r="AE638" i="16"/>
  <c r="AE637" i="16"/>
  <c r="AE636" i="16"/>
  <c r="AE635" i="16"/>
  <c r="AE634" i="16"/>
  <c r="AE633" i="16"/>
  <c r="AE632" i="16"/>
  <c r="AE631" i="16"/>
  <c r="AE630" i="16"/>
  <c r="AE629" i="16"/>
  <c r="AE628" i="16"/>
  <c r="AE627" i="16"/>
  <c r="AE626" i="16"/>
  <c r="AE625" i="16"/>
  <c r="AE624" i="16"/>
  <c r="AE623" i="16"/>
  <c r="AE622" i="16"/>
  <c r="AE621" i="16"/>
  <c r="AE620" i="16"/>
  <c r="AE619" i="16"/>
  <c r="AE618" i="16"/>
  <c r="AE617" i="16"/>
  <c r="AE616" i="16"/>
  <c r="AE615" i="16"/>
  <c r="AE614" i="16"/>
  <c r="AE613" i="16"/>
  <c r="AE612" i="16"/>
  <c r="AE611" i="16"/>
  <c r="AE610" i="16"/>
  <c r="AE609" i="16"/>
  <c r="AE608" i="16"/>
  <c r="AE607" i="16"/>
  <c r="AE606" i="16"/>
  <c r="AE605" i="16"/>
  <c r="AE604" i="16"/>
  <c r="AE603" i="16"/>
  <c r="AE602" i="16"/>
  <c r="AE601" i="16"/>
  <c r="AE600" i="16"/>
  <c r="AE599" i="16"/>
  <c r="AE598" i="16"/>
  <c r="AE597" i="16"/>
  <c r="AE596" i="16"/>
  <c r="AE595" i="16"/>
  <c r="AE594" i="16"/>
  <c r="AE593" i="16"/>
  <c r="AE592" i="16"/>
  <c r="AE591" i="16"/>
  <c r="AE590" i="16"/>
  <c r="AE589" i="16"/>
  <c r="AE588" i="16"/>
  <c r="AE587" i="16"/>
  <c r="AE586" i="16"/>
  <c r="AE585" i="16"/>
  <c r="AE584" i="16"/>
  <c r="AE583" i="16"/>
  <c r="AE582" i="16"/>
  <c r="AE581" i="16"/>
  <c r="AE580" i="16"/>
  <c r="AE579" i="16"/>
  <c r="AE578" i="16"/>
  <c r="AE577" i="16"/>
  <c r="AE576" i="16"/>
  <c r="AE575" i="16"/>
  <c r="AE574" i="16"/>
  <c r="AE573" i="16"/>
  <c r="AE572" i="16"/>
  <c r="AE571" i="16"/>
  <c r="AE570" i="16"/>
  <c r="AE569" i="16"/>
  <c r="AE568" i="16"/>
  <c r="AE567" i="16"/>
  <c r="AE566" i="16"/>
  <c r="AE565" i="16"/>
  <c r="AE564" i="16"/>
  <c r="AE563" i="16"/>
  <c r="AE562" i="16"/>
  <c r="AE561" i="16"/>
  <c r="AE560" i="16"/>
  <c r="AE559" i="16"/>
  <c r="AE558" i="16"/>
  <c r="AE557" i="16"/>
  <c r="AE556" i="16"/>
  <c r="AE555" i="16"/>
  <c r="AE554" i="16"/>
  <c r="AE553" i="16"/>
  <c r="AE552" i="16"/>
  <c r="AE551" i="16"/>
  <c r="AE550" i="16"/>
  <c r="AE549" i="16"/>
  <c r="AE548" i="16"/>
  <c r="AE547" i="16"/>
  <c r="AE546" i="16"/>
  <c r="AE545" i="16"/>
  <c r="AE544" i="16"/>
  <c r="AE543" i="16"/>
  <c r="AE542" i="16"/>
  <c r="AE541" i="16"/>
  <c r="AE540" i="16"/>
  <c r="AE539" i="16"/>
  <c r="AE538" i="16"/>
  <c r="AE537" i="16"/>
  <c r="AD537" i="16"/>
  <c r="AC537" i="16"/>
  <c r="AE536" i="16"/>
  <c r="AD536" i="16"/>
  <c r="AC536" i="16"/>
  <c r="AE535" i="16"/>
  <c r="AD535" i="16"/>
  <c r="AC535" i="16"/>
  <c r="AE534" i="16"/>
  <c r="AD534" i="16"/>
  <c r="AC534" i="16"/>
  <c r="AE533" i="16"/>
  <c r="AD533" i="16"/>
  <c r="AC533" i="16"/>
  <c r="AE532" i="16"/>
  <c r="AD532" i="16"/>
  <c r="AC532" i="16"/>
  <c r="AE531" i="16"/>
  <c r="AD531" i="16"/>
  <c r="AC531" i="16"/>
  <c r="AE530" i="16"/>
  <c r="AD530" i="16"/>
  <c r="AC530" i="16"/>
  <c r="AE529" i="16"/>
  <c r="AD529" i="16"/>
  <c r="AC529" i="16"/>
  <c r="AE528" i="16"/>
  <c r="AD528" i="16"/>
  <c r="AC528" i="16"/>
  <c r="AE527" i="16"/>
  <c r="AD527" i="16"/>
  <c r="AC527" i="16"/>
  <c r="AE526" i="16"/>
  <c r="AD526" i="16"/>
  <c r="AC526" i="16"/>
  <c r="AE525" i="16"/>
  <c r="AD525" i="16"/>
  <c r="AC525" i="16"/>
  <c r="AG524" i="16"/>
  <c r="AF524" i="16"/>
  <c r="AB524" i="16"/>
  <c r="AG523" i="16"/>
  <c r="AF523" i="16"/>
  <c r="AB523" i="16"/>
  <c r="AG522" i="16"/>
  <c r="AF522" i="16"/>
  <c r="AB522" i="16"/>
  <c r="AG521" i="16"/>
  <c r="AF521" i="16"/>
  <c r="AB521" i="16"/>
  <c r="AG520" i="16"/>
  <c r="AF520" i="16"/>
  <c r="AB520" i="16"/>
  <c r="AG519" i="16"/>
  <c r="AF519" i="16"/>
  <c r="AB519" i="16"/>
  <c r="AG518" i="16"/>
  <c r="AF518" i="16"/>
  <c r="AB518" i="16"/>
  <c r="AG517" i="16"/>
  <c r="AF517" i="16"/>
  <c r="AB517" i="16"/>
  <c r="AG516" i="16"/>
  <c r="AF516" i="16"/>
  <c r="AB516" i="16"/>
  <c r="AG515" i="16"/>
  <c r="AF515" i="16"/>
  <c r="AB515" i="16"/>
  <c r="AG514" i="16"/>
  <c r="AF514" i="16"/>
  <c r="AB514" i="16"/>
  <c r="AG513" i="16"/>
  <c r="AF513" i="16"/>
  <c r="AB513" i="16"/>
  <c r="AG512" i="16"/>
  <c r="AF512" i="16"/>
  <c r="AB512" i="16"/>
  <c r="AE511" i="16"/>
  <c r="AD511" i="16"/>
  <c r="AC511" i="16"/>
  <c r="AE510" i="16"/>
  <c r="AD510" i="16"/>
  <c r="AC510" i="16"/>
  <c r="AE509" i="16"/>
  <c r="AD509" i="16"/>
  <c r="AC509" i="16"/>
  <c r="AE508" i="16"/>
  <c r="AD508" i="16"/>
  <c r="AC508" i="16"/>
  <c r="AE507" i="16"/>
  <c r="AD507" i="16"/>
  <c r="AC507" i="16"/>
  <c r="AE506" i="16"/>
  <c r="AD506" i="16"/>
  <c r="AC506" i="16"/>
  <c r="AE505" i="16"/>
  <c r="AD505" i="16"/>
  <c r="AC505" i="16"/>
  <c r="AE504" i="16"/>
  <c r="AD504" i="16"/>
  <c r="AC504" i="16"/>
  <c r="AE503" i="16"/>
  <c r="AD503" i="16"/>
  <c r="AC503" i="16"/>
  <c r="AE502" i="16"/>
  <c r="AD502" i="16"/>
  <c r="AC502" i="16"/>
  <c r="AE501" i="16"/>
  <c r="AD501" i="16"/>
  <c r="AC501" i="16"/>
  <c r="AE500" i="16"/>
  <c r="AD500" i="16"/>
  <c r="AC500" i="16"/>
  <c r="AE499" i="16"/>
  <c r="AD499" i="16"/>
  <c r="AC499" i="16"/>
  <c r="AE498" i="16"/>
  <c r="AE497" i="16"/>
  <c r="AE496" i="16"/>
  <c r="AE495" i="16"/>
  <c r="AE494" i="16"/>
  <c r="AE493" i="16"/>
  <c r="AE492" i="16"/>
  <c r="AE491" i="16"/>
  <c r="AE490" i="16"/>
  <c r="AE489" i="16"/>
  <c r="AE488" i="16"/>
  <c r="AE487" i="16"/>
  <c r="AG486" i="16"/>
  <c r="AF486" i="16"/>
  <c r="AG485" i="16"/>
  <c r="AF485" i="16"/>
  <c r="AG484" i="16"/>
  <c r="AF484" i="16"/>
  <c r="AG483" i="16"/>
  <c r="AF483" i="16"/>
  <c r="AG482" i="16"/>
  <c r="AF482" i="16"/>
  <c r="AG481" i="16"/>
  <c r="AF481" i="16"/>
  <c r="AG480" i="16"/>
  <c r="AF480" i="16"/>
  <c r="AG479" i="16"/>
  <c r="AF479" i="16"/>
  <c r="AG478" i="16"/>
  <c r="AF478" i="16"/>
  <c r="AG477" i="16"/>
  <c r="AF477" i="16"/>
  <c r="AG476" i="16"/>
  <c r="AF476" i="16"/>
  <c r="AG475" i="16"/>
  <c r="AF475" i="16"/>
  <c r="AG474" i="16"/>
  <c r="AF474" i="16"/>
  <c r="AG473" i="16"/>
  <c r="AF473" i="16"/>
  <c r="AG472" i="16"/>
  <c r="AF472" i="16"/>
  <c r="AG471" i="16"/>
  <c r="AF471" i="16"/>
  <c r="AG470" i="16"/>
  <c r="AF470" i="16"/>
  <c r="AG469" i="16"/>
  <c r="AF469" i="16"/>
  <c r="AG468" i="16"/>
  <c r="AF468" i="16"/>
  <c r="AG467" i="16"/>
  <c r="AF467" i="16"/>
  <c r="AG466" i="16"/>
  <c r="AF466" i="16"/>
  <c r="AG465" i="16"/>
  <c r="AF465" i="16"/>
  <c r="AG464" i="16"/>
  <c r="AF464" i="16"/>
  <c r="AG463" i="16"/>
  <c r="AF463" i="16"/>
  <c r="AE462" i="16"/>
  <c r="AE461" i="16"/>
  <c r="AE460" i="16"/>
  <c r="AE459" i="16"/>
  <c r="AE458" i="16"/>
  <c r="AE457" i="16"/>
  <c r="AE456" i="16"/>
  <c r="AE455" i="16"/>
  <c r="AE454" i="16"/>
  <c r="AE453" i="16"/>
  <c r="AE452" i="16"/>
  <c r="AE451" i="16"/>
  <c r="AE450" i="16"/>
  <c r="AE449" i="16"/>
  <c r="AE448" i="16"/>
  <c r="AE447" i="16"/>
  <c r="AE446" i="16"/>
  <c r="AE445" i="16"/>
  <c r="AE444" i="16"/>
  <c r="AE443" i="16"/>
  <c r="AE442" i="16"/>
  <c r="AE441" i="16"/>
  <c r="AE440" i="16"/>
  <c r="AE439" i="16"/>
  <c r="AE438" i="16"/>
  <c r="AE437" i="16"/>
  <c r="AE436" i="16"/>
  <c r="AE435" i="16"/>
  <c r="AE434" i="16"/>
  <c r="AE433" i="16"/>
  <c r="AE432" i="16"/>
  <c r="AE431" i="16"/>
  <c r="AE430" i="16"/>
  <c r="AE429" i="16"/>
  <c r="AE428" i="16"/>
  <c r="AE427" i="16"/>
  <c r="AE426" i="16"/>
  <c r="AE425" i="16"/>
  <c r="AE424" i="16"/>
  <c r="AE423" i="16"/>
  <c r="AE422" i="16"/>
  <c r="AG421" i="16"/>
  <c r="AF421" i="16"/>
  <c r="AG420" i="16"/>
  <c r="AF420" i="16"/>
  <c r="AG419" i="16"/>
  <c r="AF419" i="16"/>
  <c r="AG418" i="16"/>
  <c r="AF418" i="16"/>
  <c r="AG417" i="16"/>
  <c r="AF417" i="16"/>
  <c r="AG416" i="16"/>
  <c r="AF416" i="16"/>
  <c r="AG415" i="16"/>
  <c r="AF415" i="16"/>
  <c r="AG414" i="16"/>
  <c r="AF414" i="16"/>
  <c r="AG413" i="16"/>
  <c r="AF413" i="16"/>
  <c r="AG412" i="16"/>
  <c r="AF412" i="16"/>
  <c r="AG411" i="16"/>
  <c r="AF411" i="16"/>
  <c r="AG410" i="16"/>
  <c r="AF410" i="16"/>
  <c r="AG409" i="16"/>
  <c r="AF409" i="16"/>
  <c r="AG408" i="16"/>
  <c r="AF408" i="16"/>
  <c r="AG407" i="16"/>
  <c r="AF407" i="16"/>
  <c r="AG406" i="16"/>
  <c r="AF406" i="16"/>
  <c r="AG405" i="16"/>
  <c r="AF405" i="16"/>
  <c r="AG404" i="16"/>
  <c r="AF404" i="16"/>
  <c r="AG403" i="16"/>
  <c r="AF403" i="16"/>
  <c r="AG402" i="16"/>
  <c r="AF402" i="16"/>
  <c r="AG401" i="16"/>
  <c r="AF401" i="16"/>
  <c r="AG400" i="16"/>
  <c r="AF400" i="16"/>
  <c r="AG399" i="16"/>
  <c r="AF399" i="16"/>
  <c r="AG398" i="16"/>
  <c r="AF398" i="16"/>
  <c r="AG397" i="16"/>
  <c r="AF397" i="16"/>
  <c r="AG396" i="16"/>
  <c r="AF396" i="16"/>
  <c r="AG395" i="16"/>
  <c r="AF395" i="16"/>
  <c r="AE394" i="16"/>
  <c r="AE393" i="16"/>
  <c r="AE392" i="16"/>
  <c r="AE391" i="16"/>
  <c r="AE390" i="16"/>
  <c r="AE389" i="16"/>
  <c r="AE388" i="16"/>
  <c r="AE387" i="16"/>
  <c r="AE386" i="16"/>
  <c r="AE385" i="16"/>
  <c r="AE384" i="16"/>
  <c r="AE383" i="16"/>
  <c r="AE382" i="16"/>
  <c r="AE381" i="16"/>
  <c r="AE380" i="16"/>
  <c r="AE379" i="16"/>
  <c r="AE378" i="16"/>
  <c r="AE377" i="16"/>
  <c r="AE376" i="16"/>
  <c r="AE375" i="16"/>
  <c r="AE374" i="16"/>
  <c r="AE373" i="16"/>
  <c r="AE372" i="16"/>
  <c r="AE371" i="16"/>
  <c r="AE370" i="16"/>
  <c r="AE369" i="16"/>
  <c r="AE368" i="16"/>
  <c r="AE367" i="16"/>
  <c r="AE366" i="16"/>
  <c r="AG365" i="16"/>
  <c r="AE365" i="16"/>
  <c r="AG364" i="16"/>
  <c r="AE364" i="16"/>
  <c r="AG363" i="16"/>
  <c r="AE363" i="16"/>
  <c r="AG362" i="16"/>
  <c r="AE362" i="16"/>
  <c r="AG361" i="16"/>
  <c r="AE361" i="16"/>
  <c r="AG360" i="16"/>
  <c r="AE360" i="16"/>
  <c r="AG359" i="16"/>
  <c r="AE359" i="16"/>
  <c r="AG358" i="16"/>
  <c r="AE358" i="16"/>
  <c r="AG357" i="16"/>
  <c r="AE357" i="16"/>
  <c r="AG356" i="16"/>
  <c r="AE356" i="16"/>
  <c r="AG355" i="16"/>
  <c r="AE355" i="16"/>
  <c r="AG354" i="16"/>
  <c r="AE354" i="16"/>
  <c r="AG353" i="16"/>
  <c r="AF353" i="16"/>
  <c r="AG352" i="16"/>
  <c r="AF352" i="16"/>
  <c r="AG351" i="16"/>
  <c r="AF351" i="16"/>
  <c r="AG350" i="16"/>
  <c r="AF350" i="16"/>
  <c r="AG349" i="16"/>
  <c r="AF349" i="16"/>
  <c r="AG348" i="16"/>
  <c r="AF348" i="16"/>
  <c r="AG347" i="16"/>
  <c r="AF347" i="16"/>
  <c r="AG346" i="16"/>
  <c r="AF346" i="16"/>
  <c r="AG345" i="16"/>
  <c r="AF345" i="16"/>
  <c r="AG344" i="16"/>
  <c r="AF344" i="16"/>
  <c r="AG343" i="16"/>
  <c r="AF343" i="16"/>
  <c r="AG342" i="16"/>
  <c r="AE342" i="16"/>
  <c r="AG341" i="16"/>
  <c r="AE341" i="16"/>
  <c r="AG340" i="16"/>
  <c r="AE340" i="16"/>
  <c r="AG339" i="16"/>
  <c r="AE339" i="16"/>
  <c r="AG338" i="16"/>
  <c r="AE338" i="16"/>
  <c r="AG337" i="16"/>
  <c r="AE337" i="16"/>
  <c r="AG336" i="16"/>
  <c r="AE336" i="16"/>
  <c r="AG335" i="16"/>
  <c r="AE335" i="16"/>
  <c r="AG334" i="16"/>
  <c r="AE334" i="16"/>
  <c r="AG333" i="16"/>
  <c r="AE333" i="16"/>
  <c r="AG332" i="16"/>
  <c r="AE332" i="16"/>
  <c r="AG331" i="16"/>
  <c r="AE331" i="16"/>
  <c r="AE330" i="16"/>
  <c r="AE329" i="16"/>
  <c r="AE328" i="16"/>
  <c r="AE327" i="16"/>
  <c r="AE326" i="16"/>
  <c r="AE325" i="16"/>
  <c r="AE324" i="16"/>
  <c r="AE323" i="16"/>
  <c r="AE322" i="16"/>
  <c r="AE321" i="16"/>
  <c r="AE320" i="16"/>
  <c r="AE319" i="16"/>
  <c r="AG318" i="16"/>
  <c r="AF318" i="16"/>
  <c r="AG317" i="16"/>
  <c r="AF317" i="16"/>
  <c r="AG316" i="16"/>
  <c r="AF316" i="16"/>
  <c r="AG315" i="16"/>
  <c r="AF315" i="16"/>
  <c r="AG314" i="16"/>
  <c r="AF314" i="16"/>
  <c r="AG313" i="16"/>
  <c r="AF313" i="16"/>
  <c r="AG312" i="16"/>
  <c r="AF312" i="16"/>
  <c r="AG311" i="16"/>
  <c r="AF311" i="16"/>
  <c r="AG310" i="16"/>
  <c r="AF310" i="16"/>
  <c r="AG309" i="16"/>
  <c r="AF309" i="16"/>
  <c r="AG308" i="16"/>
  <c r="AF308" i="16"/>
  <c r="AG307" i="16"/>
  <c r="AF307" i="16"/>
  <c r="AE306" i="16"/>
  <c r="AE305" i="16"/>
  <c r="AE304" i="16"/>
  <c r="AE303" i="16"/>
  <c r="AE302" i="16"/>
  <c r="AE301" i="16"/>
  <c r="AE300" i="16"/>
  <c r="AE299" i="16"/>
  <c r="AE298" i="16"/>
  <c r="AE297" i="16"/>
  <c r="AE296" i="16"/>
  <c r="AE295" i="16"/>
  <c r="AE294" i="16"/>
  <c r="AE293" i="16"/>
  <c r="AE292" i="16"/>
  <c r="AE291" i="16"/>
  <c r="AE290" i="16"/>
  <c r="AE289" i="16"/>
  <c r="AE288" i="16"/>
  <c r="AE287" i="16"/>
  <c r="AE286" i="16"/>
  <c r="AE285" i="16"/>
  <c r="AE284" i="16"/>
  <c r="AE283" i="16"/>
  <c r="AE282" i="16"/>
  <c r="AE281" i="16"/>
  <c r="AE280" i="16"/>
  <c r="AE279" i="16"/>
  <c r="AE278" i="16"/>
  <c r="AE277" i="16"/>
  <c r="AE276" i="16"/>
  <c r="AE275" i="16"/>
  <c r="AE274" i="16"/>
  <c r="AE273" i="16"/>
  <c r="AE272" i="16"/>
  <c r="AE271" i="16"/>
  <c r="AG270" i="16"/>
  <c r="AF270" i="16"/>
  <c r="AG269" i="16"/>
  <c r="AF269" i="16"/>
  <c r="AG268" i="16"/>
  <c r="AF268" i="16"/>
  <c r="AG267" i="16"/>
  <c r="AF267" i="16"/>
  <c r="AG266" i="16"/>
  <c r="AF266" i="16"/>
  <c r="AG265" i="16"/>
  <c r="AF265" i="16"/>
  <c r="AG264" i="16"/>
  <c r="AF264" i="16"/>
  <c r="AG263" i="16"/>
  <c r="AF263" i="16"/>
  <c r="AG262" i="16"/>
  <c r="AF262" i="16"/>
  <c r="AG261" i="16"/>
  <c r="AF261" i="16"/>
  <c r="AG260" i="16"/>
  <c r="AF260" i="16"/>
  <c r="AG259" i="16"/>
  <c r="AF259" i="16"/>
  <c r="AG258" i="16"/>
  <c r="AF258" i="16"/>
  <c r="AG257" i="16"/>
  <c r="AF257" i="16"/>
  <c r="AG256" i="16"/>
  <c r="AF256" i="16"/>
  <c r="AG255" i="16"/>
  <c r="AF255" i="16"/>
  <c r="AG254" i="16"/>
  <c r="AF254" i="16"/>
  <c r="AG253" i="16"/>
  <c r="AF253" i="16"/>
  <c r="AG252" i="16"/>
  <c r="AF252" i="16"/>
  <c r="AG251" i="16"/>
  <c r="AF251" i="16"/>
  <c r="AG250" i="16"/>
  <c r="AF250" i="16"/>
  <c r="AG249" i="16"/>
  <c r="AF249" i="16"/>
  <c r="AG248" i="16"/>
  <c r="AF248" i="16"/>
  <c r="AG247" i="16"/>
  <c r="AF247" i="16"/>
  <c r="AG246" i="16"/>
  <c r="AF246" i="16"/>
  <c r="AG245" i="16"/>
  <c r="AF245" i="16"/>
  <c r="AG244" i="16"/>
  <c r="AF244" i="16"/>
  <c r="AE243" i="16"/>
  <c r="AE242" i="16"/>
  <c r="AE241" i="16"/>
  <c r="AE240" i="16"/>
  <c r="AE239" i="16"/>
  <c r="AE238" i="16"/>
  <c r="AE237" i="16"/>
  <c r="AE236" i="16"/>
  <c r="AE235" i="16"/>
  <c r="AE234" i="16"/>
  <c r="AE233" i="16"/>
  <c r="AE232" i="16"/>
  <c r="AE231" i="16"/>
  <c r="AE230" i="16"/>
  <c r="AE229" i="16"/>
  <c r="AE228" i="16"/>
  <c r="AE227" i="16"/>
  <c r="AE226" i="16"/>
  <c r="AE225" i="16"/>
  <c r="AE224" i="16"/>
  <c r="AE223" i="16"/>
  <c r="AE222" i="16"/>
  <c r="AE221" i="16"/>
  <c r="AE220" i="16"/>
  <c r="AG219" i="16"/>
  <c r="AF219" i="16"/>
  <c r="AG218" i="16"/>
  <c r="AF218" i="16"/>
  <c r="AG217" i="16"/>
  <c r="AF217" i="16"/>
  <c r="AG216" i="16"/>
  <c r="AF216" i="16"/>
  <c r="AG215" i="16"/>
  <c r="AF215" i="16"/>
  <c r="AG214" i="16"/>
  <c r="AF214" i="16"/>
  <c r="AG213" i="16"/>
  <c r="AF213" i="16"/>
  <c r="AG212" i="16"/>
  <c r="AF212" i="16"/>
  <c r="AG211" i="16"/>
  <c r="AF211" i="16"/>
  <c r="AG210" i="16"/>
  <c r="AF210" i="16"/>
  <c r="AG209" i="16"/>
  <c r="AF209" i="16"/>
  <c r="AG208" i="16"/>
  <c r="AF208" i="16"/>
  <c r="AG207" i="16"/>
  <c r="AF207" i="16"/>
  <c r="AG206" i="16"/>
  <c r="AF206" i="16"/>
  <c r="AG205" i="16"/>
  <c r="AF205" i="16"/>
  <c r="AG204" i="16"/>
  <c r="AF204" i="16"/>
  <c r="AG203" i="16"/>
  <c r="AF203" i="16"/>
  <c r="AG202" i="16"/>
  <c r="AF202" i="16"/>
  <c r="AG201" i="16"/>
  <c r="AF201" i="16"/>
  <c r="AG200" i="16"/>
  <c r="AF200" i="16"/>
  <c r="AG199" i="16"/>
  <c r="AF199" i="16"/>
  <c r="AG198" i="16"/>
  <c r="AF198" i="16"/>
  <c r="AG197" i="16"/>
  <c r="AF197" i="16"/>
  <c r="AG196" i="16"/>
  <c r="AF196" i="16"/>
  <c r="AG195" i="16"/>
  <c r="AF195" i="16"/>
  <c r="AG194" i="16"/>
  <c r="AF194" i="16"/>
  <c r="AG193" i="16"/>
  <c r="AF193" i="16"/>
  <c r="AG192" i="16"/>
  <c r="AF192" i="16"/>
  <c r="AG191" i="16"/>
  <c r="AF191" i="16"/>
  <c r="AG190" i="16"/>
  <c r="AF190" i="16"/>
  <c r="AG189" i="16"/>
  <c r="AF189" i="16"/>
  <c r="AG188" i="16"/>
  <c r="AF188" i="16"/>
  <c r="AG187" i="16"/>
  <c r="AF187" i="16"/>
  <c r="AG186" i="16"/>
  <c r="AF186" i="16"/>
  <c r="AG185" i="16"/>
  <c r="AF185" i="16"/>
  <c r="AG184" i="16"/>
  <c r="AF184" i="16"/>
  <c r="AD183" i="16"/>
  <c r="AC183" i="16"/>
  <c r="AB183" i="16"/>
  <c r="AD182" i="16"/>
  <c r="AC182" i="16"/>
  <c r="AB182" i="16"/>
  <c r="AD181" i="16"/>
  <c r="AC181" i="16"/>
  <c r="AB181" i="16"/>
  <c r="AD180" i="16"/>
  <c r="AC180" i="16"/>
  <c r="AB180" i="16"/>
  <c r="AD179" i="16"/>
  <c r="AC179" i="16"/>
  <c r="AB179" i="16"/>
  <c r="AD178" i="16"/>
  <c r="AC178" i="16"/>
  <c r="AB178" i="16"/>
  <c r="AD177" i="16"/>
  <c r="AC177" i="16"/>
  <c r="AB177" i="16"/>
  <c r="AD176" i="16"/>
  <c r="AC176" i="16"/>
  <c r="AB176" i="16"/>
  <c r="AD175" i="16"/>
  <c r="AC175" i="16"/>
  <c r="AB175" i="16"/>
  <c r="AD174" i="16"/>
  <c r="AC174" i="16"/>
  <c r="AB174" i="16"/>
  <c r="AD173" i="16"/>
  <c r="AC173" i="16"/>
  <c r="AB173" i="16"/>
  <c r="AD172" i="16"/>
  <c r="AC172" i="16"/>
  <c r="AB172" i="16"/>
  <c r="AD171" i="16"/>
  <c r="AC171" i="16"/>
  <c r="AB171" i="16"/>
  <c r="AD170" i="16"/>
  <c r="AC170" i="16"/>
  <c r="AB170" i="16"/>
  <c r="AD169" i="16"/>
  <c r="AC169" i="16"/>
  <c r="AB169" i="16"/>
  <c r="AD168" i="16"/>
  <c r="AC168" i="16"/>
  <c r="AB168" i="16"/>
  <c r="AD167" i="16"/>
  <c r="AC167" i="16"/>
  <c r="AB167" i="16"/>
  <c r="AD166" i="16"/>
  <c r="AC166" i="16"/>
  <c r="AB166" i="16"/>
  <c r="AD165" i="16"/>
  <c r="AC165" i="16"/>
  <c r="AB165" i="16"/>
  <c r="AD164" i="16"/>
  <c r="AC164" i="16"/>
  <c r="AB164" i="16"/>
  <c r="AD163" i="16"/>
  <c r="AC163" i="16"/>
  <c r="AB163" i="16"/>
  <c r="AD162" i="16"/>
  <c r="AC162" i="16"/>
  <c r="AB162" i="16"/>
  <c r="AD161" i="16"/>
  <c r="AC161" i="16"/>
  <c r="AB161" i="16"/>
  <c r="AD160" i="16"/>
  <c r="AC160" i="16"/>
  <c r="AB160" i="16"/>
  <c r="AD159" i="16"/>
  <c r="AC159" i="16"/>
  <c r="AB159" i="16"/>
  <c r="AD158" i="16"/>
  <c r="AC158" i="16"/>
  <c r="AB158" i="16"/>
  <c r="AD157" i="16"/>
  <c r="AC157" i="16"/>
  <c r="AB157" i="16"/>
  <c r="AD156" i="16"/>
  <c r="AC156" i="16"/>
  <c r="AB156" i="16"/>
  <c r="AD155" i="16"/>
  <c r="AC155" i="16"/>
  <c r="AB155" i="16"/>
  <c r="AD154" i="16"/>
  <c r="AC154" i="16"/>
  <c r="AB154" i="16"/>
  <c r="AD153" i="16"/>
  <c r="AC153" i="16"/>
  <c r="AB153" i="16"/>
  <c r="AD152" i="16"/>
  <c r="AC152" i="16"/>
  <c r="AB152" i="16"/>
  <c r="AD151" i="16"/>
  <c r="AC151" i="16"/>
  <c r="AB151" i="16"/>
  <c r="AD150" i="16"/>
  <c r="AC150" i="16"/>
  <c r="AB150" i="16"/>
  <c r="AD149" i="16"/>
  <c r="AC149" i="16"/>
  <c r="AB149" i="16"/>
  <c r="AD148" i="16"/>
  <c r="AC148" i="16"/>
  <c r="AB148" i="16"/>
  <c r="AD147" i="16"/>
  <c r="AC147" i="16"/>
  <c r="AB147" i="16"/>
  <c r="AD146" i="16"/>
  <c r="AC146" i="16"/>
  <c r="AB146" i="16"/>
  <c r="AD145" i="16"/>
  <c r="AC145" i="16"/>
  <c r="AB145" i="16"/>
  <c r="AD144" i="16"/>
  <c r="AC144" i="16"/>
  <c r="AB144" i="16"/>
  <c r="AD143" i="16"/>
  <c r="AC143" i="16"/>
  <c r="AB143" i="16"/>
  <c r="AD142" i="16"/>
  <c r="AC142" i="16"/>
  <c r="AB142" i="16"/>
  <c r="AD141" i="16"/>
  <c r="AC141" i="16"/>
  <c r="AB141" i="16"/>
  <c r="AD140" i="16"/>
  <c r="AC140" i="16"/>
  <c r="AB140" i="16"/>
  <c r="AD139" i="16"/>
  <c r="AC139" i="16"/>
  <c r="AB139" i="16"/>
  <c r="AD138" i="16"/>
  <c r="AC138" i="16"/>
  <c r="AB138" i="16"/>
  <c r="AD137" i="16"/>
  <c r="AC137" i="16"/>
  <c r="AB137" i="16"/>
  <c r="AD136" i="16"/>
  <c r="AC136" i="16"/>
  <c r="AB136" i="16"/>
  <c r="AD135" i="16"/>
  <c r="AC135" i="16"/>
  <c r="AB135" i="16"/>
  <c r="AD134" i="16"/>
  <c r="AC134" i="16"/>
  <c r="AB134" i="16"/>
  <c r="AG85" i="16"/>
  <c r="AG84" i="16"/>
  <c r="AG83" i="16"/>
  <c r="AG82" i="16"/>
  <c r="AG81" i="16"/>
  <c r="AG80" i="16"/>
  <c r="AG79" i="16"/>
  <c r="AG78" i="16"/>
  <c r="AG77" i="16"/>
  <c r="AG76" i="16"/>
  <c r="AG75" i="16"/>
  <c r="AG74" i="16"/>
  <c r="AG73" i="16"/>
  <c r="AE73" i="16"/>
  <c r="AG72" i="16"/>
  <c r="AE72" i="16"/>
  <c r="AG71" i="16"/>
  <c r="AE71" i="16"/>
  <c r="AG70" i="16"/>
  <c r="AE70" i="16"/>
  <c r="AG69" i="16"/>
  <c r="AE69" i="16"/>
  <c r="AG68" i="16"/>
  <c r="AE68" i="16"/>
  <c r="AG67" i="16"/>
  <c r="AE67" i="16"/>
  <c r="AG66" i="16"/>
  <c r="AE66" i="16"/>
  <c r="AG65" i="16"/>
  <c r="AE65" i="16"/>
  <c r="AG64" i="16"/>
  <c r="AE64" i="16"/>
  <c r="AG63" i="16"/>
  <c r="AE63" i="16"/>
  <c r="AG62" i="16"/>
  <c r="AE62" i="16"/>
  <c r="AG61" i="16"/>
  <c r="AG60" i="16"/>
  <c r="AG59" i="16"/>
  <c r="AG58" i="16"/>
  <c r="AG57" i="16"/>
  <c r="AG56" i="16"/>
  <c r="AG55" i="16"/>
  <c r="AG54" i="16"/>
  <c r="AG53" i="16"/>
  <c r="AG52" i="16"/>
  <c r="AG51" i="16"/>
  <c r="AG50" i="16"/>
  <c r="X1261" i="16"/>
  <c r="W1261" i="16"/>
  <c r="AC1261" i="16" s="1"/>
  <c r="V1261" i="16"/>
  <c r="AB1261" i="16" s="1"/>
  <c r="X1260" i="16"/>
  <c r="AD1260" i="16" s="1"/>
  <c r="W1260" i="16"/>
  <c r="AC1260" i="16" s="1"/>
  <c r="V1260" i="16"/>
  <c r="AB1260" i="16" s="1"/>
  <c r="X1259" i="16"/>
  <c r="AD1259" i="16" s="1"/>
  <c r="W1259" i="16"/>
  <c r="AC1259" i="16" s="1"/>
  <c r="V1259" i="16"/>
  <c r="AB1259" i="16" s="1"/>
  <c r="X1258" i="16"/>
  <c r="AD1258" i="16" s="1"/>
  <c r="W1258" i="16"/>
  <c r="AC1258" i="16" s="1"/>
  <c r="V1258" i="16"/>
  <c r="AB1258" i="16" s="1"/>
  <c r="X1257" i="16"/>
  <c r="AD1257" i="16" s="1"/>
  <c r="W1257" i="16"/>
  <c r="AC1257" i="16" s="1"/>
  <c r="V1257" i="16"/>
  <c r="AB1257" i="16" s="1"/>
  <c r="X1256" i="16"/>
  <c r="AD1256" i="16" s="1"/>
  <c r="W1256" i="16"/>
  <c r="AC1256" i="16" s="1"/>
  <c r="V1256" i="16"/>
  <c r="AB1256" i="16" s="1"/>
  <c r="X1255" i="16"/>
  <c r="AD1255" i="16" s="1"/>
  <c r="W1255" i="16"/>
  <c r="AC1255" i="16" s="1"/>
  <c r="V1255" i="16"/>
  <c r="AB1255" i="16" s="1"/>
  <c r="X1254" i="16"/>
  <c r="AD1254" i="16" s="1"/>
  <c r="W1254" i="16"/>
  <c r="AC1254" i="16" s="1"/>
  <c r="V1254" i="16"/>
  <c r="AB1254" i="16" s="1"/>
  <c r="X1253" i="16"/>
  <c r="AD1253" i="16" s="1"/>
  <c r="W1253" i="16"/>
  <c r="AC1253" i="16" s="1"/>
  <c r="V1253" i="16"/>
  <c r="AB1253" i="16" s="1"/>
  <c r="X1252" i="16"/>
  <c r="AD1252" i="16" s="1"/>
  <c r="W1252" i="16"/>
  <c r="AC1252" i="16" s="1"/>
  <c r="V1252" i="16"/>
  <c r="AB1252" i="16" s="1"/>
  <c r="X1251" i="16"/>
  <c r="AD1251" i="16" s="1"/>
  <c r="W1251" i="16"/>
  <c r="AC1251" i="16" s="1"/>
  <c r="V1251" i="16"/>
  <c r="AB1251" i="16" s="1"/>
  <c r="X1250" i="16"/>
  <c r="AD1250" i="16" s="1"/>
  <c r="W1250" i="16"/>
  <c r="AC1250" i="16" s="1"/>
  <c r="V1250" i="16"/>
  <c r="AB1250" i="16" s="1"/>
  <c r="X1249" i="16"/>
  <c r="AD1249" i="16" s="1"/>
  <c r="W1249" i="16"/>
  <c r="AC1249" i="16" s="1"/>
  <c r="V1249" i="16"/>
  <c r="AB1249" i="16" s="1"/>
  <c r="X1248" i="16"/>
  <c r="AD1248" i="16" s="1"/>
  <c r="W1248" i="16"/>
  <c r="AC1248" i="16" s="1"/>
  <c r="V1248" i="16"/>
  <c r="AB1248" i="16" s="1"/>
  <c r="X1247" i="16"/>
  <c r="AD1247" i="16" s="1"/>
  <c r="W1247" i="16"/>
  <c r="AC1247" i="16" s="1"/>
  <c r="V1247" i="16"/>
  <c r="AB1247" i="16" s="1"/>
  <c r="X1246" i="16"/>
  <c r="AD1246" i="16" s="1"/>
  <c r="W1246" i="16"/>
  <c r="AC1246" i="16" s="1"/>
  <c r="V1246" i="16"/>
  <c r="AB1246" i="16" s="1"/>
  <c r="X1245" i="16"/>
  <c r="AD1245" i="16" s="1"/>
  <c r="W1245" i="16"/>
  <c r="AC1245" i="16" s="1"/>
  <c r="V1245" i="16"/>
  <c r="AB1245" i="16" s="1"/>
  <c r="V1244" i="16"/>
  <c r="AB1244" i="16" s="1"/>
  <c r="V1243" i="16"/>
  <c r="AB1243" i="16" s="1"/>
  <c r="V1242" i="16"/>
  <c r="AB1242" i="16" s="1"/>
  <c r="V1241" i="16"/>
  <c r="AB1241" i="16" s="1"/>
  <c r="V1240" i="16"/>
  <c r="AB1240" i="16" s="1"/>
  <c r="V1239" i="16"/>
  <c r="AB1239" i="16" s="1"/>
  <c r="V1238" i="16"/>
  <c r="AB1238" i="16" s="1"/>
  <c r="V1237" i="16"/>
  <c r="AB1237" i="16" s="1"/>
  <c r="V1236" i="16"/>
  <c r="AB1236" i="16" s="1"/>
  <c r="V1235" i="16"/>
  <c r="AB1235" i="16" s="1"/>
  <c r="V1234" i="16"/>
  <c r="AB1234" i="16" s="1"/>
  <c r="V1233" i="16"/>
  <c r="AB1233" i="16" s="1"/>
  <c r="X1232" i="16"/>
  <c r="AD1232" i="16" s="1"/>
  <c r="W1232" i="16"/>
  <c r="AC1232" i="16" s="1"/>
  <c r="V1232" i="16"/>
  <c r="AB1232" i="16" s="1"/>
  <c r="X1231" i="16"/>
  <c r="AD1231" i="16" s="1"/>
  <c r="W1231" i="16"/>
  <c r="AC1231" i="16" s="1"/>
  <c r="V1231" i="16"/>
  <c r="AB1231" i="16" s="1"/>
  <c r="X1230" i="16"/>
  <c r="AD1230" i="16" s="1"/>
  <c r="W1230" i="16"/>
  <c r="AC1230" i="16" s="1"/>
  <c r="V1230" i="16"/>
  <c r="AB1230" i="16" s="1"/>
  <c r="X1229" i="16"/>
  <c r="AD1229" i="16" s="1"/>
  <c r="W1229" i="16"/>
  <c r="AC1229" i="16" s="1"/>
  <c r="V1229" i="16"/>
  <c r="AB1229" i="16" s="1"/>
  <c r="X1228" i="16"/>
  <c r="AD1228" i="16" s="1"/>
  <c r="W1228" i="16"/>
  <c r="AC1228" i="16" s="1"/>
  <c r="V1228" i="16"/>
  <c r="AB1228" i="16" s="1"/>
  <c r="X1227" i="16"/>
  <c r="AD1227" i="16" s="1"/>
  <c r="W1227" i="16"/>
  <c r="AC1227" i="16" s="1"/>
  <c r="V1227" i="16"/>
  <c r="AB1227" i="16" s="1"/>
  <c r="X1226" i="16"/>
  <c r="AD1226" i="16" s="1"/>
  <c r="W1226" i="16"/>
  <c r="AC1226" i="16" s="1"/>
  <c r="V1226" i="16"/>
  <c r="AB1226" i="16" s="1"/>
  <c r="X1225" i="16"/>
  <c r="AD1225" i="16" s="1"/>
  <c r="W1225" i="16"/>
  <c r="AC1225" i="16" s="1"/>
  <c r="V1225" i="16"/>
  <c r="AB1225" i="16" s="1"/>
  <c r="X1224" i="16"/>
  <c r="AD1224" i="16" s="1"/>
  <c r="W1224" i="16"/>
  <c r="AC1224" i="16" s="1"/>
  <c r="V1224" i="16"/>
  <c r="AB1224" i="16" s="1"/>
  <c r="X1223" i="16"/>
  <c r="AD1223" i="16" s="1"/>
  <c r="W1223" i="16"/>
  <c r="AC1223" i="16" s="1"/>
  <c r="V1223" i="16"/>
  <c r="AB1223" i="16" s="1"/>
  <c r="X1222" i="16"/>
  <c r="AD1222" i="16" s="1"/>
  <c r="W1222" i="16"/>
  <c r="AC1222" i="16" s="1"/>
  <c r="V1222" i="16"/>
  <c r="AB1222" i="16" s="1"/>
  <c r="X1221" i="16"/>
  <c r="AD1221" i="16" s="1"/>
  <c r="W1221" i="16"/>
  <c r="AC1221" i="16" s="1"/>
  <c r="V1221" i="16"/>
  <c r="AB1221" i="16" s="1"/>
  <c r="X1220" i="16"/>
  <c r="AD1220" i="16" s="1"/>
  <c r="W1220" i="16"/>
  <c r="AC1220" i="16" s="1"/>
  <c r="V1220" i="16"/>
  <c r="AB1220" i="16" s="1"/>
  <c r="X1219" i="16"/>
  <c r="AD1219" i="16" s="1"/>
  <c r="W1219" i="16"/>
  <c r="AC1219" i="16" s="1"/>
  <c r="V1219" i="16"/>
  <c r="AB1219" i="16" s="1"/>
  <c r="X1218" i="16"/>
  <c r="AD1218" i="16" s="1"/>
  <c r="W1218" i="16"/>
  <c r="AC1218" i="16" s="1"/>
  <c r="V1218" i="16"/>
  <c r="AB1218" i="16" s="1"/>
  <c r="X1217" i="16"/>
  <c r="AD1217" i="16" s="1"/>
  <c r="W1217" i="16"/>
  <c r="AC1217" i="16" s="1"/>
  <c r="V1217" i="16"/>
  <c r="AB1217" i="16" s="1"/>
  <c r="X1216" i="16"/>
  <c r="AD1216" i="16" s="1"/>
  <c r="W1216" i="16"/>
  <c r="AC1216" i="16" s="1"/>
  <c r="V1216" i="16"/>
  <c r="AB1216" i="16" s="1"/>
  <c r="X1215" i="16"/>
  <c r="AD1215" i="16" s="1"/>
  <c r="W1215" i="16"/>
  <c r="AC1215" i="16" s="1"/>
  <c r="V1215" i="16"/>
  <c r="AB1215" i="16" s="1"/>
  <c r="X1214" i="16"/>
  <c r="AD1214" i="16" s="1"/>
  <c r="W1214" i="16"/>
  <c r="AC1214" i="16" s="1"/>
  <c r="V1214" i="16"/>
  <c r="AB1214" i="16" s="1"/>
  <c r="X1213" i="16"/>
  <c r="AD1213" i="16" s="1"/>
  <c r="W1213" i="16"/>
  <c r="AC1213" i="16" s="1"/>
  <c r="V1213" i="16"/>
  <c r="AB1213" i="16" s="1"/>
  <c r="X1212" i="16"/>
  <c r="AD1212" i="16" s="1"/>
  <c r="W1212" i="16"/>
  <c r="AC1212" i="16" s="1"/>
  <c r="V1212" i="16"/>
  <c r="AB1212" i="16" s="1"/>
  <c r="X1211" i="16"/>
  <c r="AD1211" i="16" s="1"/>
  <c r="W1211" i="16"/>
  <c r="AC1211" i="16" s="1"/>
  <c r="V1211" i="16"/>
  <c r="AB1211" i="16" s="1"/>
  <c r="X1210" i="16"/>
  <c r="AD1210" i="16" s="1"/>
  <c r="W1210" i="16"/>
  <c r="AC1210" i="16" s="1"/>
  <c r="V1210" i="16"/>
  <c r="AB1210" i="16" s="1"/>
  <c r="X1209" i="16"/>
  <c r="AD1209" i="16" s="1"/>
  <c r="W1209" i="16"/>
  <c r="AC1209" i="16" s="1"/>
  <c r="V1209" i="16"/>
  <c r="AB1209" i="16" s="1"/>
  <c r="X1208" i="16"/>
  <c r="AD1208" i="16" s="1"/>
  <c r="W1208" i="16"/>
  <c r="AC1208" i="16" s="1"/>
  <c r="V1208" i="16"/>
  <c r="AB1208" i="16" s="1"/>
  <c r="X1207" i="16"/>
  <c r="AD1207" i="16" s="1"/>
  <c r="W1207" i="16"/>
  <c r="AC1207" i="16" s="1"/>
  <c r="V1207" i="16"/>
  <c r="AB1207" i="16" s="1"/>
  <c r="X1206" i="16"/>
  <c r="AD1206" i="16" s="1"/>
  <c r="W1206" i="16"/>
  <c r="AC1206" i="16" s="1"/>
  <c r="V1206" i="16"/>
  <c r="AB1206" i="16" s="1"/>
  <c r="X1205" i="16"/>
  <c r="AD1205" i="16" s="1"/>
  <c r="W1205" i="16"/>
  <c r="AC1205" i="16" s="1"/>
  <c r="V1205" i="16"/>
  <c r="AB1205" i="16" s="1"/>
  <c r="X1204" i="16"/>
  <c r="AD1204" i="16" s="1"/>
  <c r="W1204" i="16"/>
  <c r="AC1204" i="16" s="1"/>
  <c r="V1204" i="16"/>
  <c r="AB1204" i="16" s="1"/>
  <c r="X1203" i="16"/>
  <c r="AD1203" i="16" s="1"/>
  <c r="W1203" i="16"/>
  <c r="AC1203" i="16" s="1"/>
  <c r="V1203" i="16"/>
  <c r="AB1203" i="16" s="1"/>
  <c r="X1202" i="16"/>
  <c r="AD1202" i="16" s="1"/>
  <c r="W1202" i="16"/>
  <c r="AC1202" i="16" s="1"/>
  <c r="V1202" i="16"/>
  <c r="AB1202" i="16" s="1"/>
  <c r="X1201" i="16"/>
  <c r="AD1201" i="16" s="1"/>
  <c r="W1201" i="16"/>
  <c r="AC1201" i="16" s="1"/>
  <c r="V1201" i="16"/>
  <c r="AB1201" i="16" s="1"/>
  <c r="X1200" i="16"/>
  <c r="AD1200" i="16" s="1"/>
  <c r="W1200" i="16"/>
  <c r="AC1200" i="16" s="1"/>
  <c r="V1200" i="16"/>
  <c r="AB1200" i="16" s="1"/>
  <c r="X1199" i="16"/>
  <c r="AD1199" i="16" s="1"/>
  <c r="W1199" i="16"/>
  <c r="AC1199" i="16" s="1"/>
  <c r="V1199" i="16"/>
  <c r="AB1199" i="16" s="1"/>
  <c r="X1198" i="16"/>
  <c r="AD1198" i="16" s="1"/>
  <c r="W1198" i="16"/>
  <c r="AC1198" i="16" s="1"/>
  <c r="V1198" i="16"/>
  <c r="AB1198" i="16" s="1"/>
  <c r="X1197" i="16"/>
  <c r="AD1197" i="16" s="1"/>
  <c r="W1197" i="16"/>
  <c r="AC1197" i="16" s="1"/>
  <c r="V1197" i="16"/>
  <c r="AB1197" i="16" s="1"/>
  <c r="X1196" i="16"/>
  <c r="AD1196" i="16" s="1"/>
  <c r="W1196" i="16"/>
  <c r="AC1196" i="16" s="1"/>
  <c r="V1196" i="16"/>
  <c r="AB1196" i="16" s="1"/>
  <c r="X1195" i="16"/>
  <c r="AD1195" i="16" s="1"/>
  <c r="W1195" i="16"/>
  <c r="AC1195" i="16" s="1"/>
  <c r="V1195" i="16"/>
  <c r="AB1195" i="16" s="1"/>
  <c r="X1194" i="16"/>
  <c r="AD1194" i="16" s="1"/>
  <c r="W1194" i="16"/>
  <c r="AC1194" i="16" s="1"/>
  <c r="V1194" i="16"/>
  <c r="AB1194" i="16" s="1"/>
  <c r="X1193" i="16"/>
  <c r="AD1193" i="16" s="1"/>
  <c r="W1193" i="16"/>
  <c r="AC1193" i="16" s="1"/>
  <c r="V1193" i="16"/>
  <c r="AB1193" i="16" s="1"/>
  <c r="X1192" i="16"/>
  <c r="AD1192" i="16" s="1"/>
  <c r="W1192" i="16"/>
  <c r="AC1192" i="16" s="1"/>
  <c r="V1192" i="16"/>
  <c r="AB1192" i="16" s="1"/>
  <c r="X1191" i="16"/>
  <c r="AD1191" i="16" s="1"/>
  <c r="W1191" i="16"/>
  <c r="AC1191" i="16" s="1"/>
  <c r="V1191" i="16"/>
  <c r="AB1191" i="16" s="1"/>
  <c r="X1190" i="16"/>
  <c r="AD1190" i="16" s="1"/>
  <c r="W1190" i="16"/>
  <c r="AC1190" i="16" s="1"/>
  <c r="V1190" i="16"/>
  <c r="AB1190" i="16" s="1"/>
  <c r="X1189" i="16"/>
  <c r="AD1189" i="16" s="1"/>
  <c r="W1189" i="16"/>
  <c r="AC1189" i="16" s="1"/>
  <c r="V1189" i="16"/>
  <c r="AB1189" i="16" s="1"/>
  <c r="X1188" i="16"/>
  <c r="AD1188" i="16" s="1"/>
  <c r="W1188" i="16"/>
  <c r="AC1188" i="16" s="1"/>
  <c r="V1188" i="16"/>
  <c r="AB1188" i="16" s="1"/>
  <c r="X1187" i="16"/>
  <c r="AD1187" i="16" s="1"/>
  <c r="W1187" i="16"/>
  <c r="AC1187" i="16" s="1"/>
  <c r="V1187" i="16"/>
  <c r="AB1187" i="16" s="1"/>
  <c r="X1186" i="16"/>
  <c r="AD1186" i="16" s="1"/>
  <c r="W1186" i="16"/>
  <c r="AC1186" i="16" s="1"/>
  <c r="V1186" i="16"/>
  <c r="AB1186" i="16" s="1"/>
  <c r="X1185" i="16"/>
  <c r="AD1185" i="16" s="1"/>
  <c r="W1185" i="16"/>
  <c r="AC1185" i="16" s="1"/>
  <c r="V1185" i="16"/>
  <c r="AB1185" i="16" s="1"/>
  <c r="X1184" i="16"/>
  <c r="AD1184" i="16" s="1"/>
  <c r="W1184" i="16"/>
  <c r="AC1184" i="16" s="1"/>
  <c r="V1184" i="16"/>
  <c r="AB1184" i="16" s="1"/>
  <c r="X1183" i="16"/>
  <c r="AD1183" i="16" s="1"/>
  <c r="W1183" i="16"/>
  <c r="AC1183" i="16" s="1"/>
  <c r="V1183" i="16"/>
  <c r="AB1183" i="16" s="1"/>
  <c r="X1182" i="16"/>
  <c r="AD1182" i="16" s="1"/>
  <c r="W1182" i="16"/>
  <c r="AC1182" i="16" s="1"/>
  <c r="V1182" i="16"/>
  <c r="AB1182" i="16" s="1"/>
  <c r="X1181" i="16"/>
  <c r="AD1181" i="16" s="1"/>
  <c r="W1181" i="16"/>
  <c r="AC1181" i="16" s="1"/>
  <c r="V1181" i="16"/>
  <c r="AB1181" i="16" s="1"/>
  <c r="X1180" i="16"/>
  <c r="AD1180" i="16" s="1"/>
  <c r="W1180" i="16"/>
  <c r="AC1180" i="16" s="1"/>
  <c r="V1180" i="16"/>
  <c r="AB1180" i="16" s="1"/>
  <c r="X1179" i="16"/>
  <c r="AD1179" i="16" s="1"/>
  <c r="W1179" i="16"/>
  <c r="AC1179" i="16" s="1"/>
  <c r="V1179" i="16"/>
  <c r="AB1179" i="16" s="1"/>
  <c r="X1178" i="16"/>
  <c r="AD1178" i="16" s="1"/>
  <c r="W1178" i="16"/>
  <c r="AC1178" i="16" s="1"/>
  <c r="V1178" i="16"/>
  <c r="AB1178" i="16" s="1"/>
  <c r="X1177" i="16"/>
  <c r="AD1177" i="16" s="1"/>
  <c r="W1177" i="16"/>
  <c r="AC1177" i="16" s="1"/>
  <c r="V1177" i="16"/>
  <c r="AB1177" i="16" s="1"/>
  <c r="X1176" i="16"/>
  <c r="AD1176" i="16" s="1"/>
  <c r="W1176" i="16"/>
  <c r="AC1176" i="16" s="1"/>
  <c r="V1176" i="16"/>
  <c r="AB1176" i="16" s="1"/>
  <c r="X1175" i="16"/>
  <c r="AD1175" i="16" s="1"/>
  <c r="W1175" i="16"/>
  <c r="AC1175" i="16" s="1"/>
  <c r="V1175" i="16"/>
  <c r="AB1175" i="16" s="1"/>
  <c r="X1174" i="16"/>
  <c r="AD1174" i="16" s="1"/>
  <c r="W1174" i="16"/>
  <c r="AC1174" i="16" s="1"/>
  <c r="V1174" i="16"/>
  <c r="AB1174" i="16" s="1"/>
  <c r="X1173" i="16"/>
  <c r="AD1173" i="16" s="1"/>
  <c r="W1173" i="16"/>
  <c r="AC1173" i="16" s="1"/>
  <c r="V1173" i="16"/>
  <c r="AB1173" i="16" s="1"/>
  <c r="X1172" i="16"/>
  <c r="AD1172" i="16" s="1"/>
  <c r="W1172" i="16"/>
  <c r="AC1172" i="16" s="1"/>
  <c r="V1172" i="16"/>
  <c r="AB1172" i="16" s="1"/>
  <c r="X1171" i="16"/>
  <c r="AD1171" i="16" s="1"/>
  <c r="W1171" i="16"/>
  <c r="AC1171" i="16" s="1"/>
  <c r="V1171" i="16"/>
  <c r="AB1171" i="16" s="1"/>
  <c r="X1170" i="16"/>
  <c r="AD1170" i="16" s="1"/>
  <c r="W1170" i="16"/>
  <c r="AC1170" i="16" s="1"/>
  <c r="V1170" i="16"/>
  <c r="AB1170" i="16" s="1"/>
  <c r="X1169" i="16"/>
  <c r="AD1169" i="16" s="1"/>
  <c r="W1169" i="16"/>
  <c r="AC1169" i="16" s="1"/>
  <c r="V1169" i="16"/>
  <c r="AB1169" i="16" s="1"/>
  <c r="X1168" i="16"/>
  <c r="AD1168" i="16" s="1"/>
  <c r="W1168" i="16"/>
  <c r="AC1168" i="16" s="1"/>
  <c r="V1168" i="16"/>
  <c r="AB1168" i="16" s="1"/>
  <c r="X1167" i="16"/>
  <c r="AD1167" i="16" s="1"/>
  <c r="W1167" i="16"/>
  <c r="AC1167" i="16" s="1"/>
  <c r="V1167" i="16"/>
  <c r="AB1167" i="16" s="1"/>
  <c r="X1166" i="16"/>
  <c r="AD1166" i="16" s="1"/>
  <c r="W1166" i="16"/>
  <c r="AC1166" i="16" s="1"/>
  <c r="V1166" i="16"/>
  <c r="AB1166" i="16" s="1"/>
  <c r="X1165" i="16"/>
  <c r="AD1165" i="16" s="1"/>
  <c r="W1165" i="16"/>
  <c r="AC1165" i="16" s="1"/>
  <c r="V1165" i="16"/>
  <c r="AB1165" i="16" s="1"/>
  <c r="X1164" i="16"/>
  <c r="AD1164" i="16" s="1"/>
  <c r="W1164" i="16"/>
  <c r="AC1164" i="16" s="1"/>
  <c r="V1164" i="16"/>
  <c r="AB1164" i="16" s="1"/>
  <c r="X1163" i="16"/>
  <c r="AD1163" i="16" s="1"/>
  <c r="W1163" i="16"/>
  <c r="AC1163" i="16" s="1"/>
  <c r="V1163" i="16"/>
  <c r="AB1163" i="16" s="1"/>
  <c r="X1162" i="16"/>
  <c r="AD1162" i="16" s="1"/>
  <c r="W1162" i="16"/>
  <c r="AC1162" i="16" s="1"/>
  <c r="V1162" i="16"/>
  <c r="AB1162" i="16" s="1"/>
  <c r="X1161" i="16"/>
  <c r="AD1161" i="16" s="1"/>
  <c r="W1161" i="16"/>
  <c r="AC1161" i="16" s="1"/>
  <c r="V1161" i="16"/>
  <c r="AB1161" i="16" s="1"/>
  <c r="X1160" i="16"/>
  <c r="AD1160" i="16" s="1"/>
  <c r="W1160" i="16"/>
  <c r="AC1160" i="16" s="1"/>
  <c r="V1160" i="16"/>
  <c r="AB1160" i="16" s="1"/>
  <c r="X1159" i="16"/>
  <c r="AD1159" i="16" s="1"/>
  <c r="W1159" i="16"/>
  <c r="AC1159" i="16" s="1"/>
  <c r="V1159" i="16"/>
  <c r="AB1159" i="16" s="1"/>
  <c r="X1158" i="16"/>
  <c r="AD1158" i="16" s="1"/>
  <c r="W1158" i="16"/>
  <c r="AC1158" i="16" s="1"/>
  <c r="V1158" i="16"/>
  <c r="AB1158" i="16" s="1"/>
  <c r="X1157" i="16"/>
  <c r="AD1157" i="16" s="1"/>
  <c r="W1157" i="16"/>
  <c r="AC1157" i="16" s="1"/>
  <c r="V1157" i="16"/>
  <c r="AB1157" i="16" s="1"/>
  <c r="X1156" i="16"/>
  <c r="AD1156" i="16" s="1"/>
  <c r="W1156" i="16"/>
  <c r="AC1156" i="16" s="1"/>
  <c r="V1156" i="16"/>
  <c r="AB1156" i="16" s="1"/>
  <c r="X1155" i="16"/>
  <c r="AD1155" i="16" s="1"/>
  <c r="W1155" i="16"/>
  <c r="AC1155" i="16" s="1"/>
  <c r="V1155" i="16"/>
  <c r="AB1155" i="16" s="1"/>
  <c r="X1154" i="16"/>
  <c r="AD1154" i="16" s="1"/>
  <c r="W1154" i="16"/>
  <c r="AC1154" i="16" s="1"/>
  <c r="V1154" i="16"/>
  <c r="AB1154" i="16" s="1"/>
  <c r="X1153" i="16"/>
  <c r="AD1153" i="16" s="1"/>
  <c r="W1153" i="16"/>
  <c r="AC1153" i="16" s="1"/>
  <c r="V1153" i="16"/>
  <c r="AB1153" i="16" s="1"/>
  <c r="X1152" i="16"/>
  <c r="AD1152" i="16" s="1"/>
  <c r="W1152" i="16"/>
  <c r="AC1152" i="16" s="1"/>
  <c r="V1152" i="16"/>
  <c r="AB1152" i="16" s="1"/>
  <c r="X1151" i="16"/>
  <c r="AD1151" i="16" s="1"/>
  <c r="W1151" i="16"/>
  <c r="AC1151" i="16" s="1"/>
  <c r="V1151" i="16"/>
  <c r="AB1151" i="16" s="1"/>
  <c r="X1150" i="16"/>
  <c r="AD1150" i="16" s="1"/>
  <c r="W1150" i="16"/>
  <c r="AC1150" i="16" s="1"/>
  <c r="V1150" i="16"/>
  <c r="AB1150" i="16" s="1"/>
  <c r="X1149" i="16"/>
  <c r="AD1149" i="16" s="1"/>
  <c r="W1149" i="16"/>
  <c r="AC1149" i="16" s="1"/>
  <c r="V1149" i="16"/>
  <c r="AB1149" i="16" s="1"/>
  <c r="X1148" i="16"/>
  <c r="AD1148" i="16" s="1"/>
  <c r="W1148" i="16"/>
  <c r="AC1148" i="16" s="1"/>
  <c r="V1148" i="16"/>
  <c r="AB1148" i="16" s="1"/>
  <c r="X1147" i="16"/>
  <c r="AD1147" i="16" s="1"/>
  <c r="W1147" i="16"/>
  <c r="AC1147" i="16" s="1"/>
  <c r="V1147" i="16"/>
  <c r="AB1147" i="16" s="1"/>
  <c r="X1146" i="16"/>
  <c r="AD1146" i="16" s="1"/>
  <c r="W1146" i="16"/>
  <c r="AC1146" i="16" s="1"/>
  <c r="V1146" i="16"/>
  <c r="AB1146" i="16" s="1"/>
  <c r="X1145" i="16"/>
  <c r="AD1145" i="16" s="1"/>
  <c r="W1145" i="16"/>
  <c r="AC1145" i="16" s="1"/>
  <c r="V1145" i="16"/>
  <c r="AB1145" i="16" s="1"/>
  <c r="X1144" i="16"/>
  <c r="AD1144" i="16" s="1"/>
  <c r="W1144" i="16"/>
  <c r="AC1144" i="16" s="1"/>
  <c r="V1144" i="16"/>
  <c r="AB1144" i="16" s="1"/>
  <c r="X1143" i="16"/>
  <c r="AD1143" i="16" s="1"/>
  <c r="W1143" i="16"/>
  <c r="AC1143" i="16" s="1"/>
  <c r="V1143" i="16"/>
  <c r="AB1143" i="16" s="1"/>
  <c r="X1142" i="16"/>
  <c r="AD1142" i="16" s="1"/>
  <c r="W1142" i="16"/>
  <c r="AC1142" i="16" s="1"/>
  <c r="V1142" i="16"/>
  <c r="AB1142" i="16" s="1"/>
  <c r="X1141" i="16"/>
  <c r="AD1141" i="16" s="1"/>
  <c r="W1141" i="16"/>
  <c r="AC1141" i="16" s="1"/>
  <c r="V1141" i="16"/>
  <c r="AB1141" i="16" s="1"/>
  <c r="X1140" i="16"/>
  <c r="AD1140" i="16" s="1"/>
  <c r="W1140" i="16"/>
  <c r="AC1140" i="16" s="1"/>
  <c r="V1140" i="16"/>
  <c r="AB1140" i="16" s="1"/>
  <c r="X1139" i="16"/>
  <c r="AD1139" i="16" s="1"/>
  <c r="W1139" i="16"/>
  <c r="AC1139" i="16" s="1"/>
  <c r="V1139" i="16"/>
  <c r="AB1139" i="16" s="1"/>
  <c r="X1138" i="16"/>
  <c r="AD1138" i="16" s="1"/>
  <c r="W1138" i="16"/>
  <c r="AC1138" i="16" s="1"/>
  <c r="V1138" i="16"/>
  <c r="AB1138" i="16" s="1"/>
  <c r="X1137" i="16"/>
  <c r="AD1137" i="16" s="1"/>
  <c r="W1137" i="16"/>
  <c r="AC1137" i="16" s="1"/>
  <c r="V1137" i="16"/>
  <c r="AB1137" i="16" s="1"/>
  <c r="X1136" i="16"/>
  <c r="AD1136" i="16" s="1"/>
  <c r="W1136" i="16"/>
  <c r="AC1136" i="16" s="1"/>
  <c r="V1136" i="16"/>
  <c r="AB1136" i="16" s="1"/>
  <c r="X1135" i="16"/>
  <c r="AD1135" i="16" s="1"/>
  <c r="W1135" i="16"/>
  <c r="AC1135" i="16" s="1"/>
  <c r="V1135" i="16"/>
  <c r="AB1135" i="16" s="1"/>
  <c r="X1134" i="16"/>
  <c r="AD1134" i="16" s="1"/>
  <c r="W1134" i="16"/>
  <c r="AC1134" i="16" s="1"/>
  <c r="V1134" i="16"/>
  <c r="AB1134" i="16" s="1"/>
  <c r="X1133" i="16"/>
  <c r="AD1133" i="16" s="1"/>
  <c r="W1133" i="16"/>
  <c r="AC1133" i="16" s="1"/>
  <c r="V1133" i="16"/>
  <c r="AB1133" i="16" s="1"/>
  <c r="X1132" i="16"/>
  <c r="AD1132" i="16" s="1"/>
  <c r="W1132" i="16"/>
  <c r="AC1132" i="16" s="1"/>
  <c r="V1132" i="16"/>
  <c r="AB1132" i="16" s="1"/>
  <c r="X1131" i="16"/>
  <c r="AD1131" i="16" s="1"/>
  <c r="W1131" i="16"/>
  <c r="AC1131" i="16" s="1"/>
  <c r="V1131" i="16"/>
  <c r="AB1131" i="16" s="1"/>
  <c r="X1130" i="16"/>
  <c r="AD1130" i="16" s="1"/>
  <c r="W1130" i="16"/>
  <c r="AC1130" i="16" s="1"/>
  <c r="V1130" i="16"/>
  <c r="AB1130" i="16" s="1"/>
  <c r="X1129" i="16"/>
  <c r="AD1129" i="16" s="1"/>
  <c r="W1129" i="16"/>
  <c r="AC1129" i="16" s="1"/>
  <c r="V1129" i="16"/>
  <c r="AB1129" i="16" s="1"/>
  <c r="X1128" i="16"/>
  <c r="AD1128" i="16" s="1"/>
  <c r="W1128" i="16"/>
  <c r="AC1128" i="16" s="1"/>
  <c r="V1128" i="16"/>
  <c r="AB1128" i="16" s="1"/>
  <c r="X1127" i="16"/>
  <c r="AD1127" i="16" s="1"/>
  <c r="W1127" i="16"/>
  <c r="AC1127" i="16" s="1"/>
  <c r="V1127" i="16"/>
  <c r="AB1127" i="16" s="1"/>
  <c r="X1126" i="16"/>
  <c r="AD1126" i="16" s="1"/>
  <c r="W1126" i="16"/>
  <c r="AC1126" i="16" s="1"/>
  <c r="V1126" i="16"/>
  <c r="AB1126" i="16" s="1"/>
  <c r="X1125" i="16"/>
  <c r="AD1125" i="16" s="1"/>
  <c r="W1125" i="16"/>
  <c r="AC1125" i="16" s="1"/>
  <c r="V1125" i="16"/>
  <c r="AB1125" i="16" s="1"/>
  <c r="X1124" i="16"/>
  <c r="AD1124" i="16" s="1"/>
  <c r="W1124" i="16"/>
  <c r="AC1124" i="16" s="1"/>
  <c r="V1124" i="16"/>
  <c r="AB1124" i="16" s="1"/>
  <c r="X1123" i="16"/>
  <c r="AD1123" i="16" s="1"/>
  <c r="W1123" i="16"/>
  <c r="AC1123" i="16" s="1"/>
  <c r="V1123" i="16"/>
  <c r="AB1123" i="16" s="1"/>
  <c r="X1122" i="16"/>
  <c r="AD1122" i="16" s="1"/>
  <c r="W1122" i="16"/>
  <c r="AC1122" i="16" s="1"/>
  <c r="V1122" i="16"/>
  <c r="AB1122" i="16" s="1"/>
  <c r="X1121" i="16"/>
  <c r="AD1121" i="16" s="1"/>
  <c r="W1121" i="16"/>
  <c r="AC1121" i="16" s="1"/>
  <c r="V1121" i="16"/>
  <c r="AB1121" i="16" s="1"/>
  <c r="X1120" i="16"/>
  <c r="AD1120" i="16" s="1"/>
  <c r="W1120" i="16"/>
  <c r="AC1120" i="16" s="1"/>
  <c r="V1120" i="16"/>
  <c r="AB1120" i="16" s="1"/>
  <c r="X1119" i="16"/>
  <c r="AD1119" i="16" s="1"/>
  <c r="W1119" i="16"/>
  <c r="AC1119" i="16" s="1"/>
  <c r="V1119" i="16"/>
  <c r="AB1119" i="16" s="1"/>
  <c r="X1118" i="16"/>
  <c r="AD1118" i="16" s="1"/>
  <c r="W1118" i="16"/>
  <c r="AC1118" i="16" s="1"/>
  <c r="V1118" i="16"/>
  <c r="AB1118" i="16" s="1"/>
  <c r="X1117" i="16"/>
  <c r="AD1117" i="16" s="1"/>
  <c r="W1117" i="16"/>
  <c r="AC1117" i="16" s="1"/>
  <c r="V1117" i="16"/>
  <c r="AB1117" i="16" s="1"/>
  <c r="X1116" i="16"/>
  <c r="AD1116" i="16" s="1"/>
  <c r="W1116" i="16"/>
  <c r="AC1116" i="16" s="1"/>
  <c r="V1116" i="16"/>
  <c r="AB1116" i="16" s="1"/>
  <c r="X1115" i="16"/>
  <c r="AD1115" i="16" s="1"/>
  <c r="W1115" i="16"/>
  <c r="AC1115" i="16" s="1"/>
  <c r="V1115" i="16"/>
  <c r="AB1115" i="16" s="1"/>
  <c r="X1114" i="16"/>
  <c r="AD1114" i="16" s="1"/>
  <c r="W1114" i="16"/>
  <c r="AC1114" i="16" s="1"/>
  <c r="V1114" i="16"/>
  <c r="AB1114" i="16" s="1"/>
  <c r="X1113" i="16"/>
  <c r="AD1113" i="16" s="1"/>
  <c r="W1113" i="16"/>
  <c r="AC1113" i="16" s="1"/>
  <c r="V1113" i="16"/>
  <c r="AB1113" i="16" s="1"/>
  <c r="X1112" i="16"/>
  <c r="AD1112" i="16" s="1"/>
  <c r="W1112" i="16"/>
  <c r="AC1112" i="16" s="1"/>
  <c r="V1112" i="16"/>
  <c r="AB1112" i="16" s="1"/>
  <c r="X1111" i="16"/>
  <c r="AD1111" i="16" s="1"/>
  <c r="W1111" i="16"/>
  <c r="AC1111" i="16" s="1"/>
  <c r="V1111" i="16"/>
  <c r="AB1111" i="16" s="1"/>
  <c r="X1110" i="16"/>
  <c r="AD1110" i="16" s="1"/>
  <c r="W1110" i="16"/>
  <c r="AC1110" i="16" s="1"/>
  <c r="V1110" i="16"/>
  <c r="AB1110" i="16" s="1"/>
  <c r="X1109" i="16"/>
  <c r="AD1109" i="16" s="1"/>
  <c r="W1109" i="16"/>
  <c r="AC1109" i="16" s="1"/>
  <c r="V1109" i="16"/>
  <c r="AB1109" i="16" s="1"/>
  <c r="X1108" i="16"/>
  <c r="AD1108" i="16" s="1"/>
  <c r="W1108" i="16"/>
  <c r="AC1108" i="16" s="1"/>
  <c r="V1108" i="16"/>
  <c r="AB1108" i="16" s="1"/>
  <c r="X1107" i="16"/>
  <c r="AD1107" i="16" s="1"/>
  <c r="W1107" i="16"/>
  <c r="AC1107" i="16" s="1"/>
  <c r="V1107" i="16"/>
  <c r="AB1107" i="16" s="1"/>
  <c r="X1106" i="16"/>
  <c r="AD1106" i="16" s="1"/>
  <c r="W1106" i="16"/>
  <c r="AC1106" i="16" s="1"/>
  <c r="V1106" i="16"/>
  <c r="AB1106" i="16" s="1"/>
  <c r="X1105" i="16"/>
  <c r="AD1105" i="16" s="1"/>
  <c r="W1105" i="16"/>
  <c r="AC1105" i="16" s="1"/>
  <c r="V1105" i="16"/>
  <c r="AB1105" i="16" s="1"/>
  <c r="X1104" i="16"/>
  <c r="AD1104" i="16" s="1"/>
  <c r="W1104" i="16"/>
  <c r="AC1104" i="16" s="1"/>
  <c r="V1104" i="16"/>
  <c r="AB1104" i="16" s="1"/>
  <c r="X1103" i="16"/>
  <c r="AD1103" i="16" s="1"/>
  <c r="W1103" i="16"/>
  <c r="AC1103" i="16" s="1"/>
  <c r="V1103" i="16"/>
  <c r="AB1103" i="16" s="1"/>
  <c r="X1102" i="16"/>
  <c r="AD1102" i="16" s="1"/>
  <c r="W1102" i="16"/>
  <c r="AC1102" i="16" s="1"/>
  <c r="V1102" i="16"/>
  <c r="AB1102" i="16" s="1"/>
  <c r="X1101" i="16"/>
  <c r="AD1101" i="16" s="1"/>
  <c r="W1101" i="16"/>
  <c r="AC1101" i="16" s="1"/>
  <c r="V1101" i="16"/>
  <c r="AB1101" i="16" s="1"/>
  <c r="X1100" i="16"/>
  <c r="AD1100" i="16" s="1"/>
  <c r="W1100" i="16"/>
  <c r="AC1100" i="16" s="1"/>
  <c r="V1100" i="16"/>
  <c r="AB1100" i="16" s="1"/>
  <c r="X1099" i="16"/>
  <c r="AD1099" i="16" s="1"/>
  <c r="W1099" i="16"/>
  <c r="AC1099" i="16" s="1"/>
  <c r="V1099" i="16"/>
  <c r="AB1099" i="16" s="1"/>
  <c r="X1098" i="16"/>
  <c r="AD1098" i="16" s="1"/>
  <c r="W1098" i="16"/>
  <c r="AC1098" i="16" s="1"/>
  <c r="V1098" i="16"/>
  <c r="AB1098" i="16" s="1"/>
  <c r="X1097" i="16"/>
  <c r="AD1097" i="16" s="1"/>
  <c r="W1097" i="16"/>
  <c r="AC1097" i="16" s="1"/>
  <c r="V1097" i="16"/>
  <c r="AB1097" i="16" s="1"/>
  <c r="X1096" i="16"/>
  <c r="AD1096" i="16" s="1"/>
  <c r="W1096" i="16"/>
  <c r="AC1096" i="16" s="1"/>
  <c r="V1096" i="16"/>
  <c r="AB1096" i="16" s="1"/>
  <c r="X1095" i="16"/>
  <c r="AD1095" i="16" s="1"/>
  <c r="W1095" i="16"/>
  <c r="AC1095" i="16" s="1"/>
  <c r="V1095" i="16"/>
  <c r="AB1095" i="16" s="1"/>
  <c r="X1094" i="16"/>
  <c r="AD1094" i="16" s="1"/>
  <c r="W1094" i="16"/>
  <c r="AC1094" i="16" s="1"/>
  <c r="V1094" i="16"/>
  <c r="AB1094" i="16" s="1"/>
  <c r="X1093" i="16"/>
  <c r="AD1093" i="16" s="1"/>
  <c r="W1093" i="16"/>
  <c r="AC1093" i="16" s="1"/>
  <c r="V1093" i="16"/>
  <c r="AB1093" i="16" s="1"/>
  <c r="X1092" i="16"/>
  <c r="AD1092" i="16" s="1"/>
  <c r="W1092" i="16"/>
  <c r="AC1092" i="16" s="1"/>
  <c r="V1092" i="16"/>
  <c r="AB1092" i="16" s="1"/>
  <c r="X1091" i="16"/>
  <c r="AD1091" i="16" s="1"/>
  <c r="W1091" i="16"/>
  <c r="AC1091" i="16" s="1"/>
  <c r="V1091" i="16"/>
  <c r="AB1091" i="16" s="1"/>
  <c r="X1090" i="16"/>
  <c r="AD1090" i="16" s="1"/>
  <c r="W1090" i="16"/>
  <c r="AC1090" i="16" s="1"/>
  <c r="V1090" i="16"/>
  <c r="AB1090" i="16" s="1"/>
  <c r="X1089" i="16"/>
  <c r="AD1089" i="16" s="1"/>
  <c r="W1089" i="16"/>
  <c r="AC1089" i="16" s="1"/>
  <c r="V1089" i="16"/>
  <c r="AB1089" i="16" s="1"/>
  <c r="X1088" i="16"/>
  <c r="AD1088" i="16" s="1"/>
  <c r="W1088" i="16"/>
  <c r="AC1088" i="16" s="1"/>
  <c r="V1088" i="16"/>
  <c r="AB1088" i="16" s="1"/>
  <c r="X1087" i="16"/>
  <c r="AD1087" i="16" s="1"/>
  <c r="W1087" i="16"/>
  <c r="AC1087" i="16" s="1"/>
  <c r="V1087" i="16"/>
  <c r="AB1087" i="16" s="1"/>
  <c r="X1086" i="16"/>
  <c r="AD1086" i="16" s="1"/>
  <c r="W1086" i="16"/>
  <c r="AC1086" i="16" s="1"/>
  <c r="V1086" i="16"/>
  <c r="AB1086" i="16" s="1"/>
  <c r="X1085" i="16"/>
  <c r="AD1085" i="16" s="1"/>
  <c r="W1085" i="16"/>
  <c r="AC1085" i="16" s="1"/>
  <c r="V1085" i="16"/>
  <c r="AB1085" i="16" s="1"/>
  <c r="X1084" i="16"/>
  <c r="AD1084" i="16" s="1"/>
  <c r="W1084" i="16"/>
  <c r="AC1084" i="16" s="1"/>
  <c r="V1084" i="16"/>
  <c r="AB1084" i="16" s="1"/>
  <c r="X1083" i="16"/>
  <c r="AD1083" i="16" s="1"/>
  <c r="W1083" i="16"/>
  <c r="AC1083" i="16" s="1"/>
  <c r="V1083" i="16"/>
  <c r="AB1083" i="16" s="1"/>
  <c r="X1082" i="16"/>
  <c r="AD1082" i="16" s="1"/>
  <c r="W1082" i="16"/>
  <c r="AC1082" i="16" s="1"/>
  <c r="V1082" i="16"/>
  <c r="AB1082" i="16" s="1"/>
  <c r="X1081" i="16"/>
  <c r="AD1081" i="16" s="1"/>
  <c r="W1081" i="16"/>
  <c r="AC1081" i="16" s="1"/>
  <c r="V1081" i="16"/>
  <c r="AB1081" i="16" s="1"/>
  <c r="X1080" i="16"/>
  <c r="AD1080" i="16" s="1"/>
  <c r="W1080" i="16"/>
  <c r="AC1080" i="16" s="1"/>
  <c r="V1080" i="16"/>
  <c r="AB1080" i="16" s="1"/>
  <c r="X1079" i="16"/>
  <c r="AD1079" i="16" s="1"/>
  <c r="W1079" i="16"/>
  <c r="AC1079" i="16" s="1"/>
  <c r="V1079" i="16"/>
  <c r="AB1079" i="16" s="1"/>
  <c r="X1078" i="16"/>
  <c r="AD1078" i="16" s="1"/>
  <c r="W1078" i="16"/>
  <c r="AC1078" i="16" s="1"/>
  <c r="V1078" i="16"/>
  <c r="AB1078" i="16" s="1"/>
  <c r="X1077" i="16"/>
  <c r="AD1077" i="16" s="1"/>
  <c r="W1077" i="16"/>
  <c r="AC1077" i="16" s="1"/>
  <c r="V1077" i="16"/>
  <c r="AB1077" i="16" s="1"/>
  <c r="X1076" i="16"/>
  <c r="AD1076" i="16" s="1"/>
  <c r="W1076" i="16"/>
  <c r="AC1076" i="16" s="1"/>
  <c r="V1076" i="16"/>
  <c r="AB1076" i="16" s="1"/>
  <c r="X1075" i="16"/>
  <c r="AD1075" i="16" s="1"/>
  <c r="W1075" i="16"/>
  <c r="AC1075" i="16" s="1"/>
  <c r="V1075" i="16"/>
  <c r="AB1075" i="16" s="1"/>
  <c r="X1074" i="16"/>
  <c r="AD1074" i="16" s="1"/>
  <c r="W1074" i="16"/>
  <c r="AC1074" i="16" s="1"/>
  <c r="V1074" i="16"/>
  <c r="AB1074" i="16" s="1"/>
  <c r="X1073" i="16"/>
  <c r="AD1073" i="16" s="1"/>
  <c r="W1073" i="16"/>
  <c r="AC1073" i="16" s="1"/>
  <c r="V1073" i="16"/>
  <c r="AB1073" i="16" s="1"/>
  <c r="X1072" i="16"/>
  <c r="AD1072" i="16" s="1"/>
  <c r="W1072" i="16"/>
  <c r="AC1072" i="16" s="1"/>
  <c r="V1072" i="16"/>
  <c r="AB1072" i="16" s="1"/>
  <c r="X1071" i="16"/>
  <c r="AD1071" i="16" s="1"/>
  <c r="W1071" i="16"/>
  <c r="AC1071" i="16" s="1"/>
  <c r="V1071" i="16"/>
  <c r="AB1071" i="16" s="1"/>
  <c r="X1070" i="16"/>
  <c r="AD1070" i="16" s="1"/>
  <c r="W1070" i="16"/>
  <c r="AC1070" i="16" s="1"/>
  <c r="V1070" i="16"/>
  <c r="AB1070" i="16" s="1"/>
  <c r="X1069" i="16"/>
  <c r="AD1069" i="16" s="1"/>
  <c r="W1069" i="16"/>
  <c r="AC1069" i="16" s="1"/>
  <c r="V1069" i="16"/>
  <c r="AB1069" i="16" s="1"/>
  <c r="X1068" i="16"/>
  <c r="AD1068" i="16" s="1"/>
  <c r="W1068" i="16"/>
  <c r="AC1068" i="16" s="1"/>
  <c r="V1068" i="16"/>
  <c r="AB1068" i="16" s="1"/>
  <c r="X1067" i="16"/>
  <c r="AD1067" i="16" s="1"/>
  <c r="W1067" i="16"/>
  <c r="AC1067" i="16" s="1"/>
  <c r="V1067" i="16"/>
  <c r="AB1067" i="16" s="1"/>
  <c r="X1066" i="16"/>
  <c r="AD1066" i="16" s="1"/>
  <c r="W1066" i="16"/>
  <c r="AC1066" i="16" s="1"/>
  <c r="V1066" i="16"/>
  <c r="AB1066" i="16" s="1"/>
  <c r="X1065" i="16"/>
  <c r="AD1065" i="16" s="1"/>
  <c r="W1065" i="16"/>
  <c r="AC1065" i="16" s="1"/>
  <c r="V1065" i="16"/>
  <c r="AB1065" i="16" s="1"/>
  <c r="X1064" i="16"/>
  <c r="AD1064" i="16" s="1"/>
  <c r="W1064" i="16"/>
  <c r="AC1064" i="16" s="1"/>
  <c r="V1064" i="16"/>
  <c r="AB1064" i="16" s="1"/>
  <c r="X1063" i="16"/>
  <c r="AD1063" i="16" s="1"/>
  <c r="W1063" i="16"/>
  <c r="AC1063" i="16" s="1"/>
  <c r="V1063" i="16"/>
  <c r="AB1063" i="16" s="1"/>
  <c r="X1062" i="16"/>
  <c r="AD1062" i="16" s="1"/>
  <c r="W1062" i="16"/>
  <c r="AC1062" i="16" s="1"/>
  <c r="V1062" i="16"/>
  <c r="AB1062" i="16" s="1"/>
  <c r="X1061" i="16"/>
  <c r="AD1061" i="16" s="1"/>
  <c r="W1061" i="16"/>
  <c r="AC1061" i="16" s="1"/>
  <c r="V1061" i="16"/>
  <c r="AB1061" i="16" s="1"/>
  <c r="X1060" i="16"/>
  <c r="AD1060" i="16" s="1"/>
  <c r="W1060" i="16"/>
  <c r="AC1060" i="16" s="1"/>
  <c r="V1060" i="16"/>
  <c r="AB1060" i="16" s="1"/>
  <c r="X1059" i="16"/>
  <c r="AD1059" i="16" s="1"/>
  <c r="W1059" i="16"/>
  <c r="AC1059" i="16" s="1"/>
  <c r="V1059" i="16"/>
  <c r="AB1059" i="16" s="1"/>
  <c r="X1058" i="16"/>
  <c r="AD1058" i="16" s="1"/>
  <c r="W1058" i="16"/>
  <c r="AC1058" i="16" s="1"/>
  <c r="V1058" i="16"/>
  <c r="AB1058" i="16" s="1"/>
  <c r="X1057" i="16"/>
  <c r="AD1057" i="16" s="1"/>
  <c r="W1057" i="16"/>
  <c r="AC1057" i="16" s="1"/>
  <c r="V1057" i="16"/>
  <c r="AB1057" i="16" s="1"/>
  <c r="X1056" i="16"/>
  <c r="AD1056" i="16" s="1"/>
  <c r="W1056" i="16"/>
  <c r="AC1056" i="16" s="1"/>
  <c r="V1056" i="16"/>
  <c r="AB1056" i="16" s="1"/>
  <c r="X1055" i="16"/>
  <c r="AD1055" i="16" s="1"/>
  <c r="W1055" i="16"/>
  <c r="AC1055" i="16" s="1"/>
  <c r="V1055" i="16"/>
  <c r="AB1055" i="16" s="1"/>
  <c r="X1054" i="16"/>
  <c r="AD1054" i="16" s="1"/>
  <c r="W1054" i="16"/>
  <c r="AC1054" i="16" s="1"/>
  <c r="V1054" i="16"/>
  <c r="AB1054" i="16" s="1"/>
  <c r="X1053" i="16"/>
  <c r="AD1053" i="16" s="1"/>
  <c r="W1053" i="16"/>
  <c r="AC1053" i="16" s="1"/>
  <c r="V1053" i="16"/>
  <c r="AB1053" i="16" s="1"/>
  <c r="X1052" i="16"/>
  <c r="AD1052" i="16" s="1"/>
  <c r="W1052" i="16"/>
  <c r="AC1052" i="16" s="1"/>
  <c r="V1052" i="16"/>
  <c r="AB1052" i="16" s="1"/>
  <c r="X1051" i="16"/>
  <c r="AD1051" i="16" s="1"/>
  <c r="W1051" i="16"/>
  <c r="AC1051" i="16" s="1"/>
  <c r="V1051" i="16"/>
  <c r="AB1051" i="16" s="1"/>
  <c r="X1050" i="16"/>
  <c r="AD1050" i="16" s="1"/>
  <c r="W1050" i="16"/>
  <c r="AC1050" i="16" s="1"/>
  <c r="V1050" i="16"/>
  <c r="AB1050" i="16" s="1"/>
  <c r="X1049" i="16"/>
  <c r="AD1049" i="16" s="1"/>
  <c r="W1049" i="16"/>
  <c r="AC1049" i="16" s="1"/>
  <c r="V1049" i="16"/>
  <c r="AB1049" i="16" s="1"/>
  <c r="X1048" i="16"/>
  <c r="AD1048" i="16" s="1"/>
  <c r="W1048" i="16"/>
  <c r="AC1048" i="16" s="1"/>
  <c r="V1048" i="16"/>
  <c r="AB1048" i="16" s="1"/>
  <c r="X1047" i="16"/>
  <c r="AD1047" i="16" s="1"/>
  <c r="W1047" i="16"/>
  <c r="AC1047" i="16" s="1"/>
  <c r="V1047" i="16"/>
  <c r="AB1047" i="16" s="1"/>
  <c r="X1046" i="16"/>
  <c r="AD1046" i="16" s="1"/>
  <c r="W1046" i="16"/>
  <c r="AC1046" i="16" s="1"/>
  <c r="V1046" i="16"/>
  <c r="AB1046" i="16" s="1"/>
  <c r="X1045" i="16"/>
  <c r="AD1045" i="16" s="1"/>
  <c r="W1045" i="16"/>
  <c r="AC1045" i="16" s="1"/>
  <c r="V1045" i="16"/>
  <c r="AB1045" i="16" s="1"/>
  <c r="X1044" i="16"/>
  <c r="AD1044" i="16" s="1"/>
  <c r="W1044" i="16"/>
  <c r="AC1044" i="16" s="1"/>
  <c r="V1044" i="16"/>
  <c r="AB1044" i="16" s="1"/>
  <c r="X1043" i="16"/>
  <c r="AD1043" i="16" s="1"/>
  <c r="W1043" i="16"/>
  <c r="AC1043" i="16" s="1"/>
  <c r="V1043" i="16"/>
  <c r="AB1043" i="16" s="1"/>
  <c r="X1042" i="16"/>
  <c r="AD1042" i="16" s="1"/>
  <c r="W1042" i="16"/>
  <c r="AC1042" i="16" s="1"/>
  <c r="V1042" i="16"/>
  <c r="AB1042" i="16" s="1"/>
  <c r="X1041" i="16"/>
  <c r="AD1041" i="16" s="1"/>
  <c r="W1041" i="16"/>
  <c r="AC1041" i="16" s="1"/>
  <c r="V1041" i="16"/>
  <c r="AB1041" i="16" s="1"/>
  <c r="X1040" i="16"/>
  <c r="AD1040" i="16" s="1"/>
  <c r="W1040" i="16"/>
  <c r="AC1040" i="16" s="1"/>
  <c r="V1040" i="16"/>
  <c r="AB1040" i="16" s="1"/>
  <c r="X1039" i="16"/>
  <c r="AD1039" i="16" s="1"/>
  <c r="W1039" i="16"/>
  <c r="AC1039" i="16" s="1"/>
  <c r="V1039" i="16"/>
  <c r="AB1039" i="16" s="1"/>
  <c r="X1038" i="16"/>
  <c r="AD1038" i="16" s="1"/>
  <c r="W1038" i="16"/>
  <c r="AC1038" i="16" s="1"/>
  <c r="V1038" i="16"/>
  <c r="AB1038" i="16" s="1"/>
  <c r="X1037" i="16"/>
  <c r="AD1037" i="16" s="1"/>
  <c r="W1037" i="16"/>
  <c r="AC1037" i="16" s="1"/>
  <c r="V1037" i="16"/>
  <c r="AB1037" i="16" s="1"/>
  <c r="X1036" i="16"/>
  <c r="AD1036" i="16" s="1"/>
  <c r="W1036" i="16"/>
  <c r="AC1036" i="16" s="1"/>
  <c r="V1036" i="16"/>
  <c r="AB1036" i="16" s="1"/>
  <c r="X1035" i="16"/>
  <c r="AD1035" i="16" s="1"/>
  <c r="W1035" i="16"/>
  <c r="AC1035" i="16" s="1"/>
  <c r="V1035" i="16"/>
  <c r="AB1035" i="16" s="1"/>
  <c r="X1034" i="16"/>
  <c r="AD1034" i="16" s="1"/>
  <c r="W1034" i="16"/>
  <c r="AC1034" i="16" s="1"/>
  <c r="V1034" i="16"/>
  <c r="AB1034" i="16" s="1"/>
  <c r="X1033" i="16"/>
  <c r="AD1033" i="16" s="1"/>
  <c r="W1033" i="16"/>
  <c r="AC1033" i="16" s="1"/>
  <c r="V1033" i="16"/>
  <c r="AB1033" i="16" s="1"/>
  <c r="X1032" i="16"/>
  <c r="AD1032" i="16" s="1"/>
  <c r="W1032" i="16"/>
  <c r="AC1032" i="16" s="1"/>
  <c r="V1032" i="16"/>
  <c r="AB1032" i="16" s="1"/>
  <c r="X1031" i="16"/>
  <c r="AD1031" i="16" s="1"/>
  <c r="W1031" i="16"/>
  <c r="AC1031" i="16" s="1"/>
  <c r="V1031" i="16"/>
  <c r="AB1031" i="16" s="1"/>
  <c r="X1030" i="16"/>
  <c r="AD1030" i="16" s="1"/>
  <c r="W1030" i="16"/>
  <c r="AC1030" i="16" s="1"/>
  <c r="V1030" i="16"/>
  <c r="AB1030" i="16" s="1"/>
  <c r="X1029" i="16"/>
  <c r="AD1029" i="16" s="1"/>
  <c r="W1029" i="16"/>
  <c r="AC1029" i="16" s="1"/>
  <c r="V1029" i="16"/>
  <c r="AB1029" i="16" s="1"/>
  <c r="X1028" i="16"/>
  <c r="AD1028" i="16" s="1"/>
  <c r="W1028" i="16"/>
  <c r="AC1028" i="16" s="1"/>
  <c r="V1028" i="16"/>
  <c r="AB1028" i="16" s="1"/>
  <c r="X1027" i="16"/>
  <c r="AD1027" i="16" s="1"/>
  <c r="W1027" i="16"/>
  <c r="AC1027" i="16" s="1"/>
  <c r="V1027" i="16"/>
  <c r="AB1027" i="16" s="1"/>
  <c r="X1026" i="16"/>
  <c r="AD1026" i="16" s="1"/>
  <c r="W1026" i="16"/>
  <c r="AC1026" i="16" s="1"/>
  <c r="V1026" i="16"/>
  <c r="AB1026" i="16" s="1"/>
  <c r="X1025" i="16"/>
  <c r="AD1025" i="16" s="1"/>
  <c r="W1025" i="16"/>
  <c r="AC1025" i="16" s="1"/>
  <c r="V1025" i="16"/>
  <c r="AB1025" i="16" s="1"/>
  <c r="X1024" i="16"/>
  <c r="AD1024" i="16" s="1"/>
  <c r="W1024" i="16"/>
  <c r="AC1024" i="16" s="1"/>
  <c r="V1024" i="16"/>
  <c r="AB1024" i="16" s="1"/>
  <c r="X1023" i="16"/>
  <c r="AD1023" i="16" s="1"/>
  <c r="W1023" i="16"/>
  <c r="AC1023" i="16" s="1"/>
  <c r="V1023" i="16"/>
  <c r="AB1023" i="16" s="1"/>
  <c r="X1022" i="16"/>
  <c r="AD1022" i="16" s="1"/>
  <c r="W1022" i="16"/>
  <c r="AC1022" i="16" s="1"/>
  <c r="V1022" i="16"/>
  <c r="AB1022" i="16" s="1"/>
  <c r="X1021" i="16"/>
  <c r="AD1021" i="16" s="1"/>
  <c r="W1021" i="16"/>
  <c r="AC1021" i="16" s="1"/>
  <c r="V1021" i="16"/>
  <c r="AB1021" i="16" s="1"/>
  <c r="X1020" i="16"/>
  <c r="AD1020" i="16" s="1"/>
  <c r="W1020" i="16"/>
  <c r="AC1020" i="16" s="1"/>
  <c r="V1020" i="16"/>
  <c r="AB1020" i="16" s="1"/>
  <c r="X1019" i="16"/>
  <c r="AD1019" i="16" s="1"/>
  <c r="W1019" i="16"/>
  <c r="AC1019" i="16" s="1"/>
  <c r="V1019" i="16"/>
  <c r="AB1019" i="16" s="1"/>
  <c r="X1018" i="16"/>
  <c r="AD1018" i="16" s="1"/>
  <c r="W1018" i="16"/>
  <c r="AC1018" i="16" s="1"/>
  <c r="V1018" i="16"/>
  <c r="AB1018" i="16" s="1"/>
  <c r="X1017" i="16"/>
  <c r="AD1017" i="16" s="1"/>
  <c r="W1017" i="16"/>
  <c r="AC1017" i="16" s="1"/>
  <c r="V1017" i="16"/>
  <c r="AB1017" i="16" s="1"/>
  <c r="X1016" i="16"/>
  <c r="AD1016" i="16" s="1"/>
  <c r="W1016" i="16"/>
  <c r="AC1016" i="16" s="1"/>
  <c r="V1016" i="16"/>
  <c r="AB1016" i="16" s="1"/>
  <c r="X1015" i="16"/>
  <c r="AD1015" i="16" s="1"/>
  <c r="W1015" i="16"/>
  <c r="AC1015" i="16" s="1"/>
  <c r="V1015" i="16"/>
  <c r="AB1015" i="16" s="1"/>
  <c r="X1014" i="16"/>
  <c r="AD1014" i="16" s="1"/>
  <c r="W1014" i="16"/>
  <c r="AC1014" i="16" s="1"/>
  <c r="V1014" i="16"/>
  <c r="AB1014" i="16" s="1"/>
  <c r="X1013" i="16"/>
  <c r="AD1013" i="16" s="1"/>
  <c r="W1013" i="16"/>
  <c r="AC1013" i="16" s="1"/>
  <c r="V1013" i="16"/>
  <c r="AB1013" i="16" s="1"/>
  <c r="X1012" i="16"/>
  <c r="AD1012" i="16" s="1"/>
  <c r="W1012" i="16"/>
  <c r="AC1012" i="16" s="1"/>
  <c r="V1012" i="16"/>
  <c r="AB1012" i="16" s="1"/>
  <c r="X1011" i="16"/>
  <c r="AD1011" i="16" s="1"/>
  <c r="W1011" i="16"/>
  <c r="AC1011" i="16" s="1"/>
  <c r="V1011" i="16"/>
  <c r="AB1011" i="16" s="1"/>
  <c r="X1010" i="16"/>
  <c r="AD1010" i="16" s="1"/>
  <c r="W1010" i="16"/>
  <c r="AC1010" i="16" s="1"/>
  <c r="V1010" i="16"/>
  <c r="AB1010" i="16" s="1"/>
  <c r="X1009" i="16"/>
  <c r="AD1009" i="16" s="1"/>
  <c r="W1009" i="16"/>
  <c r="AC1009" i="16" s="1"/>
  <c r="V1009" i="16"/>
  <c r="AB1009" i="16" s="1"/>
  <c r="X1008" i="16"/>
  <c r="AD1008" i="16" s="1"/>
  <c r="W1008" i="16"/>
  <c r="AC1008" i="16" s="1"/>
  <c r="V1008" i="16"/>
  <c r="AB1008" i="16" s="1"/>
  <c r="X1007" i="16"/>
  <c r="AD1007" i="16" s="1"/>
  <c r="W1007" i="16"/>
  <c r="AC1007" i="16" s="1"/>
  <c r="V1007" i="16"/>
  <c r="AB1007" i="16" s="1"/>
  <c r="X1006" i="16"/>
  <c r="AD1006" i="16" s="1"/>
  <c r="W1006" i="16"/>
  <c r="AC1006" i="16" s="1"/>
  <c r="V1006" i="16"/>
  <c r="AB1006" i="16" s="1"/>
  <c r="X1005" i="16"/>
  <c r="AD1005" i="16" s="1"/>
  <c r="W1005" i="16"/>
  <c r="AC1005" i="16" s="1"/>
  <c r="V1005" i="16"/>
  <c r="AB1005" i="16" s="1"/>
  <c r="X1004" i="16"/>
  <c r="AD1004" i="16" s="1"/>
  <c r="W1004" i="16"/>
  <c r="AC1004" i="16" s="1"/>
  <c r="V1004" i="16"/>
  <c r="AB1004" i="16" s="1"/>
  <c r="X1003" i="16"/>
  <c r="AD1003" i="16" s="1"/>
  <c r="W1003" i="16"/>
  <c r="AC1003" i="16" s="1"/>
  <c r="V1003" i="16"/>
  <c r="AB1003" i="16" s="1"/>
  <c r="X1002" i="16"/>
  <c r="AD1002" i="16" s="1"/>
  <c r="W1002" i="16"/>
  <c r="AC1002" i="16" s="1"/>
  <c r="V1002" i="16"/>
  <c r="AB1002" i="16" s="1"/>
  <c r="X1001" i="16"/>
  <c r="AD1001" i="16" s="1"/>
  <c r="W1001" i="16"/>
  <c r="AC1001" i="16" s="1"/>
  <c r="V1001" i="16"/>
  <c r="AB1001" i="16" s="1"/>
  <c r="X1000" i="16"/>
  <c r="AD1000" i="16" s="1"/>
  <c r="W1000" i="16"/>
  <c r="AC1000" i="16" s="1"/>
  <c r="V1000" i="16"/>
  <c r="AB1000" i="16" s="1"/>
  <c r="X999" i="16"/>
  <c r="AD999" i="16" s="1"/>
  <c r="W999" i="16"/>
  <c r="AC999" i="16" s="1"/>
  <c r="V999" i="16"/>
  <c r="AB999" i="16" s="1"/>
  <c r="X998" i="16"/>
  <c r="AD998" i="16" s="1"/>
  <c r="W998" i="16"/>
  <c r="AC998" i="16" s="1"/>
  <c r="V998" i="16"/>
  <c r="AB998" i="16" s="1"/>
  <c r="X997" i="16"/>
  <c r="AD997" i="16" s="1"/>
  <c r="W997" i="16"/>
  <c r="AC997" i="16" s="1"/>
  <c r="V997" i="16"/>
  <c r="AB997" i="16" s="1"/>
  <c r="X996" i="16"/>
  <c r="AD996" i="16" s="1"/>
  <c r="W996" i="16"/>
  <c r="AC996" i="16" s="1"/>
  <c r="V996" i="16"/>
  <c r="AB996" i="16" s="1"/>
  <c r="X995" i="16"/>
  <c r="AD995" i="16" s="1"/>
  <c r="W995" i="16"/>
  <c r="AC995" i="16" s="1"/>
  <c r="V995" i="16"/>
  <c r="AB995" i="16" s="1"/>
  <c r="X994" i="16"/>
  <c r="AD994" i="16" s="1"/>
  <c r="W994" i="16"/>
  <c r="AC994" i="16" s="1"/>
  <c r="V994" i="16"/>
  <c r="AB994" i="16" s="1"/>
  <c r="X993" i="16"/>
  <c r="AD993" i="16" s="1"/>
  <c r="W993" i="16"/>
  <c r="AC993" i="16" s="1"/>
  <c r="V993" i="16"/>
  <c r="AB993" i="16" s="1"/>
  <c r="X992" i="16"/>
  <c r="AD992" i="16" s="1"/>
  <c r="W992" i="16"/>
  <c r="AC992" i="16" s="1"/>
  <c r="V992" i="16"/>
  <c r="AB992" i="16" s="1"/>
  <c r="X991" i="16"/>
  <c r="AD991" i="16" s="1"/>
  <c r="W991" i="16"/>
  <c r="AC991" i="16" s="1"/>
  <c r="V991" i="16"/>
  <c r="AB991" i="16" s="1"/>
  <c r="X990" i="16"/>
  <c r="AD990" i="16" s="1"/>
  <c r="W990" i="16"/>
  <c r="AC990" i="16" s="1"/>
  <c r="V990" i="16"/>
  <c r="AB990" i="16" s="1"/>
  <c r="X989" i="16"/>
  <c r="AD989" i="16" s="1"/>
  <c r="W989" i="16"/>
  <c r="AC989" i="16" s="1"/>
  <c r="V989" i="16"/>
  <c r="AB989" i="16" s="1"/>
  <c r="X988" i="16"/>
  <c r="AD988" i="16" s="1"/>
  <c r="W988" i="16"/>
  <c r="AC988" i="16" s="1"/>
  <c r="V988" i="16"/>
  <c r="AB988" i="16" s="1"/>
  <c r="X987" i="16"/>
  <c r="AD987" i="16" s="1"/>
  <c r="W987" i="16"/>
  <c r="AC987" i="16" s="1"/>
  <c r="V987" i="16"/>
  <c r="AB987" i="16" s="1"/>
  <c r="X986" i="16"/>
  <c r="AD986" i="16" s="1"/>
  <c r="W986" i="16"/>
  <c r="AC986" i="16" s="1"/>
  <c r="V986" i="16"/>
  <c r="AB986" i="16" s="1"/>
  <c r="X985" i="16"/>
  <c r="AD985" i="16" s="1"/>
  <c r="W985" i="16"/>
  <c r="AC985" i="16" s="1"/>
  <c r="V985" i="16"/>
  <c r="AB985" i="16" s="1"/>
  <c r="X984" i="16"/>
  <c r="AD984" i="16" s="1"/>
  <c r="W984" i="16"/>
  <c r="AC984" i="16" s="1"/>
  <c r="V984" i="16"/>
  <c r="AB984" i="16" s="1"/>
  <c r="X983" i="16"/>
  <c r="AD983" i="16" s="1"/>
  <c r="W983" i="16"/>
  <c r="AC983" i="16" s="1"/>
  <c r="V983" i="16"/>
  <c r="AB983" i="16" s="1"/>
  <c r="X982" i="16"/>
  <c r="AD982" i="16" s="1"/>
  <c r="W982" i="16"/>
  <c r="AC982" i="16" s="1"/>
  <c r="V982" i="16"/>
  <c r="AB982" i="16" s="1"/>
  <c r="X981" i="16"/>
  <c r="AD981" i="16" s="1"/>
  <c r="W981" i="16"/>
  <c r="AC981" i="16" s="1"/>
  <c r="V981" i="16"/>
  <c r="AB981" i="16" s="1"/>
  <c r="X980" i="16"/>
  <c r="AD980" i="16" s="1"/>
  <c r="W980" i="16"/>
  <c r="AC980" i="16" s="1"/>
  <c r="V980" i="16"/>
  <c r="AB980" i="16" s="1"/>
  <c r="X979" i="16"/>
  <c r="AD979" i="16" s="1"/>
  <c r="W979" i="16"/>
  <c r="AC979" i="16" s="1"/>
  <c r="V979" i="16"/>
  <c r="AB979" i="16" s="1"/>
  <c r="X978" i="16"/>
  <c r="AD978" i="16" s="1"/>
  <c r="W978" i="16"/>
  <c r="AC978" i="16" s="1"/>
  <c r="V978" i="16"/>
  <c r="AB978" i="16" s="1"/>
  <c r="X977" i="16"/>
  <c r="AD977" i="16" s="1"/>
  <c r="W977" i="16"/>
  <c r="AC977" i="16" s="1"/>
  <c r="V977" i="16"/>
  <c r="AB977" i="16" s="1"/>
  <c r="X976" i="16"/>
  <c r="AD976" i="16" s="1"/>
  <c r="W976" i="16"/>
  <c r="AC976" i="16" s="1"/>
  <c r="V976" i="16"/>
  <c r="AB976" i="16" s="1"/>
  <c r="X975" i="16"/>
  <c r="AD975" i="16" s="1"/>
  <c r="W975" i="16"/>
  <c r="AC975" i="16" s="1"/>
  <c r="V975" i="16"/>
  <c r="AB975" i="16" s="1"/>
  <c r="X974" i="16"/>
  <c r="AD974" i="16" s="1"/>
  <c r="W974" i="16"/>
  <c r="AC974" i="16" s="1"/>
  <c r="V974" i="16"/>
  <c r="AB974" i="16" s="1"/>
  <c r="X973" i="16"/>
  <c r="AD973" i="16" s="1"/>
  <c r="W973" i="16"/>
  <c r="AC973" i="16" s="1"/>
  <c r="V973" i="16"/>
  <c r="AB973" i="16" s="1"/>
  <c r="X972" i="16"/>
  <c r="AD972" i="16" s="1"/>
  <c r="W972" i="16"/>
  <c r="AC972" i="16" s="1"/>
  <c r="V972" i="16"/>
  <c r="AB972" i="16" s="1"/>
  <c r="X971" i="16"/>
  <c r="AD971" i="16" s="1"/>
  <c r="W971" i="16"/>
  <c r="AC971" i="16" s="1"/>
  <c r="V971" i="16"/>
  <c r="AB971" i="16" s="1"/>
  <c r="X970" i="16"/>
  <c r="AD970" i="16" s="1"/>
  <c r="W970" i="16"/>
  <c r="AC970" i="16" s="1"/>
  <c r="V970" i="16"/>
  <c r="AB970" i="16" s="1"/>
  <c r="X969" i="16"/>
  <c r="AD969" i="16" s="1"/>
  <c r="W969" i="16"/>
  <c r="AC969" i="16" s="1"/>
  <c r="V969" i="16"/>
  <c r="AB969" i="16" s="1"/>
  <c r="X968" i="16"/>
  <c r="AD968" i="16" s="1"/>
  <c r="W968" i="16"/>
  <c r="AC968" i="16" s="1"/>
  <c r="V968" i="16"/>
  <c r="AB968" i="16" s="1"/>
  <c r="X967" i="16"/>
  <c r="AD967" i="16" s="1"/>
  <c r="W967" i="16"/>
  <c r="AC967" i="16" s="1"/>
  <c r="V967" i="16"/>
  <c r="AB967" i="16" s="1"/>
  <c r="X966" i="16"/>
  <c r="AD966" i="16" s="1"/>
  <c r="W966" i="16"/>
  <c r="AC966" i="16" s="1"/>
  <c r="V966" i="16"/>
  <c r="AB966" i="16" s="1"/>
  <c r="X965" i="16"/>
  <c r="AD965" i="16" s="1"/>
  <c r="W965" i="16"/>
  <c r="AC965" i="16" s="1"/>
  <c r="V965" i="16"/>
  <c r="AB965" i="16" s="1"/>
  <c r="X964" i="16"/>
  <c r="AD964" i="16" s="1"/>
  <c r="W964" i="16"/>
  <c r="AC964" i="16" s="1"/>
  <c r="V964" i="16"/>
  <c r="AB964" i="16" s="1"/>
  <c r="X963" i="16"/>
  <c r="AD963" i="16" s="1"/>
  <c r="W963" i="16"/>
  <c r="AC963" i="16" s="1"/>
  <c r="V963" i="16"/>
  <c r="AB963" i="16" s="1"/>
  <c r="X962" i="16"/>
  <c r="AD962" i="16" s="1"/>
  <c r="W962" i="16"/>
  <c r="AC962" i="16" s="1"/>
  <c r="V962" i="16"/>
  <c r="AB962" i="16" s="1"/>
  <c r="X961" i="16"/>
  <c r="AD961" i="16" s="1"/>
  <c r="W961" i="16"/>
  <c r="AC961" i="16" s="1"/>
  <c r="V961" i="16"/>
  <c r="AB961" i="16" s="1"/>
  <c r="X960" i="16"/>
  <c r="AD960" i="16" s="1"/>
  <c r="W960" i="16"/>
  <c r="AC960" i="16" s="1"/>
  <c r="V960" i="16"/>
  <c r="AB960" i="16" s="1"/>
  <c r="X959" i="16"/>
  <c r="AD959" i="16" s="1"/>
  <c r="W959" i="16"/>
  <c r="AC959" i="16" s="1"/>
  <c r="V959" i="16"/>
  <c r="AB959" i="16" s="1"/>
  <c r="X958" i="16"/>
  <c r="AD958" i="16" s="1"/>
  <c r="W958" i="16"/>
  <c r="AC958" i="16" s="1"/>
  <c r="V958" i="16"/>
  <c r="AB958" i="16" s="1"/>
  <c r="X957" i="16"/>
  <c r="AD957" i="16" s="1"/>
  <c r="W957" i="16"/>
  <c r="AC957" i="16" s="1"/>
  <c r="V957" i="16"/>
  <c r="AB957" i="16" s="1"/>
  <c r="X956" i="16"/>
  <c r="AD956" i="16" s="1"/>
  <c r="W956" i="16"/>
  <c r="AC956" i="16" s="1"/>
  <c r="V956" i="16"/>
  <c r="AB956" i="16" s="1"/>
  <c r="X955" i="16"/>
  <c r="AD955" i="16" s="1"/>
  <c r="W955" i="16"/>
  <c r="AC955" i="16" s="1"/>
  <c r="V955" i="16"/>
  <c r="AB955" i="16" s="1"/>
  <c r="X954" i="16"/>
  <c r="AD954" i="16" s="1"/>
  <c r="W954" i="16"/>
  <c r="AC954" i="16" s="1"/>
  <c r="V954" i="16"/>
  <c r="AB954" i="16" s="1"/>
  <c r="X953" i="16"/>
  <c r="AD953" i="16" s="1"/>
  <c r="W953" i="16"/>
  <c r="AC953" i="16" s="1"/>
  <c r="V953" i="16"/>
  <c r="AB953" i="16" s="1"/>
  <c r="X952" i="16"/>
  <c r="AD952" i="16" s="1"/>
  <c r="W952" i="16"/>
  <c r="AC952" i="16" s="1"/>
  <c r="V952" i="16"/>
  <c r="AB952" i="16" s="1"/>
  <c r="X951" i="16"/>
  <c r="AD951" i="16" s="1"/>
  <c r="W951" i="16"/>
  <c r="AC951" i="16" s="1"/>
  <c r="V951" i="16"/>
  <c r="AB951" i="16" s="1"/>
  <c r="X950" i="16"/>
  <c r="AD950" i="16" s="1"/>
  <c r="W950" i="16"/>
  <c r="AC950" i="16" s="1"/>
  <c r="V950" i="16"/>
  <c r="AB950" i="16" s="1"/>
  <c r="X949" i="16"/>
  <c r="AD949" i="16" s="1"/>
  <c r="W949" i="16"/>
  <c r="AC949" i="16" s="1"/>
  <c r="V949" i="16"/>
  <c r="AB949" i="16" s="1"/>
  <c r="X948" i="16"/>
  <c r="AD948" i="16" s="1"/>
  <c r="W948" i="16"/>
  <c r="AC948" i="16" s="1"/>
  <c r="V948" i="16"/>
  <c r="AB948" i="16" s="1"/>
  <c r="X947" i="16"/>
  <c r="AD947" i="16" s="1"/>
  <c r="W947" i="16"/>
  <c r="AC947" i="16" s="1"/>
  <c r="V947" i="16"/>
  <c r="AB947" i="16" s="1"/>
  <c r="X946" i="16"/>
  <c r="AD946" i="16" s="1"/>
  <c r="W946" i="16"/>
  <c r="AC946" i="16" s="1"/>
  <c r="V946" i="16"/>
  <c r="AB946" i="16" s="1"/>
  <c r="X945" i="16"/>
  <c r="AD945" i="16" s="1"/>
  <c r="W945" i="16"/>
  <c r="AC945" i="16" s="1"/>
  <c r="V945" i="16"/>
  <c r="AB945" i="16" s="1"/>
  <c r="X944" i="16"/>
  <c r="AD944" i="16" s="1"/>
  <c r="W944" i="16"/>
  <c r="AC944" i="16" s="1"/>
  <c r="V944" i="16"/>
  <c r="AB944" i="16" s="1"/>
  <c r="X943" i="16"/>
  <c r="AD943" i="16" s="1"/>
  <c r="W943" i="16"/>
  <c r="AC943" i="16" s="1"/>
  <c r="V943" i="16"/>
  <c r="AB943" i="16" s="1"/>
  <c r="X942" i="16"/>
  <c r="AD942" i="16" s="1"/>
  <c r="W942" i="16"/>
  <c r="AC942" i="16" s="1"/>
  <c r="V942" i="16"/>
  <c r="AB942" i="16" s="1"/>
  <c r="X941" i="16"/>
  <c r="AD941" i="16" s="1"/>
  <c r="W941" i="16"/>
  <c r="AC941" i="16" s="1"/>
  <c r="V941" i="16"/>
  <c r="AB941" i="16" s="1"/>
  <c r="X940" i="16"/>
  <c r="AD940" i="16" s="1"/>
  <c r="W940" i="16"/>
  <c r="AC940" i="16" s="1"/>
  <c r="V940" i="16"/>
  <c r="AB940" i="16" s="1"/>
  <c r="X939" i="16"/>
  <c r="AD939" i="16" s="1"/>
  <c r="W939" i="16"/>
  <c r="AC939" i="16" s="1"/>
  <c r="V939" i="16"/>
  <c r="AB939" i="16" s="1"/>
  <c r="X938" i="16"/>
  <c r="AD938" i="16" s="1"/>
  <c r="W938" i="16"/>
  <c r="AC938" i="16" s="1"/>
  <c r="V938" i="16"/>
  <c r="AB938" i="16" s="1"/>
  <c r="X937" i="16"/>
  <c r="AD937" i="16" s="1"/>
  <c r="W937" i="16"/>
  <c r="AC937" i="16" s="1"/>
  <c r="V937" i="16"/>
  <c r="AB937" i="16" s="1"/>
  <c r="X936" i="16"/>
  <c r="AD936" i="16" s="1"/>
  <c r="W936" i="16"/>
  <c r="AC936" i="16" s="1"/>
  <c r="V936" i="16"/>
  <c r="AB936" i="16" s="1"/>
  <c r="X935" i="16"/>
  <c r="AD935" i="16" s="1"/>
  <c r="W935" i="16"/>
  <c r="AC935" i="16" s="1"/>
  <c r="V935" i="16"/>
  <c r="AB935" i="16" s="1"/>
  <c r="X934" i="16"/>
  <c r="AD934" i="16" s="1"/>
  <c r="W934" i="16"/>
  <c r="AC934" i="16" s="1"/>
  <c r="V934" i="16"/>
  <c r="AB934" i="16" s="1"/>
  <c r="X933" i="16"/>
  <c r="AD933" i="16" s="1"/>
  <c r="W933" i="16"/>
  <c r="AC933" i="16" s="1"/>
  <c r="V933" i="16"/>
  <c r="AB933" i="16" s="1"/>
  <c r="X932" i="16"/>
  <c r="AD932" i="16" s="1"/>
  <c r="W932" i="16"/>
  <c r="AC932" i="16" s="1"/>
  <c r="V932" i="16"/>
  <c r="AB932" i="16" s="1"/>
  <c r="X931" i="16"/>
  <c r="AD931" i="16" s="1"/>
  <c r="W931" i="16"/>
  <c r="AC931" i="16" s="1"/>
  <c r="V931" i="16"/>
  <c r="AB931" i="16" s="1"/>
  <c r="X930" i="16"/>
  <c r="AD930" i="16" s="1"/>
  <c r="W930" i="16"/>
  <c r="AC930" i="16" s="1"/>
  <c r="V930" i="16"/>
  <c r="AB930" i="16" s="1"/>
  <c r="X929" i="16"/>
  <c r="AD929" i="16" s="1"/>
  <c r="W929" i="16"/>
  <c r="AC929" i="16" s="1"/>
  <c r="V929" i="16"/>
  <c r="AB929" i="16" s="1"/>
  <c r="X928" i="16"/>
  <c r="AD928" i="16" s="1"/>
  <c r="W928" i="16"/>
  <c r="AC928" i="16" s="1"/>
  <c r="V928" i="16"/>
  <c r="AB928" i="16" s="1"/>
  <c r="X927" i="16"/>
  <c r="AD927" i="16" s="1"/>
  <c r="W927" i="16"/>
  <c r="AC927" i="16" s="1"/>
  <c r="V927" i="16"/>
  <c r="AB927" i="16" s="1"/>
  <c r="X926" i="16"/>
  <c r="AD926" i="16" s="1"/>
  <c r="W926" i="16"/>
  <c r="AC926" i="16" s="1"/>
  <c r="V926" i="16"/>
  <c r="AB926" i="16" s="1"/>
  <c r="X925" i="16"/>
  <c r="AD925" i="16" s="1"/>
  <c r="W925" i="16"/>
  <c r="AC925" i="16" s="1"/>
  <c r="V925" i="16"/>
  <c r="AB925" i="16" s="1"/>
  <c r="X924" i="16"/>
  <c r="AD924" i="16" s="1"/>
  <c r="W924" i="16"/>
  <c r="AC924" i="16" s="1"/>
  <c r="V924" i="16"/>
  <c r="AB924" i="16" s="1"/>
  <c r="X923" i="16"/>
  <c r="AD923" i="16" s="1"/>
  <c r="W923" i="16"/>
  <c r="AC923" i="16" s="1"/>
  <c r="V923" i="16"/>
  <c r="AB923" i="16" s="1"/>
  <c r="X922" i="16"/>
  <c r="AD922" i="16" s="1"/>
  <c r="W922" i="16"/>
  <c r="AC922" i="16" s="1"/>
  <c r="V922" i="16"/>
  <c r="AB922" i="16" s="1"/>
  <c r="X921" i="16"/>
  <c r="AD921" i="16" s="1"/>
  <c r="W921" i="16"/>
  <c r="AC921" i="16" s="1"/>
  <c r="V921" i="16"/>
  <c r="AB921" i="16" s="1"/>
  <c r="X920" i="16"/>
  <c r="AD920" i="16" s="1"/>
  <c r="W920" i="16"/>
  <c r="AC920" i="16" s="1"/>
  <c r="V920" i="16"/>
  <c r="AB920" i="16" s="1"/>
  <c r="X919" i="16"/>
  <c r="AD919" i="16" s="1"/>
  <c r="W919" i="16"/>
  <c r="AC919" i="16" s="1"/>
  <c r="V919" i="16"/>
  <c r="AB919" i="16" s="1"/>
  <c r="X918" i="16"/>
  <c r="AD918" i="16" s="1"/>
  <c r="W918" i="16"/>
  <c r="AC918" i="16" s="1"/>
  <c r="V918" i="16"/>
  <c r="AB918" i="16" s="1"/>
  <c r="X917" i="16"/>
  <c r="AD917" i="16" s="1"/>
  <c r="W917" i="16"/>
  <c r="AC917" i="16" s="1"/>
  <c r="V917" i="16"/>
  <c r="AB917" i="16" s="1"/>
  <c r="X916" i="16"/>
  <c r="AD916" i="16" s="1"/>
  <c r="W916" i="16"/>
  <c r="AC916" i="16" s="1"/>
  <c r="V916" i="16"/>
  <c r="AB916" i="16" s="1"/>
  <c r="X915" i="16"/>
  <c r="AD915" i="16" s="1"/>
  <c r="W915" i="16"/>
  <c r="AC915" i="16" s="1"/>
  <c r="V915" i="16"/>
  <c r="AB915" i="16" s="1"/>
  <c r="X914" i="16"/>
  <c r="AD914" i="16" s="1"/>
  <c r="W914" i="16"/>
  <c r="AC914" i="16" s="1"/>
  <c r="V914" i="16"/>
  <c r="AB914" i="16" s="1"/>
  <c r="X913" i="16"/>
  <c r="AD913" i="16" s="1"/>
  <c r="W913" i="16"/>
  <c r="AC913" i="16" s="1"/>
  <c r="V913" i="16"/>
  <c r="AB913" i="16" s="1"/>
  <c r="X912" i="16"/>
  <c r="AD912" i="16" s="1"/>
  <c r="W912" i="16"/>
  <c r="AC912" i="16" s="1"/>
  <c r="V912" i="16"/>
  <c r="AB912" i="16" s="1"/>
  <c r="X911" i="16"/>
  <c r="AD911" i="16" s="1"/>
  <c r="W911" i="16"/>
  <c r="AC911" i="16" s="1"/>
  <c r="V911" i="16"/>
  <c r="AB911" i="16" s="1"/>
  <c r="X910" i="16"/>
  <c r="AD910" i="16" s="1"/>
  <c r="W910" i="16"/>
  <c r="AC910" i="16" s="1"/>
  <c r="V910" i="16"/>
  <c r="AB910" i="16" s="1"/>
  <c r="X909" i="16"/>
  <c r="AD909" i="16" s="1"/>
  <c r="W909" i="16"/>
  <c r="AC909" i="16" s="1"/>
  <c r="V909" i="16"/>
  <c r="AB909" i="16" s="1"/>
  <c r="X908" i="16"/>
  <c r="AD908" i="16" s="1"/>
  <c r="W908" i="16"/>
  <c r="AC908" i="16" s="1"/>
  <c r="V908" i="16"/>
  <c r="AB908" i="16" s="1"/>
  <c r="X907" i="16"/>
  <c r="AD907" i="16" s="1"/>
  <c r="W907" i="16"/>
  <c r="AC907" i="16" s="1"/>
  <c r="V907" i="16"/>
  <c r="AB907" i="16" s="1"/>
  <c r="X906" i="16"/>
  <c r="AD906" i="16" s="1"/>
  <c r="W906" i="16"/>
  <c r="AC906" i="16" s="1"/>
  <c r="V906" i="16"/>
  <c r="AB906" i="16" s="1"/>
  <c r="X905" i="16"/>
  <c r="AD905" i="16" s="1"/>
  <c r="W905" i="16"/>
  <c r="AC905" i="16" s="1"/>
  <c r="V905" i="16"/>
  <c r="AB905" i="16" s="1"/>
  <c r="X904" i="16"/>
  <c r="AD904" i="16" s="1"/>
  <c r="W904" i="16"/>
  <c r="AC904" i="16" s="1"/>
  <c r="V904" i="16"/>
  <c r="AB904" i="16" s="1"/>
  <c r="X903" i="16"/>
  <c r="AD903" i="16" s="1"/>
  <c r="W903" i="16"/>
  <c r="AC903" i="16" s="1"/>
  <c r="V903" i="16"/>
  <c r="AB903" i="16" s="1"/>
  <c r="X902" i="16"/>
  <c r="AD902" i="16" s="1"/>
  <c r="W902" i="16"/>
  <c r="AC902" i="16" s="1"/>
  <c r="V902" i="16"/>
  <c r="AB902" i="16" s="1"/>
  <c r="X901" i="16"/>
  <c r="AD901" i="16" s="1"/>
  <c r="W901" i="16"/>
  <c r="AC901" i="16" s="1"/>
  <c r="V901" i="16"/>
  <c r="AB901" i="16" s="1"/>
  <c r="X900" i="16"/>
  <c r="AD900" i="16" s="1"/>
  <c r="W900" i="16"/>
  <c r="AC900" i="16" s="1"/>
  <c r="V900" i="16"/>
  <c r="AB900" i="16" s="1"/>
  <c r="X899" i="16"/>
  <c r="AD899" i="16" s="1"/>
  <c r="W899" i="16"/>
  <c r="AC899" i="16" s="1"/>
  <c r="V899" i="16"/>
  <c r="AB899" i="16" s="1"/>
  <c r="X898" i="16"/>
  <c r="AD898" i="16" s="1"/>
  <c r="W898" i="16"/>
  <c r="AC898" i="16" s="1"/>
  <c r="V898" i="16"/>
  <c r="AB898" i="16" s="1"/>
  <c r="X897" i="16"/>
  <c r="AD897" i="16" s="1"/>
  <c r="W897" i="16"/>
  <c r="AC897" i="16" s="1"/>
  <c r="V897" i="16"/>
  <c r="AB897" i="16" s="1"/>
  <c r="X896" i="16"/>
  <c r="AD896" i="16" s="1"/>
  <c r="W896" i="16"/>
  <c r="AC896" i="16" s="1"/>
  <c r="V896" i="16"/>
  <c r="AB896" i="16" s="1"/>
  <c r="X895" i="16"/>
  <c r="AD895" i="16" s="1"/>
  <c r="W895" i="16"/>
  <c r="AC895" i="16" s="1"/>
  <c r="V895" i="16"/>
  <c r="AB895" i="16" s="1"/>
  <c r="X894" i="16"/>
  <c r="AD894" i="16" s="1"/>
  <c r="W894" i="16"/>
  <c r="AC894" i="16" s="1"/>
  <c r="V894" i="16"/>
  <c r="AB894" i="16" s="1"/>
  <c r="X893" i="16"/>
  <c r="AD893" i="16" s="1"/>
  <c r="W893" i="16"/>
  <c r="AC893" i="16" s="1"/>
  <c r="V893" i="16"/>
  <c r="AB893" i="16" s="1"/>
  <c r="X892" i="16"/>
  <c r="AD892" i="16" s="1"/>
  <c r="W892" i="16"/>
  <c r="AC892" i="16" s="1"/>
  <c r="V892" i="16"/>
  <c r="AB892" i="16" s="1"/>
  <c r="X891" i="16"/>
  <c r="AD891" i="16" s="1"/>
  <c r="W891" i="16"/>
  <c r="AC891" i="16" s="1"/>
  <c r="V891" i="16"/>
  <c r="AB891" i="16" s="1"/>
  <c r="X890" i="16"/>
  <c r="AD890" i="16" s="1"/>
  <c r="W890" i="16"/>
  <c r="AC890" i="16" s="1"/>
  <c r="V890" i="16"/>
  <c r="AB890" i="16" s="1"/>
  <c r="X889" i="16"/>
  <c r="AD889" i="16" s="1"/>
  <c r="W889" i="16"/>
  <c r="AC889" i="16" s="1"/>
  <c r="V889" i="16"/>
  <c r="AB889" i="16" s="1"/>
  <c r="X888" i="16"/>
  <c r="AD888" i="16" s="1"/>
  <c r="W888" i="16"/>
  <c r="AC888" i="16" s="1"/>
  <c r="V888" i="16"/>
  <c r="AB888" i="16" s="1"/>
  <c r="X887" i="16"/>
  <c r="AD887" i="16" s="1"/>
  <c r="W887" i="16"/>
  <c r="AC887" i="16" s="1"/>
  <c r="V887" i="16"/>
  <c r="AB887" i="16" s="1"/>
  <c r="X886" i="16"/>
  <c r="AD886" i="16" s="1"/>
  <c r="W886" i="16"/>
  <c r="AC886" i="16" s="1"/>
  <c r="V886" i="16"/>
  <c r="AB886" i="16" s="1"/>
  <c r="X885" i="16"/>
  <c r="AD885" i="16" s="1"/>
  <c r="W885" i="16"/>
  <c r="AC885" i="16" s="1"/>
  <c r="V885" i="16"/>
  <c r="AB885" i="16" s="1"/>
  <c r="X884" i="16"/>
  <c r="AD884" i="16" s="1"/>
  <c r="W884" i="16"/>
  <c r="AC884" i="16" s="1"/>
  <c r="V884" i="16"/>
  <c r="AB884" i="16" s="1"/>
  <c r="X883" i="16"/>
  <c r="AD883" i="16" s="1"/>
  <c r="W883" i="16"/>
  <c r="AC883" i="16" s="1"/>
  <c r="V883" i="16"/>
  <c r="AB883" i="16" s="1"/>
  <c r="X882" i="16"/>
  <c r="AD882" i="16" s="1"/>
  <c r="W882" i="16"/>
  <c r="AC882" i="16" s="1"/>
  <c r="V882" i="16"/>
  <c r="AB882" i="16" s="1"/>
  <c r="X881" i="16"/>
  <c r="AD881" i="16" s="1"/>
  <c r="W881" i="16"/>
  <c r="AC881" i="16" s="1"/>
  <c r="V881" i="16"/>
  <c r="AB881" i="16" s="1"/>
  <c r="X880" i="16"/>
  <c r="AD880" i="16" s="1"/>
  <c r="W880" i="16"/>
  <c r="AC880" i="16" s="1"/>
  <c r="V880" i="16"/>
  <c r="AB880" i="16" s="1"/>
  <c r="X879" i="16"/>
  <c r="AD879" i="16" s="1"/>
  <c r="W879" i="16"/>
  <c r="AC879" i="16" s="1"/>
  <c r="V879" i="16"/>
  <c r="AB879" i="16" s="1"/>
  <c r="X878" i="16"/>
  <c r="AD878" i="16" s="1"/>
  <c r="W878" i="16"/>
  <c r="AC878" i="16" s="1"/>
  <c r="V878" i="16"/>
  <c r="AB878" i="16" s="1"/>
  <c r="X877" i="16"/>
  <c r="AD877" i="16" s="1"/>
  <c r="W877" i="16"/>
  <c r="AC877" i="16" s="1"/>
  <c r="V877" i="16"/>
  <c r="AB877" i="16" s="1"/>
  <c r="X876" i="16"/>
  <c r="AD876" i="16" s="1"/>
  <c r="W876" i="16"/>
  <c r="AC876" i="16" s="1"/>
  <c r="V876" i="16"/>
  <c r="AB876" i="16" s="1"/>
  <c r="X875" i="16"/>
  <c r="AD875" i="16" s="1"/>
  <c r="W875" i="16"/>
  <c r="AC875" i="16" s="1"/>
  <c r="V875" i="16"/>
  <c r="AB875" i="16" s="1"/>
  <c r="X874" i="16"/>
  <c r="AD874" i="16" s="1"/>
  <c r="W874" i="16"/>
  <c r="AC874" i="16" s="1"/>
  <c r="V874" i="16"/>
  <c r="AB874" i="16" s="1"/>
  <c r="X873" i="16"/>
  <c r="AD873" i="16" s="1"/>
  <c r="W873" i="16"/>
  <c r="AC873" i="16" s="1"/>
  <c r="V873" i="16"/>
  <c r="AB873" i="16" s="1"/>
  <c r="X872" i="16"/>
  <c r="AD872" i="16" s="1"/>
  <c r="W872" i="16"/>
  <c r="AC872" i="16" s="1"/>
  <c r="V872" i="16"/>
  <c r="AB872" i="16" s="1"/>
  <c r="X871" i="16"/>
  <c r="AD871" i="16" s="1"/>
  <c r="W871" i="16"/>
  <c r="AC871" i="16" s="1"/>
  <c r="V871" i="16"/>
  <c r="AB871" i="16" s="1"/>
  <c r="X870" i="16"/>
  <c r="AD870" i="16" s="1"/>
  <c r="W870" i="16"/>
  <c r="AC870" i="16" s="1"/>
  <c r="V870" i="16"/>
  <c r="AB870" i="16" s="1"/>
  <c r="X869" i="16"/>
  <c r="AD869" i="16" s="1"/>
  <c r="W869" i="16"/>
  <c r="AC869" i="16" s="1"/>
  <c r="V869" i="16"/>
  <c r="AB869" i="16" s="1"/>
  <c r="X868" i="16"/>
  <c r="AD868" i="16" s="1"/>
  <c r="W868" i="16"/>
  <c r="AC868" i="16" s="1"/>
  <c r="V868" i="16"/>
  <c r="AB868" i="16" s="1"/>
  <c r="X867" i="16"/>
  <c r="AD867" i="16" s="1"/>
  <c r="W867" i="16"/>
  <c r="AC867" i="16" s="1"/>
  <c r="V867" i="16"/>
  <c r="AB867" i="16" s="1"/>
  <c r="X866" i="16"/>
  <c r="AD866" i="16" s="1"/>
  <c r="W866" i="16"/>
  <c r="AC866" i="16" s="1"/>
  <c r="V866" i="16"/>
  <c r="AB866" i="16" s="1"/>
  <c r="X865" i="16"/>
  <c r="AD865" i="16" s="1"/>
  <c r="W865" i="16"/>
  <c r="AC865" i="16" s="1"/>
  <c r="V865" i="16"/>
  <c r="AB865" i="16" s="1"/>
  <c r="X864" i="16"/>
  <c r="AD864" i="16" s="1"/>
  <c r="W864" i="16"/>
  <c r="AC864" i="16" s="1"/>
  <c r="V864" i="16"/>
  <c r="AB864" i="16" s="1"/>
  <c r="X863" i="16"/>
  <c r="AD863" i="16" s="1"/>
  <c r="W863" i="16"/>
  <c r="AC863" i="16" s="1"/>
  <c r="V863" i="16"/>
  <c r="AB863" i="16" s="1"/>
  <c r="X862" i="16"/>
  <c r="AD862" i="16" s="1"/>
  <c r="W862" i="16"/>
  <c r="AC862" i="16" s="1"/>
  <c r="V862" i="16"/>
  <c r="AB862" i="16" s="1"/>
  <c r="X861" i="16"/>
  <c r="AD861" i="16" s="1"/>
  <c r="W861" i="16"/>
  <c r="AC861" i="16" s="1"/>
  <c r="V861" i="16"/>
  <c r="AB861" i="16" s="1"/>
  <c r="X860" i="16"/>
  <c r="AD860" i="16" s="1"/>
  <c r="W860" i="16"/>
  <c r="AC860" i="16" s="1"/>
  <c r="V860" i="16"/>
  <c r="AB860" i="16" s="1"/>
  <c r="X859" i="16"/>
  <c r="AD859" i="16" s="1"/>
  <c r="W859" i="16"/>
  <c r="AC859" i="16" s="1"/>
  <c r="V859" i="16"/>
  <c r="AB859" i="16" s="1"/>
  <c r="X858" i="16"/>
  <c r="AD858" i="16" s="1"/>
  <c r="W858" i="16"/>
  <c r="AC858" i="16" s="1"/>
  <c r="V858" i="16"/>
  <c r="AB858" i="16" s="1"/>
  <c r="X857" i="16"/>
  <c r="AD857" i="16" s="1"/>
  <c r="W857" i="16"/>
  <c r="AC857" i="16" s="1"/>
  <c r="V857" i="16"/>
  <c r="AB857" i="16" s="1"/>
  <c r="X856" i="16"/>
  <c r="AD856" i="16" s="1"/>
  <c r="W856" i="16"/>
  <c r="AC856" i="16" s="1"/>
  <c r="V856" i="16"/>
  <c r="AB856" i="16" s="1"/>
  <c r="X855" i="16"/>
  <c r="AD855" i="16" s="1"/>
  <c r="W855" i="16"/>
  <c r="AC855" i="16" s="1"/>
  <c r="V855" i="16"/>
  <c r="AB855" i="16" s="1"/>
  <c r="X854" i="16"/>
  <c r="AD854" i="16" s="1"/>
  <c r="W854" i="16"/>
  <c r="AC854" i="16" s="1"/>
  <c r="V854" i="16"/>
  <c r="AB854" i="16" s="1"/>
  <c r="X853" i="16"/>
  <c r="AD853" i="16" s="1"/>
  <c r="W853" i="16"/>
  <c r="AC853" i="16" s="1"/>
  <c r="V853" i="16"/>
  <c r="AB853" i="16" s="1"/>
  <c r="X852" i="16"/>
  <c r="AD852" i="16" s="1"/>
  <c r="W852" i="16"/>
  <c r="AC852" i="16" s="1"/>
  <c r="V852" i="16"/>
  <c r="AB852" i="16" s="1"/>
  <c r="X851" i="16"/>
  <c r="AD851" i="16" s="1"/>
  <c r="W851" i="16"/>
  <c r="AC851" i="16" s="1"/>
  <c r="V851" i="16"/>
  <c r="AB851" i="16" s="1"/>
  <c r="X850" i="16"/>
  <c r="AD850" i="16" s="1"/>
  <c r="W850" i="16"/>
  <c r="AC850" i="16" s="1"/>
  <c r="V850" i="16"/>
  <c r="AB850" i="16" s="1"/>
  <c r="X849" i="16"/>
  <c r="AD849" i="16" s="1"/>
  <c r="W849" i="16"/>
  <c r="AC849" i="16" s="1"/>
  <c r="V849" i="16"/>
  <c r="AB849" i="16" s="1"/>
  <c r="X848" i="16"/>
  <c r="AD848" i="16" s="1"/>
  <c r="W848" i="16"/>
  <c r="AC848" i="16" s="1"/>
  <c r="V848" i="16"/>
  <c r="AB848" i="16" s="1"/>
  <c r="X847" i="16"/>
  <c r="AD847" i="16" s="1"/>
  <c r="W847" i="16"/>
  <c r="AC847" i="16" s="1"/>
  <c r="V847" i="16"/>
  <c r="AB847" i="16" s="1"/>
  <c r="X846" i="16"/>
  <c r="AD846" i="16" s="1"/>
  <c r="W846" i="16"/>
  <c r="AC846" i="16" s="1"/>
  <c r="V846" i="16"/>
  <c r="AB846" i="16" s="1"/>
  <c r="X845" i="16"/>
  <c r="AD845" i="16" s="1"/>
  <c r="W845" i="16"/>
  <c r="AC845" i="16" s="1"/>
  <c r="V845" i="16"/>
  <c r="AB845" i="16" s="1"/>
  <c r="X844" i="16"/>
  <c r="AD844" i="16" s="1"/>
  <c r="W844" i="16"/>
  <c r="AC844" i="16" s="1"/>
  <c r="V844" i="16"/>
  <c r="AB844" i="16" s="1"/>
  <c r="X843" i="16"/>
  <c r="AD843" i="16" s="1"/>
  <c r="W843" i="16"/>
  <c r="AC843" i="16" s="1"/>
  <c r="V843" i="16"/>
  <c r="AB843" i="16" s="1"/>
  <c r="X842" i="16"/>
  <c r="AD842" i="16" s="1"/>
  <c r="W842" i="16"/>
  <c r="AC842" i="16" s="1"/>
  <c r="V842" i="16"/>
  <c r="AB842" i="16" s="1"/>
  <c r="X841" i="16"/>
  <c r="AD841" i="16" s="1"/>
  <c r="W841" i="16"/>
  <c r="AC841" i="16" s="1"/>
  <c r="V841" i="16"/>
  <c r="AB841" i="16" s="1"/>
  <c r="X840" i="16"/>
  <c r="AD840" i="16" s="1"/>
  <c r="W840" i="16"/>
  <c r="AC840" i="16" s="1"/>
  <c r="V840" i="16"/>
  <c r="AB840" i="16" s="1"/>
  <c r="X839" i="16"/>
  <c r="AD839" i="16" s="1"/>
  <c r="W839" i="16"/>
  <c r="AC839" i="16" s="1"/>
  <c r="V839" i="16"/>
  <c r="AB839" i="16" s="1"/>
  <c r="X838" i="16"/>
  <c r="AD838" i="16" s="1"/>
  <c r="W838" i="16"/>
  <c r="AC838" i="16" s="1"/>
  <c r="V838" i="16"/>
  <c r="AB838" i="16" s="1"/>
  <c r="X837" i="16"/>
  <c r="AD837" i="16" s="1"/>
  <c r="W837" i="16"/>
  <c r="AC837" i="16" s="1"/>
  <c r="V837" i="16"/>
  <c r="AB837" i="16" s="1"/>
  <c r="X836" i="16"/>
  <c r="AD836" i="16" s="1"/>
  <c r="W836" i="16"/>
  <c r="AC836" i="16" s="1"/>
  <c r="V836" i="16"/>
  <c r="AB836" i="16" s="1"/>
  <c r="X835" i="16"/>
  <c r="AD835" i="16" s="1"/>
  <c r="W835" i="16"/>
  <c r="AC835" i="16" s="1"/>
  <c r="V835" i="16"/>
  <c r="AB835" i="16" s="1"/>
  <c r="X834" i="16"/>
  <c r="AD834" i="16" s="1"/>
  <c r="W834" i="16"/>
  <c r="AC834" i="16" s="1"/>
  <c r="V834" i="16"/>
  <c r="AB834" i="16" s="1"/>
  <c r="X833" i="16"/>
  <c r="AD833" i="16" s="1"/>
  <c r="W833" i="16"/>
  <c r="AC833" i="16" s="1"/>
  <c r="V833" i="16"/>
  <c r="AB833" i="16" s="1"/>
  <c r="X832" i="16"/>
  <c r="AD832" i="16" s="1"/>
  <c r="W832" i="16"/>
  <c r="AC832" i="16" s="1"/>
  <c r="V832" i="16"/>
  <c r="AB832" i="16" s="1"/>
  <c r="X831" i="16"/>
  <c r="AD831" i="16" s="1"/>
  <c r="W831" i="16"/>
  <c r="AC831" i="16" s="1"/>
  <c r="V831" i="16"/>
  <c r="AB831" i="16" s="1"/>
  <c r="X830" i="16"/>
  <c r="AD830" i="16" s="1"/>
  <c r="W830" i="16"/>
  <c r="AC830" i="16" s="1"/>
  <c r="V830" i="16"/>
  <c r="AB830" i="16" s="1"/>
  <c r="X829" i="16"/>
  <c r="AD829" i="16" s="1"/>
  <c r="W829" i="16"/>
  <c r="AC829" i="16" s="1"/>
  <c r="V829" i="16"/>
  <c r="AB829" i="16" s="1"/>
  <c r="X828" i="16"/>
  <c r="AD828" i="16" s="1"/>
  <c r="W828" i="16"/>
  <c r="AC828" i="16" s="1"/>
  <c r="V828" i="16"/>
  <c r="AB828" i="16" s="1"/>
  <c r="X827" i="16"/>
  <c r="AD827" i="16" s="1"/>
  <c r="W827" i="16"/>
  <c r="AC827" i="16" s="1"/>
  <c r="V827" i="16"/>
  <c r="AB827" i="16" s="1"/>
  <c r="X826" i="16"/>
  <c r="AD826" i="16" s="1"/>
  <c r="W826" i="16"/>
  <c r="AC826" i="16" s="1"/>
  <c r="V826" i="16"/>
  <c r="AB826" i="16" s="1"/>
  <c r="X825" i="16"/>
  <c r="AD825" i="16" s="1"/>
  <c r="W825" i="16"/>
  <c r="AC825" i="16" s="1"/>
  <c r="V825" i="16"/>
  <c r="AB825" i="16" s="1"/>
  <c r="X824" i="16"/>
  <c r="AD824" i="16" s="1"/>
  <c r="W824" i="16"/>
  <c r="AC824" i="16" s="1"/>
  <c r="V824" i="16"/>
  <c r="AB824" i="16" s="1"/>
  <c r="X823" i="16"/>
  <c r="AD823" i="16" s="1"/>
  <c r="W823" i="16"/>
  <c r="AC823" i="16" s="1"/>
  <c r="V823" i="16"/>
  <c r="AB823" i="16" s="1"/>
  <c r="X822" i="16"/>
  <c r="AD822" i="16" s="1"/>
  <c r="W822" i="16"/>
  <c r="AC822" i="16" s="1"/>
  <c r="V822" i="16"/>
  <c r="AB822" i="16" s="1"/>
  <c r="X821" i="16"/>
  <c r="AD821" i="16" s="1"/>
  <c r="W821" i="16"/>
  <c r="AC821" i="16" s="1"/>
  <c r="V821" i="16"/>
  <c r="AB821" i="16" s="1"/>
  <c r="X820" i="16"/>
  <c r="AD820" i="16" s="1"/>
  <c r="W820" i="16"/>
  <c r="AC820" i="16" s="1"/>
  <c r="V820" i="16"/>
  <c r="AB820" i="16" s="1"/>
  <c r="X819" i="16"/>
  <c r="AD819" i="16" s="1"/>
  <c r="W819" i="16"/>
  <c r="AC819" i="16" s="1"/>
  <c r="V819" i="16"/>
  <c r="AB819" i="16" s="1"/>
  <c r="X818" i="16"/>
  <c r="AD818" i="16" s="1"/>
  <c r="W818" i="16"/>
  <c r="AC818" i="16" s="1"/>
  <c r="V818" i="16"/>
  <c r="AB818" i="16" s="1"/>
  <c r="X817" i="16"/>
  <c r="AD817" i="16" s="1"/>
  <c r="W817" i="16"/>
  <c r="AC817" i="16" s="1"/>
  <c r="V817" i="16"/>
  <c r="AB817" i="16" s="1"/>
  <c r="X816" i="16"/>
  <c r="AD816" i="16" s="1"/>
  <c r="W816" i="16"/>
  <c r="AC816" i="16" s="1"/>
  <c r="V816" i="16"/>
  <c r="AB816" i="16" s="1"/>
  <c r="X815" i="16"/>
  <c r="AD815" i="16" s="1"/>
  <c r="W815" i="16"/>
  <c r="AC815" i="16" s="1"/>
  <c r="V815" i="16"/>
  <c r="AB815" i="16" s="1"/>
  <c r="X814" i="16"/>
  <c r="AD814" i="16" s="1"/>
  <c r="W814" i="16"/>
  <c r="AC814" i="16" s="1"/>
  <c r="V814" i="16"/>
  <c r="AB814" i="16" s="1"/>
  <c r="X813" i="16"/>
  <c r="AD813" i="16" s="1"/>
  <c r="W813" i="16"/>
  <c r="AC813" i="16" s="1"/>
  <c r="V813" i="16"/>
  <c r="AB813" i="16" s="1"/>
  <c r="X812" i="16"/>
  <c r="AD812" i="16" s="1"/>
  <c r="W812" i="16"/>
  <c r="AC812" i="16" s="1"/>
  <c r="V812" i="16"/>
  <c r="AB812" i="16" s="1"/>
  <c r="X811" i="16"/>
  <c r="AD811" i="16" s="1"/>
  <c r="W811" i="16"/>
  <c r="AC811" i="16" s="1"/>
  <c r="V811" i="16"/>
  <c r="AB811" i="16" s="1"/>
  <c r="X810" i="16"/>
  <c r="AD810" i="16" s="1"/>
  <c r="W810" i="16"/>
  <c r="AC810" i="16" s="1"/>
  <c r="V810" i="16"/>
  <c r="AB810" i="16" s="1"/>
  <c r="X809" i="16"/>
  <c r="AD809" i="16" s="1"/>
  <c r="W809" i="16"/>
  <c r="AC809" i="16" s="1"/>
  <c r="V809" i="16"/>
  <c r="AB809" i="16" s="1"/>
  <c r="X808" i="16"/>
  <c r="AD808" i="16" s="1"/>
  <c r="W808" i="16"/>
  <c r="AC808" i="16" s="1"/>
  <c r="V808" i="16"/>
  <c r="AB808" i="16" s="1"/>
  <c r="X807" i="16"/>
  <c r="AD807" i="16" s="1"/>
  <c r="W807" i="16"/>
  <c r="AC807" i="16" s="1"/>
  <c r="V807" i="16"/>
  <c r="AB807" i="16" s="1"/>
  <c r="X806" i="16"/>
  <c r="AD806" i="16" s="1"/>
  <c r="W806" i="16"/>
  <c r="AC806" i="16" s="1"/>
  <c r="V806" i="16"/>
  <c r="AB806" i="16" s="1"/>
  <c r="X805" i="16"/>
  <c r="AD805" i="16" s="1"/>
  <c r="W805" i="16"/>
  <c r="AC805" i="16" s="1"/>
  <c r="V805" i="16"/>
  <c r="AB805" i="16" s="1"/>
  <c r="X804" i="16"/>
  <c r="AD804" i="16" s="1"/>
  <c r="W804" i="16"/>
  <c r="AC804" i="16" s="1"/>
  <c r="V804" i="16"/>
  <c r="AB804" i="16" s="1"/>
  <c r="X803" i="16"/>
  <c r="AD803" i="16" s="1"/>
  <c r="W803" i="16"/>
  <c r="AC803" i="16" s="1"/>
  <c r="V803" i="16"/>
  <c r="AB803" i="16" s="1"/>
  <c r="X802" i="16"/>
  <c r="AD802" i="16" s="1"/>
  <c r="W802" i="16"/>
  <c r="AC802" i="16" s="1"/>
  <c r="V802" i="16"/>
  <c r="AB802" i="16" s="1"/>
  <c r="X801" i="16"/>
  <c r="AD801" i="16" s="1"/>
  <c r="W801" i="16"/>
  <c r="AC801" i="16" s="1"/>
  <c r="V801" i="16"/>
  <c r="AB801" i="16" s="1"/>
  <c r="X800" i="16"/>
  <c r="AD800" i="16" s="1"/>
  <c r="W800" i="16"/>
  <c r="AC800" i="16" s="1"/>
  <c r="V800" i="16"/>
  <c r="AB800" i="16" s="1"/>
  <c r="X799" i="16"/>
  <c r="AD799" i="16" s="1"/>
  <c r="W799" i="16"/>
  <c r="AC799" i="16" s="1"/>
  <c r="V799" i="16"/>
  <c r="AB799" i="16" s="1"/>
  <c r="X798" i="16"/>
  <c r="AD798" i="16" s="1"/>
  <c r="W798" i="16"/>
  <c r="AC798" i="16" s="1"/>
  <c r="V798" i="16"/>
  <c r="AB798" i="16" s="1"/>
  <c r="X797" i="16"/>
  <c r="AD797" i="16" s="1"/>
  <c r="W797" i="16"/>
  <c r="AC797" i="16" s="1"/>
  <c r="V797" i="16"/>
  <c r="AB797" i="16" s="1"/>
  <c r="X796" i="16"/>
  <c r="AD796" i="16" s="1"/>
  <c r="W796" i="16"/>
  <c r="AC796" i="16" s="1"/>
  <c r="V796" i="16"/>
  <c r="AB796" i="16" s="1"/>
  <c r="X795" i="16"/>
  <c r="AD795" i="16" s="1"/>
  <c r="W795" i="16"/>
  <c r="AC795" i="16" s="1"/>
  <c r="V795" i="16"/>
  <c r="AB795" i="16" s="1"/>
  <c r="X794" i="16"/>
  <c r="AD794" i="16" s="1"/>
  <c r="W794" i="16"/>
  <c r="AC794" i="16" s="1"/>
  <c r="V794" i="16"/>
  <c r="AB794" i="16" s="1"/>
  <c r="X793" i="16"/>
  <c r="AD793" i="16" s="1"/>
  <c r="W793" i="16"/>
  <c r="AC793" i="16" s="1"/>
  <c r="V793" i="16"/>
  <c r="AB793" i="16" s="1"/>
  <c r="X792" i="16"/>
  <c r="AD792" i="16" s="1"/>
  <c r="W792" i="16"/>
  <c r="AC792" i="16" s="1"/>
  <c r="V792" i="16"/>
  <c r="AB792" i="16" s="1"/>
  <c r="X791" i="16"/>
  <c r="AD791" i="16" s="1"/>
  <c r="W791" i="16"/>
  <c r="AC791" i="16" s="1"/>
  <c r="V791" i="16"/>
  <c r="AB791" i="16" s="1"/>
  <c r="X790" i="16"/>
  <c r="AD790" i="16" s="1"/>
  <c r="W790" i="16"/>
  <c r="AC790" i="16" s="1"/>
  <c r="V790" i="16"/>
  <c r="AB790" i="16" s="1"/>
  <c r="X789" i="16"/>
  <c r="AD789" i="16" s="1"/>
  <c r="W789" i="16"/>
  <c r="AC789" i="16" s="1"/>
  <c r="V789" i="16"/>
  <c r="AB789" i="16" s="1"/>
  <c r="X788" i="16"/>
  <c r="AD788" i="16" s="1"/>
  <c r="W788" i="16"/>
  <c r="AC788" i="16" s="1"/>
  <c r="V788" i="16"/>
  <c r="AB788" i="16" s="1"/>
  <c r="X787" i="16"/>
  <c r="AD787" i="16" s="1"/>
  <c r="W787" i="16"/>
  <c r="AC787" i="16" s="1"/>
  <c r="V787" i="16"/>
  <c r="AB787" i="16" s="1"/>
  <c r="X786" i="16"/>
  <c r="AD786" i="16" s="1"/>
  <c r="W786" i="16"/>
  <c r="AC786" i="16" s="1"/>
  <c r="V786" i="16"/>
  <c r="AB786" i="16" s="1"/>
  <c r="X785" i="16"/>
  <c r="AD785" i="16" s="1"/>
  <c r="W785" i="16"/>
  <c r="AC785" i="16" s="1"/>
  <c r="V785" i="16"/>
  <c r="AB785" i="16" s="1"/>
  <c r="X784" i="16"/>
  <c r="AD784" i="16" s="1"/>
  <c r="W784" i="16"/>
  <c r="AC784" i="16" s="1"/>
  <c r="V784" i="16"/>
  <c r="AB784" i="16" s="1"/>
  <c r="X783" i="16"/>
  <c r="AD783" i="16" s="1"/>
  <c r="W783" i="16"/>
  <c r="AC783" i="16" s="1"/>
  <c r="V783" i="16"/>
  <c r="AB783" i="16" s="1"/>
  <c r="X782" i="16"/>
  <c r="AD782" i="16" s="1"/>
  <c r="AO4" i="16" s="1"/>
  <c r="W782" i="16"/>
  <c r="AC782" i="16" s="1"/>
  <c r="V782" i="16"/>
  <c r="AB782" i="16" s="1"/>
  <c r="X781" i="16"/>
  <c r="AD781" i="16" s="1"/>
  <c r="W781" i="16"/>
  <c r="AC781" i="16" s="1"/>
  <c r="V781" i="16"/>
  <c r="AB781" i="16" s="1"/>
  <c r="X780" i="16"/>
  <c r="AD780" i="16" s="1"/>
  <c r="W780" i="16"/>
  <c r="AC780" i="16" s="1"/>
  <c r="V780" i="16"/>
  <c r="AB780" i="16" s="1"/>
  <c r="X779" i="16"/>
  <c r="AD779" i="16" s="1"/>
  <c r="W779" i="16"/>
  <c r="AC779" i="16" s="1"/>
  <c r="V779" i="16"/>
  <c r="AB779" i="16" s="1"/>
  <c r="X778" i="16"/>
  <c r="AD778" i="16" s="1"/>
  <c r="W778" i="16"/>
  <c r="AC778" i="16" s="1"/>
  <c r="V778" i="16"/>
  <c r="AB778" i="16" s="1"/>
  <c r="X777" i="16"/>
  <c r="AD777" i="16" s="1"/>
  <c r="W777" i="16"/>
  <c r="AC777" i="16" s="1"/>
  <c r="V777" i="16"/>
  <c r="AB777" i="16" s="1"/>
  <c r="X776" i="16"/>
  <c r="AD776" i="16" s="1"/>
  <c r="W776" i="16"/>
  <c r="AC776" i="16" s="1"/>
  <c r="V776" i="16"/>
  <c r="AB776" i="16" s="1"/>
  <c r="X775" i="16"/>
  <c r="AD775" i="16" s="1"/>
  <c r="W775" i="16"/>
  <c r="AC775" i="16" s="1"/>
  <c r="V775" i="16"/>
  <c r="AB775" i="16" s="1"/>
  <c r="X774" i="16"/>
  <c r="AD774" i="16" s="1"/>
  <c r="W774" i="16"/>
  <c r="AC774" i="16" s="1"/>
  <c r="V774" i="16"/>
  <c r="AB774" i="16" s="1"/>
  <c r="X773" i="16"/>
  <c r="AD773" i="16" s="1"/>
  <c r="W773" i="16"/>
  <c r="AC773" i="16" s="1"/>
  <c r="V773" i="16"/>
  <c r="AB773" i="16" s="1"/>
  <c r="X772" i="16"/>
  <c r="AD772" i="16" s="1"/>
  <c r="W772" i="16"/>
  <c r="AC772" i="16" s="1"/>
  <c r="V772" i="16"/>
  <c r="AB772" i="16" s="1"/>
  <c r="X771" i="16"/>
  <c r="AD771" i="16" s="1"/>
  <c r="W771" i="16"/>
  <c r="AC771" i="16" s="1"/>
  <c r="V771" i="16"/>
  <c r="AB771" i="16" s="1"/>
  <c r="X770" i="16"/>
  <c r="AD770" i="16" s="1"/>
  <c r="W770" i="16"/>
  <c r="AC770" i="16" s="1"/>
  <c r="V770" i="16"/>
  <c r="AB770" i="16" s="1"/>
  <c r="X769" i="16"/>
  <c r="AD769" i="16" s="1"/>
  <c r="W769" i="16"/>
  <c r="AC769" i="16" s="1"/>
  <c r="V769" i="16"/>
  <c r="AB769" i="16" s="1"/>
  <c r="X768" i="16"/>
  <c r="AD768" i="16" s="1"/>
  <c r="W768" i="16"/>
  <c r="AC768" i="16" s="1"/>
  <c r="V768" i="16"/>
  <c r="AB768" i="16" s="1"/>
  <c r="X767" i="16"/>
  <c r="AD767" i="16" s="1"/>
  <c r="W767" i="16"/>
  <c r="AC767" i="16" s="1"/>
  <c r="V767" i="16"/>
  <c r="AB767" i="16" s="1"/>
  <c r="X766" i="16"/>
  <c r="AD766" i="16" s="1"/>
  <c r="W766" i="16"/>
  <c r="AC766" i="16" s="1"/>
  <c r="V766" i="16"/>
  <c r="AB766" i="16" s="1"/>
  <c r="X765" i="16"/>
  <c r="AD765" i="16" s="1"/>
  <c r="W765" i="16"/>
  <c r="AC765" i="16" s="1"/>
  <c r="V765" i="16"/>
  <c r="AB765" i="16" s="1"/>
  <c r="X764" i="16"/>
  <c r="AD764" i="16" s="1"/>
  <c r="W764" i="16"/>
  <c r="AC764" i="16" s="1"/>
  <c r="V764" i="16"/>
  <c r="AB764" i="16" s="1"/>
  <c r="X763" i="16"/>
  <c r="AD763" i="16" s="1"/>
  <c r="W763" i="16"/>
  <c r="AC763" i="16" s="1"/>
  <c r="V763" i="16"/>
  <c r="AB763" i="16" s="1"/>
  <c r="X762" i="16"/>
  <c r="AD762" i="16" s="1"/>
  <c r="W762" i="16"/>
  <c r="AC762" i="16" s="1"/>
  <c r="V762" i="16"/>
  <c r="AB762" i="16" s="1"/>
  <c r="X761" i="16"/>
  <c r="AD761" i="16" s="1"/>
  <c r="W761" i="16"/>
  <c r="AC761" i="16" s="1"/>
  <c r="V761" i="16"/>
  <c r="AB761" i="16" s="1"/>
  <c r="X760" i="16"/>
  <c r="AD760" i="16" s="1"/>
  <c r="W760" i="16"/>
  <c r="AC760" i="16" s="1"/>
  <c r="V760" i="16"/>
  <c r="AB760" i="16" s="1"/>
  <c r="X759" i="16"/>
  <c r="AD759" i="16" s="1"/>
  <c r="W759" i="16"/>
  <c r="AC759" i="16" s="1"/>
  <c r="V759" i="16"/>
  <c r="AB759" i="16" s="1"/>
  <c r="X758" i="16"/>
  <c r="AD758" i="16" s="1"/>
  <c r="W758" i="16"/>
  <c r="AC758" i="16" s="1"/>
  <c r="V758" i="16"/>
  <c r="AB758" i="16" s="1"/>
  <c r="X757" i="16"/>
  <c r="AD757" i="16" s="1"/>
  <c r="W757" i="16"/>
  <c r="AC757" i="16" s="1"/>
  <c r="V757" i="16"/>
  <c r="AB757" i="16" s="1"/>
  <c r="X756" i="16"/>
  <c r="AD756" i="16" s="1"/>
  <c r="W756" i="16"/>
  <c r="AC756" i="16" s="1"/>
  <c r="V756" i="16"/>
  <c r="AB756" i="16" s="1"/>
  <c r="X755" i="16"/>
  <c r="AD755" i="16" s="1"/>
  <c r="W755" i="16"/>
  <c r="AC755" i="16" s="1"/>
  <c r="V755" i="16"/>
  <c r="AB755" i="16" s="1"/>
  <c r="X754" i="16"/>
  <c r="AD754" i="16" s="1"/>
  <c r="W754" i="16"/>
  <c r="AC754" i="16" s="1"/>
  <c r="V754" i="16"/>
  <c r="AB754" i="16" s="1"/>
  <c r="X753" i="16"/>
  <c r="AD753" i="16" s="1"/>
  <c r="W753" i="16"/>
  <c r="AC753" i="16" s="1"/>
  <c r="V753" i="16"/>
  <c r="AB753" i="16" s="1"/>
  <c r="X752" i="16"/>
  <c r="AD752" i="16" s="1"/>
  <c r="W752" i="16"/>
  <c r="AC752" i="16" s="1"/>
  <c r="V752" i="16"/>
  <c r="AB752" i="16" s="1"/>
  <c r="X751" i="16"/>
  <c r="AD751" i="16" s="1"/>
  <c r="W751" i="16"/>
  <c r="AC751" i="16" s="1"/>
  <c r="V751" i="16"/>
  <c r="AB751" i="16" s="1"/>
  <c r="X750" i="16"/>
  <c r="AD750" i="16" s="1"/>
  <c r="W750" i="16"/>
  <c r="AC750" i="16" s="1"/>
  <c r="V750" i="16"/>
  <c r="AB750" i="16" s="1"/>
  <c r="X749" i="16"/>
  <c r="AD749" i="16" s="1"/>
  <c r="W749" i="16"/>
  <c r="AC749" i="16" s="1"/>
  <c r="V749" i="16"/>
  <c r="AB749" i="16" s="1"/>
  <c r="X748" i="16"/>
  <c r="AD748" i="16" s="1"/>
  <c r="W748" i="16"/>
  <c r="AC748" i="16" s="1"/>
  <c r="V748" i="16"/>
  <c r="AB748" i="16" s="1"/>
  <c r="X747" i="16"/>
  <c r="AD747" i="16" s="1"/>
  <c r="W747" i="16"/>
  <c r="AC747" i="16" s="1"/>
  <c r="V747" i="16"/>
  <c r="AB747" i="16" s="1"/>
  <c r="X746" i="16"/>
  <c r="AD746" i="16" s="1"/>
  <c r="W746" i="16"/>
  <c r="AC746" i="16" s="1"/>
  <c r="V746" i="16"/>
  <c r="AB746" i="16" s="1"/>
  <c r="X745" i="16"/>
  <c r="AD745" i="16" s="1"/>
  <c r="W745" i="16"/>
  <c r="AC745" i="16" s="1"/>
  <c r="V745" i="16"/>
  <c r="AB745" i="16" s="1"/>
  <c r="X744" i="16"/>
  <c r="AD744" i="16" s="1"/>
  <c r="W744" i="16"/>
  <c r="AC744" i="16" s="1"/>
  <c r="V744" i="16"/>
  <c r="AB744" i="16" s="1"/>
  <c r="X743" i="16"/>
  <c r="AD743" i="16" s="1"/>
  <c r="W743" i="16"/>
  <c r="AC743" i="16" s="1"/>
  <c r="V743" i="16"/>
  <c r="AB743" i="16" s="1"/>
  <c r="X742" i="16"/>
  <c r="AD742" i="16" s="1"/>
  <c r="W742" i="16"/>
  <c r="AC742" i="16" s="1"/>
  <c r="V742" i="16"/>
  <c r="AB742" i="16" s="1"/>
  <c r="X741" i="16"/>
  <c r="AD741" i="16" s="1"/>
  <c r="W741" i="16"/>
  <c r="AC741" i="16" s="1"/>
  <c r="V741" i="16"/>
  <c r="AB741" i="16" s="1"/>
  <c r="X740" i="16"/>
  <c r="AD740" i="16" s="1"/>
  <c r="W740" i="16"/>
  <c r="AC740" i="16" s="1"/>
  <c r="V740" i="16"/>
  <c r="AB740" i="16" s="1"/>
  <c r="X739" i="16"/>
  <c r="AD739" i="16" s="1"/>
  <c r="W739" i="16"/>
  <c r="AC739" i="16" s="1"/>
  <c r="V739" i="16"/>
  <c r="AB739" i="16" s="1"/>
  <c r="X738" i="16"/>
  <c r="AD738" i="16" s="1"/>
  <c r="W738" i="16"/>
  <c r="AC738" i="16" s="1"/>
  <c r="V738" i="16"/>
  <c r="AB738" i="16" s="1"/>
  <c r="X737" i="16"/>
  <c r="AD737" i="16" s="1"/>
  <c r="W737" i="16"/>
  <c r="AC737" i="16" s="1"/>
  <c r="V737" i="16"/>
  <c r="AB737" i="16" s="1"/>
  <c r="X736" i="16"/>
  <c r="AD736" i="16" s="1"/>
  <c r="W736" i="16"/>
  <c r="AC736" i="16" s="1"/>
  <c r="V736" i="16"/>
  <c r="AB736" i="16" s="1"/>
  <c r="X735" i="16"/>
  <c r="AD735" i="16" s="1"/>
  <c r="W735" i="16"/>
  <c r="AC735" i="16" s="1"/>
  <c r="V735" i="16"/>
  <c r="AB735" i="16" s="1"/>
  <c r="X734" i="16"/>
  <c r="AD734" i="16" s="1"/>
  <c r="W734" i="16"/>
  <c r="AC734" i="16" s="1"/>
  <c r="V734" i="16"/>
  <c r="AB734" i="16" s="1"/>
  <c r="X733" i="16"/>
  <c r="AD733" i="16" s="1"/>
  <c r="W733" i="16"/>
  <c r="AC733" i="16" s="1"/>
  <c r="V733" i="16"/>
  <c r="AB733" i="16" s="1"/>
  <c r="X732" i="16"/>
  <c r="AD732" i="16" s="1"/>
  <c r="W732" i="16"/>
  <c r="AC732" i="16" s="1"/>
  <c r="V732" i="16"/>
  <c r="AB732" i="16" s="1"/>
  <c r="X731" i="16"/>
  <c r="AD731" i="16" s="1"/>
  <c r="W731" i="16"/>
  <c r="AC731" i="16" s="1"/>
  <c r="V731" i="16"/>
  <c r="AB731" i="16" s="1"/>
  <c r="X730" i="16"/>
  <c r="AD730" i="16" s="1"/>
  <c r="W730" i="16"/>
  <c r="AC730" i="16" s="1"/>
  <c r="V730" i="16"/>
  <c r="AB730" i="16" s="1"/>
  <c r="X729" i="16"/>
  <c r="AD729" i="16" s="1"/>
  <c r="W729" i="16"/>
  <c r="AC729" i="16" s="1"/>
  <c r="V729" i="16"/>
  <c r="AB729" i="16" s="1"/>
  <c r="X728" i="16"/>
  <c r="AD728" i="16" s="1"/>
  <c r="W728" i="16"/>
  <c r="AC728" i="16" s="1"/>
  <c r="V728" i="16"/>
  <c r="AB728" i="16" s="1"/>
  <c r="X727" i="16"/>
  <c r="AD727" i="16" s="1"/>
  <c r="W727" i="16"/>
  <c r="AC727" i="16" s="1"/>
  <c r="V727" i="16"/>
  <c r="AB727" i="16" s="1"/>
  <c r="X726" i="16"/>
  <c r="AD726" i="16" s="1"/>
  <c r="W726" i="16"/>
  <c r="AC726" i="16" s="1"/>
  <c r="V726" i="16"/>
  <c r="AB726" i="16" s="1"/>
  <c r="X725" i="16"/>
  <c r="AD725" i="16" s="1"/>
  <c r="W725" i="16"/>
  <c r="AC725" i="16" s="1"/>
  <c r="V725" i="16"/>
  <c r="AB725" i="16" s="1"/>
  <c r="X724" i="16"/>
  <c r="AD724" i="16" s="1"/>
  <c r="W724" i="16"/>
  <c r="AC724" i="16" s="1"/>
  <c r="V724" i="16"/>
  <c r="AB724" i="16" s="1"/>
  <c r="X723" i="16"/>
  <c r="AD723" i="16" s="1"/>
  <c r="W723" i="16"/>
  <c r="AC723" i="16" s="1"/>
  <c r="V723" i="16"/>
  <c r="AB723" i="16" s="1"/>
  <c r="X722" i="16"/>
  <c r="AD722" i="16" s="1"/>
  <c r="W722" i="16"/>
  <c r="AC722" i="16" s="1"/>
  <c r="V722" i="16"/>
  <c r="AB722" i="16" s="1"/>
  <c r="X721" i="16"/>
  <c r="AD721" i="16" s="1"/>
  <c r="W721" i="16"/>
  <c r="AC721" i="16" s="1"/>
  <c r="V721" i="16"/>
  <c r="AB721" i="16" s="1"/>
  <c r="X720" i="16"/>
  <c r="AD720" i="16" s="1"/>
  <c r="W720" i="16"/>
  <c r="AC720" i="16" s="1"/>
  <c r="V720" i="16"/>
  <c r="AB720" i="16" s="1"/>
  <c r="X719" i="16"/>
  <c r="AD719" i="16" s="1"/>
  <c r="W719" i="16"/>
  <c r="AC719" i="16" s="1"/>
  <c r="V719" i="16"/>
  <c r="AB719" i="16" s="1"/>
  <c r="X718" i="16"/>
  <c r="AD718" i="16" s="1"/>
  <c r="W718" i="16"/>
  <c r="AC718" i="16" s="1"/>
  <c r="V718" i="16"/>
  <c r="AB718" i="16" s="1"/>
  <c r="X717" i="16"/>
  <c r="AD717" i="16" s="1"/>
  <c r="W717" i="16"/>
  <c r="AC717" i="16" s="1"/>
  <c r="V717" i="16"/>
  <c r="AB717" i="16" s="1"/>
  <c r="X716" i="16"/>
  <c r="AD716" i="16" s="1"/>
  <c r="W716" i="16"/>
  <c r="AC716" i="16" s="1"/>
  <c r="V716" i="16"/>
  <c r="AB716" i="16" s="1"/>
  <c r="X715" i="16"/>
  <c r="AD715" i="16" s="1"/>
  <c r="W715" i="16"/>
  <c r="AC715" i="16" s="1"/>
  <c r="V715" i="16"/>
  <c r="AB715" i="16" s="1"/>
  <c r="X714" i="16"/>
  <c r="AD714" i="16" s="1"/>
  <c r="W714" i="16"/>
  <c r="AC714" i="16" s="1"/>
  <c r="V714" i="16"/>
  <c r="AB714" i="16" s="1"/>
  <c r="X713" i="16"/>
  <c r="AD713" i="16" s="1"/>
  <c r="W713" i="16"/>
  <c r="AC713" i="16" s="1"/>
  <c r="V713" i="16"/>
  <c r="AB713" i="16" s="1"/>
  <c r="X712" i="16"/>
  <c r="AD712" i="16" s="1"/>
  <c r="W712" i="16"/>
  <c r="AC712" i="16" s="1"/>
  <c r="V712" i="16"/>
  <c r="AB712" i="16" s="1"/>
  <c r="X711" i="16"/>
  <c r="AD711" i="16" s="1"/>
  <c r="W711" i="16"/>
  <c r="AC711" i="16" s="1"/>
  <c r="V711" i="16"/>
  <c r="AB711" i="16" s="1"/>
  <c r="X710" i="16"/>
  <c r="AD710" i="16" s="1"/>
  <c r="W710" i="16"/>
  <c r="AC710" i="16" s="1"/>
  <c r="V710" i="16"/>
  <c r="AB710" i="16" s="1"/>
  <c r="X709" i="16"/>
  <c r="AD709" i="16" s="1"/>
  <c r="W709" i="16"/>
  <c r="AC709" i="16" s="1"/>
  <c r="V709" i="16"/>
  <c r="AB709" i="16" s="1"/>
  <c r="X708" i="16"/>
  <c r="AD708" i="16" s="1"/>
  <c r="W708" i="16"/>
  <c r="AC708" i="16" s="1"/>
  <c r="V708" i="16"/>
  <c r="AB708" i="16" s="1"/>
  <c r="X707" i="16"/>
  <c r="AD707" i="16" s="1"/>
  <c r="W707" i="16"/>
  <c r="AC707" i="16" s="1"/>
  <c r="V707" i="16"/>
  <c r="AB707" i="16" s="1"/>
  <c r="X706" i="16"/>
  <c r="AD706" i="16" s="1"/>
  <c r="W706" i="16"/>
  <c r="AC706" i="16" s="1"/>
  <c r="V706" i="16"/>
  <c r="AB706" i="16" s="1"/>
  <c r="X705" i="16"/>
  <c r="AD705" i="16" s="1"/>
  <c r="W705" i="16"/>
  <c r="AC705" i="16" s="1"/>
  <c r="V705" i="16"/>
  <c r="AB705" i="16" s="1"/>
  <c r="X704" i="16"/>
  <c r="AD704" i="16" s="1"/>
  <c r="W704" i="16"/>
  <c r="AC704" i="16" s="1"/>
  <c r="V704" i="16"/>
  <c r="AB704" i="16" s="1"/>
  <c r="X703" i="16"/>
  <c r="AD703" i="16" s="1"/>
  <c r="W703" i="16"/>
  <c r="AC703" i="16" s="1"/>
  <c r="V703" i="16"/>
  <c r="AB703" i="16" s="1"/>
  <c r="X702" i="16"/>
  <c r="AD702" i="16" s="1"/>
  <c r="W702" i="16"/>
  <c r="AC702" i="16" s="1"/>
  <c r="V702" i="16"/>
  <c r="AB702" i="16" s="1"/>
  <c r="X701" i="16"/>
  <c r="AD701" i="16" s="1"/>
  <c r="W701" i="16"/>
  <c r="AC701" i="16" s="1"/>
  <c r="V701" i="16"/>
  <c r="AB701" i="16" s="1"/>
  <c r="X700" i="16"/>
  <c r="AD700" i="16" s="1"/>
  <c r="W700" i="16"/>
  <c r="AC700" i="16" s="1"/>
  <c r="V700" i="16"/>
  <c r="AB700" i="16" s="1"/>
  <c r="X699" i="16"/>
  <c r="AD699" i="16" s="1"/>
  <c r="W699" i="16"/>
  <c r="AC699" i="16" s="1"/>
  <c r="V699" i="16"/>
  <c r="AB699" i="16" s="1"/>
  <c r="X698" i="16"/>
  <c r="AD698" i="16" s="1"/>
  <c r="W698" i="16"/>
  <c r="AC698" i="16" s="1"/>
  <c r="V698" i="16"/>
  <c r="AB698" i="16" s="1"/>
  <c r="X697" i="16"/>
  <c r="AD697" i="16" s="1"/>
  <c r="W697" i="16"/>
  <c r="AC697" i="16" s="1"/>
  <c r="V697" i="16"/>
  <c r="AB697" i="16" s="1"/>
  <c r="X696" i="16"/>
  <c r="AD696" i="16" s="1"/>
  <c r="W696" i="16"/>
  <c r="AC696" i="16" s="1"/>
  <c r="V696" i="16"/>
  <c r="AB696" i="16" s="1"/>
  <c r="X695" i="16"/>
  <c r="AD695" i="16" s="1"/>
  <c r="W695" i="16"/>
  <c r="AC695" i="16" s="1"/>
  <c r="V695" i="16"/>
  <c r="AB695" i="16" s="1"/>
  <c r="X694" i="16"/>
  <c r="AD694" i="16" s="1"/>
  <c r="W694" i="16"/>
  <c r="AC694" i="16" s="1"/>
  <c r="V694" i="16"/>
  <c r="AB694" i="16" s="1"/>
  <c r="X693" i="16"/>
  <c r="AD693" i="16" s="1"/>
  <c r="W693" i="16"/>
  <c r="AC693" i="16" s="1"/>
  <c r="V693" i="16"/>
  <c r="AB693" i="16" s="1"/>
  <c r="X692" i="16"/>
  <c r="AD692" i="16" s="1"/>
  <c r="W692" i="16"/>
  <c r="AC692" i="16" s="1"/>
  <c r="V692" i="16"/>
  <c r="AB692" i="16" s="1"/>
  <c r="X691" i="16"/>
  <c r="AD691" i="16" s="1"/>
  <c r="W691" i="16"/>
  <c r="AC691" i="16" s="1"/>
  <c r="V691" i="16"/>
  <c r="AB691" i="16" s="1"/>
  <c r="X690" i="16"/>
  <c r="AD690" i="16" s="1"/>
  <c r="W690" i="16"/>
  <c r="AC690" i="16" s="1"/>
  <c r="V690" i="16"/>
  <c r="AB690" i="16" s="1"/>
  <c r="X689" i="16"/>
  <c r="AD689" i="16" s="1"/>
  <c r="W689" i="16"/>
  <c r="AC689" i="16" s="1"/>
  <c r="V689" i="16"/>
  <c r="AB689" i="16" s="1"/>
  <c r="X688" i="16"/>
  <c r="AD688" i="16" s="1"/>
  <c r="W688" i="16"/>
  <c r="AC688" i="16" s="1"/>
  <c r="V688" i="16"/>
  <c r="AB688" i="16" s="1"/>
  <c r="X687" i="16"/>
  <c r="AD687" i="16" s="1"/>
  <c r="W687" i="16"/>
  <c r="AC687" i="16" s="1"/>
  <c r="V687" i="16"/>
  <c r="AB687" i="16" s="1"/>
  <c r="X686" i="16"/>
  <c r="AD686" i="16" s="1"/>
  <c r="W686" i="16"/>
  <c r="AC686" i="16" s="1"/>
  <c r="V686" i="16"/>
  <c r="AB686" i="16" s="1"/>
  <c r="X685" i="16"/>
  <c r="AD685" i="16" s="1"/>
  <c r="W685" i="16"/>
  <c r="AC685" i="16" s="1"/>
  <c r="V685" i="16"/>
  <c r="AB685" i="16" s="1"/>
  <c r="X684" i="16"/>
  <c r="AD684" i="16" s="1"/>
  <c r="W684" i="16"/>
  <c r="AC684" i="16" s="1"/>
  <c r="V684" i="16"/>
  <c r="AB684" i="16" s="1"/>
  <c r="X683" i="16"/>
  <c r="AD683" i="16" s="1"/>
  <c r="W683" i="16"/>
  <c r="AC683" i="16" s="1"/>
  <c r="V683" i="16"/>
  <c r="AB683" i="16" s="1"/>
  <c r="X682" i="16"/>
  <c r="AD682" i="16" s="1"/>
  <c r="W682" i="16"/>
  <c r="AC682" i="16" s="1"/>
  <c r="V682" i="16"/>
  <c r="AB682" i="16" s="1"/>
  <c r="X681" i="16"/>
  <c r="AD681" i="16" s="1"/>
  <c r="W681" i="16"/>
  <c r="AC681" i="16" s="1"/>
  <c r="V681" i="16"/>
  <c r="AB681" i="16" s="1"/>
  <c r="X680" i="16"/>
  <c r="AD680" i="16" s="1"/>
  <c r="W680" i="16"/>
  <c r="AC680" i="16" s="1"/>
  <c r="V680" i="16"/>
  <c r="AB680" i="16" s="1"/>
  <c r="X679" i="16"/>
  <c r="AD679" i="16" s="1"/>
  <c r="W679" i="16"/>
  <c r="AC679" i="16" s="1"/>
  <c r="V679" i="16"/>
  <c r="AB679" i="16" s="1"/>
  <c r="X678" i="16"/>
  <c r="AD678" i="16" s="1"/>
  <c r="W678" i="16"/>
  <c r="AC678" i="16" s="1"/>
  <c r="V678" i="16"/>
  <c r="AB678" i="16" s="1"/>
  <c r="X677" i="16"/>
  <c r="AD677" i="16" s="1"/>
  <c r="W677" i="16"/>
  <c r="AC677" i="16" s="1"/>
  <c r="V677" i="16"/>
  <c r="AB677" i="16" s="1"/>
  <c r="X676" i="16"/>
  <c r="AD676" i="16" s="1"/>
  <c r="W676" i="16"/>
  <c r="AC676" i="16" s="1"/>
  <c r="V676" i="16"/>
  <c r="AB676" i="16" s="1"/>
  <c r="X675" i="16"/>
  <c r="AD675" i="16" s="1"/>
  <c r="W675" i="16"/>
  <c r="AC675" i="16" s="1"/>
  <c r="V675" i="16"/>
  <c r="AB675" i="16" s="1"/>
  <c r="X674" i="16"/>
  <c r="AD674" i="16" s="1"/>
  <c r="W674" i="16"/>
  <c r="AC674" i="16" s="1"/>
  <c r="V674" i="16"/>
  <c r="AB674" i="16" s="1"/>
  <c r="X673" i="16"/>
  <c r="AD673" i="16" s="1"/>
  <c r="W673" i="16"/>
  <c r="AC673" i="16" s="1"/>
  <c r="V673" i="16"/>
  <c r="AB673" i="16" s="1"/>
  <c r="X672" i="16"/>
  <c r="AD672" i="16" s="1"/>
  <c r="W672" i="16"/>
  <c r="AC672" i="16" s="1"/>
  <c r="V672" i="16"/>
  <c r="AB672" i="16" s="1"/>
  <c r="X671" i="16"/>
  <c r="AD671" i="16" s="1"/>
  <c r="W671" i="16"/>
  <c r="AC671" i="16" s="1"/>
  <c r="V671" i="16"/>
  <c r="AB671" i="16" s="1"/>
  <c r="X670" i="16"/>
  <c r="AD670" i="16" s="1"/>
  <c r="W670" i="16"/>
  <c r="AC670" i="16" s="1"/>
  <c r="V670" i="16"/>
  <c r="AB670" i="16" s="1"/>
  <c r="X669" i="16"/>
  <c r="AD669" i="16" s="1"/>
  <c r="W669" i="16"/>
  <c r="AC669" i="16" s="1"/>
  <c r="V669" i="16"/>
  <c r="AB669" i="16" s="1"/>
  <c r="X668" i="16"/>
  <c r="AD668" i="16" s="1"/>
  <c r="W668" i="16"/>
  <c r="AC668" i="16" s="1"/>
  <c r="V668" i="16"/>
  <c r="AB668" i="16" s="1"/>
  <c r="X667" i="16"/>
  <c r="AD667" i="16" s="1"/>
  <c r="W667" i="16"/>
  <c r="AC667" i="16" s="1"/>
  <c r="V667" i="16"/>
  <c r="AB667" i="16" s="1"/>
  <c r="X666" i="16"/>
  <c r="AD666" i="16" s="1"/>
  <c r="W666" i="16"/>
  <c r="AC666" i="16" s="1"/>
  <c r="V666" i="16"/>
  <c r="AB666" i="16" s="1"/>
  <c r="X665" i="16"/>
  <c r="AD665" i="16" s="1"/>
  <c r="W665" i="16"/>
  <c r="AC665" i="16" s="1"/>
  <c r="V665" i="16"/>
  <c r="AB665" i="16" s="1"/>
  <c r="X664" i="16"/>
  <c r="AD664" i="16" s="1"/>
  <c r="W664" i="16"/>
  <c r="AC664" i="16" s="1"/>
  <c r="V664" i="16"/>
  <c r="AB664" i="16" s="1"/>
  <c r="X663" i="16"/>
  <c r="AD663" i="16" s="1"/>
  <c r="W663" i="16"/>
  <c r="AC663" i="16" s="1"/>
  <c r="V663" i="16"/>
  <c r="AB663" i="16" s="1"/>
  <c r="X662" i="16"/>
  <c r="AD662" i="16" s="1"/>
  <c r="W662" i="16"/>
  <c r="AC662" i="16" s="1"/>
  <c r="V662" i="16"/>
  <c r="AB662" i="16" s="1"/>
  <c r="X661" i="16"/>
  <c r="AD661" i="16" s="1"/>
  <c r="W661" i="16"/>
  <c r="AC661" i="16" s="1"/>
  <c r="V661" i="16"/>
  <c r="AB661" i="16" s="1"/>
  <c r="X660" i="16"/>
  <c r="AD660" i="16" s="1"/>
  <c r="W660" i="16"/>
  <c r="AC660" i="16" s="1"/>
  <c r="V660" i="16"/>
  <c r="AB660" i="16" s="1"/>
  <c r="X659" i="16"/>
  <c r="AD659" i="16" s="1"/>
  <c r="W659" i="16"/>
  <c r="AC659" i="16" s="1"/>
  <c r="V659" i="16"/>
  <c r="AB659" i="16" s="1"/>
  <c r="X658" i="16"/>
  <c r="AD658" i="16" s="1"/>
  <c r="W658" i="16"/>
  <c r="AC658" i="16" s="1"/>
  <c r="V658" i="16"/>
  <c r="AB658" i="16" s="1"/>
  <c r="X657" i="16"/>
  <c r="AD657" i="16" s="1"/>
  <c r="W657" i="16"/>
  <c r="AC657" i="16" s="1"/>
  <c r="V657" i="16"/>
  <c r="AB657" i="16" s="1"/>
  <c r="X656" i="16"/>
  <c r="AD656" i="16" s="1"/>
  <c r="W656" i="16"/>
  <c r="AC656" i="16" s="1"/>
  <c r="V656" i="16"/>
  <c r="AB656" i="16" s="1"/>
  <c r="X655" i="16"/>
  <c r="AD655" i="16" s="1"/>
  <c r="W655" i="16"/>
  <c r="AC655" i="16" s="1"/>
  <c r="V655" i="16"/>
  <c r="AB655" i="16" s="1"/>
  <c r="X654" i="16"/>
  <c r="AD654" i="16" s="1"/>
  <c r="W654" i="16"/>
  <c r="AC654" i="16" s="1"/>
  <c r="V654" i="16"/>
  <c r="AB654" i="16" s="1"/>
  <c r="X653" i="16"/>
  <c r="AD653" i="16" s="1"/>
  <c r="W653" i="16"/>
  <c r="AC653" i="16" s="1"/>
  <c r="V653" i="16"/>
  <c r="AB653" i="16" s="1"/>
  <c r="X652" i="16"/>
  <c r="AD652" i="16" s="1"/>
  <c r="W652" i="16"/>
  <c r="AC652" i="16" s="1"/>
  <c r="V652" i="16"/>
  <c r="AB652" i="16" s="1"/>
  <c r="X651" i="16"/>
  <c r="AD651" i="16" s="1"/>
  <c r="W651" i="16"/>
  <c r="AC651" i="16" s="1"/>
  <c r="V651" i="16"/>
  <c r="AB651" i="16" s="1"/>
  <c r="X650" i="16"/>
  <c r="AD650" i="16" s="1"/>
  <c r="W650" i="16"/>
  <c r="AC650" i="16" s="1"/>
  <c r="V650" i="16"/>
  <c r="AB650" i="16" s="1"/>
  <c r="X649" i="16"/>
  <c r="AD649" i="16" s="1"/>
  <c r="W649" i="16"/>
  <c r="AC649" i="16" s="1"/>
  <c r="V649" i="16"/>
  <c r="AB649" i="16" s="1"/>
  <c r="X648" i="16"/>
  <c r="AD648" i="16" s="1"/>
  <c r="W648" i="16"/>
  <c r="AC648" i="16" s="1"/>
  <c r="V648" i="16"/>
  <c r="AB648" i="16" s="1"/>
  <c r="X647" i="16"/>
  <c r="AD647" i="16" s="1"/>
  <c r="W647" i="16"/>
  <c r="AC647" i="16" s="1"/>
  <c r="V647" i="16"/>
  <c r="AB647" i="16" s="1"/>
  <c r="X646" i="16"/>
  <c r="AD646" i="16" s="1"/>
  <c r="W646" i="16"/>
  <c r="AC646" i="16" s="1"/>
  <c r="V646" i="16"/>
  <c r="AB646" i="16" s="1"/>
  <c r="X645" i="16"/>
  <c r="AD645" i="16" s="1"/>
  <c r="W645" i="16"/>
  <c r="AC645" i="16" s="1"/>
  <c r="V645" i="16"/>
  <c r="AB645" i="16" s="1"/>
  <c r="X644" i="16"/>
  <c r="AD644" i="16" s="1"/>
  <c r="W644" i="16"/>
  <c r="AC644" i="16" s="1"/>
  <c r="V644" i="16"/>
  <c r="AB644" i="16" s="1"/>
  <c r="X643" i="16"/>
  <c r="AD643" i="16" s="1"/>
  <c r="W643" i="16"/>
  <c r="AC643" i="16" s="1"/>
  <c r="V643" i="16"/>
  <c r="AB643" i="16" s="1"/>
  <c r="X642" i="16"/>
  <c r="AD642" i="16" s="1"/>
  <c r="W642" i="16"/>
  <c r="AC642" i="16" s="1"/>
  <c r="V642" i="16"/>
  <c r="AB642" i="16" s="1"/>
  <c r="X641" i="16"/>
  <c r="AD641" i="16" s="1"/>
  <c r="W641" i="16"/>
  <c r="AC641" i="16" s="1"/>
  <c r="V641" i="16"/>
  <c r="AB641" i="16" s="1"/>
  <c r="X640" i="16"/>
  <c r="AD640" i="16" s="1"/>
  <c r="W640" i="16"/>
  <c r="AC640" i="16" s="1"/>
  <c r="V640" i="16"/>
  <c r="AB640" i="16" s="1"/>
  <c r="X639" i="16"/>
  <c r="AD639" i="16" s="1"/>
  <c r="W639" i="16"/>
  <c r="AC639" i="16" s="1"/>
  <c r="V639" i="16"/>
  <c r="AB639" i="16" s="1"/>
  <c r="X638" i="16"/>
  <c r="AD638" i="16" s="1"/>
  <c r="W638" i="16"/>
  <c r="AC638" i="16" s="1"/>
  <c r="V638" i="16"/>
  <c r="AB638" i="16" s="1"/>
  <c r="X637" i="16"/>
  <c r="AD637" i="16" s="1"/>
  <c r="W637" i="16"/>
  <c r="AC637" i="16" s="1"/>
  <c r="V637" i="16"/>
  <c r="AB637" i="16" s="1"/>
  <c r="X636" i="16"/>
  <c r="AD636" i="16" s="1"/>
  <c r="W636" i="16"/>
  <c r="AC636" i="16" s="1"/>
  <c r="V636" i="16"/>
  <c r="AB636" i="16" s="1"/>
  <c r="X635" i="16"/>
  <c r="AD635" i="16" s="1"/>
  <c r="W635" i="16"/>
  <c r="AC635" i="16" s="1"/>
  <c r="V635" i="16"/>
  <c r="AB635" i="16" s="1"/>
  <c r="X634" i="16"/>
  <c r="AD634" i="16" s="1"/>
  <c r="W634" i="16"/>
  <c r="AC634" i="16" s="1"/>
  <c r="V634" i="16"/>
  <c r="AB634" i="16" s="1"/>
  <c r="X633" i="16"/>
  <c r="AD633" i="16" s="1"/>
  <c r="W633" i="16"/>
  <c r="AC633" i="16" s="1"/>
  <c r="V633" i="16"/>
  <c r="AB633" i="16" s="1"/>
  <c r="X632" i="16"/>
  <c r="AD632" i="16" s="1"/>
  <c r="W632" i="16"/>
  <c r="AC632" i="16" s="1"/>
  <c r="V632" i="16"/>
  <c r="AB632" i="16" s="1"/>
  <c r="X631" i="16"/>
  <c r="AD631" i="16" s="1"/>
  <c r="W631" i="16"/>
  <c r="AC631" i="16" s="1"/>
  <c r="V631" i="16"/>
  <c r="AB631" i="16" s="1"/>
  <c r="X630" i="16"/>
  <c r="AD630" i="16" s="1"/>
  <c r="W630" i="16"/>
  <c r="AC630" i="16" s="1"/>
  <c r="V630" i="16"/>
  <c r="AB630" i="16" s="1"/>
  <c r="X629" i="16"/>
  <c r="AD629" i="16" s="1"/>
  <c r="W629" i="16"/>
  <c r="AC629" i="16" s="1"/>
  <c r="V629" i="16"/>
  <c r="AB629" i="16" s="1"/>
  <c r="X628" i="16"/>
  <c r="AD628" i="16" s="1"/>
  <c r="W628" i="16"/>
  <c r="AC628" i="16" s="1"/>
  <c r="V628" i="16"/>
  <c r="AB628" i="16" s="1"/>
  <c r="X627" i="16"/>
  <c r="AD627" i="16" s="1"/>
  <c r="W627" i="16"/>
  <c r="AC627" i="16" s="1"/>
  <c r="V627" i="16"/>
  <c r="AB627" i="16" s="1"/>
  <c r="X626" i="16"/>
  <c r="AD626" i="16" s="1"/>
  <c r="W626" i="16"/>
  <c r="AC626" i="16" s="1"/>
  <c r="V626" i="16"/>
  <c r="AB626" i="16" s="1"/>
  <c r="X625" i="16"/>
  <c r="AD625" i="16" s="1"/>
  <c r="W625" i="16"/>
  <c r="AC625" i="16" s="1"/>
  <c r="V625" i="16"/>
  <c r="AB625" i="16" s="1"/>
  <c r="X624" i="16"/>
  <c r="AD624" i="16" s="1"/>
  <c r="W624" i="16"/>
  <c r="AC624" i="16" s="1"/>
  <c r="V624" i="16"/>
  <c r="AB624" i="16" s="1"/>
  <c r="X623" i="16"/>
  <c r="AD623" i="16" s="1"/>
  <c r="W623" i="16"/>
  <c r="AC623" i="16" s="1"/>
  <c r="V623" i="16"/>
  <c r="AB623" i="16" s="1"/>
  <c r="X622" i="16"/>
  <c r="AD622" i="16" s="1"/>
  <c r="W622" i="16"/>
  <c r="AC622" i="16" s="1"/>
  <c r="V622" i="16"/>
  <c r="AB622" i="16" s="1"/>
  <c r="X621" i="16"/>
  <c r="AD621" i="16" s="1"/>
  <c r="W621" i="16"/>
  <c r="AC621" i="16" s="1"/>
  <c r="V621" i="16"/>
  <c r="AB621" i="16" s="1"/>
  <c r="X620" i="16"/>
  <c r="AD620" i="16" s="1"/>
  <c r="W620" i="16"/>
  <c r="AC620" i="16" s="1"/>
  <c r="V620" i="16"/>
  <c r="AB620" i="16" s="1"/>
  <c r="X619" i="16"/>
  <c r="AD619" i="16" s="1"/>
  <c r="W619" i="16"/>
  <c r="AC619" i="16" s="1"/>
  <c r="V619" i="16"/>
  <c r="AB619" i="16" s="1"/>
  <c r="X618" i="16"/>
  <c r="AD618" i="16" s="1"/>
  <c r="W618" i="16"/>
  <c r="AC618" i="16" s="1"/>
  <c r="V618" i="16"/>
  <c r="AB618" i="16" s="1"/>
  <c r="X617" i="16"/>
  <c r="AD617" i="16" s="1"/>
  <c r="W617" i="16"/>
  <c r="AC617" i="16" s="1"/>
  <c r="V617" i="16"/>
  <c r="AB617" i="16" s="1"/>
  <c r="X616" i="16"/>
  <c r="AD616" i="16" s="1"/>
  <c r="W616" i="16"/>
  <c r="AC616" i="16" s="1"/>
  <c r="V616" i="16"/>
  <c r="AB616" i="16" s="1"/>
  <c r="X615" i="16"/>
  <c r="AD615" i="16" s="1"/>
  <c r="W615" i="16"/>
  <c r="AC615" i="16" s="1"/>
  <c r="V615" i="16"/>
  <c r="AB615" i="16" s="1"/>
  <c r="X614" i="16"/>
  <c r="AD614" i="16" s="1"/>
  <c r="W614" i="16"/>
  <c r="AC614" i="16" s="1"/>
  <c r="V614" i="16"/>
  <c r="AB614" i="16" s="1"/>
  <c r="X613" i="16"/>
  <c r="AD613" i="16" s="1"/>
  <c r="W613" i="16"/>
  <c r="AC613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X609" i="16"/>
  <c r="AD609" i="16" s="1"/>
  <c r="W609" i="16"/>
  <c r="AC609" i="16" s="1"/>
  <c r="V609" i="16"/>
  <c r="AB609" i="16" s="1"/>
  <c r="X608" i="16"/>
  <c r="AD608" i="16" s="1"/>
  <c r="W608" i="16"/>
  <c r="AC608" i="16" s="1"/>
  <c r="V608" i="16"/>
  <c r="AB608" i="16" s="1"/>
  <c r="X607" i="16"/>
  <c r="AD607" i="16" s="1"/>
  <c r="W607" i="16"/>
  <c r="AC607" i="16" s="1"/>
  <c r="V607" i="16"/>
  <c r="AB607" i="16" s="1"/>
  <c r="X606" i="16"/>
  <c r="AD606" i="16" s="1"/>
  <c r="W606" i="16"/>
  <c r="AC606" i="16" s="1"/>
  <c r="V606" i="16"/>
  <c r="AB606" i="16" s="1"/>
  <c r="X605" i="16"/>
  <c r="AD605" i="16" s="1"/>
  <c r="W605" i="16"/>
  <c r="AC605" i="16" s="1"/>
  <c r="V605" i="16"/>
  <c r="AB605" i="16" s="1"/>
  <c r="X604" i="16"/>
  <c r="AD604" i="16" s="1"/>
  <c r="W604" i="16"/>
  <c r="AC604" i="16" s="1"/>
  <c r="V604" i="16"/>
  <c r="AB604" i="16" s="1"/>
  <c r="X603" i="16"/>
  <c r="AD603" i="16" s="1"/>
  <c r="W603" i="16"/>
  <c r="AC603" i="16" s="1"/>
  <c r="V603" i="16"/>
  <c r="AB603" i="16" s="1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X595" i="16"/>
  <c r="AD595" i="16" s="1"/>
  <c r="W595" i="16"/>
  <c r="AC595" i="16" s="1"/>
  <c r="V595" i="16"/>
  <c r="AB595" i="16" s="1"/>
  <c r="X594" i="16"/>
  <c r="AD594" i="16" s="1"/>
  <c r="W594" i="16"/>
  <c r="AC594" i="16" s="1"/>
  <c r="V594" i="16"/>
  <c r="AB594" i="16" s="1"/>
  <c r="X593" i="16"/>
  <c r="AD593" i="16" s="1"/>
  <c r="W593" i="16"/>
  <c r="AC593" i="16" s="1"/>
  <c r="V593" i="16"/>
  <c r="AB593" i="16" s="1"/>
  <c r="X592" i="16"/>
  <c r="AD592" i="16" s="1"/>
  <c r="W592" i="16"/>
  <c r="AC592" i="16" s="1"/>
  <c r="V592" i="16"/>
  <c r="AB592" i="16" s="1"/>
  <c r="X591" i="16"/>
  <c r="AD591" i="16" s="1"/>
  <c r="W591" i="16"/>
  <c r="AC591" i="16" s="1"/>
  <c r="V591" i="16"/>
  <c r="AB591" i="16" s="1"/>
  <c r="X590" i="16"/>
  <c r="AD590" i="16" s="1"/>
  <c r="W590" i="16"/>
  <c r="AC590" i="16" s="1"/>
  <c r="V590" i="16"/>
  <c r="AB590" i="16" s="1"/>
  <c r="X589" i="16"/>
  <c r="AD589" i="16" s="1"/>
  <c r="W589" i="16"/>
  <c r="AC589" i="16" s="1"/>
  <c r="V589" i="16"/>
  <c r="AB589" i="16" s="1"/>
  <c r="X588" i="16"/>
  <c r="AD588" i="16" s="1"/>
  <c r="W588" i="16"/>
  <c r="AC588" i="16" s="1"/>
  <c r="V588" i="16"/>
  <c r="AB588" i="16" s="1"/>
  <c r="X587" i="16"/>
  <c r="AD587" i="16" s="1"/>
  <c r="W587" i="16"/>
  <c r="AC587" i="16" s="1"/>
  <c r="V587" i="16"/>
  <c r="AB587" i="16" s="1"/>
  <c r="X586" i="16"/>
  <c r="AD586" i="16" s="1"/>
  <c r="W586" i="16"/>
  <c r="AC586" i="16" s="1"/>
  <c r="V586" i="16"/>
  <c r="AB586" i="16" s="1"/>
  <c r="X585" i="16"/>
  <c r="AD585" i="16" s="1"/>
  <c r="W585" i="16"/>
  <c r="AC585" i="16" s="1"/>
  <c r="V585" i="16"/>
  <c r="AB585" i="16" s="1"/>
  <c r="X584" i="16"/>
  <c r="AD584" i="16" s="1"/>
  <c r="W584" i="16"/>
  <c r="AC584" i="16" s="1"/>
  <c r="V584" i="16"/>
  <c r="AB584" i="16" s="1"/>
  <c r="X583" i="16"/>
  <c r="AD583" i="16" s="1"/>
  <c r="W583" i="16"/>
  <c r="AC583" i="16" s="1"/>
  <c r="V583" i="16"/>
  <c r="AB583" i="16" s="1"/>
  <c r="X582" i="16"/>
  <c r="AD582" i="16" s="1"/>
  <c r="W582" i="16"/>
  <c r="AC582" i="16" s="1"/>
  <c r="V582" i="16"/>
  <c r="AB582" i="16" s="1"/>
  <c r="X581" i="16"/>
  <c r="AD581" i="16" s="1"/>
  <c r="W581" i="16"/>
  <c r="AC581" i="16" s="1"/>
  <c r="V581" i="16"/>
  <c r="AB581" i="16" s="1"/>
  <c r="X580" i="16"/>
  <c r="AD580" i="16" s="1"/>
  <c r="W580" i="16"/>
  <c r="AC580" i="16" s="1"/>
  <c r="V580" i="16"/>
  <c r="AB580" i="16" s="1"/>
  <c r="X579" i="16"/>
  <c r="AD579" i="16" s="1"/>
  <c r="W579" i="16"/>
  <c r="AC579" i="16" s="1"/>
  <c r="V579" i="16"/>
  <c r="AB579" i="16" s="1"/>
  <c r="X578" i="16"/>
  <c r="AD578" i="16" s="1"/>
  <c r="W578" i="16"/>
  <c r="AC578" i="16" s="1"/>
  <c r="V578" i="16"/>
  <c r="AB578" i="16" s="1"/>
  <c r="X577" i="16"/>
  <c r="AD577" i="16" s="1"/>
  <c r="W577" i="16"/>
  <c r="AC577" i="16" s="1"/>
  <c r="V577" i="16"/>
  <c r="AB577" i="16" s="1"/>
  <c r="X576" i="16"/>
  <c r="AD576" i="16" s="1"/>
  <c r="W576" i="16"/>
  <c r="AC576" i="16" s="1"/>
  <c r="V576" i="16"/>
  <c r="AB576" i="16" s="1"/>
  <c r="X575" i="16"/>
  <c r="AD575" i="16" s="1"/>
  <c r="W575" i="16"/>
  <c r="AC575" i="16" s="1"/>
  <c r="V575" i="16"/>
  <c r="AB575" i="16" s="1"/>
  <c r="X574" i="16"/>
  <c r="AD574" i="16" s="1"/>
  <c r="W574" i="16"/>
  <c r="AC574" i="16" s="1"/>
  <c r="V574" i="16"/>
  <c r="AB574" i="16" s="1"/>
  <c r="X573" i="16"/>
  <c r="AD573" i="16" s="1"/>
  <c r="W573" i="16"/>
  <c r="AC573" i="16" s="1"/>
  <c r="V573" i="16"/>
  <c r="AB573" i="16" s="1"/>
  <c r="X572" i="16"/>
  <c r="AD572" i="16" s="1"/>
  <c r="W572" i="16"/>
  <c r="AC572" i="16" s="1"/>
  <c r="V572" i="16"/>
  <c r="AB572" i="16" s="1"/>
  <c r="X571" i="16"/>
  <c r="AD571" i="16" s="1"/>
  <c r="W571" i="16"/>
  <c r="AC571" i="16" s="1"/>
  <c r="V571" i="16"/>
  <c r="AB571" i="16" s="1"/>
  <c r="X570" i="16"/>
  <c r="AD570" i="16" s="1"/>
  <c r="W570" i="16"/>
  <c r="AC570" i="16" s="1"/>
  <c r="V570" i="16"/>
  <c r="AB570" i="16" s="1"/>
  <c r="X569" i="16"/>
  <c r="AD569" i="16" s="1"/>
  <c r="W569" i="16"/>
  <c r="AC569" i="16" s="1"/>
  <c r="V569" i="16"/>
  <c r="AB569" i="16" s="1"/>
  <c r="X568" i="16"/>
  <c r="AD568" i="16" s="1"/>
  <c r="W568" i="16"/>
  <c r="AC568" i="16" s="1"/>
  <c r="V568" i="16"/>
  <c r="AB568" i="16" s="1"/>
  <c r="X567" i="16"/>
  <c r="AD567" i="16" s="1"/>
  <c r="W567" i="16"/>
  <c r="AC567" i="16" s="1"/>
  <c r="V567" i="16"/>
  <c r="AB567" i="16" s="1"/>
  <c r="X566" i="16"/>
  <c r="AD566" i="16" s="1"/>
  <c r="W566" i="16"/>
  <c r="AC566" i="16" s="1"/>
  <c r="V566" i="16"/>
  <c r="AB566" i="16" s="1"/>
  <c r="X565" i="16"/>
  <c r="AD565" i="16" s="1"/>
  <c r="W565" i="16"/>
  <c r="AC565" i="16" s="1"/>
  <c r="V565" i="16"/>
  <c r="AB565" i="16" s="1"/>
  <c r="X564" i="16"/>
  <c r="AD564" i="16" s="1"/>
  <c r="W564" i="16"/>
  <c r="AC564" i="16" s="1"/>
  <c r="V564" i="16"/>
  <c r="AB564" i="16" s="1"/>
  <c r="X563" i="16"/>
  <c r="AD563" i="16" s="1"/>
  <c r="W563" i="16"/>
  <c r="AC563" i="16" s="1"/>
  <c r="V563" i="16"/>
  <c r="AB563" i="16" s="1"/>
  <c r="X562" i="16"/>
  <c r="AD562" i="16" s="1"/>
  <c r="W562" i="16"/>
  <c r="AC562" i="16" s="1"/>
  <c r="V562" i="16"/>
  <c r="AB562" i="16" s="1"/>
  <c r="X561" i="16"/>
  <c r="AD561" i="16" s="1"/>
  <c r="W561" i="16"/>
  <c r="AC561" i="16" s="1"/>
  <c r="V561" i="16"/>
  <c r="AB561" i="16" s="1"/>
  <c r="X560" i="16"/>
  <c r="AD560" i="16" s="1"/>
  <c r="W560" i="16"/>
  <c r="AC560" i="16" s="1"/>
  <c r="V560" i="16"/>
  <c r="AB560" i="16" s="1"/>
  <c r="X559" i="16"/>
  <c r="AD559" i="16" s="1"/>
  <c r="W559" i="16"/>
  <c r="AC559" i="16" s="1"/>
  <c r="V559" i="16"/>
  <c r="AB559" i="16" s="1"/>
  <c r="X558" i="16"/>
  <c r="AD558" i="16" s="1"/>
  <c r="W558" i="16"/>
  <c r="AC558" i="16" s="1"/>
  <c r="V558" i="16"/>
  <c r="AB558" i="16" s="1"/>
  <c r="X557" i="16"/>
  <c r="AD557" i="16" s="1"/>
  <c r="W557" i="16"/>
  <c r="AC557" i="16" s="1"/>
  <c r="V557" i="16"/>
  <c r="AB557" i="16" s="1"/>
  <c r="X556" i="16"/>
  <c r="AD556" i="16" s="1"/>
  <c r="W556" i="16"/>
  <c r="AC556" i="16" s="1"/>
  <c r="V556" i="16"/>
  <c r="AB556" i="16" s="1"/>
  <c r="X555" i="16"/>
  <c r="AD555" i="16" s="1"/>
  <c r="W555" i="16"/>
  <c r="AC555" i="16" s="1"/>
  <c r="V555" i="16"/>
  <c r="AB555" i="16" s="1"/>
  <c r="X554" i="16"/>
  <c r="AD554" i="16" s="1"/>
  <c r="W554" i="16"/>
  <c r="AC554" i="16" s="1"/>
  <c r="V554" i="16"/>
  <c r="AB554" i="16" s="1"/>
  <c r="X553" i="16"/>
  <c r="AD553" i="16" s="1"/>
  <c r="W553" i="16"/>
  <c r="AC553" i="16" s="1"/>
  <c r="V553" i="16"/>
  <c r="AB553" i="16" s="1"/>
  <c r="X552" i="16"/>
  <c r="AD552" i="16" s="1"/>
  <c r="W552" i="16"/>
  <c r="AC552" i="16" s="1"/>
  <c r="V552" i="16"/>
  <c r="AB552" i="16" s="1"/>
  <c r="X551" i="16"/>
  <c r="AD551" i="16" s="1"/>
  <c r="W551" i="16"/>
  <c r="AC551" i="16" s="1"/>
  <c r="V551" i="16"/>
  <c r="AB551" i="16" s="1"/>
  <c r="X550" i="16"/>
  <c r="AD550" i="16" s="1"/>
  <c r="W550" i="16"/>
  <c r="AC550" i="16" s="1"/>
  <c r="V550" i="16"/>
  <c r="AB550" i="16" s="1"/>
  <c r="X549" i="16"/>
  <c r="AD549" i="16" s="1"/>
  <c r="W549" i="16"/>
  <c r="AC549" i="16" s="1"/>
  <c r="V549" i="16"/>
  <c r="AB549" i="16" s="1"/>
  <c r="X548" i="16"/>
  <c r="AD548" i="16" s="1"/>
  <c r="W548" i="16"/>
  <c r="AC548" i="16" s="1"/>
  <c r="V548" i="16"/>
  <c r="AB548" i="16" s="1"/>
  <c r="X547" i="16"/>
  <c r="AD547" i="16" s="1"/>
  <c r="W547" i="16"/>
  <c r="AC547" i="16" s="1"/>
  <c r="V547" i="16"/>
  <c r="AB547" i="16" s="1"/>
  <c r="X546" i="16"/>
  <c r="AD546" i="16" s="1"/>
  <c r="W546" i="16"/>
  <c r="AC546" i="16" s="1"/>
  <c r="V546" i="16"/>
  <c r="AB546" i="16" s="1"/>
  <c r="X545" i="16"/>
  <c r="AD545" i="16" s="1"/>
  <c r="W545" i="16"/>
  <c r="AC545" i="16" s="1"/>
  <c r="V545" i="16"/>
  <c r="AB545" i="16" s="1"/>
  <c r="X544" i="16"/>
  <c r="AD544" i="16" s="1"/>
  <c r="W544" i="16"/>
  <c r="AC544" i="16" s="1"/>
  <c r="V544" i="16"/>
  <c r="AB544" i="16" s="1"/>
  <c r="X543" i="16"/>
  <c r="AD543" i="16" s="1"/>
  <c r="W543" i="16"/>
  <c r="AC543" i="16" s="1"/>
  <c r="V543" i="16"/>
  <c r="AB543" i="16" s="1"/>
  <c r="X542" i="16"/>
  <c r="AD542" i="16" s="1"/>
  <c r="W542" i="16"/>
  <c r="AC542" i="16" s="1"/>
  <c r="V542" i="16"/>
  <c r="AB542" i="16" s="1"/>
  <c r="X541" i="16"/>
  <c r="AD541" i="16" s="1"/>
  <c r="W541" i="16"/>
  <c r="AC541" i="16" s="1"/>
  <c r="V541" i="16"/>
  <c r="AB541" i="16" s="1"/>
  <c r="X540" i="16"/>
  <c r="AD540" i="16" s="1"/>
  <c r="W540" i="16"/>
  <c r="AC540" i="16" s="1"/>
  <c r="V540" i="16"/>
  <c r="AB540" i="16" s="1"/>
  <c r="X539" i="16"/>
  <c r="AD539" i="16" s="1"/>
  <c r="W539" i="16"/>
  <c r="AC539" i="16" s="1"/>
  <c r="V539" i="16"/>
  <c r="AB539" i="16" s="1"/>
  <c r="X538" i="16"/>
  <c r="AD538" i="16" s="1"/>
  <c r="AO3" i="16" s="1"/>
  <c r="W538" i="16"/>
  <c r="AC538" i="16" s="1"/>
  <c r="V538" i="16"/>
  <c r="AB538" i="16" s="1"/>
  <c r="V537" i="16"/>
  <c r="AB537" i="16" s="1"/>
  <c r="V536" i="16"/>
  <c r="AB536" i="16" s="1"/>
  <c r="V535" i="16"/>
  <c r="AB535" i="16" s="1"/>
  <c r="V534" i="16"/>
  <c r="AB534" i="16" s="1"/>
  <c r="V533" i="16"/>
  <c r="AB533" i="16" s="1"/>
  <c r="V532" i="16"/>
  <c r="AB532" i="16" s="1"/>
  <c r="V531" i="16"/>
  <c r="AB531" i="16" s="1"/>
  <c r="V530" i="16"/>
  <c r="AB530" i="16" s="1"/>
  <c r="V529" i="16"/>
  <c r="AB529" i="16" s="1"/>
  <c r="V528" i="16"/>
  <c r="AB528" i="16" s="1"/>
  <c r="V527" i="16"/>
  <c r="AB527" i="16" s="1"/>
  <c r="V526" i="16"/>
  <c r="AB526" i="16" s="1"/>
  <c r="V525" i="16"/>
  <c r="AB525" i="16" s="1"/>
  <c r="X524" i="16"/>
  <c r="AD524" i="16" s="1"/>
  <c r="W524" i="16"/>
  <c r="AC524" i="16" s="1"/>
  <c r="X523" i="16"/>
  <c r="AD523" i="16" s="1"/>
  <c r="W523" i="16"/>
  <c r="AC523" i="16" s="1"/>
  <c r="X522" i="16"/>
  <c r="AD522" i="16" s="1"/>
  <c r="W522" i="16"/>
  <c r="AC522" i="16" s="1"/>
  <c r="X521" i="16"/>
  <c r="AD521" i="16" s="1"/>
  <c r="W521" i="16"/>
  <c r="AC521" i="16" s="1"/>
  <c r="X520" i="16"/>
  <c r="AD520" i="16" s="1"/>
  <c r="W520" i="16"/>
  <c r="AC520" i="16" s="1"/>
  <c r="X519" i="16"/>
  <c r="AD519" i="16" s="1"/>
  <c r="W519" i="16"/>
  <c r="AC519" i="16" s="1"/>
  <c r="X518" i="16"/>
  <c r="AD518" i="16" s="1"/>
  <c r="W518" i="16"/>
  <c r="AC518" i="16" s="1"/>
  <c r="X517" i="16"/>
  <c r="AD517" i="16" s="1"/>
  <c r="W517" i="16"/>
  <c r="AC517" i="16" s="1"/>
  <c r="X516" i="16"/>
  <c r="AD516" i="16" s="1"/>
  <c r="W516" i="16"/>
  <c r="AC516" i="16" s="1"/>
  <c r="X515" i="16"/>
  <c r="AD515" i="16" s="1"/>
  <c r="W515" i="16"/>
  <c r="AC515" i="16" s="1"/>
  <c r="X514" i="16"/>
  <c r="AD514" i="16" s="1"/>
  <c r="W514" i="16"/>
  <c r="AC514" i="16" s="1"/>
  <c r="X513" i="16"/>
  <c r="AD513" i="16" s="1"/>
  <c r="W513" i="16"/>
  <c r="AC513" i="16" s="1"/>
  <c r="X512" i="16"/>
  <c r="AD512" i="16" s="1"/>
  <c r="W512" i="16"/>
  <c r="AC512" i="16" s="1"/>
  <c r="V511" i="16"/>
  <c r="AB511" i="16" s="1"/>
  <c r="V510" i="16"/>
  <c r="AB510" i="16" s="1"/>
  <c r="V509" i="16"/>
  <c r="AB509" i="16" s="1"/>
  <c r="V508" i="16"/>
  <c r="AB508" i="16" s="1"/>
  <c r="V507" i="16"/>
  <c r="AB507" i="16" s="1"/>
  <c r="V506" i="16"/>
  <c r="AB506" i="16" s="1"/>
  <c r="V505" i="16"/>
  <c r="AB505" i="16" s="1"/>
  <c r="V504" i="16"/>
  <c r="AB504" i="16" s="1"/>
  <c r="V503" i="16"/>
  <c r="AB503" i="16" s="1"/>
  <c r="V502" i="16"/>
  <c r="AB502" i="16" s="1"/>
  <c r="V501" i="16"/>
  <c r="AB501" i="16" s="1"/>
  <c r="V500" i="16"/>
  <c r="AB500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AB488" i="16" s="1"/>
  <c r="X487" i="16"/>
  <c r="AD487" i="16" s="1"/>
  <c r="W487" i="16"/>
  <c r="AC487" i="16" s="1"/>
  <c r="V487" i="16"/>
  <c r="AB487" i="16" s="1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AB485" i="16" s="1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AB483" i="16" s="1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AB460" i="16" s="1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X457" i="16"/>
  <c r="AD457" i="16" s="1"/>
  <c r="W457" i="16"/>
  <c r="AC457" i="16" s="1"/>
  <c r="V457" i="16"/>
  <c r="AB457" i="16" s="1"/>
  <c r="X456" i="16"/>
  <c r="AD456" i="16" s="1"/>
  <c r="W456" i="16"/>
  <c r="AC456" i="16" s="1"/>
  <c r="V456" i="16"/>
  <c r="AB456" i="16" s="1"/>
  <c r="X455" i="16"/>
  <c r="AD455" i="16" s="1"/>
  <c r="W455" i="16"/>
  <c r="AC455" i="16" s="1"/>
  <c r="V455" i="16"/>
  <c r="AB455" i="16" s="1"/>
  <c r="X454" i="16"/>
  <c r="AD454" i="16" s="1"/>
  <c r="W454" i="16"/>
  <c r="AC454" i="16" s="1"/>
  <c r="V454" i="16"/>
  <c r="AB454" i="16" s="1"/>
  <c r="X453" i="16"/>
  <c r="AD453" i="16" s="1"/>
  <c r="W453" i="16"/>
  <c r="AC453" i="16" s="1"/>
  <c r="V453" i="16"/>
  <c r="AB453" i="16" s="1"/>
  <c r="X452" i="16"/>
  <c r="AD452" i="16" s="1"/>
  <c r="W452" i="16"/>
  <c r="AC452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AB448" i="16" s="1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AD443" i="16" s="1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AD441" i="16" s="1"/>
  <c r="W441" i="16"/>
  <c r="AC441" i="16" s="1"/>
  <c r="V441" i="16"/>
  <c r="AB441" i="16" s="1"/>
  <c r="X440" i="16"/>
  <c r="AD440" i="16" s="1"/>
  <c r="W440" i="16"/>
  <c r="AC440" i="16" s="1"/>
  <c r="V440" i="16"/>
  <c r="AB440" i="16" s="1"/>
  <c r="X439" i="16"/>
  <c r="AD439" i="16" s="1"/>
  <c r="W439" i="16"/>
  <c r="AC439" i="16" s="1"/>
  <c r="V439" i="16"/>
  <c r="AB439" i="16" s="1"/>
  <c r="X438" i="16"/>
  <c r="AD438" i="16" s="1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AD433" i="16" s="1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AC431" i="16" s="1"/>
  <c r="V431" i="16"/>
  <c r="AB431" i="16" s="1"/>
  <c r="X430" i="16"/>
  <c r="AD430" i="16" s="1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AB428" i="16" s="1"/>
  <c r="X427" i="16"/>
  <c r="AD427" i="16" s="1"/>
  <c r="W427" i="16"/>
  <c r="AC427" i="16" s="1"/>
  <c r="V427" i="16"/>
  <c r="AB427" i="16" s="1"/>
  <c r="X426" i="16"/>
  <c r="AD426" i="16" s="1"/>
  <c r="W426" i="16"/>
  <c r="AC426" i="16" s="1"/>
  <c r="V426" i="16"/>
  <c r="AB426" i="16" s="1"/>
  <c r="X425" i="16"/>
  <c r="AD425" i="16" s="1"/>
  <c r="W425" i="16"/>
  <c r="AC425" i="16" s="1"/>
  <c r="V425" i="16"/>
  <c r="AB425" i="16" s="1"/>
  <c r="X424" i="16"/>
  <c r="AD424" i="16" s="1"/>
  <c r="W424" i="16"/>
  <c r="AC424" i="16" s="1"/>
  <c r="V424" i="16"/>
  <c r="AB424" i="16" s="1"/>
  <c r="X423" i="16"/>
  <c r="AD423" i="16" s="1"/>
  <c r="W423" i="16"/>
  <c r="AC423" i="16" s="1"/>
  <c r="V423" i="16"/>
  <c r="AB423" i="16" s="1"/>
  <c r="X422" i="16"/>
  <c r="AD422" i="16" s="1"/>
  <c r="W422" i="16"/>
  <c r="AC422" i="16" s="1"/>
  <c r="V422" i="16"/>
  <c r="AB422" i="16" s="1"/>
  <c r="X421" i="16"/>
  <c r="AD421" i="16" s="1"/>
  <c r="W421" i="16"/>
  <c r="AC421" i="16" s="1"/>
  <c r="V421" i="16"/>
  <c r="AB421" i="16" s="1"/>
  <c r="X420" i="16"/>
  <c r="AD420" i="16" s="1"/>
  <c r="W420" i="16"/>
  <c r="AC420" i="16" s="1"/>
  <c r="V420" i="16"/>
  <c r="AB420" i="16" s="1"/>
  <c r="X419" i="16"/>
  <c r="AD419" i="16" s="1"/>
  <c r="W419" i="16"/>
  <c r="AC419" i="16" s="1"/>
  <c r="V419" i="16"/>
  <c r="AB419" i="16" s="1"/>
  <c r="X418" i="16"/>
  <c r="AD418" i="16" s="1"/>
  <c r="W418" i="16"/>
  <c r="AC418" i="16" s="1"/>
  <c r="V418" i="16"/>
  <c r="AB418" i="16" s="1"/>
  <c r="X417" i="16"/>
  <c r="AD417" i="16" s="1"/>
  <c r="W417" i="16"/>
  <c r="AC417" i="16" s="1"/>
  <c r="V417" i="16"/>
  <c r="AB417" i="16" s="1"/>
  <c r="X416" i="16"/>
  <c r="AD416" i="16" s="1"/>
  <c r="W416" i="16"/>
  <c r="AC416" i="16" s="1"/>
  <c r="V416" i="16"/>
  <c r="AB416" i="16" s="1"/>
  <c r="X415" i="16"/>
  <c r="AD415" i="16" s="1"/>
  <c r="W415" i="16"/>
  <c r="AC415" i="16" s="1"/>
  <c r="V415" i="16"/>
  <c r="AB415" i="16" s="1"/>
  <c r="X414" i="16"/>
  <c r="AD414" i="16" s="1"/>
  <c r="W414" i="16"/>
  <c r="AC414" i="16" s="1"/>
  <c r="V414" i="16"/>
  <c r="AB414" i="16" s="1"/>
  <c r="X413" i="16"/>
  <c r="AD413" i="16" s="1"/>
  <c r="W413" i="16"/>
  <c r="AC413" i="16" s="1"/>
  <c r="V413" i="16"/>
  <c r="AB413" i="16" s="1"/>
  <c r="X412" i="16"/>
  <c r="AD412" i="16" s="1"/>
  <c r="W412" i="16"/>
  <c r="AC412" i="16" s="1"/>
  <c r="V412" i="16"/>
  <c r="AB412" i="16" s="1"/>
  <c r="X411" i="16"/>
  <c r="AD411" i="16" s="1"/>
  <c r="W411" i="16"/>
  <c r="AC411" i="16" s="1"/>
  <c r="V411" i="16"/>
  <c r="AB411" i="16" s="1"/>
  <c r="X410" i="16"/>
  <c r="AD410" i="16" s="1"/>
  <c r="W410" i="16"/>
  <c r="AC410" i="16" s="1"/>
  <c r="V410" i="16"/>
  <c r="AB410" i="16" s="1"/>
  <c r="X409" i="16"/>
  <c r="AD409" i="16" s="1"/>
  <c r="W409" i="16"/>
  <c r="AC409" i="16" s="1"/>
  <c r="V409" i="16"/>
  <c r="AB409" i="16" s="1"/>
  <c r="X408" i="16"/>
  <c r="AD408" i="16" s="1"/>
  <c r="W408" i="16"/>
  <c r="AC408" i="16" s="1"/>
  <c r="V408" i="16"/>
  <c r="AB408" i="16" s="1"/>
  <c r="X407" i="16"/>
  <c r="AD407" i="16" s="1"/>
  <c r="W407" i="16"/>
  <c r="AC407" i="16" s="1"/>
  <c r="V407" i="16"/>
  <c r="AB407" i="16" s="1"/>
  <c r="X406" i="16"/>
  <c r="AD406" i="16" s="1"/>
  <c r="W406" i="16"/>
  <c r="AC406" i="16" s="1"/>
  <c r="V406" i="16"/>
  <c r="AB406" i="16" s="1"/>
  <c r="X405" i="16"/>
  <c r="AD405" i="16" s="1"/>
  <c r="W405" i="16"/>
  <c r="AC405" i="16" s="1"/>
  <c r="V405" i="16"/>
  <c r="AB405" i="16" s="1"/>
  <c r="X404" i="16"/>
  <c r="AD404" i="16" s="1"/>
  <c r="W404" i="16"/>
  <c r="AC404" i="16" s="1"/>
  <c r="V404" i="16"/>
  <c r="AB404" i="16" s="1"/>
  <c r="X403" i="16"/>
  <c r="AD403" i="16" s="1"/>
  <c r="W403" i="16"/>
  <c r="AC403" i="16" s="1"/>
  <c r="V403" i="16"/>
  <c r="AB403" i="16" s="1"/>
  <c r="X402" i="16"/>
  <c r="AD402" i="16" s="1"/>
  <c r="W402" i="16"/>
  <c r="AC402" i="16" s="1"/>
  <c r="V402" i="16"/>
  <c r="AB402" i="16" s="1"/>
  <c r="X401" i="16"/>
  <c r="AD401" i="16" s="1"/>
  <c r="W401" i="16"/>
  <c r="AC401" i="16" s="1"/>
  <c r="V401" i="16"/>
  <c r="AB401" i="16" s="1"/>
  <c r="X400" i="16"/>
  <c r="AD400" i="16" s="1"/>
  <c r="W400" i="16"/>
  <c r="AC400" i="16" s="1"/>
  <c r="V400" i="16"/>
  <c r="AB400" i="16" s="1"/>
  <c r="X399" i="16"/>
  <c r="AD399" i="16" s="1"/>
  <c r="W399" i="16"/>
  <c r="AC399" i="16" s="1"/>
  <c r="V399" i="16"/>
  <c r="AB399" i="16" s="1"/>
  <c r="X398" i="16"/>
  <c r="AD398" i="16" s="1"/>
  <c r="W398" i="16"/>
  <c r="AC398" i="16" s="1"/>
  <c r="V398" i="16"/>
  <c r="AB398" i="16" s="1"/>
  <c r="X397" i="16"/>
  <c r="AD397" i="16" s="1"/>
  <c r="W397" i="16"/>
  <c r="AC397" i="16" s="1"/>
  <c r="V397" i="16"/>
  <c r="AB397" i="16" s="1"/>
  <c r="X396" i="16"/>
  <c r="AD396" i="16" s="1"/>
  <c r="W396" i="16"/>
  <c r="AC396" i="16" s="1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AC394" i="16" s="1"/>
  <c r="V394" i="16"/>
  <c r="AB394" i="16" s="1"/>
  <c r="X393" i="16"/>
  <c r="AD393" i="16" s="1"/>
  <c r="W393" i="16"/>
  <c r="AC393" i="16" s="1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AB388" i="16" s="1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AB385" i="16" s="1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AB383" i="16" s="1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AD378" i="16" s="1"/>
  <c r="W378" i="16"/>
  <c r="AC378" i="16" s="1"/>
  <c r="V378" i="16"/>
  <c r="AB378" i="16" s="1"/>
  <c r="X377" i="16"/>
  <c r="AD377" i="16" s="1"/>
  <c r="W377" i="16"/>
  <c r="AC377" i="16" s="1"/>
  <c r="V377" i="16"/>
  <c r="AB377" i="16" s="1"/>
  <c r="X376" i="16"/>
  <c r="AD376" i="16" s="1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AD373" i="16" s="1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AD368" i="16" s="1"/>
  <c r="W368" i="16"/>
  <c r="AC368" i="16" s="1"/>
  <c r="V368" i="16"/>
  <c r="AB368" i="16" s="1"/>
  <c r="X367" i="16"/>
  <c r="AD367" i="16" s="1"/>
  <c r="W367" i="16"/>
  <c r="AC367" i="16" s="1"/>
  <c r="V367" i="16"/>
  <c r="AB367" i="16" s="1"/>
  <c r="X366" i="16"/>
  <c r="AD366" i="16" s="1"/>
  <c r="W366" i="16"/>
  <c r="AC366" i="16" s="1"/>
  <c r="V366" i="16"/>
  <c r="AB366" i="16" s="1"/>
  <c r="X365" i="16"/>
  <c r="AD365" i="16" s="1"/>
  <c r="W365" i="16"/>
  <c r="AC365" i="16" s="1"/>
  <c r="V365" i="16"/>
  <c r="AB365" i="16" s="1"/>
  <c r="X364" i="16"/>
  <c r="AD364" i="16" s="1"/>
  <c r="W364" i="16"/>
  <c r="AC364" i="16" s="1"/>
  <c r="V364" i="16"/>
  <c r="AB364" i="16" s="1"/>
  <c r="X363" i="16"/>
  <c r="AD363" i="16" s="1"/>
  <c r="W363" i="16"/>
  <c r="AC363" i="16" s="1"/>
  <c r="V363" i="16"/>
  <c r="AB363" i="16" s="1"/>
  <c r="X362" i="16"/>
  <c r="AD362" i="16" s="1"/>
  <c r="W362" i="16"/>
  <c r="AC362" i="16" s="1"/>
  <c r="V362" i="16"/>
  <c r="AB362" i="16" s="1"/>
  <c r="X361" i="16"/>
  <c r="AD361" i="16" s="1"/>
  <c r="W361" i="16"/>
  <c r="AC361" i="16" s="1"/>
  <c r="V361" i="16"/>
  <c r="AB361" i="16" s="1"/>
  <c r="X360" i="16"/>
  <c r="AD360" i="16" s="1"/>
  <c r="W360" i="16"/>
  <c r="AC360" i="16" s="1"/>
  <c r="V360" i="16"/>
  <c r="AB360" i="16" s="1"/>
  <c r="X359" i="16"/>
  <c r="AD359" i="16" s="1"/>
  <c r="W359" i="16"/>
  <c r="AC359" i="16" s="1"/>
  <c r="V359" i="16"/>
  <c r="AB359" i="16" s="1"/>
  <c r="X358" i="16"/>
  <c r="AD358" i="16" s="1"/>
  <c r="W358" i="16"/>
  <c r="AC358" i="16" s="1"/>
  <c r="V358" i="16"/>
  <c r="AB358" i="16" s="1"/>
  <c r="X357" i="16"/>
  <c r="AD357" i="16" s="1"/>
  <c r="W357" i="16"/>
  <c r="AC357" i="16" s="1"/>
  <c r="V357" i="16"/>
  <c r="AB357" i="16" s="1"/>
  <c r="X356" i="16"/>
  <c r="AD356" i="16" s="1"/>
  <c r="W356" i="16"/>
  <c r="AC356" i="16" s="1"/>
  <c r="V356" i="16"/>
  <c r="AB356" i="16" s="1"/>
  <c r="X355" i="16"/>
  <c r="AD355" i="16" s="1"/>
  <c r="W355" i="16"/>
  <c r="AC355" i="16" s="1"/>
  <c r="V355" i="16"/>
  <c r="AB355" i="16" s="1"/>
  <c r="X354" i="16"/>
  <c r="AD354" i="16" s="1"/>
  <c r="W354" i="16"/>
  <c r="AC354" i="16" s="1"/>
  <c r="V354" i="16"/>
  <c r="AB354" i="16" s="1"/>
  <c r="X353" i="16"/>
  <c r="AD353" i="16" s="1"/>
  <c r="W353" i="16"/>
  <c r="AC353" i="16" s="1"/>
  <c r="V353" i="16"/>
  <c r="AB353" i="16" s="1"/>
  <c r="X352" i="16"/>
  <c r="AD352" i="16" s="1"/>
  <c r="W352" i="16"/>
  <c r="AC352" i="16" s="1"/>
  <c r="V352" i="16"/>
  <c r="AB352" i="16" s="1"/>
  <c r="X351" i="16"/>
  <c r="AD351" i="16" s="1"/>
  <c r="W351" i="16"/>
  <c r="AC351" i="16" s="1"/>
  <c r="V351" i="16"/>
  <c r="AB351" i="16" s="1"/>
  <c r="X350" i="16"/>
  <c r="AD350" i="16" s="1"/>
  <c r="W350" i="16"/>
  <c r="AC350" i="16" s="1"/>
  <c r="V350" i="16"/>
  <c r="AB350" i="16" s="1"/>
  <c r="X349" i="16"/>
  <c r="AD349" i="16" s="1"/>
  <c r="W349" i="16"/>
  <c r="AC349" i="16" s="1"/>
  <c r="V349" i="16"/>
  <c r="AB349" i="16" s="1"/>
  <c r="X348" i="16"/>
  <c r="AD348" i="16" s="1"/>
  <c r="W348" i="16"/>
  <c r="AC348" i="16" s="1"/>
  <c r="V348" i="16"/>
  <c r="AB348" i="16" s="1"/>
  <c r="X347" i="16"/>
  <c r="AD347" i="16" s="1"/>
  <c r="W347" i="16"/>
  <c r="AC347" i="16" s="1"/>
  <c r="V347" i="16"/>
  <c r="AB347" i="16" s="1"/>
  <c r="X346" i="16"/>
  <c r="AD346" i="16" s="1"/>
  <c r="W346" i="16"/>
  <c r="AC346" i="16" s="1"/>
  <c r="V346" i="16"/>
  <c r="AB346" i="16" s="1"/>
  <c r="X345" i="16"/>
  <c r="AD345" i="16" s="1"/>
  <c r="W345" i="16"/>
  <c r="AC345" i="16" s="1"/>
  <c r="V345" i="16"/>
  <c r="AB345" i="16" s="1"/>
  <c r="X344" i="16"/>
  <c r="AD344" i="16" s="1"/>
  <c r="W344" i="16"/>
  <c r="AC344" i="16" s="1"/>
  <c r="V344" i="16"/>
  <c r="AB344" i="16" s="1"/>
  <c r="X343" i="16"/>
  <c r="AD343" i="16" s="1"/>
  <c r="W343" i="16"/>
  <c r="AC343" i="16" s="1"/>
  <c r="V343" i="16"/>
  <c r="AB343" i="16" s="1"/>
  <c r="X342" i="16"/>
  <c r="AD342" i="16" s="1"/>
  <c r="W342" i="16"/>
  <c r="AC342" i="16" s="1"/>
  <c r="V342" i="16"/>
  <c r="AB342" i="16" s="1"/>
  <c r="X341" i="16"/>
  <c r="AD341" i="16" s="1"/>
  <c r="W341" i="16"/>
  <c r="AC341" i="16" s="1"/>
  <c r="V341" i="16"/>
  <c r="AB341" i="16" s="1"/>
  <c r="X340" i="16"/>
  <c r="AD340" i="16" s="1"/>
  <c r="W340" i="16"/>
  <c r="AC340" i="16" s="1"/>
  <c r="V340" i="16"/>
  <c r="AB340" i="16" s="1"/>
  <c r="X339" i="16"/>
  <c r="AD339" i="16" s="1"/>
  <c r="W339" i="16"/>
  <c r="AC339" i="16" s="1"/>
  <c r="V339" i="16"/>
  <c r="AB339" i="16" s="1"/>
  <c r="X338" i="16"/>
  <c r="AD338" i="16" s="1"/>
  <c r="W338" i="16"/>
  <c r="AC338" i="16" s="1"/>
  <c r="V338" i="16"/>
  <c r="AB338" i="16" s="1"/>
  <c r="X337" i="16"/>
  <c r="AD337" i="16" s="1"/>
  <c r="W337" i="16"/>
  <c r="AC337" i="16" s="1"/>
  <c r="V337" i="16"/>
  <c r="AB337" i="16" s="1"/>
  <c r="X336" i="16"/>
  <c r="AD336" i="16" s="1"/>
  <c r="W336" i="16"/>
  <c r="AC336" i="16" s="1"/>
  <c r="V336" i="16"/>
  <c r="AB336" i="16" s="1"/>
  <c r="X335" i="16"/>
  <c r="AD335" i="16" s="1"/>
  <c r="W335" i="16"/>
  <c r="AC335" i="16" s="1"/>
  <c r="V335" i="16"/>
  <c r="AB335" i="16" s="1"/>
  <c r="X334" i="16"/>
  <c r="AD334" i="16" s="1"/>
  <c r="W334" i="16"/>
  <c r="AC334" i="16" s="1"/>
  <c r="V334" i="16"/>
  <c r="AB334" i="16" s="1"/>
  <c r="X333" i="16"/>
  <c r="AD333" i="16" s="1"/>
  <c r="W333" i="16"/>
  <c r="AC333" i="16" s="1"/>
  <c r="V333" i="16"/>
  <c r="AB333" i="16" s="1"/>
  <c r="X332" i="16"/>
  <c r="AD332" i="16" s="1"/>
  <c r="W332" i="16"/>
  <c r="AC332" i="16" s="1"/>
  <c r="V332" i="16"/>
  <c r="AB332" i="16" s="1"/>
  <c r="X331" i="16"/>
  <c r="AD331" i="16" s="1"/>
  <c r="W331" i="16"/>
  <c r="AC331" i="16" s="1"/>
  <c r="V331" i="16"/>
  <c r="AB331" i="16" s="1"/>
  <c r="X330" i="16"/>
  <c r="AD330" i="16" s="1"/>
  <c r="W330" i="16"/>
  <c r="AC330" i="16" s="1"/>
  <c r="V330" i="16"/>
  <c r="AB330" i="16" s="1"/>
  <c r="X329" i="16"/>
  <c r="AD329" i="16" s="1"/>
  <c r="W329" i="16"/>
  <c r="AC329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AC300" i="16" s="1"/>
  <c r="V300" i="16"/>
  <c r="AB300" i="16" s="1"/>
  <c r="X299" i="16"/>
  <c r="AD299" i="16" s="1"/>
  <c r="W299" i="16"/>
  <c r="AC299" i="16" s="1"/>
  <c r="V299" i="16"/>
  <c r="AB299" i="16" s="1"/>
  <c r="X298" i="16"/>
  <c r="AD298" i="16" s="1"/>
  <c r="W298" i="16"/>
  <c r="AC298" i="16" s="1"/>
  <c r="V298" i="16"/>
  <c r="AB298" i="16" s="1"/>
  <c r="X297" i="16"/>
  <c r="AD297" i="16" s="1"/>
  <c r="W297" i="16"/>
  <c r="AC297" i="16" s="1"/>
  <c r="V297" i="16"/>
  <c r="AB297" i="16" s="1"/>
  <c r="X296" i="16"/>
  <c r="AD296" i="16" s="1"/>
  <c r="W296" i="16"/>
  <c r="AC296" i="16" s="1"/>
  <c r="V296" i="16"/>
  <c r="AB296" i="16" s="1"/>
  <c r="X295" i="16"/>
  <c r="AD295" i="16" s="1"/>
  <c r="W295" i="16"/>
  <c r="AC295" i="16" s="1"/>
  <c r="V295" i="16"/>
  <c r="AB295" i="16" s="1"/>
  <c r="X294" i="16"/>
  <c r="AD294" i="16" s="1"/>
  <c r="W294" i="16"/>
  <c r="AC294" i="16" s="1"/>
  <c r="V294" i="16"/>
  <c r="AB294" i="16" s="1"/>
  <c r="X293" i="16"/>
  <c r="AD293" i="16" s="1"/>
  <c r="W293" i="16"/>
  <c r="AC293" i="16" s="1"/>
  <c r="V293" i="16"/>
  <c r="AB293" i="16" s="1"/>
  <c r="X292" i="16"/>
  <c r="AD292" i="16" s="1"/>
  <c r="W292" i="16"/>
  <c r="AC292" i="16" s="1"/>
  <c r="V292" i="16"/>
  <c r="AB292" i="16" s="1"/>
  <c r="X291" i="16"/>
  <c r="AD291" i="16" s="1"/>
  <c r="W291" i="16"/>
  <c r="AC291" i="16" s="1"/>
  <c r="V291" i="16"/>
  <c r="AB291" i="16" s="1"/>
  <c r="X290" i="16"/>
  <c r="AD290" i="16" s="1"/>
  <c r="W290" i="16"/>
  <c r="AC290" i="16" s="1"/>
  <c r="V290" i="16"/>
  <c r="AB290" i="16" s="1"/>
  <c r="X289" i="16"/>
  <c r="AD289" i="16" s="1"/>
  <c r="W289" i="16"/>
  <c r="AC289" i="16" s="1"/>
  <c r="V289" i="16"/>
  <c r="AB289" i="16" s="1"/>
  <c r="X288" i="16"/>
  <c r="AD288" i="16" s="1"/>
  <c r="W288" i="16"/>
  <c r="AC288" i="16" s="1"/>
  <c r="V288" i="16"/>
  <c r="AB288" i="16" s="1"/>
  <c r="X287" i="16"/>
  <c r="AD287" i="16" s="1"/>
  <c r="W287" i="16"/>
  <c r="AC287" i="16" s="1"/>
  <c r="V287" i="16"/>
  <c r="AB287" i="16" s="1"/>
  <c r="X286" i="16"/>
  <c r="AD286" i="16" s="1"/>
  <c r="W286" i="16"/>
  <c r="AC286" i="16" s="1"/>
  <c r="V286" i="16"/>
  <c r="AB286" i="16" s="1"/>
  <c r="X285" i="16"/>
  <c r="AD285" i="16" s="1"/>
  <c r="W285" i="16"/>
  <c r="AC285" i="16" s="1"/>
  <c r="V285" i="16"/>
  <c r="AB285" i="16" s="1"/>
  <c r="X284" i="16"/>
  <c r="AD284" i="16" s="1"/>
  <c r="W284" i="16"/>
  <c r="AC284" i="16" s="1"/>
  <c r="V284" i="16"/>
  <c r="AB284" i="16" s="1"/>
  <c r="X283" i="16"/>
  <c r="AD283" i="16" s="1"/>
  <c r="W283" i="16"/>
  <c r="AC283" i="16" s="1"/>
  <c r="V283" i="16"/>
  <c r="AB283" i="16" s="1"/>
  <c r="X282" i="16"/>
  <c r="AD282" i="16" s="1"/>
  <c r="W282" i="16"/>
  <c r="AC282" i="16" s="1"/>
  <c r="V282" i="16"/>
  <c r="AB282" i="16" s="1"/>
  <c r="X281" i="16"/>
  <c r="AD281" i="16" s="1"/>
  <c r="W281" i="16"/>
  <c r="AC281" i="16" s="1"/>
  <c r="V281" i="16"/>
  <c r="AB281" i="16" s="1"/>
  <c r="X280" i="16"/>
  <c r="AD280" i="16" s="1"/>
  <c r="W280" i="16"/>
  <c r="AC280" i="16" s="1"/>
  <c r="V280" i="16"/>
  <c r="AB280" i="16" s="1"/>
  <c r="X279" i="16"/>
  <c r="AD279" i="16" s="1"/>
  <c r="W279" i="16"/>
  <c r="AC279" i="16" s="1"/>
  <c r="V279" i="16"/>
  <c r="AB279" i="16" s="1"/>
  <c r="X278" i="16"/>
  <c r="AD278" i="16" s="1"/>
  <c r="W278" i="16"/>
  <c r="AC278" i="16" s="1"/>
  <c r="V278" i="16"/>
  <c r="AB278" i="16" s="1"/>
  <c r="X277" i="16"/>
  <c r="AD277" i="16" s="1"/>
  <c r="W277" i="16"/>
  <c r="AC277" i="16" s="1"/>
  <c r="V277" i="16"/>
  <c r="AB277" i="16" s="1"/>
  <c r="X276" i="16"/>
  <c r="AD276" i="16" s="1"/>
  <c r="W276" i="16"/>
  <c r="AC276" i="16" s="1"/>
  <c r="V276" i="16"/>
  <c r="AB276" i="16" s="1"/>
  <c r="X275" i="16"/>
  <c r="AD275" i="16" s="1"/>
  <c r="W275" i="16"/>
  <c r="AC275" i="16" s="1"/>
  <c r="V275" i="16"/>
  <c r="AB275" i="16" s="1"/>
  <c r="X274" i="16"/>
  <c r="AD274" i="16" s="1"/>
  <c r="W274" i="16"/>
  <c r="AC274" i="16" s="1"/>
  <c r="V274" i="16"/>
  <c r="AB274" i="16" s="1"/>
  <c r="X273" i="16"/>
  <c r="AD273" i="16" s="1"/>
  <c r="W273" i="16"/>
  <c r="AC273" i="16" s="1"/>
  <c r="V273" i="16"/>
  <c r="AB273" i="16" s="1"/>
  <c r="X272" i="16"/>
  <c r="AD272" i="16" s="1"/>
  <c r="W272" i="16"/>
  <c r="AC272" i="16" s="1"/>
  <c r="V272" i="16"/>
  <c r="AB272" i="16" s="1"/>
  <c r="X271" i="16"/>
  <c r="AD271" i="16" s="1"/>
  <c r="W271" i="16"/>
  <c r="AC271" i="16" s="1"/>
  <c r="V271" i="16"/>
  <c r="AB271" i="16" s="1"/>
  <c r="X270" i="16"/>
  <c r="AD270" i="16" s="1"/>
  <c r="W270" i="16"/>
  <c r="AC270" i="16" s="1"/>
  <c r="V270" i="16"/>
  <c r="AB270" i="16" s="1"/>
  <c r="X269" i="16"/>
  <c r="AD269" i="16" s="1"/>
  <c r="W269" i="16"/>
  <c r="AC269" i="16" s="1"/>
  <c r="V269" i="16"/>
  <c r="AB269" i="16" s="1"/>
  <c r="X268" i="16"/>
  <c r="AD268" i="16" s="1"/>
  <c r="W268" i="16"/>
  <c r="AC268" i="16" s="1"/>
  <c r="V268" i="16"/>
  <c r="AB268" i="16" s="1"/>
  <c r="X267" i="16"/>
  <c r="AD267" i="16" s="1"/>
  <c r="W267" i="16"/>
  <c r="AC267" i="16" s="1"/>
  <c r="V267" i="16"/>
  <c r="AB267" i="16" s="1"/>
  <c r="X266" i="16"/>
  <c r="AD266" i="16" s="1"/>
  <c r="W266" i="16"/>
  <c r="AC266" i="16" s="1"/>
  <c r="V266" i="16"/>
  <c r="AB266" i="16" s="1"/>
  <c r="X265" i="16"/>
  <c r="AD265" i="16" s="1"/>
  <c r="W265" i="16"/>
  <c r="AC265" i="16" s="1"/>
  <c r="V265" i="16"/>
  <c r="AB265" i="16" s="1"/>
  <c r="X264" i="16"/>
  <c r="AD264" i="16" s="1"/>
  <c r="W264" i="16"/>
  <c r="AC264" i="16" s="1"/>
  <c r="V264" i="16"/>
  <c r="AB264" i="16" s="1"/>
  <c r="X263" i="16"/>
  <c r="AD263" i="16" s="1"/>
  <c r="W263" i="16"/>
  <c r="AC263" i="16" s="1"/>
  <c r="V263" i="16"/>
  <c r="AB263" i="16" s="1"/>
  <c r="X262" i="16"/>
  <c r="AD262" i="16" s="1"/>
  <c r="W262" i="16"/>
  <c r="AC262" i="16" s="1"/>
  <c r="V262" i="16"/>
  <c r="AB262" i="16" s="1"/>
  <c r="X261" i="16"/>
  <c r="AD261" i="16" s="1"/>
  <c r="W261" i="16"/>
  <c r="AC261" i="16" s="1"/>
  <c r="V261" i="16"/>
  <c r="AB261" i="16" s="1"/>
  <c r="X260" i="16"/>
  <c r="AD260" i="16" s="1"/>
  <c r="W260" i="16"/>
  <c r="AC260" i="16" s="1"/>
  <c r="V260" i="16"/>
  <c r="AB260" i="16" s="1"/>
  <c r="X259" i="16"/>
  <c r="AD259" i="16" s="1"/>
  <c r="W259" i="16"/>
  <c r="AC259" i="16" s="1"/>
  <c r="V259" i="16"/>
  <c r="AB259" i="16" s="1"/>
  <c r="X258" i="16"/>
  <c r="AD258" i="16" s="1"/>
  <c r="W258" i="16"/>
  <c r="AC258" i="16" s="1"/>
  <c r="V258" i="16"/>
  <c r="AB258" i="16" s="1"/>
  <c r="X257" i="16"/>
  <c r="AD257" i="16" s="1"/>
  <c r="W257" i="16"/>
  <c r="AC257" i="16" s="1"/>
  <c r="V257" i="16"/>
  <c r="AB257" i="16" s="1"/>
  <c r="X256" i="16"/>
  <c r="AD256" i="16" s="1"/>
  <c r="W256" i="16"/>
  <c r="AC256" i="16" s="1"/>
  <c r="V256" i="16"/>
  <c r="AB256" i="16" s="1"/>
  <c r="X255" i="16"/>
  <c r="AD255" i="16" s="1"/>
  <c r="W255" i="16"/>
  <c r="AC255" i="16" s="1"/>
  <c r="V255" i="16"/>
  <c r="AB255" i="16" s="1"/>
  <c r="X254" i="16"/>
  <c r="AD254" i="16" s="1"/>
  <c r="W254" i="16"/>
  <c r="AC254" i="16" s="1"/>
  <c r="V254" i="16"/>
  <c r="AB254" i="16" s="1"/>
  <c r="X253" i="16"/>
  <c r="AD253" i="16" s="1"/>
  <c r="W253" i="16"/>
  <c r="AC253" i="16" s="1"/>
  <c r="V253" i="16"/>
  <c r="AB253" i="16" s="1"/>
  <c r="X252" i="16"/>
  <c r="AD252" i="16" s="1"/>
  <c r="W252" i="16"/>
  <c r="AC252" i="16" s="1"/>
  <c r="V252" i="16"/>
  <c r="AB252" i="16" s="1"/>
  <c r="X251" i="16"/>
  <c r="AD251" i="16" s="1"/>
  <c r="W251" i="16"/>
  <c r="AC251" i="16" s="1"/>
  <c r="V251" i="16"/>
  <c r="AB251" i="16" s="1"/>
  <c r="X250" i="16"/>
  <c r="AD250" i="16" s="1"/>
  <c r="W250" i="16"/>
  <c r="AC250" i="16" s="1"/>
  <c r="V250" i="16"/>
  <c r="AB250" i="16" s="1"/>
  <c r="X249" i="16"/>
  <c r="AD249" i="16" s="1"/>
  <c r="W249" i="16"/>
  <c r="AC249" i="16" s="1"/>
  <c r="V249" i="16"/>
  <c r="AB249" i="16" s="1"/>
  <c r="X248" i="16"/>
  <c r="AD248" i="16" s="1"/>
  <c r="W248" i="16"/>
  <c r="AC248" i="16" s="1"/>
  <c r="V248" i="16"/>
  <c r="AB248" i="16" s="1"/>
  <c r="X247" i="16"/>
  <c r="AD247" i="16" s="1"/>
  <c r="W247" i="16"/>
  <c r="AC247" i="16" s="1"/>
  <c r="V247" i="16"/>
  <c r="AB247" i="16" s="1"/>
  <c r="X246" i="16"/>
  <c r="AD246" i="16" s="1"/>
  <c r="W246" i="16"/>
  <c r="AC246" i="16" s="1"/>
  <c r="V246" i="16"/>
  <c r="AB246" i="16" s="1"/>
  <c r="X245" i="16"/>
  <c r="AD245" i="16" s="1"/>
  <c r="W245" i="16"/>
  <c r="AC245" i="16" s="1"/>
  <c r="V245" i="16"/>
  <c r="AB245" i="16" s="1"/>
  <c r="X244" i="16"/>
  <c r="AD244" i="16" s="1"/>
  <c r="W244" i="16"/>
  <c r="AC244" i="16" s="1"/>
  <c r="V244" i="16"/>
  <c r="AB244" i="16" s="1"/>
  <c r="X243" i="16"/>
  <c r="AD243" i="16" s="1"/>
  <c r="W243" i="16"/>
  <c r="AC243" i="16" s="1"/>
  <c r="V243" i="16"/>
  <c r="AB243" i="16" s="1"/>
  <c r="X242" i="16"/>
  <c r="AD242" i="16" s="1"/>
  <c r="W242" i="16"/>
  <c r="AC242" i="16" s="1"/>
  <c r="V242" i="16"/>
  <c r="AB242" i="16" s="1"/>
  <c r="X241" i="16"/>
  <c r="AD241" i="16" s="1"/>
  <c r="W241" i="16"/>
  <c r="AC241" i="16" s="1"/>
  <c r="V241" i="16"/>
  <c r="AB241" i="16" s="1"/>
  <c r="X240" i="16"/>
  <c r="AD240" i="16" s="1"/>
  <c r="W240" i="16"/>
  <c r="AC240" i="16" s="1"/>
  <c r="V240" i="16"/>
  <c r="AB240" i="16" s="1"/>
  <c r="X239" i="16"/>
  <c r="AD239" i="16" s="1"/>
  <c r="W239" i="16"/>
  <c r="AC239" i="16" s="1"/>
  <c r="V239" i="16"/>
  <c r="AB239" i="16" s="1"/>
  <c r="X238" i="16"/>
  <c r="AD238" i="16" s="1"/>
  <c r="W238" i="16"/>
  <c r="AC238" i="16" s="1"/>
  <c r="V238" i="16"/>
  <c r="AB238" i="16" s="1"/>
  <c r="X237" i="16"/>
  <c r="AD237" i="16" s="1"/>
  <c r="W237" i="16"/>
  <c r="AC237" i="16" s="1"/>
  <c r="V237" i="16"/>
  <c r="AB237" i="16" s="1"/>
  <c r="X236" i="16"/>
  <c r="AD236" i="16" s="1"/>
  <c r="W236" i="16"/>
  <c r="AC236" i="16" s="1"/>
  <c r="V236" i="16"/>
  <c r="AB236" i="16" s="1"/>
  <c r="X235" i="16"/>
  <c r="AD235" i="16" s="1"/>
  <c r="W235" i="16"/>
  <c r="AC235" i="16" s="1"/>
  <c r="V235" i="16"/>
  <c r="AB235" i="16" s="1"/>
  <c r="X234" i="16"/>
  <c r="AD234" i="16" s="1"/>
  <c r="W234" i="16"/>
  <c r="AC234" i="16" s="1"/>
  <c r="V234" i="16"/>
  <c r="AB234" i="16" s="1"/>
  <c r="X233" i="16"/>
  <c r="AD233" i="16" s="1"/>
  <c r="W233" i="16"/>
  <c r="AC233" i="16" s="1"/>
  <c r="V233" i="16"/>
  <c r="AB233" i="16" s="1"/>
  <c r="X232" i="16"/>
  <c r="AD232" i="16" s="1"/>
  <c r="W232" i="16"/>
  <c r="AC232" i="16" s="1"/>
  <c r="V232" i="16"/>
  <c r="AB232" i="16" s="1"/>
  <c r="X231" i="16"/>
  <c r="AD231" i="16" s="1"/>
  <c r="W231" i="16"/>
  <c r="AC231" i="16" s="1"/>
  <c r="V231" i="16"/>
  <c r="AB231" i="16" s="1"/>
  <c r="X230" i="16"/>
  <c r="AD230" i="16" s="1"/>
  <c r="W230" i="16"/>
  <c r="AC230" i="16" s="1"/>
  <c r="V230" i="16"/>
  <c r="AB230" i="16" s="1"/>
  <c r="X229" i="16"/>
  <c r="AD229" i="16" s="1"/>
  <c r="W229" i="16"/>
  <c r="AC229" i="16" s="1"/>
  <c r="V229" i="16"/>
  <c r="AB229" i="16" s="1"/>
  <c r="X228" i="16"/>
  <c r="AD228" i="16" s="1"/>
  <c r="W228" i="16"/>
  <c r="AC228" i="16" s="1"/>
  <c r="V228" i="16"/>
  <c r="AB228" i="16" s="1"/>
  <c r="X227" i="16"/>
  <c r="AD227" i="16" s="1"/>
  <c r="W227" i="16"/>
  <c r="AC227" i="16" s="1"/>
  <c r="V227" i="16"/>
  <c r="AB227" i="16" s="1"/>
  <c r="X226" i="16"/>
  <c r="AD226" i="16" s="1"/>
  <c r="W226" i="16"/>
  <c r="AC226" i="16" s="1"/>
  <c r="V226" i="16"/>
  <c r="AB226" i="16" s="1"/>
  <c r="X225" i="16"/>
  <c r="AD225" i="16" s="1"/>
  <c r="W225" i="16"/>
  <c r="AC225" i="16" s="1"/>
  <c r="V225" i="16"/>
  <c r="AB225" i="16" s="1"/>
  <c r="X224" i="16"/>
  <c r="AD224" i="16" s="1"/>
  <c r="W224" i="16"/>
  <c r="AC224" i="16" s="1"/>
  <c r="V224" i="16"/>
  <c r="AB224" i="16" s="1"/>
  <c r="X223" i="16"/>
  <c r="AD223" i="16" s="1"/>
  <c r="W223" i="16"/>
  <c r="AC223" i="16" s="1"/>
  <c r="V223" i="16"/>
  <c r="AB223" i="16" s="1"/>
  <c r="X222" i="16"/>
  <c r="AD222" i="16" s="1"/>
  <c r="W222" i="16"/>
  <c r="AC222" i="16" s="1"/>
  <c r="V222" i="16"/>
  <c r="AB222" i="16" s="1"/>
  <c r="X221" i="16"/>
  <c r="AD221" i="16" s="1"/>
  <c r="W221" i="16"/>
  <c r="AC221" i="16" s="1"/>
  <c r="V221" i="16"/>
  <c r="AB221" i="16" s="1"/>
  <c r="X220" i="16"/>
  <c r="AD220" i="16" s="1"/>
  <c r="W220" i="16"/>
  <c r="AC220" i="16" s="1"/>
  <c r="V220" i="16"/>
  <c r="AB220" i="16" s="1"/>
  <c r="X219" i="16"/>
  <c r="AD219" i="16" s="1"/>
  <c r="W219" i="16"/>
  <c r="AC219" i="16" s="1"/>
  <c r="V219" i="16"/>
  <c r="AB219" i="16" s="1"/>
  <c r="X218" i="16"/>
  <c r="AD218" i="16" s="1"/>
  <c r="W218" i="16"/>
  <c r="AC218" i="16" s="1"/>
  <c r="V218" i="16"/>
  <c r="AB218" i="16" s="1"/>
  <c r="X217" i="16"/>
  <c r="AD217" i="16" s="1"/>
  <c r="W217" i="16"/>
  <c r="AC217" i="16" s="1"/>
  <c r="V217" i="16"/>
  <c r="AB217" i="16" s="1"/>
  <c r="X216" i="16"/>
  <c r="AD216" i="16" s="1"/>
  <c r="W216" i="16"/>
  <c r="AC216" i="16" s="1"/>
  <c r="V216" i="16"/>
  <c r="AB216" i="16" s="1"/>
  <c r="X215" i="16"/>
  <c r="AD215" i="16" s="1"/>
  <c r="W215" i="16"/>
  <c r="AC215" i="16" s="1"/>
  <c r="V215" i="16"/>
  <c r="AB215" i="16" s="1"/>
  <c r="X214" i="16"/>
  <c r="AD214" i="16" s="1"/>
  <c r="W214" i="16"/>
  <c r="AC214" i="16" s="1"/>
  <c r="V214" i="16"/>
  <c r="AB214" i="16" s="1"/>
  <c r="X213" i="16"/>
  <c r="AD213" i="16" s="1"/>
  <c r="W213" i="16"/>
  <c r="AC213" i="16" s="1"/>
  <c r="V213" i="16"/>
  <c r="AB213" i="16" s="1"/>
  <c r="X212" i="16"/>
  <c r="AD212" i="16" s="1"/>
  <c r="W212" i="16"/>
  <c r="AC212" i="16" s="1"/>
  <c r="V212" i="16"/>
  <c r="AB212" i="16" s="1"/>
  <c r="X211" i="16"/>
  <c r="AD211" i="16" s="1"/>
  <c r="W211" i="16"/>
  <c r="AC211" i="16" s="1"/>
  <c r="V211" i="16"/>
  <c r="AB211" i="16" s="1"/>
  <c r="X210" i="16"/>
  <c r="AD210" i="16" s="1"/>
  <c r="W210" i="16"/>
  <c r="AC210" i="16" s="1"/>
  <c r="V210" i="16"/>
  <c r="AB210" i="16" s="1"/>
  <c r="X209" i="16"/>
  <c r="AD209" i="16" s="1"/>
  <c r="W209" i="16"/>
  <c r="AC209" i="16" s="1"/>
  <c r="V209" i="16"/>
  <c r="AB209" i="16" s="1"/>
  <c r="X208" i="16"/>
  <c r="AD208" i="16" s="1"/>
  <c r="W208" i="16"/>
  <c r="AC208" i="16" s="1"/>
  <c r="V208" i="16"/>
  <c r="AB208" i="16" s="1"/>
  <c r="X207" i="16"/>
  <c r="AD207" i="16" s="1"/>
  <c r="W207" i="16"/>
  <c r="AC207" i="16" s="1"/>
  <c r="V207" i="16"/>
  <c r="AB207" i="16" s="1"/>
  <c r="X206" i="16"/>
  <c r="AD206" i="16" s="1"/>
  <c r="W206" i="16"/>
  <c r="AC206" i="16" s="1"/>
  <c r="V206" i="16"/>
  <c r="AB206" i="16" s="1"/>
  <c r="X205" i="16"/>
  <c r="AD205" i="16" s="1"/>
  <c r="W205" i="16"/>
  <c r="AC205" i="16" s="1"/>
  <c r="V205" i="16"/>
  <c r="AB205" i="16" s="1"/>
  <c r="X204" i="16"/>
  <c r="AD204" i="16" s="1"/>
  <c r="W204" i="16"/>
  <c r="AC204" i="16" s="1"/>
  <c r="V204" i="16"/>
  <c r="AB204" i="16" s="1"/>
  <c r="X203" i="16"/>
  <c r="AD203" i="16" s="1"/>
  <c r="W203" i="16"/>
  <c r="AC203" i="16" s="1"/>
  <c r="V203" i="16"/>
  <c r="AB203" i="16" s="1"/>
  <c r="X202" i="16"/>
  <c r="AD202" i="16" s="1"/>
  <c r="W202" i="16"/>
  <c r="AC202" i="16" s="1"/>
  <c r="V202" i="16"/>
  <c r="AB202" i="16" s="1"/>
  <c r="X201" i="16"/>
  <c r="AD201" i="16" s="1"/>
  <c r="W201" i="16"/>
  <c r="AC201" i="16" s="1"/>
  <c r="V201" i="16"/>
  <c r="AB201" i="16" s="1"/>
  <c r="X200" i="16"/>
  <c r="AD200" i="16" s="1"/>
  <c r="W200" i="16"/>
  <c r="AC200" i="16" s="1"/>
  <c r="V200" i="16"/>
  <c r="AB200" i="16" s="1"/>
  <c r="X199" i="16"/>
  <c r="AD199" i="16" s="1"/>
  <c r="W199" i="16"/>
  <c r="AC199" i="16" s="1"/>
  <c r="V199" i="16"/>
  <c r="AB199" i="16" s="1"/>
  <c r="X198" i="16"/>
  <c r="AD198" i="16" s="1"/>
  <c r="W198" i="16"/>
  <c r="AC198" i="16" s="1"/>
  <c r="V198" i="16"/>
  <c r="AB198" i="16" s="1"/>
  <c r="X197" i="16"/>
  <c r="AD197" i="16" s="1"/>
  <c r="W197" i="16"/>
  <c r="AC197" i="16" s="1"/>
  <c r="V197" i="16"/>
  <c r="AB197" i="16" s="1"/>
  <c r="X196" i="16"/>
  <c r="AD196" i="16" s="1"/>
  <c r="W196" i="16"/>
  <c r="AC196" i="16" s="1"/>
  <c r="V196" i="16"/>
  <c r="AB196" i="16" s="1"/>
  <c r="X195" i="16"/>
  <c r="AD195" i="16" s="1"/>
  <c r="W195" i="16"/>
  <c r="AC195" i="16" s="1"/>
  <c r="V195" i="16"/>
  <c r="AB195" i="16" s="1"/>
  <c r="X194" i="16"/>
  <c r="AD194" i="16" s="1"/>
  <c r="W194" i="16"/>
  <c r="AC194" i="16" s="1"/>
  <c r="V194" i="16"/>
  <c r="AB194" i="16" s="1"/>
  <c r="X193" i="16"/>
  <c r="AD193" i="16" s="1"/>
  <c r="W193" i="16"/>
  <c r="AC193" i="16" s="1"/>
  <c r="V193" i="16"/>
  <c r="AB193" i="16" s="1"/>
  <c r="X192" i="16"/>
  <c r="AD192" i="16" s="1"/>
  <c r="W192" i="16"/>
  <c r="AC192" i="16" s="1"/>
  <c r="V192" i="16"/>
  <c r="AB192" i="16" s="1"/>
  <c r="X191" i="16"/>
  <c r="AD191" i="16" s="1"/>
  <c r="W191" i="16"/>
  <c r="AC191" i="16" s="1"/>
  <c r="V191" i="16"/>
  <c r="AB191" i="16" s="1"/>
  <c r="X190" i="16"/>
  <c r="AD190" i="16" s="1"/>
  <c r="W190" i="16"/>
  <c r="AC190" i="16" s="1"/>
  <c r="V190" i="16"/>
  <c r="AB190" i="16" s="1"/>
  <c r="X189" i="16"/>
  <c r="AD189" i="16" s="1"/>
  <c r="W189" i="16"/>
  <c r="AC189" i="16" s="1"/>
  <c r="V189" i="16"/>
  <c r="AB189" i="16" s="1"/>
  <c r="X188" i="16"/>
  <c r="AD188" i="16" s="1"/>
  <c r="W188" i="16"/>
  <c r="AC188" i="16" s="1"/>
  <c r="V188" i="16"/>
  <c r="AB188" i="16" s="1"/>
  <c r="X187" i="16"/>
  <c r="AD187" i="16" s="1"/>
  <c r="W187" i="16"/>
  <c r="AC187" i="16" s="1"/>
  <c r="V187" i="16"/>
  <c r="AB187" i="16" s="1"/>
  <c r="X186" i="16"/>
  <c r="AD186" i="16" s="1"/>
  <c r="W186" i="16"/>
  <c r="AC186" i="16" s="1"/>
  <c r="V186" i="16"/>
  <c r="AB186" i="16" s="1"/>
  <c r="X185" i="16"/>
  <c r="AD185" i="16" s="1"/>
  <c r="W185" i="16"/>
  <c r="AC185" i="16" s="1"/>
  <c r="V185" i="16"/>
  <c r="AB185" i="16" s="1"/>
  <c r="X184" i="16"/>
  <c r="AD184" i="16" s="1"/>
  <c r="W184" i="16"/>
  <c r="AC184" i="16" s="1"/>
  <c r="V184" i="16"/>
  <c r="AB18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AD130" i="16" s="1"/>
  <c r="W130" i="16"/>
  <c r="AC130" i="16" s="1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AC128" i="16" s="1"/>
  <c r="V128" i="16"/>
  <c r="AB128" i="16" s="1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AD123" i="16" s="1"/>
  <c r="W123" i="16"/>
  <c r="AC123" i="16" s="1"/>
  <c r="V123" i="16"/>
  <c r="AB123" i="16" s="1"/>
  <c r="X122" i="16"/>
  <c r="AD122" i="16" s="1"/>
  <c r="W122" i="16"/>
  <c r="AC122" i="16" s="1"/>
  <c r="V122" i="16"/>
  <c r="AB122" i="16" s="1"/>
  <c r="X121" i="16"/>
  <c r="AD121" i="16" s="1"/>
  <c r="W121" i="16"/>
  <c r="AC121" i="16" s="1"/>
  <c r="V121" i="16"/>
  <c r="AB121" i="16" s="1"/>
  <c r="X120" i="16"/>
  <c r="AD120" i="16" s="1"/>
  <c r="W120" i="16"/>
  <c r="AC120" i="16" s="1"/>
  <c r="V120" i="16"/>
  <c r="AB120" i="16" s="1"/>
  <c r="X119" i="16"/>
  <c r="AD119" i="16" s="1"/>
  <c r="W119" i="16"/>
  <c r="AC119" i="16" s="1"/>
  <c r="V119" i="16"/>
  <c r="AB119" i="16" s="1"/>
  <c r="X118" i="16"/>
  <c r="AD118" i="16" s="1"/>
  <c r="W118" i="16"/>
  <c r="AC118" i="16" s="1"/>
  <c r="V118" i="16"/>
  <c r="AB118" i="16" s="1"/>
  <c r="X117" i="16"/>
  <c r="AD117" i="16" s="1"/>
  <c r="W117" i="16"/>
  <c r="AC117" i="16" s="1"/>
  <c r="V117" i="16"/>
  <c r="AB117" i="16" s="1"/>
  <c r="X116" i="16"/>
  <c r="AD116" i="16" s="1"/>
  <c r="W116" i="16"/>
  <c r="AC116" i="16" s="1"/>
  <c r="V116" i="16"/>
  <c r="AB116" i="16" s="1"/>
  <c r="X115" i="16"/>
  <c r="AD115" i="16" s="1"/>
  <c r="W115" i="16"/>
  <c r="AC115" i="16" s="1"/>
  <c r="V115" i="16"/>
  <c r="AB115" i="16" s="1"/>
  <c r="X114" i="16"/>
  <c r="AD114" i="16" s="1"/>
  <c r="W114" i="16"/>
  <c r="AC114" i="16" s="1"/>
  <c r="V114" i="16"/>
  <c r="AB114" i="16" s="1"/>
  <c r="X113" i="16"/>
  <c r="AD113" i="16" s="1"/>
  <c r="W113" i="16"/>
  <c r="AC113" i="16" s="1"/>
  <c r="V113" i="16"/>
  <c r="AB113" i="16" s="1"/>
  <c r="X112" i="16"/>
  <c r="AD112" i="16" s="1"/>
  <c r="W112" i="16"/>
  <c r="AC112" i="16" s="1"/>
  <c r="V112" i="16"/>
  <c r="AB112" i="16" s="1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AB108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AB74" i="16" s="1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AC68" i="16" s="1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AC65" i="16" s="1"/>
  <c r="V65" i="16"/>
  <c r="AB65" i="16" s="1"/>
  <c r="X64" i="16"/>
  <c r="AD64" i="16" s="1"/>
  <c r="W64" i="16"/>
  <c r="AC64" i="16" s="1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AD49" i="16" s="1"/>
  <c r="W49" i="16"/>
  <c r="AC49" i="16" s="1"/>
  <c r="V49" i="16"/>
  <c r="AB49" i="16" s="1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AB44" i="16" s="1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AD34" i="16" s="1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D51" i="6"/>
  <c r="AB51" i="6"/>
  <c r="AA51" i="6"/>
  <c r="Z51" i="6"/>
  <c r="X51" i="6"/>
  <c r="AD50" i="6"/>
  <c r="AB50" i="6"/>
  <c r="AA50" i="6"/>
  <c r="Z50" i="6"/>
  <c r="X50" i="6"/>
  <c r="AD49" i="6"/>
  <c r="AB49" i="6"/>
  <c r="AA49" i="6"/>
  <c r="Z49" i="6"/>
  <c r="X49" i="6"/>
  <c r="AD48" i="6"/>
  <c r="AB48" i="6"/>
  <c r="AA48" i="6"/>
  <c r="Z48" i="6"/>
  <c r="X48" i="6"/>
  <c r="AD47" i="6"/>
  <c r="AC47" i="6"/>
  <c r="AB47" i="6"/>
  <c r="AA47" i="6"/>
  <c r="Z47" i="6"/>
  <c r="X47" i="6"/>
  <c r="AD46" i="6"/>
  <c r="AB46" i="6"/>
  <c r="AA46" i="6"/>
  <c r="Z46" i="6"/>
  <c r="X46" i="6"/>
  <c r="AD45" i="6"/>
  <c r="AB45" i="6"/>
  <c r="AA45" i="6"/>
  <c r="Z45" i="6"/>
  <c r="X45" i="6"/>
  <c r="AD44" i="6"/>
  <c r="AB44" i="6"/>
  <c r="AA44" i="6"/>
  <c r="Z44" i="6"/>
  <c r="X44" i="6"/>
  <c r="AD43" i="6"/>
  <c r="AB43" i="6"/>
  <c r="AA43" i="6"/>
  <c r="Z43" i="6"/>
  <c r="X43" i="6"/>
  <c r="AD42" i="6"/>
  <c r="AB42" i="6"/>
  <c r="AA42" i="6"/>
  <c r="Z42" i="6"/>
  <c r="X42" i="6"/>
  <c r="AD41" i="6"/>
  <c r="AB41" i="6"/>
  <c r="AA41" i="6"/>
  <c r="Z41" i="6"/>
  <c r="X41" i="6"/>
  <c r="AD40" i="6"/>
  <c r="AB40" i="6"/>
  <c r="AA40" i="6"/>
  <c r="Z40" i="6"/>
  <c r="X40" i="6"/>
  <c r="AD39" i="6"/>
  <c r="AB39" i="6"/>
  <c r="AA39" i="6"/>
  <c r="Z39" i="6"/>
  <c r="X39" i="6"/>
  <c r="AD38" i="6"/>
  <c r="AB38" i="6"/>
  <c r="AA38" i="6"/>
  <c r="Z38" i="6"/>
  <c r="X38" i="6"/>
  <c r="AD37" i="6"/>
  <c r="AB37" i="6"/>
  <c r="AA37" i="6"/>
  <c r="Z37" i="6"/>
  <c r="X37" i="6"/>
  <c r="AD36" i="6"/>
  <c r="AB36" i="6"/>
  <c r="AA36" i="6"/>
  <c r="Z36" i="6"/>
  <c r="X36" i="6"/>
  <c r="AD35" i="6"/>
  <c r="AB35" i="6"/>
  <c r="AA35" i="6"/>
  <c r="Z35" i="6"/>
  <c r="X35" i="6"/>
  <c r="AD34" i="6"/>
  <c r="AB34" i="6"/>
  <c r="AA34" i="6"/>
  <c r="Z34" i="6"/>
  <c r="X34" i="6"/>
  <c r="AD33" i="6"/>
  <c r="AB33" i="6"/>
  <c r="AA33" i="6"/>
  <c r="Z33" i="6"/>
  <c r="X33" i="6"/>
  <c r="AD32" i="6"/>
  <c r="AB32" i="6"/>
  <c r="AA32" i="6"/>
  <c r="Z32" i="6"/>
  <c r="X32" i="6"/>
  <c r="AD31" i="6"/>
  <c r="AB31" i="6"/>
  <c r="AA31" i="6"/>
  <c r="Z31" i="6"/>
  <c r="X31" i="6"/>
  <c r="AD30" i="6"/>
  <c r="AB30" i="6"/>
  <c r="AA30" i="6"/>
  <c r="Z30" i="6"/>
  <c r="X30" i="6"/>
  <c r="AD29" i="6"/>
  <c r="AB29" i="6"/>
  <c r="AA29" i="6"/>
  <c r="Z29" i="6"/>
  <c r="X29" i="6"/>
  <c r="AD28" i="6"/>
  <c r="AB28" i="6"/>
  <c r="AA28" i="6"/>
  <c r="Z28" i="6"/>
  <c r="X28" i="6"/>
  <c r="AD27" i="6"/>
  <c r="AB27" i="6"/>
  <c r="AA27" i="6"/>
  <c r="Z27" i="6"/>
  <c r="X27" i="6"/>
  <c r="U27" i="6"/>
  <c r="AD26" i="6"/>
  <c r="AB26" i="6"/>
  <c r="AA26" i="6"/>
  <c r="Z26" i="6"/>
  <c r="X26" i="6"/>
  <c r="AD25" i="6"/>
  <c r="AC25" i="6"/>
  <c r="AB25" i="6"/>
  <c r="AA25" i="6"/>
  <c r="Z25" i="6"/>
  <c r="Y25" i="6"/>
  <c r="X25" i="6"/>
  <c r="W25" i="6"/>
  <c r="V25" i="6"/>
  <c r="U25" i="6"/>
  <c r="AD24" i="6"/>
  <c r="AB24" i="6"/>
  <c r="AA24" i="6"/>
  <c r="Z24" i="6"/>
  <c r="X24" i="6"/>
  <c r="AD23" i="6"/>
  <c r="AB23" i="6"/>
  <c r="AA23" i="6"/>
  <c r="Z23" i="6"/>
  <c r="X23" i="6"/>
  <c r="AD22" i="6"/>
  <c r="AB22" i="6"/>
  <c r="AA22" i="6"/>
  <c r="Z22" i="6"/>
  <c r="X22" i="6"/>
  <c r="AD21" i="6"/>
  <c r="AB21" i="6"/>
  <c r="AA21" i="6"/>
  <c r="Z21" i="6"/>
  <c r="X21" i="6"/>
  <c r="AD20" i="6"/>
  <c r="AC20" i="6"/>
  <c r="AB20" i="6"/>
  <c r="AA20" i="6"/>
  <c r="Z20" i="6"/>
  <c r="Y20" i="6"/>
  <c r="X20" i="6"/>
  <c r="W20" i="6"/>
  <c r="V20" i="6"/>
  <c r="U20" i="6"/>
  <c r="AD19" i="6"/>
  <c r="AC19" i="6"/>
  <c r="AB19" i="6"/>
  <c r="AA19" i="6"/>
  <c r="Z19" i="6"/>
  <c r="Y19" i="6"/>
  <c r="X19" i="6"/>
  <c r="W19" i="6"/>
  <c r="V19" i="6"/>
  <c r="U19" i="6"/>
  <c r="AD18" i="6"/>
  <c r="AC18" i="6"/>
  <c r="AB18" i="6"/>
  <c r="AA18" i="6"/>
  <c r="Z18" i="6"/>
  <c r="Y18" i="6"/>
  <c r="X18" i="6"/>
  <c r="W18" i="6"/>
  <c r="V18" i="6"/>
  <c r="U18" i="6"/>
  <c r="AD17" i="6"/>
  <c r="AC17" i="6"/>
  <c r="AB17" i="6"/>
  <c r="AA17" i="6"/>
  <c r="Z17" i="6"/>
  <c r="Y17" i="6"/>
  <c r="X17" i="6"/>
  <c r="W17" i="6"/>
  <c r="V17" i="6"/>
  <c r="U17" i="6"/>
  <c r="AD16" i="6"/>
  <c r="AC16" i="6"/>
  <c r="AB16" i="6"/>
  <c r="AA16" i="6"/>
  <c r="Z16" i="6"/>
  <c r="Y16" i="6"/>
  <c r="X16" i="6"/>
  <c r="W16" i="6"/>
  <c r="V16" i="6"/>
  <c r="U16" i="6"/>
  <c r="AD15" i="6"/>
  <c r="AC15" i="6"/>
  <c r="AB15" i="6"/>
  <c r="AA15" i="6"/>
  <c r="Z15" i="6"/>
  <c r="Y15" i="6"/>
  <c r="X15" i="6"/>
  <c r="W15" i="6"/>
  <c r="V15" i="6"/>
  <c r="U15" i="6"/>
  <c r="AD14" i="6"/>
  <c r="AC14" i="6"/>
  <c r="AB14" i="6"/>
  <c r="AA14" i="6"/>
  <c r="Z14" i="6"/>
  <c r="Y14" i="6"/>
  <c r="X14" i="6"/>
  <c r="W14" i="6"/>
  <c r="V14" i="6"/>
  <c r="U14" i="6"/>
  <c r="AD13" i="6"/>
  <c r="AC13" i="6"/>
  <c r="AB13" i="6"/>
  <c r="AA13" i="6"/>
  <c r="Z13" i="6"/>
  <c r="Y13" i="6"/>
  <c r="X13" i="6"/>
  <c r="W13" i="6"/>
  <c r="V13" i="6"/>
  <c r="U13" i="6"/>
  <c r="AD12" i="6"/>
  <c r="AC12" i="6"/>
  <c r="AB12" i="6"/>
  <c r="AA12" i="6"/>
  <c r="Z12" i="6"/>
  <c r="Y12" i="6"/>
  <c r="X12" i="6"/>
  <c r="W12" i="6"/>
  <c r="V12" i="6"/>
  <c r="U12" i="6"/>
  <c r="AD11" i="6"/>
  <c r="AC11" i="6"/>
  <c r="AB11" i="6"/>
  <c r="AA11" i="6"/>
  <c r="Z11" i="6"/>
  <c r="Y11" i="6"/>
  <c r="X11" i="6"/>
  <c r="W11" i="6"/>
  <c r="V11" i="6"/>
  <c r="U11" i="6"/>
  <c r="AD10" i="6"/>
  <c r="AC10" i="6"/>
  <c r="AB10" i="6"/>
  <c r="AA10" i="6"/>
  <c r="Z10" i="6"/>
  <c r="Y10" i="6"/>
  <c r="X10" i="6"/>
  <c r="W10" i="6"/>
  <c r="V10" i="6"/>
  <c r="U10" i="6"/>
  <c r="AD9" i="6"/>
  <c r="AC9" i="6"/>
  <c r="AB9" i="6"/>
  <c r="AA9" i="6"/>
  <c r="Z9" i="6"/>
  <c r="Y9" i="6"/>
  <c r="X9" i="6"/>
  <c r="W9" i="6"/>
  <c r="V9" i="6"/>
  <c r="U9" i="6"/>
  <c r="AD8" i="6"/>
  <c r="AC8" i="6"/>
  <c r="AB8" i="6"/>
  <c r="AA8" i="6"/>
  <c r="Z8" i="6"/>
  <c r="Y8" i="6"/>
  <c r="X8" i="6"/>
  <c r="W8" i="6"/>
  <c r="V8" i="6"/>
  <c r="U8" i="6"/>
  <c r="AD7" i="6"/>
  <c r="AC7" i="6"/>
  <c r="AB7" i="6"/>
  <c r="AA7" i="6"/>
  <c r="Z7" i="6"/>
  <c r="Y7" i="6"/>
  <c r="X7" i="6"/>
  <c r="W7" i="6"/>
  <c r="V7" i="6"/>
  <c r="U7" i="6"/>
  <c r="AD6" i="6"/>
  <c r="AC6" i="6"/>
  <c r="AB6" i="6"/>
  <c r="AA6" i="6"/>
  <c r="Z6" i="6"/>
  <c r="Y6" i="6"/>
  <c r="X6" i="6"/>
  <c r="W6" i="6"/>
  <c r="V6" i="6"/>
  <c r="U6" i="6"/>
  <c r="AD5" i="6"/>
  <c r="AC5" i="6"/>
  <c r="AB5" i="6"/>
  <c r="AA5" i="6"/>
  <c r="Z5" i="6"/>
  <c r="Y5" i="6"/>
  <c r="X5" i="6"/>
  <c r="W5" i="6"/>
  <c r="V5" i="6"/>
  <c r="U5" i="6"/>
  <c r="AP51" i="14"/>
  <c r="AC51" i="14"/>
  <c r="AC51" i="6" s="1"/>
  <c r="Y51" i="14"/>
  <c r="Y51" i="6" s="1"/>
  <c r="W51" i="14"/>
  <c r="W51" i="6" s="1"/>
  <c r="V51" i="14"/>
  <c r="V51" i="6" s="1"/>
  <c r="U51" i="14"/>
  <c r="U51" i="6" s="1"/>
  <c r="AP50" i="14"/>
  <c r="AC50" i="14"/>
  <c r="AC50" i="6" s="1"/>
  <c r="Y50" i="14"/>
  <c r="Y50" i="6" s="1"/>
  <c r="W50" i="14"/>
  <c r="W50" i="6" s="1"/>
  <c r="V50" i="14"/>
  <c r="V50" i="6" s="1"/>
  <c r="U50" i="14"/>
  <c r="U50" i="6" s="1"/>
  <c r="AP49" i="14"/>
  <c r="AC49" i="14"/>
  <c r="AC49" i="6" s="1"/>
  <c r="Y49" i="14"/>
  <c r="Y49" i="6" s="1"/>
  <c r="W49" i="14"/>
  <c r="W49" i="6" s="1"/>
  <c r="V49" i="14"/>
  <c r="V49" i="6" s="1"/>
  <c r="U49" i="14"/>
  <c r="U49" i="6" s="1"/>
  <c r="AP48" i="14"/>
  <c r="AC48" i="14"/>
  <c r="AC48" i="6" s="1"/>
  <c r="Y48" i="14"/>
  <c r="Y48" i="6" s="1"/>
  <c r="W48" i="14"/>
  <c r="W48" i="6" s="1"/>
  <c r="V48" i="14"/>
  <c r="V48" i="6" s="1"/>
  <c r="U48" i="14"/>
  <c r="U48" i="6" s="1"/>
  <c r="AP47" i="14"/>
  <c r="AC47" i="14"/>
  <c r="Y47" i="14"/>
  <c r="Y47" i="6" s="1"/>
  <c r="W47" i="14"/>
  <c r="W47" i="6" s="1"/>
  <c r="V47" i="14"/>
  <c r="V47" i="6" s="1"/>
  <c r="U47" i="14"/>
  <c r="U47" i="6" s="1"/>
  <c r="AP46" i="14"/>
  <c r="AC46" i="14"/>
  <c r="AC46" i="6" s="1"/>
  <c r="Y46" i="14"/>
  <c r="Y46" i="6" s="1"/>
  <c r="W46" i="14"/>
  <c r="W46" i="6" s="1"/>
  <c r="V46" i="14"/>
  <c r="V46" i="6" s="1"/>
  <c r="U46" i="14"/>
  <c r="U46" i="6" s="1"/>
  <c r="AP45" i="14"/>
  <c r="AC45" i="14"/>
  <c r="AC45" i="6" s="1"/>
  <c r="Y45" i="14"/>
  <c r="Y45" i="6" s="1"/>
  <c r="W45" i="14"/>
  <c r="W45" i="6" s="1"/>
  <c r="V45" i="14"/>
  <c r="V45" i="6" s="1"/>
  <c r="U45" i="14"/>
  <c r="U45" i="6" s="1"/>
  <c r="AP44" i="14"/>
  <c r="AC44" i="14"/>
  <c r="AC44" i="6" s="1"/>
  <c r="Y44" i="14"/>
  <c r="Y44" i="6" s="1"/>
  <c r="W44" i="14"/>
  <c r="W44" i="6" s="1"/>
  <c r="V44" i="14"/>
  <c r="V44" i="6" s="1"/>
  <c r="U44" i="14"/>
  <c r="U44" i="6" s="1"/>
  <c r="AP43" i="14"/>
  <c r="AC43" i="14"/>
  <c r="AC43" i="6" s="1"/>
  <c r="Y43" i="14"/>
  <c r="Y43" i="6" s="1"/>
  <c r="W43" i="14"/>
  <c r="W43" i="6" s="1"/>
  <c r="V43" i="14"/>
  <c r="V43" i="6" s="1"/>
  <c r="U43" i="14"/>
  <c r="U43" i="6" s="1"/>
  <c r="AP42" i="14"/>
  <c r="AC42" i="14"/>
  <c r="AC42" i="6" s="1"/>
  <c r="Y42" i="14"/>
  <c r="Y42" i="6" s="1"/>
  <c r="W42" i="14"/>
  <c r="W42" i="6" s="1"/>
  <c r="V42" i="14"/>
  <c r="V42" i="6" s="1"/>
  <c r="U42" i="14"/>
  <c r="U42" i="6" s="1"/>
  <c r="AP41" i="14"/>
  <c r="AC41" i="14"/>
  <c r="AC41" i="6" s="1"/>
  <c r="Y41" i="14"/>
  <c r="Y41" i="6" s="1"/>
  <c r="W41" i="14"/>
  <c r="W41" i="6" s="1"/>
  <c r="V41" i="14"/>
  <c r="V41" i="6" s="1"/>
  <c r="U41" i="14"/>
  <c r="U41" i="6" s="1"/>
  <c r="AP40" i="14"/>
  <c r="AC40" i="14"/>
  <c r="AC40" i="6" s="1"/>
  <c r="Y40" i="14"/>
  <c r="Y40" i="6" s="1"/>
  <c r="W40" i="14"/>
  <c r="W40" i="6" s="1"/>
  <c r="V40" i="14"/>
  <c r="V40" i="6" s="1"/>
  <c r="U40" i="14"/>
  <c r="U40" i="6" s="1"/>
  <c r="AP39" i="14"/>
  <c r="AC39" i="14"/>
  <c r="AC39" i="6" s="1"/>
  <c r="Y39" i="14"/>
  <c r="Y39" i="6" s="1"/>
  <c r="W39" i="14"/>
  <c r="W39" i="6" s="1"/>
  <c r="V39" i="14"/>
  <c r="V39" i="6" s="1"/>
  <c r="U39" i="14"/>
  <c r="U39" i="6" s="1"/>
  <c r="AP38" i="14"/>
  <c r="AC38" i="14"/>
  <c r="AC38" i="6" s="1"/>
  <c r="Y38" i="14"/>
  <c r="Y38" i="6" s="1"/>
  <c r="W38" i="14"/>
  <c r="W38" i="6" s="1"/>
  <c r="V38" i="14"/>
  <c r="V38" i="6" s="1"/>
  <c r="U38" i="14"/>
  <c r="U38" i="6" s="1"/>
  <c r="AP37" i="14"/>
  <c r="AC37" i="14"/>
  <c r="AC37" i="6" s="1"/>
  <c r="Y37" i="14"/>
  <c r="Y37" i="6" s="1"/>
  <c r="W37" i="14"/>
  <c r="W37" i="6" s="1"/>
  <c r="V37" i="14"/>
  <c r="V37" i="6" s="1"/>
  <c r="U37" i="14"/>
  <c r="U37" i="6" s="1"/>
  <c r="AP36" i="14"/>
  <c r="AC36" i="14"/>
  <c r="AC36" i="6" s="1"/>
  <c r="Y36" i="14"/>
  <c r="Y36" i="6" s="1"/>
  <c r="W36" i="14"/>
  <c r="W36" i="6" s="1"/>
  <c r="V36" i="14"/>
  <c r="V36" i="6" s="1"/>
  <c r="U36" i="14"/>
  <c r="U36" i="6" s="1"/>
  <c r="AP35" i="14"/>
  <c r="AC35" i="14"/>
  <c r="AC35" i="6" s="1"/>
  <c r="Y35" i="14"/>
  <c r="Y35" i="6" s="1"/>
  <c r="W35" i="14"/>
  <c r="W35" i="6" s="1"/>
  <c r="V35" i="14"/>
  <c r="V35" i="6" s="1"/>
  <c r="U35" i="14"/>
  <c r="U35" i="6" s="1"/>
  <c r="AP34" i="14"/>
  <c r="AC34" i="14"/>
  <c r="AC34" i="6" s="1"/>
  <c r="Y34" i="14"/>
  <c r="Y34" i="6" s="1"/>
  <c r="W34" i="14"/>
  <c r="W34" i="6" s="1"/>
  <c r="V34" i="14"/>
  <c r="V34" i="6" s="1"/>
  <c r="U34" i="14"/>
  <c r="U34" i="6" s="1"/>
  <c r="AP33" i="14"/>
  <c r="AC33" i="14"/>
  <c r="AC33" i="6" s="1"/>
  <c r="Y33" i="14"/>
  <c r="Y33" i="6" s="1"/>
  <c r="W33" i="14"/>
  <c r="W33" i="6" s="1"/>
  <c r="V33" i="14"/>
  <c r="V33" i="6" s="1"/>
  <c r="U33" i="14"/>
  <c r="U33" i="6" s="1"/>
  <c r="AP32" i="14"/>
  <c r="AC32" i="14"/>
  <c r="AC32" i="6" s="1"/>
  <c r="Y32" i="14"/>
  <c r="Y32" i="6" s="1"/>
  <c r="W32" i="14"/>
  <c r="W32" i="6" s="1"/>
  <c r="V32" i="14"/>
  <c r="V32" i="6" s="1"/>
  <c r="U32" i="14"/>
  <c r="U32" i="6" s="1"/>
  <c r="AP31" i="14"/>
  <c r="AC31" i="14"/>
  <c r="AC31" i="6" s="1"/>
  <c r="Y31" i="14"/>
  <c r="Y31" i="6" s="1"/>
  <c r="W31" i="14"/>
  <c r="W31" i="6" s="1"/>
  <c r="V31" i="14"/>
  <c r="V31" i="6" s="1"/>
  <c r="U31" i="14"/>
  <c r="U31" i="6" s="1"/>
  <c r="AP30" i="14"/>
  <c r="AC30" i="14"/>
  <c r="AC30" i="6" s="1"/>
  <c r="Y30" i="14"/>
  <c r="Y30" i="6" s="1"/>
  <c r="W30" i="14"/>
  <c r="W30" i="6" s="1"/>
  <c r="V30" i="14"/>
  <c r="V30" i="6" s="1"/>
  <c r="U30" i="14"/>
  <c r="U30" i="6" s="1"/>
  <c r="AP29" i="14"/>
  <c r="AC29" i="14"/>
  <c r="AC29" i="6" s="1"/>
  <c r="Y29" i="14"/>
  <c r="Y29" i="6" s="1"/>
  <c r="W29" i="14"/>
  <c r="W29" i="6" s="1"/>
  <c r="V29" i="14"/>
  <c r="V29" i="6" s="1"/>
  <c r="U29" i="14"/>
  <c r="U29" i="6" s="1"/>
  <c r="AP28" i="14"/>
  <c r="AC28" i="14"/>
  <c r="AC28" i="6" s="1"/>
  <c r="Y28" i="14"/>
  <c r="Y28" i="6" s="1"/>
  <c r="W28" i="14"/>
  <c r="W28" i="6" s="1"/>
  <c r="V28" i="14"/>
  <c r="V28" i="6" s="1"/>
  <c r="U28" i="14"/>
  <c r="U28" i="6" s="1"/>
  <c r="AP27" i="14"/>
  <c r="AC27" i="14"/>
  <c r="AC27" i="6" s="1"/>
  <c r="Y27" i="14"/>
  <c r="Y27" i="6" s="1"/>
  <c r="W27" i="14"/>
  <c r="W27" i="6" s="1"/>
  <c r="V27" i="14"/>
  <c r="V27" i="6" s="1"/>
  <c r="U27" i="14"/>
  <c r="AP26" i="14"/>
  <c r="AC26" i="14"/>
  <c r="AC26" i="6" s="1"/>
  <c r="Y26" i="14"/>
  <c r="Y26" i="6" s="1"/>
  <c r="W26" i="14"/>
  <c r="W26" i="6" s="1"/>
  <c r="V26" i="14"/>
  <c r="V26" i="6" s="1"/>
  <c r="U26" i="14"/>
  <c r="U26" i="6" s="1"/>
  <c r="AP24" i="14"/>
  <c r="AC24" i="14"/>
  <c r="AC24" i="6" s="1"/>
  <c r="Y24" i="14"/>
  <c r="Y24" i="6" s="1"/>
  <c r="W24" i="14"/>
  <c r="W24" i="6" s="1"/>
  <c r="V24" i="14"/>
  <c r="V24" i="6" s="1"/>
  <c r="U24" i="14"/>
  <c r="U24" i="6" s="1"/>
  <c r="AP23" i="14"/>
  <c r="AC23" i="14"/>
  <c r="AC23" i="6" s="1"/>
  <c r="Y23" i="14"/>
  <c r="Y23" i="6" s="1"/>
  <c r="W23" i="14"/>
  <c r="W23" i="6" s="1"/>
  <c r="V23" i="14"/>
  <c r="V23" i="6" s="1"/>
  <c r="U23" i="14"/>
  <c r="U23" i="6" s="1"/>
  <c r="AP22" i="14"/>
  <c r="AC22" i="14"/>
  <c r="AC22" i="6" s="1"/>
  <c r="Y22" i="14"/>
  <c r="Y22" i="6" s="1"/>
  <c r="W22" i="14"/>
  <c r="W22" i="6" s="1"/>
  <c r="V22" i="14"/>
  <c r="V22" i="6" s="1"/>
  <c r="U22" i="14"/>
  <c r="U22" i="6" s="1"/>
  <c r="AP21" i="14"/>
  <c r="AC21" i="14"/>
  <c r="AC21" i="6" s="1"/>
  <c r="Y21" i="14"/>
  <c r="Y21" i="6" s="1"/>
  <c r="W21" i="14"/>
  <c r="W21" i="6" s="1"/>
  <c r="V21" i="14"/>
  <c r="V21" i="6" s="1"/>
  <c r="U21" i="14"/>
  <c r="U21" i="6" s="1"/>
  <c r="X46" i="13"/>
  <c r="V46" i="13"/>
  <c r="T46" i="13"/>
  <c r="P46" i="13"/>
  <c r="O46" i="13"/>
  <c r="N46" i="13"/>
  <c r="M46" i="13"/>
  <c r="V45" i="13"/>
  <c r="U45" i="13"/>
  <c r="T45" i="13"/>
  <c r="P45" i="13"/>
  <c r="O45" i="13"/>
  <c r="N45" i="13"/>
  <c r="M45" i="13"/>
  <c r="X44" i="13"/>
  <c r="V44" i="13"/>
  <c r="U44" i="13"/>
  <c r="T44" i="13"/>
  <c r="P44" i="13"/>
  <c r="O44" i="13"/>
  <c r="N44" i="13"/>
  <c r="M44" i="13"/>
  <c r="X46" i="12"/>
  <c r="V46" i="12"/>
  <c r="T46" i="12"/>
  <c r="P46" i="12"/>
  <c r="O46" i="12"/>
  <c r="N46" i="12"/>
  <c r="M46" i="12"/>
  <c r="V45" i="12"/>
  <c r="U45" i="12"/>
  <c r="T45" i="12"/>
  <c r="P45" i="12"/>
  <c r="O45" i="12"/>
  <c r="N45" i="12"/>
  <c r="M45" i="12"/>
  <c r="X44" i="12"/>
  <c r="V44" i="12"/>
  <c r="V48" i="12" s="1"/>
  <c r="U44" i="12"/>
  <c r="T44" i="12"/>
  <c r="P44" i="12"/>
  <c r="O44" i="12"/>
  <c r="N44" i="12"/>
  <c r="N48" i="12" s="1"/>
  <c r="M44" i="12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9" i="11"/>
  <c r="Y8" i="11"/>
  <c r="Y7" i="11"/>
  <c r="Y6" i="11"/>
  <c r="Y5" i="11"/>
  <c r="X46" i="11"/>
  <c r="V46" i="11"/>
  <c r="T46" i="11"/>
  <c r="P46" i="11"/>
  <c r="O46" i="11"/>
  <c r="N46" i="11"/>
  <c r="M46" i="11"/>
  <c r="V45" i="11"/>
  <c r="U45" i="11"/>
  <c r="T45" i="11"/>
  <c r="P45" i="11"/>
  <c r="O45" i="11"/>
  <c r="N45" i="11"/>
  <c r="M45" i="11"/>
  <c r="X44" i="11"/>
  <c r="V44" i="11"/>
  <c r="V48" i="11" s="1"/>
  <c r="U44" i="11"/>
  <c r="T44" i="11"/>
  <c r="P44" i="11"/>
  <c r="O44" i="11"/>
  <c r="O48" i="11" s="1"/>
  <c r="N44" i="11"/>
  <c r="N48" i="11" s="1"/>
  <c r="M44" i="11"/>
  <c r="X46" i="10"/>
  <c r="X44" i="10"/>
  <c r="V46" i="10"/>
  <c r="V45" i="10"/>
  <c r="V44" i="10"/>
  <c r="U45" i="10"/>
  <c r="U44" i="10"/>
  <c r="T46" i="10"/>
  <c r="T45" i="10"/>
  <c r="T44" i="10"/>
  <c r="R47" i="10"/>
  <c r="P46" i="10"/>
  <c r="P45" i="10"/>
  <c r="P44" i="10"/>
  <c r="O46" i="10"/>
  <c r="O45" i="10"/>
  <c r="O44" i="10"/>
  <c r="N46" i="10"/>
  <c r="N45" i="10"/>
  <c r="N44" i="10"/>
  <c r="M46" i="10"/>
  <c r="M45" i="10"/>
  <c r="M44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4" i="10"/>
  <c r="Z13" i="10"/>
  <c r="Z12" i="10"/>
  <c r="Z11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9" i="10"/>
  <c r="V18" i="10"/>
  <c r="V17" i="10"/>
  <c r="V16" i="10"/>
  <c r="V14" i="10"/>
  <c r="V13" i="10"/>
  <c r="V12" i="10"/>
  <c r="V11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4" i="10"/>
  <c r="U13" i="10"/>
  <c r="U12" i="10"/>
  <c r="U11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4" i="10"/>
  <c r="T13" i="10"/>
  <c r="T12" i="10"/>
  <c r="T11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6" i="10"/>
  <c r="R14" i="10"/>
  <c r="R13" i="10"/>
  <c r="R12" i="10"/>
  <c r="R11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4" i="10"/>
  <c r="P13" i="10"/>
  <c r="P12" i="10"/>
  <c r="P11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8" i="10"/>
  <c r="O17" i="10"/>
  <c r="O16" i="10"/>
  <c r="O14" i="10"/>
  <c r="O13" i="10"/>
  <c r="O12" i="10"/>
  <c r="O11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4" i="10"/>
  <c r="N13" i="10"/>
  <c r="N12" i="10"/>
  <c r="N11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4" i="10"/>
  <c r="M13" i="10"/>
  <c r="M12" i="10"/>
  <c r="M11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4" i="10"/>
  <c r="L13" i="10"/>
  <c r="L12" i="10"/>
  <c r="L11" i="10"/>
  <c r="AK56" i="9"/>
  <c r="AF56" i="9"/>
  <c r="AP54" i="9" s="1"/>
  <c r="AE56" i="9"/>
  <c r="AO54" i="9" s="1"/>
  <c r="AC56" i="9"/>
  <c r="Y56" i="9"/>
  <c r="X56" i="9"/>
  <c r="W56" i="9"/>
  <c r="S56" i="9"/>
  <c r="R56" i="9"/>
  <c r="Q56" i="9"/>
  <c r="P56" i="9"/>
  <c r="O56" i="9"/>
  <c r="M56" i="9"/>
  <c r="L56" i="9"/>
  <c r="AK55" i="9"/>
  <c r="AF55" i="9"/>
  <c r="AC55" i="9"/>
  <c r="AA55" i="9"/>
  <c r="Z55" i="9"/>
  <c r="Y55" i="9"/>
  <c r="X55" i="9"/>
  <c r="W55" i="9"/>
  <c r="V55" i="9"/>
  <c r="U55" i="9"/>
  <c r="S55" i="9"/>
  <c r="R55" i="9"/>
  <c r="Q55" i="9"/>
  <c r="P55" i="9"/>
  <c r="O55" i="9"/>
  <c r="M55" i="9"/>
  <c r="L55" i="9"/>
  <c r="AL57" i="8"/>
  <c r="AG57" i="8"/>
  <c r="AD57" i="8"/>
  <c r="AB57" i="8"/>
  <c r="T57" i="8"/>
  <c r="AK56" i="8"/>
  <c r="AF56" i="8"/>
  <c r="AE56" i="8"/>
  <c r="AC56" i="8"/>
  <c r="Y56" i="8"/>
  <c r="X56" i="8"/>
  <c r="W56" i="8"/>
  <c r="S56" i="8"/>
  <c r="R56" i="8"/>
  <c r="Q56" i="8"/>
  <c r="P56" i="8"/>
  <c r="O56" i="8"/>
  <c r="M56" i="8"/>
  <c r="L56" i="8"/>
  <c r="AK55" i="8"/>
  <c r="AF55" i="8"/>
  <c r="AP54" i="8" s="1"/>
  <c r="AC55" i="8"/>
  <c r="AA55" i="8"/>
  <c r="Z55" i="8"/>
  <c r="Y55" i="8"/>
  <c r="X55" i="8"/>
  <c r="W55" i="8"/>
  <c r="V55" i="8"/>
  <c r="U55" i="8"/>
  <c r="S55" i="8"/>
  <c r="R55" i="8"/>
  <c r="Q55" i="8"/>
  <c r="P55" i="8"/>
  <c r="O55" i="8"/>
  <c r="M55" i="8"/>
  <c r="L55" i="8"/>
  <c r="AL57" i="7"/>
  <c r="AG57" i="7"/>
  <c r="AD57" i="7"/>
  <c r="AB57" i="7"/>
  <c r="T57" i="7"/>
  <c r="AG51" i="7"/>
  <c r="AA51" i="7"/>
  <c r="Z51" i="7"/>
  <c r="AG50" i="7"/>
  <c r="AA50" i="7"/>
  <c r="Z50" i="7"/>
  <c r="AG49" i="7"/>
  <c r="AA49" i="7"/>
  <c r="Z49" i="7"/>
  <c r="AG48" i="7"/>
  <c r="AA48" i="7"/>
  <c r="Z48" i="7"/>
  <c r="AG47" i="7"/>
  <c r="AA47" i="7"/>
  <c r="Z47" i="7"/>
  <c r="AG46" i="7"/>
  <c r="AA46" i="7"/>
  <c r="Z46" i="7"/>
  <c r="AG45" i="7"/>
  <c r="AA45" i="7"/>
  <c r="Z45" i="7"/>
  <c r="AG44" i="7"/>
  <c r="AA44" i="7"/>
  <c r="Z44" i="7"/>
  <c r="AG43" i="7"/>
  <c r="AA43" i="7"/>
  <c r="Z43" i="7"/>
  <c r="AG42" i="7"/>
  <c r="AA42" i="7"/>
  <c r="Z42" i="7"/>
  <c r="AG41" i="7"/>
  <c r="AA41" i="7"/>
  <c r="Z41" i="7"/>
  <c r="AG40" i="7"/>
  <c r="AA40" i="7"/>
  <c r="Z40" i="7"/>
  <c r="AG39" i="7"/>
  <c r="AA39" i="7"/>
  <c r="Z39" i="7"/>
  <c r="AG38" i="7"/>
  <c r="AA38" i="7"/>
  <c r="Z38" i="7"/>
  <c r="AG37" i="7"/>
  <c r="AA37" i="7"/>
  <c r="Z37" i="7"/>
  <c r="AG36" i="7"/>
  <c r="AA36" i="7"/>
  <c r="Z36" i="7"/>
  <c r="AG35" i="7"/>
  <c r="AA35" i="7"/>
  <c r="Z35" i="7"/>
  <c r="AG34" i="7"/>
  <c r="AA34" i="7"/>
  <c r="Z34" i="7"/>
  <c r="AG33" i="7"/>
  <c r="AA33" i="7"/>
  <c r="Z33" i="7"/>
  <c r="AG32" i="7"/>
  <c r="AA32" i="7"/>
  <c r="Z32" i="7"/>
  <c r="AG31" i="7"/>
  <c r="AA31" i="7"/>
  <c r="Z31" i="7"/>
  <c r="AG30" i="7"/>
  <c r="AA30" i="7"/>
  <c r="Z30" i="7"/>
  <c r="AG29" i="7"/>
  <c r="AA29" i="7"/>
  <c r="Z29" i="7"/>
  <c r="AG28" i="7"/>
  <c r="AA28" i="7"/>
  <c r="Z28" i="7"/>
  <c r="AG27" i="7"/>
  <c r="AA27" i="7"/>
  <c r="Z27" i="7"/>
  <c r="AG26" i="7"/>
  <c r="AA26" i="7"/>
  <c r="Z26" i="7"/>
  <c r="AG25" i="7"/>
  <c r="AA25" i="7"/>
  <c r="Z25" i="7"/>
  <c r="AG24" i="7"/>
  <c r="AA24" i="7"/>
  <c r="Z24" i="7"/>
  <c r="AG23" i="7"/>
  <c r="AA23" i="7"/>
  <c r="Z23" i="7"/>
  <c r="AG22" i="7"/>
  <c r="AA22" i="7"/>
  <c r="Z22" i="7"/>
  <c r="AG21" i="7"/>
  <c r="AA21" i="7"/>
  <c r="Z21" i="7"/>
  <c r="AG20" i="7"/>
  <c r="AA20" i="7"/>
  <c r="Z20" i="7"/>
  <c r="AG19" i="7"/>
  <c r="AA19" i="7"/>
  <c r="Z19" i="7"/>
  <c r="AG18" i="7"/>
  <c r="AA18" i="7"/>
  <c r="Z18" i="7"/>
  <c r="AG17" i="7"/>
  <c r="AA17" i="7"/>
  <c r="Z17" i="7"/>
  <c r="AG16" i="7"/>
  <c r="AA16" i="7"/>
  <c r="Z16" i="7"/>
  <c r="AG15" i="7"/>
  <c r="AA15" i="7"/>
  <c r="Z15" i="7"/>
  <c r="AG14" i="7"/>
  <c r="AA14" i="7"/>
  <c r="Z14" i="7"/>
  <c r="AG13" i="7"/>
  <c r="AA13" i="7"/>
  <c r="Z13" i="7"/>
  <c r="AG12" i="7"/>
  <c r="AA12" i="7"/>
  <c r="Z12" i="7"/>
  <c r="AG11" i="7"/>
  <c r="AA11" i="7"/>
  <c r="Z11" i="7"/>
  <c r="AG10" i="7"/>
  <c r="AA10" i="7"/>
  <c r="Z10" i="7"/>
  <c r="AG9" i="7"/>
  <c r="AA9" i="7"/>
  <c r="Z9" i="7"/>
  <c r="AG8" i="7"/>
  <c r="AA8" i="7"/>
  <c r="Z8" i="7"/>
  <c r="AG7" i="7"/>
  <c r="AA7" i="7"/>
  <c r="Z7" i="7"/>
  <c r="AG6" i="7"/>
  <c r="AA6" i="7"/>
  <c r="Z6" i="7"/>
  <c r="AG5" i="7"/>
  <c r="AA5" i="7"/>
  <c r="Z5" i="7"/>
  <c r="AK56" i="7"/>
  <c r="AF56" i="7"/>
  <c r="AE56" i="7"/>
  <c r="AC56" i="7"/>
  <c r="Y56" i="7"/>
  <c r="X56" i="7"/>
  <c r="W56" i="7"/>
  <c r="S56" i="7"/>
  <c r="R56" i="7"/>
  <c r="Q56" i="7"/>
  <c r="P56" i="7"/>
  <c r="O56" i="7"/>
  <c r="M56" i="7"/>
  <c r="L56" i="7"/>
  <c r="AK55" i="7"/>
  <c r="AF55" i="7"/>
  <c r="AC55" i="7"/>
  <c r="AA55" i="7"/>
  <c r="Z55" i="7"/>
  <c r="Y55" i="7"/>
  <c r="X55" i="7"/>
  <c r="W55" i="7"/>
  <c r="V55" i="7"/>
  <c r="U55" i="7"/>
  <c r="S55" i="7"/>
  <c r="R55" i="7"/>
  <c r="Q55" i="7"/>
  <c r="P55" i="7"/>
  <c r="O55" i="7"/>
  <c r="M55" i="7"/>
  <c r="L55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5" i="7"/>
  <c r="AP34" i="7"/>
  <c r="AP33" i="7"/>
  <c r="AP32" i="7"/>
  <c r="AP31" i="7"/>
  <c r="AP30" i="7"/>
  <c r="AP29" i="7"/>
  <c r="AP28" i="7"/>
  <c r="AP27" i="7"/>
  <c r="AP26" i="7"/>
  <c r="AP24" i="7"/>
  <c r="AP23" i="7"/>
  <c r="AP22" i="7"/>
  <c r="AP21" i="7"/>
  <c r="AA56" i="6"/>
  <c r="Z56" i="6"/>
  <c r="AK58" i="6"/>
  <c r="AK57" i="6"/>
  <c r="AK56" i="6"/>
  <c r="AF58" i="6"/>
  <c r="AF57" i="6"/>
  <c r="AF56" i="6"/>
  <c r="AE58" i="6"/>
  <c r="AE56" i="6"/>
  <c r="AE54" i="7" s="1"/>
  <c r="AC58" i="6"/>
  <c r="AC57" i="6"/>
  <c r="AC56" i="6"/>
  <c r="AA57" i="6"/>
  <c r="Z57" i="6"/>
  <c r="Y58" i="6"/>
  <c r="Y57" i="6"/>
  <c r="X58" i="6"/>
  <c r="X57" i="6"/>
  <c r="X56" i="6"/>
  <c r="W58" i="6"/>
  <c r="W57" i="6"/>
  <c r="V57" i="6"/>
  <c r="U57" i="6"/>
  <c r="U56" i="6"/>
  <c r="S58" i="6"/>
  <c r="S57" i="6"/>
  <c r="S56" i="6"/>
  <c r="R58" i="6"/>
  <c r="R57" i="6"/>
  <c r="R56" i="6"/>
  <c r="Q58" i="6"/>
  <c r="Q57" i="6"/>
  <c r="Q56" i="6"/>
  <c r="P58" i="6"/>
  <c r="P57" i="6"/>
  <c r="P56" i="6"/>
  <c r="O58" i="6"/>
  <c r="O57" i="6"/>
  <c r="O56" i="6"/>
  <c r="M58" i="6"/>
  <c r="M57" i="6"/>
  <c r="M56" i="6"/>
  <c r="L58" i="6"/>
  <c r="L57" i="6"/>
  <c r="L56" i="6"/>
  <c r="AK16" i="6"/>
  <c r="AK15" i="6"/>
  <c r="AK10" i="6"/>
  <c r="AK9" i="6"/>
  <c r="AK6" i="6"/>
  <c r="AK5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5" i="6"/>
  <c r="AI34" i="6"/>
  <c r="AI33" i="6"/>
  <c r="AI32" i="6"/>
  <c r="AI31" i="6"/>
  <c r="AI30" i="6"/>
  <c r="AI29" i="6"/>
  <c r="AI28" i="6"/>
  <c r="AI27" i="6"/>
  <c r="AI26" i="6"/>
  <c r="AI24" i="6"/>
  <c r="AI23" i="6"/>
  <c r="AI22" i="6"/>
  <c r="AI21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5" i="6"/>
  <c r="AH34" i="6"/>
  <c r="AH33" i="6"/>
  <c r="AH32" i="6"/>
  <c r="AH31" i="6"/>
  <c r="AH30" i="6"/>
  <c r="AH29" i="6"/>
  <c r="AH28" i="6"/>
  <c r="AH27" i="6"/>
  <c r="AH26" i="6"/>
  <c r="AH24" i="6"/>
  <c r="AH23" i="6"/>
  <c r="AH22" i="6"/>
  <c r="AH21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4" i="6"/>
  <c r="S23" i="6"/>
  <c r="S22" i="6"/>
  <c r="S21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5" i="6"/>
  <c r="Q20" i="6"/>
  <c r="Q19" i="6"/>
  <c r="Q18" i="6"/>
  <c r="Q17" i="6"/>
  <c r="Q12" i="6"/>
  <c r="Q11" i="6"/>
  <c r="Q7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4" i="6"/>
  <c r="O23" i="6"/>
  <c r="O22" i="6"/>
  <c r="O21" i="6"/>
  <c r="N16" i="6"/>
  <c r="N15" i="6"/>
  <c r="N9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4" i="6"/>
  <c r="AP33" i="6"/>
  <c r="AP32" i="6"/>
  <c r="AP31" i="6"/>
  <c r="AP30" i="6"/>
  <c r="AP29" i="6"/>
  <c r="AP28" i="6"/>
  <c r="AP27" i="6"/>
  <c r="AP26" i="6"/>
  <c r="AP24" i="6"/>
  <c r="AP23" i="6"/>
  <c r="AP22" i="6"/>
  <c r="AP21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5" i="6"/>
  <c r="L20" i="6"/>
  <c r="L19" i="6"/>
  <c r="L18" i="6"/>
  <c r="L17" i="6"/>
  <c r="L12" i="6"/>
  <c r="L11" i="6"/>
  <c r="L7" i="6"/>
  <c r="AI56" i="6"/>
  <c r="AH56" i="6"/>
  <c r="F18" i="5"/>
  <c r="V56" i="9"/>
  <c r="F45" i="5"/>
  <c r="E45" i="5"/>
  <c r="F43" i="5"/>
  <c r="D43" i="5"/>
  <c r="E41" i="5"/>
  <c r="D41" i="5"/>
  <c r="F23" i="5"/>
  <c r="D23" i="5"/>
  <c r="AG56" i="6" s="1"/>
  <c r="F20" i="5"/>
  <c r="AD56" i="7" s="1"/>
  <c r="E20" i="5"/>
  <c r="D20" i="5"/>
  <c r="AD56" i="6" s="1"/>
  <c r="E18" i="5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U32" i="4" s="1"/>
  <c r="L32" i="4"/>
  <c r="K32" i="4"/>
  <c r="J32" i="4"/>
  <c r="I32" i="4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U24" i="4" s="1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U16" i="4" s="1"/>
  <c r="L16" i="4"/>
  <c r="K16" i="4"/>
  <c r="J16" i="4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U8" i="4" s="1"/>
  <c r="L8" i="4"/>
  <c r="K8" i="4"/>
  <c r="J8" i="4"/>
  <c r="I8" i="4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U47" i="3" s="1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U41" i="3" s="1"/>
  <c r="L41" i="3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U36" i="3" s="1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U33" i="3" s="1"/>
  <c r="L33" i="3"/>
  <c r="K33" i="3"/>
  <c r="J33" i="3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U28" i="3" s="1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U25" i="3" s="1"/>
  <c r="L25" i="3"/>
  <c r="K25" i="3"/>
  <c r="J25" i="3"/>
  <c r="I25" i="3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T18" i="3"/>
  <c r="S18" i="3"/>
  <c r="R18" i="3"/>
  <c r="Q18" i="3"/>
  <c r="P18" i="3"/>
  <c r="O18" i="3"/>
  <c r="N18" i="3"/>
  <c r="M18" i="3"/>
  <c r="L18" i="3"/>
  <c r="K18" i="3"/>
  <c r="J18" i="3"/>
  <c r="I18" i="3"/>
  <c r="T17" i="3"/>
  <c r="S17" i="3"/>
  <c r="R17" i="3"/>
  <c r="Q17" i="3"/>
  <c r="P17" i="3"/>
  <c r="O17" i="3"/>
  <c r="N17" i="3"/>
  <c r="M17" i="3"/>
  <c r="U17" i="3" s="1"/>
  <c r="L17" i="3"/>
  <c r="K17" i="3"/>
  <c r="J17" i="3"/>
  <c r="I17" i="3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U15" i="3" s="1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T10" i="3"/>
  <c r="S10" i="3"/>
  <c r="R10" i="3"/>
  <c r="Q10" i="3"/>
  <c r="P10" i="3"/>
  <c r="O10" i="3"/>
  <c r="N10" i="3"/>
  <c r="M10" i="3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U9" i="3" s="1"/>
  <c r="J9" i="3"/>
  <c r="I9" i="3"/>
  <c r="T8" i="3"/>
  <c r="S8" i="3"/>
  <c r="R8" i="3"/>
  <c r="Q8" i="3"/>
  <c r="P8" i="3"/>
  <c r="O8" i="3"/>
  <c r="N8" i="3"/>
  <c r="M8" i="3"/>
  <c r="L8" i="3"/>
  <c r="K8" i="3"/>
  <c r="J8" i="3"/>
  <c r="I8" i="3"/>
  <c r="T7" i="3"/>
  <c r="S7" i="3"/>
  <c r="R7" i="3"/>
  <c r="Q7" i="3"/>
  <c r="P7" i="3"/>
  <c r="O7" i="3"/>
  <c r="N7" i="3"/>
  <c r="M7" i="3"/>
  <c r="L7" i="3"/>
  <c r="K7" i="3"/>
  <c r="U7" i="3" s="1"/>
  <c r="J7" i="3"/>
  <c r="I7" i="3"/>
  <c r="T6" i="3"/>
  <c r="S6" i="3"/>
  <c r="R6" i="3"/>
  <c r="Q6" i="3"/>
  <c r="P6" i="3"/>
  <c r="O6" i="3"/>
  <c r="N6" i="3"/>
  <c r="M6" i="3"/>
  <c r="L6" i="3"/>
  <c r="K6" i="3"/>
  <c r="J6" i="3"/>
  <c r="I6" i="3"/>
  <c r="T5" i="3"/>
  <c r="S5" i="3"/>
  <c r="R5" i="3"/>
  <c r="Q5" i="3"/>
  <c r="P5" i="3"/>
  <c r="O5" i="3"/>
  <c r="N5" i="3"/>
  <c r="M5" i="3"/>
  <c r="L5" i="3"/>
  <c r="U5" i="3" s="1"/>
  <c r="K5" i="3"/>
  <c r="J5" i="3"/>
  <c r="I5" i="3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U2" i="3" s="1"/>
  <c r="J2" i="3"/>
  <c r="I2" i="3"/>
  <c r="H1" i="2"/>
  <c r="I20" i="23" l="1"/>
  <c r="I20" i="9"/>
  <c r="I20" i="7"/>
  <c r="I20" i="8"/>
  <c r="I20" i="14"/>
  <c r="I20" i="6"/>
  <c r="I8" i="23"/>
  <c r="I8" i="14"/>
  <c r="I8" i="6"/>
  <c r="I8" i="9"/>
  <c r="I8" i="7"/>
  <c r="I8" i="8"/>
  <c r="I7" i="23"/>
  <c r="AQ59" i="23" s="1"/>
  <c r="I7" i="8"/>
  <c r="I7" i="14"/>
  <c r="I7" i="6"/>
  <c r="I7" i="9"/>
  <c r="I7" i="7"/>
  <c r="I5" i="23"/>
  <c r="BB57" i="23" s="1"/>
  <c r="I5" i="7"/>
  <c r="I5" i="8"/>
  <c r="I5" i="14"/>
  <c r="I5" i="6"/>
  <c r="I5" i="9"/>
  <c r="I6" i="23"/>
  <c r="AU58" i="23" s="1"/>
  <c r="I6" i="8"/>
  <c r="I6" i="14"/>
  <c r="I6" i="6"/>
  <c r="I6" i="9"/>
  <c r="I6" i="7"/>
  <c r="I10" i="23"/>
  <c r="BC62" i="23" s="1"/>
  <c r="I10" i="9"/>
  <c r="I10" i="7"/>
  <c r="I10" i="8"/>
  <c r="I10" i="14"/>
  <c r="I10" i="6"/>
  <c r="I12" i="23"/>
  <c r="AJ64" i="23" s="1"/>
  <c r="I12" i="9"/>
  <c r="I12" i="7"/>
  <c r="I12" i="8"/>
  <c r="I12" i="14"/>
  <c r="I12" i="6"/>
  <c r="I17" i="23"/>
  <c r="AV69" i="23" s="1"/>
  <c r="I17" i="6"/>
  <c r="I17" i="9"/>
  <c r="I17" i="7"/>
  <c r="I17" i="8"/>
  <c r="I17" i="14"/>
  <c r="I18" i="23"/>
  <c r="I18" i="6"/>
  <c r="I18" i="9"/>
  <c r="I18" i="7"/>
  <c r="I18" i="8"/>
  <c r="I18" i="14"/>
  <c r="I19" i="23"/>
  <c r="AM71" i="23" s="1"/>
  <c r="I19" i="6"/>
  <c r="I19" i="9"/>
  <c r="I19" i="7"/>
  <c r="I19" i="8"/>
  <c r="I19" i="14"/>
  <c r="U10" i="3"/>
  <c r="U12" i="3"/>
  <c r="U18" i="3"/>
  <c r="U20" i="3"/>
  <c r="I25" i="23"/>
  <c r="I25" i="7"/>
  <c r="I25" i="6"/>
  <c r="I25" i="9"/>
  <c r="I25" i="8"/>
  <c r="I25" i="14"/>
  <c r="I27" i="23"/>
  <c r="AN79" i="23" s="1"/>
  <c r="I27" i="6"/>
  <c r="I27" i="9"/>
  <c r="I27" i="8"/>
  <c r="I27" i="7"/>
  <c r="I27" i="14"/>
  <c r="I28" i="23"/>
  <c r="AR80" i="23" s="1"/>
  <c r="I28" i="14"/>
  <c r="I28" i="9"/>
  <c r="I28" i="8"/>
  <c r="I28" i="7"/>
  <c r="I28" i="6"/>
  <c r="I29" i="23"/>
  <c r="I29" i="14"/>
  <c r="I29" i="7"/>
  <c r="I29" i="8"/>
  <c r="I29" i="6"/>
  <c r="I29" i="9"/>
  <c r="I33" i="23"/>
  <c r="I33" i="7"/>
  <c r="I33" i="6"/>
  <c r="I33" i="9"/>
  <c r="I33" i="14"/>
  <c r="I33" i="8"/>
  <c r="I35" i="23"/>
  <c r="I35" i="6"/>
  <c r="I35" i="9"/>
  <c r="I35" i="8"/>
  <c r="I35" i="7"/>
  <c r="I35" i="14"/>
  <c r="I36" i="23"/>
  <c r="I36" i="14"/>
  <c r="I36" i="9"/>
  <c r="I36" i="8"/>
  <c r="I36" i="7"/>
  <c r="I36" i="6"/>
  <c r="I37" i="23"/>
  <c r="I37" i="14"/>
  <c r="I37" i="7"/>
  <c r="I37" i="8"/>
  <c r="I37" i="6"/>
  <c r="I37" i="9"/>
  <c r="I41" i="23"/>
  <c r="I41" i="7"/>
  <c r="I41" i="6"/>
  <c r="I41" i="9"/>
  <c r="I41" i="14"/>
  <c r="I41" i="8"/>
  <c r="I43" i="23"/>
  <c r="I43" i="6"/>
  <c r="I43" i="9"/>
  <c r="I43" i="8"/>
  <c r="I43" i="7"/>
  <c r="I43" i="14"/>
  <c r="I44" i="23"/>
  <c r="I44" i="14"/>
  <c r="I44" i="9"/>
  <c r="I44" i="8"/>
  <c r="I44" i="7"/>
  <c r="I44" i="6"/>
  <c r="I45" i="23"/>
  <c r="I45" i="14"/>
  <c r="I45" i="7"/>
  <c r="I45" i="8"/>
  <c r="I45" i="6"/>
  <c r="I45" i="9"/>
  <c r="I47" i="23"/>
  <c r="I47" i="8"/>
  <c r="I47" i="14"/>
  <c r="I47" i="6"/>
  <c r="I47" i="9"/>
  <c r="I47" i="7"/>
  <c r="I49" i="23"/>
  <c r="I49" i="7"/>
  <c r="I49" i="6"/>
  <c r="I49" i="9"/>
  <c r="I49" i="14"/>
  <c r="I49" i="8"/>
  <c r="I50" i="23"/>
  <c r="I50" i="6"/>
  <c r="I50" i="9"/>
  <c r="I50" i="8"/>
  <c r="I50" i="14"/>
  <c r="I50" i="7"/>
  <c r="I51" i="23"/>
  <c r="BA103" i="23" s="1"/>
  <c r="I51" i="6"/>
  <c r="I51" i="9"/>
  <c r="I51" i="8"/>
  <c r="I51" i="7"/>
  <c r="I51" i="14"/>
  <c r="I6" i="24"/>
  <c r="I6" i="12"/>
  <c r="I6" i="11"/>
  <c r="I6" i="10"/>
  <c r="I6" i="13"/>
  <c r="I8" i="24"/>
  <c r="I8" i="13"/>
  <c r="I8" i="12"/>
  <c r="I8" i="11"/>
  <c r="I8" i="10"/>
  <c r="I10" i="24"/>
  <c r="AG52" i="24" s="1"/>
  <c r="I10" i="13"/>
  <c r="I10" i="12"/>
  <c r="I10" i="11"/>
  <c r="I10" i="10"/>
  <c r="I11" i="24"/>
  <c r="I11" i="13"/>
  <c r="I11" i="12"/>
  <c r="I11" i="11"/>
  <c r="I11" i="10"/>
  <c r="I12" i="24"/>
  <c r="AC54" i="24" s="1"/>
  <c r="I12" i="12"/>
  <c r="I12" i="11"/>
  <c r="I12" i="10"/>
  <c r="I12" i="13"/>
  <c r="I14" i="24"/>
  <c r="I14" i="12"/>
  <c r="I14" i="11"/>
  <c r="I14" i="10"/>
  <c r="I14" i="13"/>
  <c r="I16" i="24"/>
  <c r="I16" i="13"/>
  <c r="I16" i="12"/>
  <c r="I16" i="11"/>
  <c r="I16" i="10"/>
  <c r="I18" i="24"/>
  <c r="AG60" i="24" s="1"/>
  <c r="I18" i="13"/>
  <c r="I18" i="12"/>
  <c r="I18" i="11"/>
  <c r="I18" i="10"/>
  <c r="I19" i="24"/>
  <c r="I19" i="13"/>
  <c r="I19" i="12"/>
  <c r="I19" i="11"/>
  <c r="I19" i="10"/>
  <c r="I20" i="24"/>
  <c r="AC62" i="24" s="1"/>
  <c r="I20" i="12"/>
  <c r="I20" i="11"/>
  <c r="I20" i="10"/>
  <c r="I20" i="13"/>
  <c r="I22" i="24"/>
  <c r="I22" i="12"/>
  <c r="I22" i="11"/>
  <c r="I22" i="10"/>
  <c r="I22" i="13"/>
  <c r="I24" i="24"/>
  <c r="I24" i="13"/>
  <c r="I24" i="12"/>
  <c r="I24" i="11"/>
  <c r="I24" i="10"/>
  <c r="I26" i="24"/>
  <c r="AG68" i="24" s="1"/>
  <c r="I26" i="13"/>
  <c r="I26" i="12"/>
  <c r="I26" i="11"/>
  <c r="I26" i="10"/>
  <c r="I27" i="24"/>
  <c r="I27" i="13"/>
  <c r="I27" i="12"/>
  <c r="I27" i="11"/>
  <c r="I27" i="10"/>
  <c r="I28" i="24"/>
  <c r="I28" i="12"/>
  <c r="I28" i="11"/>
  <c r="I28" i="10"/>
  <c r="I28" i="13"/>
  <c r="I30" i="24"/>
  <c r="I30" i="12"/>
  <c r="I30" i="11"/>
  <c r="I30" i="10"/>
  <c r="I30" i="13"/>
  <c r="I32" i="24"/>
  <c r="I32" i="13"/>
  <c r="I32" i="12"/>
  <c r="I32" i="11"/>
  <c r="I32" i="10"/>
  <c r="I34" i="24"/>
  <c r="I34" i="13"/>
  <c r="I34" i="12"/>
  <c r="I34" i="11"/>
  <c r="I34" i="10"/>
  <c r="I35" i="24"/>
  <c r="I35" i="13"/>
  <c r="I35" i="12"/>
  <c r="I35" i="11"/>
  <c r="I35" i="10"/>
  <c r="I36" i="24"/>
  <c r="I36" i="12"/>
  <c r="I36" i="11"/>
  <c r="I36" i="10"/>
  <c r="I36" i="13"/>
  <c r="I38" i="24"/>
  <c r="I38" i="12"/>
  <c r="I38" i="11"/>
  <c r="I38" i="10"/>
  <c r="I38" i="13"/>
  <c r="I40" i="24"/>
  <c r="I40" i="13"/>
  <c r="I40" i="12"/>
  <c r="I40" i="11"/>
  <c r="I40" i="10"/>
  <c r="I31" i="23"/>
  <c r="AN83" i="23" s="1"/>
  <c r="I31" i="8"/>
  <c r="I31" i="14"/>
  <c r="I31" i="6"/>
  <c r="I31" i="9"/>
  <c r="I31" i="7"/>
  <c r="I39" i="23"/>
  <c r="I39" i="8"/>
  <c r="I39" i="14"/>
  <c r="I39" i="6"/>
  <c r="I39" i="9"/>
  <c r="I39" i="7"/>
  <c r="U11" i="3"/>
  <c r="I16" i="23"/>
  <c r="I16" i="14"/>
  <c r="I16" i="6"/>
  <c r="I16" i="9"/>
  <c r="I16" i="7"/>
  <c r="I16" i="8"/>
  <c r="U19" i="3"/>
  <c r="I24" i="23"/>
  <c r="I24" i="7"/>
  <c r="I24" i="6"/>
  <c r="I24" i="9"/>
  <c r="I24" i="14"/>
  <c r="I24" i="8"/>
  <c r="I26" i="23"/>
  <c r="I26" i="6"/>
  <c r="I26" i="9"/>
  <c r="I26" i="8"/>
  <c r="I26" i="14"/>
  <c r="I26" i="7"/>
  <c r="I30" i="23"/>
  <c r="I30" i="8"/>
  <c r="I30" i="14"/>
  <c r="I30" i="6"/>
  <c r="I30" i="9"/>
  <c r="I30" i="7"/>
  <c r="I32" i="23"/>
  <c r="I32" i="7"/>
  <c r="I32" i="6"/>
  <c r="I32" i="14"/>
  <c r="I32" i="9"/>
  <c r="I32" i="8"/>
  <c r="I34" i="23"/>
  <c r="I34" i="6"/>
  <c r="I34" i="9"/>
  <c r="I34" i="8"/>
  <c r="I34" i="14"/>
  <c r="I34" i="7"/>
  <c r="I38" i="23"/>
  <c r="I38" i="8"/>
  <c r="I38" i="14"/>
  <c r="I38" i="6"/>
  <c r="I38" i="9"/>
  <c r="I38" i="7"/>
  <c r="I40" i="23"/>
  <c r="I40" i="7"/>
  <c r="I40" i="6"/>
  <c r="I40" i="14"/>
  <c r="I40" i="9"/>
  <c r="I40" i="8"/>
  <c r="I42" i="23"/>
  <c r="I42" i="6"/>
  <c r="I42" i="9"/>
  <c r="I42" i="8"/>
  <c r="I42" i="14"/>
  <c r="I42" i="7"/>
  <c r="I46" i="23"/>
  <c r="I46" i="8"/>
  <c r="I46" i="14"/>
  <c r="I46" i="6"/>
  <c r="I46" i="9"/>
  <c r="I46" i="7"/>
  <c r="I48" i="23"/>
  <c r="I48" i="7"/>
  <c r="I48" i="6"/>
  <c r="I48" i="14"/>
  <c r="I48" i="9"/>
  <c r="I48" i="8"/>
  <c r="P14" i="5"/>
  <c r="P17" i="5" s="1"/>
  <c r="I5" i="24"/>
  <c r="AE47" i="24" s="1"/>
  <c r="I5" i="12"/>
  <c r="I5" i="11"/>
  <c r="I5" i="10"/>
  <c r="I5" i="13"/>
  <c r="I7" i="24"/>
  <c r="AA49" i="24" s="1"/>
  <c r="I7" i="13"/>
  <c r="I7" i="12"/>
  <c r="I7" i="11"/>
  <c r="I7" i="10"/>
  <c r="I9" i="24"/>
  <c r="I9" i="13"/>
  <c r="I9" i="12"/>
  <c r="I9" i="11"/>
  <c r="I9" i="10"/>
  <c r="I13" i="24"/>
  <c r="AE55" i="24" s="1"/>
  <c r="I13" i="12"/>
  <c r="I13" i="11"/>
  <c r="I13" i="10"/>
  <c r="I13" i="13"/>
  <c r="I15" i="24"/>
  <c r="AA57" i="24" s="1"/>
  <c r="I15" i="13"/>
  <c r="I15" i="12"/>
  <c r="I15" i="11"/>
  <c r="I15" i="10"/>
  <c r="I17" i="24"/>
  <c r="I17" i="13"/>
  <c r="I17" i="12"/>
  <c r="I17" i="11"/>
  <c r="I17" i="10"/>
  <c r="I21" i="24"/>
  <c r="AE63" i="24" s="1"/>
  <c r="I21" i="12"/>
  <c r="I21" i="11"/>
  <c r="I21" i="10"/>
  <c r="I21" i="13"/>
  <c r="I23" i="24"/>
  <c r="AA65" i="24" s="1"/>
  <c r="I23" i="13"/>
  <c r="I23" i="12"/>
  <c r="I23" i="11"/>
  <c r="I23" i="10"/>
  <c r="I25" i="24"/>
  <c r="I25" i="13"/>
  <c r="I25" i="12"/>
  <c r="I25" i="11"/>
  <c r="I25" i="10"/>
  <c r="I29" i="24"/>
  <c r="AG71" i="24" s="1"/>
  <c r="I29" i="12"/>
  <c r="I29" i="11"/>
  <c r="I29" i="10"/>
  <c r="I29" i="13"/>
  <c r="I31" i="24"/>
  <c r="AE73" i="24" s="1"/>
  <c r="I31" i="13"/>
  <c r="I31" i="12"/>
  <c r="I31" i="11"/>
  <c r="I31" i="10"/>
  <c r="I33" i="24"/>
  <c r="I33" i="13"/>
  <c r="I33" i="12"/>
  <c r="I33" i="11"/>
  <c r="I33" i="10"/>
  <c r="I37" i="24"/>
  <c r="AA79" i="24" s="1"/>
  <c r="I37" i="12"/>
  <c r="I37" i="11"/>
  <c r="I37" i="10"/>
  <c r="I37" i="13"/>
  <c r="I39" i="24"/>
  <c r="I39" i="13"/>
  <c r="I39" i="12"/>
  <c r="I39" i="11"/>
  <c r="I39" i="10"/>
  <c r="I41" i="24"/>
  <c r="I41" i="13"/>
  <c r="I41" i="12"/>
  <c r="I41" i="11"/>
  <c r="I41" i="10"/>
  <c r="U6" i="3"/>
  <c r="U8" i="3"/>
  <c r="AM57" i="7"/>
  <c r="AJ4" i="16"/>
  <c r="AT4" i="16"/>
  <c r="T48" i="12"/>
  <c r="AT3" i="16"/>
  <c r="AJ3" i="16"/>
  <c r="AT2" i="16"/>
  <c r="AT7" i="16" s="1"/>
  <c r="AT6" i="16"/>
  <c r="AT8" i="16" s="1"/>
  <c r="AJ6" i="16"/>
  <c r="AO2" i="16"/>
  <c r="AO7" i="16" s="1"/>
  <c r="AO6" i="16"/>
  <c r="AT5" i="16"/>
  <c r="AA9" i="21"/>
  <c r="AA10" i="21"/>
  <c r="AA11" i="21"/>
  <c r="AA12" i="21"/>
  <c r="AO5" i="16"/>
  <c r="AC32" i="17"/>
  <c r="J809" i="21"/>
  <c r="M809" i="21" s="1"/>
  <c r="J813" i="21"/>
  <c r="M813" i="21" s="1"/>
  <c r="J806" i="21"/>
  <c r="M806" i="21" s="1"/>
  <c r="J800" i="21"/>
  <c r="M800" i="21" s="1"/>
  <c r="J787" i="21"/>
  <c r="M787" i="21" s="1"/>
  <c r="J811" i="21"/>
  <c r="M811" i="21" s="1"/>
  <c r="J805" i="21"/>
  <c r="M805" i="21" s="1"/>
  <c r="J798" i="21"/>
  <c r="M798" i="21" s="1"/>
  <c r="J792" i="21"/>
  <c r="M792" i="21" s="1"/>
  <c r="J816" i="21"/>
  <c r="M816" i="21" s="1"/>
  <c r="J808" i="21"/>
  <c r="M808" i="21" s="1"/>
  <c r="J799" i="21"/>
  <c r="M799" i="21" s="1"/>
  <c r="J790" i="21"/>
  <c r="M790" i="21" s="1"/>
  <c r="J782" i="21"/>
  <c r="M782" i="21" s="1"/>
  <c r="J815" i="21"/>
  <c r="M815" i="21" s="1"/>
  <c r="J807" i="21"/>
  <c r="M807" i="21" s="1"/>
  <c r="J814" i="21"/>
  <c r="M814" i="21" s="1"/>
  <c r="J797" i="21"/>
  <c r="M797" i="21" s="1"/>
  <c r="J789" i="21"/>
  <c r="M789" i="21" s="1"/>
  <c r="U10" i="21" s="1"/>
  <c r="AI10" i="21" s="1"/>
  <c r="J804" i="21"/>
  <c r="M804" i="21" s="1"/>
  <c r="J796" i="21"/>
  <c r="M796" i="21" s="1"/>
  <c r="J788" i="21"/>
  <c r="M788" i="21" s="1"/>
  <c r="J812" i="21"/>
  <c r="M812" i="21" s="1"/>
  <c r="J803" i="21"/>
  <c r="M803" i="21" s="1"/>
  <c r="J795" i="21"/>
  <c r="M795" i="21" s="1"/>
  <c r="J786" i="21"/>
  <c r="M786" i="21" s="1"/>
  <c r="J810" i="21"/>
  <c r="M810" i="21" s="1"/>
  <c r="J802" i="21"/>
  <c r="M802" i="21" s="1"/>
  <c r="J794" i="21"/>
  <c r="M794" i="21" s="1"/>
  <c r="J785" i="21"/>
  <c r="M785" i="21" s="1"/>
  <c r="J793" i="21"/>
  <c r="M793" i="21" s="1"/>
  <c r="J784" i="21"/>
  <c r="M784" i="21" s="1"/>
  <c r="AC31" i="17"/>
  <c r="AC89" i="17"/>
  <c r="AC97" i="17"/>
  <c r="AC105" i="17"/>
  <c r="AC113" i="17"/>
  <c r="J783" i="21"/>
  <c r="M783" i="21" s="1"/>
  <c r="J791" i="21"/>
  <c r="M791" i="21" s="1"/>
  <c r="AC203" i="17"/>
  <c r="AC211" i="17"/>
  <c r="AC219" i="17"/>
  <c r="AC227" i="17"/>
  <c r="AC235" i="17"/>
  <c r="AC243" i="17"/>
  <c r="AC251" i="17"/>
  <c r="AC259" i="17"/>
  <c r="AC283" i="17"/>
  <c r="AC291" i="17"/>
  <c r="AC331" i="17"/>
  <c r="AD10" i="21"/>
  <c r="AC49" i="17"/>
  <c r="AC73" i="17"/>
  <c r="AC78" i="17"/>
  <c r="AC81" i="17"/>
  <c r="AC86" i="17"/>
  <c r="AC161" i="17"/>
  <c r="AI5" i="17" s="1"/>
  <c r="AC169" i="17"/>
  <c r="AC501" i="17"/>
  <c r="AD9" i="21"/>
  <c r="AC62" i="17"/>
  <c r="AC160" i="17"/>
  <c r="AC168" i="17"/>
  <c r="AC186" i="17"/>
  <c r="AC188" i="17"/>
  <c r="AC192" i="17"/>
  <c r="AC194" i="17"/>
  <c r="AC196" i="17"/>
  <c r="AC505" i="17"/>
  <c r="AC510" i="17"/>
  <c r="AC329" i="17"/>
  <c r="AC337" i="17"/>
  <c r="AC345" i="17"/>
  <c r="AC353" i="17"/>
  <c r="AC121" i="17"/>
  <c r="AC129" i="17"/>
  <c r="AC137" i="17"/>
  <c r="AC145" i="17"/>
  <c r="AC153" i="17"/>
  <c r="AC204" i="17"/>
  <c r="AC324" i="17"/>
  <c r="AC332" i="17"/>
  <c r="AC340" i="17"/>
  <c r="AC348" i="17"/>
  <c r="AC444" i="17"/>
  <c r="AC38" i="17"/>
  <c r="AC43" i="17"/>
  <c r="AC45" i="17"/>
  <c r="AC166" i="17"/>
  <c r="AC500" i="17"/>
  <c r="AC327" i="17"/>
  <c r="AC335" i="17"/>
  <c r="AC343" i="17"/>
  <c r="AC359" i="17"/>
  <c r="AC103" i="17"/>
  <c r="AC111" i="17"/>
  <c r="AC119" i="17"/>
  <c r="AC127" i="17"/>
  <c r="AC135" i="17"/>
  <c r="AC143" i="17"/>
  <c r="AC151" i="17"/>
  <c r="AC346" i="17"/>
  <c r="AC46" i="17"/>
  <c r="AC51" i="17"/>
  <c r="AC53" i="17"/>
  <c r="AC68" i="17"/>
  <c r="AC508" i="17"/>
  <c r="AC205" i="17"/>
  <c r="AC213" i="17"/>
  <c r="AC221" i="17"/>
  <c r="AC229" i="17"/>
  <c r="AC237" i="17"/>
  <c r="AC261" i="17"/>
  <c r="AC325" i="17"/>
  <c r="AC333" i="17"/>
  <c r="AC341" i="17"/>
  <c r="AC357" i="17"/>
  <c r="AC66" i="17"/>
  <c r="AC75" i="17"/>
  <c r="AC83" i="17"/>
  <c r="AC163" i="17"/>
  <c r="AC171" i="17"/>
  <c r="AC189" i="17"/>
  <c r="AC197" i="17"/>
  <c r="AC502" i="17"/>
  <c r="AI5" i="21"/>
  <c r="X4" i="21"/>
  <c r="AF4" i="21" s="1"/>
  <c r="X6" i="21"/>
  <c r="AF6" i="21" s="1"/>
  <c r="AJ5" i="21"/>
  <c r="AG5" i="21"/>
  <c r="AJ4" i="21"/>
  <c r="O48" i="12"/>
  <c r="D18" i="5"/>
  <c r="AB56" i="6" s="1"/>
  <c r="P48" i="12"/>
  <c r="AX60" i="23"/>
  <c r="AP60" i="23"/>
  <c r="AW60" i="23"/>
  <c r="AO60" i="23"/>
  <c r="BD60" i="23"/>
  <c r="AV60" i="23"/>
  <c r="AN60" i="23"/>
  <c r="BB60" i="23"/>
  <c r="AT60" i="23"/>
  <c r="AL60" i="23"/>
  <c r="BA60" i="23"/>
  <c r="AS60" i="23"/>
  <c r="AK60" i="23"/>
  <c r="AX68" i="23"/>
  <c r="AP68" i="23"/>
  <c r="AW68" i="23"/>
  <c r="AO68" i="23"/>
  <c r="BD68" i="23"/>
  <c r="AV68" i="23"/>
  <c r="AN68" i="23"/>
  <c r="BB68" i="23"/>
  <c r="AT68" i="23"/>
  <c r="AL68" i="23"/>
  <c r="BA68" i="23"/>
  <c r="AS68" i="23"/>
  <c r="AK68" i="23"/>
  <c r="BA76" i="23"/>
  <c r="AS76" i="23"/>
  <c r="AK76" i="23"/>
  <c r="AY76" i="23"/>
  <c r="AQ76" i="23"/>
  <c r="AI76" i="23"/>
  <c r="R76" i="23"/>
  <c r="AU76" i="23"/>
  <c r="AJ76" i="23"/>
  <c r="BD76" i="23"/>
  <c r="BB76" i="23"/>
  <c r="AP76" i="23"/>
  <c r="AZ76" i="23"/>
  <c r="AO76" i="23"/>
  <c r="AX76" i="23"/>
  <c r="AN76" i="23"/>
  <c r="AW76" i="23"/>
  <c r="AM76" i="23"/>
  <c r="P76" i="23"/>
  <c r="AR76" i="23"/>
  <c r="AL76" i="23"/>
  <c r="BC76" i="23"/>
  <c r="AV76" i="23"/>
  <c r="AW84" i="23"/>
  <c r="AO84" i="23"/>
  <c r="BD84" i="23"/>
  <c r="AV84" i="23"/>
  <c r="AN84" i="23"/>
  <c r="BA84" i="23"/>
  <c r="AS84" i="23"/>
  <c r="AK84" i="23"/>
  <c r="AZ84" i="23"/>
  <c r="AY84" i="23"/>
  <c r="AQ84" i="23"/>
  <c r="AI84" i="23"/>
  <c r="AU84" i="23"/>
  <c r="AT84" i="23"/>
  <c r="AP84" i="23"/>
  <c r="AM84" i="23"/>
  <c r="BC84" i="23"/>
  <c r="AL84" i="23"/>
  <c r="BB84" i="23"/>
  <c r="AJ84" i="23"/>
  <c r="AX84" i="23"/>
  <c r="AR84" i="23"/>
  <c r="AW92" i="23"/>
  <c r="AO92" i="23"/>
  <c r="BB92" i="23"/>
  <c r="AT92" i="23"/>
  <c r="AL92" i="23"/>
  <c r="AZ92" i="23"/>
  <c r="AR92" i="23"/>
  <c r="AJ92" i="23"/>
  <c r="AY92" i="23"/>
  <c r="AQ92" i="23"/>
  <c r="AI92" i="23"/>
  <c r="AV92" i="23"/>
  <c r="AU92" i="23"/>
  <c r="BD92" i="23"/>
  <c r="AN92" i="23"/>
  <c r="BC92" i="23"/>
  <c r="AM92" i="23"/>
  <c r="BA92" i="23"/>
  <c r="AK92" i="23"/>
  <c r="AX92" i="23"/>
  <c r="AS92" i="23"/>
  <c r="AP92" i="23"/>
  <c r="AW100" i="23"/>
  <c r="AO100" i="23"/>
  <c r="BB100" i="23"/>
  <c r="AT100" i="23"/>
  <c r="AL100" i="23"/>
  <c r="AZ100" i="23"/>
  <c r="AR100" i="23"/>
  <c r="AJ100" i="23"/>
  <c r="AY100" i="23"/>
  <c r="AQ100" i="23"/>
  <c r="AI100" i="23"/>
  <c r="AV100" i="23"/>
  <c r="AU100" i="23"/>
  <c r="BD100" i="23"/>
  <c r="AN100" i="23"/>
  <c r="BC100" i="23"/>
  <c r="AM100" i="23"/>
  <c r="BA100" i="23"/>
  <c r="AK100" i="23"/>
  <c r="AX100" i="23"/>
  <c r="AS100" i="23"/>
  <c r="AP100" i="23"/>
  <c r="AL57" i="23"/>
  <c r="AV57" i="23"/>
  <c r="AM58" i="23"/>
  <c r="AY58" i="23"/>
  <c r="AU59" i="23"/>
  <c r="AI60" i="23"/>
  <c r="BC60" i="23"/>
  <c r="AZ62" i="23"/>
  <c r="AY64" i="23"/>
  <c r="AR68" i="23"/>
  <c r="AZ69" i="23"/>
  <c r="BD69" i="23"/>
  <c r="AU69" i="23"/>
  <c r="AM69" i="23"/>
  <c r="BC69" i="23"/>
  <c r="AT69" i="23"/>
  <c r="AL69" i="23"/>
  <c r="BB69" i="23"/>
  <c r="AS69" i="23"/>
  <c r="AK69" i="23"/>
  <c r="BA69" i="23"/>
  <c r="AR69" i="23"/>
  <c r="AJ69" i="23"/>
  <c r="AX69" i="23"/>
  <c r="AP69" i="23"/>
  <c r="AW69" i="23"/>
  <c r="AO69" i="23"/>
  <c r="AW77" i="23"/>
  <c r="AO77" i="23"/>
  <c r="BC77" i="23"/>
  <c r="AU77" i="23"/>
  <c r="AM77" i="23"/>
  <c r="BD77" i="23"/>
  <c r="AS77" i="23"/>
  <c r="AI77" i="23"/>
  <c r="BB77" i="23"/>
  <c r="AR77" i="23"/>
  <c r="AZ77" i="23"/>
  <c r="AP77" i="23"/>
  <c r="AY77" i="23"/>
  <c r="AN77" i="23"/>
  <c r="AX77" i="23"/>
  <c r="AL77" i="23"/>
  <c r="AV77" i="23"/>
  <c r="AK77" i="23"/>
  <c r="AJ77" i="23"/>
  <c r="BA77" i="23"/>
  <c r="AT77" i="23"/>
  <c r="BA85" i="23"/>
  <c r="AS85" i="23"/>
  <c r="AK85" i="23"/>
  <c r="AZ85" i="23"/>
  <c r="AR85" i="23"/>
  <c r="AJ85" i="23"/>
  <c r="AW85" i="23"/>
  <c r="AO85" i="23"/>
  <c r="BD85" i="23"/>
  <c r="AV85" i="23"/>
  <c r="AN85" i="23"/>
  <c r="BC85" i="23"/>
  <c r="AU85" i="23"/>
  <c r="AM85" i="23"/>
  <c r="AT85" i="23"/>
  <c r="AQ85" i="23"/>
  <c r="AL85" i="23"/>
  <c r="AI85" i="23"/>
  <c r="BB85" i="23"/>
  <c r="AY85" i="23"/>
  <c r="AX85" i="23"/>
  <c r="AP85" i="23"/>
  <c r="BA93" i="23"/>
  <c r="AS93" i="23"/>
  <c r="AK93" i="23"/>
  <c r="AX93" i="23"/>
  <c r="AP93" i="23"/>
  <c r="BD93" i="23"/>
  <c r="AV93" i="23"/>
  <c r="AN93" i="23"/>
  <c r="BC93" i="23"/>
  <c r="AU93" i="23"/>
  <c r="AM93" i="23"/>
  <c r="AZ93" i="23"/>
  <c r="AJ93" i="23"/>
  <c r="AY93" i="23"/>
  <c r="AI93" i="23"/>
  <c r="AR93" i="23"/>
  <c r="AQ93" i="23"/>
  <c r="AO93" i="23"/>
  <c r="BB93" i="23"/>
  <c r="AW93" i="23"/>
  <c r="AT93" i="23"/>
  <c r="AL93" i="23"/>
  <c r="BA101" i="23"/>
  <c r="AS101" i="23"/>
  <c r="AK101" i="23"/>
  <c r="AX101" i="23"/>
  <c r="AP101" i="23"/>
  <c r="BD101" i="23"/>
  <c r="AV101" i="23"/>
  <c r="AN101" i="23"/>
  <c r="BC101" i="23"/>
  <c r="AU101" i="23"/>
  <c r="AM101" i="23"/>
  <c r="AZ101" i="23"/>
  <c r="AJ101" i="23"/>
  <c r="AY101" i="23"/>
  <c r="AI101" i="23"/>
  <c r="AR101" i="23"/>
  <c r="AQ101" i="23"/>
  <c r="AO101" i="23"/>
  <c r="AW101" i="23"/>
  <c r="AT101" i="23"/>
  <c r="AL101" i="23"/>
  <c r="BB101" i="23"/>
  <c r="AM57" i="23"/>
  <c r="AY57" i="23"/>
  <c r="AN58" i="23"/>
  <c r="AZ58" i="23"/>
  <c r="AI59" i="23"/>
  <c r="AV59" i="23"/>
  <c r="AJ60" i="23"/>
  <c r="AI62" i="23"/>
  <c r="AZ64" i="23"/>
  <c r="AU68" i="23"/>
  <c r="AY69" i="23"/>
  <c r="AX62" i="23"/>
  <c r="AP62" i="23"/>
  <c r="AW62" i="23"/>
  <c r="AO62" i="23"/>
  <c r="BD62" i="23"/>
  <c r="AV62" i="23"/>
  <c r="AN62" i="23"/>
  <c r="BB62" i="23"/>
  <c r="AT62" i="23"/>
  <c r="AL62" i="23"/>
  <c r="BA62" i="23"/>
  <c r="AS62" i="23"/>
  <c r="AK62" i="23"/>
  <c r="BA70" i="23"/>
  <c r="AS70" i="23"/>
  <c r="AK70" i="23"/>
  <c r="BD70" i="23"/>
  <c r="AV70" i="23"/>
  <c r="AN70" i="23"/>
  <c r="BC70" i="23"/>
  <c r="AR70" i="23"/>
  <c r="BB70" i="23"/>
  <c r="AQ70" i="23"/>
  <c r="AZ70" i="23"/>
  <c r="AP70" i="23"/>
  <c r="AY70" i="23"/>
  <c r="AO70" i="23"/>
  <c r="AX70" i="23"/>
  <c r="AM70" i="23"/>
  <c r="AW70" i="23"/>
  <c r="AL70" i="23"/>
  <c r="AU70" i="23"/>
  <c r="AJ70" i="23"/>
  <c r="BA78" i="23"/>
  <c r="AS78" i="23"/>
  <c r="AK78" i="23"/>
  <c r="AY78" i="23"/>
  <c r="AQ78" i="23"/>
  <c r="AI78" i="23"/>
  <c r="R78" i="23"/>
  <c r="BC78" i="23"/>
  <c r="AR78" i="23"/>
  <c r="BB78" i="23"/>
  <c r="AP78" i="23"/>
  <c r="AX78" i="23"/>
  <c r="AN78" i="23"/>
  <c r="AW78" i="23"/>
  <c r="AM78" i="23"/>
  <c r="P78" i="23"/>
  <c r="AV78" i="23"/>
  <c r="AL78" i="23"/>
  <c r="AU78" i="23"/>
  <c r="AJ78" i="23"/>
  <c r="BD78" i="23"/>
  <c r="AZ78" i="23"/>
  <c r="AT78" i="23"/>
  <c r="AW86" i="23"/>
  <c r="AO86" i="23"/>
  <c r="BD86" i="23"/>
  <c r="AV86" i="23"/>
  <c r="AN86" i="23"/>
  <c r="BA86" i="23"/>
  <c r="AS86" i="23"/>
  <c r="AK86" i="23"/>
  <c r="AZ86" i="23"/>
  <c r="AR86" i="23"/>
  <c r="AJ86" i="23"/>
  <c r="AY86" i="23"/>
  <c r="AQ86" i="23"/>
  <c r="AI86" i="23"/>
  <c r="AT86" i="23"/>
  <c r="AP86" i="23"/>
  <c r="AL86" i="23"/>
  <c r="BC86" i="23"/>
  <c r="BB86" i="23"/>
  <c r="AX86" i="23"/>
  <c r="AU86" i="23"/>
  <c r="AM86" i="23"/>
  <c r="AW94" i="23"/>
  <c r="AO94" i="23"/>
  <c r="BB94" i="23"/>
  <c r="AT94" i="23"/>
  <c r="AL94" i="23"/>
  <c r="AZ94" i="23"/>
  <c r="AR94" i="23"/>
  <c r="AJ94" i="23"/>
  <c r="AY94" i="23"/>
  <c r="AQ94" i="23"/>
  <c r="AI94" i="23"/>
  <c r="BD94" i="23"/>
  <c r="AN94" i="23"/>
  <c r="BC94" i="23"/>
  <c r="AM94" i="23"/>
  <c r="AV94" i="23"/>
  <c r="AU94" i="23"/>
  <c r="AS94" i="23"/>
  <c r="BA94" i="23"/>
  <c r="AX94" i="23"/>
  <c r="AP94" i="23"/>
  <c r="AK94" i="23"/>
  <c r="AX102" i="23"/>
  <c r="BC102" i="23"/>
  <c r="BA102" i="23"/>
  <c r="AW102" i="23"/>
  <c r="AO102" i="23"/>
  <c r="AT102" i="23"/>
  <c r="AL102" i="23"/>
  <c r="BB102" i="23"/>
  <c r="AR102" i="23"/>
  <c r="AJ102" i="23"/>
  <c r="AZ102" i="23"/>
  <c r="AQ102" i="23"/>
  <c r="AI102" i="23"/>
  <c r="AN102" i="23"/>
  <c r="AM102" i="23"/>
  <c r="AY102" i="23"/>
  <c r="AV102" i="23"/>
  <c r="AU102" i="23"/>
  <c r="AS102" i="23"/>
  <c r="BD102" i="23"/>
  <c r="AP102" i="23"/>
  <c r="AK102" i="23"/>
  <c r="AN57" i="23"/>
  <c r="AZ57" i="23"/>
  <c r="AO58" i="23"/>
  <c r="BC58" i="23"/>
  <c r="AJ59" i="23"/>
  <c r="AY59" i="23"/>
  <c r="AM60" i="23"/>
  <c r="AJ62" i="23"/>
  <c r="AI64" i="23"/>
  <c r="BC64" i="23"/>
  <c r="AY68" i="23"/>
  <c r="AW71" i="23"/>
  <c r="AO71" i="23"/>
  <c r="AZ71" i="23"/>
  <c r="AR71" i="23"/>
  <c r="AJ71" i="23"/>
  <c r="AY71" i="23"/>
  <c r="AQ71" i="23"/>
  <c r="AI71" i="23"/>
  <c r="AX71" i="23"/>
  <c r="AL71" i="23"/>
  <c r="AV71" i="23"/>
  <c r="AK71" i="23"/>
  <c r="AU71" i="23"/>
  <c r="AT71" i="23"/>
  <c r="BD71" i="23"/>
  <c r="AS71" i="23"/>
  <c r="BC71" i="23"/>
  <c r="AP71" i="23"/>
  <c r="BB71" i="23"/>
  <c r="AN71" i="23"/>
  <c r="AW79" i="23"/>
  <c r="AO79" i="23"/>
  <c r="P79" i="23"/>
  <c r="BC79" i="23"/>
  <c r="AU79" i="23"/>
  <c r="AM79" i="23"/>
  <c r="BA79" i="23"/>
  <c r="AQ79" i="23"/>
  <c r="AZ79" i="23"/>
  <c r="AP79" i="23"/>
  <c r="AX79" i="23"/>
  <c r="AL79" i="23"/>
  <c r="AV79" i="23"/>
  <c r="AK79" i="23"/>
  <c r="AT79" i="23"/>
  <c r="AJ79" i="23"/>
  <c r="BD79" i="23"/>
  <c r="AS79" i="23"/>
  <c r="AI79" i="23"/>
  <c r="R79" i="23"/>
  <c r="BB79" i="23"/>
  <c r="AY79" i="23"/>
  <c r="AR79" i="23"/>
  <c r="AX87" i="23"/>
  <c r="BD87" i="23"/>
  <c r="BB87" i="23"/>
  <c r="AS87" i="23"/>
  <c r="AK87" i="23"/>
  <c r="BA87" i="23"/>
  <c r="AR87" i="23"/>
  <c r="AJ87" i="23"/>
  <c r="AW87" i="23"/>
  <c r="AO87" i="23"/>
  <c r="AV87" i="23"/>
  <c r="AN87" i="23"/>
  <c r="AU87" i="23"/>
  <c r="AM87" i="23"/>
  <c r="AQ87" i="23"/>
  <c r="AP87" i="23"/>
  <c r="AI87" i="23"/>
  <c r="BC87" i="23"/>
  <c r="AZ87" i="23"/>
  <c r="AY87" i="23"/>
  <c r="AT87" i="23"/>
  <c r="AL87" i="23"/>
  <c r="BA95" i="23"/>
  <c r="AS95" i="23"/>
  <c r="AK95" i="23"/>
  <c r="AX95" i="23"/>
  <c r="AP95" i="23"/>
  <c r="BD95" i="23"/>
  <c r="AV95" i="23"/>
  <c r="AN95" i="23"/>
  <c r="BC95" i="23"/>
  <c r="AU95" i="23"/>
  <c r="AM95" i="23"/>
  <c r="AR95" i="23"/>
  <c r="AQ95" i="23"/>
  <c r="AZ95" i="23"/>
  <c r="AJ95" i="23"/>
  <c r="AY95" i="23"/>
  <c r="AI95" i="23"/>
  <c r="AW95" i="23"/>
  <c r="BB95" i="23"/>
  <c r="AT95" i="23"/>
  <c r="AO95" i="23"/>
  <c r="AL95" i="23"/>
  <c r="BB103" i="23"/>
  <c r="AT103" i="23"/>
  <c r="AL103" i="23"/>
  <c r="AY103" i="23"/>
  <c r="AQ103" i="23"/>
  <c r="AI103" i="23"/>
  <c r="AW103" i="23"/>
  <c r="AO103" i="23"/>
  <c r="BD103" i="23"/>
  <c r="AV103" i="23"/>
  <c r="AN103" i="23"/>
  <c r="AZ103" i="23"/>
  <c r="AJ103" i="23"/>
  <c r="AS103" i="23"/>
  <c r="AP103" i="23"/>
  <c r="BC103" i="23"/>
  <c r="AM103" i="23"/>
  <c r="AX103" i="23"/>
  <c r="AU103" i="23"/>
  <c r="AK103" i="23"/>
  <c r="AR103" i="23"/>
  <c r="AQ57" i="23"/>
  <c r="BA57" i="23"/>
  <c r="AQ58" i="23"/>
  <c r="BD58" i="23"/>
  <c r="AK59" i="23"/>
  <c r="AZ59" i="23"/>
  <c r="AQ60" i="23"/>
  <c r="AM62" i="23"/>
  <c r="AZ68" i="23"/>
  <c r="BA71" i="23"/>
  <c r="AX64" i="23"/>
  <c r="AP64" i="23"/>
  <c r="AW64" i="23"/>
  <c r="AO64" i="23"/>
  <c r="BD64" i="23"/>
  <c r="AV64" i="23"/>
  <c r="AN64" i="23"/>
  <c r="BB64" i="23"/>
  <c r="AT64" i="23"/>
  <c r="AL64" i="23"/>
  <c r="BA64" i="23"/>
  <c r="AS64" i="23"/>
  <c r="AK64" i="23"/>
  <c r="BA72" i="23"/>
  <c r="AS72" i="23"/>
  <c r="AK72" i="23"/>
  <c r="AW72" i="23"/>
  <c r="AO72" i="23"/>
  <c r="BD72" i="23"/>
  <c r="AV72" i="23"/>
  <c r="AN72" i="23"/>
  <c r="BC72" i="23"/>
  <c r="AU72" i="23"/>
  <c r="AM72" i="23"/>
  <c r="AZ72" i="23"/>
  <c r="AJ72" i="23"/>
  <c r="AY72" i="23"/>
  <c r="AI72" i="23"/>
  <c r="AX72" i="23"/>
  <c r="AT72" i="23"/>
  <c r="AR72" i="23"/>
  <c r="AQ72" i="23"/>
  <c r="AP72" i="23"/>
  <c r="AW80" i="23"/>
  <c r="AO80" i="23"/>
  <c r="BD80" i="23"/>
  <c r="AV80" i="23"/>
  <c r="AN80" i="23"/>
  <c r="BA80" i="23"/>
  <c r="AS80" i="23"/>
  <c r="AK80" i="23"/>
  <c r="AY80" i="23"/>
  <c r="AQ80" i="23"/>
  <c r="AI80" i="23"/>
  <c r="R80" i="23"/>
  <c r="AU80" i="23"/>
  <c r="AT80" i="23"/>
  <c r="AP80" i="23"/>
  <c r="BC80" i="23"/>
  <c r="AM80" i="23"/>
  <c r="BB80" i="23"/>
  <c r="AL80" i="23"/>
  <c r="AZ80" i="23"/>
  <c r="AJ80" i="23"/>
  <c r="P80" i="23"/>
  <c r="AX80" i="23"/>
  <c r="AW88" i="23"/>
  <c r="AO88" i="23"/>
  <c r="BB88" i="23"/>
  <c r="AT88" i="23"/>
  <c r="AL88" i="23"/>
  <c r="AZ88" i="23"/>
  <c r="AR88" i="23"/>
  <c r="AJ88" i="23"/>
  <c r="AY88" i="23"/>
  <c r="AV88" i="23"/>
  <c r="AI88" i="23"/>
  <c r="AU88" i="23"/>
  <c r="BD88" i="23"/>
  <c r="AP88" i="23"/>
  <c r="BC88" i="23"/>
  <c r="AN88" i="23"/>
  <c r="BA88" i="23"/>
  <c r="AM88" i="23"/>
  <c r="AX88" i="23"/>
  <c r="AS88" i="23"/>
  <c r="AQ88" i="23"/>
  <c r="AK88" i="23"/>
  <c r="AW96" i="23"/>
  <c r="AO96" i="23"/>
  <c r="BB96" i="23"/>
  <c r="AT96" i="23"/>
  <c r="AL96" i="23"/>
  <c r="AZ96" i="23"/>
  <c r="AR96" i="23"/>
  <c r="AJ96" i="23"/>
  <c r="AY96" i="23"/>
  <c r="AQ96" i="23"/>
  <c r="AI96" i="23"/>
  <c r="AV96" i="23"/>
  <c r="AU96" i="23"/>
  <c r="BD96" i="23"/>
  <c r="AN96" i="23"/>
  <c r="BC96" i="23"/>
  <c r="AM96" i="23"/>
  <c r="BA96" i="23"/>
  <c r="AK96" i="23"/>
  <c r="AX96" i="23"/>
  <c r="AS96" i="23"/>
  <c r="AP96" i="23"/>
  <c r="AR57" i="23"/>
  <c r="AR58" i="23"/>
  <c r="AM59" i="23"/>
  <c r="BC59" i="23"/>
  <c r="AR60" i="23"/>
  <c r="AQ62" i="23"/>
  <c r="AM64" i="23"/>
  <c r="AI68" i="23"/>
  <c r="BC68" i="23"/>
  <c r="AX57" i="23"/>
  <c r="AP57" i="23"/>
  <c r="AW57" i="23"/>
  <c r="AO57" i="23"/>
  <c r="BA81" i="23"/>
  <c r="AS81" i="23"/>
  <c r="AK81" i="23"/>
  <c r="AZ81" i="23"/>
  <c r="AR81" i="23"/>
  <c r="AJ81" i="23"/>
  <c r="AW81" i="23"/>
  <c r="AO81" i="23"/>
  <c r="P81" i="23"/>
  <c r="BC81" i="23"/>
  <c r="AU81" i="23"/>
  <c r="AM81" i="23"/>
  <c r="AY81" i="23"/>
  <c r="AI81" i="23"/>
  <c r="R81" i="23"/>
  <c r="AX81" i="23"/>
  <c r="AT81" i="23"/>
  <c r="AQ81" i="23"/>
  <c r="AP81" i="23"/>
  <c r="BD81" i="23"/>
  <c r="AN81" i="23"/>
  <c r="BB81" i="23"/>
  <c r="AV81" i="23"/>
  <c r="AL81" i="23"/>
  <c r="BA89" i="23"/>
  <c r="AS89" i="23"/>
  <c r="AK89" i="23"/>
  <c r="AX89" i="23"/>
  <c r="AP89" i="23"/>
  <c r="BD89" i="23"/>
  <c r="AV89" i="23"/>
  <c r="AN89" i="23"/>
  <c r="BC89" i="23"/>
  <c r="AU89" i="23"/>
  <c r="AM89" i="23"/>
  <c r="AZ89" i="23"/>
  <c r="AJ89" i="23"/>
  <c r="AY89" i="23"/>
  <c r="AI89" i="23"/>
  <c r="AR89" i="23"/>
  <c r="AQ89" i="23"/>
  <c r="AO89" i="23"/>
  <c r="AW89" i="23"/>
  <c r="AT89" i="23"/>
  <c r="AL89" i="23"/>
  <c r="BA97" i="23"/>
  <c r="AS97" i="23"/>
  <c r="AK97" i="23"/>
  <c r="AX97" i="23"/>
  <c r="AP97" i="23"/>
  <c r="BD97" i="23"/>
  <c r="AV97" i="23"/>
  <c r="AN97" i="23"/>
  <c r="BC97" i="23"/>
  <c r="AU97" i="23"/>
  <c r="AM97" i="23"/>
  <c r="AZ97" i="23"/>
  <c r="AJ97" i="23"/>
  <c r="AY97" i="23"/>
  <c r="AI97" i="23"/>
  <c r="AR97" i="23"/>
  <c r="AQ97" i="23"/>
  <c r="AO97" i="23"/>
  <c r="BB97" i="23"/>
  <c r="AW97" i="23"/>
  <c r="AT97" i="23"/>
  <c r="AL97" i="23"/>
  <c r="AI57" i="23"/>
  <c r="AS57" i="23"/>
  <c r="BC57" i="23"/>
  <c r="AN59" i="23"/>
  <c r="BD59" i="23"/>
  <c r="AU60" i="23"/>
  <c r="AR62" i="23"/>
  <c r="AQ64" i="23"/>
  <c r="AJ68" i="23"/>
  <c r="AI69" i="23"/>
  <c r="AL72" i="23"/>
  <c r="AT76" i="23"/>
  <c r="AX58" i="23"/>
  <c r="AP58" i="23"/>
  <c r="BB58" i="23"/>
  <c r="AT58" i="23"/>
  <c r="AL58" i="23"/>
  <c r="BA58" i="23"/>
  <c r="AS58" i="23"/>
  <c r="AK58" i="23"/>
  <c r="AW82" i="23"/>
  <c r="AO82" i="23"/>
  <c r="BD82" i="23"/>
  <c r="AV82" i="23"/>
  <c r="AN82" i="23"/>
  <c r="BA82" i="23"/>
  <c r="AS82" i="23"/>
  <c r="AK82" i="23"/>
  <c r="AY82" i="23"/>
  <c r="AQ82" i="23"/>
  <c r="AI82" i="23"/>
  <c r="BC82" i="23"/>
  <c r="AM82" i="23"/>
  <c r="BB82" i="23"/>
  <c r="AL82" i="23"/>
  <c r="AX82" i="23"/>
  <c r="AU82" i="23"/>
  <c r="AT82" i="23"/>
  <c r="AR82" i="23"/>
  <c r="AZ82" i="23"/>
  <c r="AP82" i="23"/>
  <c r="AJ82" i="23"/>
  <c r="AW90" i="23"/>
  <c r="AO90" i="23"/>
  <c r="BB90" i="23"/>
  <c r="AT90" i="23"/>
  <c r="AL90" i="23"/>
  <c r="AZ90" i="23"/>
  <c r="AR90" i="23"/>
  <c r="AJ90" i="23"/>
  <c r="AY90" i="23"/>
  <c r="AQ90" i="23"/>
  <c r="AI90" i="23"/>
  <c r="BD90" i="23"/>
  <c r="AN90" i="23"/>
  <c r="BC90" i="23"/>
  <c r="AM90" i="23"/>
  <c r="AV90" i="23"/>
  <c r="AU90" i="23"/>
  <c r="AS90" i="23"/>
  <c r="AX90" i="23"/>
  <c r="AP90" i="23"/>
  <c r="AK90" i="23"/>
  <c r="BA90" i="23"/>
  <c r="AW98" i="23"/>
  <c r="AO98" i="23"/>
  <c r="BB98" i="23"/>
  <c r="AT98" i="23"/>
  <c r="AL98" i="23"/>
  <c r="AZ98" i="23"/>
  <c r="AR98" i="23"/>
  <c r="AJ98" i="23"/>
  <c r="AY98" i="23"/>
  <c r="AQ98" i="23"/>
  <c r="AI98" i="23"/>
  <c r="BD98" i="23"/>
  <c r="AN98" i="23"/>
  <c r="BC98" i="23"/>
  <c r="AM98" i="23"/>
  <c r="AV98" i="23"/>
  <c r="AU98" i="23"/>
  <c r="AS98" i="23"/>
  <c r="BA98" i="23"/>
  <c r="AX98" i="23"/>
  <c r="AP98" i="23"/>
  <c r="AK98" i="23"/>
  <c r="AJ57" i="23"/>
  <c r="AT57" i="23"/>
  <c r="BD57" i="23"/>
  <c r="AI58" i="23"/>
  <c r="AV58" i="23"/>
  <c r="AY60" i="23"/>
  <c r="AU62" i="23"/>
  <c r="AR64" i="23"/>
  <c r="AM68" i="23"/>
  <c r="AN69" i="23"/>
  <c r="AI70" i="23"/>
  <c r="BB72" i="23"/>
  <c r="AQ77" i="23"/>
  <c r="BB89" i="23"/>
  <c r="BB59" i="23"/>
  <c r="AT59" i="23"/>
  <c r="AL59" i="23"/>
  <c r="BA59" i="23"/>
  <c r="AS59" i="23"/>
  <c r="AX59" i="23"/>
  <c r="AP59" i="23"/>
  <c r="AW59" i="23"/>
  <c r="AO59" i="23"/>
  <c r="BA83" i="23"/>
  <c r="AS83" i="23"/>
  <c r="AK83" i="23"/>
  <c r="AZ83" i="23"/>
  <c r="AR83" i="23"/>
  <c r="AJ83" i="23"/>
  <c r="AW83" i="23"/>
  <c r="AO83" i="23"/>
  <c r="BC83" i="23"/>
  <c r="AU83" i="23"/>
  <c r="AM83" i="23"/>
  <c r="AQ83" i="23"/>
  <c r="AP83" i="23"/>
  <c r="BB83" i="23"/>
  <c r="AL83" i="23"/>
  <c r="AY83" i="23"/>
  <c r="AI83" i="23"/>
  <c r="AX83" i="23"/>
  <c r="AV83" i="23"/>
  <c r="BD83" i="23"/>
  <c r="AT83" i="23"/>
  <c r="BA91" i="23"/>
  <c r="AS91" i="23"/>
  <c r="AK91" i="23"/>
  <c r="AX91" i="23"/>
  <c r="AP91" i="23"/>
  <c r="BD91" i="23"/>
  <c r="AV91" i="23"/>
  <c r="AN91" i="23"/>
  <c r="BC91" i="23"/>
  <c r="AU91" i="23"/>
  <c r="AM91" i="23"/>
  <c r="AR91" i="23"/>
  <c r="AQ91" i="23"/>
  <c r="AZ91" i="23"/>
  <c r="AJ91" i="23"/>
  <c r="AY91" i="23"/>
  <c r="AI91" i="23"/>
  <c r="AW91" i="23"/>
  <c r="AT91" i="23"/>
  <c r="AO91" i="23"/>
  <c r="AL91" i="23"/>
  <c r="BB91" i="23"/>
  <c r="BA99" i="23"/>
  <c r="AS99" i="23"/>
  <c r="AK99" i="23"/>
  <c r="AX99" i="23"/>
  <c r="AP99" i="23"/>
  <c r="BD99" i="23"/>
  <c r="AV99" i="23"/>
  <c r="AN99" i="23"/>
  <c r="BC99" i="23"/>
  <c r="AU99" i="23"/>
  <c r="AM99" i="23"/>
  <c r="AR99" i="23"/>
  <c r="AQ99" i="23"/>
  <c r="AZ99" i="23"/>
  <c r="AJ99" i="23"/>
  <c r="AY99" i="23"/>
  <c r="AI99" i="23"/>
  <c r="AW99" i="23"/>
  <c r="BB99" i="23"/>
  <c r="AT99" i="23"/>
  <c r="AO99" i="23"/>
  <c r="AL99" i="23"/>
  <c r="AK57" i="23"/>
  <c r="AU57" i="23"/>
  <c r="AJ58" i="23"/>
  <c r="AW58" i="23"/>
  <c r="AR59" i="23"/>
  <c r="AZ60" i="23"/>
  <c r="AY62" i="23"/>
  <c r="AU64" i="23"/>
  <c r="AQ68" i="23"/>
  <c r="AQ69" i="23"/>
  <c r="AT70" i="23"/>
  <c r="AO78" i="23"/>
  <c r="AE51" i="24"/>
  <c r="AD51" i="24"/>
  <c r="AC51" i="24"/>
  <c r="AB51" i="24"/>
  <c r="AA51" i="24"/>
  <c r="AH51" i="24"/>
  <c r="Z51" i="24"/>
  <c r="AG51" i="24"/>
  <c r="Y51" i="24"/>
  <c r="AF51" i="24"/>
  <c r="X51" i="24"/>
  <c r="AE59" i="24"/>
  <c r="AD59" i="24"/>
  <c r="AC59" i="24"/>
  <c r="AB59" i="24"/>
  <c r="AA59" i="24"/>
  <c r="AH59" i="24"/>
  <c r="Z59" i="24"/>
  <c r="AG59" i="24"/>
  <c r="Y59" i="24"/>
  <c r="AF59" i="24"/>
  <c r="X59" i="24"/>
  <c r="AE67" i="24"/>
  <c r="AD67" i="24"/>
  <c r="AC67" i="24"/>
  <c r="AB67" i="24"/>
  <c r="AA67" i="24"/>
  <c r="AH67" i="24"/>
  <c r="Z67" i="24"/>
  <c r="AG67" i="24"/>
  <c r="Y67" i="24"/>
  <c r="AF67" i="24"/>
  <c r="X67" i="24"/>
  <c r="AF75" i="24"/>
  <c r="X75" i="24"/>
  <c r="AE75" i="24"/>
  <c r="AD75" i="24"/>
  <c r="AC75" i="24"/>
  <c r="AH75" i="24"/>
  <c r="Z75" i="24"/>
  <c r="AG75" i="24"/>
  <c r="AB75" i="24"/>
  <c r="AA75" i="24"/>
  <c r="Y75" i="24"/>
  <c r="AF83" i="24"/>
  <c r="X83" i="24"/>
  <c r="AE83" i="24"/>
  <c r="AD83" i="24"/>
  <c r="AC83" i="24"/>
  <c r="AB83" i="24"/>
  <c r="AH83" i="24"/>
  <c r="Z83" i="24"/>
  <c r="AG83" i="24"/>
  <c r="Y83" i="24"/>
  <c r="AA83" i="24"/>
  <c r="AG48" i="24"/>
  <c r="Y48" i="24"/>
  <c r="AF48" i="24"/>
  <c r="X48" i="24"/>
  <c r="AE48" i="24"/>
  <c r="I8" i="26" s="1"/>
  <c r="AD48" i="24"/>
  <c r="AC48" i="24"/>
  <c r="AB48" i="24"/>
  <c r="F8" i="26" s="1"/>
  <c r="AA48" i="24"/>
  <c r="AH48" i="24"/>
  <c r="Z48" i="24"/>
  <c r="AG56" i="24"/>
  <c r="Y56" i="24"/>
  <c r="AF56" i="24"/>
  <c r="X56" i="24"/>
  <c r="AE56" i="24"/>
  <c r="AD56" i="24"/>
  <c r="AC56" i="24"/>
  <c r="AB56" i="24"/>
  <c r="AA56" i="24"/>
  <c r="AH56" i="24"/>
  <c r="Z56" i="24"/>
  <c r="AG64" i="24"/>
  <c r="Y64" i="24"/>
  <c r="AF64" i="24"/>
  <c r="X64" i="24"/>
  <c r="AE64" i="24"/>
  <c r="AD64" i="24"/>
  <c r="AC64" i="24"/>
  <c r="AB64" i="24"/>
  <c r="AA64" i="24"/>
  <c r="AH64" i="24"/>
  <c r="Z64" i="24"/>
  <c r="AG72" i="24"/>
  <c r="Y72" i="24"/>
  <c r="AF72" i="24"/>
  <c r="AE72" i="24"/>
  <c r="AD72" i="24"/>
  <c r="AC72" i="24"/>
  <c r="AB72" i="24"/>
  <c r="AA72" i="24"/>
  <c r="Z72" i="24"/>
  <c r="X72" i="24"/>
  <c r="AH72" i="24"/>
  <c r="AH80" i="24"/>
  <c r="Z80" i="24"/>
  <c r="AG80" i="24"/>
  <c r="Y80" i="24"/>
  <c r="AF80" i="24"/>
  <c r="X80" i="24"/>
  <c r="AE80" i="24"/>
  <c r="AB80" i="24"/>
  <c r="AA80" i="24"/>
  <c r="AD80" i="24"/>
  <c r="AC80" i="24"/>
  <c r="AC50" i="24"/>
  <c r="AB50" i="24"/>
  <c r="AA50" i="24"/>
  <c r="AH50" i="24"/>
  <c r="Z50" i="24"/>
  <c r="AG50" i="24"/>
  <c r="Y50" i="24"/>
  <c r="AF50" i="24"/>
  <c r="X50" i="24"/>
  <c r="AE50" i="24"/>
  <c r="AD50" i="24"/>
  <c r="AC58" i="24"/>
  <c r="AB58" i="24"/>
  <c r="AA58" i="24"/>
  <c r="AH58" i="24"/>
  <c r="Z58" i="24"/>
  <c r="AG58" i="24"/>
  <c r="Y58" i="24"/>
  <c r="AF58" i="24"/>
  <c r="X58" i="24"/>
  <c r="AE58" i="24"/>
  <c r="AD58" i="24"/>
  <c r="AC66" i="24"/>
  <c r="AB66" i="24"/>
  <c r="AA66" i="24"/>
  <c r="AH66" i="24"/>
  <c r="Z66" i="24"/>
  <c r="AG66" i="24"/>
  <c r="Y66" i="24"/>
  <c r="AF66" i="24"/>
  <c r="X66" i="24"/>
  <c r="AE66" i="24"/>
  <c r="AD66" i="24"/>
  <c r="AD74" i="24"/>
  <c r="AC74" i="24"/>
  <c r="AB74" i="24"/>
  <c r="AA74" i="24"/>
  <c r="AF74" i="24"/>
  <c r="X74" i="24"/>
  <c r="AH74" i="24"/>
  <c r="AG74" i="24"/>
  <c r="AE74" i="24"/>
  <c r="Z74" i="24"/>
  <c r="Y74" i="24"/>
  <c r="AD82" i="24"/>
  <c r="AC82" i="24"/>
  <c r="AB82" i="24"/>
  <c r="AA82" i="24"/>
  <c r="AH82" i="24"/>
  <c r="AF82" i="24"/>
  <c r="X82" i="24"/>
  <c r="AE82" i="24"/>
  <c r="AG82" i="24"/>
  <c r="Z82" i="24"/>
  <c r="Y82" i="24"/>
  <c r="AA53" i="24"/>
  <c r="AH53" i="24"/>
  <c r="Z53" i="24"/>
  <c r="AG53" i="24"/>
  <c r="Y53" i="24"/>
  <c r="AF53" i="24"/>
  <c r="X53" i="24"/>
  <c r="AE53" i="24"/>
  <c r="AD53" i="24"/>
  <c r="AC53" i="24"/>
  <c r="AB53" i="24"/>
  <c r="AA61" i="24"/>
  <c r="AH61" i="24"/>
  <c r="Z61" i="24"/>
  <c r="AG61" i="24"/>
  <c r="Y61" i="24"/>
  <c r="AF61" i="24"/>
  <c r="X61" i="24"/>
  <c r="AE61" i="24"/>
  <c r="AD61" i="24"/>
  <c r="AC61" i="24"/>
  <c r="AB61" i="24"/>
  <c r="AG69" i="24"/>
  <c r="Y69" i="24"/>
  <c r="AC69" i="24"/>
  <c r="AB69" i="24"/>
  <c r="AA69" i="24"/>
  <c r="Z69" i="24"/>
  <c r="AH69" i="24"/>
  <c r="X69" i="24"/>
  <c r="AF69" i="24"/>
  <c r="AE69" i="24"/>
  <c r="AD69" i="24"/>
  <c r="AB77" i="24"/>
  <c r="AA77" i="24"/>
  <c r="AH77" i="24"/>
  <c r="Z77" i="24"/>
  <c r="AG77" i="24"/>
  <c r="Y77" i="24"/>
  <c r="AD77" i="24"/>
  <c r="AC77" i="24"/>
  <c r="AF77" i="24"/>
  <c r="AE77" i="24"/>
  <c r="X77" i="24"/>
  <c r="AA70" i="24"/>
  <c r="AD78" i="24"/>
  <c r="AC78" i="24"/>
  <c r="AB78" i="24"/>
  <c r="AA78" i="24"/>
  <c r="AF78" i="24"/>
  <c r="X78" i="24"/>
  <c r="AE78" i="24"/>
  <c r="X47" i="24"/>
  <c r="AF47" i="24"/>
  <c r="J8" i="26" s="1"/>
  <c r="AB49" i="24"/>
  <c r="Z52" i="24"/>
  <c r="AH52" i="24"/>
  <c r="AD54" i="24"/>
  <c r="X55" i="24"/>
  <c r="AF55" i="24"/>
  <c r="AB57" i="24"/>
  <c r="Z60" i="24"/>
  <c r="AH60" i="24"/>
  <c r="AD62" i="24"/>
  <c r="X63" i="24"/>
  <c r="AF63" i="24"/>
  <c r="AB65" i="24"/>
  <c r="Z68" i="24"/>
  <c r="AH68" i="24"/>
  <c r="Z70" i="24"/>
  <c r="X73" i="24"/>
  <c r="AC76" i="24"/>
  <c r="AE71" i="24"/>
  <c r="AC71" i="24"/>
  <c r="AF79" i="24"/>
  <c r="X79" i="24"/>
  <c r="AE79" i="24"/>
  <c r="AD79" i="24"/>
  <c r="AC79" i="24"/>
  <c r="AH79" i="24"/>
  <c r="Z79" i="24"/>
  <c r="AG79" i="24"/>
  <c r="Y79" i="24"/>
  <c r="Y47" i="24"/>
  <c r="AG47" i="24"/>
  <c r="AC49" i="24"/>
  <c r="AA52" i="24"/>
  <c r="AE54" i="24"/>
  <c r="Y55" i="24"/>
  <c r="AG55" i="24"/>
  <c r="AC57" i="24"/>
  <c r="AA60" i="24"/>
  <c r="AE62" i="24"/>
  <c r="Y63" i="24"/>
  <c r="AG63" i="24"/>
  <c r="AC65" i="24"/>
  <c r="AA68" i="24"/>
  <c r="AB70" i="24"/>
  <c r="X71" i="24"/>
  <c r="AH71" i="24"/>
  <c r="AC73" i="24"/>
  <c r="AD76" i="24"/>
  <c r="AB79" i="24"/>
  <c r="Z47" i="24"/>
  <c r="D8" i="26" s="1"/>
  <c r="AH47" i="24"/>
  <c r="L8" i="26" s="1"/>
  <c r="AD49" i="24"/>
  <c r="AB52" i="24"/>
  <c r="X54" i="24"/>
  <c r="AF54" i="24"/>
  <c r="Z55" i="24"/>
  <c r="AH55" i="24"/>
  <c r="AD57" i="24"/>
  <c r="AB60" i="24"/>
  <c r="X62" i="24"/>
  <c r="AF62" i="24"/>
  <c r="Z63" i="24"/>
  <c r="AH63" i="24"/>
  <c r="AD65" i="24"/>
  <c r="AB68" i="24"/>
  <c r="AC70" i="24"/>
  <c r="Y71" i="24"/>
  <c r="Y78" i="24"/>
  <c r="AB73" i="24"/>
  <c r="AA73" i="24"/>
  <c r="AH73" i="24"/>
  <c r="Z73" i="24"/>
  <c r="AG73" i="24"/>
  <c r="Y73" i="24"/>
  <c r="AD73" i="24"/>
  <c r="AB81" i="24"/>
  <c r="AA81" i="24"/>
  <c r="AH81" i="24"/>
  <c r="Z81" i="24"/>
  <c r="AG81" i="24"/>
  <c r="Y81" i="24"/>
  <c r="AD81" i="24"/>
  <c r="AC81" i="24"/>
  <c r="AA47" i="24"/>
  <c r="AE49" i="24"/>
  <c r="AC52" i="24"/>
  <c r="Y54" i="24"/>
  <c r="AG54" i="24"/>
  <c r="AA55" i="24"/>
  <c r="AE57" i="24"/>
  <c r="AC60" i="24"/>
  <c r="Y62" i="24"/>
  <c r="AG62" i="24"/>
  <c r="AA63" i="24"/>
  <c r="AE65" i="24"/>
  <c r="AC68" i="24"/>
  <c r="AD70" i="24"/>
  <c r="Z71" i="24"/>
  <c r="AF73" i="24"/>
  <c r="Z78" i="24"/>
  <c r="X81" i="24"/>
  <c r="AB47" i="24"/>
  <c r="X49" i="24"/>
  <c r="AF49" i="24"/>
  <c r="AD52" i="24"/>
  <c r="Z54" i="24"/>
  <c r="AH54" i="24"/>
  <c r="AB55" i="24"/>
  <c r="X57" i="24"/>
  <c r="AF57" i="24"/>
  <c r="AD60" i="24"/>
  <c r="Z62" i="24"/>
  <c r="AH62" i="24"/>
  <c r="AB63" i="24"/>
  <c r="X65" i="24"/>
  <c r="AF65" i="24"/>
  <c r="AD68" i="24"/>
  <c r="AE70" i="24"/>
  <c r="AA71" i="24"/>
  <c r="AG78" i="24"/>
  <c r="AE81" i="24"/>
  <c r="AC47" i="24"/>
  <c r="G8" i="26" s="1"/>
  <c r="Y49" i="24"/>
  <c r="AG49" i="24"/>
  <c r="AE52" i="24"/>
  <c r="AA54" i="24"/>
  <c r="AC55" i="24"/>
  <c r="Y57" i="24"/>
  <c r="AG57" i="24"/>
  <c r="AE60" i="24"/>
  <c r="AA62" i="24"/>
  <c r="AC63" i="24"/>
  <c r="Y65" i="24"/>
  <c r="AG65" i="24"/>
  <c r="AE68" i="24"/>
  <c r="AF70" i="24"/>
  <c r="AB71" i="24"/>
  <c r="AH78" i="24"/>
  <c r="AF81" i="24"/>
  <c r="AH76" i="24"/>
  <c r="Z76" i="24"/>
  <c r="AG76" i="24"/>
  <c r="Y76" i="24"/>
  <c r="AF76" i="24"/>
  <c r="X76" i="24"/>
  <c r="AE76" i="24"/>
  <c r="AB76" i="24"/>
  <c r="AA76" i="24"/>
  <c r="AD47" i="24"/>
  <c r="Z49" i="24"/>
  <c r="AH49" i="24"/>
  <c r="X52" i="24"/>
  <c r="AF52" i="24"/>
  <c r="AB54" i="24"/>
  <c r="AD55" i="24"/>
  <c r="Z57" i="24"/>
  <c r="AH57" i="24"/>
  <c r="X60" i="24"/>
  <c r="AF60" i="24"/>
  <c r="AB62" i="24"/>
  <c r="AD63" i="24"/>
  <c r="Z65" i="24"/>
  <c r="AH65" i="24"/>
  <c r="X68" i="24"/>
  <c r="AF68" i="24"/>
  <c r="X70" i="24"/>
  <c r="AG70" i="24"/>
  <c r="AD71" i="24"/>
  <c r="Y52" i="24"/>
  <c r="Y60" i="24"/>
  <c r="Y68" i="24"/>
  <c r="Y70" i="24"/>
  <c r="AH70" i="24"/>
  <c r="AF71" i="24"/>
  <c r="C8" i="26"/>
  <c r="K8" i="26"/>
  <c r="AJ3" i="21"/>
  <c r="Z8" i="21"/>
  <c r="AH8" i="21" s="1"/>
  <c r="AJ6" i="21"/>
  <c r="AJ13" i="21"/>
  <c r="Z3" i="21"/>
  <c r="AH3" i="21" s="1"/>
  <c r="AJ8" i="21"/>
  <c r="Z6" i="21"/>
  <c r="AH6" i="21" s="1"/>
  <c r="Z13" i="21"/>
  <c r="AH13" i="21" s="1"/>
  <c r="U9" i="21"/>
  <c r="AI9" i="21" s="1"/>
  <c r="R9" i="21"/>
  <c r="R11" i="21"/>
  <c r="M957" i="21"/>
  <c r="U11" i="21" s="1"/>
  <c r="AI11" i="21" s="1"/>
  <c r="R12" i="21"/>
  <c r="M1245" i="21"/>
  <c r="U12" i="21" s="1"/>
  <c r="AI12" i="21" s="1"/>
  <c r="Y3" i="21"/>
  <c r="AG3" i="21" s="1"/>
  <c r="AI3" i="21"/>
  <c r="Z4" i="21"/>
  <c r="AH4" i="21" s="1"/>
  <c r="X5" i="21"/>
  <c r="AF5" i="21" s="1"/>
  <c r="Z5" i="21"/>
  <c r="AH5" i="21" s="1"/>
  <c r="Y6" i="21"/>
  <c r="AG6" i="21" s="1"/>
  <c r="AJ2" i="16"/>
  <c r="AJ7" i="16" s="1"/>
  <c r="AJ5" i="16"/>
  <c r="AJ8" i="16" s="1"/>
  <c r="AC245" i="17"/>
  <c r="AC267" i="17"/>
  <c r="AC295" i="17"/>
  <c r="AC380" i="17"/>
  <c r="AC421" i="17"/>
  <c r="AC6" i="17"/>
  <c r="AC14" i="17"/>
  <c r="AC16" i="17"/>
  <c r="AC18" i="17"/>
  <c r="AC20" i="17"/>
  <c r="AC22" i="17"/>
  <c r="AC24" i="17"/>
  <c r="AC26" i="17"/>
  <c r="AC34" i="17"/>
  <c r="AC88" i="17"/>
  <c r="AI3" i="17" s="1"/>
  <c r="AC90" i="17"/>
  <c r="AC92" i="17"/>
  <c r="AC94" i="17"/>
  <c r="AC96" i="17"/>
  <c r="AC98" i="17"/>
  <c r="AC100" i="17"/>
  <c r="AC102" i="17"/>
  <c r="AC104" i="17"/>
  <c r="AC106" i="17"/>
  <c r="AC108" i="17"/>
  <c r="AC110" i="17"/>
  <c r="AC112" i="17"/>
  <c r="AC114" i="17"/>
  <c r="AC116" i="17"/>
  <c r="AC118" i="17"/>
  <c r="AC120" i="17"/>
  <c r="AC122" i="17"/>
  <c r="AC124" i="17"/>
  <c r="AC126" i="17"/>
  <c r="AC128" i="17"/>
  <c r="AC130" i="17"/>
  <c r="AC132" i="17"/>
  <c r="AC134" i="17"/>
  <c r="AC136" i="17"/>
  <c r="AC138" i="17"/>
  <c r="AC140" i="17"/>
  <c r="AC142" i="17"/>
  <c r="AC144" i="17"/>
  <c r="AC146" i="17"/>
  <c r="AC148" i="17"/>
  <c r="AC150" i="17"/>
  <c r="AC152" i="17"/>
  <c r="AC154" i="17"/>
  <c r="AC156" i="17"/>
  <c r="AC158" i="17"/>
  <c r="AC269" i="17"/>
  <c r="AC299" i="17"/>
  <c r="AC462" i="17"/>
  <c r="AC271" i="17"/>
  <c r="AC303" i="17"/>
  <c r="AC398" i="17"/>
  <c r="AI7" i="17" s="1"/>
  <c r="AC439" i="17"/>
  <c r="AC472" i="17"/>
  <c r="AC8" i="17"/>
  <c r="AC28" i="17"/>
  <c r="AC36" i="17"/>
  <c r="AC253" i="17"/>
  <c r="AC275" i="17"/>
  <c r="AC307" i="17"/>
  <c r="AC375" i="17"/>
  <c r="AC416" i="17"/>
  <c r="AC484" i="17"/>
  <c r="AC33" i="17"/>
  <c r="AC279" i="17"/>
  <c r="AC315" i="17"/>
  <c r="AC426" i="17"/>
  <c r="AC457" i="17"/>
  <c r="AC494" i="17"/>
  <c r="AC2" i="17"/>
  <c r="AI2" i="17" s="1"/>
  <c r="AC10" i="17"/>
  <c r="AC15" i="17"/>
  <c r="AC17" i="17"/>
  <c r="AC19" i="17"/>
  <c r="AC21" i="17"/>
  <c r="AC23" i="17"/>
  <c r="AC25" i="17"/>
  <c r="AC30" i="17"/>
  <c r="AC323" i="17"/>
  <c r="AC362" i="17"/>
  <c r="AC393" i="17"/>
  <c r="AC7" i="17"/>
  <c r="AC27" i="17"/>
  <c r="AC35" i="17"/>
  <c r="AC199" i="17"/>
  <c r="AC200" i="17"/>
  <c r="AI8" i="17" s="1"/>
  <c r="AC208" i="17"/>
  <c r="AC216" i="17"/>
  <c r="AC224" i="17"/>
  <c r="AC232" i="17"/>
  <c r="AC240" i="17"/>
  <c r="AC248" i="17"/>
  <c r="AC256" i="17"/>
  <c r="AC264" i="17"/>
  <c r="AC272" i="17"/>
  <c r="AC280" i="17"/>
  <c r="AC288" i="17"/>
  <c r="AC296" i="17"/>
  <c r="AC304" i="17"/>
  <c r="AC312" i="17"/>
  <c r="AC320" i="17"/>
  <c r="AC328" i="17"/>
  <c r="AC336" i="17"/>
  <c r="AC344" i="17"/>
  <c r="AC349" i="17"/>
  <c r="AC354" i="17"/>
  <c r="AC367" i="17"/>
  <c r="AC372" i="17"/>
  <c r="AC385" i="17"/>
  <c r="AC390" i="17"/>
  <c r="AC408" i="17"/>
  <c r="AC413" i="17"/>
  <c r="AC418" i="17"/>
  <c r="AC431" i="17"/>
  <c r="AC436" i="17"/>
  <c r="AC449" i="17"/>
  <c r="AC454" i="17"/>
  <c r="AC474" i="17"/>
  <c r="AC479" i="17"/>
  <c r="AC489" i="17"/>
  <c r="AC496" i="17"/>
  <c r="AC277" i="17"/>
  <c r="AC285" i="17"/>
  <c r="AC293" i="17"/>
  <c r="AC301" i="17"/>
  <c r="AC309" i="17"/>
  <c r="AC317" i="17"/>
  <c r="AC364" i="17"/>
  <c r="AC377" i="17"/>
  <c r="AC382" i="17"/>
  <c r="AC400" i="17"/>
  <c r="AC405" i="17"/>
  <c r="AC410" i="17"/>
  <c r="AC423" i="17"/>
  <c r="AC428" i="17"/>
  <c r="AC441" i="17"/>
  <c r="AC446" i="17"/>
  <c r="AC464" i="17"/>
  <c r="AC476" i="17"/>
  <c r="AC486" i="17"/>
  <c r="AC498" i="17"/>
  <c r="AO8" i="16"/>
  <c r="AC202" i="17"/>
  <c r="AC210" i="17"/>
  <c r="AC218" i="17"/>
  <c r="AC226" i="17"/>
  <c r="AC234" i="17"/>
  <c r="AC242" i="17"/>
  <c r="AC250" i="17"/>
  <c r="AC258" i="17"/>
  <c r="AC266" i="17"/>
  <c r="AC274" i="17"/>
  <c r="AC282" i="17"/>
  <c r="AC290" i="17"/>
  <c r="AC298" i="17"/>
  <c r="AC306" i="17"/>
  <c r="AC314" i="17"/>
  <c r="AC322" i="17"/>
  <c r="AC330" i="17"/>
  <c r="AC338" i="17"/>
  <c r="AC351" i="17"/>
  <c r="AC356" i="17"/>
  <c r="AC369" i="17"/>
  <c r="AC374" i="17"/>
  <c r="AC392" i="17"/>
  <c r="AC397" i="17"/>
  <c r="AC402" i="17"/>
  <c r="AC415" i="17"/>
  <c r="AC420" i="17"/>
  <c r="AC433" i="17"/>
  <c r="AC438" i="17"/>
  <c r="AC456" i="17"/>
  <c r="AC461" i="17"/>
  <c r="AC466" i="17"/>
  <c r="AC471" i="17"/>
  <c r="AC481" i="17"/>
  <c r="AC311" i="17"/>
  <c r="AC319" i="17"/>
  <c r="AC361" i="17"/>
  <c r="AC366" i="17"/>
  <c r="AI6" i="17" s="1"/>
  <c r="AC384" i="17"/>
  <c r="AC389" i="17"/>
  <c r="AC394" i="17"/>
  <c r="AC407" i="17"/>
  <c r="AC412" i="17"/>
  <c r="AC425" i="17"/>
  <c r="AC430" i="17"/>
  <c r="AC448" i="17"/>
  <c r="AC453" i="17"/>
  <c r="AC458" i="17"/>
  <c r="AC468" i="17"/>
  <c r="AC478" i="17"/>
  <c r="AC488" i="17"/>
  <c r="AC212" i="17"/>
  <c r="AC220" i="17"/>
  <c r="AC228" i="17"/>
  <c r="AC236" i="17"/>
  <c r="AC244" i="17"/>
  <c r="AC252" i="17"/>
  <c r="AC260" i="17"/>
  <c r="AC268" i="17"/>
  <c r="AC276" i="17"/>
  <c r="AC284" i="17"/>
  <c r="AC292" i="17"/>
  <c r="AC300" i="17"/>
  <c r="AC308" i="17"/>
  <c r="AC316" i="17"/>
  <c r="AC376" i="17"/>
  <c r="AC381" i="17"/>
  <c r="AC386" i="17"/>
  <c r="AC399" i="17"/>
  <c r="AC404" i="17"/>
  <c r="AC417" i="17"/>
  <c r="AC422" i="17"/>
  <c r="AC440" i="17"/>
  <c r="AC445" i="17"/>
  <c r="AC450" i="17"/>
  <c r="AC463" i="17"/>
  <c r="AC473" i="17"/>
  <c r="AC490" i="17"/>
  <c r="AC495" i="17"/>
  <c r="AC201" i="17"/>
  <c r="AC209" i="17"/>
  <c r="AC217" i="17"/>
  <c r="AC225" i="17"/>
  <c r="AC233" i="17"/>
  <c r="AC241" i="17"/>
  <c r="AC249" i="17"/>
  <c r="AC257" i="17"/>
  <c r="AC265" i="17"/>
  <c r="AC273" i="17"/>
  <c r="AC281" i="17"/>
  <c r="AC289" i="17"/>
  <c r="AC297" i="17"/>
  <c r="AC305" i="17"/>
  <c r="AC313" i="17"/>
  <c r="AC321" i="17"/>
  <c r="AC368" i="17"/>
  <c r="AC373" i="17"/>
  <c r="AC378" i="17"/>
  <c r="AC391" i="17"/>
  <c r="AC396" i="17"/>
  <c r="AC409" i="17"/>
  <c r="AC414" i="17"/>
  <c r="AC432" i="17"/>
  <c r="AC437" i="17"/>
  <c r="AC442" i="17"/>
  <c r="AC455" i="17"/>
  <c r="AC460" i="17"/>
  <c r="AC470" i="17"/>
  <c r="AC480" i="17"/>
  <c r="AC492" i="17"/>
  <c r="AC198" i="17"/>
  <c r="AC206" i="17"/>
  <c r="AC214" i="17"/>
  <c r="AC222" i="17"/>
  <c r="AC230" i="17"/>
  <c r="AC238" i="17"/>
  <c r="AC246" i="17"/>
  <c r="AC254" i="17"/>
  <c r="AC262" i="17"/>
  <c r="AC270" i="17"/>
  <c r="AC278" i="17"/>
  <c r="AC286" i="17"/>
  <c r="AC294" i="17"/>
  <c r="AC302" i="17"/>
  <c r="AC310" i="17"/>
  <c r="AC318" i="17"/>
  <c r="AC326" i="17"/>
  <c r="AC334" i="17"/>
  <c r="AC360" i="17"/>
  <c r="AC365" i="17"/>
  <c r="AC370" i="17"/>
  <c r="AC383" i="17"/>
  <c r="AC388" i="17"/>
  <c r="AC401" i="17"/>
  <c r="AC406" i="17"/>
  <c r="AC424" i="17"/>
  <c r="AC429" i="17"/>
  <c r="AC434" i="17"/>
  <c r="AC447" i="17"/>
  <c r="AC452" i="17"/>
  <c r="AC465" i="17"/>
  <c r="AC482" i="17"/>
  <c r="AC487" i="17"/>
  <c r="AC497" i="17"/>
  <c r="AC339" i="17"/>
  <c r="AC347" i="17"/>
  <c r="AC355" i="17"/>
  <c r="AC363" i="17"/>
  <c r="AC371" i="17"/>
  <c r="AC379" i="17"/>
  <c r="AC387" i="17"/>
  <c r="AC395" i="17"/>
  <c r="AC403" i="17"/>
  <c r="AC411" i="17"/>
  <c r="AC419" i="17"/>
  <c r="AC427" i="17"/>
  <c r="AC435" i="17"/>
  <c r="AC443" i="17"/>
  <c r="AC451" i="17"/>
  <c r="AC459" i="17"/>
  <c r="AC467" i="17"/>
  <c r="AC475" i="17"/>
  <c r="AC483" i="17"/>
  <c r="AC491" i="17"/>
  <c r="AC469" i="17"/>
  <c r="AC477" i="17"/>
  <c r="AC485" i="17"/>
  <c r="AC493" i="17"/>
  <c r="AI54" i="8"/>
  <c r="AI54" i="9"/>
  <c r="AI54" i="7"/>
  <c r="AB56" i="9"/>
  <c r="AB56" i="8"/>
  <c r="AB58" i="6"/>
  <c r="AB56" i="7"/>
  <c r="AL55" i="9"/>
  <c r="AL55" i="8"/>
  <c r="AL55" i="7"/>
  <c r="AL57" i="6"/>
  <c r="AG56" i="9"/>
  <c r="AG56" i="7"/>
  <c r="AG58" i="6"/>
  <c r="AG56" i="8"/>
  <c r="AA46" i="12"/>
  <c r="AA46" i="13"/>
  <c r="AA46" i="11"/>
  <c r="AA46" i="10"/>
  <c r="W54" i="8"/>
  <c r="W58" i="8" s="1"/>
  <c r="W54" i="9"/>
  <c r="W54" i="7"/>
  <c r="AJ55" i="9"/>
  <c r="AJ55" i="8"/>
  <c r="AJ55" i="7"/>
  <c r="AJ57" i="6"/>
  <c r="AJ54" i="8"/>
  <c r="AJ54" i="9"/>
  <c r="AJ54" i="7"/>
  <c r="AB54" i="8"/>
  <c r="AB54" i="9"/>
  <c r="AH54" i="8"/>
  <c r="AH54" i="9"/>
  <c r="AH54" i="7"/>
  <c r="AB55" i="9"/>
  <c r="AB55" i="8"/>
  <c r="AB57" i="6"/>
  <c r="AB55" i="7"/>
  <c r="AH55" i="9"/>
  <c r="AH55" i="8"/>
  <c r="AH57" i="6"/>
  <c r="D45" i="5"/>
  <c r="Z44" i="13"/>
  <c r="Z44" i="12"/>
  <c r="Z44" i="10"/>
  <c r="Z44" i="11"/>
  <c r="V58" i="6"/>
  <c r="AF54" i="8"/>
  <c r="AF54" i="9"/>
  <c r="AF54" i="7"/>
  <c r="AH55" i="7"/>
  <c r="F41" i="5"/>
  <c r="U46" i="13"/>
  <c r="U46" i="10"/>
  <c r="U46" i="12"/>
  <c r="U48" i="12" s="1"/>
  <c r="U46" i="11"/>
  <c r="U56" i="9"/>
  <c r="U56" i="8"/>
  <c r="U58" i="6"/>
  <c r="U56" i="7"/>
  <c r="AH56" i="9"/>
  <c r="AH56" i="8"/>
  <c r="AH58" i="6"/>
  <c r="AH56" i="7"/>
  <c r="Z45" i="13"/>
  <c r="Z45" i="11"/>
  <c r="Z45" i="12"/>
  <c r="Z45" i="10"/>
  <c r="P54" i="8"/>
  <c r="P58" i="8" s="1"/>
  <c r="P54" i="9"/>
  <c r="P54" i="7"/>
  <c r="Z58" i="6"/>
  <c r="AB54" i="7"/>
  <c r="R44" i="13"/>
  <c r="R44" i="12"/>
  <c r="R44" i="10"/>
  <c r="R44" i="11"/>
  <c r="W44" i="13"/>
  <c r="W44" i="12"/>
  <c r="W44" i="10"/>
  <c r="W44" i="11"/>
  <c r="AD54" i="8"/>
  <c r="AD54" i="9"/>
  <c r="AD54" i="7"/>
  <c r="W45" i="13"/>
  <c r="W45" i="12"/>
  <c r="W45" i="10"/>
  <c r="W45" i="11"/>
  <c r="Z46" i="13"/>
  <c r="Z46" i="12"/>
  <c r="Z46" i="11"/>
  <c r="Z46" i="10"/>
  <c r="V56" i="8"/>
  <c r="AG54" i="8"/>
  <c r="AG54" i="7"/>
  <c r="AG54" i="9"/>
  <c r="D28" i="5"/>
  <c r="AL56" i="6" s="1"/>
  <c r="AJ56" i="9"/>
  <c r="AJ56" i="8"/>
  <c r="AJ58" i="6"/>
  <c r="AD55" i="9"/>
  <c r="AD55" i="8"/>
  <c r="AD55" i="7"/>
  <c r="AD57" i="6"/>
  <c r="Y44" i="13"/>
  <c r="Y44" i="12"/>
  <c r="Y44" i="10"/>
  <c r="Y44" i="11"/>
  <c r="Z56" i="9"/>
  <c r="Z56" i="8"/>
  <c r="Z56" i="7"/>
  <c r="AI55" i="9"/>
  <c r="AI55" i="8"/>
  <c r="AI55" i="7"/>
  <c r="AI57" i="6"/>
  <c r="M54" i="8"/>
  <c r="M58" i="8" s="1"/>
  <c r="M54" i="9"/>
  <c r="M54" i="7"/>
  <c r="AC54" i="8"/>
  <c r="AC58" i="8" s="1"/>
  <c r="AC54" i="9"/>
  <c r="AC54" i="7"/>
  <c r="V56" i="7"/>
  <c r="AA45" i="13"/>
  <c r="AA45" i="12"/>
  <c r="AA45" i="11"/>
  <c r="AA45" i="10"/>
  <c r="AD56" i="9"/>
  <c r="AD56" i="8"/>
  <c r="AD58" i="6"/>
  <c r="Y46" i="13"/>
  <c r="Y46" i="10"/>
  <c r="Y46" i="12"/>
  <c r="Y46" i="11"/>
  <c r="AA56" i="9"/>
  <c r="AA56" i="8"/>
  <c r="AA56" i="7"/>
  <c r="AA58" i="6"/>
  <c r="F28" i="5"/>
  <c r="AI56" i="9"/>
  <c r="AI56" i="8"/>
  <c r="AI56" i="7"/>
  <c r="AI58" i="6"/>
  <c r="AJ56" i="7"/>
  <c r="S54" i="8"/>
  <c r="S54" i="9"/>
  <c r="Q54" i="8"/>
  <c r="Q58" i="8" s="1"/>
  <c r="Q54" i="7"/>
  <c r="Q54" i="9"/>
  <c r="U54" i="8"/>
  <c r="U54" i="9"/>
  <c r="U54" i="7"/>
  <c r="X54" i="8"/>
  <c r="X58" i="8" s="1"/>
  <c r="X54" i="9"/>
  <c r="X54" i="7"/>
  <c r="Z54" i="8"/>
  <c r="Z58" i="8" s="1"/>
  <c r="Z6" i="9" s="1"/>
  <c r="Z54" i="9"/>
  <c r="Z54" i="7"/>
  <c r="O54" i="8"/>
  <c r="O58" i="8" s="1"/>
  <c r="O54" i="9"/>
  <c r="AA54" i="8"/>
  <c r="AA58" i="8" s="1"/>
  <c r="AA49" i="9" s="1"/>
  <c r="AA54" i="9"/>
  <c r="AA54" i="7"/>
  <c r="O54" i="7"/>
  <c r="R54" i="8"/>
  <c r="R58" i="8" s="1"/>
  <c r="R54" i="9"/>
  <c r="R54" i="7"/>
  <c r="AE54" i="8"/>
  <c r="AE54" i="9"/>
  <c r="AK54" i="8"/>
  <c r="AK58" i="8" s="1"/>
  <c r="AK54" i="9"/>
  <c r="AK54" i="7"/>
  <c r="S54" i="7"/>
  <c r="L54" i="8"/>
  <c r="L58" i="8" s="1"/>
  <c r="L54" i="9"/>
  <c r="L54" i="7"/>
  <c r="P48" i="11"/>
  <c r="T48" i="11"/>
  <c r="M48" i="11"/>
  <c r="U48" i="11"/>
  <c r="M48" i="12"/>
  <c r="X43" i="11"/>
  <c r="Y43" i="11"/>
  <c r="M47" i="10"/>
  <c r="M47" i="12" s="1"/>
  <c r="L43" i="10"/>
  <c r="P43" i="10"/>
  <c r="S43" i="10"/>
  <c r="V43" i="10"/>
  <c r="Y43" i="10"/>
  <c r="P47" i="10"/>
  <c r="P47" i="12" s="1"/>
  <c r="V47" i="10"/>
  <c r="V47" i="11" s="1"/>
  <c r="O43" i="10"/>
  <c r="R43" i="10"/>
  <c r="R48" i="10" s="1"/>
  <c r="R12" i="11" s="1"/>
  <c r="U43" i="10"/>
  <c r="X43" i="10"/>
  <c r="X48" i="10" s="1"/>
  <c r="AA43" i="10"/>
  <c r="O47" i="10"/>
  <c r="O47" i="12" s="1"/>
  <c r="U47" i="10"/>
  <c r="X47" i="10"/>
  <c r="N43" i="10"/>
  <c r="T43" i="10"/>
  <c r="Z43" i="10"/>
  <c r="N47" i="10"/>
  <c r="N47" i="12" s="1"/>
  <c r="T47" i="10"/>
  <c r="T47" i="12" s="1"/>
  <c r="Z47" i="10"/>
  <c r="M43" i="10"/>
  <c r="Q43" i="10"/>
  <c r="W43" i="10"/>
  <c r="AA51" i="9"/>
  <c r="AA18" i="9"/>
  <c r="Z18" i="9"/>
  <c r="Z12" i="9"/>
  <c r="Z46" i="9"/>
  <c r="Z25" i="9"/>
  <c r="Z35" i="9"/>
  <c r="Z48" i="9"/>
  <c r="Z7" i="9"/>
  <c r="Z13" i="9"/>
  <c r="M67" i="6"/>
  <c r="M69" i="6"/>
  <c r="M68" i="6"/>
  <c r="D37" i="5"/>
  <c r="AA21" i="9" l="1"/>
  <c r="I15" i="23"/>
  <c r="I15" i="8"/>
  <c r="I15" i="14"/>
  <c r="I15" i="6"/>
  <c r="I15" i="9"/>
  <c r="I15" i="7"/>
  <c r="AA10" i="9"/>
  <c r="X12" i="21"/>
  <c r="AF12" i="21" s="1"/>
  <c r="I13" i="23"/>
  <c r="I13" i="7"/>
  <c r="I13" i="8"/>
  <c r="I13" i="14"/>
  <c r="I13" i="6"/>
  <c r="I13" i="9"/>
  <c r="I11" i="23"/>
  <c r="I11" i="9"/>
  <c r="I11" i="7"/>
  <c r="M63" i="6" s="1"/>
  <c r="I11" i="8"/>
  <c r="I11" i="14"/>
  <c r="I11" i="6"/>
  <c r="X11" i="21"/>
  <c r="AF11" i="21" s="1"/>
  <c r="I9" i="23"/>
  <c r="I9" i="6"/>
  <c r="I9" i="9"/>
  <c r="I9" i="7"/>
  <c r="I9" i="8"/>
  <c r="I9" i="14"/>
  <c r="AB43" i="10"/>
  <c r="I14" i="23"/>
  <c r="I14" i="8"/>
  <c r="I14" i="14"/>
  <c r="I14" i="6"/>
  <c r="I14" i="9"/>
  <c r="I14" i="7"/>
  <c r="P13" i="5"/>
  <c r="P16" i="5" s="1"/>
  <c r="AA31" i="9"/>
  <c r="R10" i="21"/>
  <c r="X10" i="21" s="1"/>
  <c r="AF10" i="21" s="1"/>
  <c r="I10" i="26"/>
  <c r="I22" i="23"/>
  <c r="I22" i="8"/>
  <c r="I22" i="14"/>
  <c r="I22" i="6"/>
  <c r="I22" i="9"/>
  <c r="I22" i="7"/>
  <c r="P12" i="5"/>
  <c r="P15" i="5" s="1"/>
  <c r="AA20" i="9"/>
  <c r="AA14" i="9"/>
  <c r="AA13" i="9"/>
  <c r="AA40" i="9"/>
  <c r="I6" i="26"/>
  <c r="Z11" i="9"/>
  <c r="AA7" i="9"/>
  <c r="AA41" i="9"/>
  <c r="X9" i="21"/>
  <c r="AF9" i="21" s="1"/>
  <c r="I23" i="23"/>
  <c r="I23" i="8"/>
  <c r="I23" i="7"/>
  <c r="I23" i="6"/>
  <c r="I23" i="14"/>
  <c r="I23" i="9"/>
  <c r="I21" i="23"/>
  <c r="I21" i="7"/>
  <c r="I21" i="8"/>
  <c r="I21" i="14"/>
  <c r="I21" i="6"/>
  <c r="I21" i="9"/>
  <c r="AI55" i="6"/>
  <c r="AI60" i="6" s="1"/>
  <c r="AI36" i="7" s="1"/>
  <c r="AA27" i="9"/>
  <c r="AA33" i="9"/>
  <c r="AA11" i="9"/>
  <c r="AA36" i="9"/>
  <c r="AA45" i="9"/>
  <c r="AA16" i="9"/>
  <c r="AA37" i="9"/>
  <c r="AA28" i="9"/>
  <c r="AA19" i="9"/>
  <c r="AA50" i="9"/>
  <c r="AA43" i="9"/>
  <c r="AA8" i="9"/>
  <c r="AA5" i="9"/>
  <c r="AA39" i="9"/>
  <c r="AA44" i="9"/>
  <c r="AA24" i="9"/>
  <c r="AA15" i="9"/>
  <c r="AA26" i="9"/>
  <c r="AA46" i="9"/>
  <c r="AA42" i="9"/>
  <c r="AA25" i="9"/>
  <c r="AA9" i="9"/>
  <c r="AA38" i="9"/>
  <c r="AA29" i="9"/>
  <c r="AA34" i="9"/>
  <c r="AA6" i="9"/>
  <c r="AA17" i="9"/>
  <c r="AA47" i="9"/>
  <c r="AA32" i="9"/>
  <c r="AA48" i="9"/>
  <c r="Z9" i="9"/>
  <c r="Z50" i="9"/>
  <c r="AA12" i="9"/>
  <c r="AA30" i="9"/>
  <c r="AA35" i="9"/>
  <c r="AA22" i="9"/>
  <c r="AA53" i="9" s="1"/>
  <c r="AA23" i="9"/>
  <c r="Z29" i="9"/>
  <c r="AI48" i="7"/>
  <c r="Z17" i="9"/>
  <c r="Z15" i="9"/>
  <c r="Z51" i="9"/>
  <c r="Z39" i="9"/>
  <c r="Z33" i="9"/>
  <c r="Z21" i="9"/>
  <c r="Z19" i="9"/>
  <c r="Z23" i="9"/>
  <c r="Z44" i="9"/>
  <c r="Z37" i="9"/>
  <c r="M48" i="10"/>
  <c r="Z8" i="9"/>
  <c r="Z26" i="9"/>
  <c r="Z24" i="9"/>
  <c r="Z27" i="9"/>
  <c r="Z30" i="9"/>
  <c r="Z41" i="9"/>
  <c r="Z14" i="9"/>
  <c r="Z16" i="9"/>
  <c r="Z32" i="9"/>
  <c r="Z31" i="9"/>
  <c r="Z34" i="9"/>
  <c r="Z45" i="9"/>
  <c r="AI38" i="7"/>
  <c r="Z10" i="9"/>
  <c r="Z20" i="9"/>
  <c r="Z28" i="9"/>
  <c r="Z36" i="9"/>
  <c r="Z38" i="9"/>
  <c r="Z49" i="9"/>
  <c r="Z5" i="9"/>
  <c r="Z40" i="9"/>
  <c r="Z43" i="9"/>
  <c r="Z47" i="9"/>
  <c r="Z42" i="9"/>
  <c r="Z22" i="9"/>
  <c r="L6" i="26"/>
  <c r="L10" i="26"/>
  <c r="B10" i="26"/>
  <c r="B6" i="26"/>
  <c r="D6" i="26"/>
  <c r="D10" i="26"/>
  <c r="K6" i="26"/>
  <c r="K10" i="26"/>
  <c r="E10" i="26"/>
  <c r="E8" i="26"/>
  <c r="E6" i="26"/>
  <c r="C6" i="26"/>
  <c r="C10" i="26"/>
  <c r="H6" i="26"/>
  <c r="H10" i="26"/>
  <c r="G6" i="26"/>
  <c r="G10" i="26"/>
  <c r="H8" i="26"/>
  <c r="F10" i="26"/>
  <c r="F6" i="26"/>
  <c r="J10" i="26"/>
  <c r="J6" i="26"/>
  <c r="B8" i="26"/>
  <c r="AJ9" i="16"/>
  <c r="AO9" i="16"/>
  <c r="AT9" i="16"/>
  <c r="AI30" i="7"/>
  <c r="AI41" i="7"/>
  <c r="O47" i="11"/>
  <c r="L44" i="13"/>
  <c r="L44" i="12"/>
  <c r="L44" i="11"/>
  <c r="L44" i="10"/>
  <c r="L47" i="10" s="1"/>
  <c r="F37" i="5"/>
  <c r="R46" i="13"/>
  <c r="R46" i="12"/>
  <c r="R48" i="12" s="1"/>
  <c r="R46" i="11"/>
  <c r="R46" i="10"/>
  <c r="E37" i="5"/>
  <c r="R45" i="13"/>
  <c r="R45" i="10"/>
  <c r="R45" i="12"/>
  <c r="R45" i="11"/>
  <c r="S44" i="13"/>
  <c r="S44" i="11"/>
  <c r="S44" i="12"/>
  <c r="S44" i="10"/>
  <c r="M14" i="11"/>
  <c r="M10" i="11"/>
  <c r="M8" i="11"/>
  <c r="M6" i="11"/>
  <c r="M15" i="11"/>
  <c r="M9" i="11"/>
  <c r="M7" i="11"/>
  <c r="M5" i="11"/>
  <c r="M39" i="11"/>
  <c r="M32" i="11"/>
  <c r="M25" i="11"/>
  <c r="M11" i="11"/>
  <c r="M37" i="11"/>
  <c r="M38" i="11"/>
  <c r="M33" i="11"/>
  <c r="M20" i="11"/>
  <c r="M41" i="11"/>
  <c r="M19" i="11"/>
  <c r="M28" i="11"/>
  <c r="M18" i="11"/>
  <c r="M13" i="11"/>
  <c r="M35" i="11"/>
  <c r="M26" i="11"/>
  <c r="M22" i="11"/>
  <c r="M12" i="11"/>
  <c r="M30" i="11"/>
  <c r="M23" i="11"/>
  <c r="M27" i="11"/>
  <c r="M21" i="11"/>
  <c r="M34" i="11"/>
  <c r="M31" i="11"/>
  <c r="M16" i="11"/>
  <c r="M36" i="11"/>
  <c r="M29" i="11"/>
  <c r="M24" i="11"/>
  <c r="M17" i="11"/>
  <c r="M40" i="11"/>
  <c r="U47" i="12"/>
  <c r="S12" i="11"/>
  <c r="R20" i="11"/>
  <c r="R9" i="11"/>
  <c r="R7" i="11"/>
  <c r="R5" i="11"/>
  <c r="R24" i="11"/>
  <c r="R14" i="11"/>
  <c r="R10" i="11"/>
  <c r="R8" i="11"/>
  <c r="R6" i="11"/>
  <c r="R15" i="11"/>
  <c r="R23" i="11"/>
  <c r="R32" i="11"/>
  <c r="R33" i="11"/>
  <c r="R39" i="11"/>
  <c r="R31" i="11"/>
  <c r="R41" i="11"/>
  <c r="R19" i="11"/>
  <c r="R11" i="11"/>
  <c r="R27" i="11"/>
  <c r="R28" i="11"/>
  <c r="R13" i="11"/>
  <c r="R30" i="11"/>
  <c r="R18" i="11"/>
  <c r="R22" i="11"/>
  <c r="R21" i="11"/>
  <c r="R38" i="11"/>
  <c r="R36" i="11"/>
  <c r="R16" i="11"/>
  <c r="R34" i="11"/>
  <c r="V47" i="12"/>
  <c r="R26" i="11"/>
  <c r="N47" i="11"/>
  <c r="R35" i="11"/>
  <c r="U47" i="11"/>
  <c r="AA44" i="13"/>
  <c r="AA44" i="11"/>
  <c r="AA44" i="10"/>
  <c r="AA44" i="12"/>
  <c r="M47" i="11"/>
  <c r="R25" i="11"/>
  <c r="R37" i="11"/>
  <c r="R17" i="11"/>
  <c r="AJ58" i="8"/>
  <c r="R40" i="11"/>
  <c r="R29" i="11"/>
  <c r="AI13" i="7"/>
  <c r="AI9" i="7"/>
  <c r="AI25" i="7"/>
  <c r="AI20" i="7"/>
  <c r="AI16" i="7"/>
  <c r="AI12" i="7"/>
  <c r="AI22" i="7"/>
  <c r="AI6" i="7"/>
  <c r="AI7" i="7"/>
  <c r="AI18" i="7"/>
  <c r="AI15" i="7"/>
  <c r="AI19" i="7"/>
  <c r="AI10" i="7"/>
  <c r="AI37" i="7"/>
  <c r="R48" i="11"/>
  <c r="R47" i="11" s="1"/>
  <c r="AI33" i="7"/>
  <c r="P47" i="11"/>
  <c r="AI42" i="7"/>
  <c r="AI28" i="7"/>
  <c r="AI24" i="7"/>
  <c r="AI58" i="8"/>
  <c r="AI34" i="7"/>
  <c r="AI32" i="7"/>
  <c r="W46" i="13"/>
  <c r="W46" i="12"/>
  <c r="W46" i="11"/>
  <c r="W46" i="10"/>
  <c r="Z48" i="11"/>
  <c r="Z47" i="11" s="1"/>
  <c r="AI29" i="7"/>
  <c r="AI21" i="7"/>
  <c r="AL56" i="9"/>
  <c r="AL56" i="8"/>
  <c r="AL58" i="6"/>
  <c r="AL56" i="7"/>
  <c r="AI43" i="7"/>
  <c r="U58" i="8"/>
  <c r="AL54" i="8"/>
  <c r="AL54" i="9"/>
  <c r="AL54" i="7"/>
  <c r="AI49" i="7"/>
  <c r="Z48" i="12"/>
  <c r="Z47" i="12" s="1"/>
  <c r="T47" i="11"/>
  <c r="AI46" i="7"/>
  <c r="AI45" i="7"/>
  <c r="AI27" i="7"/>
  <c r="AH58" i="8"/>
  <c r="V48" i="10"/>
  <c r="Z48" i="10"/>
  <c r="U48" i="10"/>
  <c r="T48" i="10"/>
  <c r="P48" i="10"/>
  <c r="N48" i="10"/>
  <c r="O48" i="10"/>
  <c r="L48" i="10"/>
  <c r="D35" i="5"/>
  <c r="N56" i="6"/>
  <c r="AI75" i="23" l="1"/>
  <c r="P75" i="23"/>
  <c r="AN75" i="23"/>
  <c r="AW75" i="23"/>
  <c r="BB75" i="23"/>
  <c r="R75" i="23"/>
  <c r="AO75" i="23"/>
  <c r="AR75" i="23"/>
  <c r="BD75" i="23"/>
  <c r="AM75" i="23"/>
  <c r="AS75" i="23"/>
  <c r="BC75" i="23"/>
  <c r="BA75" i="23"/>
  <c r="AX75" i="23"/>
  <c r="AU75" i="23"/>
  <c r="AQ75" i="23"/>
  <c r="AT75" i="23"/>
  <c r="AZ75" i="23"/>
  <c r="AV75" i="23"/>
  <c r="AP75" i="23"/>
  <c r="AL75" i="23"/>
  <c r="AK75" i="23"/>
  <c r="AY75" i="23"/>
  <c r="AJ75" i="23"/>
  <c r="AF53" i="7"/>
  <c r="AE53" i="7"/>
  <c r="AG53" i="7"/>
  <c r="AA53" i="7"/>
  <c r="AA58" i="7" s="1"/>
  <c r="Z53" i="7"/>
  <c r="Z58" i="7" s="1"/>
  <c r="AM65" i="23"/>
  <c r="AV65" i="23"/>
  <c r="BC65" i="23"/>
  <c r="BD65" i="23"/>
  <c r="AS65" i="23"/>
  <c r="AO65" i="23"/>
  <c r="AK65" i="23"/>
  <c r="AT65" i="23"/>
  <c r="AZ65" i="23"/>
  <c r="AY65" i="23"/>
  <c r="AR65" i="23"/>
  <c r="AQ65" i="23"/>
  <c r="AU65" i="23"/>
  <c r="BB65" i="23"/>
  <c r="AJ65" i="23"/>
  <c r="AX65" i="23"/>
  <c r="AN65" i="23"/>
  <c r="AL65" i="23"/>
  <c r="AP65" i="23"/>
  <c r="AI65" i="23"/>
  <c r="BA65" i="23"/>
  <c r="AW65" i="23"/>
  <c r="AN67" i="23"/>
  <c r="AS67" i="23"/>
  <c r="AO67" i="23"/>
  <c r="AK67" i="23"/>
  <c r="AU67" i="23"/>
  <c r="AY67" i="23"/>
  <c r="AZ67" i="23"/>
  <c r="BD67" i="23"/>
  <c r="AQ67" i="23"/>
  <c r="BC67" i="23"/>
  <c r="AR67" i="23"/>
  <c r="AI67" i="23"/>
  <c r="BB67" i="23"/>
  <c r="AJ67" i="23"/>
  <c r="AT67" i="23"/>
  <c r="AX67" i="23"/>
  <c r="AM67" i="23"/>
  <c r="AL67" i="23"/>
  <c r="AP67" i="23"/>
  <c r="AV67" i="23"/>
  <c r="BA67" i="23"/>
  <c r="AW67" i="23"/>
  <c r="AI35" i="7"/>
  <c r="AI40" i="7"/>
  <c r="AI14" i="7"/>
  <c r="AI8" i="7"/>
  <c r="AI17" i="7"/>
  <c r="AI50" i="7"/>
  <c r="AI31" i="7"/>
  <c r="AI31" i="9" s="1"/>
  <c r="M66" i="6"/>
  <c r="M64" i="6" s="1"/>
  <c r="M70" i="6" s="1"/>
  <c r="AI39" i="7"/>
  <c r="BC73" i="23"/>
  <c r="AS73" i="23"/>
  <c r="R73" i="23"/>
  <c r="AW73" i="23"/>
  <c r="AK73" i="23"/>
  <c r="AX73" i="23"/>
  <c r="AN73" i="23"/>
  <c r="AO73" i="23"/>
  <c r="AZ73" i="23"/>
  <c r="AV73" i="23"/>
  <c r="AT73" i="23"/>
  <c r="P73" i="23"/>
  <c r="AR73" i="23"/>
  <c r="AU73" i="23"/>
  <c r="BB73" i="23"/>
  <c r="AJ73" i="23"/>
  <c r="AP73" i="23"/>
  <c r="AY73" i="23"/>
  <c r="AL73" i="23"/>
  <c r="AQ73" i="23"/>
  <c r="AM73" i="23"/>
  <c r="BA73" i="23"/>
  <c r="AI73" i="23"/>
  <c r="BD73" i="23"/>
  <c r="AZ74" i="23"/>
  <c r="BA74" i="23"/>
  <c r="BD74" i="23"/>
  <c r="AR74" i="23"/>
  <c r="AS74" i="23"/>
  <c r="AV74" i="23"/>
  <c r="AQ74" i="23"/>
  <c r="AK74" i="23"/>
  <c r="AN74" i="23"/>
  <c r="AL74" i="23"/>
  <c r="AW74" i="23"/>
  <c r="AX74" i="23"/>
  <c r="BC74" i="23"/>
  <c r="R74" i="23"/>
  <c r="AP74" i="23"/>
  <c r="AU74" i="23"/>
  <c r="AJ74" i="23"/>
  <c r="AM74" i="23"/>
  <c r="BB74" i="23"/>
  <c r="AO74" i="23"/>
  <c r="AY74" i="23"/>
  <c r="AI74" i="23"/>
  <c r="P74" i="23"/>
  <c r="AT74" i="23"/>
  <c r="R55" i="6"/>
  <c r="R60" i="6" s="1"/>
  <c r="AH55" i="6"/>
  <c r="AH60" i="6" s="1"/>
  <c r="Y55" i="6"/>
  <c r="O55" i="6"/>
  <c r="O60" i="6" s="1"/>
  <c r="Q55" i="6"/>
  <c r="Q60" i="6" s="1"/>
  <c r="X55" i="6"/>
  <c r="X60" i="6" s="1"/>
  <c r="P55" i="6"/>
  <c r="P60" i="6" s="1"/>
  <c r="AA55" i="6"/>
  <c r="U55" i="6"/>
  <c r="U60" i="6" s="1"/>
  <c r="AE55" i="6"/>
  <c r="AE60" i="6" s="1"/>
  <c r="S55" i="6"/>
  <c r="S60" i="6" s="1"/>
  <c r="W55" i="6"/>
  <c r="W60" i="6" s="1"/>
  <c r="Z55" i="6"/>
  <c r="AF55" i="6"/>
  <c r="AF60" i="6" s="1"/>
  <c r="L55" i="6"/>
  <c r="L60" i="6" s="1"/>
  <c r="AC55" i="6"/>
  <c r="AC60" i="6" s="1"/>
  <c r="V55" i="6"/>
  <c r="BD63" i="23"/>
  <c r="AS63" i="23"/>
  <c r="AO63" i="23"/>
  <c r="AK63" i="23"/>
  <c r="AN63" i="23"/>
  <c r="AU63" i="23"/>
  <c r="AV63" i="23"/>
  <c r="AT63" i="23"/>
  <c r="AZ63" i="23"/>
  <c r="AX63" i="23"/>
  <c r="BC63" i="23"/>
  <c r="AR63" i="23"/>
  <c r="AQ63" i="23"/>
  <c r="BB63" i="23"/>
  <c r="AJ63" i="23"/>
  <c r="AI63" i="23"/>
  <c r="AY63" i="23"/>
  <c r="AL63" i="23"/>
  <c r="AP63" i="23"/>
  <c r="AM63" i="23"/>
  <c r="BA63" i="23"/>
  <c r="AW63" i="23"/>
  <c r="AI51" i="7"/>
  <c r="AI44" i="7"/>
  <c r="BC61" i="23"/>
  <c r="AS61" i="23"/>
  <c r="AO61" i="23"/>
  <c r="AI61" i="23"/>
  <c r="AK61" i="23"/>
  <c r="BD61" i="23"/>
  <c r="AU61" i="23"/>
  <c r="AX61" i="23"/>
  <c r="AZ61" i="23"/>
  <c r="AT61" i="23"/>
  <c r="AR61" i="23"/>
  <c r="AM61" i="23"/>
  <c r="BB61" i="23"/>
  <c r="AJ61" i="23"/>
  <c r="AN61" i="23"/>
  <c r="AL61" i="23"/>
  <c r="AP61" i="23"/>
  <c r="BA61" i="23"/>
  <c r="AW61" i="23"/>
  <c r="AQ61" i="23"/>
  <c r="AV61" i="23"/>
  <c r="AY61" i="23"/>
  <c r="AM66" i="23"/>
  <c r="AV66" i="23"/>
  <c r="AU66" i="23"/>
  <c r="AZ66" i="23"/>
  <c r="AI66" i="23"/>
  <c r="AN66" i="23"/>
  <c r="BC66" i="23"/>
  <c r="BB66" i="23"/>
  <c r="AW66" i="23"/>
  <c r="AJ66" i="23"/>
  <c r="AX66" i="23"/>
  <c r="AT66" i="23"/>
  <c r="AP66" i="23"/>
  <c r="AL66" i="23"/>
  <c r="AQ66" i="23"/>
  <c r="AR66" i="23"/>
  <c r="BA66" i="23"/>
  <c r="AY66" i="23"/>
  <c r="AO66" i="23"/>
  <c r="AS66" i="23"/>
  <c r="BD66" i="23"/>
  <c r="AK66" i="23"/>
  <c r="AI26" i="7"/>
  <c r="M14" i="6"/>
  <c r="M13" i="6"/>
  <c r="M7" i="6"/>
  <c r="M12" i="6"/>
  <c r="M11" i="6"/>
  <c r="M8" i="6"/>
  <c r="AI47" i="7"/>
  <c r="AI47" i="9" s="1"/>
  <c r="AI11" i="7"/>
  <c r="AI23" i="7"/>
  <c r="AI5" i="7"/>
  <c r="M49" i="6"/>
  <c r="M50" i="6"/>
  <c r="M39" i="6"/>
  <c r="M17" i="6"/>
  <c r="M40" i="6"/>
  <c r="M43" i="6"/>
  <c r="M44" i="6"/>
  <c r="M24" i="6"/>
  <c r="M35" i="6"/>
  <c r="M36" i="6"/>
  <c r="M23" i="6"/>
  <c r="M20" i="6"/>
  <c r="M26" i="6"/>
  <c r="M47" i="6"/>
  <c r="M33" i="6"/>
  <c r="M34" i="6"/>
  <c r="M45" i="6"/>
  <c r="M46" i="6"/>
  <c r="M29" i="6"/>
  <c r="M21" i="6"/>
  <c r="M30" i="6"/>
  <c r="M22" i="6"/>
  <c r="M25" i="6"/>
  <c r="M18" i="6"/>
  <c r="M31" i="6"/>
  <c r="M37" i="6"/>
  <c r="M38" i="6"/>
  <c r="M27" i="6"/>
  <c r="M28" i="6"/>
  <c r="M48" i="6"/>
  <c r="M19" i="6"/>
  <c r="M41" i="6"/>
  <c r="M42" i="6"/>
  <c r="M32" i="6"/>
  <c r="M51" i="6"/>
  <c r="Z53" i="9"/>
  <c r="M8" i="26"/>
  <c r="M6" i="26"/>
  <c r="M10" i="26"/>
  <c r="AI32" i="9"/>
  <c r="R31" i="12"/>
  <c r="S31" i="12" s="1"/>
  <c r="S31" i="11"/>
  <c r="R31" i="13"/>
  <c r="S31" i="13" s="1"/>
  <c r="M13" i="12"/>
  <c r="M13" i="13"/>
  <c r="P25" i="11"/>
  <c r="P17" i="11"/>
  <c r="P15" i="11"/>
  <c r="P9" i="11"/>
  <c r="P7" i="11"/>
  <c r="P5" i="11"/>
  <c r="P28" i="11"/>
  <c r="P26" i="11"/>
  <c r="P21" i="11"/>
  <c r="P16" i="11"/>
  <c r="P10" i="11"/>
  <c r="P8" i="11"/>
  <c r="P6" i="11"/>
  <c r="P18" i="11"/>
  <c r="P40" i="11"/>
  <c r="P19" i="11"/>
  <c r="P11" i="11"/>
  <c r="P14" i="11"/>
  <c r="P27" i="11"/>
  <c r="P30" i="11"/>
  <c r="P24" i="11"/>
  <c r="P31" i="11"/>
  <c r="P12" i="11"/>
  <c r="P13" i="11"/>
  <c r="P39" i="11"/>
  <c r="P34" i="11"/>
  <c r="P23" i="11"/>
  <c r="P20" i="11"/>
  <c r="P36" i="11"/>
  <c r="P29" i="11"/>
  <c r="P37" i="11"/>
  <c r="P22" i="11"/>
  <c r="P33" i="11"/>
  <c r="P35" i="11"/>
  <c r="P32" i="11"/>
  <c r="P41" i="11"/>
  <c r="P38" i="11"/>
  <c r="AI45" i="9"/>
  <c r="AI34" i="9"/>
  <c r="AI33" i="9"/>
  <c r="AI18" i="9"/>
  <c r="AI20" i="9"/>
  <c r="S29" i="11"/>
  <c r="R29" i="12"/>
  <c r="S29" i="12" s="1"/>
  <c r="R29" i="13"/>
  <c r="S29" i="13" s="1"/>
  <c r="S30" i="11"/>
  <c r="R30" i="12"/>
  <c r="S30" i="12" s="1"/>
  <c r="R30" i="13"/>
  <c r="S30" i="13" s="1"/>
  <c r="S39" i="11"/>
  <c r="R39" i="12"/>
  <c r="R39" i="13"/>
  <c r="S39" i="13" s="1"/>
  <c r="R14" i="12"/>
  <c r="S14" i="11"/>
  <c r="R14" i="13"/>
  <c r="S14" i="13" s="1"/>
  <c r="M17" i="12"/>
  <c r="M17" i="13"/>
  <c r="M27" i="12"/>
  <c r="M27" i="13"/>
  <c r="M18" i="12"/>
  <c r="M18" i="13"/>
  <c r="M11" i="12"/>
  <c r="M11" i="13"/>
  <c r="M6" i="12"/>
  <c r="M6" i="13"/>
  <c r="N12" i="11"/>
  <c r="N10" i="11"/>
  <c r="N8" i="11"/>
  <c r="N6" i="11"/>
  <c r="N15" i="11"/>
  <c r="N13" i="11"/>
  <c r="N9" i="11"/>
  <c r="N7" i="11"/>
  <c r="N5" i="11"/>
  <c r="N20" i="11"/>
  <c r="N24" i="11"/>
  <c r="N34" i="11"/>
  <c r="N29" i="11"/>
  <c r="N28" i="11"/>
  <c r="N17" i="11"/>
  <c r="N18" i="11"/>
  <c r="N14" i="11"/>
  <c r="N32" i="11"/>
  <c r="N25" i="11"/>
  <c r="N26" i="11"/>
  <c r="N23" i="11"/>
  <c r="N40" i="11"/>
  <c r="N27" i="11"/>
  <c r="N22" i="11"/>
  <c r="N39" i="11"/>
  <c r="N35" i="11"/>
  <c r="N21" i="11"/>
  <c r="N33" i="11"/>
  <c r="N36" i="11"/>
  <c r="N41" i="11"/>
  <c r="N16" i="11"/>
  <c r="N11" i="11"/>
  <c r="N31" i="11"/>
  <c r="N30" i="11"/>
  <c r="N37" i="11"/>
  <c r="N38" i="11"/>
  <c r="N19" i="11"/>
  <c r="M40" i="12"/>
  <c r="M40" i="13"/>
  <c r="T30" i="11"/>
  <c r="T29" i="11"/>
  <c r="T18" i="11"/>
  <c r="T11" i="11"/>
  <c r="T9" i="11"/>
  <c r="T7" i="11"/>
  <c r="T5" i="11"/>
  <c r="T22" i="11"/>
  <c r="T10" i="11"/>
  <c r="T8" i="11"/>
  <c r="T6" i="11"/>
  <c r="T15" i="11"/>
  <c r="T20" i="11"/>
  <c r="T14" i="11"/>
  <c r="T26" i="11"/>
  <c r="T23" i="11"/>
  <c r="T33" i="11"/>
  <c r="T17" i="11"/>
  <c r="T19" i="11"/>
  <c r="T31" i="11"/>
  <c r="T41" i="11"/>
  <c r="T35" i="11"/>
  <c r="T12" i="11"/>
  <c r="T16" i="11"/>
  <c r="T21" i="11"/>
  <c r="T34" i="11"/>
  <c r="T39" i="11"/>
  <c r="T28" i="11"/>
  <c r="T27" i="11"/>
  <c r="T32" i="11"/>
  <c r="T37" i="11"/>
  <c r="T13" i="11"/>
  <c r="T40" i="11"/>
  <c r="T24" i="11"/>
  <c r="T25" i="11"/>
  <c r="T36" i="11"/>
  <c r="T38" i="11"/>
  <c r="AI46" i="9"/>
  <c r="AI11" i="9"/>
  <c r="AI38" i="9"/>
  <c r="AI41" i="9"/>
  <c r="AI50" i="9"/>
  <c r="AI36" i="9"/>
  <c r="AI26" i="9"/>
  <c r="AI48" i="9"/>
  <c r="AI39" i="9"/>
  <c r="AI30" i="9"/>
  <c r="AI51" i="9"/>
  <c r="AI44" i="9"/>
  <c r="AI7" i="9"/>
  <c r="AI25" i="9"/>
  <c r="R40" i="12"/>
  <c r="S40" i="11"/>
  <c r="R40" i="13"/>
  <c r="S40" i="13" s="1"/>
  <c r="R34" i="12"/>
  <c r="S34" i="11"/>
  <c r="R34" i="13"/>
  <c r="S34" i="13" s="1"/>
  <c r="R13" i="12"/>
  <c r="S13" i="11"/>
  <c r="R13" i="13"/>
  <c r="S13" i="13" s="1"/>
  <c r="R33" i="12"/>
  <c r="S33" i="11"/>
  <c r="R33" i="13"/>
  <c r="S33" i="13" s="1"/>
  <c r="R24" i="12"/>
  <c r="S24" i="11"/>
  <c r="R24" i="13"/>
  <c r="S24" i="13" s="1"/>
  <c r="M24" i="12"/>
  <c r="M24" i="13"/>
  <c r="M23" i="12"/>
  <c r="M23" i="13"/>
  <c r="M28" i="12"/>
  <c r="M28" i="13"/>
  <c r="M25" i="12"/>
  <c r="M25" i="13"/>
  <c r="M8" i="12"/>
  <c r="M8" i="13"/>
  <c r="S45" i="13"/>
  <c r="S45" i="12"/>
  <c r="S45" i="11"/>
  <c r="S45" i="10"/>
  <c r="AI15" i="9"/>
  <c r="R10" i="12"/>
  <c r="S10" i="11"/>
  <c r="R10" i="13"/>
  <c r="S10" i="13" s="1"/>
  <c r="M15" i="12"/>
  <c r="M15" i="13"/>
  <c r="N54" i="8"/>
  <c r="N54" i="9"/>
  <c r="N54" i="7"/>
  <c r="U39" i="11"/>
  <c r="U26" i="11"/>
  <c r="U16" i="11"/>
  <c r="U10" i="11"/>
  <c r="U8" i="11"/>
  <c r="U6" i="11"/>
  <c r="U27" i="11"/>
  <c r="U15" i="11"/>
  <c r="U9" i="11"/>
  <c r="U7" i="11"/>
  <c r="U5" i="11"/>
  <c r="U22" i="11"/>
  <c r="U37" i="11"/>
  <c r="U23" i="11"/>
  <c r="U34" i="11"/>
  <c r="U32" i="11"/>
  <c r="U11" i="11"/>
  <c r="U30" i="11"/>
  <c r="U19" i="11"/>
  <c r="U28" i="11"/>
  <c r="U24" i="11"/>
  <c r="U36" i="11"/>
  <c r="U12" i="11"/>
  <c r="U25" i="11"/>
  <c r="U31" i="11"/>
  <c r="U38" i="11"/>
  <c r="U40" i="11"/>
  <c r="U35" i="11"/>
  <c r="U17" i="11"/>
  <c r="U13" i="11"/>
  <c r="U21" i="11"/>
  <c r="U33" i="11"/>
  <c r="U29" i="11"/>
  <c r="U41" i="11"/>
  <c r="U14" i="11"/>
  <c r="U18" i="11"/>
  <c r="U20" i="11"/>
  <c r="AI24" i="9"/>
  <c r="AI23" i="9"/>
  <c r="AI5" i="9"/>
  <c r="R35" i="12"/>
  <c r="S35" i="11"/>
  <c r="R35" i="13"/>
  <c r="S35" i="13" s="1"/>
  <c r="R16" i="12"/>
  <c r="S16" i="11"/>
  <c r="R16" i="13"/>
  <c r="S16" i="13" s="1"/>
  <c r="S28" i="11"/>
  <c r="R28" i="12"/>
  <c r="R28" i="13"/>
  <c r="S28" i="13" s="1"/>
  <c r="R32" i="12"/>
  <c r="S32" i="11"/>
  <c r="R32" i="13"/>
  <c r="S32" i="13" s="1"/>
  <c r="R5" i="12"/>
  <c r="S5" i="11"/>
  <c r="R5" i="13"/>
  <c r="R43" i="11"/>
  <c r="M29" i="12"/>
  <c r="M29" i="13"/>
  <c r="M30" i="12"/>
  <c r="M30" i="13"/>
  <c r="M19" i="12"/>
  <c r="M19" i="13"/>
  <c r="M32" i="12"/>
  <c r="M32" i="13"/>
  <c r="M10" i="12"/>
  <c r="M10" i="13"/>
  <c r="AI27" i="9"/>
  <c r="Z31" i="11"/>
  <c r="Z22" i="11"/>
  <c r="Z10" i="11"/>
  <c r="Z8" i="11"/>
  <c r="Z6" i="11"/>
  <c r="Z15" i="11"/>
  <c r="Z18" i="11"/>
  <c r="Z11" i="11"/>
  <c r="Z9" i="11"/>
  <c r="Z7" i="11"/>
  <c r="Z5" i="11"/>
  <c r="Z14" i="11"/>
  <c r="Z20" i="11"/>
  <c r="Z40" i="11"/>
  <c r="Z13" i="11"/>
  <c r="Z23" i="11"/>
  <c r="Z16" i="11"/>
  <c r="Z28" i="11"/>
  <c r="Z39" i="11"/>
  <c r="Z24" i="11"/>
  <c r="Z30" i="11"/>
  <c r="Z41" i="11"/>
  <c r="Z19" i="11"/>
  <c r="Z17" i="11"/>
  <c r="Z27" i="11"/>
  <c r="Z29" i="11"/>
  <c r="Z34" i="11"/>
  <c r="Z33" i="11"/>
  <c r="Z37" i="11"/>
  <c r="Z35" i="11"/>
  <c r="Z36" i="11"/>
  <c r="Z32" i="11"/>
  <c r="Z26" i="11"/>
  <c r="Z12" i="11"/>
  <c r="Z38" i="11"/>
  <c r="Z25" i="11"/>
  <c r="Z21" i="11"/>
  <c r="AI21" i="9"/>
  <c r="AI28" i="9"/>
  <c r="AI37" i="9"/>
  <c r="AI6" i="9"/>
  <c r="AI9" i="9"/>
  <c r="R17" i="12"/>
  <c r="S17" i="11"/>
  <c r="R17" i="13"/>
  <c r="S17" i="13" s="1"/>
  <c r="R36" i="12"/>
  <c r="S36" i="11"/>
  <c r="R36" i="13"/>
  <c r="S36" i="13" s="1"/>
  <c r="R27" i="12"/>
  <c r="S27" i="11"/>
  <c r="R27" i="13"/>
  <c r="S27" i="13" s="1"/>
  <c r="R23" i="12"/>
  <c r="S23" i="12" s="1"/>
  <c r="S23" i="11"/>
  <c r="R23" i="13"/>
  <c r="S23" i="13" s="1"/>
  <c r="R7" i="12"/>
  <c r="S7" i="11"/>
  <c r="R7" i="13"/>
  <c r="S7" i="13" s="1"/>
  <c r="M36" i="12"/>
  <c r="M36" i="13"/>
  <c r="M12" i="12"/>
  <c r="M12" i="13"/>
  <c r="M41" i="12"/>
  <c r="M41" i="24" s="1"/>
  <c r="M83" i="24" s="1"/>
  <c r="M41" i="13"/>
  <c r="M39" i="12"/>
  <c r="M39" i="13"/>
  <c r="M14" i="12"/>
  <c r="M14" i="13"/>
  <c r="M21" i="12"/>
  <c r="M21" i="13"/>
  <c r="D46" i="5"/>
  <c r="Q44" i="13"/>
  <c r="Q44" i="12"/>
  <c r="Q44" i="10"/>
  <c r="Q44" i="11"/>
  <c r="V28" i="11"/>
  <c r="V24" i="11"/>
  <c r="V10" i="11"/>
  <c r="V8" i="11"/>
  <c r="V6" i="11"/>
  <c r="V15" i="11"/>
  <c r="V20" i="11"/>
  <c r="V9" i="11"/>
  <c r="V7" i="11"/>
  <c r="V5" i="11"/>
  <c r="V11" i="11"/>
  <c r="V30" i="11"/>
  <c r="V19" i="11"/>
  <c r="V16" i="11"/>
  <c r="V14" i="11"/>
  <c r="V17" i="11"/>
  <c r="V27" i="11"/>
  <c r="V36" i="11"/>
  <c r="V32" i="11"/>
  <c r="V23" i="11"/>
  <c r="V25" i="11"/>
  <c r="V35" i="11"/>
  <c r="V39" i="11"/>
  <c r="V12" i="11"/>
  <c r="V18" i="11"/>
  <c r="V29" i="11"/>
  <c r="V13" i="11"/>
  <c r="V22" i="11"/>
  <c r="V38" i="11"/>
  <c r="V40" i="11"/>
  <c r="V37" i="11"/>
  <c r="V31" i="11"/>
  <c r="V26" i="11"/>
  <c r="V33" i="11"/>
  <c r="V41" i="11"/>
  <c r="V34" i="11"/>
  <c r="V21" i="11"/>
  <c r="AI29" i="9"/>
  <c r="R47" i="12"/>
  <c r="R12" i="13"/>
  <c r="S12" i="13" s="1"/>
  <c r="AI40" i="9"/>
  <c r="AI10" i="9"/>
  <c r="AI22" i="9"/>
  <c r="AI13" i="9"/>
  <c r="R37" i="12"/>
  <c r="S37" i="11"/>
  <c r="R37" i="13"/>
  <c r="S37" i="13" s="1"/>
  <c r="R38" i="12"/>
  <c r="S38" i="11"/>
  <c r="R38" i="13"/>
  <c r="S38" i="13" s="1"/>
  <c r="R11" i="12"/>
  <c r="S11" i="11"/>
  <c r="R11" i="13"/>
  <c r="S11" i="13" s="1"/>
  <c r="R15" i="12"/>
  <c r="S15" i="11"/>
  <c r="R15" i="13"/>
  <c r="S15" i="13" s="1"/>
  <c r="R9" i="12"/>
  <c r="S9" i="11"/>
  <c r="R9" i="13"/>
  <c r="S9" i="13" s="1"/>
  <c r="M16" i="12"/>
  <c r="M16" i="13"/>
  <c r="M22" i="12"/>
  <c r="M22" i="13"/>
  <c r="M20" i="12"/>
  <c r="M20" i="13"/>
  <c r="M5" i="12"/>
  <c r="M43" i="11"/>
  <c r="M5" i="13"/>
  <c r="AI16" i="9"/>
  <c r="R18" i="12"/>
  <c r="S18" i="11"/>
  <c r="R18" i="13"/>
  <c r="S18" i="13" s="1"/>
  <c r="M37" i="12"/>
  <c r="M37" i="13"/>
  <c r="L10" i="11"/>
  <c r="L8" i="11"/>
  <c r="L6" i="11"/>
  <c r="L15" i="11"/>
  <c r="L9" i="11"/>
  <c r="L7" i="11"/>
  <c r="L5" i="11"/>
  <c r="L17" i="11"/>
  <c r="L11" i="11"/>
  <c r="L25" i="11"/>
  <c r="L16" i="11"/>
  <c r="L20" i="11"/>
  <c r="L12" i="11"/>
  <c r="L19" i="11"/>
  <c r="L29" i="11"/>
  <c r="L22" i="11"/>
  <c r="L23" i="11"/>
  <c r="L35" i="11"/>
  <c r="L37" i="11"/>
  <c r="L30" i="11"/>
  <c r="L31" i="11"/>
  <c r="L21" i="11"/>
  <c r="L18" i="11"/>
  <c r="L27" i="11"/>
  <c r="L24" i="11"/>
  <c r="L13" i="11"/>
  <c r="L26" i="11"/>
  <c r="L36" i="11"/>
  <c r="L14" i="11"/>
  <c r="L33" i="11"/>
  <c r="L34" i="11"/>
  <c r="L39" i="11"/>
  <c r="L32" i="11"/>
  <c r="L41" i="11"/>
  <c r="L40" i="11"/>
  <c r="L38" i="11"/>
  <c r="L28" i="11"/>
  <c r="AI35" i="9"/>
  <c r="AI42" i="9"/>
  <c r="AI14" i="9"/>
  <c r="AI8" i="9"/>
  <c r="AI17" i="9"/>
  <c r="R21" i="12"/>
  <c r="S21" i="11"/>
  <c r="R21" i="13"/>
  <c r="S21" i="13" s="1"/>
  <c r="S19" i="11"/>
  <c r="R19" i="12"/>
  <c r="S19" i="12" s="1"/>
  <c r="R19" i="13"/>
  <c r="S19" i="13" s="1"/>
  <c r="R6" i="12"/>
  <c r="S6" i="11"/>
  <c r="R6" i="13"/>
  <c r="S6" i="13" s="1"/>
  <c r="R20" i="12"/>
  <c r="S20" i="11"/>
  <c r="R20" i="13"/>
  <c r="S20" i="13" s="1"/>
  <c r="R12" i="12"/>
  <c r="M31" i="12"/>
  <c r="M31" i="13"/>
  <c r="M26" i="12"/>
  <c r="M26" i="13"/>
  <c r="M33" i="12"/>
  <c r="M33" i="13"/>
  <c r="M7" i="12"/>
  <c r="M7" i="13"/>
  <c r="O22" i="11"/>
  <c r="O10" i="11"/>
  <c r="O8" i="11"/>
  <c r="O6" i="11"/>
  <c r="O15" i="11"/>
  <c r="O18" i="11"/>
  <c r="O11" i="11"/>
  <c r="O9" i="11"/>
  <c r="O7" i="11"/>
  <c r="O5" i="11"/>
  <c r="O29" i="11"/>
  <c r="O31" i="11"/>
  <c r="O41" i="11"/>
  <c r="O26" i="11"/>
  <c r="O37" i="11"/>
  <c r="O36" i="11"/>
  <c r="O13" i="11"/>
  <c r="O39" i="11"/>
  <c r="O27" i="11"/>
  <c r="O28" i="11"/>
  <c r="O16" i="11"/>
  <c r="O17" i="11"/>
  <c r="O35" i="11"/>
  <c r="O14" i="11"/>
  <c r="O34" i="11"/>
  <c r="O19" i="11"/>
  <c r="O23" i="11"/>
  <c r="O24" i="11"/>
  <c r="O38" i="11"/>
  <c r="O20" i="11"/>
  <c r="O40" i="11"/>
  <c r="O25" i="11"/>
  <c r="O33" i="11"/>
  <c r="O30" i="11"/>
  <c r="O32" i="11"/>
  <c r="O12" i="11"/>
  <c r="O21" i="11"/>
  <c r="AI49" i="9"/>
  <c r="AI43" i="9"/>
  <c r="AI19" i="9"/>
  <c r="AI12" i="9"/>
  <c r="R25" i="12"/>
  <c r="S25" i="11"/>
  <c r="R25" i="13"/>
  <c r="S25" i="13" s="1"/>
  <c r="R26" i="12"/>
  <c r="S26" i="11"/>
  <c r="R26" i="13"/>
  <c r="S26" i="13" s="1"/>
  <c r="R22" i="12"/>
  <c r="S22" i="12" s="1"/>
  <c r="S22" i="11"/>
  <c r="R22" i="13"/>
  <c r="S22" i="13" s="1"/>
  <c r="R41" i="12"/>
  <c r="S41" i="11"/>
  <c r="R41" i="13"/>
  <c r="S41" i="13" s="1"/>
  <c r="R8" i="12"/>
  <c r="S8" i="11"/>
  <c r="R8" i="13"/>
  <c r="S8" i="13" s="1"/>
  <c r="M34" i="12"/>
  <c r="M34" i="13"/>
  <c r="M35" i="12"/>
  <c r="M35" i="13"/>
  <c r="M38" i="12"/>
  <c r="M38" i="13"/>
  <c r="M9" i="12"/>
  <c r="M9" i="13"/>
  <c r="S46" i="12"/>
  <c r="S46" i="13"/>
  <c r="S46" i="11"/>
  <c r="S46" i="10"/>
  <c r="D10" i="5"/>
  <c r="T56" i="6" s="1"/>
  <c r="J8" i="25" l="1"/>
  <c r="J10" i="25"/>
  <c r="J6" i="25"/>
  <c r="F6" i="25"/>
  <c r="F10" i="25"/>
  <c r="F8" i="25"/>
  <c r="B6" i="25"/>
  <c r="B8" i="25"/>
  <c r="B10" i="25"/>
  <c r="Q34" i="7"/>
  <c r="Q34" i="9" s="1"/>
  <c r="Q27" i="7"/>
  <c r="Q27" i="9" s="1"/>
  <c r="Q13" i="7"/>
  <c r="Q13" i="9" s="1"/>
  <c r="Q36" i="7"/>
  <c r="Q38" i="7"/>
  <c r="Q38" i="9" s="1"/>
  <c r="Q39" i="7"/>
  <c r="Q39" i="9" s="1"/>
  <c r="Q47" i="7"/>
  <c r="Q47" i="9" s="1"/>
  <c r="Q29" i="7"/>
  <c r="Q29" i="9" s="1"/>
  <c r="Q31" i="7"/>
  <c r="Q31" i="9" s="1"/>
  <c r="Q8" i="7"/>
  <c r="Q8" i="9" s="1"/>
  <c r="Q23" i="7"/>
  <c r="Q23" i="9" s="1"/>
  <c r="Q9" i="7"/>
  <c r="Q9" i="9" s="1"/>
  <c r="Q37" i="7"/>
  <c r="Q37" i="9" s="1"/>
  <c r="Q51" i="7"/>
  <c r="Q51" i="9" s="1"/>
  <c r="Q41" i="7"/>
  <c r="Q41" i="9" s="1"/>
  <c r="Q26" i="7"/>
  <c r="Q26" i="9" s="1"/>
  <c r="Q46" i="7"/>
  <c r="Q46" i="9" s="1"/>
  <c r="Q5" i="7"/>
  <c r="Q19" i="7"/>
  <c r="Q19" i="9" s="1"/>
  <c r="Q35" i="7"/>
  <c r="Q35" i="9" s="1"/>
  <c r="Q15" i="7"/>
  <c r="Q15" i="9" s="1"/>
  <c r="Q30" i="7"/>
  <c r="Q30" i="9" s="1"/>
  <c r="Q18" i="7"/>
  <c r="Q18" i="9" s="1"/>
  <c r="Q22" i="7"/>
  <c r="Q22" i="9" s="1"/>
  <c r="Q25" i="7"/>
  <c r="Q25" i="9" s="1"/>
  <c r="Q7" i="7"/>
  <c r="Q7" i="9" s="1"/>
  <c r="Q21" i="7"/>
  <c r="Q21" i="9" s="1"/>
  <c r="Q28" i="7"/>
  <c r="Q28" i="9" s="1"/>
  <c r="Q14" i="7"/>
  <c r="Q14" i="9" s="1"/>
  <c r="Q42" i="7"/>
  <c r="Q42" i="9" s="1"/>
  <c r="Q44" i="7"/>
  <c r="Q44" i="9" s="1"/>
  <c r="Q17" i="7"/>
  <c r="Q17" i="9" s="1"/>
  <c r="Q49" i="7"/>
  <c r="Q49" i="9" s="1"/>
  <c r="Q45" i="7"/>
  <c r="Q24" i="7"/>
  <c r="Q24" i="9" s="1"/>
  <c r="Q10" i="7"/>
  <c r="Q10" i="9" s="1"/>
  <c r="Q43" i="7"/>
  <c r="Q43" i="9" s="1"/>
  <c r="Q48" i="7"/>
  <c r="Q48" i="9" s="1"/>
  <c r="Q12" i="7"/>
  <c r="Q12" i="9" s="1"/>
  <c r="Q40" i="7"/>
  <c r="Q40" i="9" s="1"/>
  <c r="Q16" i="7"/>
  <c r="Q16" i="9" s="1"/>
  <c r="Q6" i="7"/>
  <c r="Q6" i="9" s="1"/>
  <c r="Q20" i="7"/>
  <c r="Q20" i="9" s="1"/>
  <c r="Q50" i="7"/>
  <c r="Q33" i="7"/>
  <c r="Q33" i="9" s="1"/>
  <c r="Q11" i="7"/>
  <c r="Q11" i="9" s="1"/>
  <c r="Q32" i="7"/>
  <c r="Q32" i="9" s="1"/>
  <c r="M55" i="6"/>
  <c r="M60" i="6" s="1"/>
  <c r="P10" i="25"/>
  <c r="P6" i="25"/>
  <c r="P8" i="25"/>
  <c r="K8" i="25"/>
  <c r="K6" i="25"/>
  <c r="K10" i="25"/>
  <c r="H8" i="25"/>
  <c r="H10" i="25"/>
  <c r="H6" i="25"/>
  <c r="W33" i="7"/>
  <c r="W33" i="9" s="1"/>
  <c r="W25" i="7"/>
  <c r="W25" i="9" s="1"/>
  <c r="W6" i="7"/>
  <c r="W6" i="9" s="1"/>
  <c r="W28" i="7"/>
  <c r="W44" i="7"/>
  <c r="W44" i="9" s="1"/>
  <c r="W39" i="7"/>
  <c r="W39" i="9" s="1"/>
  <c r="W49" i="7"/>
  <c r="W49" i="9" s="1"/>
  <c r="W16" i="7"/>
  <c r="W5" i="7"/>
  <c r="W11" i="7"/>
  <c r="W40" i="7"/>
  <c r="W40" i="9" s="1"/>
  <c r="W50" i="7"/>
  <c r="W26" i="7"/>
  <c r="W21" i="7"/>
  <c r="W21" i="9" s="1"/>
  <c r="W35" i="7"/>
  <c r="W20" i="7"/>
  <c r="W10" i="7"/>
  <c r="W34" i="7"/>
  <c r="W41" i="7"/>
  <c r="W51" i="7"/>
  <c r="W23" i="7"/>
  <c r="W24" i="7"/>
  <c r="W36" i="7"/>
  <c r="W12" i="7"/>
  <c r="W7" i="7"/>
  <c r="W48" i="7"/>
  <c r="W38" i="7"/>
  <c r="W29" i="7"/>
  <c r="W18" i="7"/>
  <c r="W18" i="9" s="1"/>
  <c r="W27" i="7"/>
  <c r="W17" i="7"/>
  <c r="W8" i="7"/>
  <c r="W45" i="7"/>
  <c r="W42" i="7"/>
  <c r="W31" i="7"/>
  <c r="W47" i="7"/>
  <c r="W32" i="7"/>
  <c r="W14" i="7"/>
  <c r="W46" i="7"/>
  <c r="W13" i="7"/>
  <c r="W15" i="7"/>
  <c r="W19" i="7"/>
  <c r="W22" i="7"/>
  <c r="W43" i="7"/>
  <c r="W30" i="7"/>
  <c r="W9" i="7"/>
  <c r="W37" i="7"/>
  <c r="O12" i="7"/>
  <c r="O12" i="9" s="1"/>
  <c r="O10" i="7"/>
  <c r="O10" i="9" s="1"/>
  <c r="O45" i="7"/>
  <c r="O45" i="9" s="1"/>
  <c r="O46" i="7"/>
  <c r="O46" i="9" s="1"/>
  <c r="O27" i="7"/>
  <c r="O27" i="9" s="1"/>
  <c r="O32" i="7"/>
  <c r="O32" i="9" s="1"/>
  <c r="O22" i="7"/>
  <c r="O22" i="9" s="1"/>
  <c r="O25" i="7"/>
  <c r="O25" i="9" s="1"/>
  <c r="O8" i="7"/>
  <c r="O8" i="9" s="1"/>
  <c r="O6" i="7"/>
  <c r="O6" i="9" s="1"/>
  <c r="O35" i="7"/>
  <c r="O35" i="9" s="1"/>
  <c r="O47" i="7"/>
  <c r="O47" i="9" s="1"/>
  <c r="O50" i="7"/>
  <c r="O50" i="9" s="1"/>
  <c r="O17" i="7"/>
  <c r="O17" i="9" s="1"/>
  <c r="O40" i="7"/>
  <c r="O40" i="9" s="1"/>
  <c r="O30" i="7"/>
  <c r="O30" i="9" s="1"/>
  <c r="O51" i="7"/>
  <c r="O51" i="9" s="1"/>
  <c r="O31" i="7"/>
  <c r="O31" i="9" s="1"/>
  <c r="O29" i="7"/>
  <c r="O29" i="9" s="1"/>
  <c r="O36" i="7"/>
  <c r="O36" i="9" s="1"/>
  <c r="O19" i="7"/>
  <c r="O19" i="9" s="1"/>
  <c r="O33" i="7"/>
  <c r="O33" i="9" s="1"/>
  <c r="O13" i="7"/>
  <c r="O13" i="9" s="1"/>
  <c r="O49" i="7"/>
  <c r="O49" i="9" s="1"/>
  <c r="O42" i="7"/>
  <c r="O42" i="9" s="1"/>
  <c r="O15" i="7"/>
  <c r="O15" i="9" s="1"/>
  <c r="O9" i="7"/>
  <c r="O9" i="9" s="1"/>
  <c r="O11" i="7"/>
  <c r="O11" i="9" s="1"/>
  <c r="O26" i="7"/>
  <c r="O26" i="9" s="1"/>
  <c r="O44" i="7"/>
  <c r="O44" i="9" s="1"/>
  <c r="O34" i="7"/>
  <c r="O34" i="9" s="1"/>
  <c r="O28" i="7"/>
  <c r="O28" i="9" s="1"/>
  <c r="O37" i="7"/>
  <c r="O37" i="9" s="1"/>
  <c r="O5" i="7"/>
  <c r="O7" i="7"/>
  <c r="O7" i="9" s="1"/>
  <c r="O39" i="7"/>
  <c r="O39" i="9" s="1"/>
  <c r="O41" i="7"/>
  <c r="O41" i="9" s="1"/>
  <c r="O43" i="7"/>
  <c r="O43" i="9" s="1"/>
  <c r="O23" i="7"/>
  <c r="O23" i="9" s="1"/>
  <c r="O16" i="7"/>
  <c r="O16" i="9" s="1"/>
  <c r="O20" i="7"/>
  <c r="O20" i="9" s="1"/>
  <c r="O18" i="7"/>
  <c r="O18" i="9" s="1"/>
  <c r="O24" i="7"/>
  <c r="O24" i="9" s="1"/>
  <c r="O38" i="7"/>
  <c r="O38" i="9" s="1"/>
  <c r="O48" i="7"/>
  <c r="O48" i="9" s="1"/>
  <c r="O21" i="7"/>
  <c r="O21" i="9" s="1"/>
  <c r="O14" i="7"/>
  <c r="O14" i="9" s="1"/>
  <c r="T6" i="25"/>
  <c r="T8" i="25"/>
  <c r="T10" i="25"/>
  <c r="M10" i="25"/>
  <c r="M6" i="25"/>
  <c r="M8" i="25"/>
  <c r="L8" i="25"/>
  <c r="L6" i="25"/>
  <c r="L10" i="25"/>
  <c r="S7" i="7"/>
  <c r="S9" i="7"/>
  <c r="S40" i="7"/>
  <c r="S38" i="7"/>
  <c r="S39" i="7"/>
  <c r="S37" i="7"/>
  <c r="S18" i="7"/>
  <c r="S20" i="7"/>
  <c r="S34" i="7"/>
  <c r="S27" i="7"/>
  <c r="S29" i="7"/>
  <c r="S32" i="7"/>
  <c r="S10" i="7"/>
  <c r="S31" i="7"/>
  <c r="S22" i="7"/>
  <c r="S14" i="7"/>
  <c r="S16" i="7"/>
  <c r="S35" i="7"/>
  <c r="S30" i="7"/>
  <c r="S47" i="7"/>
  <c r="S44" i="7"/>
  <c r="S12" i="7"/>
  <c r="S49" i="7"/>
  <c r="S43" i="7"/>
  <c r="S6" i="7"/>
  <c r="S8" i="7"/>
  <c r="S42" i="7"/>
  <c r="S46" i="7"/>
  <c r="S23" i="7"/>
  <c r="S26" i="7"/>
  <c r="S36" i="7"/>
  <c r="S19" i="7"/>
  <c r="S25" i="7"/>
  <c r="S28" i="7"/>
  <c r="S33" i="7"/>
  <c r="S24" i="7"/>
  <c r="S21" i="7"/>
  <c r="S13" i="7"/>
  <c r="S51" i="7"/>
  <c r="S15" i="7"/>
  <c r="S17" i="7"/>
  <c r="S5" i="7"/>
  <c r="S48" i="7"/>
  <c r="S41" i="7"/>
  <c r="S45" i="7"/>
  <c r="S11" i="7"/>
  <c r="S50" i="7"/>
  <c r="M8" i="24"/>
  <c r="M50" i="24" s="1"/>
  <c r="M24" i="24"/>
  <c r="M66" i="24" s="1"/>
  <c r="I8" i="25"/>
  <c r="I10" i="25"/>
  <c r="I6" i="25"/>
  <c r="S8" i="25"/>
  <c r="S6" i="25"/>
  <c r="S10" i="25"/>
  <c r="V6" i="25"/>
  <c r="V10" i="25"/>
  <c r="V8" i="25"/>
  <c r="AH39" i="7"/>
  <c r="AH39" i="9" s="1"/>
  <c r="AH14" i="7"/>
  <c r="AH14" i="9" s="1"/>
  <c r="AH20" i="7"/>
  <c r="AH20" i="9" s="1"/>
  <c r="AH40" i="7"/>
  <c r="AH30" i="7"/>
  <c r="AH30" i="9" s="1"/>
  <c r="AH23" i="7"/>
  <c r="AH23" i="9" s="1"/>
  <c r="AH46" i="7"/>
  <c r="AH46" i="9" s="1"/>
  <c r="AH8" i="7"/>
  <c r="AH8" i="9" s="1"/>
  <c r="AH21" i="7"/>
  <c r="AH21" i="9" s="1"/>
  <c r="AH25" i="7"/>
  <c r="AH10" i="7"/>
  <c r="AH10" i="9" s="1"/>
  <c r="AH16" i="7"/>
  <c r="AH16" i="9" s="1"/>
  <c r="AH32" i="7"/>
  <c r="AH34" i="7"/>
  <c r="AH34" i="9" s="1"/>
  <c r="AH35" i="7"/>
  <c r="AH35" i="9" s="1"/>
  <c r="AH42" i="7"/>
  <c r="AH42" i="9" s="1"/>
  <c r="AH6" i="7"/>
  <c r="AH41" i="7"/>
  <c r="AH41" i="9" s="1"/>
  <c r="AH38" i="7"/>
  <c r="AH38" i="9" s="1"/>
  <c r="AH33" i="7"/>
  <c r="AH33" i="9" s="1"/>
  <c r="AH17" i="7"/>
  <c r="AH17" i="9" s="1"/>
  <c r="AH31" i="7"/>
  <c r="AH31" i="9" s="1"/>
  <c r="AH18" i="7"/>
  <c r="AH18" i="9" s="1"/>
  <c r="AH51" i="7"/>
  <c r="AH51" i="9" s="1"/>
  <c r="AH12" i="7"/>
  <c r="AH12" i="9" s="1"/>
  <c r="AH45" i="7"/>
  <c r="AH29" i="7"/>
  <c r="AH7" i="7"/>
  <c r="AH7" i="9" s="1"/>
  <c r="AH36" i="7"/>
  <c r="AH36" i="9" s="1"/>
  <c r="AH28" i="7"/>
  <c r="AH28" i="9" s="1"/>
  <c r="AH13" i="7"/>
  <c r="AH13" i="9" s="1"/>
  <c r="AH19" i="7"/>
  <c r="AH19" i="9" s="1"/>
  <c r="AH47" i="7"/>
  <c r="AH47" i="9" s="1"/>
  <c r="AH27" i="7"/>
  <c r="AH27" i="9" s="1"/>
  <c r="AH48" i="7"/>
  <c r="AH48" i="9" s="1"/>
  <c r="AH9" i="7"/>
  <c r="AH9" i="9" s="1"/>
  <c r="AH15" i="7"/>
  <c r="AH15" i="9" s="1"/>
  <c r="AH49" i="7"/>
  <c r="AH49" i="9" s="1"/>
  <c r="AH50" i="7"/>
  <c r="AH50" i="9" s="1"/>
  <c r="AH24" i="7"/>
  <c r="AH24" i="9" s="1"/>
  <c r="AH22" i="7"/>
  <c r="AH22" i="9" s="1"/>
  <c r="AH5" i="7"/>
  <c r="AH11" i="7"/>
  <c r="AH11" i="9" s="1"/>
  <c r="AH44" i="7"/>
  <c r="AH44" i="9" s="1"/>
  <c r="AH37" i="7"/>
  <c r="AH37" i="9" s="1"/>
  <c r="AH43" i="7"/>
  <c r="AH43" i="9" s="1"/>
  <c r="AH26" i="7"/>
  <c r="AH26" i="9" s="1"/>
  <c r="Z32" i="8"/>
  <c r="Y32" i="23" s="1"/>
  <c r="Y84" i="23" s="1"/>
  <c r="Z29" i="8"/>
  <c r="Y29" i="23" s="1"/>
  <c r="Y81" i="23" s="1"/>
  <c r="Z43" i="8"/>
  <c r="Y43" i="23" s="1"/>
  <c r="Y95" i="23" s="1"/>
  <c r="Z39" i="8"/>
  <c r="Y39" i="23" s="1"/>
  <c r="Y91" i="23" s="1"/>
  <c r="Z26" i="8"/>
  <c r="Y26" i="23" s="1"/>
  <c r="Y78" i="23" s="1"/>
  <c r="Z40" i="8"/>
  <c r="Y40" i="23" s="1"/>
  <c r="Y92" i="23" s="1"/>
  <c r="Z28" i="8"/>
  <c r="Y28" i="23" s="1"/>
  <c r="Y80" i="23" s="1"/>
  <c r="Z50" i="8"/>
  <c r="Y50" i="23" s="1"/>
  <c r="Y102" i="23" s="1"/>
  <c r="Z47" i="8"/>
  <c r="Y47" i="23" s="1"/>
  <c r="Y99" i="23" s="1"/>
  <c r="Z18" i="8"/>
  <c r="Y18" i="23" s="1"/>
  <c r="Y70" i="23" s="1"/>
  <c r="Z16" i="8"/>
  <c r="Y16" i="23" s="1"/>
  <c r="Y68" i="23" s="1"/>
  <c r="Z15" i="8"/>
  <c r="Y15" i="23" s="1"/>
  <c r="Y67" i="23" s="1"/>
  <c r="Z12" i="8"/>
  <c r="Y12" i="23" s="1"/>
  <c r="Y64" i="23" s="1"/>
  <c r="Z34" i="8"/>
  <c r="Y34" i="23" s="1"/>
  <c r="Y86" i="23" s="1"/>
  <c r="Z24" i="8"/>
  <c r="Y24" i="23" s="1"/>
  <c r="Y76" i="23" s="1"/>
  <c r="Z45" i="8"/>
  <c r="Y45" i="23" s="1"/>
  <c r="Y97" i="23" s="1"/>
  <c r="Z10" i="8"/>
  <c r="Y10" i="23" s="1"/>
  <c r="Y62" i="23" s="1"/>
  <c r="Z44" i="8"/>
  <c r="Y44" i="23" s="1"/>
  <c r="Y96" i="23" s="1"/>
  <c r="Z13" i="8"/>
  <c r="Y13" i="23" s="1"/>
  <c r="Y65" i="23" s="1"/>
  <c r="Z49" i="8"/>
  <c r="Y49" i="23" s="1"/>
  <c r="Y101" i="23" s="1"/>
  <c r="Z6" i="8"/>
  <c r="Y6" i="23" s="1"/>
  <c r="Y58" i="23" s="1"/>
  <c r="Z37" i="8"/>
  <c r="Y37" i="23" s="1"/>
  <c r="Y89" i="23" s="1"/>
  <c r="Z25" i="8"/>
  <c r="Y25" i="23" s="1"/>
  <c r="Y77" i="23" s="1"/>
  <c r="Z9" i="8"/>
  <c r="Y9" i="23" s="1"/>
  <c r="Y61" i="23" s="1"/>
  <c r="Z31" i="8"/>
  <c r="Y31" i="23" s="1"/>
  <c r="Y83" i="23" s="1"/>
  <c r="Z27" i="8"/>
  <c r="Y27" i="23" s="1"/>
  <c r="Y79" i="23" s="1"/>
  <c r="Z42" i="8"/>
  <c r="Y42" i="23" s="1"/>
  <c r="Y94" i="23" s="1"/>
  <c r="Z20" i="8"/>
  <c r="Y20" i="23" s="1"/>
  <c r="Y72" i="23" s="1"/>
  <c r="Z46" i="8"/>
  <c r="Y46" i="23" s="1"/>
  <c r="Y98" i="23" s="1"/>
  <c r="Z21" i="8"/>
  <c r="Y21" i="23" s="1"/>
  <c r="Y73" i="23" s="1"/>
  <c r="Z35" i="8"/>
  <c r="Y35" i="23" s="1"/>
  <c r="Y87" i="23" s="1"/>
  <c r="Z36" i="8"/>
  <c r="Y36" i="23" s="1"/>
  <c r="Y88" i="23" s="1"/>
  <c r="Z48" i="8"/>
  <c r="Y48" i="23" s="1"/>
  <c r="Y100" i="23" s="1"/>
  <c r="Z23" i="8"/>
  <c r="Y23" i="23" s="1"/>
  <c r="Y75" i="23" s="1"/>
  <c r="Z30" i="8"/>
  <c r="Y30" i="23" s="1"/>
  <c r="Y82" i="23" s="1"/>
  <c r="Z11" i="8"/>
  <c r="Y11" i="23" s="1"/>
  <c r="Y63" i="23" s="1"/>
  <c r="Z8" i="8"/>
  <c r="Y8" i="23" s="1"/>
  <c r="Y60" i="23" s="1"/>
  <c r="Z38" i="8"/>
  <c r="Y38" i="23" s="1"/>
  <c r="Y90" i="23" s="1"/>
  <c r="Z17" i="8"/>
  <c r="Y17" i="23" s="1"/>
  <c r="Y69" i="23" s="1"/>
  <c r="Z51" i="8"/>
  <c r="Y51" i="23" s="1"/>
  <c r="Y103" i="23" s="1"/>
  <c r="Z41" i="8"/>
  <c r="Y41" i="23" s="1"/>
  <c r="Y93" i="23" s="1"/>
  <c r="Z14" i="8"/>
  <c r="Y14" i="23" s="1"/>
  <c r="Y66" i="23" s="1"/>
  <c r="Z22" i="8"/>
  <c r="Y22" i="23" s="1"/>
  <c r="Y74" i="23" s="1"/>
  <c r="Z7" i="8"/>
  <c r="Y7" i="23" s="1"/>
  <c r="Y59" i="23" s="1"/>
  <c r="Z33" i="8"/>
  <c r="Y33" i="23" s="1"/>
  <c r="Y85" i="23" s="1"/>
  <c r="Z5" i="8"/>
  <c r="Z19" i="8"/>
  <c r="Y19" i="23" s="1"/>
  <c r="Y71" i="23" s="1"/>
  <c r="AI53" i="7"/>
  <c r="AI58" i="7" s="1"/>
  <c r="E8" i="25"/>
  <c r="E10" i="25"/>
  <c r="E6" i="25"/>
  <c r="Q6" i="25"/>
  <c r="Q10" i="25"/>
  <c r="Q8" i="25"/>
  <c r="Y56" i="6"/>
  <c r="V56" i="6"/>
  <c r="U17" i="7"/>
  <c r="U17" i="9" s="1"/>
  <c r="U16" i="7"/>
  <c r="U16" i="9" s="1"/>
  <c r="U41" i="7"/>
  <c r="U41" i="9" s="1"/>
  <c r="U36" i="7"/>
  <c r="U36" i="9" s="1"/>
  <c r="U43" i="7"/>
  <c r="U43" i="9" s="1"/>
  <c r="U44" i="7"/>
  <c r="U44" i="9" s="1"/>
  <c r="U33" i="7"/>
  <c r="U33" i="9" s="1"/>
  <c r="U13" i="7"/>
  <c r="U13" i="9" s="1"/>
  <c r="U11" i="7"/>
  <c r="U11" i="9" s="1"/>
  <c r="U30" i="7"/>
  <c r="U30" i="9" s="1"/>
  <c r="U46" i="7"/>
  <c r="U46" i="9" s="1"/>
  <c r="U39" i="7"/>
  <c r="U39" i="9" s="1"/>
  <c r="U25" i="7"/>
  <c r="U25" i="9" s="1"/>
  <c r="U26" i="7"/>
  <c r="U26" i="9" s="1"/>
  <c r="U48" i="7"/>
  <c r="U48" i="9" s="1"/>
  <c r="U9" i="7"/>
  <c r="U9" i="9" s="1"/>
  <c r="U12" i="7"/>
  <c r="U12" i="9" s="1"/>
  <c r="U49" i="7"/>
  <c r="U49" i="9" s="1"/>
  <c r="U28" i="7"/>
  <c r="U28" i="9" s="1"/>
  <c r="U40" i="7"/>
  <c r="U40" i="9" s="1"/>
  <c r="U5" i="7"/>
  <c r="U22" i="7"/>
  <c r="U22" i="9" s="1"/>
  <c r="U7" i="7"/>
  <c r="U7" i="9" s="1"/>
  <c r="U18" i="7"/>
  <c r="U18" i="9" s="1"/>
  <c r="U34" i="7"/>
  <c r="U34" i="9" s="1"/>
  <c r="U24" i="7"/>
  <c r="U24" i="9" s="1"/>
  <c r="U29" i="7"/>
  <c r="U29" i="9" s="1"/>
  <c r="U31" i="7"/>
  <c r="U31" i="9" s="1"/>
  <c r="U47" i="7"/>
  <c r="U47" i="9" s="1"/>
  <c r="U35" i="7"/>
  <c r="U35" i="9" s="1"/>
  <c r="U14" i="7"/>
  <c r="U14" i="9" s="1"/>
  <c r="U19" i="7"/>
  <c r="U19" i="9" s="1"/>
  <c r="U8" i="7"/>
  <c r="U8" i="9" s="1"/>
  <c r="U38" i="7"/>
  <c r="U38" i="9" s="1"/>
  <c r="U32" i="7"/>
  <c r="U32" i="9" s="1"/>
  <c r="U45" i="7"/>
  <c r="U45" i="9" s="1"/>
  <c r="U6" i="7"/>
  <c r="U6" i="9" s="1"/>
  <c r="U42" i="7"/>
  <c r="U42" i="9" s="1"/>
  <c r="U10" i="7"/>
  <c r="U10" i="9" s="1"/>
  <c r="U20" i="7"/>
  <c r="U20" i="9" s="1"/>
  <c r="U21" i="7"/>
  <c r="U21" i="9" s="1"/>
  <c r="U27" i="7"/>
  <c r="U27" i="9" s="1"/>
  <c r="U37" i="7"/>
  <c r="U37" i="9" s="1"/>
  <c r="U50" i="7"/>
  <c r="U50" i="9" s="1"/>
  <c r="U15" i="7"/>
  <c r="U15" i="9" s="1"/>
  <c r="U23" i="7"/>
  <c r="U23" i="9" s="1"/>
  <c r="U51" i="7"/>
  <c r="U51" i="9" s="1"/>
  <c r="R23" i="7"/>
  <c r="R23" i="9" s="1"/>
  <c r="R10" i="7"/>
  <c r="R10" i="9" s="1"/>
  <c r="R9" i="7"/>
  <c r="R9" i="9" s="1"/>
  <c r="R35" i="7"/>
  <c r="R35" i="9" s="1"/>
  <c r="R31" i="7"/>
  <c r="R31" i="9" s="1"/>
  <c r="R34" i="7"/>
  <c r="R34" i="9" s="1"/>
  <c r="R11" i="7"/>
  <c r="R11" i="9" s="1"/>
  <c r="R17" i="7"/>
  <c r="R17" i="9" s="1"/>
  <c r="R14" i="7"/>
  <c r="R14" i="9" s="1"/>
  <c r="R19" i="7"/>
  <c r="R19" i="9" s="1"/>
  <c r="R6" i="7"/>
  <c r="R6" i="9" s="1"/>
  <c r="R21" i="7"/>
  <c r="R21" i="9" s="1"/>
  <c r="R47" i="7"/>
  <c r="R47" i="9" s="1"/>
  <c r="R38" i="7"/>
  <c r="R38" i="9" s="1"/>
  <c r="R33" i="7"/>
  <c r="R33" i="9" s="1"/>
  <c r="R15" i="7"/>
  <c r="R15" i="9" s="1"/>
  <c r="R16" i="7"/>
  <c r="R16" i="9" s="1"/>
  <c r="R42" i="7"/>
  <c r="R42" i="9" s="1"/>
  <c r="R30" i="7"/>
  <c r="R30" i="9" s="1"/>
  <c r="R36" i="7"/>
  <c r="R36" i="9" s="1"/>
  <c r="R45" i="7"/>
  <c r="R45" i="9" s="1"/>
  <c r="R5" i="7"/>
  <c r="R43" i="7"/>
  <c r="R43" i="9" s="1"/>
  <c r="R24" i="7"/>
  <c r="R24" i="9" s="1"/>
  <c r="R20" i="7"/>
  <c r="R20" i="9" s="1"/>
  <c r="R32" i="7"/>
  <c r="R32" i="9" s="1"/>
  <c r="R29" i="7"/>
  <c r="R29" i="9" s="1"/>
  <c r="R7" i="7"/>
  <c r="R7" i="9" s="1"/>
  <c r="R13" i="7"/>
  <c r="R13" i="9" s="1"/>
  <c r="R12" i="7"/>
  <c r="R12" i="9" s="1"/>
  <c r="R37" i="7"/>
  <c r="R37" i="9" s="1"/>
  <c r="R46" i="7"/>
  <c r="R46" i="9" s="1"/>
  <c r="R27" i="7"/>
  <c r="R27" i="9" s="1"/>
  <c r="R28" i="7"/>
  <c r="R28" i="9" s="1"/>
  <c r="R22" i="7"/>
  <c r="R22" i="9" s="1"/>
  <c r="R8" i="7"/>
  <c r="R8" i="9" s="1"/>
  <c r="R39" i="7"/>
  <c r="R39" i="9" s="1"/>
  <c r="R51" i="7"/>
  <c r="R51" i="9" s="1"/>
  <c r="R50" i="7"/>
  <c r="R50" i="9" s="1"/>
  <c r="R48" i="7"/>
  <c r="R48" i="9" s="1"/>
  <c r="R26" i="7"/>
  <c r="R26" i="9" s="1"/>
  <c r="R18" i="7"/>
  <c r="R18" i="9" s="1"/>
  <c r="R25" i="7"/>
  <c r="R25" i="9" s="1"/>
  <c r="R41" i="7"/>
  <c r="R41" i="9" s="1"/>
  <c r="R44" i="7"/>
  <c r="R44" i="9" s="1"/>
  <c r="R40" i="7"/>
  <c r="R40" i="9" s="1"/>
  <c r="R49" i="7"/>
  <c r="R49" i="9" s="1"/>
  <c r="AA34" i="8"/>
  <c r="Z34" i="23" s="1"/>
  <c r="Z86" i="23" s="1"/>
  <c r="AA9" i="8"/>
  <c r="Z9" i="23" s="1"/>
  <c r="Z61" i="23" s="1"/>
  <c r="AA12" i="8"/>
  <c r="Z12" i="23" s="1"/>
  <c r="Z64" i="23" s="1"/>
  <c r="AA36" i="8"/>
  <c r="Z36" i="23" s="1"/>
  <c r="Z88" i="23" s="1"/>
  <c r="AA39" i="8"/>
  <c r="Z39" i="23" s="1"/>
  <c r="Z91" i="23" s="1"/>
  <c r="AA37" i="8"/>
  <c r="Z37" i="23" s="1"/>
  <c r="Z89" i="23" s="1"/>
  <c r="AA6" i="8"/>
  <c r="Z6" i="23" s="1"/>
  <c r="Z58" i="23" s="1"/>
  <c r="AA27" i="8"/>
  <c r="Z27" i="23" s="1"/>
  <c r="Z79" i="23" s="1"/>
  <c r="AA13" i="8"/>
  <c r="Z13" i="23" s="1"/>
  <c r="Z65" i="23" s="1"/>
  <c r="AA50" i="8"/>
  <c r="Z50" i="23" s="1"/>
  <c r="Z102" i="23" s="1"/>
  <c r="AA46" i="8"/>
  <c r="Z46" i="23" s="1"/>
  <c r="Z98" i="23" s="1"/>
  <c r="AA42" i="8"/>
  <c r="Z42" i="23" s="1"/>
  <c r="Z94" i="23" s="1"/>
  <c r="AA8" i="8"/>
  <c r="Z8" i="23" s="1"/>
  <c r="Z60" i="23" s="1"/>
  <c r="AA26" i="8"/>
  <c r="Z26" i="23" s="1"/>
  <c r="Z78" i="23" s="1"/>
  <c r="AA16" i="8"/>
  <c r="Z16" i="23" s="1"/>
  <c r="Z68" i="23" s="1"/>
  <c r="AA44" i="8"/>
  <c r="Z44" i="23" s="1"/>
  <c r="Z96" i="23" s="1"/>
  <c r="AA30" i="8"/>
  <c r="Z30" i="23" s="1"/>
  <c r="Z82" i="23" s="1"/>
  <c r="AA15" i="8"/>
  <c r="Z15" i="23" s="1"/>
  <c r="Z67" i="23" s="1"/>
  <c r="AA38" i="8"/>
  <c r="Z38" i="23" s="1"/>
  <c r="Z90" i="23" s="1"/>
  <c r="AA5" i="8"/>
  <c r="AA40" i="8"/>
  <c r="Z40" i="23" s="1"/>
  <c r="Z92" i="23" s="1"/>
  <c r="AA51" i="8"/>
  <c r="Z51" i="23" s="1"/>
  <c r="Z103" i="23" s="1"/>
  <c r="AA45" i="8"/>
  <c r="Z45" i="23" s="1"/>
  <c r="Z97" i="23" s="1"/>
  <c r="AA22" i="8"/>
  <c r="Z22" i="23" s="1"/>
  <c r="Z74" i="23" s="1"/>
  <c r="AA7" i="8"/>
  <c r="Z7" i="23" s="1"/>
  <c r="Z59" i="23" s="1"/>
  <c r="AA33" i="8"/>
  <c r="Z33" i="23" s="1"/>
  <c r="Z85" i="23" s="1"/>
  <c r="AA31" i="8"/>
  <c r="Z31" i="23" s="1"/>
  <c r="Z83" i="23" s="1"/>
  <c r="AA28" i="8"/>
  <c r="Z28" i="23" s="1"/>
  <c r="Z80" i="23" s="1"/>
  <c r="AA17" i="8"/>
  <c r="Z17" i="23" s="1"/>
  <c r="Z69" i="23" s="1"/>
  <c r="AA25" i="8"/>
  <c r="Z25" i="23" s="1"/>
  <c r="Z77" i="23" s="1"/>
  <c r="AA48" i="8"/>
  <c r="Z48" i="23" s="1"/>
  <c r="Z100" i="23" s="1"/>
  <c r="AA23" i="8"/>
  <c r="Z23" i="23" s="1"/>
  <c r="Z75" i="23" s="1"/>
  <c r="AA21" i="8"/>
  <c r="Z21" i="23" s="1"/>
  <c r="Z73" i="23" s="1"/>
  <c r="AA49" i="8"/>
  <c r="Z49" i="23" s="1"/>
  <c r="Z101" i="23" s="1"/>
  <c r="AA32" i="8"/>
  <c r="Z32" i="23" s="1"/>
  <c r="Z84" i="23" s="1"/>
  <c r="AA41" i="8"/>
  <c r="Z41" i="23" s="1"/>
  <c r="Z93" i="23" s="1"/>
  <c r="AA20" i="8"/>
  <c r="Z20" i="23" s="1"/>
  <c r="Z72" i="23" s="1"/>
  <c r="AA35" i="8"/>
  <c r="Z35" i="23" s="1"/>
  <c r="Z87" i="23" s="1"/>
  <c r="AA14" i="8"/>
  <c r="Z14" i="23" s="1"/>
  <c r="Z66" i="23" s="1"/>
  <c r="AA47" i="8"/>
  <c r="Z47" i="23" s="1"/>
  <c r="Z99" i="23" s="1"/>
  <c r="AA43" i="8"/>
  <c r="Z43" i="23" s="1"/>
  <c r="Z95" i="23" s="1"/>
  <c r="AA18" i="8"/>
  <c r="Z18" i="23" s="1"/>
  <c r="Z70" i="23" s="1"/>
  <c r="AA29" i="8"/>
  <c r="Z29" i="23" s="1"/>
  <c r="Z81" i="23" s="1"/>
  <c r="AA11" i="8"/>
  <c r="Z11" i="23" s="1"/>
  <c r="Z63" i="23" s="1"/>
  <c r="AA24" i="8"/>
  <c r="Z24" i="23" s="1"/>
  <c r="Z76" i="23" s="1"/>
  <c r="AA10" i="8"/>
  <c r="Z10" i="23" s="1"/>
  <c r="Z62" i="23" s="1"/>
  <c r="AA19" i="8"/>
  <c r="Z19" i="23" s="1"/>
  <c r="Z71" i="23" s="1"/>
  <c r="G8" i="25"/>
  <c r="G6" i="25"/>
  <c r="G10" i="25"/>
  <c r="N8" i="25"/>
  <c r="N6" i="25"/>
  <c r="N10" i="25"/>
  <c r="O8" i="25"/>
  <c r="AC18" i="7"/>
  <c r="AC20" i="7"/>
  <c r="AC44" i="7"/>
  <c r="AC37" i="7"/>
  <c r="AC42" i="7"/>
  <c r="AC40" i="7"/>
  <c r="AC14" i="7"/>
  <c r="AC16" i="7"/>
  <c r="AC23" i="7"/>
  <c r="AC46" i="7"/>
  <c r="AC51" i="7"/>
  <c r="AC31" i="7"/>
  <c r="AC6" i="7"/>
  <c r="AC21" i="7"/>
  <c r="AC32" i="7"/>
  <c r="AC10" i="7"/>
  <c r="AC12" i="7"/>
  <c r="AC41" i="7"/>
  <c r="AC29" i="7"/>
  <c r="AC50" i="7"/>
  <c r="AC26" i="7"/>
  <c r="AC8" i="7"/>
  <c r="AC39" i="7"/>
  <c r="AC19" i="7"/>
  <c r="AC17" i="7"/>
  <c r="AC30" i="7"/>
  <c r="AC22" i="7"/>
  <c r="AC34" i="7"/>
  <c r="AC35" i="7"/>
  <c r="AC38" i="7"/>
  <c r="AC15" i="7"/>
  <c r="AC13" i="7"/>
  <c r="AC25" i="7"/>
  <c r="AC24" i="7"/>
  <c r="AC43" i="7"/>
  <c r="AC28" i="7"/>
  <c r="AC7" i="7"/>
  <c r="AC47" i="7"/>
  <c r="AC11" i="7"/>
  <c r="AC9" i="7"/>
  <c r="AC45" i="7"/>
  <c r="AC27" i="7"/>
  <c r="AC33" i="7"/>
  <c r="AC49" i="7"/>
  <c r="AC5" i="7"/>
  <c r="AC48" i="7"/>
  <c r="AC36" i="7"/>
  <c r="R6" i="25"/>
  <c r="R10" i="25"/>
  <c r="R8" i="25"/>
  <c r="C8" i="25"/>
  <c r="C10" i="25"/>
  <c r="C6" i="25"/>
  <c r="W8" i="25"/>
  <c r="W6" i="25"/>
  <c r="W10" i="25"/>
  <c r="L28" i="7"/>
  <c r="L28" i="9" s="1"/>
  <c r="L8" i="7"/>
  <c r="L8" i="9" s="1"/>
  <c r="L41" i="7"/>
  <c r="L41" i="9" s="1"/>
  <c r="L30" i="7"/>
  <c r="L30" i="9" s="1"/>
  <c r="L38" i="7"/>
  <c r="L38" i="9" s="1"/>
  <c r="L7" i="7"/>
  <c r="L7" i="9" s="1"/>
  <c r="L21" i="7"/>
  <c r="L23" i="7"/>
  <c r="L43" i="7"/>
  <c r="L31" i="7"/>
  <c r="L47" i="7"/>
  <c r="L37" i="7"/>
  <c r="L13" i="7"/>
  <c r="L15" i="7"/>
  <c r="L50" i="7"/>
  <c r="L18" i="7"/>
  <c r="L42" i="7"/>
  <c r="L22" i="7"/>
  <c r="L9" i="7"/>
  <c r="L9" i="9" s="1"/>
  <c r="L29" i="7"/>
  <c r="L29" i="9" s="1"/>
  <c r="L32" i="7"/>
  <c r="L32" i="9" s="1"/>
  <c r="L49" i="7"/>
  <c r="L14" i="7"/>
  <c r="L14" i="9" s="1"/>
  <c r="L5" i="7"/>
  <c r="L19" i="7"/>
  <c r="L19" i="9" s="1"/>
  <c r="L44" i="7"/>
  <c r="L44" i="9" s="1"/>
  <c r="L46" i="7"/>
  <c r="L46" i="9" s="1"/>
  <c r="L36" i="7"/>
  <c r="L36" i="9" s="1"/>
  <c r="L26" i="7"/>
  <c r="L26" i="9" s="1"/>
  <c r="L35" i="7"/>
  <c r="L35" i="9" s="1"/>
  <c r="L11" i="7"/>
  <c r="L11" i="9" s="1"/>
  <c r="L10" i="7"/>
  <c r="L10" i="9" s="1"/>
  <c r="L27" i="7"/>
  <c r="L27" i="9" s="1"/>
  <c r="L48" i="7"/>
  <c r="L48" i="9" s="1"/>
  <c r="L51" i="7"/>
  <c r="L51" i="9" s="1"/>
  <c r="L39" i="7"/>
  <c r="L39" i="9" s="1"/>
  <c r="L40" i="7"/>
  <c r="L40" i="9" s="1"/>
  <c r="L25" i="7"/>
  <c r="L25" i="9" s="1"/>
  <c r="L6" i="7"/>
  <c r="L6" i="9" s="1"/>
  <c r="L24" i="7"/>
  <c r="L24" i="9" s="1"/>
  <c r="L33" i="7"/>
  <c r="L33" i="9" s="1"/>
  <c r="L20" i="7"/>
  <c r="L20" i="9" s="1"/>
  <c r="L12" i="7"/>
  <c r="L12" i="9" s="1"/>
  <c r="L34" i="7"/>
  <c r="L34" i="9" s="1"/>
  <c r="L17" i="7"/>
  <c r="L16" i="7"/>
  <c r="L16" i="9" s="1"/>
  <c r="L45" i="7"/>
  <c r="L45" i="9" s="1"/>
  <c r="P16" i="7"/>
  <c r="P16" i="9" s="1"/>
  <c r="P26" i="7"/>
  <c r="P26" i="9" s="1"/>
  <c r="P22" i="7"/>
  <c r="P22" i="9" s="1"/>
  <c r="P39" i="7"/>
  <c r="P39" i="9" s="1"/>
  <c r="P43" i="7"/>
  <c r="P43" i="9" s="1"/>
  <c r="P36" i="7"/>
  <c r="P36" i="9" s="1"/>
  <c r="P30" i="7"/>
  <c r="P30" i="9" s="1"/>
  <c r="P12" i="7"/>
  <c r="P12" i="9" s="1"/>
  <c r="P18" i="7"/>
  <c r="P18" i="9" s="1"/>
  <c r="P6" i="7"/>
  <c r="P6" i="9" s="1"/>
  <c r="P38" i="7"/>
  <c r="P38" i="9" s="1"/>
  <c r="P34" i="7"/>
  <c r="P34" i="9" s="1"/>
  <c r="P8" i="7"/>
  <c r="P27" i="7"/>
  <c r="P44" i="7"/>
  <c r="P50" i="7"/>
  <c r="P20" i="7"/>
  <c r="P20" i="9" s="1"/>
  <c r="P29" i="7"/>
  <c r="P13" i="7"/>
  <c r="P17" i="7"/>
  <c r="P46" i="7"/>
  <c r="P42" i="7"/>
  <c r="P14" i="7"/>
  <c r="P40" i="7"/>
  <c r="P23" i="7"/>
  <c r="P49" i="7"/>
  <c r="P49" i="9" s="1"/>
  <c r="P28" i="7"/>
  <c r="P28" i="9" s="1"/>
  <c r="P19" i="7"/>
  <c r="P19" i="9" s="1"/>
  <c r="P25" i="7"/>
  <c r="P25" i="9" s="1"/>
  <c r="P31" i="7"/>
  <c r="P31" i="9" s="1"/>
  <c r="P41" i="7"/>
  <c r="P41" i="9" s="1"/>
  <c r="P33" i="7"/>
  <c r="P33" i="9" s="1"/>
  <c r="P47" i="7"/>
  <c r="P5" i="7"/>
  <c r="P15" i="7"/>
  <c r="P15" i="9" s="1"/>
  <c r="P9" i="7"/>
  <c r="P9" i="9" s="1"/>
  <c r="P51" i="7"/>
  <c r="P51" i="9" s="1"/>
  <c r="P45" i="7"/>
  <c r="P45" i="9" s="1"/>
  <c r="P32" i="7"/>
  <c r="P32" i="9" s="1"/>
  <c r="P21" i="7"/>
  <c r="P21" i="9" s="1"/>
  <c r="P24" i="7"/>
  <c r="P24" i="9" s="1"/>
  <c r="P11" i="7"/>
  <c r="P11" i="9" s="1"/>
  <c r="P10" i="7"/>
  <c r="P10" i="9" s="1"/>
  <c r="P37" i="7"/>
  <c r="P37" i="9" s="1"/>
  <c r="P48" i="7"/>
  <c r="P48" i="9" s="1"/>
  <c r="P35" i="7"/>
  <c r="P35" i="9" s="1"/>
  <c r="P7" i="7"/>
  <c r="P7" i="9" s="1"/>
  <c r="O10" i="25"/>
  <c r="O6" i="25"/>
  <c r="U8" i="25"/>
  <c r="U6" i="25"/>
  <c r="U10" i="25"/>
  <c r="D8" i="25"/>
  <c r="D6" i="25"/>
  <c r="D10" i="25"/>
  <c r="X46" i="7"/>
  <c r="X46" i="9" s="1"/>
  <c r="X37" i="7"/>
  <c r="X37" i="9" s="1"/>
  <c r="X43" i="7"/>
  <c r="X43" i="9" s="1"/>
  <c r="X16" i="7"/>
  <c r="X16" i="9" s="1"/>
  <c r="X15" i="7"/>
  <c r="X15" i="9" s="1"/>
  <c r="X10" i="7"/>
  <c r="X10" i="9" s="1"/>
  <c r="X42" i="7"/>
  <c r="X42" i="9" s="1"/>
  <c r="X33" i="7"/>
  <c r="X33" i="9" s="1"/>
  <c r="X26" i="7"/>
  <c r="X26" i="9" s="1"/>
  <c r="X12" i="7"/>
  <c r="X12" i="9" s="1"/>
  <c r="X11" i="7"/>
  <c r="X11" i="9" s="1"/>
  <c r="X6" i="7"/>
  <c r="X6" i="9" s="1"/>
  <c r="X21" i="7"/>
  <c r="X21" i="9" s="1"/>
  <c r="X5" i="7"/>
  <c r="X48" i="7"/>
  <c r="X48" i="9" s="1"/>
  <c r="X38" i="7"/>
  <c r="X38" i="9" s="1"/>
  <c r="X29" i="7"/>
  <c r="X29" i="9" s="1"/>
  <c r="X25" i="7"/>
  <c r="X25" i="9" s="1"/>
  <c r="X8" i="7"/>
  <c r="X8" i="9" s="1"/>
  <c r="X7" i="7"/>
  <c r="X7" i="9" s="1"/>
  <c r="X36" i="7"/>
  <c r="X36" i="9" s="1"/>
  <c r="X51" i="7"/>
  <c r="X51" i="9" s="1"/>
  <c r="X44" i="7"/>
  <c r="X44" i="9" s="1"/>
  <c r="X34" i="7"/>
  <c r="X34" i="9" s="1"/>
  <c r="X27" i="7"/>
  <c r="X27" i="9" s="1"/>
  <c r="X30" i="7"/>
  <c r="X30" i="9" s="1"/>
  <c r="X17" i="7"/>
  <c r="X17" i="9" s="1"/>
  <c r="X32" i="7"/>
  <c r="X32" i="9" s="1"/>
  <c r="X40" i="7"/>
  <c r="X40" i="9" s="1"/>
  <c r="X47" i="7"/>
  <c r="X47" i="9" s="1"/>
  <c r="X28" i="7"/>
  <c r="X28" i="9" s="1"/>
  <c r="X50" i="7"/>
  <c r="X50" i="9" s="1"/>
  <c r="X19" i="7"/>
  <c r="X19" i="9" s="1"/>
  <c r="X49" i="7"/>
  <c r="X49" i="9" s="1"/>
  <c r="X13" i="7"/>
  <c r="X13" i="9" s="1"/>
  <c r="X31" i="7"/>
  <c r="X31" i="9" s="1"/>
  <c r="X39" i="7"/>
  <c r="X39" i="9" s="1"/>
  <c r="X22" i="7"/>
  <c r="X22" i="9" s="1"/>
  <c r="X35" i="7"/>
  <c r="X35" i="9" s="1"/>
  <c r="X20" i="7"/>
  <c r="X20" i="9" s="1"/>
  <c r="X45" i="7"/>
  <c r="X45" i="9" s="1"/>
  <c r="X9" i="7"/>
  <c r="X9" i="9" s="1"/>
  <c r="X24" i="7"/>
  <c r="X24" i="9" s="1"/>
  <c r="X23" i="7"/>
  <c r="X23" i="9" s="1"/>
  <c r="X18" i="7"/>
  <c r="X18" i="9" s="1"/>
  <c r="X41" i="7"/>
  <c r="X41" i="9" s="1"/>
  <c r="X14" i="7"/>
  <c r="X14" i="9" s="1"/>
  <c r="M26" i="24"/>
  <c r="M68" i="24" s="1"/>
  <c r="M16" i="24"/>
  <c r="M58" i="24" s="1"/>
  <c r="M32" i="24"/>
  <c r="M74" i="24" s="1"/>
  <c r="M11" i="24"/>
  <c r="M53" i="24" s="1"/>
  <c r="M35" i="24"/>
  <c r="M77" i="24" s="1"/>
  <c r="M30" i="24"/>
  <c r="M72" i="24" s="1"/>
  <c r="M27" i="24"/>
  <c r="M69" i="24" s="1"/>
  <c r="M40" i="24"/>
  <c r="M82" i="24" s="1"/>
  <c r="M5" i="24"/>
  <c r="M47" i="24" s="1"/>
  <c r="Q33" i="11"/>
  <c r="M31" i="24"/>
  <c r="M73" i="24" s="1"/>
  <c r="M19" i="24"/>
  <c r="M61" i="24" s="1"/>
  <c r="M9" i="24"/>
  <c r="M51" i="24" s="1"/>
  <c r="M33" i="24"/>
  <c r="M75" i="24" s="1"/>
  <c r="M21" i="24"/>
  <c r="M63" i="24" s="1"/>
  <c r="M10" i="24"/>
  <c r="M52" i="24" s="1"/>
  <c r="M13" i="24"/>
  <c r="M55" i="24" s="1"/>
  <c r="M25" i="24"/>
  <c r="M67" i="24" s="1"/>
  <c r="M12" i="24"/>
  <c r="M54" i="24" s="1"/>
  <c r="AI37" i="8"/>
  <c r="AE37" i="23" s="1"/>
  <c r="AE89" i="23" s="1"/>
  <c r="M15" i="24"/>
  <c r="M57" i="24" s="1"/>
  <c r="M17" i="24"/>
  <c r="M59" i="24" s="1"/>
  <c r="S11" i="12"/>
  <c r="Q11" i="24"/>
  <c r="Q53" i="24" s="1"/>
  <c r="S7" i="12"/>
  <c r="Q7" i="24"/>
  <c r="Q49" i="24" s="1"/>
  <c r="Q5" i="24"/>
  <c r="Q47" i="24" s="1"/>
  <c r="M6" i="24"/>
  <c r="M48" i="24" s="1"/>
  <c r="S14" i="12"/>
  <c r="Q14" i="24"/>
  <c r="Q56" i="24" s="1"/>
  <c r="S36" i="12"/>
  <c r="Q36" i="24"/>
  <c r="Q78" i="24" s="1"/>
  <c r="S16" i="12"/>
  <c r="Q16" i="24"/>
  <c r="Q58" i="24" s="1"/>
  <c r="S24" i="12"/>
  <c r="Q24" i="24"/>
  <c r="Q66" i="24" s="1"/>
  <c r="S41" i="12"/>
  <c r="Q41" i="24"/>
  <c r="Q83" i="24" s="1"/>
  <c r="M38" i="24"/>
  <c r="M80" i="24" s="1"/>
  <c r="S25" i="12"/>
  <c r="Q25" i="24"/>
  <c r="Q67" i="24" s="1"/>
  <c r="S20" i="12"/>
  <c r="Q20" i="24"/>
  <c r="Q62" i="24" s="1"/>
  <c r="M37" i="24"/>
  <c r="M79" i="24" s="1"/>
  <c r="M20" i="24"/>
  <c r="M62" i="24" s="1"/>
  <c r="S9" i="12"/>
  <c r="Q9" i="24"/>
  <c r="Q51" i="24" s="1"/>
  <c r="M14" i="24"/>
  <c r="M56" i="24" s="1"/>
  <c r="M36" i="24"/>
  <c r="M78" i="24" s="1"/>
  <c r="S34" i="12"/>
  <c r="Q34" i="24"/>
  <c r="Q76" i="24" s="1"/>
  <c r="S39" i="12"/>
  <c r="Q39" i="24"/>
  <c r="Q81" i="24" s="1"/>
  <c r="Q23" i="24"/>
  <c r="Q65" i="24" s="1"/>
  <c r="S21" i="12"/>
  <c r="Q21" i="24"/>
  <c r="Q63" i="24" s="1"/>
  <c r="S18" i="12"/>
  <c r="Q18" i="24"/>
  <c r="Q60" i="24" s="1"/>
  <c r="S38" i="12"/>
  <c r="Q38" i="24"/>
  <c r="Q80" i="24" s="1"/>
  <c r="S32" i="12"/>
  <c r="Q32" i="24"/>
  <c r="Q74" i="24" s="1"/>
  <c r="M22" i="24"/>
  <c r="M64" i="24" s="1"/>
  <c r="M39" i="24"/>
  <c r="M81" i="24" s="1"/>
  <c r="S17" i="12"/>
  <c r="Q17" i="24"/>
  <c r="Q59" i="24" s="1"/>
  <c r="S35" i="12"/>
  <c r="Q35" i="24"/>
  <c r="Q77" i="24" s="1"/>
  <c r="S33" i="12"/>
  <c r="Q33" i="24"/>
  <c r="Q75" i="24" s="1"/>
  <c r="M18" i="24"/>
  <c r="M60" i="24" s="1"/>
  <c r="S6" i="12"/>
  <c r="Q6" i="24"/>
  <c r="Q48" i="24" s="1"/>
  <c r="S15" i="12"/>
  <c r="Q15" i="24"/>
  <c r="Q57" i="24" s="1"/>
  <c r="S28" i="12"/>
  <c r="Q28" i="24"/>
  <c r="Q70" i="24" s="1"/>
  <c r="M28" i="24"/>
  <c r="M70" i="24" s="1"/>
  <c r="S40" i="12"/>
  <c r="Q40" i="24"/>
  <c r="Q82" i="24" s="1"/>
  <c r="Q19" i="24"/>
  <c r="Q61" i="24" s="1"/>
  <c r="Q29" i="24"/>
  <c r="Q71" i="24" s="1"/>
  <c r="M34" i="24"/>
  <c r="M76" i="24" s="1"/>
  <c r="S8" i="12"/>
  <c r="Q8" i="24"/>
  <c r="Q50" i="24" s="1"/>
  <c r="M7" i="24"/>
  <c r="M49" i="24" s="1"/>
  <c r="S12" i="12"/>
  <c r="Q12" i="24"/>
  <c r="Q54" i="24" s="1"/>
  <c r="S27" i="12"/>
  <c r="Q27" i="24"/>
  <c r="Q69" i="24" s="1"/>
  <c r="S10" i="12"/>
  <c r="Q10" i="24"/>
  <c r="Q52" i="24" s="1"/>
  <c r="S26" i="12"/>
  <c r="Q26" i="24"/>
  <c r="Q68" i="24" s="1"/>
  <c r="S37" i="12"/>
  <c r="Q37" i="24"/>
  <c r="Q79" i="24" s="1"/>
  <c r="M29" i="24"/>
  <c r="M71" i="24" s="1"/>
  <c r="M23" i="24"/>
  <c r="M65" i="24" s="1"/>
  <c r="S13" i="12"/>
  <c r="Q13" i="24"/>
  <c r="Q55" i="24" s="1"/>
  <c r="Q22" i="24"/>
  <c r="Q64" i="24" s="1"/>
  <c r="Q30" i="24"/>
  <c r="Q72" i="24" s="1"/>
  <c r="Q31" i="24"/>
  <c r="Q73" i="24" s="1"/>
  <c r="AI40" i="8"/>
  <c r="AE40" i="23" s="1"/>
  <c r="AE92" i="23" s="1"/>
  <c r="AI24" i="8"/>
  <c r="AE24" i="23" s="1"/>
  <c r="AE76" i="23" s="1"/>
  <c r="AI9" i="8"/>
  <c r="AE9" i="23" s="1"/>
  <c r="AE61" i="23" s="1"/>
  <c r="AI21" i="8"/>
  <c r="AE21" i="23" s="1"/>
  <c r="AE73" i="23" s="1"/>
  <c r="AI27" i="8"/>
  <c r="AE27" i="23" s="1"/>
  <c r="AE79" i="23" s="1"/>
  <c r="AI13" i="8"/>
  <c r="AE13" i="23" s="1"/>
  <c r="AE65" i="23" s="1"/>
  <c r="AI6" i="8"/>
  <c r="AE6" i="23" s="1"/>
  <c r="AE58" i="23" s="1"/>
  <c r="AI45" i="8"/>
  <c r="AE45" i="23" s="1"/>
  <c r="AE97" i="23" s="1"/>
  <c r="Q35" i="11"/>
  <c r="AI10" i="8"/>
  <c r="AE10" i="23" s="1"/>
  <c r="AE62" i="23" s="1"/>
  <c r="AI20" i="8"/>
  <c r="AE20" i="23" s="1"/>
  <c r="AE72" i="23" s="1"/>
  <c r="V7" i="12"/>
  <c r="V7" i="13"/>
  <c r="AA5" i="11"/>
  <c r="Z5" i="12"/>
  <c r="Z5" i="13"/>
  <c r="Z43" i="11"/>
  <c r="W22" i="11"/>
  <c r="T22" i="12"/>
  <c r="T22" i="13"/>
  <c r="N26" i="12"/>
  <c r="N26" i="13"/>
  <c r="P5" i="12"/>
  <c r="P43" i="11"/>
  <c r="P5" i="13"/>
  <c r="O41" i="12"/>
  <c r="O41" i="13"/>
  <c r="Q24" i="11"/>
  <c r="Q23" i="11"/>
  <c r="Q11" i="11"/>
  <c r="Q10" i="11"/>
  <c r="M43" i="12"/>
  <c r="V31" i="12"/>
  <c r="V31" i="13"/>
  <c r="V12" i="12"/>
  <c r="V12" i="13"/>
  <c r="V17" i="12"/>
  <c r="V17" i="13"/>
  <c r="V9" i="12"/>
  <c r="V9" i="13"/>
  <c r="AB44" i="13"/>
  <c r="AB44" i="12"/>
  <c r="X48" i="12" s="1"/>
  <c r="AB44" i="11"/>
  <c r="AB44" i="10"/>
  <c r="AA12" i="11"/>
  <c r="Z12" i="12"/>
  <c r="AA12" i="12" s="1"/>
  <c r="Z12" i="13"/>
  <c r="AA12" i="13" s="1"/>
  <c r="AA29" i="11"/>
  <c r="Z29" i="12"/>
  <c r="AA29" i="12" s="1"/>
  <c r="Z29" i="13"/>
  <c r="AA29" i="13" s="1"/>
  <c r="AA28" i="11"/>
  <c r="Z28" i="12"/>
  <c r="AA28" i="12" s="1"/>
  <c r="Z28" i="13"/>
  <c r="AA28" i="13" s="1"/>
  <c r="AA7" i="11"/>
  <c r="Z7" i="12"/>
  <c r="AA7" i="12" s="1"/>
  <c r="Z7" i="13"/>
  <c r="AA7" i="13" s="1"/>
  <c r="Z22" i="12"/>
  <c r="AA22" i="12" s="1"/>
  <c r="AA22" i="11"/>
  <c r="Z22" i="13"/>
  <c r="AA22" i="13" s="1"/>
  <c r="AI53" i="9"/>
  <c r="U21" i="12"/>
  <c r="U21" i="13"/>
  <c r="U12" i="12"/>
  <c r="U12" i="13"/>
  <c r="U34" i="12"/>
  <c r="U34" i="13"/>
  <c r="U27" i="12"/>
  <c r="U27" i="13"/>
  <c r="T37" i="12"/>
  <c r="T37" i="13"/>
  <c r="W12" i="11"/>
  <c r="T12" i="12"/>
  <c r="T12" i="13"/>
  <c r="W26" i="11"/>
  <c r="T26" i="12"/>
  <c r="T26" i="13"/>
  <c r="W5" i="11"/>
  <c r="T5" i="12"/>
  <c r="T43" i="11"/>
  <c r="T5" i="13"/>
  <c r="N37" i="12"/>
  <c r="N37" i="13"/>
  <c r="N21" i="12"/>
  <c r="N21" i="13"/>
  <c r="N25" i="12"/>
  <c r="N25" i="13"/>
  <c r="N24" i="12"/>
  <c r="N24" i="13"/>
  <c r="N8" i="12"/>
  <c r="N8" i="13"/>
  <c r="P38" i="12"/>
  <c r="P38" i="13"/>
  <c r="P36" i="12"/>
  <c r="P36" i="13"/>
  <c r="P24" i="12"/>
  <c r="P24" i="13"/>
  <c r="P6" i="12"/>
  <c r="P6" i="13"/>
  <c r="P7" i="12"/>
  <c r="P7" i="13"/>
  <c r="O26" i="12"/>
  <c r="O26" i="13"/>
  <c r="Q41" i="11"/>
  <c r="Q8" i="11"/>
  <c r="V27" i="12"/>
  <c r="V27" i="13"/>
  <c r="AA10" i="11"/>
  <c r="Z10" i="12"/>
  <c r="AA10" i="12" s="1"/>
  <c r="Z10" i="13"/>
  <c r="AA10" i="13" s="1"/>
  <c r="W13" i="11"/>
  <c r="T13" i="12"/>
  <c r="T13" i="13"/>
  <c r="N38" i="12"/>
  <c r="N38" i="13"/>
  <c r="P29" i="12"/>
  <c r="P29" i="13"/>
  <c r="O15" i="12"/>
  <c r="O15" i="13"/>
  <c r="T54" i="8"/>
  <c r="T54" i="9"/>
  <c r="T54" i="7"/>
  <c r="O12" i="12"/>
  <c r="O12" i="13"/>
  <c r="O24" i="12"/>
  <c r="O24" i="13"/>
  <c r="O28" i="12"/>
  <c r="O28" i="13"/>
  <c r="O31" i="12"/>
  <c r="O31" i="13"/>
  <c r="O6" i="12"/>
  <c r="O6" i="13"/>
  <c r="Q39" i="11"/>
  <c r="Q27" i="11"/>
  <c r="Q22" i="11"/>
  <c r="Q17" i="11"/>
  <c r="V37" i="12"/>
  <c r="V37" i="13"/>
  <c r="V39" i="12"/>
  <c r="V39" i="13"/>
  <c r="V14" i="12"/>
  <c r="V14" i="13"/>
  <c r="V20" i="12"/>
  <c r="V20" i="13"/>
  <c r="AA26" i="11"/>
  <c r="Z26" i="12"/>
  <c r="AA26" i="12" s="1"/>
  <c r="Z26" i="13"/>
  <c r="AA26" i="13" s="1"/>
  <c r="AA27" i="11"/>
  <c r="Z27" i="12"/>
  <c r="AA27" i="12" s="1"/>
  <c r="Z27" i="13"/>
  <c r="AA27" i="13" s="1"/>
  <c r="AA16" i="11"/>
  <c r="Z16" i="12"/>
  <c r="AA16" i="12" s="1"/>
  <c r="Z16" i="13"/>
  <c r="AA16" i="13" s="1"/>
  <c r="AA9" i="11"/>
  <c r="Z9" i="12"/>
  <c r="AA9" i="12" s="1"/>
  <c r="Z9" i="13"/>
  <c r="AA9" i="13" s="1"/>
  <c r="AA31" i="11"/>
  <c r="Z31" i="12"/>
  <c r="AA31" i="12" s="1"/>
  <c r="Z31" i="13"/>
  <c r="AA31" i="13" s="1"/>
  <c r="S5" i="13"/>
  <c r="S43" i="13" s="1"/>
  <c r="R43" i="13"/>
  <c r="AI51" i="8"/>
  <c r="AE51" i="23" s="1"/>
  <c r="AE103" i="23" s="1"/>
  <c r="AI36" i="8"/>
  <c r="AE36" i="23" s="1"/>
  <c r="AE88" i="23" s="1"/>
  <c r="AI44" i="8"/>
  <c r="AE44" i="23" s="1"/>
  <c r="AE96" i="23" s="1"/>
  <c r="AI50" i="8"/>
  <c r="AE50" i="23" s="1"/>
  <c r="AE102" i="23" s="1"/>
  <c r="AI39" i="8"/>
  <c r="AE39" i="23" s="1"/>
  <c r="AE91" i="23" s="1"/>
  <c r="AI31" i="8"/>
  <c r="AE31" i="23" s="1"/>
  <c r="AE83" i="23" s="1"/>
  <c r="AI38" i="8"/>
  <c r="AE38" i="23" s="1"/>
  <c r="AE90" i="23" s="1"/>
  <c r="AI26" i="8"/>
  <c r="AE26" i="23" s="1"/>
  <c r="AE78" i="23" s="1"/>
  <c r="AI48" i="8"/>
  <c r="AE48" i="23" s="1"/>
  <c r="AE100" i="23" s="1"/>
  <c r="AI41" i="8"/>
  <c r="AE41" i="23" s="1"/>
  <c r="AE93" i="23" s="1"/>
  <c r="AI30" i="8"/>
  <c r="AE30" i="23" s="1"/>
  <c r="AE82" i="23" s="1"/>
  <c r="AI47" i="8"/>
  <c r="AE47" i="23" s="1"/>
  <c r="AE99" i="23" s="1"/>
  <c r="U13" i="12"/>
  <c r="U13" i="13"/>
  <c r="U36" i="12"/>
  <c r="U36" i="13"/>
  <c r="U23" i="12"/>
  <c r="U23" i="13"/>
  <c r="U6" i="12"/>
  <c r="U6" i="13"/>
  <c r="AI15" i="8"/>
  <c r="AE15" i="23" s="1"/>
  <c r="AE67" i="23" s="1"/>
  <c r="AI25" i="8"/>
  <c r="AE25" i="23" s="1"/>
  <c r="AE77" i="23" s="1"/>
  <c r="AI46" i="8"/>
  <c r="AE46" i="23" s="1"/>
  <c r="AE98" i="23" s="1"/>
  <c r="W32" i="11"/>
  <c r="T32" i="12"/>
  <c r="T32" i="13"/>
  <c r="W35" i="11"/>
  <c r="T35" i="12"/>
  <c r="T35" i="13"/>
  <c r="W14" i="11"/>
  <c r="T14" i="12"/>
  <c r="T14" i="13"/>
  <c r="W7" i="11"/>
  <c r="T7" i="12"/>
  <c r="T7" i="13"/>
  <c r="N30" i="12"/>
  <c r="N30" i="13"/>
  <c r="N35" i="12"/>
  <c r="N35" i="13"/>
  <c r="N32" i="12"/>
  <c r="N32" i="13"/>
  <c r="N20" i="12"/>
  <c r="N20" i="13"/>
  <c r="N10" i="12"/>
  <c r="N10" i="13"/>
  <c r="AI18" i="8"/>
  <c r="AE18" i="23" s="1"/>
  <c r="AE70" i="23" s="1"/>
  <c r="P41" i="12"/>
  <c r="P41" i="13"/>
  <c r="P20" i="12"/>
  <c r="P20" i="13"/>
  <c r="P30" i="12"/>
  <c r="P30" i="13"/>
  <c r="P8" i="12"/>
  <c r="P8" i="13"/>
  <c r="P9" i="12"/>
  <c r="P9" i="13"/>
  <c r="Q13" i="11"/>
  <c r="V26" i="12"/>
  <c r="V26" i="13"/>
  <c r="V28" i="12"/>
  <c r="V28" i="13"/>
  <c r="AA34" i="11"/>
  <c r="Z34" i="12"/>
  <c r="AA34" i="12" s="1"/>
  <c r="Z34" i="13"/>
  <c r="AA34" i="13" s="1"/>
  <c r="U25" i="12"/>
  <c r="U25" i="13"/>
  <c r="N34" i="12"/>
  <c r="N34" i="13"/>
  <c r="O16" i="12"/>
  <c r="O16" i="13"/>
  <c r="O32" i="12"/>
  <c r="O32" i="13"/>
  <c r="O23" i="12"/>
  <c r="O23" i="13"/>
  <c r="O27" i="12"/>
  <c r="O27" i="13"/>
  <c r="O29" i="12"/>
  <c r="O29" i="13"/>
  <c r="O8" i="12"/>
  <c r="O8" i="13"/>
  <c r="Q18" i="11"/>
  <c r="Q29" i="11"/>
  <c r="Q5" i="11"/>
  <c r="L43" i="11"/>
  <c r="V40" i="12"/>
  <c r="V40" i="13"/>
  <c r="V35" i="12"/>
  <c r="V35" i="13"/>
  <c r="V16" i="12"/>
  <c r="V16" i="13"/>
  <c r="V15" i="12"/>
  <c r="V15" i="13"/>
  <c r="AA32" i="11"/>
  <c r="Z32" i="12"/>
  <c r="AA32" i="12" s="1"/>
  <c r="Z32" i="13"/>
  <c r="AA32" i="13" s="1"/>
  <c r="Z17" i="12"/>
  <c r="AA17" i="12" s="1"/>
  <c r="AA17" i="11"/>
  <c r="Z17" i="13"/>
  <c r="AA17" i="13" s="1"/>
  <c r="AA23" i="11"/>
  <c r="Z23" i="12"/>
  <c r="AA23" i="12" s="1"/>
  <c r="Z23" i="13"/>
  <c r="AA23" i="13" s="1"/>
  <c r="Z11" i="12"/>
  <c r="AA11" i="12" s="1"/>
  <c r="AA11" i="11"/>
  <c r="Z11" i="13"/>
  <c r="AA11" i="13" s="1"/>
  <c r="S43" i="11"/>
  <c r="AI5" i="8"/>
  <c r="AE5" i="23" s="1"/>
  <c r="AE57" i="23" s="1"/>
  <c r="U20" i="12"/>
  <c r="U20" i="13"/>
  <c r="U17" i="12"/>
  <c r="U17" i="13"/>
  <c r="U24" i="12"/>
  <c r="U24" i="13"/>
  <c r="W37" i="11"/>
  <c r="U37" i="12"/>
  <c r="U37" i="13"/>
  <c r="U8" i="12"/>
  <c r="U8" i="13"/>
  <c r="T38" i="12"/>
  <c r="W38" i="11"/>
  <c r="T38" i="13"/>
  <c r="W27" i="11"/>
  <c r="T27" i="12"/>
  <c r="T27" i="13"/>
  <c r="W41" i="11"/>
  <c r="T41" i="12"/>
  <c r="T41" i="13"/>
  <c r="W20" i="11"/>
  <c r="T20" i="12"/>
  <c r="T20" i="13"/>
  <c r="W9" i="11"/>
  <c r="T9" i="12"/>
  <c r="T9" i="13"/>
  <c r="N31" i="12"/>
  <c r="N31" i="13"/>
  <c r="N39" i="12"/>
  <c r="N39" i="13"/>
  <c r="N14" i="12"/>
  <c r="N14" i="13"/>
  <c r="N5" i="12"/>
  <c r="N5" i="13"/>
  <c r="N43" i="11"/>
  <c r="N12" i="12"/>
  <c r="N12" i="13"/>
  <c r="P32" i="12"/>
  <c r="P32" i="13"/>
  <c r="P23" i="12"/>
  <c r="P23" i="13"/>
  <c r="P27" i="12"/>
  <c r="P27" i="13"/>
  <c r="P10" i="12"/>
  <c r="P10" i="13"/>
  <c r="P15" i="12"/>
  <c r="P15" i="13"/>
  <c r="O20" i="12"/>
  <c r="O20" i="13"/>
  <c r="V18" i="12"/>
  <c r="V18" i="13"/>
  <c r="U15" i="12"/>
  <c r="U15" i="13"/>
  <c r="W16" i="11"/>
  <c r="T16" i="12"/>
  <c r="T16" i="13"/>
  <c r="N6" i="12"/>
  <c r="N6" i="13"/>
  <c r="O21" i="12"/>
  <c r="O21" i="13"/>
  <c r="N55" i="9"/>
  <c r="N55" i="8"/>
  <c r="N55" i="7"/>
  <c r="N56" i="9"/>
  <c r="N56" i="8"/>
  <c r="N58" i="8" s="1"/>
  <c r="N56" i="7"/>
  <c r="Q34" i="11"/>
  <c r="O30" i="12"/>
  <c r="O30" i="13"/>
  <c r="O19" i="12"/>
  <c r="O19" i="13"/>
  <c r="O39" i="12"/>
  <c r="O39" i="13"/>
  <c r="O5" i="12"/>
  <c r="O43" i="11"/>
  <c r="O5" i="13"/>
  <c r="O10" i="12"/>
  <c r="O10" i="13"/>
  <c r="Q21" i="11"/>
  <c r="Q19" i="11"/>
  <c r="Q7" i="11"/>
  <c r="V21" i="12"/>
  <c r="V21" i="13"/>
  <c r="V38" i="12"/>
  <c r="V38" i="13"/>
  <c r="V25" i="12"/>
  <c r="V25" i="13"/>
  <c r="V19" i="12"/>
  <c r="V19" i="13"/>
  <c r="V6" i="12"/>
  <c r="V6" i="13"/>
  <c r="AA36" i="11"/>
  <c r="Z36" i="12"/>
  <c r="AA36" i="12" s="1"/>
  <c r="Z36" i="13"/>
  <c r="AA36" i="13" s="1"/>
  <c r="Z19" i="12"/>
  <c r="AA19" i="12" s="1"/>
  <c r="AA19" i="11"/>
  <c r="Z19" i="13"/>
  <c r="AA19" i="13" s="1"/>
  <c r="AA13" i="11"/>
  <c r="Z13" i="12"/>
  <c r="AA13" i="12" s="1"/>
  <c r="Z13" i="13"/>
  <c r="AA13" i="13" s="1"/>
  <c r="Z18" i="12"/>
  <c r="AA18" i="12" s="1"/>
  <c r="AA18" i="11"/>
  <c r="Z18" i="13"/>
  <c r="AA18" i="13" s="1"/>
  <c r="S5" i="12"/>
  <c r="R43" i="12"/>
  <c r="U18" i="12"/>
  <c r="U18" i="13"/>
  <c r="U35" i="12"/>
  <c r="U35" i="13"/>
  <c r="U28" i="12"/>
  <c r="U28" i="13"/>
  <c r="U22" i="12"/>
  <c r="U22" i="13"/>
  <c r="U10" i="12"/>
  <c r="U10" i="13"/>
  <c r="AI7" i="8"/>
  <c r="AE7" i="23" s="1"/>
  <c r="AE59" i="23" s="1"/>
  <c r="W36" i="11"/>
  <c r="T36" i="12"/>
  <c r="T36" i="13"/>
  <c r="W28" i="11"/>
  <c r="T28" i="12"/>
  <c r="T28" i="13"/>
  <c r="W31" i="11"/>
  <c r="T31" i="12"/>
  <c r="T31" i="13"/>
  <c r="W15" i="11"/>
  <c r="T15" i="12"/>
  <c r="T15" i="13"/>
  <c r="W11" i="11"/>
  <c r="T11" i="12"/>
  <c r="T11" i="13"/>
  <c r="N11" i="12"/>
  <c r="N11" i="13"/>
  <c r="N22" i="12"/>
  <c r="N22" i="13"/>
  <c r="N18" i="12"/>
  <c r="N18" i="13"/>
  <c r="N7" i="12"/>
  <c r="N7" i="13"/>
  <c r="AI33" i="8"/>
  <c r="AE33" i="23" s="1"/>
  <c r="AE85" i="23" s="1"/>
  <c r="P35" i="12"/>
  <c r="P35" i="13"/>
  <c r="P34" i="12"/>
  <c r="P34" i="13"/>
  <c r="P14" i="12"/>
  <c r="P14" i="13"/>
  <c r="P16" i="12"/>
  <c r="P16" i="13"/>
  <c r="P17" i="12"/>
  <c r="P17" i="13"/>
  <c r="Q25" i="11"/>
  <c r="AA39" i="11"/>
  <c r="Z39" i="12"/>
  <c r="AA39" i="12" s="1"/>
  <c r="Z39" i="13"/>
  <c r="AA39" i="13" s="1"/>
  <c r="U32" i="12"/>
  <c r="U32" i="13"/>
  <c r="W23" i="11"/>
  <c r="T23" i="12"/>
  <c r="T23" i="13"/>
  <c r="N33" i="12"/>
  <c r="N33" i="13"/>
  <c r="P31" i="12"/>
  <c r="P31" i="13"/>
  <c r="O38" i="12"/>
  <c r="O38" i="24" s="1"/>
  <c r="O80" i="24" s="1"/>
  <c r="O38" i="13"/>
  <c r="F35" i="5"/>
  <c r="L46" i="12"/>
  <c r="L48" i="12" s="1"/>
  <c r="L47" i="12" s="1"/>
  <c r="L46" i="13"/>
  <c r="L46" i="11"/>
  <c r="L46" i="10"/>
  <c r="O33" i="12"/>
  <c r="O33" i="13"/>
  <c r="O34" i="12"/>
  <c r="O34" i="13"/>
  <c r="O13" i="12"/>
  <c r="O13" i="13"/>
  <c r="O7" i="12"/>
  <c r="O7" i="13"/>
  <c r="O22" i="12"/>
  <c r="O22" i="13"/>
  <c r="Q28" i="11"/>
  <c r="Q14" i="11"/>
  <c r="L14" i="13"/>
  <c r="Q31" i="11"/>
  <c r="Q12" i="11"/>
  <c r="Q9" i="11"/>
  <c r="V34" i="12"/>
  <c r="V34" i="13"/>
  <c r="V22" i="12"/>
  <c r="V22" i="13"/>
  <c r="V23" i="12"/>
  <c r="V23" i="13"/>
  <c r="V30" i="12"/>
  <c r="V30" i="13"/>
  <c r="V8" i="12"/>
  <c r="V8" i="13"/>
  <c r="AA35" i="11"/>
  <c r="Z35" i="12"/>
  <c r="AA35" i="12" s="1"/>
  <c r="Z35" i="13"/>
  <c r="AA35" i="13" s="1"/>
  <c r="AA41" i="11"/>
  <c r="AB41" i="11" s="1"/>
  <c r="Z41" i="12"/>
  <c r="AA41" i="12" s="1"/>
  <c r="Z41" i="13"/>
  <c r="AA41" i="13" s="1"/>
  <c r="AA40" i="11"/>
  <c r="Z40" i="12"/>
  <c r="AA40" i="12" s="1"/>
  <c r="Z40" i="13"/>
  <c r="AA40" i="13" s="1"/>
  <c r="AA15" i="11"/>
  <c r="Z15" i="12"/>
  <c r="AA15" i="12" s="1"/>
  <c r="Z15" i="13"/>
  <c r="AA15" i="13" s="1"/>
  <c r="AI23" i="8"/>
  <c r="AE23" i="23" s="1"/>
  <c r="AE75" i="23" s="1"/>
  <c r="U14" i="12"/>
  <c r="U14" i="13"/>
  <c r="U40" i="12"/>
  <c r="U40" i="13"/>
  <c r="U19" i="12"/>
  <c r="U19" i="13"/>
  <c r="U5" i="12"/>
  <c r="U5" i="13"/>
  <c r="U43" i="11"/>
  <c r="U16" i="12"/>
  <c r="U16" i="13"/>
  <c r="W25" i="11"/>
  <c r="T25" i="12"/>
  <c r="T25" i="13"/>
  <c r="T39" i="12"/>
  <c r="W39" i="11"/>
  <c r="T39" i="13"/>
  <c r="W19" i="11"/>
  <c r="T19" i="12"/>
  <c r="T19" i="13"/>
  <c r="W6" i="11"/>
  <c r="T6" i="12"/>
  <c r="T6" i="13"/>
  <c r="W18" i="11"/>
  <c r="T18" i="12"/>
  <c r="T18" i="13"/>
  <c r="N16" i="12"/>
  <c r="N16" i="13"/>
  <c r="N27" i="12"/>
  <c r="N27" i="13"/>
  <c r="N17" i="12"/>
  <c r="N17" i="13"/>
  <c r="N9" i="12"/>
  <c r="N9" i="13"/>
  <c r="P33" i="12"/>
  <c r="P33" i="13"/>
  <c r="P39" i="12"/>
  <c r="P39" i="13"/>
  <c r="P11" i="12"/>
  <c r="P11" i="13"/>
  <c r="P21" i="12"/>
  <c r="P21" i="13"/>
  <c r="P25" i="12"/>
  <c r="P25" i="13"/>
  <c r="AI32" i="8"/>
  <c r="AE32" i="23" s="1"/>
  <c r="AE84" i="23" s="1"/>
  <c r="O18" i="12"/>
  <c r="O18" i="13"/>
  <c r="L35" i="13"/>
  <c r="O25" i="12"/>
  <c r="O25" i="13"/>
  <c r="O14" i="12"/>
  <c r="O14" i="13"/>
  <c r="O36" i="12"/>
  <c r="O36" i="13"/>
  <c r="O9" i="12"/>
  <c r="O9" i="13"/>
  <c r="Q38" i="11"/>
  <c r="Q36" i="11"/>
  <c r="Q30" i="11"/>
  <c r="L30" i="13"/>
  <c r="Q20" i="11"/>
  <c r="L20" i="13"/>
  <c r="Q15" i="11"/>
  <c r="V41" i="12"/>
  <c r="V41" i="13"/>
  <c r="V13" i="12"/>
  <c r="V13" i="13"/>
  <c r="V32" i="12"/>
  <c r="V32" i="13"/>
  <c r="V11" i="12"/>
  <c r="V11" i="13"/>
  <c r="V10" i="12"/>
  <c r="V10" i="13"/>
  <c r="Z21" i="12"/>
  <c r="AA21" i="12" s="1"/>
  <c r="AA21" i="11"/>
  <c r="Z21" i="13"/>
  <c r="AA21" i="13" s="1"/>
  <c r="AA37" i="11"/>
  <c r="Z37" i="12"/>
  <c r="AA37" i="12" s="1"/>
  <c r="Z37" i="13"/>
  <c r="AA37" i="13" s="1"/>
  <c r="AA30" i="11"/>
  <c r="Z30" i="12"/>
  <c r="AA30" i="12" s="1"/>
  <c r="Z30" i="13"/>
  <c r="AA30" i="13" s="1"/>
  <c r="Z20" i="12"/>
  <c r="AA20" i="12" s="1"/>
  <c r="AA20" i="11"/>
  <c r="Z20" i="13"/>
  <c r="AA20" i="13" s="1"/>
  <c r="AA6" i="11"/>
  <c r="Z6" i="12"/>
  <c r="AA6" i="12" s="1"/>
  <c r="Z6" i="13"/>
  <c r="AA6" i="13" s="1"/>
  <c r="Q32" i="11"/>
  <c r="AI11" i="8"/>
  <c r="AE11" i="23" s="1"/>
  <c r="AE63" i="23" s="1"/>
  <c r="U41" i="12"/>
  <c r="U41" i="13"/>
  <c r="U38" i="12"/>
  <c r="U38" i="13"/>
  <c r="U30" i="12"/>
  <c r="U30" i="13"/>
  <c r="U7" i="12"/>
  <c r="U7" i="13"/>
  <c r="U26" i="12"/>
  <c r="W26" i="12" s="1"/>
  <c r="U26" i="13"/>
  <c r="W24" i="11"/>
  <c r="T24" i="12"/>
  <c r="T24" i="13"/>
  <c r="W34" i="11"/>
  <c r="T34" i="12"/>
  <c r="T34" i="13"/>
  <c r="W17" i="11"/>
  <c r="T17" i="12"/>
  <c r="W17" i="12" s="1"/>
  <c r="T17" i="13"/>
  <c r="W8" i="11"/>
  <c r="T8" i="12"/>
  <c r="T8" i="13"/>
  <c r="W29" i="11"/>
  <c r="T29" i="12"/>
  <c r="T29" i="13"/>
  <c r="N41" i="12"/>
  <c r="N41" i="13"/>
  <c r="N40" i="12"/>
  <c r="N40" i="13"/>
  <c r="N28" i="12"/>
  <c r="N28" i="13"/>
  <c r="N13" i="12"/>
  <c r="N13" i="13"/>
  <c r="AI34" i="8"/>
  <c r="AE34" i="23" s="1"/>
  <c r="AE86" i="23" s="1"/>
  <c r="P22" i="12"/>
  <c r="P22" i="13"/>
  <c r="P13" i="12"/>
  <c r="P13" i="13"/>
  <c r="P19" i="12"/>
  <c r="P19" i="13"/>
  <c r="P26" i="12"/>
  <c r="P26" i="13"/>
  <c r="O17" i="12"/>
  <c r="O17" i="13"/>
  <c r="AA38" i="11"/>
  <c r="Z38" i="12"/>
  <c r="AA38" i="12" s="1"/>
  <c r="Z38" i="13"/>
  <c r="AA38" i="13" s="1"/>
  <c r="U33" i="12"/>
  <c r="U33" i="13"/>
  <c r="P18" i="12"/>
  <c r="P18" i="13"/>
  <c r="E35" i="5"/>
  <c r="L45" i="12"/>
  <c r="L45" i="13"/>
  <c r="L45" i="11"/>
  <c r="L48" i="11" s="1"/>
  <c r="L47" i="11" s="1"/>
  <c r="L45" i="10"/>
  <c r="O40" i="12"/>
  <c r="O40" i="13"/>
  <c r="O35" i="12"/>
  <c r="O35" i="13"/>
  <c r="O37" i="12"/>
  <c r="O37" i="13"/>
  <c r="O11" i="12"/>
  <c r="O11" i="13"/>
  <c r="Q40" i="11"/>
  <c r="Q26" i="11"/>
  <c r="AB26" i="11" s="1"/>
  <c r="Q37" i="11"/>
  <c r="Q16" i="11"/>
  <c r="AB16" i="11" s="1"/>
  <c r="L16" i="13"/>
  <c r="Q6" i="11"/>
  <c r="L6" i="13"/>
  <c r="M43" i="13"/>
  <c r="V33" i="12"/>
  <c r="V33" i="13"/>
  <c r="V29" i="12"/>
  <c r="V29" i="13"/>
  <c r="V36" i="12"/>
  <c r="V36" i="13"/>
  <c r="V5" i="12"/>
  <c r="V5" i="13"/>
  <c r="V43" i="11"/>
  <c r="V24" i="12"/>
  <c r="V24" i="13"/>
  <c r="AA25" i="11"/>
  <c r="Z25" i="12"/>
  <c r="AA25" i="12" s="1"/>
  <c r="Z25" i="13"/>
  <c r="AA25" i="13" s="1"/>
  <c r="AA33" i="11"/>
  <c r="Z33" i="12"/>
  <c r="AA33" i="12" s="1"/>
  <c r="Z33" i="13"/>
  <c r="AA33" i="13" s="1"/>
  <c r="Z24" i="12"/>
  <c r="AA24" i="12" s="1"/>
  <c r="AA24" i="11"/>
  <c r="Z24" i="13"/>
  <c r="AA24" i="13" s="1"/>
  <c r="Z14" i="12"/>
  <c r="AA14" i="12" s="1"/>
  <c r="AA14" i="11"/>
  <c r="Z14" i="13"/>
  <c r="AA14" i="13" s="1"/>
  <c r="AA8" i="11"/>
  <c r="Z8" i="12"/>
  <c r="AA8" i="12" s="1"/>
  <c r="Z8" i="13"/>
  <c r="AA8" i="13" s="1"/>
  <c r="U29" i="12"/>
  <c r="U29" i="13"/>
  <c r="U31" i="12"/>
  <c r="U31" i="13"/>
  <c r="U11" i="12"/>
  <c r="U11" i="13"/>
  <c r="U9" i="12"/>
  <c r="U9" i="13"/>
  <c r="U39" i="12"/>
  <c r="U39" i="13"/>
  <c r="T40" i="12"/>
  <c r="W40" i="11"/>
  <c r="T40" i="13"/>
  <c r="W21" i="11"/>
  <c r="T21" i="12"/>
  <c r="T21" i="13"/>
  <c r="W33" i="11"/>
  <c r="T33" i="12"/>
  <c r="T33" i="13"/>
  <c r="W10" i="11"/>
  <c r="T10" i="12"/>
  <c r="T10" i="13"/>
  <c r="W30" i="11"/>
  <c r="T30" i="12"/>
  <c r="T30" i="13"/>
  <c r="N19" i="12"/>
  <c r="N19" i="13"/>
  <c r="N36" i="12"/>
  <c r="N36" i="13"/>
  <c r="N23" i="12"/>
  <c r="N23" i="13"/>
  <c r="N29" i="12"/>
  <c r="N29" i="13"/>
  <c r="N15" i="12"/>
  <c r="N15" i="13"/>
  <c r="P37" i="12"/>
  <c r="P37" i="13"/>
  <c r="P12" i="12"/>
  <c r="P12" i="13"/>
  <c r="P40" i="12"/>
  <c r="P40" i="13"/>
  <c r="P28" i="12"/>
  <c r="P28" i="13"/>
  <c r="E10" i="5"/>
  <c r="N57" i="6"/>
  <c r="F10" i="5"/>
  <c r="F29" i="5" s="1"/>
  <c r="N58" i="6"/>
  <c r="D47" i="5"/>
  <c r="D29" i="5"/>
  <c r="P47" i="9" l="1"/>
  <c r="L5" i="9"/>
  <c r="L53" i="7"/>
  <c r="L58" i="7" s="1"/>
  <c r="L23" i="8" s="1"/>
  <c r="L23" i="23" s="1"/>
  <c r="L75" i="23" s="1"/>
  <c r="L23" i="9"/>
  <c r="AD19" i="7"/>
  <c r="AC19" i="9"/>
  <c r="AD19" i="9" s="1"/>
  <c r="W43" i="9"/>
  <c r="W47" i="9"/>
  <c r="W29" i="9"/>
  <c r="W51" i="8"/>
  <c r="V51" i="23" s="1"/>
  <c r="V103" i="23" s="1"/>
  <c r="W51" i="9"/>
  <c r="W50" i="9"/>
  <c r="W28" i="9"/>
  <c r="P16" i="8"/>
  <c r="P16" i="23" s="1"/>
  <c r="P68" i="23" s="1"/>
  <c r="P40" i="9"/>
  <c r="P50" i="9"/>
  <c r="L50" i="9"/>
  <c r="L21" i="9"/>
  <c r="AC36" i="9"/>
  <c r="AD36" i="9" s="1"/>
  <c r="AD36" i="7"/>
  <c r="AD11" i="7"/>
  <c r="AC11" i="9"/>
  <c r="AD11" i="9" s="1"/>
  <c r="AC15" i="9"/>
  <c r="AD15" i="9" s="1"/>
  <c r="AD15" i="7"/>
  <c r="AD39" i="7"/>
  <c r="AC39" i="9"/>
  <c r="AD39" i="9" s="1"/>
  <c r="AC32" i="9"/>
  <c r="AD32" i="9" s="1"/>
  <c r="AD32" i="7"/>
  <c r="AC14" i="9"/>
  <c r="AD14" i="9" s="1"/>
  <c r="AD14" i="7"/>
  <c r="AH5" i="9"/>
  <c r="AH53" i="7"/>
  <c r="AH58" i="7" s="1"/>
  <c r="AH20" i="8" s="1"/>
  <c r="AD20" i="23" s="1"/>
  <c r="AD72" i="23" s="1"/>
  <c r="AH45" i="9"/>
  <c r="AH45" i="8"/>
  <c r="AD45" i="23" s="1"/>
  <c r="AD97" i="23" s="1"/>
  <c r="AH25" i="9"/>
  <c r="W22" i="8"/>
  <c r="V22" i="23" s="1"/>
  <c r="V74" i="23" s="1"/>
  <c r="W22" i="9"/>
  <c r="W31" i="9"/>
  <c r="W38" i="9"/>
  <c r="W41" i="9"/>
  <c r="Q50" i="8"/>
  <c r="Q50" i="23" s="1"/>
  <c r="Q102" i="23" s="1"/>
  <c r="Q50" i="9"/>
  <c r="Q36" i="9"/>
  <c r="L18" i="9"/>
  <c r="L18" i="8"/>
  <c r="AD13" i="7"/>
  <c r="AC13" i="9"/>
  <c r="AD13" i="9" s="1"/>
  <c r="AH29" i="8"/>
  <c r="AH29" i="9"/>
  <c r="AH11" i="8"/>
  <c r="AD11" i="23" s="1"/>
  <c r="AD63" i="23" s="1"/>
  <c r="P14" i="9"/>
  <c r="P44" i="9"/>
  <c r="P44" i="8"/>
  <c r="P44" i="23" s="1"/>
  <c r="P96" i="23" s="1"/>
  <c r="L49" i="9"/>
  <c r="L15" i="9"/>
  <c r="AD48" i="7"/>
  <c r="AC48" i="9"/>
  <c r="AD48" i="9" s="1"/>
  <c r="AD47" i="7"/>
  <c r="AC47" i="9"/>
  <c r="AD47" i="9" s="1"/>
  <c r="AC38" i="9"/>
  <c r="AD38" i="9" s="1"/>
  <c r="AD38" i="7"/>
  <c r="AD8" i="7"/>
  <c r="AC8" i="9"/>
  <c r="AD8" i="9" s="1"/>
  <c r="AC21" i="9"/>
  <c r="AD21" i="9" s="1"/>
  <c r="AD21" i="7"/>
  <c r="AD40" i="7"/>
  <c r="AC40" i="9"/>
  <c r="AD40" i="9" s="1"/>
  <c r="Z5" i="23"/>
  <c r="Z57" i="23" s="1"/>
  <c r="AA53" i="8"/>
  <c r="AH6" i="8"/>
  <c r="AD6" i="23" s="1"/>
  <c r="AD58" i="23" s="1"/>
  <c r="AH6" i="9"/>
  <c r="W19" i="8"/>
  <c r="V19" i="23" s="1"/>
  <c r="V71" i="23" s="1"/>
  <c r="W19" i="9"/>
  <c r="W42" i="9"/>
  <c r="W48" i="9"/>
  <c r="W34" i="9"/>
  <c r="W11" i="8"/>
  <c r="V11" i="23" s="1"/>
  <c r="V63" i="23" s="1"/>
  <c r="W11" i="9"/>
  <c r="W21" i="13"/>
  <c r="S30" i="24"/>
  <c r="S72" i="24" s="1"/>
  <c r="T10" i="24"/>
  <c r="T52" i="24" s="1"/>
  <c r="T41" i="24"/>
  <c r="T83" i="24" s="1"/>
  <c r="P11" i="24"/>
  <c r="P53" i="24" s="1"/>
  <c r="N17" i="24"/>
  <c r="N59" i="24" s="1"/>
  <c r="O13" i="24"/>
  <c r="O55" i="24" s="1"/>
  <c r="P8" i="24"/>
  <c r="P50" i="24" s="1"/>
  <c r="N32" i="24"/>
  <c r="N74" i="24" s="1"/>
  <c r="O28" i="24"/>
  <c r="O70" i="24" s="1"/>
  <c r="P29" i="24"/>
  <c r="P71" i="24" s="1"/>
  <c r="P6" i="24"/>
  <c r="P48" i="24" s="1"/>
  <c r="T9" i="24"/>
  <c r="T51" i="24" s="1"/>
  <c r="AD29" i="23"/>
  <c r="AD81" i="23" s="1"/>
  <c r="P42" i="9"/>
  <c r="P27" i="9"/>
  <c r="L17" i="9"/>
  <c r="L13" i="8"/>
  <c r="L13" i="23" s="1"/>
  <c r="L65" i="23" s="1"/>
  <c r="L13" i="9"/>
  <c r="AC53" i="7"/>
  <c r="AC58" i="7" s="1"/>
  <c r="AC16" i="8" s="1"/>
  <c r="AC5" i="9"/>
  <c r="AD5" i="7"/>
  <c r="AD7" i="7"/>
  <c r="AC7" i="9"/>
  <c r="AD7" i="9" s="1"/>
  <c r="AC35" i="9"/>
  <c r="AD35" i="9" s="1"/>
  <c r="AD35" i="7"/>
  <c r="AD26" i="7"/>
  <c r="AC26" i="9"/>
  <c r="AD26" i="9" s="1"/>
  <c r="AD6" i="7"/>
  <c r="AC6" i="9"/>
  <c r="AD6" i="9" s="1"/>
  <c r="AC42" i="9"/>
  <c r="AD42" i="9" s="1"/>
  <c r="AD42" i="7"/>
  <c r="S53" i="7"/>
  <c r="O53" i="7"/>
  <c r="O58" i="7" s="1"/>
  <c r="O5" i="9"/>
  <c r="O53" i="9" s="1"/>
  <c r="W15" i="9"/>
  <c r="W45" i="9"/>
  <c r="W45" i="8"/>
  <c r="V45" i="23" s="1"/>
  <c r="V97" i="23" s="1"/>
  <c r="W7" i="9"/>
  <c r="W10" i="9"/>
  <c r="W10" i="8"/>
  <c r="W53" i="7"/>
  <c r="W58" i="7" s="1"/>
  <c r="W43" i="8" s="1"/>
  <c r="V43" i="23" s="1"/>
  <c r="V95" i="23" s="1"/>
  <c r="W5" i="9"/>
  <c r="Q45" i="8"/>
  <c r="Q45" i="9"/>
  <c r="Q53" i="7"/>
  <c r="Q58" i="7" s="1"/>
  <c r="Q5" i="9"/>
  <c r="AD9" i="7"/>
  <c r="AC9" i="9"/>
  <c r="AD9" i="9" s="1"/>
  <c r="AD10" i="7"/>
  <c r="AC10" i="9"/>
  <c r="AD10" i="9" s="1"/>
  <c r="AD16" i="7"/>
  <c r="AC16" i="9"/>
  <c r="AD16" i="9" s="1"/>
  <c r="L5" i="8"/>
  <c r="L5" i="23" s="1"/>
  <c r="L57" i="23" s="1"/>
  <c r="C11" i="26"/>
  <c r="X5" i="9"/>
  <c r="X53" i="9" s="1"/>
  <c r="X53" i="7"/>
  <c r="X58" i="7" s="1"/>
  <c r="X49" i="8" s="1"/>
  <c r="W49" i="23" s="1"/>
  <c r="W101" i="23" s="1"/>
  <c r="P46" i="9"/>
  <c r="P8" i="8"/>
  <c r="P8" i="23" s="1"/>
  <c r="P60" i="23" s="1"/>
  <c r="P8" i="9"/>
  <c r="L37" i="9"/>
  <c r="AD49" i="7"/>
  <c r="AC49" i="9"/>
  <c r="AD49" i="9" s="1"/>
  <c r="AD28" i="7"/>
  <c r="AC28" i="9"/>
  <c r="AD28" i="9" s="1"/>
  <c r="AD34" i="7"/>
  <c r="AC34" i="9"/>
  <c r="AD34" i="9" s="1"/>
  <c r="AD50" i="7"/>
  <c r="AC50" i="9"/>
  <c r="AD50" i="9" s="1"/>
  <c r="AD31" i="7"/>
  <c r="AC31" i="9"/>
  <c r="AD31" i="9" s="1"/>
  <c r="AD37" i="7"/>
  <c r="AC37" i="9"/>
  <c r="AD37" i="9" s="1"/>
  <c r="V54" i="8"/>
  <c r="V58" i="8" s="1"/>
  <c r="V60" i="6"/>
  <c r="V54" i="9"/>
  <c r="V54" i="7"/>
  <c r="AI28" i="8"/>
  <c r="AE28" i="23" s="1"/>
  <c r="AE80" i="23" s="1"/>
  <c r="AI29" i="8"/>
  <c r="AE29" i="23" s="1"/>
  <c r="AE81" i="23" s="1"/>
  <c r="AI17" i="8"/>
  <c r="AE17" i="23" s="1"/>
  <c r="AE69" i="23" s="1"/>
  <c r="AI43" i="8"/>
  <c r="AE43" i="23" s="1"/>
  <c r="AE95" i="23" s="1"/>
  <c r="AI19" i="8"/>
  <c r="AE19" i="23" s="1"/>
  <c r="AE71" i="23" s="1"/>
  <c r="AI49" i="8"/>
  <c r="AE49" i="23" s="1"/>
  <c r="AE101" i="23" s="1"/>
  <c r="AI16" i="8"/>
  <c r="AE16" i="23" s="1"/>
  <c r="AE68" i="23" s="1"/>
  <c r="AI42" i="8"/>
  <c r="AE42" i="23" s="1"/>
  <c r="AE94" i="23" s="1"/>
  <c r="AI14" i="8"/>
  <c r="AE14" i="23" s="1"/>
  <c r="AE66" i="23" s="1"/>
  <c r="AI35" i="8"/>
  <c r="AE35" i="23" s="1"/>
  <c r="AE87" i="23" s="1"/>
  <c r="AI12" i="8"/>
  <c r="AE12" i="23" s="1"/>
  <c r="AE64" i="23" s="1"/>
  <c r="AI22" i="8"/>
  <c r="AE22" i="23" s="1"/>
  <c r="AE74" i="23" s="1"/>
  <c r="AI8" i="8"/>
  <c r="AE8" i="23" s="1"/>
  <c r="AE60" i="23" s="1"/>
  <c r="U9" i="25" s="1"/>
  <c r="W13" i="8"/>
  <c r="V13" i="23" s="1"/>
  <c r="V65" i="23" s="1"/>
  <c r="W13" i="9"/>
  <c r="W8" i="9"/>
  <c r="W12" i="8"/>
  <c r="V12" i="23" s="1"/>
  <c r="V64" i="23" s="1"/>
  <c r="W12" i="9"/>
  <c r="W20" i="9"/>
  <c r="W16" i="9"/>
  <c r="W16" i="8"/>
  <c r="AB9" i="11"/>
  <c r="AC10" i="8"/>
  <c r="AH48" i="8"/>
  <c r="AD48" i="23" s="1"/>
  <c r="AD100" i="23" s="1"/>
  <c r="AC13" i="8"/>
  <c r="P17" i="9"/>
  <c r="L47" i="9"/>
  <c r="AC33" i="9"/>
  <c r="AD33" i="9" s="1"/>
  <c r="AD33" i="7"/>
  <c r="AC43" i="9"/>
  <c r="AD43" i="9" s="1"/>
  <c r="AD43" i="7"/>
  <c r="AD22" i="7"/>
  <c r="AC22" i="9"/>
  <c r="AD22" i="9" s="1"/>
  <c r="AD29" i="7"/>
  <c r="AC29" i="9"/>
  <c r="AD29" i="9" s="1"/>
  <c r="AC51" i="9"/>
  <c r="AD51" i="9" s="1"/>
  <c r="AD51" i="7"/>
  <c r="AC44" i="9"/>
  <c r="AD44" i="9" s="1"/>
  <c r="AD44" i="7"/>
  <c r="Y54" i="7"/>
  <c r="Y54" i="9"/>
  <c r="Y54" i="8"/>
  <c r="Y58" i="8" s="1"/>
  <c r="Y60" i="6"/>
  <c r="W37" i="8"/>
  <c r="V37" i="23" s="1"/>
  <c r="V89" i="23" s="1"/>
  <c r="W37" i="9"/>
  <c r="W46" i="8"/>
  <c r="V46" i="23" s="1"/>
  <c r="V98" i="23" s="1"/>
  <c r="W46" i="9"/>
  <c r="W17" i="8"/>
  <c r="W17" i="9"/>
  <c r="W36" i="9"/>
  <c r="W35" i="8"/>
  <c r="V35" i="23" s="1"/>
  <c r="V87" i="23" s="1"/>
  <c r="W35" i="9"/>
  <c r="M28" i="7"/>
  <c r="M28" i="9" s="1"/>
  <c r="M7" i="7"/>
  <c r="M7" i="9" s="1"/>
  <c r="M11" i="7"/>
  <c r="M11" i="9" s="1"/>
  <c r="M43" i="7"/>
  <c r="M43" i="9" s="1"/>
  <c r="M14" i="7"/>
  <c r="M14" i="9" s="1"/>
  <c r="M22" i="7"/>
  <c r="M22" i="9" s="1"/>
  <c r="M10" i="7"/>
  <c r="M10" i="9" s="1"/>
  <c r="M45" i="7"/>
  <c r="M45" i="9" s="1"/>
  <c r="M20" i="7"/>
  <c r="M20" i="9" s="1"/>
  <c r="M8" i="7"/>
  <c r="M8" i="9" s="1"/>
  <c r="M41" i="7"/>
  <c r="M41" i="9" s="1"/>
  <c r="M25" i="7"/>
  <c r="M25" i="9" s="1"/>
  <c r="M34" i="7"/>
  <c r="M34" i="9" s="1"/>
  <c r="M50" i="7"/>
  <c r="M50" i="9" s="1"/>
  <c r="M49" i="7"/>
  <c r="M49" i="9" s="1"/>
  <c r="M27" i="7"/>
  <c r="M27" i="9" s="1"/>
  <c r="M32" i="7"/>
  <c r="M32" i="9" s="1"/>
  <c r="M44" i="7"/>
  <c r="M44" i="9" s="1"/>
  <c r="M6" i="7"/>
  <c r="M6" i="9" s="1"/>
  <c r="M31" i="7"/>
  <c r="M31" i="9" s="1"/>
  <c r="M23" i="7"/>
  <c r="M23" i="9" s="1"/>
  <c r="M13" i="7"/>
  <c r="M13" i="9" s="1"/>
  <c r="M47" i="7"/>
  <c r="M47" i="9" s="1"/>
  <c r="M12" i="7"/>
  <c r="M12" i="9" s="1"/>
  <c r="M46" i="7"/>
  <c r="M46" i="9" s="1"/>
  <c r="M40" i="7"/>
  <c r="M40" i="9" s="1"/>
  <c r="M51" i="7"/>
  <c r="M51" i="9" s="1"/>
  <c r="M39" i="7"/>
  <c r="M39" i="9" s="1"/>
  <c r="M21" i="7"/>
  <c r="M21" i="9" s="1"/>
  <c r="M33" i="7"/>
  <c r="M33" i="9" s="1"/>
  <c r="M17" i="7"/>
  <c r="M17" i="9" s="1"/>
  <c r="M48" i="7"/>
  <c r="M48" i="9" s="1"/>
  <c r="M9" i="7"/>
  <c r="M9" i="9" s="1"/>
  <c r="M19" i="7"/>
  <c r="M19" i="9" s="1"/>
  <c r="M29" i="7"/>
  <c r="M18" i="7"/>
  <c r="M18" i="9" s="1"/>
  <c r="M42" i="7"/>
  <c r="M42" i="9" s="1"/>
  <c r="M37" i="7"/>
  <c r="M37" i="9" s="1"/>
  <c r="M38" i="7"/>
  <c r="M5" i="7"/>
  <c r="M15" i="7"/>
  <c r="M15" i="9" s="1"/>
  <c r="M35" i="7"/>
  <c r="M35" i="9" s="1"/>
  <c r="M36" i="7"/>
  <c r="M36" i="9" s="1"/>
  <c r="M24" i="7"/>
  <c r="M24" i="9" s="1"/>
  <c r="M16" i="7"/>
  <c r="M16" i="9" s="1"/>
  <c r="X10" i="25"/>
  <c r="L10" i="8"/>
  <c r="L10" i="23" s="1"/>
  <c r="L62" i="23" s="1"/>
  <c r="L24" i="8"/>
  <c r="L24" i="23" s="1"/>
  <c r="L76" i="23" s="1"/>
  <c r="W19" i="13"/>
  <c r="AB12" i="11"/>
  <c r="S36" i="24"/>
  <c r="S78" i="24" s="1"/>
  <c r="N8" i="24"/>
  <c r="N50" i="24" s="1"/>
  <c r="N37" i="24"/>
  <c r="N79" i="24" s="1"/>
  <c r="L18" i="23"/>
  <c r="L70" i="23" s="1"/>
  <c r="AH10" i="8"/>
  <c r="AD10" i="23" s="1"/>
  <c r="AD62" i="23" s="1"/>
  <c r="P13" i="9"/>
  <c r="L22" i="8"/>
  <c r="L22" i="23" s="1"/>
  <c r="L74" i="23" s="1"/>
  <c r="L22" i="9"/>
  <c r="L31" i="8"/>
  <c r="L31" i="23" s="1"/>
  <c r="L83" i="23" s="1"/>
  <c r="L31" i="9"/>
  <c r="AD27" i="7"/>
  <c r="AC27" i="9"/>
  <c r="AD27" i="9" s="1"/>
  <c r="AD24" i="7"/>
  <c r="AC24" i="9"/>
  <c r="AD24" i="9" s="1"/>
  <c r="AD30" i="7"/>
  <c r="AC30" i="9"/>
  <c r="AD30" i="9" s="1"/>
  <c r="AD41" i="7"/>
  <c r="AC41" i="9"/>
  <c r="AD41" i="9" s="1"/>
  <c r="AD46" i="7"/>
  <c r="AC46" i="9"/>
  <c r="AD46" i="9" s="1"/>
  <c r="AD20" i="7"/>
  <c r="AC20" i="9"/>
  <c r="AD20" i="9" s="1"/>
  <c r="Y5" i="23"/>
  <c r="Y57" i="23" s="1"/>
  <c r="Z53" i="8"/>
  <c r="AH32" i="9"/>
  <c r="AH32" i="8"/>
  <c r="W9" i="8"/>
  <c r="V9" i="23" s="1"/>
  <c r="V61" i="23" s="1"/>
  <c r="W9" i="9"/>
  <c r="W14" i="9"/>
  <c r="W14" i="8"/>
  <c r="V14" i="23" s="1"/>
  <c r="V66" i="23" s="1"/>
  <c r="W27" i="8"/>
  <c r="W27" i="9"/>
  <c r="W24" i="9"/>
  <c r="W24" i="8"/>
  <c r="X8" i="25"/>
  <c r="M30" i="7"/>
  <c r="M30" i="9" s="1"/>
  <c r="P23" i="9"/>
  <c r="X30" i="8"/>
  <c r="W30" i="23" s="1"/>
  <c r="W82" i="23" s="1"/>
  <c r="AC9" i="8"/>
  <c r="Q38" i="8"/>
  <c r="Q38" i="23" s="1"/>
  <c r="Q90" i="23" s="1"/>
  <c r="P53" i="7"/>
  <c r="P58" i="7" s="1"/>
  <c r="P40" i="8" s="1"/>
  <c r="P40" i="23" s="1"/>
  <c r="P92" i="23" s="1"/>
  <c r="P5" i="9"/>
  <c r="P29" i="9"/>
  <c r="P29" i="8"/>
  <c r="L42" i="8"/>
  <c r="L42" i="23" s="1"/>
  <c r="L94" i="23" s="1"/>
  <c r="L42" i="9"/>
  <c r="L43" i="8"/>
  <c r="L43" i="9"/>
  <c r="AD45" i="7"/>
  <c r="AC45" i="9"/>
  <c r="AD45" i="9" s="1"/>
  <c r="AD25" i="7"/>
  <c r="AC25" i="9"/>
  <c r="AD25" i="9" s="1"/>
  <c r="AC17" i="9"/>
  <c r="AD17" i="9" s="1"/>
  <c r="AD17" i="7"/>
  <c r="AC12" i="9"/>
  <c r="AD12" i="9" s="1"/>
  <c r="AD12" i="7"/>
  <c r="AD23" i="7"/>
  <c r="AC23" i="9"/>
  <c r="AD23" i="9" s="1"/>
  <c r="AC18" i="9"/>
  <c r="AD18" i="9" s="1"/>
  <c r="AD18" i="7"/>
  <c r="R53" i="7"/>
  <c r="R5" i="9"/>
  <c r="R53" i="9" s="1"/>
  <c r="U5" i="9"/>
  <c r="U53" i="9" s="1"/>
  <c r="U53" i="7"/>
  <c r="U58" i="7" s="1"/>
  <c r="U40" i="8" s="1"/>
  <c r="T40" i="23" s="1"/>
  <c r="T92" i="23" s="1"/>
  <c r="AH40" i="8"/>
  <c r="AD40" i="23" s="1"/>
  <c r="AD92" i="23" s="1"/>
  <c r="AH40" i="9"/>
  <c r="W30" i="8"/>
  <c r="W30" i="9"/>
  <c r="W32" i="9"/>
  <c r="W32" i="8"/>
  <c r="W23" i="8"/>
  <c r="W23" i="9"/>
  <c r="W26" i="8"/>
  <c r="V26" i="23" s="1"/>
  <c r="V78" i="23" s="1"/>
  <c r="W26" i="9"/>
  <c r="X6" i="25"/>
  <c r="M26" i="7"/>
  <c r="M26" i="9" s="1"/>
  <c r="E42" i="5"/>
  <c r="E21" i="5"/>
  <c r="S21" i="24"/>
  <c r="S63" i="24" s="1"/>
  <c r="S27" i="24"/>
  <c r="S69" i="24" s="1"/>
  <c r="AB6" i="11"/>
  <c r="P26" i="24"/>
  <c r="P68" i="24" s="1"/>
  <c r="S16" i="24"/>
  <c r="S58" i="24" s="1"/>
  <c r="S15" i="24"/>
  <c r="S57" i="24" s="1"/>
  <c r="W8" i="13"/>
  <c r="O11" i="24"/>
  <c r="O53" i="24" s="1"/>
  <c r="T31" i="24"/>
  <c r="T73" i="24" s="1"/>
  <c r="V5" i="24"/>
  <c r="V47" i="24" s="1"/>
  <c r="T8" i="24"/>
  <c r="T50" i="24" s="1"/>
  <c r="T34" i="24"/>
  <c r="T76" i="24" s="1"/>
  <c r="N7" i="24"/>
  <c r="N49" i="24" s="1"/>
  <c r="W8" i="12"/>
  <c r="W33" i="12"/>
  <c r="S19" i="24"/>
  <c r="S61" i="24" s="1"/>
  <c r="T6" i="24"/>
  <c r="T48" i="24" s="1"/>
  <c r="T21" i="24"/>
  <c r="T63" i="24" s="1"/>
  <c r="S13" i="24"/>
  <c r="S55" i="24" s="1"/>
  <c r="T20" i="24"/>
  <c r="T62" i="24" s="1"/>
  <c r="R13" i="24"/>
  <c r="R55" i="24" s="1"/>
  <c r="T27" i="24"/>
  <c r="T69" i="24" s="1"/>
  <c r="N24" i="24"/>
  <c r="N66" i="24" s="1"/>
  <c r="T5" i="24"/>
  <c r="T47" i="24" s="1"/>
  <c r="N15" i="24"/>
  <c r="N57" i="24" s="1"/>
  <c r="O14" i="24"/>
  <c r="O56" i="24" s="1"/>
  <c r="L28" i="13"/>
  <c r="P14" i="24"/>
  <c r="P56" i="24" s="1"/>
  <c r="W15" i="13"/>
  <c r="S35" i="24"/>
  <c r="S77" i="24" s="1"/>
  <c r="P15" i="24"/>
  <c r="P57" i="24" s="1"/>
  <c r="P32" i="24"/>
  <c r="P74" i="24" s="1"/>
  <c r="N14" i="24"/>
  <c r="N56" i="24" s="1"/>
  <c r="S37" i="24"/>
  <c r="S79" i="24" s="1"/>
  <c r="N34" i="24"/>
  <c r="N76" i="24" s="1"/>
  <c r="T28" i="24"/>
  <c r="T70" i="24" s="1"/>
  <c r="P37" i="24"/>
  <c r="P79" i="24" s="1"/>
  <c r="N19" i="24"/>
  <c r="N61" i="24" s="1"/>
  <c r="T18" i="24"/>
  <c r="T60" i="24" s="1"/>
  <c r="P18" i="24"/>
  <c r="P60" i="24" s="1"/>
  <c r="N28" i="24"/>
  <c r="N70" i="24" s="1"/>
  <c r="R29" i="24"/>
  <c r="R71" i="24" s="1"/>
  <c r="N11" i="24"/>
  <c r="N53" i="24" s="1"/>
  <c r="O30" i="24"/>
  <c r="O72" i="24" s="1"/>
  <c r="N12" i="24"/>
  <c r="N54" i="24" s="1"/>
  <c r="S24" i="24"/>
  <c r="S66" i="24" s="1"/>
  <c r="T16" i="24"/>
  <c r="T58" i="24" s="1"/>
  <c r="O29" i="24"/>
  <c r="O71" i="24" s="1"/>
  <c r="AB36" i="11"/>
  <c r="O35" i="24"/>
  <c r="O77" i="24" s="1"/>
  <c r="S33" i="24"/>
  <c r="S75" i="24" s="1"/>
  <c r="N41" i="24"/>
  <c r="N83" i="24" s="1"/>
  <c r="R24" i="24"/>
  <c r="R66" i="24" s="1"/>
  <c r="P25" i="24"/>
  <c r="P67" i="24" s="1"/>
  <c r="P33" i="24"/>
  <c r="P75" i="24" s="1"/>
  <c r="N16" i="24"/>
  <c r="N58" i="24" s="1"/>
  <c r="R19" i="24"/>
  <c r="R61" i="24" s="1"/>
  <c r="S14" i="24"/>
  <c r="S56" i="24" s="1"/>
  <c r="T23" i="24"/>
  <c r="T65" i="24" s="1"/>
  <c r="N6" i="24"/>
  <c r="N48" i="24" s="1"/>
  <c r="S17" i="24"/>
  <c r="S59" i="24" s="1"/>
  <c r="T35" i="24"/>
  <c r="T77" i="24" s="1"/>
  <c r="O27" i="24"/>
  <c r="O69" i="24" s="1"/>
  <c r="P30" i="24"/>
  <c r="P72" i="24" s="1"/>
  <c r="N35" i="24"/>
  <c r="N77" i="24" s="1"/>
  <c r="O24" i="24"/>
  <c r="O66" i="24" s="1"/>
  <c r="O26" i="24"/>
  <c r="O68" i="24" s="1"/>
  <c r="P24" i="24"/>
  <c r="P66" i="24" s="1"/>
  <c r="S34" i="24"/>
  <c r="S76" i="24" s="1"/>
  <c r="T17" i="24"/>
  <c r="T59" i="24" s="1"/>
  <c r="T7" i="24"/>
  <c r="T49" i="24" s="1"/>
  <c r="R10" i="24"/>
  <c r="R52" i="24" s="1"/>
  <c r="T29" i="24"/>
  <c r="T71" i="24" s="1"/>
  <c r="P12" i="24"/>
  <c r="P54" i="24" s="1"/>
  <c r="P22" i="24"/>
  <c r="P64" i="24" s="1"/>
  <c r="S7" i="24"/>
  <c r="S49" i="24" s="1"/>
  <c r="T13" i="24"/>
  <c r="T55" i="24" s="1"/>
  <c r="O36" i="24"/>
  <c r="O78" i="24" s="1"/>
  <c r="T19" i="24"/>
  <c r="T61" i="24" s="1"/>
  <c r="T37" i="24"/>
  <c r="T79" i="24" s="1"/>
  <c r="N38" i="24"/>
  <c r="N80" i="24" s="1"/>
  <c r="N36" i="24"/>
  <c r="N78" i="24" s="1"/>
  <c r="R40" i="24"/>
  <c r="R82" i="24" s="1"/>
  <c r="T33" i="24"/>
  <c r="T75" i="24" s="1"/>
  <c r="O18" i="24"/>
  <c r="O60" i="24" s="1"/>
  <c r="P21" i="24"/>
  <c r="P63" i="24" s="1"/>
  <c r="N9" i="24"/>
  <c r="N51" i="24" s="1"/>
  <c r="R18" i="24"/>
  <c r="R60" i="24" s="1"/>
  <c r="S5" i="24"/>
  <c r="S47" i="24" s="1"/>
  <c r="I9" i="26" s="1"/>
  <c r="T22" i="24"/>
  <c r="T64" i="24" s="1"/>
  <c r="W34" i="13"/>
  <c r="O21" i="24"/>
  <c r="O63" i="24" s="1"/>
  <c r="R20" i="24"/>
  <c r="R62" i="24" s="1"/>
  <c r="T15" i="24"/>
  <c r="T57" i="24" s="1"/>
  <c r="O8" i="24"/>
  <c r="O50" i="24" s="1"/>
  <c r="O32" i="24"/>
  <c r="O74" i="24" s="1"/>
  <c r="P9" i="24"/>
  <c r="P51" i="24" s="1"/>
  <c r="P41" i="24"/>
  <c r="P83" i="24" s="1"/>
  <c r="N20" i="24"/>
  <c r="N62" i="24" s="1"/>
  <c r="R7" i="24"/>
  <c r="R49" i="24" s="1"/>
  <c r="O31" i="24"/>
  <c r="O73" i="24" s="1"/>
  <c r="O15" i="24"/>
  <c r="O57" i="24" s="1"/>
  <c r="P7" i="24"/>
  <c r="P49" i="24" s="1"/>
  <c r="P38" i="24"/>
  <c r="P80" i="24" s="1"/>
  <c r="R5" i="24"/>
  <c r="R47" i="24" s="1"/>
  <c r="P28" i="24"/>
  <c r="P70" i="24" s="1"/>
  <c r="N29" i="24"/>
  <c r="N71" i="24" s="1"/>
  <c r="Q30" i="13"/>
  <c r="O25" i="24"/>
  <c r="O67" i="24" s="1"/>
  <c r="O34" i="24"/>
  <c r="O76" i="24" s="1"/>
  <c r="P31" i="24"/>
  <c r="P73" i="24" s="1"/>
  <c r="N22" i="24"/>
  <c r="N64" i="24" s="1"/>
  <c r="R15" i="24"/>
  <c r="R57" i="24" s="1"/>
  <c r="T38" i="24"/>
  <c r="T80" i="24" s="1"/>
  <c r="O5" i="24"/>
  <c r="O47" i="24" s="1"/>
  <c r="R30" i="24"/>
  <c r="R72" i="24" s="1"/>
  <c r="O37" i="24"/>
  <c r="O79" i="24" s="1"/>
  <c r="O17" i="24"/>
  <c r="O59" i="24" s="1"/>
  <c r="N40" i="24"/>
  <c r="N82" i="24" s="1"/>
  <c r="L13" i="12"/>
  <c r="AB33" i="11"/>
  <c r="S9" i="24"/>
  <c r="S51" i="24" s="1"/>
  <c r="P13" i="24"/>
  <c r="P55" i="24" s="1"/>
  <c r="S41" i="24"/>
  <c r="S83" i="24" s="1"/>
  <c r="T32" i="24"/>
  <c r="T74" i="24" s="1"/>
  <c r="O7" i="24"/>
  <c r="O49" i="24" s="1"/>
  <c r="R23" i="24"/>
  <c r="R65" i="24" s="1"/>
  <c r="P17" i="24"/>
  <c r="P59" i="24" s="1"/>
  <c r="P35" i="24"/>
  <c r="P77" i="24" s="1"/>
  <c r="R31" i="24"/>
  <c r="R73" i="24" s="1"/>
  <c r="S22" i="24"/>
  <c r="S64" i="24" s="1"/>
  <c r="S43" i="12"/>
  <c r="O39" i="24"/>
  <c r="O81" i="24" s="1"/>
  <c r="P27" i="24"/>
  <c r="P69" i="24" s="1"/>
  <c r="N31" i="24"/>
  <c r="N73" i="24" s="1"/>
  <c r="R41" i="24"/>
  <c r="R83" i="24" s="1"/>
  <c r="R14" i="24"/>
  <c r="R56" i="24" s="1"/>
  <c r="S23" i="24"/>
  <c r="S65" i="24" s="1"/>
  <c r="T39" i="24"/>
  <c r="T81" i="24" s="1"/>
  <c r="AB22" i="11"/>
  <c r="N21" i="24"/>
  <c r="N63" i="24" s="1"/>
  <c r="R26" i="24"/>
  <c r="R68" i="24" s="1"/>
  <c r="R22" i="24"/>
  <c r="R64" i="24" s="1"/>
  <c r="R38" i="24"/>
  <c r="R80" i="24" s="1"/>
  <c r="L37" i="13"/>
  <c r="Q37" i="13" s="1"/>
  <c r="L36" i="13"/>
  <c r="Q36" i="13" s="1"/>
  <c r="W6" i="13"/>
  <c r="R39" i="24"/>
  <c r="R81" i="24" s="1"/>
  <c r="L12" i="13"/>
  <c r="W25" i="13"/>
  <c r="P16" i="24"/>
  <c r="P58" i="24" s="1"/>
  <c r="R11" i="24"/>
  <c r="R53" i="24" s="1"/>
  <c r="S28" i="24"/>
  <c r="S70" i="24" s="1"/>
  <c r="L19" i="13"/>
  <c r="Q19" i="13" s="1"/>
  <c r="O19" i="24"/>
  <c r="O61" i="24" s="1"/>
  <c r="P23" i="24"/>
  <c r="P65" i="24" s="1"/>
  <c r="N5" i="24"/>
  <c r="N47" i="24" s="1"/>
  <c r="R9" i="24"/>
  <c r="R51" i="24" s="1"/>
  <c r="S8" i="24"/>
  <c r="S50" i="24" s="1"/>
  <c r="O16" i="24"/>
  <c r="O58" i="24" s="1"/>
  <c r="W21" i="12"/>
  <c r="W6" i="12"/>
  <c r="P40" i="24"/>
  <c r="P82" i="24" s="1"/>
  <c r="N23" i="24"/>
  <c r="N65" i="24" s="1"/>
  <c r="T36" i="24"/>
  <c r="T78" i="24" s="1"/>
  <c r="L26" i="13"/>
  <c r="O40" i="24"/>
  <c r="O82" i="24" s="1"/>
  <c r="N13" i="24"/>
  <c r="N55" i="24" s="1"/>
  <c r="L15" i="13"/>
  <c r="L38" i="13"/>
  <c r="Q38" i="13" s="1"/>
  <c r="O9" i="24"/>
  <c r="O51" i="24" s="1"/>
  <c r="P39" i="24"/>
  <c r="P81" i="24" s="1"/>
  <c r="N27" i="24"/>
  <c r="N69" i="24" s="1"/>
  <c r="S40" i="24"/>
  <c r="S82" i="24" s="1"/>
  <c r="T30" i="24"/>
  <c r="T72" i="24" s="1"/>
  <c r="L31" i="13"/>
  <c r="S32" i="24"/>
  <c r="S74" i="24" s="1"/>
  <c r="L25" i="13"/>
  <c r="N18" i="24"/>
  <c r="N60" i="24" s="1"/>
  <c r="R28" i="24"/>
  <c r="R70" i="24" s="1"/>
  <c r="T25" i="24"/>
  <c r="T67" i="24" s="1"/>
  <c r="O10" i="24"/>
  <c r="O52" i="24" s="1"/>
  <c r="R16" i="24"/>
  <c r="R58" i="24" s="1"/>
  <c r="R27" i="24"/>
  <c r="R69" i="24" s="1"/>
  <c r="S20" i="24"/>
  <c r="S62" i="24" s="1"/>
  <c r="T40" i="24"/>
  <c r="T82" i="24" s="1"/>
  <c r="O23" i="24"/>
  <c r="O65" i="24" s="1"/>
  <c r="P20" i="24"/>
  <c r="P62" i="24" s="1"/>
  <c r="N10" i="24"/>
  <c r="N52" i="24" s="1"/>
  <c r="N30" i="24"/>
  <c r="N72" i="24" s="1"/>
  <c r="R35" i="24"/>
  <c r="R77" i="24" s="1"/>
  <c r="O6" i="24"/>
  <c r="O48" i="24" s="1"/>
  <c r="E11" i="26" s="1"/>
  <c r="O12" i="24"/>
  <c r="O54" i="24" s="1"/>
  <c r="P36" i="24"/>
  <c r="P78" i="24" s="1"/>
  <c r="R12" i="24"/>
  <c r="R54" i="24" s="1"/>
  <c r="S12" i="24"/>
  <c r="S54" i="24" s="1"/>
  <c r="T12" i="24"/>
  <c r="T54" i="24" s="1"/>
  <c r="P5" i="24"/>
  <c r="P47" i="24" s="1"/>
  <c r="F11" i="26" s="1"/>
  <c r="AB40" i="11"/>
  <c r="S11" i="24"/>
  <c r="S53" i="24" s="1"/>
  <c r="W31" i="12"/>
  <c r="L26" i="12"/>
  <c r="AB15" i="11"/>
  <c r="S39" i="24"/>
  <c r="S81" i="24" s="1"/>
  <c r="S29" i="24"/>
  <c r="S71" i="24" s="1"/>
  <c r="T24" i="24"/>
  <c r="T66" i="24" s="1"/>
  <c r="L40" i="13"/>
  <c r="P19" i="24"/>
  <c r="P61" i="24" s="1"/>
  <c r="R34" i="24"/>
  <c r="R76" i="24" s="1"/>
  <c r="S38" i="24"/>
  <c r="S80" i="24" s="1"/>
  <c r="T11" i="24"/>
  <c r="T53" i="24" s="1"/>
  <c r="O22" i="24"/>
  <c r="O64" i="24" s="1"/>
  <c r="O33" i="24"/>
  <c r="O75" i="24" s="1"/>
  <c r="N33" i="24"/>
  <c r="N75" i="24" s="1"/>
  <c r="P34" i="24"/>
  <c r="P76" i="24" s="1"/>
  <c r="R36" i="24"/>
  <c r="R78" i="24" s="1"/>
  <c r="S10" i="24"/>
  <c r="S52" i="24" s="1"/>
  <c r="S18" i="24"/>
  <c r="S60" i="24" s="1"/>
  <c r="O20" i="24"/>
  <c r="O62" i="24" s="1"/>
  <c r="P10" i="24"/>
  <c r="P52" i="24" s="1"/>
  <c r="N39" i="24"/>
  <c r="N81" i="24" s="1"/>
  <c r="S25" i="24"/>
  <c r="S67" i="24" s="1"/>
  <c r="T26" i="24"/>
  <c r="T68" i="24" s="1"/>
  <c r="R32" i="24"/>
  <c r="R74" i="24" s="1"/>
  <c r="S6" i="24"/>
  <c r="S48" i="24" s="1"/>
  <c r="T14" i="24"/>
  <c r="T56" i="24" s="1"/>
  <c r="N25" i="24"/>
  <c r="N67" i="24" s="1"/>
  <c r="R37" i="24"/>
  <c r="R79" i="24" s="1"/>
  <c r="O41" i="24"/>
  <c r="O83" i="24" s="1"/>
  <c r="N26" i="24"/>
  <c r="N68" i="24" s="1"/>
  <c r="C7" i="26"/>
  <c r="C13" i="26" s="1"/>
  <c r="C9" i="26"/>
  <c r="J9" i="26"/>
  <c r="J11" i="26"/>
  <c r="W27" i="13"/>
  <c r="V27" i="24"/>
  <c r="V69" i="24" s="1"/>
  <c r="S31" i="24"/>
  <c r="S73" i="24" s="1"/>
  <c r="V14" i="24"/>
  <c r="V56" i="24" s="1"/>
  <c r="V6" i="24"/>
  <c r="V48" i="24" s="1"/>
  <c r="L9" i="26" s="1"/>
  <c r="V17" i="24"/>
  <c r="V59" i="24" s="1"/>
  <c r="D53" i="5"/>
  <c r="F47" i="5"/>
  <c r="L37" i="12"/>
  <c r="L9" i="13"/>
  <c r="L21" i="13"/>
  <c r="AD10" i="8"/>
  <c r="AA10" i="23"/>
  <c r="AA62" i="23" s="1"/>
  <c r="V26" i="24"/>
  <c r="V68" i="24" s="1"/>
  <c r="S26" i="24"/>
  <c r="S68" i="24" s="1"/>
  <c r="V10" i="24"/>
  <c r="V52" i="24" s="1"/>
  <c r="V24" i="24"/>
  <c r="V66" i="24" s="1"/>
  <c r="V20" i="24"/>
  <c r="V62" i="24" s="1"/>
  <c r="R8" i="24"/>
  <c r="R50" i="24" s="1"/>
  <c r="G9" i="26"/>
  <c r="G7" i="26"/>
  <c r="G13" i="26" s="1"/>
  <c r="G11" i="26"/>
  <c r="V32" i="24"/>
  <c r="V74" i="24" s="1"/>
  <c r="L9" i="12"/>
  <c r="L9" i="24" s="1"/>
  <c r="L51" i="24" s="1"/>
  <c r="AD9" i="8"/>
  <c r="AA9" i="23"/>
  <c r="AA61" i="23" s="1"/>
  <c r="AD13" i="8"/>
  <c r="AA13" i="23"/>
  <c r="AA65" i="23" s="1"/>
  <c r="V33" i="24"/>
  <c r="V75" i="24" s="1"/>
  <c r="V30" i="24"/>
  <c r="V72" i="24" s="1"/>
  <c r="V15" i="24"/>
  <c r="V57" i="24" s="1"/>
  <c r="R17" i="24"/>
  <c r="R59" i="24" s="1"/>
  <c r="AB32" i="11"/>
  <c r="X32" i="13" s="1"/>
  <c r="R6" i="24"/>
  <c r="R48" i="24" s="1"/>
  <c r="H9" i="26" s="1"/>
  <c r="V22" i="24"/>
  <c r="V64" i="24" s="1"/>
  <c r="V39" i="24"/>
  <c r="V81" i="24" s="1"/>
  <c r="V25" i="24"/>
  <c r="V67" i="24" s="1"/>
  <c r="V37" i="24"/>
  <c r="V79" i="24" s="1"/>
  <c r="V40" i="24"/>
  <c r="V82" i="24" s="1"/>
  <c r="V18" i="24"/>
  <c r="V60" i="24" s="1"/>
  <c r="W25" i="12"/>
  <c r="L7" i="13"/>
  <c r="L29" i="12"/>
  <c r="Q29" i="12" s="1"/>
  <c r="V7" i="24"/>
  <c r="V49" i="24" s="1"/>
  <c r="V34" i="24"/>
  <c r="V76" i="24" s="1"/>
  <c r="V21" i="24"/>
  <c r="V63" i="24" s="1"/>
  <c r="V41" i="24"/>
  <c r="V83" i="24" s="1"/>
  <c r="V13" i="24"/>
  <c r="V55" i="24" s="1"/>
  <c r="AB20" i="11"/>
  <c r="W28" i="13"/>
  <c r="L32" i="12"/>
  <c r="V31" i="24"/>
  <c r="V73" i="24" s="1"/>
  <c r="V28" i="24"/>
  <c r="V70" i="24" s="1"/>
  <c r="V38" i="24"/>
  <c r="V80" i="24" s="1"/>
  <c r="V35" i="24"/>
  <c r="V77" i="24" s="1"/>
  <c r="V19" i="24"/>
  <c r="V61" i="24" s="1"/>
  <c r="R25" i="24"/>
  <c r="R67" i="24" s="1"/>
  <c r="V9" i="24"/>
  <c r="V51" i="24" s="1"/>
  <c r="V29" i="24"/>
  <c r="V71" i="24" s="1"/>
  <c r="R33" i="24"/>
  <c r="R75" i="24" s="1"/>
  <c r="V36" i="24"/>
  <c r="V78" i="24" s="1"/>
  <c r="V11" i="24"/>
  <c r="V53" i="24" s="1"/>
  <c r="L30" i="12"/>
  <c r="L30" i="24" s="1"/>
  <c r="L72" i="24" s="1"/>
  <c r="W18" i="13"/>
  <c r="L19" i="12"/>
  <c r="L22" i="12"/>
  <c r="Q22" i="12" s="1"/>
  <c r="V16" i="24"/>
  <c r="V58" i="24" s="1"/>
  <c r="V12" i="24"/>
  <c r="V54" i="24" s="1"/>
  <c r="V8" i="24"/>
  <c r="V50" i="24" s="1"/>
  <c r="R21" i="24"/>
  <c r="R63" i="24" s="1"/>
  <c r="V23" i="24"/>
  <c r="V65" i="24" s="1"/>
  <c r="W28" i="12"/>
  <c r="Q7" i="13"/>
  <c r="W41" i="13"/>
  <c r="W38" i="12"/>
  <c r="W10" i="13"/>
  <c r="W24" i="12"/>
  <c r="Q14" i="13"/>
  <c r="W15" i="12"/>
  <c r="W36" i="13"/>
  <c r="W12" i="13"/>
  <c r="W40" i="13"/>
  <c r="Q26" i="13"/>
  <c r="AB11" i="11"/>
  <c r="Q26" i="12"/>
  <c r="W23" i="13"/>
  <c r="AB38" i="11"/>
  <c r="Q32" i="12"/>
  <c r="W7" i="13"/>
  <c r="AB35" i="11"/>
  <c r="X33" i="13"/>
  <c r="AM58" i="6"/>
  <c r="AM56" i="9"/>
  <c r="AM56" i="8"/>
  <c r="AM56" i="7"/>
  <c r="X36" i="13"/>
  <c r="Q6" i="13"/>
  <c r="L38" i="12"/>
  <c r="L35" i="12"/>
  <c r="L31" i="12"/>
  <c r="F46" i="5"/>
  <c r="Q46" i="13"/>
  <c r="Q46" i="12"/>
  <c r="Q46" i="10"/>
  <c r="Q46" i="11"/>
  <c r="AB25" i="11"/>
  <c r="AB7" i="11"/>
  <c r="L33" i="12"/>
  <c r="W20" i="12"/>
  <c r="W38" i="13"/>
  <c r="AB5" i="11"/>
  <c r="Q43" i="11"/>
  <c r="L34" i="12"/>
  <c r="W35" i="13"/>
  <c r="AB17" i="11"/>
  <c r="AB39" i="11"/>
  <c r="W13" i="12"/>
  <c r="V43" i="13"/>
  <c r="L11" i="13"/>
  <c r="Q11" i="13" s="1"/>
  <c r="AB24" i="11"/>
  <c r="O43" i="13"/>
  <c r="L6" i="12"/>
  <c r="L6" i="24" s="1"/>
  <c r="L48" i="24" s="1"/>
  <c r="W24" i="13"/>
  <c r="X41" i="13"/>
  <c r="Q9" i="13"/>
  <c r="AB31" i="11"/>
  <c r="L29" i="13"/>
  <c r="Q29" i="13" s="1"/>
  <c r="L13" i="13"/>
  <c r="Q13" i="13" s="1"/>
  <c r="Q30" i="12"/>
  <c r="W35" i="12"/>
  <c r="W23" i="12"/>
  <c r="L22" i="13"/>
  <c r="Q22" i="13" s="1"/>
  <c r="L39" i="12"/>
  <c r="L41" i="12"/>
  <c r="L11" i="12"/>
  <c r="L32" i="13"/>
  <c r="Q32" i="13" s="1"/>
  <c r="P43" i="12"/>
  <c r="W10" i="12"/>
  <c r="Q15" i="13"/>
  <c r="AB30" i="11"/>
  <c r="W19" i="12"/>
  <c r="W30" i="12"/>
  <c r="X9" i="13"/>
  <c r="L14" i="12"/>
  <c r="W36" i="12"/>
  <c r="AB19" i="11"/>
  <c r="W16" i="13"/>
  <c r="W41" i="12"/>
  <c r="AB29" i="11"/>
  <c r="AB13" i="11"/>
  <c r="W7" i="12"/>
  <c r="W32" i="13"/>
  <c r="X22" i="13"/>
  <c r="W5" i="13"/>
  <c r="T43" i="13"/>
  <c r="W12" i="12"/>
  <c r="L23" i="13"/>
  <c r="Q23" i="13" s="1"/>
  <c r="Q16" i="13"/>
  <c r="X26" i="13"/>
  <c r="W17" i="13"/>
  <c r="L16" i="12"/>
  <c r="Q40" i="13"/>
  <c r="L15" i="12"/>
  <c r="Q12" i="13"/>
  <c r="AB14" i="11"/>
  <c r="W31" i="13"/>
  <c r="W18" i="12"/>
  <c r="Q21" i="13"/>
  <c r="O43" i="12"/>
  <c r="W16" i="12"/>
  <c r="N43" i="13"/>
  <c r="W9" i="13"/>
  <c r="L18" i="13"/>
  <c r="Q18" i="13" s="1"/>
  <c r="W32" i="12"/>
  <c r="L27" i="13"/>
  <c r="Q27" i="13" s="1"/>
  <c r="L8" i="13"/>
  <c r="Q8" i="13" s="1"/>
  <c r="W34" i="12"/>
  <c r="L23" i="12"/>
  <c r="AA5" i="13"/>
  <c r="AA43" i="13" s="1"/>
  <c r="Z43" i="13"/>
  <c r="Q13" i="12"/>
  <c r="T58" i="6"/>
  <c r="T56" i="9"/>
  <c r="T56" i="8"/>
  <c r="T56" i="7"/>
  <c r="T57" i="6"/>
  <c r="T55" i="9"/>
  <c r="T55" i="8"/>
  <c r="T55" i="7"/>
  <c r="X16" i="13"/>
  <c r="X40" i="13"/>
  <c r="W29" i="13"/>
  <c r="W39" i="13"/>
  <c r="U43" i="12"/>
  <c r="L12" i="12"/>
  <c r="Q28" i="13"/>
  <c r="L21" i="12"/>
  <c r="AB34" i="11"/>
  <c r="N43" i="12"/>
  <c r="W9" i="12"/>
  <c r="L18" i="12"/>
  <c r="W14" i="13"/>
  <c r="L27" i="12"/>
  <c r="L8" i="12"/>
  <c r="W5" i="12"/>
  <c r="T43" i="12"/>
  <c r="W37" i="13"/>
  <c r="L10" i="13"/>
  <c r="Q10" i="13" s="1"/>
  <c r="AB23" i="11"/>
  <c r="W22" i="13"/>
  <c r="AA5" i="12"/>
  <c r="AA43" i="12" s="1"/>
  <c r="Z43" i="12"/>
  <c r="W33" i="13"/>
  <c r="AM56" i="6"/>
  <c r="AM54" i="9"/>
  <c r="AM54" i="7"/>
  <c r="AM54" i="8" s="1"/>
  <c r="L40" i="12"/>
  <c r="Q45" i="13"/>
  <c r="Q45" i="12"/>
  <c r="Q45" i="10"/>
  <c r="Q45" i="11"/>
  <c r="W29" i="12"/>
  <c r="Q20" i="13"/>
  <c r="L36" i="12"/>
  <c r="X12" i="13"/>
  <c r="L28" i="12"/>
  <c r="Q25" i="13"/>
  <c r="W11" i="13"/>
  <c r="AB21" i="11"/>
  <c r="P43" i="13"/>
  <c r="W27" i="12"/>
  <c r="L5" i="13"/>
  <c r="AB18" i="11"/>
  <c r="W14" i="12"/>
  <c r="U43" i="13"/>
  <c r="L17" i="13"/>
  <c r="Q17" i="13" s="1"/>
  <c r="AB27" i="11"/>
  <c r="AB8" i="11"/>
  <c r="W43" i="11"/>
  <c r="W37" i="12"/>
  <c r="L10" i="12"/>
  <c r="L24" i="13"/>
  <c r="Q24" i="13" s="1"/>
  <c r="AA43" i="11"/>
  <c r="X6" i="13"/>
  <c r="V43" i="12"/>
  <c r="W40" i="12"/>
  <c r="W30" i="13"/>
  <c r="AB37" i="11"/>
  <c r="L20" i="12"/>
  <c r="Q35" i="13"/>
  <c r="W39" i="12"/>
  <c r="W22" i="12"/>
  <c r="Q31" i="13"/>
  <c r="AB28" i="11"/>
  <c r="L25" i="12"/>
  <c r="W11" i="12"/>
  <c r="L7" i="12"/>
  <c r="L33" i="13"/>
  <c r="Q33" i="13" s="1"/>
  <c r="W20" i="13"/>
  <c r="L5" i="12"/>
  <c r="L34" i="13"/>
  <c r="Q34" i="13" s="1"/>
  <c r="L17" i="12"/>
  <c r="L39" i="13"/>
  <c r="Q39" i="13" s="1"/>
  <c r="W13" i="13"/>
  <c r="L41" i="13"/>
  <c r="Q41" i="13" s="1"/>
  <c r="W26" i="13"/>
  <c r="AB10" i="11"/>
  <c r="L24" i="12"/>
  <c r="AA16" i="23" l="1"/>
  <c r="AA68" i="23" s="1"/>
  <c r="AD16" i="8"/>
  <c r="M38" i="9"/>
  <c r="O31" i="8"/>
  <c r="O31" i="23" s="1"/>
  <c r="O83" i="23" s="1"/>
  <c r="O44" i="8"/>
  <c r="O44" i="23" s="1"/>
  <c r="O96" i="23" s="1"/>
  <c r="O18" i="8"/>
  <c r="O18" i="23" s="1"/>
  <c r="O70" i="23" s="1"/>
  <c r="O17" i="8"/>
  <c r="O17" i="23" s="1"/>
  <c r="O69" i="23" s="1"/>
  <c r="O13" i="8"/>
  <c r="O13" i="23" s="1"/>
  <c r="O65" i="23" s="1"/>
  <c r="O14" i="8"/>
  <c r="O14" i="23" s="1"/>
  <c r="O66" i="23" s="1"/>
  <c r="O37" i="8"/>
  <c r="O37" i="23" s="1"/>
  <c r="O89" i="23" s="1"/>
  <c r="O48" i="8"/>
  <c r="O48" i="23" s="1"/>
  <c r="O100" i="23" s="1"/>
  <c r="O22" i="8"/>
  <c r="O22" i="23" s="1"/>
  <c r="O74" i="23" s="1"/>
  <c r="O49" i="8"/>
  <c r="O49" i="23" s="1"/>
  <c r="O101" i="23" s="1"/>
  <c r="O21" i="8"/>
  <c r="O21" i="23" s="1"/>
  <c r="O73" i="23" s="1"/>
  <c r="O45" i="8"/>
  <c r="O45" i="23" s="1"/>
  <c r="O97" i="23" s="1"/>
  <c r="O33" i="8"/>
  <c r="O33" i="23" s="1"/>
  <c r="O85" i="23" s="1"/>
  <c r="O32" i="8"/>
  <c r="O32" i="23" s="1"/>
  <c r="O84" i="23" s="1"/>
  <c r="O12" i="8"/>
  <c r="O12" i="23" s="1"/>
  <c r="O64" i="23" s="1"/>
  <c r="O43" i="8"/>
  <c r="O43" i="23" s="1"/>
  <c r="O95" i="23" s="1"/>
  <c r="O30" i="8"/>
  <c r="O30" i="23" s="1"/>
  <c r="O82" i="23" s="1"/>
  <c r="O9" i="8"/>
  <c r="O9" i="23" s="1"/>
  <c r="O61" i="23" s="1"/>
  <c r="O16" i="8"/>
  <c r="O16" i="23" s="1"/>
  <c r="O68" i="23" s="1"/>
  <c r="O35" i="8"/>
  <c r="O35" i="23" s="1"/>
  <c r="O87" i="23" s="1"/>
  <c r="O8" i="8"/>
  <c r="O8" i="23" s="1"/>
  <c r="O60" i="23" s="1"/>
  <c r="O42" i="8"/>
  <c r="O42" i="23" s="1"/>
  <c r="O94" i="23" s="1"/>
  <c r="O24" i="8"/>
  <c r="O24" i="23" s="1"/>
  <c r="O76" i="23" s="1"/>
  <c r="O15" i="8"/>
  <c r="O15" i="23" s="1"/>
  <c r="O67" i="23" s="1"/>
  <c r="O10" i="8"/>
  <c r="O10" i="23" s="1"/>
  <c r="O62" i="23" s="1"/>
  <c r="O7" i="8"/>
  <c r="O7" i="23" s="1"/>
  <c r="O59" i="23" s="1"/>
  <c r="O6" i="8"/>
  <c r="O6" i="23" s="1"/>
  <c r="O58" i="23" s="1"/>
  <c r="O29" i="8"/>
  <c r="O29" i="23" s="1"/>
  <c r="O81" i="23" s="1"/>
  <c r="O34" i="8"/>
  <c r="O34" i="23" s="1"/>
  <c r="O86" i="23" s="1"/>
  <c r="O51" i="8"/>
  <c r="O51" i="23" s="1"/>
  <c r="O103" i="23" s="1"/>
  <c r="O20" i="8"/>
  <c r="O20" i="23" s="1"/>
  <c r="O72" i="23" s="1"/>
  <c r="O23" i="8"/>
  <c r="O23" i="23" s="1"/>
  <c r="O75" i="23" s="1"/>
  <c r="O11" i="8"/>
  <c r="O11" i="23" s="1"/>
  <c r="O63" i="23" s="1"/>
  <c r="O38" i="8"/>
  <c r="O38" i="23" s="1"/>
  <c r="O90" i="23" s="1"/>
  <c r="O25" i="8"/>
  <c r="O25" i="23" s="1"/>
  <c r="O77" i="23" s="1"/>
  <c r="O40" i="8"/>
  <c r="O40" i="23" s="1"/>
  <c r="O92" i="23" s="1"/>
  <c r="O5" i="8"/>
  <c r="O36" i="8"/>
  <c r="O36" i="23" s="1"/>
  <c r="O88" i="23" s="1"/>
  <c r="O28" i="8"/>
  <c r="O28" i="23" s="1"/>
  <c r="O80" i="23" s="1"/>
  <c r="O46" i="8"/>
  <c r="O46" i="23" s="1"/>
  <c r="O98" i="23" s="1"/>
  <c r="O47" i="8"/>
  <c r="O47" i="23" s="1"/>
  <c r="O99" i="23" s="1"/>
  <c r="O39" i="8"/>
  <c r="O39" i="23" s="1"/>
  <c r="O91" i="23" s="1"/>
  <c r="V30" i="23"/>
  <c r="V82" i="23" s="1"/>
  <c r="O26" i="8"/>
  <c r="O26" i="23" s="1"/>
  <c r="O78" i="23" s="1"/>
  <c r="Y8" i="7"/>
  <c r="Y8" i="9" s="1"/>
  <c r="Y10" i="7"/>
  <c r="Y10" i="9" s="1"/>
  <c r="Y39" i="7"/>
  <c r="Y39" i="9" s="1"/>
  <c r="Y49" i="7"/>
  <c r="Y49" i="9" s="1"/>
  <c r="Y46" i="7"/>
  <c r="Y46" i="9" s="1"/>
  <c r="Y29" i="7"/>
  <c r="Y29" i="9" s="1"/>
  <c r="Y17" i="7"/>
  <c r="Y17" i="9" s="1"/>
  <c r="Y51" i="7"/>
  <c r="Y51" i="9" s="1"/>
  <c r="Y30" i="7"/>
  <c r="Y30" i="9" s="1"/>
  <c r="Y19" i="7"/>
  <c r="Y19" i="9" s="1"/>
  <c r="Y21" i="7"/>
  <c r="Y21" i="9" s="1"/>
  <c r="Y23" i="7"/>
  <c r="Y23" i="9" s="1"/>
  <c r="Y40" i="7"/>
  <c r="Y40" i="9" s="1"/>
  <c r="Y50" i="7"/>
  <c r="Y50" i="9" s="1"/>
  <c r="Y35" i="7"/>
  <c r="Y35" i="9" s="1"/>
  <c r="Y15" i="7"/>
  <c r="Y15" i="9" s="1"/>
  <c r="Y41" i="7"/>
  <c r="Y41" i="9" s="1"/>
  <c r="Y26" i="7"/>
  <c r="Y26" i="9" s="1"/>
  <c r="Y48" i="7"/>
  <c r="Y48" i="9" s="1"/>
  <c r="Y32" i="7"/>
  <c r="Y32" i="9" s="1"/>
  <c r="Y25" i="7"/>
  <c r="Y25" i="9" s="1"/>
  <c r="Y11" i="7"/>
  <c r="Y11" i="9" s="1"/>
  <c r="Y6" i="7"/>
  <c r="Y6" i="9" s="1"/>
  <c r="Y22" i="7"/>
  <c r="Y22" i="9" s="1"/>
  <c r="Y27" i="7"/>
  <c r="Y27" i="9" s="1"/>
  <c r="Y33" i="7"/>
  <c r="Y33" i="9" s="1"/>
  <c r="Y5" i="7"/>
  <c r="Y7" i="7"/>
  <c r="Y7" i="9" s="1"/>
  <c r="Y18" i="7"/>
  <c r="Y18" i="9" s="1"/>
  <c r="Y44" i="7"/>
  <c r="Y44" i="9" s="1"/>
  <c r="Y24" i="7"/>
  <c r="Y24" i="9" s="1"/>
  <c r="Y34" i="7"/>
  <c r="Y34" i="9" s="1"/>
  <c r="Y12" i="7"/>
  <c r="Y12" i="9" s="1"/>
  <c r="Y20" i="7"/>
  <c r="Y20" i="9" s="1"/>
  <c r="Y14" i="7"/>
  <c r="Y14" i="9" s="1"/>
  <c r="Y13" i="7"/>
  <c r="Y13" i="9" s="1"/>
  <c r="Y45" i="7"/>
  <c r="Y45" i="9" s="1"/>
  <c r="Y38" i="7"/>
  <c r="Y38" i="9" s="1"/>
  <c r="Y31" i="7"/>
  <c r="Y31" i="9" s="1"/>
  <c r="Y37" i="7"/>
  <c r="Y37" i="9" s="1"/>
  <c r="Y16" i="7"/>
  <c r="Y16" i="9" s="1"/>
  <c r="Y9" i="7"/>
  <c r="Y9" i="9" s="1"/>
  <c r="Y36" i="7"/>
  <c r="Y36" i="9" s="1"/>
  <c r="Y47" i="7"/>
  <c r="Y47" i="9" s="1"/>
  <c r="Y42" i="7"/>
  <c r="Y42" i="9" s="1"/>
  <c r="Y28" i="7"/>
  <c r="Y28" i="9" s="1"/>
  <c r="Y43" i="7"/>
  <c r="Y43" i="9" s="1"/>
  <c r="L47" i="8"/>
  <c r="L47" i="23" s="1"/>
  <c r="L99" i="23" s="1"/>
  <c r="W20" i="8"/>
  <c r="V20" i="23" s="1"/>
  <c r="V72" i="23" s="1"/>
  <c r="Q53" i="9"/>
  <c r="O41" i="8"/>
  <c r="O41" i="23" s="1"/>
  <c r="O93" i="23" s="1"/>
  <c r="W42" i="8"/>
  <c r="V42" i="23" s="1"/>
  <c r="V94" i="23" s="1"/>
  <c r="AH25" i="8"/>
  <c r="AD25" i="23" s="1"/>
  <c r="AD77" i="23" s="1"/>
  <c r="O19" i="8"/>
  <c r="O19" i="23" s="1"/>
  <c r="O71" i="23" s="1"/>
  <c r="P53" i="9"/>
  <c r="O27" i="8"/>
  <c r="O27" i="23" s="1"/>
  <c r="O79" i="23" s="1"/>
  <c r="V27" i="23"/>
  <c r="V79" i="23" s="1"/>
  <c r="O11" i="25"/>
  <c r="O7" i="25"/>
  <c r="O13" i="25" s="1"/>
  <c r="O9" i="25"/>
  <c r="W36" i="8"/>
  <c r="V36" i="23" s="1"/>
  <c r="V88" i="23" s="1"/>
  <c r="P46" i="8"/>
  <c r="P46" i="23" s="1"/>
  <c r="P98" i="23" s="1"/>
  <c r="P24" i="8"/>
  <c r="Q34" i="8"/>
  <c r="Q34" i="23" s="1"/>
  <c r="Q86" i="23" s="1"/>
  <c r="Q30" i="8"/>
  <c r="Q30" i="23" s="1"/>
  <c r="Q82" i="23" s="1"/>
  <c r="Q25" i="8"/>
  <c r="Q25" i="23" s="1"/>
  <c r="Q77" i="23" s="1"/>
  <c r="Q51" i="8"/>
  <c r="Q51" i="23" s="1"/>
  <c r="Q103" i="23" s="1"/>
  <c r="Q24" i="8"/>
  <c r="Q24" i="23" s="1"/>
  <c r="Q76" i="23" s="1"/>
  <c r="Q6" i="8"/>
  <c r="Q6" i="23" s="1"/>
  <c r="Q58" i="23" s="1"/>
  <c r="Q21" i="8"/>
  <c r="Q21" i="23" s="1"/>
  <c r="Q73" i="23" s="1"/>
  <c r="Q46" i="8"/>
  <c r="Q46" i="23" s="1"/>
  <c r="Q98" i="23" s="1"/>
  <c r="Q29" i="8"/>
  <c r="Q29" i="23" s="1"/>
  <c r="Q81" i="23" s="1"/>
  <c r="Q20" i="8"/>
  <c r="Q20" i="23" s="1"/>
  <c r="Q72" i="23" s="1"/>
  <c r="Q13" i="8"/>
  <c r="Q13" i="23" s="1"/>
  <c r="Q65" i="23" s="1"/>
  <c r="Q8" i="8"/>
  <c r="Q8" i="23" s="1"/>
  <c r="Q60" i="23" s="1"/>
  <c r="Q31" i="8"/>
  <c r="Q31" i="23" s="1"/>
  <c r="Q83" i="23" s="1"/>
  <c r="Q11" i="8"/>
  <c r="Q11" i="23" s="1"/>
  <c r="Q63" i="23" s="1"/>
  <c r="Q35" i="8"/>
  <c r="Q35" i="23" s="1"/>
  <c r="Q87" i="23" s="1"/>
  <c r="Q12" i="8"/>
  <c r="Q12" i="23" s="1"/>
  <c r="Q64" i="23" s="1"/>
  <c r="Q5" i="8"/>
  <c r="Q26" i="8"/>
  <c r="Q26" i="23" s="1"/>
  <c r="Q78" i="23" s="1"/>
  <c r="Q40" i="8"/>
  <c r="Q40" i="23" s="1"/>
  <c r="Q92" i="23" s="1"/>
  <c r="Q47" i="8"/>
  <c r="Q47" i="23" s="1"/>
  <c r="Q99" i="23" s="1"/>
  <c r="Q42" i="8"/>
  <c r="Q42" i="23" s="1"/>
  <c r="Q94" i="23" s="1"/>
  <c r="Q9" i="8"/>
  <c r="Q9" i="23" s="1"/>
  <c r="Q61" i="23" s="1"/>
  <c r="Q44" i="8"/>
  <c r="Q44" i="23" s="1"/>
  <c r="Q96" i="23" s="1"/>
  <c r="Q27" i="8"/>
  <c r="Q27" i="23" s="1"/>
  <c r="Q79" i="23" s="1"/>
  <c r="Q22" i="8"/>
  <c r="Q22" i="23" s="1"/>
  <c r="Q74" i="23" s="1"/>
  <c r="Q14" i="8"/>
  <c r="Q14" i="23" s="1"/>
  <c r="Q66" i="23" s="1"/>
  <c r="Q33" i="8"/>
  <c r="Q33" i="23" s="1"/>
  <c r="Q85" i="23" s="1"/>
  <c r="Q17" i="8"/>
  <c r="Q17" i="23" s="1"/>
  <c r="Q69" i="23" s="1"/>
  <c r="Q23" i="8"/>
  <c r="Q23" i="23" s="1"/>
  <c r="Q75" i="23" s="1"/>
  <c r="Q39" i="8"/>
  <c r="Q39" i="23" s="1"/>
  <c r="Q91" i="23" s="1"/>
  <c r="Q10" i="8"/>
  <c r="Q10" i="23" s="1"/>
  <c r="Q62" i="23" s="1"/>
  <c r="Q15" i="8"/>
  <c r="Q15" i="23" s="1"/>
  <c r="Q67" i="23" s="1"/>
  <c r="Q48" i="8"/>
  <c r="Q48" i="23" s="1"/>
  <c r="Q100" i="23" s="1"/>
  <c r="Q49" i="8"/>
  <c r="Q49" i="23" s="1"/>
  <c r="Q101" i="23" s="1"/>
  <c r="Q32" i="8"/>
  <c r="Q32" i="23" s="1"/>
  <c r="Q84" i="23" s="1"/>
  <c r="Q37" i="8"/>
  <c r="Q37" i="23" s="1"/>
  <c r="Q89" i="23" s="1"/>
  <c r="Q41" i="8"/>
  <c r="Q41" i="23" s="1"/>
  <c r="Q93" i="23" s="1"/>
  <c r="Q16" i="8"/>
  <c r="Q16" i="23" s="1"/>
  <c r="Q68" i="23" s="1"/>
  <c r="Q28" i="8"/>
  <c r="Q28" i="23" s="1"/>
  <c r="Q80" i="23" s="1"/>
  <c r="Q7" i="8"/>
  <c r="Q7" i="23" s="1"/>
  <c r="Q59" i="23" s="1"/>
  <c r="Q18" i="8"/>
  <c r="Q18" i="23" s="1"/>
  <c r="Q70" i="23" s="1"/>
  <c r="Q19" i="8"/>
  <c r="Q19" i="23" s="1"/>
  <c r="Q71" i="23" s="1"/>
  <c r="W7" i="8"/>
  <c r="V7" i="23" s="1"/>
  <c r="V59" i="23" s="1"/>
  <c r="L17" i="8"/>
  <c r="L17" i="23" s="1"/>
  <c r="L69" i="23" s="1"/>
  <c r="W41" i="8"/>
  <c r="V41" i="23" s="1"/>
  <c r="V93" i="23" s="1"/>
  <c r="Q43" i="8"/>
  <c r="Q43" i="23" s="1"/>
  <c r="Q95" i="23" s="1"/>
  <c r="W29" i="8"/>
  <c r="V29" i="23" s="1"/>
  <c r="V81" i="23" s="1"/>
  <c r="L19" i="24"/>
  <c r="L61" i="24" s="1"/>
  <c r="P7" i="8"/>
  <c r="P7" i="23" s="1"/>
  <c r="P59" i="23" s="1"/>
  <c r="P32" i="8"/>
  <c r="P32" i="23" s="1"/>
  <c r="P84" i="23" s="1"/>
  <c r="P15" i="8"/>
  <c r="P15" i="23" s="1"/>
  <c r="P67" i="23" s="1"/>
  <c r="P34" i="8"/>
  <c r="P34" i="23" s="1"/>
  <c r="P86" i="23" s="1"/>
  <c r="P21" i="8"/>
  <c r="P26" i="8"/>
  <c r="P6" i="8"/>
  <c r="P6" i="23" s="1"/>
  <c r="P58" i="23" s="1"/>
  <c r="P36" i="8"/>
  <c r="P36" i="23" s="1"/>
  <c r="P88" i="23" s="1"/>
  <c r="P35" i="8"/>
  <c r="P35" i="23" s="1"/>
  <c r="P87" i="23" s="1"/>
  <c r="P10" i="8"/>
  <c r="P10" i="23" s="1"/>
  <c r="P62" i="23" s="1"/>
  <c r="P12" i="8"/>
  <c r="P12" i="23" s="1"/>
  <c r="P64" i="23" s="1"/>
  <c r="P11" i="8"/>
  <c r="P11" i="23" s="1"/>
  <c r="P63" i="23" s="1"/>
  <c r="P30" i="8"/>
  <c r="P30" i="23" s="1"/>
  <c r="P82" i="23" s="1"/>
  <c r="P22" i="8"/>
  <c r="P39" i="8"/>
  <c r="P39" i="23" s="1"/>
  <c r="P91" i="23" s="1"/>
  <c r="P19" i="8"/>
  <c r="P19" i="23" s="1"/>
  <c r="P71" i="23" s="1"/>
  <c r="P51" i="8"/>
  <c r="P51" i="23" s="1"/>
  <c r="P103" i="23" s="1"/>
  <c r="P37" i="8"/>
  <c r="P37" i="23" s="1"/>
  <c r="P89" i="23" s="1"/>
  <c r="P48" i="8"/>
  <c r="P48" i="23" s="1"/>
  <c r="P100" i="23" s="1"/>
  <c r="P41" i="8"/>
  <c r="P41" i="23" s="1"/>
  <c r="P93" i="23" s="1"/>
  <c r="P9" i="8"/>
  <c r="P9" i="23" s="1"/>
  <c r="P61" i="23" s="1"/>
  <c r="P33" i="8"/>
  <c r="P33" i="23" s="1"/>
  <c r="P85" i="23" s="1"/>
  <c r="P49" i="8"/>
  <c r="P49" i="23" s="1"/>
  <c r="P101" i="23" s="1"/>
  <c r="P5" i="8"/>
  <c r="P31" i="8"/>
  <c r="P31" i="23" s="1"/>
  <c r="P83" i="23" s="1"/>
  <c r="P38" i="8"/>
  <c r="P38" i="23" s="1"/>
  <c r="P90" i="23" s="1"/>
  <c r="P45" i="8"/>
  <c r="P45" i="23" s="1"/>
  <c r="P97" i="23" s="1"/>
  <c r="P43" i="8"/>
  <c r="P43" i="23" s="1"/>
  <c r="P95" i="23" s="1"/>
  <c r="P23" i="8"/>
  <c r="P13" i="8"/>
  <c r="P13" i="23" s="1"/>
  <c r="P65" i="23" s="1"/>
  <c r="P18" i="8"/>
  <c r="P18" i="23" s="1"/>
  <c r="P70" i="23" s="1"/>
  <c r="X31" i="8"/>
  <c r="W31" i="23" s="1"/>
  <c r="W83" i="23" s="1"/>
  <c r="X36" i="8"/>
  <c r="W36" i="23" s="1"/>
  <c r="W88" i="23" s="1"/>
  <c r="X24" i="8"/>
  <c r="W24" i="23" s="1"/>
  <c r="W76" i="23" s="1"/>
  <c r="X20" i="8"/>
  <c r="W20" i="23" s="1"/>
  <c r="W72" i="23" s="1"/>
  <c r="X32" i="8"/>
  <c r="W32" i="23" s="1"/>
  <c r="W84" i="23" s="1"/>
  <c r="X18" i="8"/>
  <c r="W18" i="23" s="1"/>
  <c r="W70" i="23" s="1"/>
  <c r="X40" i="8"/>
  <c r="W40" i="23" s="1"/>
  <c r="W92" i="23" s="1"/>
  <c r="X16" i="8"/>
  <c r="W16" i="23" s="1"/>
  <c r="W68" i="23" s="1"/>
  <c r="X10" i="8"/>
  <c r="W10" i="23" s="1"/>
  <c r="W62" i="23" s="1"/>
  <c r="X41" i="8"/>
  <c r="W41" i="23" s="1"/>
  <c r="W93" i="23" s="1"/>
  <c r="X51" i="8"/>
  <c r="W51" i="23" s="1"/>
  <c r="W103" i="23" s="1"/>
  <c r="X14" i="8"/>
  <c r="W14" i="23" s="1"/>
  <c r="W66" i="23" s="1"/>
  <c r="X39" i="8"/>
  <c r="W39" i="23" s="1"/>
  <c r="W91" i="23" s="1"/>
  <c r="X15" i="8"/>
  <c r="W15" i="23" s="1"/>
  <c r="W67" i="23" s="1"/>
  <c r="X33" i="8"/>
  <c r="W33" i="23" s="1"/>
  <c r="W85" i="23" s="1"/>
  <c r="X11" i="8"/>
  <c r="W11" i="23" s="1"/>
  <c r="W63" i="23" s="1"/>
  <c r="X50" i="8"/>
  <c r="W50" i="23" s="1"/>
  <c r="W102" i="23" s="1"/>
  <c r="X8" i="8"/>
  <c r="W8" i="23" s="1"/>
  <c r="W60" i="23" s="1"/>
  <c r="X6" i="8"/>
  <c r="W6" i="23" s="1"/>
  <c r="W58" i="23" s="1"/>
  <c r="X22" i="8"/>
  <c r="W22" i="23" s="1"/>
  <c r="W74" i="23" s="1"/>
  <c r="X45" i="8"/>
  <c r="W45" i="23" s="1"/>
  <c r="W97" i="23" s="1"/>
  <c r="X17" i="8"/>
  <c r="W17" i="23" s="1"/>
  <c r="W69" i="23" s="1"/>
  <c r="X23" i="8"/>
  <c r="W23" i="23" s="1"/>
  <c r="W75" i="23" s="1"/>
  <c r="X19" i="8"/>
  <c r="W19" i="23" s="1"/>
  <c r="W71" i="23" s="1"/>
  <c r="X42" i="8"/>
  <c r="W42" i="23" s="1"/>
  <c r="W94" i="23" s="1"/>
  <c r="X47" i="8"/>
  <c r="W47" i="23" s="1"/>
  <c r="W99" i="23" s="1"/>
  <c r="X44" i="8"/>
  <c r="W44" i="23" s="1"/>
  <c r="W96" i="23" s="1"/>
  <c r="X28" i="8"/>
  <c r="W28" i="23" s="1"/>
  <c r="W80" i="23" s="1"/>
  <c r="X43" i="8"/>
  <c r="W43" i="23" s="1"/>
  <c r="W95" i="23" s="1"/>
  <c r="X34" i="8"/>
  <c r="W34" i="23" s="1"/>
  <c r="W86" i="23" s="1"/>
  <c r="X48" i="8"/>
  <c r="W48" i="23" s="1"/>
  <c r="W100" i="23" s="1"/>
  <c r="X38" i="8"/>
  <c r="W38" i="23" s="1"/>
  <c r="W90" i="23" s="1"/>
  <c r="X13" i="8"/>
  <c r="W13" i="23" s="1"/>
  <c r="W65" i="23" s="1"/>
  <c r="X29" i="8"/>
  <c r="W29" i="23" s="1"/>
  <c r="W81" i="23" s="1"/>
  <c r="X27" i="8"/>
  <c r="W27" i="23" s="1"/>
  <c r="W79" i="23" s="1"/>
  <c r="X7" i="8"/>
  <c r="W7" i="23" s="1"/>
  <c r="W59" i="23" s="1"/>
  <c r="X5" i="8"/>
  <c r="X46" i="8"/>
  <c r="W46" i="23" s="1"/>
  <c r="W98" i="23" s="1"/>
  <c r="X26" i="8"/>
  <c r="W26" i="23" s="1"/>
  <c r="W78" i="23" s="1"/>
  <c r="X35" i="8"/>
  <c r="W35" i="23" s="1"/>
  <c r="W87" i="23" s="1"/>
  <c r="X21" i="8"/>
  <c r="W21" i="23" s="1"/>
  <c r="W73" i="23" s="1"/>
  <c r="O50" i="8"/>
  <c r="O50" i="23" s="1"/>
  <c r="O102" i="23" s="1"/>
  <c r="P20" i="8"/>
  <c r="P20" i="23" s="1"/>
  <c r="P72" i="23" s="1"/>
  <c r="P14" i="8"/>
  <c r="P14" i="23" s="1"/>
  <c r="P66" i="23" s="1"/>
  <c r="P25" i="8"/>
  <c r="P25" i="23" s="1"/>
  <c r="P77" i="23" s="1"/>
  <c r="L8" i="8"/>
  <c r="L8" i="23" s="1"/>
  <c r="L60" i="23" s="1"/>
  <c r="L51" i="8"/>
  <c r="L51" i="23" s="1"/>
  <c r="L103" i="23" s="1"/>
  <c r="L40" i="8"/>
  <c r="L40" i="23" s="1"/>
  <c r="L92" i="23" s="1"/>
  <c r="L27" i="8"/>
  <c r="L27" i="23" s="1"/>
  <c r="L79" i="23" s="1"/>
  <c r="L41" i="8"/>
  <c r="L41" i="23" s="1"/>
  <c r="L93" i="23" s="1"/>
  <c r="L16" i="8"/>
  <c r="L16" i="23" s="1"/>
  <c r="L68" i="23" s="1"/>
  <c r="L11" i="8"/>
  <c r="L11" i="23" s="1"/>
  <c r="L63" i="23" s="1"/>
  <c r="L35" i="8"/>
  <c r="L35" i="23" s="1"/>
  <c r="L87" i="23" s="1"/>
  <c r="L46" i="8"/>
  <c r="L46" i="23" s="1"/>
  <c r="L98" i="23" s="1"/>
  <c r="L29" i="8"/>
  <c r="L29" i="23" s="1"/>
  <c r="L81" i="23" s="1"/>
  <c r="L30" i="8"/>
  <c r="L30" i="23" s="1"/>
  <c r="L82" i="23" s="1"/>
  <c r="L44" i="8"/>
  <c r="L44" i="23" s="1"/>
  <c r="L96" i="23" s="1"/>
  <c r="L7" i="8"/>
  <c r="L7" i="23" s="1"/>
  <c r="L59" i="23" s="1"/>
  <c r="L36" i="8"/>
  <c r="L36" i="23" s="1"/>
  <c r="L88" i="23" s="1"/>
  <c r="L19" i="8"/>
  <c r="L19" i="23" s="1"/>
  <c r="L71" i="23" s="1"/>
  <c r="L14" i="8"/>
  <c r="L14" i="23" s="1"/>
  <c r="L66" i="23" s="1"/>
  <c r="L34" i="8"/>
  <c r="L34" i="23" s="1"/>
  <c r="L86" i="23" s="1"/>
  <c r="L28" i="8"/>
  <c r="L28" i="23" s="1"/>
  <c r="L80" i="23" s="1"/>
  <c r="L39" i="8"/>
  <c r="L39" i="23" s="1"/>
  <c r="L91" i="23" s="1"/>
  <c r="L33" i="8"/>
  <c r="L33" i="23" s="1"/>
  <c r="L85" i="23" s="1"/>
  <c r="L20" i="8"/>
  <c r="L20" i="23" s="1"/>
  <c r="L72" i="23" s="1"/>
  <c r="L48" i="8"/>
  <c r="L48" i="23" s="1"/>
  <c r="L100" i="23" s="1"/>
  <c r="L38" i="8"/>
  <c r="L38" i="23" s="1"/>
  <c r="L90" i="23" s="1"/>
  <c r="L45" i="8"/>
  <c r="L45" i="23" s="1"/>
  <c r="L97" i="23" s="1"/>
  <c r="L9" i="8"/>
  <c r="L9" i="23" s="1"/>
  <c r="L61" i="23" s="1"/>
  <c r="L6" i="8"/>
  <c r="L32" i="8"/>
  <c r="L32" i="23" s="1"/>
  <c r="L84" i="23" s="1"/>
  <c r="L25" i="8"/>
  <c r="L25" i="23" s="1"/>
  <c r="L77" i="23" s="1"/>
  <c r="L12" i="8"/>
  <c r="L12" i="23" s="1"/>
  <c r="L64" i="23" s="1"/>
  <c r="L26" i="8"/>
  <c r="L26" i="23" s="1"/>
  <c r="L78" i="23" s="1"/>
  <c r="AI53" i="8"/>
  <c r="U48" i="8"/>
  <c r="T48" i="23" s="1"/>
  <c r="T100" i="23" s="1"/>
  <c r="U16" i="8"/>
  <c r="T16" i="23" s="1"/>
  <c r="T68" i="23" s="1"/>
  <c r="U44" i="8"/>
  <c r="T44" i="23" s="1"/>
  <c r="T96" i="23" s="1"/>
  <c r="U41" i="8"/>
  <c r="T41" i="23" s="1"/>
  <c r="T93" i="23" s="1"/>
  <c r="U32" i="8"/>
  <c r="T32" i="23" s="1"/>
  <c r="T84" i="23" s="1"/>
  <c r="U47" i="8"/>
  <c r="T47" i="23" s="1"/>
  <c r="T99" i="23" s="1"/>
  <c r="U24" i="8"/>
  <c r="T24" i="23" s="1"/>
  <c r="T76" i="23" s="1"/>
  <c r="U49" i="8"/>
  <c r="T49" i="23" s="1"/>
  <c r="T101" i="23" s="1"/>
  <c r="U25" i="8"/>
  <c r="T25" i="23" s="1"/>
  <c r="T77" i="23" s="1"/>
  <c r="U7" i="8"/>
  <c r="T7" i="23" s="1"/>
  <c r="T59" i="23" s="1"/>
  <c r="U14" i="8"/>
  <c r="T14" i="23" s="1"/>
  <c r="T66" i="23" s="1"/>
  <c r="U23" i="8"/>
  <c r="T23" i="23" s="1"/>
  <c r="T75" i="23" s="1"/>
  <c r="U33" i="8"/>
  <c r="T33" i="23" s="1"/>
  <c r="T85" i="23" s="1"/>
  <c r="U9" i="8"/>
  <c r="T9" i="23" s="1"/>
  <c r="T61" i="23" s="1"/>
  <c r="U27" i="8"/>
  <c r="T27" i="23" s="1"/>
  <c r="T79" i="23" s="1"/>
  <c r="U42" i="8"/>
  <c r="T42" i="23" s="1"/>
  <c r="T94" i="23" s="1"/>
  <c r="U17" i="8"/>
  <c r="T17" i="23" s="1"/>
  <c r="T69" i="23" s="1"/>
  <c r="U45" i="8"/>
  <c r="T45" i="23" s="1"/>
  <c r="T97" i="23" s="1"/>
  <c r="U37" i="8"/>
  <c r="T37" i="23" s="1"/>
  <c r="T89" i="23" s="1"/>
  <c r="U10" i="8"/>
  <c r="T10" i="23" s="1"/>
  <c r="T62" i="23" s="1"/>
  <c r="U28" i="8"/>
  <c r="T28" i="23" s="1"/>
  <c r="T80" i="23" s="1"/>
  <c r="U43" i="8"/>
  <c r="T43" i="23" s="1"/>
  <c r="T95" i="23" s="1"/>
  <c r="U19" i="8"/>
  <c r="T19" i="23" s="1"/>
  <c r="T71" i="23" s="1"/>
  <c r="U38" i="8"/>
  <c r="T38" i="23" s="1"/>
  <c r="T90" i="23" s="1"/>
  <c r="U35" i="8"/>
  <c r="T35" i="23" s="1"/>
  <c r="T87" i="23" s="1"/>
  <c r="U8" i="8"/>
  <c r="T8" i="23" s="1"/>
  <c r="T60" i="23" s="1"/>
  <c r="U15" i="8"/>
  <c r="T15" i="23" s="1"/>
  <c r="T67" i="23" s="1"/>
  <c r="U11" i="8"/>
  <c r="T11" i="23" s="1"/>
  <c r="T63" i="23" s="1"/>
  <c r="U26" i="8"/>
  <c r="T26" i="23" s="1"/>
  <c r="T78" i="23" s="1"/>
  <c r="U5" i="8"/>
  <c r="U6" i="8"/>
  <c r="T6" i="23" s="1"/>
  <c r="T58" i="23" s="1"/>
  <c r="U30" i="8"/>
  <c r="T30" i="23" s="1"/>
  <c r="T82" i="23" s="1"/>
  <c r="U51" i="8"/>
  <c r="T51" i="23" s="1"/>
  <c r="T103" i="23" s="1"/>
  <c r="U21" i="8"/>
  <c r="T21" i="23" s="1"/>
  <c r="T73" i="23" s="1"/>
  <c r="U46" i="8"/>
  <c r="T46" i="23" s="1"/>
  <c r="T98" i="23" s="1"/>
  <c r="U13" i="8"/>
  <c r="T13" i="23" s="1"/>
  <c r="T65" i="23" s="1"/>
  <c r="U12" i="8"/>
  <c r="T12" i="23" s="1"/>
  <c r="T64" i="23" s="1"/>
  <c r="U34" i="8"/>
  <c r="T34" i="23" s="1"/>
  <c r="T86" i="23" s="1"/>
  <c r="U22" i="8"/>
  <c r="T22" i="23" s="1"/>
  <c r="T74" i="23" s="1"/>
  <c r="U29" i="8"/>
  <c r="T29" i="23" s="1"/>
  <c r="T81" i="23" s="1"/>
  <c r="U20" i="8"/>
  <c r="T20" i="23" s="1"/>
  <c r="T72" i="23" s="1"/>
  <c r="U18" i="8"/>
  <c r="T18" i="23" s="1"/>
  <c r="T70" i="23" s="1"/>
  <c r="P28" i="8"/>
  <c r="X9" i="8"/>
  <c r="W9" i="23" s="1"/>
  <c r="W61" i="23" s="1"/>
  <c r="M29" i="9"/>
  <c r="V17" i="23"/>
  <c r="V69" i="23" s="1"/>
  <c r="P17" i="8"/>
  <c r="P17" i="23" s="1"/>
  <c r="P69" i="23" s="1"/>
  <c r="Q45" i="23"/>
  <c r="Q97" i="23" s="1"/>
  <c r="AD53" i="7"/>
  <c r="P27" i="8"/>
  <c r="L15" i="8"/>
  <c r="L15" i="23" s="1"/>
  <c r="L67" i="23" s="1"/>
  <c r="W38" i="8"/>
  <c r="V38" i="23" s="1"/>
  <c r="V90" i="23" s="1"/>
  <c r="L21" i="8"/>
  <c r="L21" i="23" s="1"/>
  <c r="L73" i="23" s="1"/>
  <c r="W28" i="8"/>
  <c r="V28" i="23" s="1"/>
  <c r="V80" i="23" s="1"/>
  <c r="W47" i="8"/>
  <c r="V47" i="23" s="1"/>
  <c r="V99" i="23" s="1"/>
  <c r="L53" i="9"/>
  <c r="L38" i="24"/>
  <c r="L80" i="24" s="1"/>
  <c r="U11" i="25"/>
  <c r="I11" i="26"/>
  <c r="M24" i="8"/>
  <c r="M24" i="23" s="1"/>
  <c r="M76" i="23" s="1"/>
  <c r="V23" i="23"/>
  <c r="V75" i="23" s="1"/>
  <c r="L43" i="23"/>
  <c r="L95" i="23" s="1"/>
  <c r="U36" i="8"/>
  <c r="T36" i="23" s="1"/>
  <c r="T88" i="23" s="1"/>
  <c r="X12" i="8"/>
  <c r="W12" i="23" s="1"/>
  <c r="W64" i="23" s="1"/>
  <c r="W8" i="8"/>
  <c r="V8" i="23" s="1"/>
  <c r="V60" i="23" s="1"/>
  <c r="L37" i="8"/>
  <c r="L37" i="23" s="1"/>
  <c r="L89" i="23" s="1"/>
  <c r="U50" i="8"/>
  <c r="T50" i="23" s="1"/>
  <c r="T102" i="23" s="1"/>
  <c r="W53" i="9"/>
  <c r="AD5" i="9"/>
  <c r="AD53" i="9" s="1"/>
  <c r="AC53" i="9"/>
  <c r="W34" i="8"/>
  <c r="V34" i="23" s="1"/>
  <c r="V86" i="23" s="1"/>
  <c r="AH39" i="8"/>
  <c r="AD39" i="23" s="1"/>
  <c r="AD91" i="23" s="1"/>
  <c r="AH27" i="8"/>
  <c r="AD27" i="23" s="1"/>
  <c r="AD79" i="23" s="1"/>
  <c r="AH41" i="8"/>
  <c r="AD41" i="23" s="1"/>
  <c r="AD93" i="23" s="1"/>
  <c r="AH42" i="8"/>
  <c r="AD42" i="23" s="1"/>
  <c r="AD94" i="23" s="1"/>
  <c r="AH22" i="8"/>
  <c r="AD22" i="23" s="1"/>
  <c r="AD74" i="23" s="1"/>
  <c r="AH26" i="8"/>
  <c r="AD26" i="23" s="1"/>
  <c r="AD78" i="23" s="1"/>
  <c r="AH30" i="8"/>
  <c r="AD30" i="23" s="1"/>
  <c r="AD82" i="23" s="1"/>
  <c r="AH47" i="8"/>
  <c r="AD47" i="23" s="1"/>
  <c r="AD99" i="23" s="1"/>
  <c r="AH13" i="8"/>
  <c r="AD13" i="23" s="1"/>
  <c r="AD65" i="23" s="1"/>
  <c r="AH34" i="8"/>
  <c r="AD34" i="23" s="1"/>
  <c r="AD86" i="23" s="1"/>
  <c r="AH17" i="8"/>
  <c r="AD17" i="23" s="1"/>
  <c r="AD69" i="23" s="1"/>
  <c r="AH35" i="8"/>
  <c r="AD35" i="23" s="1"/>
  <c r="AD87" i="23" s="1"/>
  <c r="AH18" i="8"/>
  <c r="AD18" i="23" s="1"/>
  <c r="AD70" i="23" s="1"/>
  <c r="AH5" i="8"/>
  <c r="AH28" i="8"/>
  <c r="AD28" i="23" s="1"/>
  <c r="AD80" i="23" s="1"/>
  <c r="AH51" i="8"/>
  <c r="AD51" i="23" s="1"/>
  <c r="AD103" i="23" s="1"/>
  <c r="AH21" i="8"/>
  <c r="AD21" i="23" s="1"/>
  <c r="AD73" i="23" s="1"/>
  <c r="AH8" i="8"/>
  <c r="AD8" i="23" s="1"/>
  <c r="AD60" i="23" s="1"/>
  <c r="AH36" i="8"/>
  <c r="AD36" i="23" s="1"/>
  <c r="AD88" i="23" s="1"/>
  <c r="AH9" i="8"/>
  <c r="AD9" i="23" s="1"/>
  <c r="AD61" i="23" s="1"/>
  <c r="AH37" i="8"/>
  <c r="AD37" i="23" s="1"/>
  <c r="AD89" i="23" s="1"/>
  <c r="AH43" i="8"/>
  <c r="AD43" i="23" s="1"/>
  <c r="AD95" i="23" s="1"/>
  <c r="AH44" i="8"/>
  <c r="AD44" i="23" s="1"/>
  <c r="AD96" i="23" s="1"/>
  <c r="AH7" i="8"/>
  <c r="AD7" i="23" s="1"/>
  <c r="AD59" i="23" s="1"/>
  <c r="AH31" i="8"/>
  <c r="AD31" i="23" s="1"/>
  <c r="AD83" i="23" s="1"/>
  <c r="AH15" i="8"/>
  <c r="AD15" i="23" s="1"/>
  <c r="AD67" i="23" s="1"/>
  <c r="AH49" i="8"/>
  <c r="AD49" i="23" s="1"/>
  <c r="AD101" i="23" s="1"/>
  <c r="AH24" i="8"/>
  <c r="AD24" i="23" s="1"/>
  <c r="AD76" i="23" s="1"/>
  <c r="AH33" i="8"/>
  <c r="AD33" i="23" s="1"/>
  <c r="AD85" i="23" s="1"/>
  <c r="AH14" i="8"/>
  <c r="AD14" i="23" s="1"/>
  <c r="AD66" i="23" s="1"/>
  <c r="AH16" i="8"/>
  <c r="AD16" i="23" s="1"/>
  <c r="AD68" i="23" s="1"/>
  <c r="AH19" i="8"/>
  <c r="AD19" i="23" s="1"/>
  <c r="AD71" i="23" s="1"/>
  <c r="AH12" i="8"/>
  <c r="AD12" i="23" s="1"/>
  <c r="AD64" i="23" s="1"/>
  <c r="AH23" i="8"/>
  <c r="AD23" i="23" s="1"/>
  <c r="AD75" i="23" s="1"/>
  <c r="AH46" i="8"/>
  <c r="AD46" i="23" s="1"/>
  <c r="AD98" i="23" s="1"/>
  <c r="AH50" i="8"/>
  <c r="AD50" i="23" s="1"/>
  <c r="AD102" i="23" s="1"/>
  <c r="AH38" i="8"/>
  <c r="AD38" i="23" s="1"/>
  <c r="AD90" i="23" s="1"/>
  <c r="U39" i="8"/>
  <c r="T39" i="23" s="1"/>
  <c r="T91" i="23" s="1"/>
  <c r="U7" i="25"/>
  <c r="U13" i="25" s="1"/>
  <c r="V32" i="23"/>
  <c r="V84" i="23" s="1"/>
  <c r="V16" i="23"/>
  <c r="V68" i="23" s="1"/>
  <c r="W44" i="8"/>
  <c r="V44" i="23" s="1"/>
  <c r="V96" i="23" s="1"/>
  <c r="W5" i="8"/>
  <c r="W40" i="8"/>
  <c r="V40" i="23" s="1"/>
  <c r="V92" i="23" s="1"/>
  <c r="W33" i="8"/>
  <c r="V33" i="23" s="1"/>
  <c r="V85" i="23" s="1"/>
  <c r="W25" i="8"/>
  <c r="V25" i="23" s="1"/>
  <c r="V77" i="23" s="1"/>
  <c r="W21" i="8"/>
  <c r="V21" i="23" s="1"/>
  <c r="V73" i="23" s="1"/>
  <c r="W49" i="8"/>
  <c r="V49" i="23" s="1"/>
  <c r="V101" i="23" s="1"/>
  <c r="W18" i="8"/>
  <c r="V18" i="23" s="1"/>
  <c r="V70" i="23" s="1"/>
  <c r="W6" i="8"/>
  <c r="V6" i="23" s="1"/>
  <c r="V58" i="23" s="1"/>
  <c r="W39" i="8"/>
  <c r="V39" i="23" s="1"/>
  <c r="V91" i="23" s="1"/>
  <c r="W15" i="8"/>
  <c r="V15" i="23" s="1"/>
  <c r="V67" i="23" s="1"/>
  <c r="AC11" i="8"/>
  <c r="AC8" i="8"/>
  <c r="AC30" i="8"/>
  <c r="AC23" i="8"/>
  <c r="AC15" i="8"/>
  <c r="AC6" i="8"/>
  <c r="AC12" i="8"/>
  <c r="AC50" i="8"/>
  <c r="AC45" i="8"/>
  <c r="AC39" i="8"/>
  <c r="AC48" i="8"/>
  <c r="AC29" i="8"/>
  <c r="AC40" i="8"/>
  <c r="AC17" i="8"/>
  <c r="AC34" i="8"/>
  <c r="AC36" i="8"/>
  <c r="AC43" i="8"/>
  <c r="AC38" i="8"/>
  <c r="AC35" i="8"/>
  <c r="AC49" i="8"/>
  <c r="AC28" i="8"/>
  <c r="AC26" i="8"/>
  <c r="AC27" i="8"/>
  <c r="AC20" i="8"/>
  <c r="AC42" i="8"/>
  <c r="AC31" i="8"/>
  <c r="AC18" i="8"/>
  <c r="AC37" i="8"/>
  <c r="AC41" i="8"/>
  <c r="AC46" i="8"/>
  <c r="AC19" i="8"/>
  <c r="AC33" i="8"/>
  <c r="AC51" i="8"/>
  <c r="AC25" i="8"/>
  <c r="AC21" i="8"/>
  <c r="AC47" i="8"/>
  <c r="AC7" i="8"/>
  <c r="AC32" i="8"/>
  <c r="AC5" i="8"/>
  <c r="AC44" i="8"/>
  <c r="AC22" i="8"/>
  <c r="AC14" i="8"/>
  <c r="AC24" i="8"/>
  <c r="P42" i="8"/>
  <c r="P42" i="23" s="1"/>
  <c r="P94" i="23" s="1"/>
  <c r="W48" i="8"/>
  <c r="V48" i="23" s="1"/>
  <c r="V100" i="23" s="1"/>
  <c r="X25" i="8"/>
  <c r="W25" i="23" s="1"/>
  <c r="W77" i="23" s="1"/>
  <c r="Q36" i="8"/>
  <c r="Q36" i="23" s="1"/>
  <c r="Q88" i="23" s="1"/>
  <c r="W31" i="8"/>
  <c r="V31" i="23" s="1"/>
  <c r="V83" i="23" s="1"/>
  <c r="AH53" i="9"/>
  <c r="L50" i="8"/>
  <c r="L50" i="23" s="1"/>
  <c r="L102" i="23" s="1"/>
  <c r="X37" i="8"/>
  <c r="W37" i="23" s="1"/>
  <c r="W89" i="23" s="1"/>
  <c r="W50" i="8"/>
  <c r="V50" i="23" s="1"/>
  <c r="V102" i="23" s="1"/>
  <c r="P47" i="8"/>
  <c r="P47" i="23" s="1"/>
  <c r="P99" i="23" s="1"/>
  <c r="M47" i="8"/>
  <c r="M47" i="23" s="1"/>
  <c r="M99" i="23" s="1"/>
  <c r="M49" i="8"/>
  <c r="M49" i="23" s="1"/>
  <c r="M101" i="23" s="1"/>
  <c r="R58" i="7"/>
  <c r="S58" i="7"/>
  <c r="V24" i="23"/>
  <c r="V76" i="23" s="1"/>
  <c r="AD32" i="23"/>
  <c r="AD84" i="23" s="1"/>
  <c r="M5" i="9"/>
  <c r="M53" i="7"/>
  <c r="M58" i="7" s="1"/>
  <c r="M25" i="8" s="1"/>
  <c r="M25" i="23" s="1"/>
  <c r="M77" i="23" s="1"/>
  <c r="V25" i="7"/>
  <c r="V11" i="7"/>
  <c r="V39" i="7"/>
  <c r="V23" i="7"/>
  <c r="V34" i="7"/>
  <c r="V36" i="7"/>
  <c r="V18" i="7"/>
  <c r="V5" i="7"/>
  <c r="V7" i="7"/>
  <c r="V37" i="7"/>
  <c r="V43" i="7"/>
  <c r="V38" i="7"/>
  <c r="V27" i="7"/>
  <c r="V14" i="7"/>
  <c r="V20" i="7"/>
  <c r="V48" i="7"/>
  <c r="V33" i="7"/>
  <c r="V28" i="7"/>
  <c r="V44" i="7"/>
  <c r="V15" i="7"/>
  <c r="V10" i="7"/>
  <c r="V16" i="7"/>
  <c r="V40" i="7"/>
  <c r="V47" i="7"/>
  <c r="V30" i="7"/>
  <c r="V42" i="7"/>
  <c r="V26" i="7"/>
  <c r="V6" i="7"/>
  <c r="V12" i="7"/>
  <c r="V49" i="7"/>
  <c r="V45" i="7"/>
  <c r="V21" i="7"/>
  <c r="V35" i="7"/>
  <c r="V46" i="7"/>
  <c r="V17" i="7"/>
  <c r="V8" i="7"/>
  <c r="V29" i="7"/>
  <c r="V22" i="7"/>
  <c r="V32" i="7"/>
  <c r="V50" i="7"/>
  <c r="V13" i="7"/>
  <c r="V19" i="7"/>
  <c r="V24" i="7"/>
  <c r="V41" i="7"/>
  <c r="V51" i="7"/>
  <c r="V31" i="7"/>
  <c r="V9" i="7"/>
  <c r="V10" i="23"/>
  <c r="V62" i="23" s="1"/>
  <c r="P9" i="25"/>
  <c r="P15" i="25" s="1"/>
  <c r="P11" i="25"/>
  <c r="P7" i="25"/>
  <c r="P13" i="25" s="1"/>
  <c r="L49" i="8"/>
  <c r="L49" i="23" s="1"/>
  <c r="L101" i="23" s="1"/>
  <c r="P50" i="8"/>
  <c r="P50" i="23" s="1"/>
  <c r="P102" i="23" s="1"/>
  <c r="U31" i="8"/>
  <c r="T31" i="23" s="1"/>
  <c r="T83" i="23" s="1"/>
  <c r="L26" i="24"/>
  <c r="L68" i="24" s="1"/>
  <c r="L37" i="24"/>
  <c r="L79" i="24" s="1"/>
  <c r="F9" i="26"/>
  <c r="F15" i="26" s="1"/>
  <c r="D11" i="26"/>
  <c r="Q6" i="12"/>
  <c r="Q38" i="12"/>
  <c r="E9" i="26"/>
  <c r="E15" i="26" s="1"/>
  <c r="J7" i="26"/>
  <c r="J13" i="26" s="1"/>
  <c r="D7" i="26"/>
  <c r="D13" i="26" s="1"/>
  <c r="E7" i="26"/>
  <c r="E13" i="26" s="1"/>
  <c r="X11" i="13"/>
  <c r="Y11" i="13" s="1"/>
  <c r="AB11" i="13" s="1"/>
  <c r="S11" i="28" s="1"/>
  <c r="L5" i="24"/>
  <c r="L47" i="24" s="1"/>
  <c r="B9" i="26" s="1"/>
  <c r="Q9" i="12"/>
  <c r="Q19" i="12"/>
  <c r="D9" i="26"/>
  <c r="D14" i="26" s="1"/>
  <c r="X20" i="13"/>
  <c r="Y20" i="13" s="1"/>
  <c r="AB20" i="13" s="1"/>
  <c r="S12" i="28" s="1"/>
  <c r="X35" i="13"/>
  <c r="Y35" i="13" s="1"/>
  <c r="AB35" i="13" s="1"/>
  <c r="S27" i="28" s="1"/>
  <c r="Q37" i="12"/>
  <c r="X15" i="13"/>
  <c r="Y15" i="13" s="1"/>
  <c r="AB15" i="13" s="1"/>
  <c r="S8" i="28" s="1"/>
  <c r="F7" i="26"/>
  <c r="F13" i="26" s="1"/>
  <c r="I7" i="26"/>
  <c r="I13" i="26" s="1"/>
  <c r="C14" i="26"/>
  <c r="C15" i="26"/>
  <c r="L15" i="26"/>
  <c r="L14" i="26"/>
  <c r="H14" i="26"/>
  <c r="H15" i="26"/>
  <c r="Q16" i="12"/>
  <c r="L16" i="24"/>
  <c r="L58" i="24" s="1"/>
  <c r="Q41" i="12"/>
  <c r="L41" i="24"/>
  <c r="L83" i="24" s="1"/>
  <c r="H11" i="26"/>
  <c r="Q36" i="12"/>
  <c r="L36" i="24"/>
  <c r="L78" i="24" s="1"/>
  <c r="Q7" i="12"/>
  <c r="L7" i="24"/>
  <c r="L49" i="24" s="1"/>
  <c r="Q25" i="12"/>
  <c r="L25" i="24"/>
  <c r="L67" i="24" s="1"/>
  <c r="Q8" i="12"/>
  <c r="L8" i="24"/>
  <c r="L50" i="24" s="1"/>
  <c r="Q23" i="12"/>
  <c r="L23" i="24"/>
  <c r="L65" i="24" s="1"/>
  <c r="Q39" i="12"/>
  <c r="L39" i="24"/>
  <c r="L81" i="24" s="1"/>
  <c r="L22" i="24"/>
  <c r="L64" i="24" s="1"/>
  <c r="H7" i="26"/>
  <c r="H13" i="26" s="1"/>
  <c r="Q20" i="12"/>
  <c r="L20" i="24"/>
  <c r="L62" i="24" s="1"/>
  <c r="Q17" i="12"/>
  <c r="L17" i="24"/>
  <c r="L59" i="24" s="1"/>
  <c r="Q28" i="12"/>
  <c r="L28" i="24"/>
  <c r="L70" i="24" s="1"/>
  <c r="Q27" i="12"/>
  <c r="L27" i="24"/>
  <c r="L69" i="24" s="1"/>
  <c r="Q34" i="12"/>
  <c r="L34" i="24"/>
  <c r="L76" i="24" s="1"/>
  <c r="Q33" i="12"/>
  <c r="L33" i="24"/>
  <c r="L75" i="24" s="1"/>
  <c r="Q40" i="12"/>
  <c r="L40" i="24"/>
  <c r="L82" i="24" s="1"/>
  <c r="L29" i="24"/>
  <c r="L71" i="24" s="1"/>
  <c r="J15" i="26"/>
  <c r="J14" i="26"/>
  <c r="Q24" i="12"/>
  <c r="L24" i="24"/>
  <c r="L66" i="24" s="1"/>
  <c r="Q10" i="12"/>
  <c r="L10" i="24"/>
  <c r="L52" i="24" s="1"/>
  <c r="Q18" i="12"/>
  <c r="L18" i="24"/>
  <c r="L60" i="24" s="1"/>
  <c r="Q14" i="12"/>
  <c r="L14" i="24"/>
  <c r="L56" i="24" s="1"/>
  <c r="L13" i="24"/>
  <c r="L55" i="24" s="1"/>
  <c r="Q35" i="12"/>
  <c r="L35" i="24"/>
  <c r="L77" i="24" s="1"/>
  <c r="L11" i="26"/>
  <c r="Q11" i="12"/>
  <c r="L11" i="24"/>
  <c r="L53" i="24" s="1"/>
  <c r="Q12" i="12"/>
  <c r="L12" i="24"/>
  <c r="L54" i="24" s="1"/>
  <c r="Q15" i="12"/>
  <c r="L15" i="24"/>
  <c r="L57" i="24" s="1"/>
  <c r="Q31" i="12"/>
  <c r="L31" i="24"/>
  <c r="L73" i="24" s="1"/>
  <c r="L32" i="24"/>
  <c r="L74" i="24" s="1"/>
  <c r="G15" i="26"/>
  <c r="G14" i="26"/>
  <c r="L7" i="26"/>
  <c r="L13" i="26" s="1"/>
  <c r="Q21" i="12"/>
  <c r="L21" i="24"/>
  <c r="L63" i="24" s="1"/>
  <c r="X38" i="13"/>
  <c r="Y38" i="13" s="1"/>
  <c r="AB38" i="13" s="1"/>
  <c r="S31" i="28" s="1"/>
  <c r="U15" i="25"/>
  <c r="U14" i="25"/>
  <c r="I15" i="26"/>
  <c r="I14" i="26"/>
  <c r="Y32" i="13"/>
  <c r="AB32" i="13" s="1"/>
  <c r="Y16" i="13"/>
  <c r="AB16" i="13" s="1"/>
  <c r="S10" i="28" s="1"/>
  <c r="Y26" i="13"/>
  <c r="AB26" i="13" s="1"/>
  <c r="S19" i="28" s="1"/>
  <c r="Y12" i="13"/>
  <c r="AB12" i="13" s="1"/>
  <c r="Y9" i="13"/>
  <c r="AB9" i="13" s="1"/>
  <c r="S7" i="28" s="1"/>
  <c r="Y22" i="13"/>
  <c r="AB22" i="13" s="1"/>
  <c r="S14" i="28" s="1"/>
  <c r="Y41" i="13"/>
  <c r="AB41" i="13" s="1"/>
  <c r="S33" i="28" s="1"/>
  <c r="Y6" i="13"/>
  <c r="AB6" i="13" s="1"/>
  <c r="Y40" i="13"/>
  <c r="AB40" i="13" s="1"/>
  <c r="S32" i="28" s="1"/>
  <c r="Y36" i="13"/>
  <c r="AB36" i="13" s="1"/>
  <c r="S28" i="28" s="1"/>
  <c r="Y33" i="13"/>
  <c r="AB33" i="13" s="1"/>
  <c r="E43" i="5"/>
  <c r="X45" i="13"/>
  <c r="X45" i="12"/>
  <c r="X45" i="11"/>
  <c r="X48" i="11" s="1"/>
  <c r="X28" i="12" s="1"/>
  <c r="Y28" i="12" s="1"/>
  <c r="AB28" i="12" s="1"/>
  <c r="X45" i="10"/>
  <c r="X30" i="13"/>
  <c r="X31" i="13"/>
  <c r="X24" i="13"/>
  <c r="X28" i="13"/>
  <c r="X7" i="13"/>
  <c r="AB46" i="12"/>
  <c r="AB46" i="13"/>
  <c r="AB46" i="11"/>
  <c r="AB46" i="10"/>
  <c r="X10" i="13"/>
  <c r="Q5" i="12"/>
  <c r="L43" i="12"/>
  <c r="X34" i="13"/>
  <c r="X19" i="13"/>
  <c r="X5" i="13"/>
  <c r="AE55" i="9"/>
  <c r="AE55" i="8"/>
  <c r="AO54" i="8" s="1"/>
  <c r="AE55" i="7"/>
  <c r="W43" i="12"/>
  <c r="X18" i="13"/>
  <c r="L43" i="13"/>
  <c r="Q5" i="13"/>
  <c r="X39" i="13"/>
  <c r="X25" i="13"/>
  <c r="X37" i="13"/>
  <c r="AB43" i="11"/>
  <c r="X8" i="13"/>
  <c r="X14" i="12"/>
  <c r="Y14" i="12" s="1"/>
  <c r="AB14" i="12" s="1"/>
  <c r="X14" i="13"/>
  <c r="X13" i="13"/>
  <c r="X17" i="13"/>
  <c r="X27" i="13"/>
  <c r="X21" i="13"/>
  <c r="X23" i="12"/>
  <c r="Y23" i="12" s="1"/>
  <c r="AB23" i="12" s="1"/>
  <c r="X23" i="13"/>
  <c r="W43" i="13"/>
  <c r="X29" i="12"/>
  <c r="Y29" i="12" s="1"/>
  <c r="AB29" i="12" s="1"/>
  <c r="X29" i="13"/>
  <c r="E23" i="5"/>
  <c r="E29" i="5" s="1"/>
  <c r="AE57" i="6"/>
  <c r="F14" i="26" l="1"/>
  <c r="S15" i="28"/>
  <c r="S25" i="28"/>
  <c r="S20" i="28"/>
  <c r="G11" i="28"/>
  <c r="G6" i="28"/>
  <c r="X24" i="12"/>
  <c r="Y24" i="12" s="1"/>
  <c r="AB24" i="12" s="1"/>
  <c r="V31" i="9"/>
  <c r="AB31" i="9" s="1"/>
  <c r="AB31" i="7"/>
  <c r="V49" i="9"/>
  <c r="AB49" i="9" s="1"/>
  <c r="AB49" i="7"/>
  <c r="V14" i="9"/>
  <c r="AB14" i="9" s="1"/>
  <c r="AB14" i="7"/>
  <c r="AD24" i="8"/>
  <c r="AA24" i="23"/>
  <c r="AA76" i="23" s="1"/>
  <c r="AA21" i="23"/>
  <c r="AA73" i="23" s="1"/>
  <c r="AD21" i="8"/>
  <c r="AD35" i="8"/>
  <c r="AA35" i="23"/>
  <c r="AA87" i="23" s="1"/>
  <c r="AA48" i="23"/>
  <c r="AA100" i="23" s="1"/>
  <c r="AD48" i="8"/>
  <c r="AD30" i="8"/>
  <c r="AA30" i="23"/>
  <c r="AA82" i="23" s="1"/>
  <c r="AB22" i="7"/>
  <c r="V22" i="9"/>
  <c r="AB22" i="9" s="1"/>
  <c r="AB16" i="7"/>
  <c r="V16" i="9"/>
  <c r="AB16" i="9" s="1"/>
  <c r="V36" i="9"/>
  <c r="AB36" i="9" s="1"/>
  <c r="AB36" i="7"/>
  <c r="AA18" i="23"/>
  <c r="AA70" i="23" s="1"/>
  <c r="AD18" i="8"/>
  <c r="AB51" i="7"/>
  <c r="V51" i="9"/>
  <c r="AB51" i="9" s="1"/>
  <c r="V29" i="9"/>
  <c r="AB29" i="9" s="1"/>
  <c r="AB29" i="7"/>
  <c r="AB12" i="7"/>
  <c r="V12" i="9"/>
  <c r="AB12" i="9" s="1"/>
  <c r="V10" i="9"/>
  <c r="AB10" i="9" s="1"/>
  <c r="AB10" i="7"/>
  <c r="V27" i="9"/>
  <c r="AB27" i="9" s="1"/>
  <c r="AB27" i="7"/>
  <c r="V34" i="9"/>
  <c r="AB34" i="9" s="1"/>
  <c r="AB34" i="7"/>
  <c r="AA14" i="23"/>
  <c r="AA66" i="23" s="1"/>
  <c r="AD14" i="8"/>
  <c r="AD25" i="8"/>
  <c r="AA25" i="23"/>
  <c r="AA77" i="23" s="1"/>
  <c r="AA31" i="23"/>
  <c r="AA83" i="23" s="1"/>
  <c r="AD31" i="8"/>
  <c r="AD38" i="8"/>
  <c r="AA38" i="23"/>
  <c r="AA90" i="23" s="1"/>
  <c r="AD39" i="8"/>
  <c r="AA39" i="23"/>
  <c r="AA91" i="23" s="1"/>
  <c r="AA8" i="23"/>
  <c r="AA60" i="23" s="1"/>
  <c r="AD8" i="8"/>
  <c r="AD5" i="23"/>
  <c r="AD57" i="23" s="1"/>
  <c r="AH53" i="8"/>
  <c r="M29" i="8"/>
  <c r="M29" i="23" s="1"/>
  <c r="M81" i="23" s="1"/>
  <c r="T5" i="23"/>
  <c r="T57" i="23" s="1"/>
  <c r="U53" i="8"/>
  <c r="V41" i="9"/>
  <c r="AB41" i="9" s="1"/>
  <c r="AB41" i="7"/>
  <c r="AB8" i="7"/>
  <c r="V8" i="9"/>
  <c r="AB8" i="9" s="1"/>
  <c r="V23" i="9"/>
  <c r="AB23" i="9" s="1"/>
  <c r="AB23" i="7"/>
  <c r="AD22" i="8"/>
  <c r="AA22" i="23"/>
  <c r="AA74" i="23" s="1"/>
  <c r="AD51" i="8"/>
  <c r="AA51" i="23"/>
  <c r="AA103" i="23" s="1"/>
  <c r="AD42" i="8"/>
  <c r="AA42" i="23"/>
  <c r="AA94" i="23" s="1"/>
  <c r="AD43" i="8"/>
  <c r="AA43" i="23"/>
  <c r="AA95" i="23" s="1"/>
  <c r="AD45" i="8"/>
  <c r="AA45" i="23"/>
  <c r="AA97" i="23" s="1"/>
  <c r="AD11" i="8"/>
  <c r="AA11" i="23"/>
  <c r="AA63" i="23" s="1"/>
  <c r="Q5" i="23"/>
  <c r="Q57" i="23" s="1"/>
  <c r="Q53" i="8"/>
  <c r="Y5" i="9"/>
  <c r="Y53" i="9" s="1"/>
  <c r="Y53" i="7"/>
  <c r="Y58" i="7" s="1"/>
  <c r="V6" i="9"/>
  <c r="AB6" i="9" s="1"/>
  <c r="AB6" i="7"/>
  <c r="V24" i="9"/>
  <c r="AB24" i="9" s="1"/>
  <c r="AB24" i="7"/>
  <c r="AB17" i="7"/>
  <c r="V17" i="9"/>
  <c r="AB17" i="9" s="1"/>
  <c r="AB26" i="7"/>
  <c r="V26" i="9"/>
  <c r="AB26" i="9" s="1"/>
  <c r="AB44" i="7"/>
  <c r="V44" i="9"/>
  <c r="AB44" i="9" s="1"/>
  <c r="AB43" i="7"/>
  <c r="V43" i="9"/>
  <c r="AB43" i="9" s="1"/>
  <c r="V39" i="9"/>
  <c r="AB39" i="9" s="1"/>
  <c r="AB39" i="7"/>
  <c r="R44" i="8"/>
  <c r="R44" i="23" s="1"/>
  <c r="R96" i="23" s="1"/>
  <c r="R13" i="8"/>
  <c r="R13" i="23" s="1"/>
  <c r="R65" i="23" s="1"/>
  <c r="R31" i="8"/>
  <c r="R31" i="23" s="1"/>
  <c r="R83" i="23" s="1"/>
  <c r="R50" i="8"/>
  <c r="R50" i="23" s="1"/>
  <c r="R102" i="23" s="1"/>
  <c r="R26" i="8"/>
  <c r="R15" i="8"/>
  <c r="R15" i="23" s="1"/>
  <c r="R67" i="23" s="1"/>
  <c r="R24" i="8"/>
  <c r="R48" i="8"/>
  <c r="R48" i="23" s="1"/>
  <c r="R100" i="23" s="1"/>
  <c r="R30" i="8"/>
  <c r="R30" i="23" s="1"/>
  <c r="R82" i="23" s="1"/>
  <c r="R9" i="8"/>
  <c r="R9" i="23" s="1"/>
  <c r="R61" i="23" s="1"/>
  <c r="R17" i="8"/>
  <c r="R17" i="23" s="1"/>
  <c r="R69" i="23" s="1"/>
  <c r="R42" i="8"/>
  <c r="R42" i="23" s="1"/>
  <c r="R94" i="23" s="1"/>
  <c r="R33" i="8"/>
  <c r="R33" i="23" s="1"/>
  <c r="R85" i="23" s="1"/>
  <c r="R32" i="8"/>
  <c r="R32" i="23" s="1"/>
  <c r="R84" i="23" s="1"/>
  <c r="R40" i="8"/>
  <c r="R40" i="23" s="1"/>
  <c r="R92" i="23" s="1"/>
  <c r="R49" i="8"/>
  <c r="R49" i="23" s="1"/>
  <c r="R101" i="23" s="1"/>
  <c r="R43" i="8"/>
  <c r="R43" i="23" s="1"/>
  <c r="R95" i="23" s="1"/>
  <c r="R25" i="8"/>
  <c r="R25" i="23" s="1"/>
  <c r="R77" i="23" s="1"/>
  <c r="R41" i="8"/>
  <c r="R41" i="23" s="1"/>
  <c r="R93" i="23" s="1"/>
  <c r="R16" i="8"/>
  <c r="R16" i="23" s="1"/>
  <c r="R68" i="23" s="1"/>
  <c r="R6" i="8"/>
  <c r="R6" i="23" s="1"/>
  <c r="R58" i="23" s="1"/>
  <c r="R14" i="8"/>
  <c r="R14" i="23" s="1"/>
  <c r="R66" i="23" s="1"/>
  <c r="R18" i="8"/>
  <c r="R18" i="23" s="1"/>
  <c r="R70" i="23" s="1"/>
  <c r="R45" i="8"/>
  <c r="R45" i="23" s="1"/>
  <c r="R97" i="23" s="1"/>
  <c r="R47" i="8"/>
  <c r="R47" i="23" s="1"/>
  <c r="R99" i="23" s="1"/>
  <c r="R10" i="8"/>
  <c r="R10" i="23" s="1"/>
  <c r="R62" i="23" s="1"/>
  <c r="R35" i="8"/>
  <c r="R35" i="23" s="1"/>
  <c r="R87" i="23" s="1"/>
  <c r="R27" i="8"/>
  <c r="R37" i="8"/>
  <c r="R37" i="23" s="1"/>
  <c r="R89" i="23" s="1"/>
  <c r="R7" i="8"/>
  <c r="R7" i="23" s="1"/>
  <c r="R59" i="23" s="1"/>
  <c r="R5" i="8"/>
  <c r="R38" i="8"/>
  <c r="R38" i="23" s="1"/>
  <c r="R90" i="23" s="1"/>
  <c r="R12" i="8"/>
  <c r="R12" i="23" s="1"/>
  <c r="R64" i="23" s="1"/>
  <c r="R20" i="8"/>
  <c r="R20" i="23" s="1"/>
  <c r="R72" i="23" s="1"/>
  <c r="R51" i="8"/>
  <c r="R51" i="23" s="1"/>
  <c r="R103" i="23" s="1"/>
  <c r="R8" i="8"/>
  <c r="R8" i="23" s="1"/>
  <c r="R60" i="23" s="1"/>
  <c r="R19" i="8"/>
  <c r="R19" i="23" s="1"/>
  <c r="R71" i="23" s="1"/>
  <c r="R11" i="8"/>
  <c r="R11" i="23" s="1"/>
  <c r="R63" i="23" s="1"/>
  <c r="R39" i="8"/>
  <c r="R39" i="23" s="1"/>
  <c r="R91" i="23" s="1"/>
  <c r="R34" i="8"/>
  <c r="R34" i="23" s="1"/>
  <c r="R86" i="23" s="1"/>
  <c r="R36" i="8"/>
  <c r="R36" i="23" s="1"/>
  <c r="R88" i="23" s="1"/>
  <c r="R28" i="8"/>
  <c r="R29" i="8"/>
  <c r="R23" i="8"/>
  <c r="R22" i="8"/>
  <c r="R46" i="8"/>
  <c r="R46" i="23" s="1"/>
  <c r="R98" i="23" s="1"/>
  <c r="R21" i="8"/>
  <c r="AD44" i="8"/>
  <c r="AA44" i="23"/>
  <c r="AA96" i="23" s="1"/>
  <c r="AD33" i="8"/>
  <c r="AA33" i="23"/>
  <c r="AA85" i="23" s="1"/>
  <c r="AD20" i="8"/>
  <c r="AA20" i="23"/>
  <c r="AA72" i="23" s="1"/>
  <c r="AD36" i="8"/>
  <c r="AA36" i="23"/>
  <c r="AA88" i="23" s="1"/>
  <c r="AA50" i="23"/>
  <c r="AA102" i="23" s="1"/>
  <c r="AD50" i="8"/>
  <c r="P5" i="23"/>
  <c r="P57" i="23" s="1"/>
  <c r="P53" i="8"/>
  <c r="S36" i="8"/>
  <c r="S13" i="8"/>
  <c r="S9" i="8"/>
  <c r="S32" i="8"/>
  <c r="S12" i="8"/>
  <c r="S49" i="8"/>
  <c r="S19" i="8"/>
  <c r="S46" i="8"/>
  <c r="S48" i="8"/>
  <c r="S38" i="8"/>
  <c r="S45" i="8"/>
  <c r="S11" i="8"/>
  <c r="S15" i="8"/>
  <c r="S28" i="8"/>
  <c r="S10" i="8"/>
  <c r="S16" i="8"/>
  <c r="S31" i="8"/>
  <c r="S8" i="8"/>
  <c r="S51" i="8"/>
  <c r="S23" i="8"/>
  <c r="S27" i="8"/>
  <c r="S42" i="8"/>
  <c r="S33" i="8"/>
  <c r="S29" i="8"/>
  <c r="S25" i="8"/>
  <c r="S37" i="8"/>
  <c r="S26" i="8"/>
  <c r="S35" i="8"/>
  <c r="S6" i="8"/>
  <c r="S30" i="8"/>
  <c r="S44" i="8"/>
  <c r="S14" i="8"/>
  <c r="S39" i="8"/>
  <c r="S40" i="8"/>
  <c r="S24" i="8"/>
  <c r="S43" i="8"/>
  <c r="S21" i="8"/>
  <c r="S17" i="8"/>
  <c r="S22" i="8"/>
  <c r="S20" i="8"/>
  <c r="S7" i="8"/>
  <c r="S5" i="8"/>
  <c r="S34" i="8"/>
  <c r="S41" i="8"/>
  <c r="S18" i="8"/>
  <c r="S50" i="8"/>
  <c r="S47" i="8"/>
  <c r="X27" i="12"/>
  <c r="Y27" i="12" s="1"/>
  <c r="X8" i="12"/>
  <c r="Y8" i="12" s="1"/>
  <c r="AB8" i="12" s="1"/>
  <c r="X18" i="12"/>
  <c r="Y18" i="12" s="1"/>
  <c r="X10" i="12"/>
  <c r="Y10" i="12" s="1"/>
  <c r="AB10" i="12" s="1"/>
  <c r="V19" i="9"/>
  <c r="AB19" i="9" s="1"/>
  <c r="AB19" i="7"/>
  <c r="V46" i="9"/>
  <c r="AB46" i="9" s="1"/>
  <c r="AB46" i="7"/>
  <c r="AB42" i="7"/>
  <c r="V42" i="9"/>
  <c r="AB42" i="9" s="1"/>
  <c r="V28" i="9"/>
  <c r="AB28" i="9" s="1"/>
  <c r="AB28" i="7"/>
  <c r="V37" i="9"/>
  <c r="AB37" i="9" s="1"/>
  <c r="AB37" i="7"/>
  <c r="AB11" i="7"/>
  <c r="V11" i="9"/>
  <c r="AB11" i="9" s="1"/>
  <c r="AA5" i="23"/>
  <c r="AA57" i="23" s="1"/>
  <c r="AD5" i="8"/>
  <c r="AC53" i="8"/>
  <c r="AD19" i="8"/>
  <c r="AA19" i="23"/>
  <c r="AA71" i="23" s="1"/>
  <c r="AA27" i="23"/>
  <c r="AA79" i="23" s="1"/>
  <c r="AD27" i="8"/>
  <c r="AD34" i="8"/>
  <c r="AA34" i="23"/>
  <c r="AA86" i="23" s="1"/>
  <c r="AD12" i="8"/>
  <c r="AA12" i="23"/>
  <c r="AA64" i="23" s="1"/>
  <c r="V5" i="23"/>
  <c r="V57" i="23" s="1"/>
  <c r="W53" i="8"/>
  <c r="M38" i="8"/>
  <c r="M38" i="23" s="1"/>
  <c r="M90" i="23" s="1"/>
  <c r="V15" i="9"/>
  <c r="AB15" i="9" s="1"/>
  <c r="AB15" i="7"/>
  <c r="AB13" i="7"/>
  <c r="V13" i="9"/>
  <c r="AB13" i="9" s="1"/>
  <c r="AB35" i="7"/>
  <c r="V35" i="9"/>
  <c r="AB35" i="9" s="1"/>
  <c r="V30" i="9"/>
  <c r="AB30" i="9" s="1"/>
  <c r="AB30" i="7"/>
  <c r="AB33" i="7"/>
  <c r="V33" i="9"/>
  <c r="AB33" i="9" s="1"/>
  <c r="V7" i="9"/>
  <c r="AB7" i="9" s="1"/>
  <c r="AB7" i="7"/>
  <c r="V25" i="9"/>
  <c r="AB25" i="9" s="1"/>
  <c r="AB25" i="7"/>
  <c r="AD32" i="8"/>
  <c r="AA32" i="23"/>
  <c r="AA84" i="23" s="1"/>
  <c r="AA46" i="23"/>
  <c r="AA98" i="23" s="1"/>
  <c r="AD46" i="8"/>
  <c r="AD26" i="8"/>
  <c r="AA26" i="23"/>
  <c r="AA78" i="23" s="1"/>
  <c r="AD17" i="8"/>
  <c r="AA17" i="23"/>
  <c r="AA69" i="23" s="1"/>
  <c r="AD6" i="8"/>
  <c r="AA6" i="23"/>
  <c r="AA58" i="23" s="1"/>
  <c r="L6" i="23"/>
  <c r="L58" i="23" s="1"/>
  <c r="L53" i="8"/>
  <c r="P14" i="25"/>
  <c r="V38" i="9"/>
  <c r="AB38" i="9" s="1"/>
  <c r="AB38" i="7"/>
  <c r="X25" i="12"/>
  <c r="Y25" i="12" s="1"/>
  <c r="AB25" i="12" s="1"/>
  <c r="V49" i="8"/>
  <c r="X21" i="12"/>
  <c r="Y21" i="12" s="1"/>
  <c r="X17" i="12"/>
  <c r="Y17" i="12" s="1"/>
  <c r="AB17" i="12" s="1"/>
  <c r="V26" i="8"/>
  <c r="V23" i="8"/>
  <c r="V50" i="9"/>
  <c r="AB50" i="9" s="1"/>
  <c r="AB50" i="7"/>
  <c r="V21" i="9"/>
  <c r="AB21" i="9" s="1"/>
  <c r="AB21" i="7"/>
  <c r="V47" i="9"/>
  <c r="AB47" i="9" s="1"/>
  <c r="AB47" i="7"/>
  <c r="V48" i="9"/>
  <c r="AB48" i="9" s="1"/>
  <c r="AB48" i="7"/>
  <c r="V5" i="9"/>
  <c r="AB5" i="7"/>
  <c r="V53" i="7"/>
  <c r="V58" i="7" s="1"/>
  <c r="V15" i="8" s="1"/>
  <c r="M28" i="8"/>
  <c r="M28" i="23" s="1"/>
  <c r="M80" i="23" s="1"/>
  <c r="M11" i="8"/>
  <c r="M11" i="23" s="1"/>
  <c r="M63" i="23" s="1"/>
  <c r="M40" i="8"/>
  <c r="M40" i="23" s="1"/>
  <c r="M92" i="23" s="1"/>
  <c r="M42" i="8"/>
  <c r="M42" i="23" s="1"/>
  <c r="M94" i="23" s="1"/>
  <c r="M41" i="8"/>
  <c r="M41" i="23" s="1"/>
  <c r="M93" i="23" s="1"/>
  <c r="M12" i="8"/>
  <c r="M12" i="23" s="1"/>
  <c r="M64" i="23" s="1"/>
  <c r="M9" i="8"/>
  <c r="M9" i="23" s="1"/>
  <c r="M61" i="23" s="1"/>
  <c r="M31" i="8"/>
  <c r="M31" i="23" s="1"/>
  <c r="M83" i="23" s="1"/>
  <c r="M20" i="8"/>
  <c r="M20" i="23" s="1"/>
  <c r="M72" i="23" s="1"/>
  <c r="M37" i="8"/>
  <c r="M37" i="23" s="1"/>
  <c r="M89" i="23" s="1"/>
  <c r="M13" i="8"/>
  <c r="M13" i="23" s="1"/>
  <c r="M65" i="23" s="1"/>
  <c r="M35" i="8"/>
  <c r="M35" i="23" s="1"/>
  <c r="M87" i="23" s="1"/>
  <c r="M18" i="8"/>
  <c r="M18" i="23" s="1"/>
  <c r="M70" i="23" s="1"/>
  <c r="M6" i="8"/>
  <c r="M6" i="23" s="1"/>
  <c r="M58" i="23" s="1"/>
  <c r="M15" i="8"/>
  <c r="M15" i="23" s="1"/>
  <c r="M67" i="23" s="1"/>
  <c r="M51" i="8"/>
  <c r="M51" i="23" s="1"/>
  <c r="M103" i="23" s="1"/>
  <c r="M5" i="8"/>
  <c r="M46" i="8"/>
  <c r="M46" i="23" s="1"/>
  <c r="M98" i="23" s="1"/>
  <c r="M36" i="8"/>
  <c r="M36" i="23" s="1"/>
  <c r="M88" i="23" s="1"/>
  <c r="M21" i="8"/>
  <c r="M21" i="23" s="1"/>
  <c r="M73" i="23" s="1"/>
  <c r="M22" i="8"/>
  <c r="M22" i="23" s="1"/>
  <c r="M74" i="23" s="1"/>
  <c r="M7" i="8"/>
  <c r="M7" i="23" s="1"/>
  <c r="M59" i="23" s="1"/>
  <c r="M23" i="8"/>
  <c r="M23" i="23" s="1"/>
  <c r="M75" i="23" s="1"/>
  <c r="M32" i="8"/>
  <c r="M32" i="23" s="1"/>
  <c r="M84" i="23" s="1"/>
  <c r="M8" i="8"/>
  <c r="M8" i="23" s="1"/>
  <c r="M60" i="23" s="1"/>
  <c r="M48" i="8"/>
  <c r="M48" i="23" s="1"/>
  <c r="M100" i="23" s="1"/>
  <c r="M19" i="8"/>
  <c r="M19" i="23" s="1"/>
  <c r="M71" i="23" s="1"/>
  <c r="M10" i="8"/>
  <c r="M10" i="23" s="1"/>
  <c r="M62" i="23" s="1"/>
  <c r="M43" i="8"/>
  <c r="M43" i="23" s="1"/>
  <c r="M95" i="23" s="1"/>
  <c r="M27" i="8"/>
  <c r="M27" i="23" s="1"/>
  <c r="M79" i="23" s="1"/>
  <c r="M44" i="8"/>
  <c r="M44" i="23" s="1"/>
  <c r="M96" i="23" s="1"/>
  <c r="M33" i="8"/>
  <c r="M33" i="23" s="1"/>
  <c r="M85" i="23" s="1"/>
  <c r="M30" i="8"/>
  <c r="M30" i="23" s="1"/>
  <c r="M82" i="23" s="1"/>
  <c r="M16" i="8"/>
  <c r="M16" i="23" s="1"/>
  <c r="M68" i="23" s="1"/>
  <c r="M34" i="8"/>
  <c r="M34" i="23" s="1"/>
  <c r="M86" i="23" s="1"/>
  <c r="M39" i="8"/>
  <c r="M39" i="23" s="1"/>
  <c r="M91" i="23" s="1"/>
  <c r="M45" i="8"/>
  <c r="M45" i="23" s="1"/>
  <c r="M97" i="23" s="1"/>
  <c r="M50" i="8"/>
  <c r="M50" i="23" s="1"/>
  <c r="M102" i="23" s="1"/>
  <c r="M14" i="8"/>
  <c r="M14" i="23" s="1"/>
  <c r="M66" i="23" s="1"/>
  <c r="AD7" i="8"/>
  <c r="AA7" i="23"/>
  <c r="AA59" i="23" s="1"/>
  <c r="AD41" i="8"/>
  <c r="AA41" i="23"/>
  <c r="AA93" i="23" s="1"/>
  <c r="AD28" i="8"/>
  <c r="AA28" i="23"/>
  <c r="AA80" i="23" s="1"/>
  <c r="AD40" i="8"/>
  <c r="AA40" i="23"/>
  <c r="AA92" i="23" s="1"/>
  <c r="AA15" i="23"/>
  <c r="AA67" i="23" s="1"/>
  <c r="AD15" i="8"/>
  <c r="O15" i="25"/>
  <c r="O14" i="25"/>
  <c r="M26" i="8"/>
  <c r="M26" i="23" s="1"/>
  <c r="M78" i="23" s="1"/>
  <c r="O5" i="23"/>
  <c r="O57" i="23" s="1"/>
  <c r="O53" i="8"/>
  <c r="X13" i="12"/>
  <c r="Y13" i="12" s="1"/>
  <c r="AB13" i="12" s="1"/>
  <c r="X37" i="12"/>
  <c r="Y37" i="12" s="1"/>
  <c r="AB37" i="12" s="1"/>
  <c r="V9" i="9"/>
  <c r="AB9" i="9" s="1"/>
  <c r="AB9" i="7"/>
  <c r="V32" i="9"/>
  <c r="AB32" i="9" s="1"/>
  <c r="AB32" i="7"/>
  <c r="V45" i="9"/>
  <c r="AB45" i="9" s="1"/>
  <c r="AB45" i="7"/>
  <c r="V40" i="9"/>
  <c r="AB40" i="9" s="1"/>
  <c r="AB40" i="7"/>
  <c r="V20" i="9"/>
  <c r="AB20" i="9" s="1"/>
  <c r="AB20" i="7"/>
  <c r="V18" i="9"/>
  <c r="AB18" i="9" s="1"/>
  <c r="AB18" i="7"/>
  <c r="M53" i="9"/>
  <c r="AD47" i="8"/>
  <c r="AA47" i="23"/>
  <c r="AA99" i="23" s="1"/>
  <c r="AD37" i="8"/>
  <c r="AA37" i="23"/>
  <c r="AA89" i="23" s="1"/>
  <c r="AD49" i="8"/>
  <c r="AA49" i="23"/>
  <c r="AA101" i="23" s="1"/>
  <c r="AD29" i="8"/>
  <c r="AA29" i="23"/>
  <c r="AA81" i="23" s="1"/>
  <c r="AD23" i="8"/>
  <c r="AA23" i="23"/>
  <c r="AA75" i="23" s="1"/>
  <c r="M17" i="8"/>
  <c r="M17" i="23" s="1"/>
  <c r="M69" i="23" s="1"/>
  <c r="W5" i="23"/>
  <c r="W57" i="23" s="1"/>
  <c r="X53" i="8"/>
  <c r="X39" i="12"/>
  <c r="Y39" i="12" s="1"/>
  <c r="AB39" i="12" s="1"/>
  <c r="X34" i="12"/>
  <c r="Y34" i="12" s="1"/>
  <c r="AB34" i="12" s="1"/>
  <c r="X30" i="12"/>
  <c r="Y30" i="12" s="1"/>
  <c r="AB30" i="12" s="1"/>
  <c r="B11" i="26"/>
  <c r="AB27" i="12"/>
  <c r="D15" i="26"/>
  <c r="E14" i="26"/>
  <c r="E47" i="5"/>
  <c r="G47" i="5" s="1"/>
  <c r="X5" i="12"/>
  <c r="U5" i="24" s="1"/>
  <c r="U47" i="24" s="1"/>
  <c r="X7" i="12"/>
  <c r="Y7" i="12" s="1"/>
  <c r="AB7" i="12" s="1"/>
  <c r="X19" i="12"/>
  <c r="Y19" i="12" s="1"/>
  <c r="AB19" i="12" s="1"/>
  <c r="B7" i="26"/>
  <c r="B13" i="26" s="1"/>
  <c r="AB21" i="12"/>
  <c r="AB18" i="12"/>
  <c r="U26" i="23"/>
  <c r="U78" i="23" s="1"/>
  <c r="B15" i="26"/>
  <c r="B14" i="26"/>
  <c r="Y8" i="13"/>
  <c r="AB8" i="13" s="1"/>
  <c r="S6" i="28" s="1"/>
  <c r="U8" i="24"/>
  <c r="U50" i="24" s="1"/>
  <c r="Y13" i="13"/>
  <c r="AB13" i="13" s="1"/>
  <c r="AA297" i="17" s="1"/>
  <c r="U13" i="24"/>
  <c r="U55" i="24" s="1"/>
  <c r="Y28" i="13"/>
  <c r="AB28" i="13" s="1"/>
  <c r="S22" i="28" s="1"/>
  <c r="U28" i="24"/>
  <c r="U70" i="24" s="1"/>
  <c r="Y31" i="13"/>
  <c r="AB31" i="13" s="1"/>
  <c r="Y21" i="13"/>
  <c r="AB21" i="13" s="1"/>
  <c r="S13" i="28" s="1"/>
  <c r="U21" i="24"/>
  <c r="U63" i="24" s="1"/>
  <c r="Y17" i="13"/>
  <c r="AB17" i="13" s="1"/>
  <c r="U17" i="24"/>
  <c r="U59" i="24" s="1"/>
  <c r="Y29" i="13"/>
  <c r="AB29" i="13" s="1"/>
  <c r="S23" i="28" s="1"/>
  <c r="U29" i="24"/>
  <c r="U71" i="24" s="1"/>
  <c r="Y25" i="13"/>
  <c r="AB25" i="13" s="1"/>
  <c r="S18" i="28" s="1"/>
  <c r="U25" i="24"/>
  <c r="U67" i="24" s="1"/>
  <c r="Y18" i="13"/>
  <c r="AB18" i="13" s="1"/>
  <c r="U18" i="24"/>
  <c r="U60" i="24" s="1"/>
  <c r="Y34" i="13"/>
  <c r="AB34" i="13" s="1"/>
  <c r="Y10" i="13"/>
  <c r="AB10" i="13" s="1"/>
  <c r="S9" i="28" s="1"/>
  <c r="U10" i="24"/>
  <c r="U52" i="24" s="1"/>
  <c r="Y24" i="13"/>
  <c r="AB24" i="13" s="1"/>
  <c r="S17" i="28" s="1"/>
  <c r="U24" i="24"/>
  <c r="U66" i="24" s="1"/>
  <c r="Y37" i="13"/>
  <c r="AB37" i="13" s="1"/>
  <c r="U37" i="24"/>
  <c r="U79" i="24" s="1"/>
  <c r="Y30" i="13"/>
  <c r="AB30" i="13" s="1"/>
  <c r="S24" i="28" s="1"/>
  <c r="Y23" i="13"/>
  <c r="AB23" i="13" s="1"/>
  <c r="U23" i="24"/>
  <c r="U65" i="24" s="1"/>
  <c r="Y7" i="13"/>
  <c r="AB7" i="13" s="1"/>
  <c r="S5" i="28" s="1"/>
  <c r="Y27" i="13"/>
  <c r="AB27" i="13" s="1"/>
  <c r="U27" i="24"/>
  <c r="U69" i="24" s="1"/>
  <c r="Y19" i="13"/>
  <c r="AB19" i="13" s="1"/>
  <c r="Y14" i="13"/>
  <c r="AB14" i="13" s="1"/>
  <c r="AA315" i="17" s="1"/>
  <c r="U14" i="24"/>
  <c r="U56" i="24" s="1"/>
  <c r="Y39" i="13"/>
  <c r="AB39" i="13" s="1"/>
  <c r="S30" i="28" s="1"/>
  <c r="U39" i="24"/>
  <c r="U81" i="24" s="1"/>
  <c r="Q43" i="13"/>
  <c r="X38" i="12"/>
  <c r="X36" i="12"/>
  <c r="X41" i="12"/>
  <c r="X33" i="12"/>
  <c r="X16" i="12"/>
  <c r="X6" i="12"/>
  <c r="X32" i="12"/>
  <c r="X15" i="12"/>
  <c r="X35" i="12"/>
  <c r="X20" i="12"/>
  <c r="X22" i="12"/>
  <c r="X26" i="12"/>
  <c r="X40" i="12"/>
  <c r="X9" i="12"/>
  <c r="X11" i="12"/>
  <c r="X12" i="12"/>
  <c r="X31" i="12"/>
  <c r="E46" i="5"/>
  <c r="Y45" i="13"/>
  <c r="Y45" i="12"/>
  <c r="Y45" i="10"/>
  <c r="Y45" i="11"/>
  <c r="Q43" i="12"/>
  <c r="AG57" i="6"/>
  <c r="AG55" i="9"/>
  <c r="AG55" i="8"/>
  <c r="AG55" i="7"/>
  <c r="AM57" i="6"/>
  <c r="AM55" i="9"/>
  <c r="AM55" i="8"/>
  <c r="AM55" i="7"/>
  <c r="Y5" i="13"/>
  <c r="X43" i="13"/>
  <c r="AA1050" i="16" l="1"/>
  <c r="S29" i="28"/>
  <c r="AA346" i="17"/>
  <c r="S21" i="28"/>
  <c r="S16" i="28"/>
  <c r="S26" i="28"/>
  <c r="AA743" i="16"/>
  <c r="AG743" i="16" s="1"/>
  <c r="U15" i="23"/>
  <c r="U67" i="23" s="1"/>
  <c r="AB26" i="8"/>
  <c r="U30" i="24"/>
  <c r="U72" i="24" s="1"/>
  <c r="U49" i="23"/>
  <c r="U101" i="23" s="1"/>
  <c r="AB53" i="7"/>
  <c r="B7" i="25"/>
  <c r="B13" i="25" s="1"/>
  <c r="B9" i="25"/>
  <c r="B11" i="25"/>
  <c r="Q11" i="25"/>
  <c r="Q7" i="25"/>
  <c r="Q13" i="25" s="1"/>
  <c r="Q9" i="25"/>
  <c r="U19" i="24"/>
  <c r="U61" i="24" s="1"/>
  <c r="U34" i="24"/>
  <c r="U76" i="24" s="1"/>
  <c r="V53" i="9"/>
  <c r="AB5" i="9"/>
  <c r="AB53" i="9" s="1"/>
  <c r="V16" i="8"/>
  <c r="J9" i="25"/>
  <c r="J7" i="25"/>
  <c r="J13" i="25" s="1"/>
  <c r="J11" i="25"/>
  <c r="E11" i="25"/>
  <c r="E7" i="25"/>
  <c r="E13" i="25" s="1"/>
  <c r="E9" i="25"/>
  <c r="U23" i="23"/>
  <c r="U75" i="23" s="1"/>
  <c r="AB23" i="8"/>
  <c r="F9" i="25"/>
  <c r="F11" i="25"/>
  <c r="Y33" i="8"/>
  <c r="X33" i="23" s="1"/>
  <c r="X85" i="23" s="1"/>
  <c r="Y49" i="8"/>
  <c r="X49" i="23" s="1"/>
  <c r="X101" i="23" s="1"/>
  <c r="Y23" i="8"/>
  <c r="X23" i="23" s="1"/>
  <c r="X75" i="23" s="1"/>
  <c r="Y44" i="8"/>
  <c r="X44" i="23" s="1"/>
  <c r="X96" i="23" s="1"/>
  <c r="Y45" i="8"/>
  <c r="X45" i="23" s="1"/>
  <c r="X97" i="23" s="1"/>
  <c r="Y35" i="8"/>
  <c r="X35" i="23" s="1"/>
  <c r="X87" i="23" s="1"/>
  <c r="Y48" i="8"/>
  <c r="X48" i="23" s="1"/>
  <c r="X100" i="23" s="1"/>
  <c r="Y25" i="8"/>
  <c r="X25" i="23" s="1"/>
  <c r="X77" i="23" s="1"/>
  <c r="Y6" i="8"/>
  <c r="X6" i="23" s="1"/>
  <c r="X58" i="23" s="1"/>
  <c r="Y29" i="8"/>
  <c r="X29" i="23" s="1"/>
  <c r="X81" i="23" s="1"/>
  <c r="Y16" i="8"/>
  <c r="X16" i="23" s="1"/>
  <c r="X68" i="23" s="1"/>
  <c r="Y13" i="8"/>
  <c r="X13" i="23" s="1"/>
  <c r="X65" i="23" s="1"/>
  <c r="Y26" i="8"/>
  <c r="X26" i="23" s="1"/>
  <c r="X78" i="23" s="1"/>
  <c r="Y40" i="8"/>
  <c r="X40" i="23" s="1"/>
  <c r="X92" i="23" s="1"/>
  <c r="Y32" i="8"/>
  <c r="X32" i="23" s="1"/>
  <c r="X84" i="23" s="1"/>
  <c r="Y9" i="8"/>
  <c r="X9" i="23" s="1"/>
  <c r="X61" i="23" s="1"/>
  <c r="Y18" i="8"/>
  <c r="X18" i="23" s="1"/>
  <c r="X70" i="23" s="1"/>
  <c r="Y42" i="8"/>
  <c r="X42" i="23" s="1"/>
  <c r="X94" i="23" s="1"/>
  <c r="Y11" i="8"/>
  <c r="X11" i="23" s="1"/>
  <c r="X63" i="23" s="1"/>
  <c r="Y10" i="8"/>
  <c r="X10" i="23" s="1"/>
  <c r="X62" i="23" s="1"/>
  <c r="Y12" i="8"/>
  <c r="X12" i="23" s="1"/>
  <c r="X64" i="23" s="1"/>
  <c r="Y30" i="8"/>
  <c r="X30" i="23" s="1"/>
  <c r="X82" i="23" s="1"/>
  <c r="Y34" i="8"/>
  <c r="X34" i="23" s="1"/>
  <c r="X86" i="23" s="1"/>
  <c r="Y22" i="8"/>
  <c r="X22" i="23" s="1"/>
  <c r="X74" i="23" s="1"/>
  <c r="Y8" i="8"/>
  <c r="X8" i="23" s="1"/>
  <c r="X60" i="23" s="1"/>
  <c r="Y36" i="8"/>
  <c r="X36" i="23" s="1"/>
  <c r="X88" i="23" s="1"/>
  <c r="Y31" i="8"/>
  <c r="X31" i="23" s="1"/>
  <c r="X83" i="23" s="1"/>
  <c r="Y7" i="8"/>
  <c r="X7" i="23" s="1"/>
  <c r="X59" i="23" s="1"/>
  <c r="Y19" i="8"/>
  <c r="X19" i="23" s="1"/>
  <c r="X71" i="23" s="1"/>
  <c r="Y37" i="8"/>
  <c r="X37" i="23" s="1"/>
  <c r="X89" i="23" s="1"/>
  <c r="Y27" i="8"/>
  <c r="X27" i="23" s="1"/>
  <c r="X79" i="23" s="1"/>
  <c r="Y46" i="8"/>
  <c r="X46" i="23" s="1"/>
  <c r="X98" i="23" s="1"/>
  <c r="Y28" i="8"/>
  <c r="X28" i="23" s="1"/>
  <c r="X80" i="23" s="1"/>
  <c r="Y47" i="8"/>
  <c r="X47" i="23" s="1"/>
  <c r="X99" i="23" s="1"/>
  <c r="Y43" i="8"/>
  <c r="X43" i="23" s="1"/>
  <c r="X95" i="23" s="1"/>
  <c r="Y39" i="8"/>
  <c r="X39" i="23" s="1"/>
  <c r="X91" i="23" s="1"/>
  <c r="Y14" i="8"/>
  <c r="X14" i="23" s="1"/>
  <c r="X66" i="23" s="1"/>
  <c r="Y21" i="8"/>
  <c r="X21" i="23" s="1"/>
  <c r="X73" i="23" s="1"/>
  <c r="Y15" i="8"/>
  <c r="X15" i="23" s="1"/>
  <c r="X67" i="23" s="1"/>
  <c r="Y50" i="8"/>
  <c r="X50" i="23" s="1"/>
  <c r="X102" i="23" s="1"/>
  <c r="Y5" i="8"/>
  <c r="Y20" i="8"/>
  <c r="X20" i="23" s="1"/>
  <c r="X72" i="23" s="1"/>
  <c r="Y38" i="8"/>
  <c r="X38" i="23" s="1"/>
  <c r="X90" i="23" s="1"/>
  <c r="Y51" i="8"/>
  <c r="X51" i="23" s="1"/>
  <c r="X103" i="23" s="1"/>
  <c r="Y41" i="8"/>
  <c r="X41" i="23" s="1"/>
  <c r="X93" i="23" s="1"/>
  <c r="Y17" i="8"/>
  <c r="X17" i="23" s="1"/>
  <c r="X69" i="23" s="1"/>
  <c r="Y24" i="8"/>
  <c r="X24" i="23" s="1"/>
  <c r="X76" i="23" s="1"/>
  <c r="V8" i="8"/>
  <c r="F7" i="25"/>
  <c r="F13" i="25" s="1"/>
  <c r="U7" i="24"/>
  <c r="U49" i="24" s="1"/>
  <c r="V41" i="8"/>
  <c r="T9" i="25"/>
  <c r="T11" i="25"/>
  <c r="T7" i="25"/>
  <c r="T13" i="25" s="1"/>
  <c r="L9" i="25"/>
  <c r="L11" i="25"/>
  <c r="L7" i="25"/>
  <c r="L13" i="25" s="1"/>
  <c r="V17" i="8"/>
  <c r="R5" i="23"/>
  <c r="R57" i="23" s="1"/>
  <c r="R53" i="8"/>
  <c r="S58" i="8" s="1"/>
  <c r="G9" i="25"/>
  <c r="G7" i="25"/>
  <c r="G13" i="25" s="1"/>
  <c r="G11" i="25"/>
  <c r="M9" i="25"/>
  <c r="M11" i="25"/>
  <c r="M7" i="25"/>
  <c r="M13" i="25" s="1"/>
  <c r="M5" i="23"/>
  <c r="M57" i="23" s="1"/>
  <c r="C7" i="25" s="1"/>
  <c r="C13" i="25" s="1"/>
  <c r="M53" i="8"/>
  <c r="V24" i="8"/>
  <c r="V25" i="8"/>
  <c r="V18" i="8"/>
  <c r="V48" i="8"/>
  <c r="V22" i="8"/>
  <c r="V46" i="8"/>
  <c r="V9" i="8"/>
  <c r="V19" i="8"/>
  <c r="V13" i="8"/>
  <c r="V28" i="8"/>
  <c r="V44" i="8"/>
  <c r="V39" i="8"/>
  <c r="V34" i="8"/>
  <c r="V38" i="8"/>
  <c r="V30" i="8"/>
  <c r="V50" i="8"/>
  <c r="V42" i="8"/>
  <c r="V47" i="8"/>
  <c r="V27" i="8"/>
  <c r="V5" i="8"/>
  <c r="V32" i="8"/>
  <c r="V36" i="8"/>
  <c r="V7" i="8"/>
  <c r="V40" i="8"/>
  <c r="V43" i="8"/>
  <c r="V11" i="8"/>
  <c r="V29" i="8"/>
  <c r="V35" i="8"/>
  <c r="V31" i="8"/>
  <c r="V12" i="8"/>
  <c r="V20" i="8"/>
  <c r="V21" i="8"/>
  <c r="V10" i="8"/>
  <c r="V37" i="8"/>
  <c r="V51" i="8"/>
  <c r="V14" i="8"/>
  <c r="V45" i="8"/>
  <c r="V6" i="8"/>
  <c r="AD53" i="8"/>
  <c r="S53" i="8"/>
  <c r="V33" i="8"/>
  <c r="AA282" i="17"/>
  <c r="AA284" i="17"/>
  <c r="AA269" i="17"/>
  <c r="AA745" i="16"/>
  <c r="AG745" i="16" s="1"/>
  <c r="Y5" i="12"/>
  <c r="AB5" i="12" s="1"/>
  <c r="AA275" i="17"/>
  <c r="AA754" i="16"/>
  <c r="AG754" i="16" s="1"/>
  <c r="AA729" i="16"/>
  <c r="AG729" i="16" s="1"/>
  <c r="AA864" i="16"/>
  <c r="AG864" i="16" s="1"/>
  <c r="AA740" i="16"/>
  <c r="AG740" i="16" s="1"/>
  <c r="AA392" i="17"/>
  <c r="AA737" i="16"/>
  <c r="AG737" i="16" s="1"/>
  <c r="AA285" i="17"/>
  <c r="AA867" i="16"/>
  <c r="AG867" i="16" s="1"/>
  <c r="AA847" i="16"/>
  <c r="AG847" i="16" s="1"/>
  <c r="AA736" i="16"/>
  <c r="AG736" i="16" s="1"/>
  <c r="AA820" i="16"/>
  <c r="AG820" i="16" s="1"/>
  <c r="AA385" i="17"/>
  <c r="AA597" i="16"/>
  <c r="AA395" i="17"/>
  <c r="AA875" i="16"/>
  <c r="AG875" i="16" s="1"/>
  <c r="AA399" i="17"/>
  <c r="AA861" i="16"/>
  <c r="AG861" i="16" s="1"/>
  <c r="AA469" i="17"/>
  <c r="AA825" i="16"/>
  <c r="AG825" i="16" s="1"/>
  <c r="AA911" i="16"/>
  <c r="AG911" i="16" s="1"/>
  <c r="AA379" i="17"/>
  <c r="AA656" i="16"/>
  <c r="L656" i="21" s="1"/>
  <c r="O656" i="21" s="1"/>
  <c r="AA821" i="16"/>
  <c r="AG821" i="16" s="1"/>
  <c r="AA928" i="16"/>
  <c r="AG928" i="16" s="1"/>
  <c r="AA397" i="17"/>
  <c r="AA838" i="16"/>
  <c r="AG838" i="16" s="1"/>
  <c r="AA874" i="16"/>
  <c r="AG874" i="16" s="1"/>
  <c r="AA423" i="17"/>
  <c r="AA878" i="16"/>
  <c r="AG878" i="16" s="1"/>
  <c r="AA884" i="16"/>
  <c r="AG884" i="16" s="1"/>
  <c r="AA360" i="17"/>
  <c r="AA440" i="17"/>
  <c r="AA865" i="16"/>
  <c r="AG865" i="16" s="1"/>
  <c r="AA921" i="16"/>
  <c r="AG921" i="16" s="1"/>
  <c r="AA837" i="16"/>
  <c r="AG837" i="16" s="1"/>
  <c r="AA854" i="16"/>
  <c r="AG854" i="16" s="1"/>
  <c r="AA877" i="16"/>
  <c r="AG877" i="16" s="1"/>
  <c r="AA894" i="16"/>
  <c r="AG894" i="16" s="1"/>
  <c r="AA883" i="16"/>
  <c r="AG883" i="16" s="1"/>
  <c r="AA855" i="16"/>
  <c r="AG855" i="16" s="1"/>
  <c r="AA919" i="16"/>
  <c r="AG919" i="16" s="1"/>
  <c r="AA872" i="16"/>
  <c r="AG872" i="16" s="1"/>
  <c r="AA818" i="16"/>
  <c r="AG818" i="16" s="1"/>
  <c r="AA882" i="16"/>
  <c r="AG882" i="16" s="1"/>
  <c r="AA828" i="16"/>
  <c r="AG828" i="16" s="1"/>
  <c r="AA892" i="16"/>
  <c r="AG892" i="16" s="1"/>
  <c r="AA383" i="17"/>
  <c r="AA393" i="17"/>
  <c r="AA377" i="17"/>
  <c r="AA409" i="17"/>
  <c r="AA413" i="17"/>
  <c r="AA439" i="17"/>
  <c r="AA371" i="17"/>
  <c r="AA362" i="17"/>
  <c r="AA378" i="17"/>
  <c r="AA394" i="17"/>
  <c r="AA410" i="17"/>
  <c r="AA426" i="17"/>
  <c r="AA442" i="17"/>
  <c r="AA458" i="17"/>
  <c r="AA633" i="16"/>
  <c r="AG633" i="16" s="1"/>
  <c r="AA642" i="16"/>
  <c r="AG642" i="16" s="1"/>
  <c r="AA323" i="17"/>
  <c r="AA907" i="16"/>
  <c r="AG907" i="16" s="1"/>
  <c r="AA841" i="16"/>
  <c r="AG841" i="16" s="1"/>
  <c r="AA853" i="16"/>
  <c r="AG853" i="16" s="1"/>
  <c r="AA870" i="16"/>
  <c r="AG870" i="16" s="1"/>
  <c r="AA893" i="16"/>
  <c r="AG893" i="16" s="1"/>
  <c r="AA910" i="16"/>
  <c r="AG910" i="16" s="1"/>
  <c r="AA899" i="16"/>
  <c r="AG899" i="16" s="1"/>
  <c r="AA863" i="16"/>
  <c r="AG863" i="16" s="1"/>
  <c r="AA927" i="16"/>
  <c r="AG927" i="16" s="1"/>
  <c r="AA880" i="16"/>
  <c r="AG880" i="16" s="1"/>
  <c r="AA826" i="16"/>
  <c r="AG826" i="16" s="1"/>
  <c r="AA890" i="16"/>
  <c r="AG890" i="16" s="1"/>
  <c r="AA836" i="16"/>
  <c r="AG836" i="16" s="1"/>
  <c r="AA900" i="16"/>
  <c r="AG900" i="16" s="1"/>
  <c r="AA417" i="17"/>
  <c r="AA415" i="17"/>
  <c r="AA389" i="17"/>
  <c r="AA431" i="17"/>
  <c r="AA429" i="17"/>
  <c r="AA455" i="17"/>
  <c r="AA387" i="17"/>
  <c r="AA364" i="17"/>
  <c r="AA380" i="17"/>
  <c r="AA396" i="17"/>
  <c r="AA412" i="17"/>
  <c r="AA428" i="17"/>
  <c r="AA444" i="17"/>
  <c r="AA460" i="17"/>
  <c r="AA641" i="16"/>
  <c r="L641" i="21" s="1"/>
  <c r="O641" i="21" s="1"/>
  <c r="AA971" i="16"/>
  <c r="L971" i="21" s="1"/>
  <c r="O971" i="21" s="1"/>
  <c r="AA424" i="17"/>
  <c r="AA827" i="16"/>
  <c r="AG827" i="16" s="1"/>
  <c r="AA881" i="16"/>
  <c r="AG881" i="16" s="1"/>
  <c r="AA869" i="16"/>
  <c r="AG869" i="16" s="1"/>
  <c r="AA886" i="16"/>
  <c r="AG886" i="16" s="1"/>
  <c r="AA909" i="16"/>
  <c r="AG909" i="16" s="1"/>
  <c r="AA926" i="16"/>
  <c r="AG926" i="16" s="1"/>
  <c r="AA915" i="16"/>
  <c r="AG915" i="16" s="1"/>
  <c r="AA871" i="16"/>
  <c r="AG871" i="16" s="1"/>
  <c r="AA824" i="16"/>
  <c r="AG824" i="16" s="1"/>
  <c r="AA888" i="16"/>
  <c r="AG888" i="16" s="1"/>
  <c r="AA834" i="16"/>
  <c r="AG834" i="16" s="1"/>
  <c r="AA898" i="16"/>
  <c r="AG898" i="16" s="1"/>
  <c r="AA844" i="16"/>
  <c r="AG844" i="16" s="1"/>
  <c r="AA908" i="16"/>
  <c r="AG908" i="16" s="1"/>
  <c r="AA459" i="17"/>
  <c r="AA425" i="17"/>
  <c r="AA401" i="17"/>
  <c r="AA441" i="17"/>
  <c r="AA445" i="17"/>
  <c r="AA471" i="17"/>
  <c r="AA403" i="17"/>
  <c r="AA366" i="17"/>
  <c r="AA382" i="17"/>
  <c r="AA398" i="17"/>
  <c r="AA414" i="17"/>
  <c r="AA430" i="17"/>
  <c r="AA446" i="17"/>
  <c r="AA462" i="17"/>
  <c r="AA646" i="16"/>
  <c r="AG646" i="16" s="1"/>
  <c r="AA344" i="17"/>
  <c r="AA849" i="16"/>
  <c r="AG849" i="16" s="1"/>
  <c r="AA923" i="16"/>
  <c r="AG923" i="16" s="1"/>
  <c r="AA925" i="16"/>
  <c r="AG925" i="16" s="1"/>
  <c r="AA931" i="16"/>
  <c r="AG931" i="16" s="1"/>
  <c r="AA832" i="16"/>
  <c r="AG832" i="16" s="1"/>
  <c r="AA842" i="16"/>
  <c r="AG842" i="16" s="1"/>
  <c r="AA906" i="16"/>
  <c r="AG906" i="16" s="1"/>
  <c r="AA916" i="16"/>
  <c r="AG916" i="16" s="1"/>
  <c r="AA449" i="17"/>
  <c r="AA411" i="17"/>
  <c r="AA463" i="17"/>
  <c r="AA461" i="17"/>
  <c r="AA405" i="17"/>
  <c r="AA419" i="17"/>
  <c r="AA368" i="17"/>
  <c r="AA384" i="17"/>
  <c r="AA400" i="17"/>
  <c r="AA416" i="17"/>
  <c r="AA432" i="17"/>
  <c r="AA448" i="17"/>
  <c r="AA464" i="17"/>
  <c r="AA376" i="17"/>
  <c r="AA408" i="17"/>
  <c r="AA456" i="17"/>
  <c r="AA318" i="17"/>
  <c r="AA873" i="16"/>
  <c r="AG873" i="16" s="1"/>
  <c r="AA902" i="16"/>
  <c r="AG902" i="16" s="1"/>
  <c r="AA929" i="16"/>
  <c r="AG929" i="16" s="1"/>
  <c r="AA879" i="16"/>
  <c r="AG879" i="16" s="1"/>
  <c r="AA896" i="16"/>
  <c r="AG896" i="16" s="1"/>
  <c r="AA852" i="16"/>
  <c r="AG852" i="16" s="1"/>
  <c r="AA447" i="17"/>
  <c r="AA611" i="16"/>
  <c r="AG611" i="16" s="1"/>
  <c r="AA891" i="16"/>
  <c r="AG891" i="16" s="1"/>
  <c r="AA913" i="16"/>
  <c r="AG913" i="16" s="1"/>
  <c r="AA905" i="16"/>
  <c r="AG905" i="16" s="1"/>
  <c r="AA901" i="16"/>
  <c r="AG901" i="16" s="1"/>
  <c r="AA918" i="16"/>
  <c r="AG918" i="16" s="1"/>
  <c r="AA830" i="16"/>
  <c r="AG830" i="16" s="1"/>
  <c r="AA819" i="16"/>
  <c r="AG819" i="16" s="1"/>
  <c r="AA823" i="16"/>
  <c r="AG823" i="16" s="1"/>
  <c r="AA887" i="16"/>
  <c r="AG887" i="16" s="1"/>
  <c r="AA840" i="16"/>
  <c r="AG840" i="16" s="1"/>
  <c r="AA904" i="16"/>
  <c r="AG904" i="16" s="1"/>
  <c r="AA850" i="16"/>
  <c r="AG850" i="16" s="1"/>
  <c r="AA914" i="16"/>
  <c r="AG914" i="16" s="1"/>
  <c r="AA860" i="16"/>
  <c r="AG860" i="16" s="1"/>
  <c r="AA924" i="16"/>
  <c r="AG924" i="16" s="1"/>
  <c r="AA363" i="17"/>
  <c r="AA457" i="17"/>
  <c r="AA433" i="17"/>
  <c r="AA473" i="17"/>
  <c r="AA375" i="17"/>
  <c r="AA421" i="17"/>
  <c r="AA435" i="17"/>
  <c r="AA370" i="17"/>
  <c r="AA386" i="17"/>
  <c r="AA402" i="17"/>
  <c r="AA418" i="17"/>
  <c r="AA434" i="17"/>
  <c r="AA450" i="17"/>
  <c r="AA466" i="17"/>
  <c r="AA588" i="16"/>
  <c r="AG588" i="16" s="1"/>
  <c r="AA885" i="16"/>
  <c r="AG885" i="16" s="1"/>
  <c r="AA857" i="16"/>
  <c r="AG857" i="16" s="1"/>
  <c r="AA859" i="16"/>
  <c r="AG859" i="16" s="1"/>
  <c r="AA843" i="16"/>
  <c r="AG843" i="16" s="1"/>
  <c r="AA917" i="16"/>
  <c r="AG917" i="16" s="1"/>
  <c r="AA829" i="16"/>
  <c r="AG829" i="16" s="1"/>
  <c r="AA846" i="16"/>
  <c r="AG846" i="16" s="1"/>
  <c r="AA835" i="16"/>
  <c r="AG835" i="16" s="1"/>
  <c r="AA831" i="16"/>
  <c r="AG831" i="16" s="1"/>
  <c r="AA895" i="16"/>
  <c r="AG895" i="16" s="1"/>
  <c r="AA848" i="16"/>
  <c r="AG848" i="16" s="1"/>
  <c r="AA912" i="16"/>
  <c r="AG912" i="16" s="1"/>
  <c r="AA858" i="16"/>
  <c r="AG858" i="16" s="1"/>
  <c r="AA922" i="16"/>
  <c r="AG922" i="16" s="1"/>
  <c r="AA868" i="16"/>
  <c r="AG868" i="16" s="1"/>
  <c r="AA932" i="16"/>
  <c r="AG932" i="16" s="1"/>
  <c r="AA361" i="17"/>
  <c r="AA369" i="17"/>
  <c r="AA443" i="17"/>
  <c r="AA365" i="17"/>
  <c r="AA391" i="17"/>
  <c r="AA437" i="17"/>
  <c r="AA451" i="17"/>
  <c r="AA372" i="17"/>
  <c r="AA388" i="17"/>
  <c r="AA404" i="17"/>
  <c r="AA420" i="17"/>
  <c r="AA436" i="17"/>
  <c r="AA452" i="17"/>
  <c r="AA468" i="17"/>
  <c r="AA583" i="16"/>
  <c r="AG583" i="16" s="1"/>
  <c r="AA762" i="16"/>
  <c r="AG762" i="16" s="1"/>
  <c r="AA897" i="16"/>
  <c r="AG897" i="16" s="1"/>
  <c r="AA833" i="16"/>
  <c r="AG833" i="16" s="1"/>
  <c r="AA889" i="16"/>
  <c r="AG889" i="16" s="1"/>
  <c r="AA822" i="16"/>
  <c r="AG822" i="16" s="1"/>
  <c r="AA845" i="16"/>
  <c r="AG845" i="16" s="1"/>
  <c r="AA862" i="16"/>
  <c r="AG862" i="16" s="1"/>
  <c r="AA851" i="16"/>
  <c r="AG851" i="16" s="1"/>
  <c r="AA839" i="16"/>
  <c r="AG839" i="16" s="1"/>
  <c r="AA903" i="16"/>
  <c r="AG903" i="16" s="1"/>
  <c r="AA856" i="16"/>
  <c r="AG856" i="16" s="1"/>
  <c r="AA920" i="16"/>
  <c r="AG920" i="16" s="1"/>
  <c r="AA866" i="16"/>
  <c r="AG866" i="16" s="1"/>
  <c r="AA930" i="16"/>
  <c r="AG930" i="16" s="1"/>
  <c r="AA876" i="16"/>
  <c r="AG876" i="16" s="1"/>
  <c r="AA427" i="17"/>
  <c r="AA373" i="17"/>
  <c r="AA367" i="17"/>
  <c r="AA465" i="17"/>
  <c r="AA381" i="17"/>
  <c r="AA407" i="17"/>
  <c r="AA453" i="17"/>
  <c r="AA467" i="17"/>
  <c r="AA374" i="17"/>
  <c r="AA390" i="17"/>
  <c r="AA406" i="17"/>
  <c r="AA422" i="17"/>
  <c r="AA438" i="17"/>
  <c r="AA454" i="17"/>
  <c r="AA472" i="17"/>
  <c r="AA576" i="16"/>
  <c r="AG576" i="16" s="1"/>
  <c r="AA774" i="16"/>
  <c r="AG774" i="16" s="1"/>
  <c r="AA298" i="17"/>
  <c r="AA1066" i="16"/>
  <c r="AG1066" i="16" s="1"/>
  <c r="AA1068" i="16"/>
  <c r="L1068" i="21" s="1"/>
  <c r="O1068" i="21" s="1"/>
  <c r="AA316" i="17"/>
  <c r="AA799" i="16"/>
  <c r="AG799" i="16" s="1"/>
  <c r="AA800" i="16"/>
  <c r="AG800" i="16" s="1"/>
  <c r="AA958" i="16"/>
  <c r="AG958" i="16" s="1"/>
  <c r="AA969" i="16"/>
  <c r="AG969" i="16" s="1"/>
  <c r="AA347" i="17"/>
  <c r="AA781" i="16"/>
  <c r="AG781" i="16" s="1"/>
  <c r="AA1049" i="16"/>
  <c r="L1049" i="21" s="1"/>
  <c r="O1049" i="21" s="1"/>
  <c r="AA338" i="17"/>
  <c r="AA766" i="16"/>
  <c r="AG766" i="16" s="1"/>
  <c r="AA301" i="17"/>
  <c r="AA760" i="16"/>
  <c r="AG760" i="16" s="1"/>
  <c r="AA303" i="17"/>
  <c r="AA470" i="17"/>
  <c r="AA761" i="16"/>
  <c r="AG761" i="16" s="1"/>
  <c r="AA772" i="16"/>
  <c r="AG772" i="16" s="1"/>
  <c r="AA317" i="17"/>
  <c r="AA770" i="16"/>
  <c r="AG770" i="16" s="1"/>
  <c r="AA314" i="17"/>
  <c r="AA767" i="16"/>
  <c r="AG767" i="16" s="1"/>
  <c r="AA312" i="17"/>
  <c r="AA555" i="16"/>
  <c r="AG555" i="16" s="1"/>
  <c r="AA562" i="16"/>
  <c r="L562" i="21" s="1"/>
  <c r="O562" i="21" s="1"/>
  <c r="AA778" i="16"/>
  <c r="AG778" i="16" s="1"/>
  <c r="AA768" i="16"/>
  <c r="AG768" i="16" s="1"/>
  <c r="AA308" i="17"/>
  <c r="AA309" i="17"/>
  <c r="AA1065" i="16"/>
  <c r="L1065" i="21" s="1"/>
  <c r="O1065" i="21" s="1"/>
  <c r="AA1054" i="16"/>
  <c r="AG1054" i="16" s="1"/>
  <c r="AA795" i="16"/>
  <c r="AG795" i="16" s="1"/>
  <c r="AA794" i="16"/>
  <c r="AG794" i="16" s="1"/>
  <c r="AA345" i="17"/>
  <c r="AA566" i="16"/>
  <c r="AG566" i="16" s="1"/>
  <c r="AA556" i="16"/>
  <c r="L556" i="21" s="1"/>
  <c r="O556" i="21" s="1"/>
  <c r="AA771" i="16"/>
  <c r="AG771" i="16" s="1"/>
  <c r="AA769" i="16"/>
  <c r="AG769" i="16" s="1"/>
  <c r="AA776" i="16"/>
  <c r="AG776" i="16" s="1"/>
  <c r="AA304" i="17"/>
  <c r="AA311" i="17"/>
  <c r="AA965" i="16"/>
  <c r="AG965" i="16" s="1"/>
  <c r="AA1059" i="16"/>
  <c r="AG1059" i="16" s="1"/>
  <c r="AA801" i="16"/>
  <c r="AG801" i="16" s="1"/>
  <c r="AA802" i="16"/>
  <c r="L802" i="21" s="1"/>
  <c r="O802" i="21" s="1"/>
  <c r="AA336" i="17"/>
  <c r="AA569" i="16"/>
  <c r="AG569" i="16" s="1"/>
  <c r="AA564" i="16"/>
  <c r="L564" i="21" s="1"/>
  <c r="O564" i="21" s="1"/>
  <c r="AA554" i="16"/>
  <c r="L554" i="21" s="1"/>
  <c r="O554" i="21" s="1"/>
  <c r="AA474" i="17"/>
  <c r="AA775" i="16"/>
  <c r="AG775" i="16" s="1"/>
  <c r="AA779" i="16"/>
  <c r="AG779" i="16" s="1"/>
  <c r="AA756" i="16"/>
  <c r="L731" i="21" s="1"/>
  <c r="AA302" i="17"/>
  <c r="AA313" i="17"/>
  <c r="AA981" i="16"/>
  <c r="L981" i="21" s="1"/>
  <c r="O981" i="21" s="1"/>
  <c r="AA967" i="16"/>
  <c r="L967" i="21" s="1"/>
  <c r="O967" i="21" s="1"/>
  <c r="AA805" i="16"/>
  <c r="AG805" i="16" s="1"/>
  <c r="AA796" i="16"/>
  <c r="L796" i="21" s="1"/>
  <c r="O796" i="21" s="1"/>
  <c r="AA337" i="17"/>
  <c r="AA557" i="16"/>
  <c r="L557" i="21" s="1"/>
  <c r="O557" i="21" s="1"/>
  <c r="AA559" i="16"/>
  <c r="AG559" i="16" s="1"/>
  <c r="AA563" i="16"/>
  <c r="L563" i="21" s="1"/>
  <c r="O563" i="21" s="1"/>
  <c r="AA1045" i="16"/>
  <c r="AG1045" i="16" s="1"/>
  <c r="AA968" i="16"/>
  <c r="AG968" i="16" s="1"/>
  <c r="AA797" i="16"/>
  <c r="AG797" i="16" s="1"/>
  <c r="AA804" i="16"/>
  <c r="AG804" i="16" s="1"/>
  <c r="AA339" i="17"/>
  <c r="AA558" i="16"/>
  <c r="AG558" i="16" s="1"/>
  <c r="AA567" i="16"/>
  <c r="L567" i="21" s="1"/>
  <c r="O567" i="21" s="1"/>
  <c r="AA765" i="16"/>
  <c r="AG765" i="16" s="1"/>
  <c r="AA773" i="16"/>
  <c r="AG773" i="16" s="1"/>
  <c r="AA780" i="16"/>
  <c r="AG780" i="16" s="1"/>
  <c r="AA300" i="17"/>
  <c r="AA319" i="17"/>
  <c r="AA1061" i="16"/>
  <c r="L1061" i="21" s="1"/>
  <c r="O1061" i="21" s="1"/>
  <c r="AA1048" i="16"/>
  <c r="AG1048" i="16" s="1"/>
  <c r="AA798" i="16"/>
  <c r="AG798" i="16" s="1"/>
  <c r="AA342" i="17"/>
  <c r="AA341" i="17"/>
  <c r="AA561" i="16"/>
  <c r="L561" i="21" s="1"/>
  <c r="O561" i="21" s="1"/>
  <c r="AA560" i="16"/>
  <c r="L560" i="21" s="1"/>
  <c r="O560" i="21" s="1"/>
  <c r="AA1046" i="16"/>
  <c r="L1046" i="21" s="1"/>
  <c r="O1046" i="21" s="1"/>
  <c r="AA803" i="16"/>
  <c r="AG803" i="16" s="1"/>
  <c r="AA340" i="17"/>
  <c r="AA343" i="17"/>
  <c r="AA565" i="16"/>
  <c r="L565" i="21" s="1"/>
  <c r="O565" i="21" s="1"/>
  <c r="AA568" i="16"/>
  <c r="AG568" i="16" s="1"/>
  <c r="AA606" i="16"/>
  <c r="AG606" i="16" s="1"/>
  <c r="AA595" i="16"/>
  <c r="AG595" i="16" s="1"/>
  <c r="AA739" i="16"/>
  <c r="AG739" i="16" s="1"/>
  <c r="AA748" i="16"/>
  <c r="AG748" i="16" s="1"/>
  <c r="AA283" i="17"/>
  <c r="AA608" i="16"/>
  <c r="AG608" i="16" s="1"/>
  <c r="AA747" i="16"/>
  <c r="AG747" i="16" s="1"/>
  <c r="AA292" i="17"/>
  <c r="AA291" i="17"/>
  <c r="AA604" i="16"/>
  <c r="AG604" i="16" s="1"/>
  <c r="AA594" i="16"/>
  <c r="AG594" i="16" s="1"/>
  <c r="AA751" i="16"/>
  <c r="AG751" i="16" s="1"/>
  <c r="AA274" i="17"/>
  <c r="AA322" i="17"/>
  <c r="AA307" i="17"/>
  <c r="AA734" i="16"/>
  <c r="AG734" i="16" s="1"/>
  <c r="AA288" i="17"/>
  <c r="AA603" i="16"/>
  <c r="AG603" i="16" s="1"/>
  <c r="AA602" i="16"/>
  <c r="AG602" i="16" s="1"/>
  <c r="AA733" i="16"/>
  <c r="AG733" i="16" s="1"/>
  <c r="AA730" i="16"/>
  <c r="AG730" i="16" s="1"/>
  <c r="AA755" i="16"/>
  <c r="AG755" i="16" s="1"/>
  <c r="AA278" i="17"/>
  <c r="AA290" i="17"/>
  <c r="AA271" i="17"/>
  <c r="AA287" i="17"/>
  <c r="AA759" i="16"/>
  <c r="AG759" i="16" s="1"/>
  <c r="AA758" i="16"/>
  <c r="AG758" i="16" s="1"/>
  <c r="AA777" i="16"/>
  <c r="AG777" i="16" s="1"/>
  <c r="AA310" i="17"/>
  <c r="AA320" i="17"/>
  <c r="AA305" i="17"/>
  <c r="AA321" i="17"/>
  <c r="AA609" i="16"/>
  <c r="AG609" i="16" s="1"/>
  <c r="AA596" i="16"/>
  <c r="AG596" i="16" s="1"/>
  <c r="AA738" i="16"/>
  <c r="AG738" i="16" s="1"/>
  <c r="AA741" i="16"/>
  <c r="AG741" i="16" s="1"/>
  <c r="AA728" i="16"/>
  <c r="AG728" i="16" s="1"/>
  <c r="AA294" i="17"/>
  <c r="AA272" i="17"/>
  <c r="AA273" i="17"/>
  <c r="AA289" i="17"/>
  <c r="AA598" i="16"/>
  <c r="L598" i="21" s="1"/>
  <c r="O598" i="21" s="1"/>
  <c r="AA599" i="16"/>
  <c r="AG599" i="16" s="1"/>
  <c r="AA749" i="16"/>
  <c r="AG749" i="16" s="1"/>
  <c r="AA735" i="16"/>
  <c r="AG735" i="16" s="1"/>
  <c r="AA731" i="16"/>
  <c r="AG731" i="16" s="1"/>
  <c r="AA744" i="16"/>
  <c r="AG744" i="16" s="1"/>
  <c r="AA280" i="17"/>
  <c r="AA270" i="17"/>
  <c r="AA277" i="17"/>
  <c r="AA293" i="17"/>
  <c r="AA607" i="16"/>
  <c r="AG607" i="16" s="1"/>
  <c r="AA601" i="16"/>
  <c r="AG601" i="16" s="1"/>
  <c r="AA750" i="16"/>
  <c r="AG750" i="16" s="1"/>
  <c r="AA746" i="16"/>
  <c r="AG746" i="16" s="1"/>
  <c r="AA742" i="16"/>
  <c r="AG742" i="16" s="1"/>
  <c r="AA752" i="16"/>
  <c r="AG752" i="16" s="1"/>
  <c r="AA296" i="17"/>
  <c r="AA286" i="17"/>
  <c r="AA279" i="17"/>
  <c r="AA295" i="17"/>
  <c r="AA605" i="16"/>
  <c r="AG605" i="16" s="1"/>
  <c r="AA600" i="16"/>
  <c r="AG600" i="16" s="1"/>
  <c r="AA727" i="16"/>
  <c r="AG727" i="16" s="1"/>
  <c r="AA726" i="16"/>
  <c r="AG726" i="16" s="1"/>
  <c r="AA753" i="16"/>
  <c r="AG753" i="16" s="1"/>
  <c r="AA732" i="16"/>
  <c r="AG732" i="16" s="1"/>
  <c r="AA276" i="17"/>
  <c r="AA268" i="17"/>
  <c r="AA281" i="17"/>
  <c r="AA757" i="16"/>
  <c r="AG757" i="16" s="1"/>
  <c r="AA763" i="16"/>
  <c r="AG763" i="16" s="1"/>
  <c r="AA764" i="16"/>
  <c r="AG764" i="16" s="1"/>
  <c r="AA306" i="17"/>
  <c r="AA299" i="17"/>
  <c r="Y9" i="12"/>
  <c r="AB9" i="12" s="1"/>
  <c r="U9" i="24"/>
  <c r="U51" i="24" s="1"/>
  <c r="Y6" i="12"/>
  <c r="AB6" i="12" s="1"/>
  <c r="U6" i="24"/>
  <c r="U48" i="24" s="1"/>
  <c r="Y40" i="12"/>
  <c r="AB40" i="12" s="1"/>
  <c r="U40" i="24"/>
  <c r="U82" i="24" s="1"/>
  <c r="Y16" i="12"/>
  <c r="AB16" i="12" s="1"/>
  <c r="U16" i="24"/>
  <c r="U58" i="24" s="1"/>
  <c r="Y26" i="12"/>
  <c r="AB26" i="12" s="1"/>
  <c r="U26" i="24"/>
  <c r="U68" i="24" s="1"/>
  <c r="Y33" i="12"/>
  <c r="AB33" i="12" s="1"/>
  <c r="U33" i="24"/>
  <c r="U75" i="24" s="1"/>
  <c r="Y22" i="12"/>
  <c r="AB22" i="12" s="1"/>
  <c r="U22" i="24"/>
  <c r="U64" i="24" s="1"/>
  <c r="Y41" i="12"/>
  <c r="AB41" i="12" s="1"/>
  <c r="U41" i="24"/>
  <c r="U83" i="24" s="1"/>
  <c r="Y31" i="12"/>
  <c r="AB31" i="12" s="1"/>
  <c r="AA494" i="17" s="1"/>
  <c r="U31" i="24"/>
  <c r="U73" i="24" s="1"/>
  <c r="Y20" i="12"/>
  <c r="AB20" i="12" s="1"/>
  <c r="U20" i="24"/>
  <c r="U62" i="24" s="1"/>
  <c r="Y36" i="12"/>
  <c r="AB36" i="12" s="1"/>
  <c r="U36" i="24"/>
  <c r="U78" i="24" s="1"/>
  <c r="Y35" i="12"/>
  <c r="AB35" i="12" s="1"/>
  <c r="U35" i="24"/>
  <c r="U77" i="24" s="1"/>
  <c r="Y38" i="12"/>
  <c r="AB38" i="12" s="1"/>
  <c r="U38" i="24"/>
  <c r="U80" i="24" s="1"/>
  <c r="AA1060" i="16"/>
  <c r="AG1060" i="16" s="1"/>
  <c r="AA978" i="16"/>
  <c r="AG978" i="16" s="1"/>
  <c r="AA960" i="16"/>
  <c r="AG960" i="16" s="1"/>
  <c r="AA979" i="16"/>
  <c r="AG979" i="16" s="1"/>
  <c r="AA1053" i="16"/>
  <c r="AG1053" i="16" s="1"/>
  <c r="AA966" i="16"/>
  <c r="L966" i="21" s="1"/>
  <c r="O966" i="21" s="1"/>
  <c r="AA1052" i="16"/>
  <c r="AG1052" i="16" s="1"/>
  <c r="AA970" i="16"/>
  <c r="AG970" i="16" s="1"/>
  <c r="AA1063" i="16"/>
  <c r="AG1063" i="16" s="1"/>
  <c r="AA963" i="16"/>
  <c r="L963" i="21" s="1"/>
  <c r="O963" i="21" s="1"/>
  <c r="AA973" i="16"/>
  <c r="AG973" i="16" s="1"/>
  <c r="AA980" i="16"/>
  <c r="L980" i="21" s="1"/>
  <c r="O980" i="21" s="1"/>
  <c r="AA962" i="16"/>
  <c r="AG962" i="16" s="1"/>
  <c r="AA1055" i="16"/>
  <c r="AG1055" i="16" s="1"/>
  <c r="AA1057" i="16"/>
  <c r="AG1057" i="16" s="1"/>
  <c r="AA957" i="16"/>
  <c r="AG957" i="16" s="1"/>
  <c r="AA972" i="16"/>
  <c r="AG972" i="16" s="1"/>
  <c r="AA1064" i="16"/>
  <c r="L1064" i="21" s="1"/>
  <c r="O1064" i="21" s="1"/>
  <c r="AA1047" i="16"/>
  <c r="AG1047" i="16" s="1"/>
  <c r="AA977" i="16"/>
  <c r="AG977" i="16" s="1"/>
  <c r="AA1067" i="16"/>
  <c r="AG1067" i="16" s="1"/>
  <c r="AA964" i="16"/>
  <c r="L964" i="21" s="1"/>
  <c r="O964" i="21" s="1"/>
  <c r="AA1056" i="16"/>
  <c r="AG1056" i="16" s="1"/>
  <c r="AA975" i="16"/>
  <c r="AG975" i="16" s="1"/>
  <c r="AA961" i="16"/>
  <c r="AG961" i="16" s="1"/>
  <c r="AA1051" i="16"/>
  <c r="AG1051" i="16" s="1"/>
  <c r="AA1058" i="16"/>
  <c r="AG1058" i="16" s="1"/>
  <c r="AA976" i="16"/>
  <c r="AG976" i="16" s="1"/>
  <c r="AA959" i="16"/>
  <c r="L959" i="21" s="1"/>
  <c r="O959" i="21" s="1"/>
  <c r="AA974" i="16"/>
  <c r="AG974" i="16" s="1"/>
  <c r="AA1062" i="16"/>
  <c r="L1062" i="21" s="1"/>
  <c r="O1062" i="21" s="1"/>
  <c r="Y12" i="12"/>
  <c r="AB12" i="12" s="1"/>
  <c r="U12" i="24"/>
  <c r="U54" i="24" s="1"/>
  <c r="Y15" i="12"/>
  <c r="AB15" i="12" s="1"/>
  <c r="U15" i="24"/>
  <c r="U57" i="24" s="1"/>
  <c r="Y11" i="12"/>
  <c r="AB11" i="12" s="1"/>
  <c r="U11" i="24"/>
  <c r="U53" i="24" s="1"/>
  <c r="Y32" i="12"/>
  <c r="AB32" i="12" s="1"/>
  <c r="U32" i="24"/>
  <c r="U74" i="24" s="1"/>
  <c r="Y43" i="13"/>
  <c r="AA654" i="16"/>
  <c r="AG654" i="16" s="1"/>
  <c r="AA614" i="16"/>
  <c r="AG614" i="16" s="1"/>
  <c r="AA573" i="16"/>
  <c r="AG573" i="16" s="1"/>
  <c r="AA619" i="16"/>
  <c r="L619" i="21" s="1"/>
  <c r="O619" i="21" s="1"/>
  <c r="AA612" i="16"/>
  <c r="L612" i="21" s="1"/>
  <c r="O612" i="21" s="1"/>
  <c r="AA591" i="16"/>
  <c r="L591" i="21" s="1"/>
  <c r="O591" i="21" s="1"/>
  <c r="AA584" i="16"/>
  <c r="AG584" i="16" s="1"/>
  <c r="AA570" i="16"/>
  <c r="AG570" i="16" s="1"/>
  <c r="AA650" i="16"/>
  <c r="AG650" i="16" s="1"/>
  <c r="AA955" i="16"/>
  <c r="AG955" i="16" s="1"/>
  <c r="AA574" i="16"/>
  <c r="AG574" i="16" s="1"/>
  <c r="AA581" i="16"/>
  <c r="AG581" i="16" s="1"/>
  <c r="AA585" i="16"/>
  <c r="AG585" i="16" s="1"/>
  <c r="AA627" i="16"/>
  <c r="AG627" i="16" s="1"/>
  <c r="AA620" i="16"/>
  <c r="AG620" i="16" s="1"/>
  <c r="AA615" i="16"/>
  <c r="AG615" i="16" s="1"/>
  <c r="AA592" i="16"/>
  <c r="AG592" i="16" s="1"/>
  <c r="AA578" i="16"/>
  <c r="AG578" i="16" s="1"/>
  <c r="AA198" i="17"/>
  <c r="AA944" i="16"/>
  <c r="AG944" i="16" s="1"/>
  <c r="AA589" i="16"/>
  <c r="AG589" i="16" s="1"/>
  <c r="AA617" i="16"/>
  <c r="AG617" i="16" s="1"/>
  <c r="AA622" i="16"/>
  <c r="L622" i="21" s="1"/>
  <c r="O622" i="21" s="1"/>
  <c r="AA629" i="16"/>
  <c r="AG629" i="16" s="1"/>
  <c r="AA635" i="16"/>
  <c r="AG635" i="16" s="1"/>
  <c r="AA628" i="16"/>
  <c r="AG628" i="16" s="1"/>
  <c r="AA623" i="16"/>
  <c r="AG623" i="16" s="1"/>
  <c r="AA616" i="16"/>
  <c r="AG616" i="16" s="1"/>
  <c r="AA586" i="16"/>
  <c r="L586" i="21" s="1"/>
  <c r="O586" i="21" s="1"/>
  <c r="AA937" i="16"/>
  <c r="AG937" i="16" s="1"/>
  <c r="AA630" i="16"/>
  <c r="AG630" i="16" s="1"/>
  <c r="AA638" i="16"/>
  <c r="L638" i="21" s="1"/>
  <c r="O638" i="21" s="1"/>
  <c r="AA645" i="16"/>
  <c r="AG645" i="16" s="1"/>
  <c r="AA649" i="16"/>
  <c r="L649" i="21" s="1"/>
  <c r="O649" i="21" s="1"/>
  <c r="AA643" i="16"/>
  <c r="AG643" i="16" s="1"/>
  <c r="AA636" i="16"/>
  <c r="AG636" i="16" s="1"/>
  <c r="AA631" i="16"/>
  <c r="AG631" i="16" s="1"/>
  <c r="AA624" i="16"/>
  <c r="L624" i="21" s="1"/>
  <c r="O624" i="21" s="1"/>
  <c r="AA610" i="16"/>
  <c r="L951" i="21" s="1"/>
  <c r="AA945" i="16"/>
  <c r="AG945" i="16" s="1"/>
  <c r="AA653" i="16"/>
  <c r="AG653" i="16" s="1"/>
  <c r="AA637" i="16"/>
  <c r="AG637" i="16" s="1"/>
  <c r="AA593" i="16"/>
  <c r="AG593" i="16" s="1"/>
  <c r="AA571" i="16"/>
  <c r="AG571" i="16" s="1"/>
  <c r="AA651" i="16"/>
  <c r="AG651" i="16" s="1"/>
  <c r="AA644" i="16"/>
  <c r="AG644" i="16" s="1"/>
  <c r="AA639" i="16"/>
  <c r="AG639" i="16" s="1"/>
  <c r="AA632" i="16"/>
  <c r="AG632" i="16" s="1"/>
  <c r="AA618" i="16"/>
  <c r="L618" i="21" s="1"/>
  <c r="O618" i="21" s="1"/>
  <c r="AA483" i="17"/>
  <c r="AA490" i="17"/>
  <c r="AA590" i="16"/>
  <c r="L590" i="21" s="1"/>
  <c r="O590" i="21" s="1"/>
  <c r="AA577" i="16"/>
  <c r="L577" i="21" s="1"/>
  <c r="O577" i="21" s="1"/>
  <c r="AA582" i="16"/>
  <c r="AG582" i="16" s="1"/>
  <c r="AA579" i="16"/>
  <c r="AG579" i="16" s="1"/>
  <c r="AA572" i="16"/>
  <c r="AG572" i="16" s="1"/>
  <c r="AA652" i="16"/>
  <c r="L652" i="21" s="1"/>
  <c r="O652" i="21" s="1"/>
  <c r="AA647" i="16"/>
  <c r="AG647" i="16" s="1"/>
  <c r="AA640" i="16"/>
  <c r="AG640" i="16" s="1"/>
  <c r="AA626" i="16"/>
  <c r="L626" i="21" s="1"/>
  <c r="O626" i="21" s="1"/>
  <c r="AA954" i="16"/>
  <c r="AG954" i="16" s="1"/>
  <c r="AA613" i="16"/>
  <c r="AG613" i="16" s="1"/>
  <c r="AA621" i="16"/>
  <c r="AG621" i="16" s="1"/>
  <c r="AA625" i="16"/>
  <c r="AG625" i="16" s="1"/>
  <c r="AA587" i="16"/>
  <c r="AG587" i="16" s="1"/>
  <c r="AA580" i="16"/>
  <c r="L580" i="21" s="1"/>
  <c r="O580" i="21" s="1"/>
  <c r="AA575" i="16"/>
  <c r="AG575" i="16" s="1"/>
  <c r="AA655" i="16"/>
  <c r="L655" i="21" s="1"/>
  <c r="O655" i="21" s="1"/>
  <c r="AA648" i="16"/>
  <c r="AG648" i="16" s="1"/>
  <c r="AA634" i="16"/>
  <c r="AG634" i="16" s="1"/>
  <c r="AA940" i="16"/>
  <c r="AG940" i="16" s="1"/>
  <c r="AA497" i="17"/>
  <c r="AG971" i="16"/>
  <c r="AG656" i="16"/>
  <c r="AG1050" i="16"/>
  <c r="L1050" i="21"/>
  <c r="O1050" i="21" s="1"/>
  <c r="AG597" i="16"/>
  <c r="L597" i="21"/>
  <c r="O597" i="21" s="1"/>
  <c r="L955" i="21"/>
  <c r="L882" i="21"/>
  <c r="L870" i="21"/>
  <c r="O870" i="21" s="1"/>
  <c r="L920" i="21"/>
  <c r="L824" i="21"/>
  <c r="L896" i="21"/>
  <c r="O896" i="21" s="1"/>
  <c r="L611" i="21"/>
  <c r="O611" i="21" s="1"/>
  <c r="AG1068" i="16"/>
  <c r="AB5" i="13"/>
  <c r="AB45" i="12"/>
  <c r="AB45" i="13"/>
  <c r="AB45" i="11"/>
  <c r="AB45" i="10"/>
  <c r="X43" i="12"/>
  <c r="G5" i="28" l="1"/>
  <c r="G10" i="28"/>
  <c r="AG565" i="16"/>
  <c r="L898" i="21"/>
  <c r="O898" i="21" s="1"/>
  <c r="AG652" i="16"/>
  <c r="AG964" i="16"/>
  <c r="AA933" i="16"/>
  <c r="AG933" i="16" s="1"/>
  <c r="AA941" i="16"/>
  <c r="AG941" i="16" s="1"/>
  <c r="AB14" i="8"/>
  <c r="U14" i="23"/>
  <c r="U66" i="23" s="1"/>
  <c r="U35" i="23"/>
  <c r="U87" i="23" s="1"/>
  <c r="AB35" i="8"/>
  <c r="U5" i="23"/>
  <c r="U57" i="23" s="1"/>
  <c r="V53" i="8"/>
  <c r="AB5" i="8"/>
  <c r="U39" i="23"/>
  <c r="U91" i="23" s="1"/>
  <c r="AB39" i="8"/>
  <c r="AB48" i="8"/>
  <c r="U48" i="23"/>
  <c r="U100" i="23" s="1"/>
  <c r="M15" i="25"/>
  <c r="M14" i="25"/>
  <c r="AA946" i="16"/>
  <c r="AG946" i="16" s="1"/>
  <c r="U51" i="23"/>
  <c r="U103" i="23" s="1"/>
  <c r="AB51" i="8"/>
  <c r="U29" i="23"/>
  <c r="U81" i="23" s="1"/>
  <c r="AB29" i="8"/>
  <c r="U27" i="23"/>
  <c r="U79" i="23" s="1"/>
  <c r="AB27" i="8"/>
  <c r="AB44" i="8"/>
  <c r="U44" i="23"/>
  <c r="U96" i="23" s="1"/>
  <c r="U18" i="23"/>
  <c r="U70" i="23" s="1"/>
  <c r="AB18" i="8"/>
  <c r="L15" i="25"/>
  <c r="L14" i="25"/>
  <c r="X5" i="23"/>
  <c r="X57" i="23" s="1"/>
  <c r="Y53" i="8"/>
  <c r="AA492" i="17"/>
  <c r="AA947" i="16"/>
  <c r="AG947" i="16" s="1"/>
  <c r="AA481" i="17"/>
  <c r="AA482" i="17"/>
  <c r="AB37" i="8"/>
  <c r="U37" i="23"/>
  <c r="U89" i="23" s="1"/>
  <c r="U11" i="23"/>
  <c r="U63" i="23" s="1"/>
  <c r="AB11" i="8"/>
  <c r="AB47" i="8"/>
  <c r="U47" i="23"/>
  <c r="U99" i="23" s="1"/>
  <c r="U28" i="23"/>
  <c r="U80" i="23" s="1"/>
  <c r="AB28" i="8"/>
  <c r="U25" i="23"/>
  <c r="U77" i="23" s="1"/>
  <c r="AB25" i="8"/>
  <c r="U8" i="23"/>
  <c r="U60" i="23" s="1"/>
  <c r="AB8" i="8"/>
  <c r="Q14" i="25"/>
  <c r="Q15" i="25"/>
  <c r="AA475" i="17"/>
  <c r="AA949" i="16"/>
  <c r="AG949" i="16" s="1"/>
  <c r="AA952" i="16"/>
  <c r="AG952" i="16" s="1"/>
  <c r="AA936" i="16"/>
  <c r="AG936" i="16" s="1"/>
  <c r="U33" i="23"/>
  <c r="U85" i="23" s="1"/>
  <c r="AB33" i="8"/>
  <c r="U10" i="23"/>
  <c r="U62" i="23" s="1"/>
  <c r="AB10" i="8"/>
  <c r="U43" i="23"/>
  <c r="U95" i="23" s="1"/>
  <c r="AB43" i="8"/>
  <c r="AB42" i="8"/>
  <c r="U42" i="23"/>
  <c r="U94" i="23" s="1"/>
  <c r="U13" i="23"/>
  <c r="U65" i="23" s="1"/>
  <c r="AB13" i="8"/>
  <c r="U24" i="23"/>
  <c r="U76" i="23" s="1"/>
  <c r="AB24" i="8"/>
  <c r="G15" i="25"/>
  <c r="G14" i="25"/>
  <c r="F14" i="25"/>
  <c r="F15" i="25"/>
  <c r="J15" i="25"/>
  <c r="J14" i="25"/>
  <c r="U21" i="23"/>
  <c r="U73" i="23" s="1"/>
  <c r="AB21" i="8"/>
  <c r="U40" i="23"/>
  <c r="U92" i="23" s="1"/>
  <c r="AB40" i="8"/>
  <c r="U50" i="23"/>
  <c r="U102" i="23" s="1"/>
  <c r="AB50" i="8"/>
  <c r="U19" i="23"/>
  <c r="U71" i="23" s="1"/>
  <c r="AB19" i="8"/>
  <c r="S32" i="9"/>
  <c r="S32" i="23" s="1"/>
  <c r="S84" i="23" s="1"/>
  <c r="S13" i="9"/>
  <c r="S13" i="23" s="1"/>
  <c r="S65" i="23" s="1"/>
  <c r="S31" i="9"/>
  <c r="S31" i="23" s="1"/>
  <c r="S83" i="23" s="1"/>
  <c r="S7" i="9"/>
  <c r="S7" i="23" s="1"/>
  <c r="S59" i="23" s="1"/>
  <c r="S36" i="9"/>
  <c r="S36" i="23" s="1"/>
  <c r="S88" i="23" s="1"/>
  <c r="S29" i="9"/>
  <c r="S29" i="23" s="1"/>
  <c r="S81" i="23" s="1"/>
  <c r="S9" i="9"/>
  <c r="S9" i="23" s="1"/>
  <c r="S61" i="23" s="1"/>
  <c r="S27" i="9"/>
  <c r="S27" i="23" s="1"/>
  <c r="S79" i="23" s="1"/>
  <c r="S41" i="9"/>
  <c r="S41" i="23" s="1"/>
  <c r="S93" i="23" s="1"/>
  <c r="S5" i="9"/>
  <c r="S43" i="9"/>
  <c r="S43" i="23" s="1"/>
  <c r="S95" i="23" s="1"/>
  <c r="S33" i="9"/>
  <c r="S33" i="23" s="1"/>
  <c r="S85" i="23" s="1"/>
  <c r="S19" i="9"/>
  <c r="S19" i="23" s="1"/>
  <c r="S71" i="23" s="1"/>
  <c r="S50" i="9"/>
  <c r="S50" i="23" s="1"/>
  <c r="S102" i="23" s="1"/>
  <c r="S42" i="9"/>
  <c r="S42" i="23" s="1"/>
  <c r="S94" i="23" s="1"/>
  <c r="S44" i="9"/>
  <c r="S44" i="23" s="1"/>
  <c r="S96" i="23" s="1"/>
  <c r="S30" i="9"/>
  <c r="S30" i="23" s="1"/>
  <c r="S82" i="23" s="1"/>
  <c r="S23" i="9"/>
  <c r="S23" i="23" s="1"/>
  <c r="S75" i="23" s="1"/>
  <c r="S22" i="9"/>
  <c r="S22" i="23" s="1"/>
  <c r="S74" i="23" s="1"/>
  <c r="S40" i="9"/>
  <c r="S40" i="23" s="1"/>
  <c r="S92" i="23" s="1"/>
  <c r="S24" i="9"/>
  <c r="S24" i="23" s="1"/>
  <c r="S76" i="23" s="1"/>
  <c r="S47" i="9"/>
  <c r="S47" i="23" s="1"/>
  <c r="S99" i="23" s="1"/>
  <c r="S39" i="9"/>
  <c r="S39" i="23" s="1"/>
  <c r="S91" i="23" s="1"/>
  <c r="S48" i="9"/>
  <c r="S48" i="23" s="1"/>
  <c r="S100" i="23" s="1"/>
  <c r="S38" i="9"/>
  <c r="S38" i="23" s="1"/>
  <c r="S90" i="23" s="1"/>
  <c r="S12" i="9"/>
  <c r="S12" i="23" s="1"/>
  <c r="S64" i="23" s="1"/>
  <c r="S25" i="9"/>
  <c r="S25" i="23" s="1"/>
  <c r="S77" i="23" s="1"/>
  <c r="S49" i="9"/>
  <c r="S49" i="23" s="1"/>
  <c r="S101" i="23" s="1"/>
  <c r="S14" i="9"/>
  <c r="S14" i="23" s="1"/>
  <c r="S66" i="23" s="1"/>
  <c r="S46" i="9"/>
  <c r="S46" i="23" s="1"/>
  <c r="S98" i="23" s="1"/>
  <c r="S17" i="9"/>
  <c r="S17" i="23" s="1"/>
  <c r="S69" i="23" s="1"/>
  <c r="S18" i="9"/>
  <c r="S18" i="23" s="1"/>
  <c r="S70" i="23" s="1"/>
  <c r="S34" i="9"/>
  <c r="S34" i="23" s="1"/>
  <c r="S86" i="23" s="1"/>
  <c r="S51" i="9"/>
  <c r="S51" i="23" s="1"/>
  <c r="S103" i="23" s="1"/>
  <c r="S15" i="9"/>
  <c r="S15" i="23" s="1"/>
  <c r="S67" i="23" s="1"/>
  <c r="S11" i="9"/>
  <c r="S11" i="23" s="1"/>
  <c r="S63" i="23" s="1"/>
  <c r="S26" i="9"/>
  <c r="S26" i="23" s="1"/>
  <c r="S78" i="23" s="1"/>
  <c r="S10" i="9"/>
  <c r="S10" i="23" s="1"/>
  <c r="S62" i="23" s="1"/>
  <c r="S20" i="9"/>
  <c r="S20" i="23" s="1"/>
  <c r="S72" i="23" s="1"/>
  <c r="S16" i="9"/>
  <c r="S16" i="23" s="1"/>
  <c r="S68" i="23" s="1"/>
  <c r="S6" i="9"/>
  <c r="S6" i="23" s="1"/>
  <c r="S58" i="23" s="1"/>
  <c r="S35" i="9"/>
  <c r="S35" i="23" s="1"/>
  <c r="S87" i="23" s="1"/>
  <c r="S8" i="9"/>
  <c r="S8" i="23" s="1"/>
  <c r="S60" i="23" s="1"/>
  <c r="S37" i="9"/>
  <c r="S37" i="23" s="1"/>
  <c r="S89" i="23" s="1"/>
  <c r="S21" i="9"/>
  <c r="S21" i="23" s="1"/>
  <c r="S73" i="23" s="1"/>
  <c r="S45" i="9"/>
  <c r="S45" i="23" s="1"/>
  <c r="S97" i="23" s="1"/>
  <c r="S28" i="9"/>
  <c r="S28" i="23" s="1"/>
  <c r="S80" i="23" s="1"/>
  <c r="AB16" i="8"/>
  <c r="U16" i="23"/>
  <c r="U68" i="23" s="1"/>
  <c r="AA935" i="16"/>
  <c r="AG935" i="16" s="1"/>
  <c r="AA485" i="17"/>
  <c r="AB20" i="8"/>
  <c r="U20" i="23"/>
  <c r="U72" i="23" s="1"/>
  <c r="U7" i="23"/>
  <c r="U59" i="23" s="1"/>
  <c r="AB7" i="8"/>
  <c r="U30" i="23"/>
  <c r="U82" i="23" s="1"/>
  <c r="AB30" i="8"/>
  <c r="U9" i="23"/>
  <c r="U61" i="23" s="1"/>
  <c r="AB9" i="8"/>
  <c r="C9" i="25"/>
  <c r="C11" i="25"/>
  <c r="H9" i="25"/>
  <c r="H11" i="25"/>
  <c r="H7" i="25"/>
  <c r="H13" i="25" s="1"/>
  <c r="AB15" i="8"/>
  <c r="AA478" i="17"/>
  <c r="AA479" i="17"/>
  <c r="AA484" i="17"/>
  <c r="AB6" i="8"/>
  <c r="U6" i="23"/>
  <c r="U58" i="23" s="1"/>
  <c r="AB12" i="8"/>
  <c r="U12" i="23"/>
  <c r="U64" i="23" s="1"/>
  <c r="U36" i="23"/>
  <c r="U88" i="23" s="1"/>
  <c r="AB36" i="8"/>
  <c r="U38" i="23"/>
  <c r="U90" i="23" s="1"/>
  <c r="AB38" i="8"/>
  <c r="U46" i="23"/>
  <c r="U98" i="23" s="1"/>
  <c r="AB46" i="8"/>
  <c r="U17" i="23"/>
  <c r="U69" i="23" s="1"/>
  <c r="AB17" i="8"/>
  <c r="T14" i="25"/>
  <c r="T15" i="25"/>
  <c r="E15" i="25"/>
  <c r="E14" i="25"/>
  <c r="B15" i="25"/>
  <c r="B14" i="25"/>
  <c r="U45" i="23"/>
  <c r="U97" i="23" s="1"/>
  <c r="AB45" i="8"/>
  <c r="U31" i="23"/>
  <c r="U83" i="23" s="1"/>
  <c r="AB31" i="8"/>
  <c r="U32" i="23"/>
  <c r="U84" i="23" s="1"/>
  <c r="AB32" i="8"/>
  <c r="U34" i="23"/>
  <c r="U86" i="23" s="1"/>
  <c r="AB34" i="8"/>
  <c r="AB22" i="8"/>
  <c r="U22" i="23"/>
  <c r="U74" i="23" s="1"/>
  <c r="U41" i="23"/>
  <c r="U93" i="23" s="1"/>
  <c r="AB41" i="8"/>
  <c r="AB49" i="8"/>
  <c r="AG981" i="16"/>
  <c r="L1066" i="21"/>
  <c r="O1066" i="21" s="1"/>
  <c r="L633" i="21"/>
  <c r="O633" i="21" s="1"/>
  <c r="AG562" i="16"/>
  <c r="L1045" i="21"/>
  <c r="O1045" i="21" s="1"/>
  <c r="L794" i="21"/>
  <c r="O794" i="21" s="1"/>
  <c r="L746" i="21"/>
  <c r="L685" i="21"/>
  <c r="AG802" i="16"/>
  <c r="L747" i="21"/>
  <c r="O747" i="21" s="1"/>
  <c r="L663" i="21"/>
  <c r="AG624" i="16"/>
  <c r="L780" i="21"/>
  <c r="O780" i="21" s="1"/>
  <c r="L739" i="21"/>
  <c r="O739" i="21" s="1"/>
  <c r="L756" i="21"/>
  <c r="O756" i="21" s="1"/>
  <c r="L676" i="21"/>
  <c r="L558" i="21"/>
  <c r="O558" i="21" s="1"/>
  <c r="L682" i="21"/>
  <c r="L740" i="21"/>
  <c r="AG1065" i="16"/>
  <c r="L766" i="21"/>
  <c r="O766" i="21" s="1"/>
  <c r="L737" i="21"/>
  <c r="O737" i="21" s="1"/>
  <c r="L736" i="21"/>
  <c r="O736" i="21" s="1"/>
  <c r="L719" i="21"/>
  <c r="L714" i="21"/>
  <c r="AG963" i="16"/>
  <c r="L800" i="21"/>
  <c r="O800" i="21" s="1"/>
  <c r="L868" i="21"/>
  <c r="O868" i="21" s="1"/>
  <c r="L818" i="21"/>
  <c r="O818" i="21" s="1"/>
  <c r="L827" i="21"/>
  <c r="O827" i="21" s="1"/>
  <c r="L942" i="21"/>
  <c r="L583" i="21"/>
  <c r="O583" i="21" s="1"/>
  <c r="L914" i="21"/>
  <c r="O914" i="21" s="1"/>
  <c r="L928" i="21"/>
  <c r="O928" i="21" s="1"/>
  <c r="L843" i="21"/>
  <c r="O843" i="21" s="1"/>
  <c r="L917" i="21"/>
  <c r="O917" i="21" s="1"/>
  <c r="L630" i="21"/>
  <c r="O630" i="21" s="1"/>
  <c r="L646" i="21"/>
  <c r="O646" i="21" s="1"/>
  <c r="L830" i="21"/>
  <c r="O830" i="21" s="1"/>
  <c r="L849" i="21"/>
  <c r="O849" i="21" s="1"/>
  <c r="L859" i="21"/>
  <c r="O859" i="21" s="1"/>
  <c r="L921" i="21"/>
  <c r="O921" i="21" s="1"/>
  <c r="L892" i="21"/>
  <c r="O892" i="21" s="1"/>
  <c r="L853" i="21"/>
  <c r="O853" i="21" s="1"/>
  <c r="L863" i="21"/>
  <c r="O863" i="21" s="1"/>
  <c r="L953" i="21"/>
  <c r="L962" i="21"/>
  <c r="O962" i="21" s="1"/>
  <c r="L895" i="21"/>
  <c r="O895" i="21" s="1"/>
  <c r="L881" i="21"/>
  <c r="O881" i="21" s="1"/>
  <c r="L904" i="21"/>
  <c r="L907" i="21"/>
  <c r="O907" i="21" s="1"/>
  <c r="L819" i="21"/>
  <c r="O819" i="21" s="1"/>
  <c r="L885" i="21"/>
  <c r="O885" i="21" s="1"/>
  <c r="L850" i="21"/>
  <c r="L939" i="21"/>
  <c r="L625" i="21"/>
  <c r="O625" i="21" s="1"/>
  <c r="L623" i="21"/>
  <c r="O623" i="21" s="1"/>
  <c r="L555" i="21"/>
  <c r="O555" i="21" s="1"/>
  <c r="AG563" i="16"/>
  <c r="AG564" i="16"/>
  <c r="AG641" i="16"/>
  <c r="L1053" i="21"/>
  <c r="O1053" i="21" s="1"/>
  <c r="AG959" i="16"/>
  <c r="L588" i="21"/>
  <c r="O588" i="21" s="1"/>
  <c r="AG591" i="16"/>
  <c r="L968" i="21"/>
  <c r="O968" i="21" s="1"/>
  <c r="O882" i="21"/>
  <c r="AG967" i="16"/>
  <c r="L607" i="21"/>
  <c r="O607" i="21" s="1"/>
  <c r="L608" i="21"/>
  <c r="O608" i="21" s="1"/>
  <c r="L795" i="21"/>
  <c r="O795" i="21" s="1"/>
  <c r="L798" i="21"/>
  <c r="O798" i="21" s="1"/>
  <c r="L1067" i="21"/>
  <c r="O1067" i="21" s="1"/>
  <c r="O740" i="21"/>
  <c r="AG577" i="16"/>
  <c r="L606" i="21"/>
  <c r="O606" i="21" s="1"/>
  <c r="AG556" i="16"/>
  <c r="L604" i="21"/>
  <c r="O604" i="21" s="1"/>
  <c r="AG618" i="16"/>
  <c r="L616" i="21"/>
  <c r="O616" i="21" s="1"/>
  <c r="AG590" i="16"/>
  <c r="L653" i="21"/>
  <c r="O653" i="21" s="1"/>
  <c r="L965" i="21"/>
  <c r="O965" i="21" s="1"/>
  <c r="L642" i="21"/>
  <c r="O642" i="21" s="1"/>
  <c r="L568" i="21"/>
  <c r="O568" i="21" s="1"/>
  <c r="AG554" i="16"/>
  <c r="AG1049" i="16"/>
  <c r="L948" i="21"/>
  <c r="L840" i="21"/>
  <c r="O840" i="21" s="1"/>
  <c r="L938" i="21"/>
  <c r="L922" i="21"/>
  <c r="O922" i="21" s="1"/>
  <c r="L875" i="21"/>
  <c r="O875" i="21" s="1"/>
  <c r="L944" i="21"/>
  <c r="O944" i="21" s="1"/>
  <c r="L923" i="21"/>
  <c r="O923" i="21" s="1"/>
  <c r="L974" i="21"/>
  <c r="O974" i="21" s="1"/>
  <c r="AA943" i="16"/>
  <c r="AG943" i="16" s="1"/>
  <c r="AA934" i="16"/>
  <c r="AG934" i="16" s="1"/>
  <c r="AA486" i="17"/>
  <c r="AA493" i="17"/>
  <c r="AA477" i="17"/>
  <c r="L834" i="21"/>
  <c r="O834" i="21" s="1"/>
  <c r="L946" i="21"/>
  <c r="L833" i="21"/>
  <c r="O833" i="21" s="1"/>
  <c r="L924" i="21"/>
  <c r="O924" i="21" s="1"/>
  <c r="L902" i="21"/>
  <c r="O902" i="21" s="1"/>
  <c r="L901" i="21"/>
  <c r="O901" i="21" s="1"/>
  <c r="L927" i="21"/>
  <c r="O927" i="21" s="1"/>
  <c r="AA950" i="16"/>
  <c r="AG950" i="16" s="1"/>
  <c r="AA488" i="17"/>
  <c r="AA487" i="17"/>
  <c r="AA491" i="17"/>
  <c r="AA956" i="16"/>
  <c r="AG956" i="16" s="1"/>
  <c r="L587" i="21"/>
  <c r="O587" i="21" s="1"/>
  <c r="L926" i="21"/>
  <c r="O926" i="21" s="1"/>
  <c r="L891" i="21"/>
  <c r="O891" i="21" s="1"/>
  <c r="L865" i="21"/>
  <c r="O865" i="21" s="1"/>
  <c r="L831" i="21"/>
  <c r="O831" i="21" s="1"/>
  <c r="L866" i="21"/>
  <c r="O866" i="21" s="1"/>
  <c r="L933" i="21"/>
  <c r="O933" i="21" s="1"/>
  <c r="AG610" i="16"/>
  <c r="AA476" i="17"/>
  <c r="AA489" i="17"/>
  <c r="AA938" i="16"/>
  <c r="AG938" i="16" s="1"/>
  <c r="AA942" i="16"/>
  <c r="AG942" i="16" s="1"/>
  <c r="AA953" i="16"/>
  <c r="AG953" i="16" s="1"/>
  <c r="L949" i="21"/>
  <c r="AA498" i="17"/>
  <c r="L761" i="21"/>
  <c r="O761" i="21" s="1"/>
  <c r="L700" i="21"/>
  <c r="L668" i="21"/>
  <c r="L958" i="21"/>
  <c r="O958" i="21" s="1"/>
  <c r="AG557" i="16"/>
  <c r="L659" i="21"/>
  <c r="L741" i="21"/>
  <c r="O741" i="21" s="1"/>
  <c r="L690" i="21"/>
  <c r="L730" i="21"/>
  <c r="O730" i="21" s="1"/>
  <c r="L770" i="21"/>
  <c r="O770" i="21" s="1"/>
  <c r="L744" i="21"/>
  <c r="O744" i="21" s="1"/>
  <c r="L677" i="21"/>
  <c r="L751" i="21"/>
  <c r="O751" i="21" s="1"/>
  <c r="L750" i="21"/>
  <c r="O750" i="21" s="1"/>
  <c r="AG1061" i="16"/>
  <c r="AG1064" i="16"/>
  <c r="L644" i="21"/>
  <c r="O644" i="21" s="1"/>
  <c r="AG1046" i="16"/>
  <c r="O904" i="21"/>
  <c r="L686" i="21"/>
  <c r="L771" i="21"/>
  <c r="O771" i="21" s="1"/>
  <c r="L683" i="21"/>
  <c r="L704" i="21"/>
  <c r="L669" i="21"/>
  <c r="L707" i="21"/>
  <c r="L758" i="21"/>
  <c r="O758" i="21" s="1"/>
  <c r="L718" i="21"/>
  <c r="L672" i="21"/>
  <c r="L769" i="21"/>
  <c r="O769" i="21" s="1"/>
  <c r="L709" i="21"/>
  <c r="L694" i="21"/>
  <c r="L767" i="21"/>
  <c r="O767" i="21" s="1"/>
  <c r="L755" i="21"/>
  <c r="O755" i="21" s="1"/>
  <c r="L699" i="21"/>
  <c r="L763" i="21"/>
  <c r="O763" i="21" s="1"/>
  <c r="AG622" i="16"/>
  <c r="L594" i="21"/>
  <c r="O594" i="21" s="1"/>
  <c r="L675" i="21"/>
  <c r="L691" i="21"/>
  <c r="L665" i="21"/>
  <c r="L697" i="21"/>
  <c r="L978" i="21"/>
  <c r="O978" i="21" s="1"/>
  <c r="O850" i="21"/>
  <c r="L717" i="21"/>
  <c r="L773" i="21"/>
  <c r="O773" i="21" s="1"/>
  <c r="L609" i="21"/>
  <c r="O609" i="21" s="1"/>
  <c r="L764" i="21"/>
  <c r="O764" i="21" s="1"/>
  <c r="L660" i="21"/>
  <c r="L757" i="21"/>
  <c r="L745" i="21"/>
  <c r="O745" i="21" s="1"/>
  <c r="L743" i="21"/>
  <c r="O743" i="21" s="1"/>
  <c r="L698" i="21"/>
  <c r="L666" i="21"/>
  <c r="L689" i="21"/>
  <c r="L754" i="21"/>
  <c r="O754" i="21" s="1"/>
  <c r="L648" i="21"/>
  <c r="O648" i="21" s="1"/>
  <c r="L614" i="21"/>
  <c r="O614" i="21" s="1"/>
  <c r="O955" i="21"/>
  <c r="L657" i="21"/>
  <c r="L723" i="21"/>
  <c r="L724" i="21"/>
  <c r="L721" i="21"/>
  <c r="L708" i="21"/>
  <c r="L1051" i="21"/>
  <c r="O1051" i="21" s="1"/>
  <c r="L662" i="21"/>
  <c r="L692" i="21"/>
  <c r="L703" i="21"/>
  <c r="L735" i="21"/>
  <c r="L716" i="21"/>
  <c r="L728" i="21"/>
  <c r="O728" i="21" s="1"/>
  <c r="L779" i="21"/>
  <c r="O779" i="21" s="1"/>
  <c r="L738" i="21"/>
  <c r="O738" i="21" s="1"/>
  <c r="L684" i="21"/>
  <c r="L661" i="21"/>
  <c r="L742" i="21"/>
  <c r="O742" i="21" s="1"/>
  <c r="L710" i="21"/>
  <c r="L778" i="21"/>
  <c r="O778" i="21" s="1"/>
  <c r="L781" i="21"/>
  <c r="O781" i="21" s="1"/>
  <c r="L713" i="21"/>
  <c r="L777" i="21"/>
  <c r="O777" i="21" s="1"/>
  <c r="L603" i="21"/>
  <c r="O603" i="21" s="1"/>
  <c r="L688" i="21"/>
  <c r="L695" i="21"/>
  <c r="L706" i="21"/>
  <c r="L762" i="21"/>
  <c r="O762" i="21" s="1"/>
  <c r="L1047" i="21"/>
  <c r="O1047" i="21" s="1"/>
  <c r="L961" i="21"/>
  <c r="O961" i="21" s="1"/>
  <c r="L674" i="21"/>
  <c r="L687" i="21"/>
  <c r="L678" i="21"/>
  <c r="L705" i="21"/>
  <c r="L772" i="21"/>
  <c r="O772" i="21" s="1"/>
  <c r="AG580" i="16"/>
  <c r="L647" i="21"/>
  <c r="O647" i="21" s="1"/>
  <c r="L671" i="21"/>
  <c r="L711" i="21"/>
  <c r="L712" i="21"/>
  <c r="L749" i="21"/>
  <c r="O749" i="21" s="1"/>
  <c r="L726" i="21"/>
  <c r="O726" i="21" s="1"/>
  <c r="L768" i="21"/>
  <c r="O768" i="21" s="1"/>
  <c r="L664" i="21"/>
  <c r="L752" i="21"/>
  <c r="O752" i="21" s="1"/>
  <c r="L696" i="21"/>
  <c r="L673" i="21"/>
  <c r="L748" i="21"/>
  <c r="O748" i="21" s="1"/>
  <c r="L715" i="21"/>
  <c r="L729" i="21"/>
  <c r="O729" i="21" s="1"/>
  <c r="L658" i="21"/>
  <c r="L722" i="21"/>
  <c r="AG756" i="16"/>
  <c r="L576" i="21"/>
  <c r="O576" i="21" s="1"/>
  <c r="L774" i="21"/>
  <c r="O774" i="21" s="1"/>
  <c r="L727" i="21"/>
  <c r="O727" i="21" s="1"/>
  <c r="L681" i="21"/>
  <c r="L693" i="21"/>
  <c r="L765" i="21"/>
  <c r="O765" i="21" s="1"/>
  <c r="L775" i="21"/>
  <c r="O775" i="21" s="1"/>
  <c r="L760" i="21"/>
  <c r="O760" i="21" s="1"/>
  <c r="L803" i="21"/>
  <c r="O803" i="21" s="1"/>
  <c r="AG598" i="16"/>
  <c r="L701" i="21"/>
  <c r="L732" i="21"/>
  <c r="O732" i="21" s="1"/>
  <c r="L733" i="21"/>
  <c r="O733" i="21" s="1"/>
  <c r="L725" i="21"/>
  <c r="L753" i="21"/>
  <c r="O753" i="21" s="1"/>
  <c r="L680" i="21"/>
  <c r="L670" i="21"/>
  <c r="L759" i="21"/>
  <c r="O759" i="21" s="1"/>
  <c r="L702" i="21"/>
  <c r="L679" i="21"/>
  <c r="L776" i="21"/>
  <c r="O776" i="21" s="1"/>
  <c r="L720" i="21"/>
  <c r="L734" i="21"/>
  <c r="O734" i="21" s="1"/>
  <c r="L667" i="21"/>
  <c r="L1063" i="21"/>
  <c r="O1063" i="21" s="1"/>
  <c r="L595" i="21"/>
  <c r="O595" i="21" s="1"/>
  <c r="AG655" i="16"/>
  <c r="AG560" i="16"/>
  <c r="L1060" i="21"/>
  <c r="O1060" i="21" s="1"/>
  <c r="L972" i="21"/>
  <c r="O972" i="21" s="1"/>
  <c r="AG796" i="16"/>
  <c r="AG649" i="16"/>
  <c r="L799" i="21"/>
  <c r="O799" i="21" s="1"/>
  <c r="L650" i="21"/>
  <c r="O650" i="21" s="1"/>
  <c r="L651" i="21"/>
  <c r="O651" i="21" s="1"/>
  <c r="L801" i="21"/>
  <c r="O801" i="21" s="1"/>
  <c r="L804" i="21"/>
  <c r="O804" i="21" s="1"/>
  <c r="L654" i="21"/>
  <c r="O654" i="21" s="1"/>
  <c r="L797" i="21"/>
  <c r="O797" i="21" s="1"/>
  <c r="O920" i="21"/>
  <c r="AG638" i="16"/>
  <c r="O824" i="21"/>
  <c r="AG626" i="16"/>
  <c r="L1054" i="21"/>
  <c r="O1054" i="21" s="1"/>
  <c r="AG980" i="16"/>
  <c r="L969" i="21"/>
  <c r="O969" i="21" s="1"/>
  <c r="AG567" i="16"/>
  <c r="L957" i="21"/>
  <c r="O957" i="21" s="1"/>
  <c r="L571" i="21"/>
  <c r="O571" i="21" s="1"/>
  <c r="L975" i="21"/>
  <c r="O975" i="21" s="1"/>
  <c r="L645" i="21"/>
  <c r="O645" i="21" s="1"/>
  <c r="AG561" i="16"/>
  <c r="L600" i="21"/>
  <c r="O600" i="21" s="1"/>
  <c r="L1059" i="21"/>
  <c r="O1059" i="21" s="1"/>
  <c r="L970" i="21"/>
  <c r="O970" i="21" s="1"/>
  <c r="O746" i="21"/>
  <c r="L805" i="21"/>
  <c r="O805" i="21" s="1"/>
  <c r="O757" i="21"/>
  <c r="L570" i="21"/>
  <c r="O570" i="21" s="1"/>
  <c r="L566" i="21"/>
  <c r="O566" i="21" s="1"/>
  <c r="Y43" i="12"/>
  <c r="L621" i="21"/>
  <c r="O621" i="21" s="1"/>
  <c r="L559" i="21"/>
  <c r="O559" i="21" s="1"/>
  <c r="L977" i="21"/>
  <c r="O977" i="21" s="1"/>
  <c r="L599" i="21"/>
  <c r="O599" i="21" s="1"/>
  <c r="L569" i="21"/>
  <c r="O569" i="21" s="1"/>
  <c r="L1048" i="21"/>
  <c r="O1048" i="21" s="1"/>
  <c r="L976" i="21"/>
  <c r="O976" i="21" s="1"/>
  <c r="L979" i="21"/>
  <c r="O979" i="21" s="1"/>
  <c r="AB43" i="12"/>
  <c r="L601" i="21"/>
  <c r="O601" i="21" s="1"/>
  <c r="L846" i="21"/>
  <c r="O846" i="21" s="1"/>
  <c r="L820" i="21"/>
  <c r="O820" i="21" s="1"/>
  <c r="L908" i="21"/>
  <c r="O908" i="21" s="1"/>
  <c r="L822" i="21"/>
  <c r="O822" i="21" s="1"/>
  <c r="L852" i="21"/>
  <c r="O852" i="21" s="1"/>
  <c r="L825" i="21"/>
  <c r="O825" i="21" s="1"/>
  <c r="L857" i="21"/>
  <c r="O857" i="21" s="1"/>
  <c r="L889" i="21"/>
  <c r="O889" i="21" s="1"/>
  <c r="L954" i="21"/>
  <c r="O954" i="21" s="1"/>
  <c r="L835" i="21"/>
  <c r="O835" i="21" s="1"/>
  <c r="L867" i="21"/>
  <c r="O867" i="21" s="1"/>
  <c r="L934" i="21"/>
  <c r="L874" i="21"/>
  <c r="O874" i="21" s="1"/>
  <c r="L893" i="21"/>
  <c r="O893" i="21" s="1"/>
  <c r="L925" i="21"/>
  <c r="O925" i="21" s="1"/>
  <c r="L899" i="21"/>
  <c r="O899" i="21" s="1"/>
  <c r="L931" i="21"/>
  <c r="O931" i="21" s="1"/>
  <c r="L1058" i="21"/>
  <c r="O1058" i="21" s="1"/>
  <c r="AG1062" i="16"/>
  <c r="L634" i="21"/>
  <c r="O634" i="21" s="1"/>
  <c r="L890" i="21"/>
  <c r="O890" i="21" s="1"/>
  <c r="L823" i="21"/>
  <c r="O823" i="21" s="1"/>
  <c r="L838" i="21"/>
  <c r="O838" i="21" s="1"/>
  <c r="L876" i="21"/>
  <c r="O876" i="21" s="1"/>
  <c r="L884" i="21"/>
  <c r="O884" i="21" s="1"/>
  <c r="L829" i="21"/>
  <c r="O829" i="21" s="1"/>
  <c r="L861" i="21"/>
  <c r="O861" i="21" s="1"/>
  <c r="L918" i="21"/>
  <c r="O918" i="21" s="1"/>
  <c r="L956" i="21"/>
  <c r="L839" i="21"/>
  <c r="O839" i="21" s="1"/>
  <c r="L871" i="21"/>
  <c r="O871" i="21" s="1"/>
  <c r="L936" i="21"/>
  <c r="O936" i="21" s="1"/>
  <c r="L878" i="21"/>
  <c r="O878" i="21" s="1"/>
  <c r="L897" i="21"/>
  <c r="O897" i="21" s="1"/>
  <c r="L929" i="21"/>
  <c r="O929" i="21" s="1"/>
  <c r="L903" i="21"/>
  <c r="O903" i="21" s="1"/>
  <c r="L935" i="21"/>
  <c r="O935" i="21" s="1"/>
  <c r="L637" i="21"/>
  <c r="O637" i="21" s="1"/>
  <c r="L826" i="21"/>
  <c r="O826" i="21" s="1"/>
  <c r="L821" i="21"/>
  <c r="O821" i="21" s="1"/>
  <c r="L950" i="21"/>
  <c r="L847" i="21"/>
  <c r="O847" i="21" s="1"/>
  <c r="L854" i="21"/>
  <c r="O854" i="21" s="1"/>
  <c r="L886" i="21"/>
  <c r="O886" i="21" s="1"/>
  <c r="L905" i="21"/>
  <c r="O905" i="21" s="1"/>
  <c r="L937" i="21"/>
  <c r="O937" i="21" s="1"/>
  <c r="L943" i="21"/>
  <c r="O735" i="21"/>
  <c r="L602" i="21"/>
  <c r="O602" i="21" s="1"/>
  <c r="L832" i="21"/>
  <c r="O832" i="21" s="1"/>
  <c r="L869" i="21"/>
  <c r="O869" i="21" s="1"/>
  <c r="L973" i="21"/>
  <c r="O973" i="21" s="1"/>
  <c r="L613" i="21"/>
  <c r="O613" i="21" s="1"/>
  <c r="L1055" i="21"/>
  <c r="O1055" i="21" s="1"/>
  <c r="L640" i="21"/>
  <c r="O640" i="21" s="1"/>
  <c r="AG966" i="16"/>
  <c r="L844" i="21"/>
  <c r="O844" i="21" s="1"/>
  <c r="L828" i="21"/>
  <c r="O828" i="21" s="1"/>
  <c r="L848" i="21"/>
  <c r="O848" i="21" s="1"/>
  <c r="L856" i="21"/>
  <c r="O856" i="21" s="1"/>
  <c r="L940" i="21"/>
  <c r="O940" i="21" s="1"/>
  <c r="L872" i="21"/>
  <c r="O872" i="21" s="1"/>
  <c r="L841" i="21"/>
  <c r="O841" i="21" s="1"/>
  <c r="L873" i="21"/>
  <c r="O873" i="21" s="1"/>
  <c r="L952" i="21"/>
  <c r="O952" i="21" s="1"/>
  <c r="L930" i="21"/>
  <c r="O930" i="21" s="1"/>
  <c r="L851" i="21"/>
  <c r="O851" i="21" s="1"/>
  <c r="L883" i="21"/>
  <c r="O883" i="21" s="1"/>
  <c r="L858" i="21"/>
  <c r="O858" i="21" s="1"/>
  <c r="L910" i="21"/>
  <c r="O910" i="21" s="1"/>
  <c r="L909" i="21"/>
  <c r="O909" i="21" s="1"/>
  <c r="L941" i="21"/>
  <c r="L915" i="21"/>
  <c r="O915" i="21" s="1"/>
  <c r="L947" i="21"/>
  <c r="O947" i="21" s="1"/>
  <c r="L596" i="21"/>
  <c r="O596" i="21" s="1"/>
  <c r="L593" i="21"/>
  <c r="O593" i="21" s="1"/>
  <c r="L610" i="21"/>
  <c r="O610" i="21" s="1"/>
  <c r="L842" i="21"/>
  <c r="O842" i="21" s="1"/>
  <c r="L906" i="21"/>
  <c r="O906" i="21" s="1"/>
  <c r="L837" i="21"/>
  <c r="O837" i="21" s="1"/>
  <c r="L900" i="21"/>
  <c r="O900" i="21" s="1"/>
  <c r="L879" i="21"/>
  <c r="O879" i="21" s="1"/>
  <c r="L911" i="21"/>
  <c r="O911" i="21" s="1"/>
  <c r="L836" i="21"/>
  <c r="O836" i="21" s="1"/>
  <c r="L860" i="21"/>
  <c r="O860" i="21" s="1"/>
  <c r="L880" i="21"/>
  <c r="O880" i="21" s="1"/>
  <c r="L888" i="21"/>
  <c r="O888" i="21" s="1"/>
  <c r="L864" i="21"/>
  <c r="O864" i="21" s="1"/>
  <c r="L916" i="21"/>
  <c r="O916" i="21" s="1"/>
  <c r="L845" i="21"/>
  <c r="O845" i="21" s="1"/>
  <c r="L877" i="21"/>
  <c r="O877" i="21" s="1"/>
  <c r="L894" i="21"/>
  <c r="O894" i="21" s="1"/>
  <c r="L932" i="21"/>
  <c r="O932" i="21" s="1"/>
  <c r="L855" i="21"/>
  <c r="O855" i="21" s="1"/>
  <c r="L887" i="21"/>
  <c r="O887" i="21" s="1"/>
  <c r="L862" i="21"/>
  <c r="O862" i="21" s="1"/>
  <c r="L912" i="21"/>
  <c r="O912" i="21" s="1"/>
  <c r="L913" i="21"/>
  <c r="O913" i="21" s="1"/>
  <c r="L945" i="21"/>
  <c r="O945" i="21" s="1"/>
  <c r="L919" i="21"/>
  <c r="O919" i="21" s="1"/>
  <c r="AG586" i="16"/>
  <c r="L1052" i="21"/>
  <c r="O1052" i="21" s="1"/>
  <c r="O731" i="21"/>
  <c r="L589" i="21"/>
  <c r="O589" i="21" s="1"/>
  <c r="K7" i="26"/>
  <c r="M7" i="26" s="1"/>
  <c r="M13" i="26" s="1"/>
  <c r="L960" i="21"/>
  <c r="O960" i="21" s="1"/>
  <c r="L605" i="21"/>
  <c r="O605" i="21" s="1"/>
  <c r="L1057" i="21"/>
  <c r="O1057" i="21" s="1"/>
  <c r="L1056" i="21"/>
  <c r="O1056" i="21" s="1"/>
  <c r="L578" i="21"/>
  <c r="O578" i="21" s="1"/>
  <c r="AA1044" i="16"/>
  <c r="AA1034" i="16"/>
  <c r="AA1032" i="16"/>
  <c r="AA1107" i="16"/>
  <c r="AA1022" i="16"/>
  <c r="AA1109" i="16"/>
  <c r="AA1036" i="16"/>
  <c r="AA1026" i="16"/>
  <c r="AA1024" i="16"/>
  <c r="AA1043" i="16"/>
  <c r="AA1118" i="16"/>
  <c r="AA1029" i="16"/>
  <c r="AA1028" i="16"/>
  <c r="AA1121" i="16"/>
  <c r="AA1119" i="16"/>
  <c r="AA1027" i="16"/>
  <c r="AA1037" i="16"/>
  <c r="AA1115" i="16"/>
  <c r="AA1020" i="16"/>
  <c r="AA1113" i="16"/>
  <c r="AA1111" i="16"/>
  <c r="AA1105" i="16"/>
  <c r="AA1021" i="16"/>
  <c r="AA1033" i="16"/>
  <c r="AA1122" i="16"/>
  <c r="AA1120" i="16"/>
  <c r="AA1103" i="16"/>
  <c r="AA1041" i="16"/>
  <c r="AA1117" i="16"/>
  <c r="AA1116" i="16"/>
  <c r="AA1106" i="16"/>
  <c r="AA1104" i="16"/>
  <c r="AA1031" i="16"/>
  <c r="AA1102" i="16"/>
  <c r="AA1110" i="16"/>
  <c r="AA1040" i="16"/>
  <c r="AA1039" i="16"/>
  <c r="AA1023" i="16"/>
  <c r="AA1025" i="16"/>
  <c r="AA1108" i="16"/>
  <c r="AA1038" i="16"/>
  <c r="AA1114" i="16"/>
  <c r="AA1035" i="16"/>
  <c r="AA1042" i="16"/>
  <c r="AA1030" i="16"/>
  <c r="AA1112" i="16"/>
  <c r="AA261" i="17"/>
  <c r="AA245" i="17"/>
  <c r="AA254" i="17"/>
  <c r="AA264" i="17"/>
  <c r="AA720" i="16"/>
  <c r="AG720" i="16" s="1"/>
  <c r="AA696" i="16"/>
  <c r="AG696" i="16" s="1"/>
  <c r="AA692" i="16"/>
  <c r="AG692" i="16" s="1"/>
  <c r="AA709" i="16"/>
  <c r="AG709" i="16" s="1"/>
  <c r="AA722" i="16"/>
  <c r="AG722" i="16" s="1"/>
  <c r="AA259" i="17"/>
  <c r="AA243" i="17"/>
  <c r="AA238" i="17"/>
  <c r="AA248" i="17"/>
  <c r="AA723" i="16"/>
  <c r="AG723" i="16" s="1"/>
  <c r="AA719" i="16"/>
  <c r="AG719" i="16" s="1"/>
  <c r="AA725" i="16"/>
  <c r="AG725" i="16" s="1"/>
  <c r="AA705" i="16"/>
  <c r="AG705" i="16" s="1"/>
  <c r="AA257" i="17"/>
  <c r="AA241" i="17"/>
  <c r="AA256" i="17"/>
  <c r="AA266" i="17"/>
  <c r="AA714" i="16"/>
  <c r="AG714" i="16" s="1"/>
  <c r="AA711" i="16"/>
  <c r="AG711" i="16" s="1"/>
  <c r="AA715" i="16"/>
  <c r="AG715" i="16" s="1"/>
  <c r="AA702" i="16"/>
  <c r="AG702" i="16" s="1"/>
  <c r="AA255" i="17"/>
  <c r="AA239" i="17"/>
  <c r="AA240" i="17"/>
  <c r="AA250" i="17"/>
  <c r="AA706" i="16"/>
  <c r="AG706" i="16" s="1"/>
  <c r="AA703" i="16"/>
  <c r="AG703" i="16" s="1"/>
  <c r="AA707" i="16"/>
  <c r="AG707" i="16" s="1"/>
  <c r="AA718" i="16"/>
  <c r="AG718" i="16" s="1"/>
  <c r="AA253" i="17"/>
  <c r="AA237" i="17"/>
  <c r="AA258" i="17"/>
  <c r="AA234" i="17"/>
  <c r="AA698" i="16"/>
  <c r="AG698" i="16" s="1"/>
  <c r="AA695" i="16"/>
  <c r="AG695" i="16" s="1"/>
  <c r="AA699" i="16"/>
  <c r="AG699" i="16" s="1"/>
  <c r="AA697" i="16"/>
  <c r="AG697" i="16" s="1"/>
  <c r="AA267" i="17"/>
  <c r="AA251" i="17"/>
  <c r="AA235" i="17"/>
  <c r="AA242" i="17"/>
  <c r="AA246" i="17"/>
  <c r="AA721" i="16"/>
  <c r="AG721" i="16" s="1"/>
  <c r="AA716" i="16"/>
  <c r="AG716" i="16" s="1"/>
  <c r="AA713" i="16"/>
  <c r="AG713" i="16" s="1"/>
  <c r="AA701" i="16"/>
  <c r="AG701" i="16" s="1"/>
  <c r="AA265" i="17"/>
  <c r="AA249" i="17"/>
  <c r="AA252" i="17"/>
  <c r="AA260" i="17"/>
  <c r="AA262" i="17"/>
  <c r="AA712" i="16"/>
  <c r="AG712" i="16" s="1"/>
  <c r="AA708" i="16"/>
  <c r="AG708" i="16" s="1"/>
  <c r="AA693" i="16"/>
  <c r="AG693" i="16" s="1"/>
  <c r="AA717" i="16"/>
  <c r="AG717" i="16" s="1"/>
  <c r="AA263" i="17"/>
  <c r="AA247" i="17"/>
  <c r="AA236" i="17"/>
  <c r="AA244" i="17"/>
  <c r="AA724" i="16"/>
  <c r="AG724" i="16" s="1"/>
  <c r="AA704" i="16"/>
  <c r="AG704" i="16" s="1"/>
  <c r="AA700" i="16"/>
  <c r="AG700" i="16" s="1"/>
  <c r="AA710" i="16"/>
  <c r="AG710" i="16" s="1"/>
  <c r="AA694" i="16"/>
  <c r="AG694" i="16" s="1"/>
  <c r="L592" i="21"/>
  <c r="O592" i="21" s="1"/>
  <c r="AA1074" i="16"/>
  <c r="AA1075" i="16"/>
  <c r="AA1005" i="16"/>
  <c r="AA1001" i="16"/>
  <c r="AA1080" i="16"/>
  <c r="AA995" i="16"/>
  <c r="AA1083" i="16"/>
  <c r="AA1081" i="16"/>
  <c r="AA1072" i="16"/>
  <c r="AA1073" i="16"/>
  <c r="AA1003" i="16"/>
  <c r="AA984" i="16"/>
  <c r="AA1086" i="16"/>
  <c r="AA1078" i="16"/>
  <c r="AA1079" i="16"/>
  <c r="AA1070" i="16"/>
  <c r="AA998" i="16"/>
  <c r="AA1007" i="16"/>
  <c r="AA990" i="16"/>
  <c r="AA982" i="16"/>
  <c r="AA999" i="16"/>
  <c r="AA1085" i="16"/>
  <c r="AA1077" i="16"/>
  <c r="AA996" i="16"/>
  <c r="AA983" i="16"/>
  <c r="AA1069" i="16"/>
  <c r="AA985" i="16"/>
  <c r="AA988" i="16"/>
  <c r="AA1088" i="16"/>
  <c r="AA1006" i="16"/>
  <c r="AA992" i="16"/>
  <c r="AA1004" i="16"/>
  <c r="AA991" i="16"/>
  <c r="AA986" i="16"/>
  <c r="AA1087" i="16"/>
  <c r="AA1000" i="16"/>
  <c r="AA1076" i="16"/>
  <c r="AA994" i="16"/>
  <c r="AA1082" i="16"/>
  <c r="AA997" i="16"/>
  <c r="AA1084" i="16"/>
  <c r="AA989" i="16"/>
  <c r="AA993" i="16"/>
  <c r="AA1002" i="16"/>
  <c r="AA987" i="16"/>
  <c r="AA1071" i="16"/>
  <c r="AA334" i="17"/>
  <c r="AA791" i="16"/>
  <c r="AA782" i="16"/>
  <c r="AA335" i="17"/>
  <c r="AA324" i="17"/>
  <c r="AA787" i="16"/>
  <c r="AA333" i="17"/>
  <c r="AA328" i="17"/>
  <c r="AA785" i="16"/>
  <c r="AA331" i="17"/>
  <c r="AA330" i="17"/>
  <c r="AA783" i="16"/>
  <c r="AA329" i="17"/>
  <c r="AA326" i="17"/>
  <c r="AA790" i="16"/>
  <c r="AA325" i="17"/>
  <c r="AA792" i="16"/>
  <c r="AA793" i="16"/>
  <c r="AA784" i="16"/>
  <c r="AA789" i="16"/>
  <c r="AA786" i="16"/>
  <c r="AA327" i="17"/>
  <c r="AA332" i="17"/>
  <c r="AA788" i="16"/>
  <c r="AA1248" i="16"/>
  <c r="AA1261" i="16"/>
  <c r="AA1260" i="16"/>
  <c r="AA1255" i="16"/>
  <c r="AA1259" i="16"/>
  <c r="AA1252" i="16"/>
  <c r="AA1247" i="16"/>
  <c r="AA1258" i="16"/>
  <c r="AA1254" i="16"/>
  <c r="AA1250" i="16"/>
  <c r="AA1253" i="16"/>
  <c r="AA1257" i="16"/>
  <c r="AA1251" i="16"/>
  <c r="AA1249" i="16"/>
  <c r="AA1246" i="16"/>
  <c r="AA1256" i="16"/>
  <c r="AA1245" i="16"/>
  <c r="K9" i="26"/>
  <c r="K11" i="26"/>
  <c r="M11" i="26" s="1"/>
  <c r="L574" i="21"/>
  <c r="O574" i="21" s="1"/>
  <c r="AA359" i="17"/>
  <c r="AA808" i="16"/>
  <c r="AA809" i="16"/>
  <c r="AA358" i="17"/>
  <c r="AA349" i="17"/>
  <c r="AA815" i="16"/>
  <c r="AA356" i="17"/>
  <c r="AA353" i="17"/>
  <c r="AA807" i="16"/>
  <c r="AA354" i="17"/>
  <c r="AA357" i="17"/>
  <c r="AA814" i="16"/>
  <c r="AA352" i="17"/>
  <c r="AA351" i="17"/>
  <c r="AA813" i="16"/>
  <c r="AA348" i="17"/>
  <c r="AA810" i="16"/>
  <c r="AA817" i="16"/>
  <c r="AA811" i="16"/>
  <c r="AA350" i="17"/>
  <c r="AA355" i="17"/>
  <c r="AA812" i="16"/>
  <c r="AA816" i="16"/>
  <c r="AA806" i="16"/>
  <c r="AA44" i="17"/>
  <c r="AA164" i="17"/>
  <c r="AA73" i="17"/>
  <c r="AA509" i="16"/>
  <c r="AG509" i="16" s="1"/>
  <c r="AA506" i="16"/>
  <c r="AG506" i="16" s="1"/>
  <c r="AA47" i="17"/>
  <c r="AA164" i="16"/>
  <c r="AG164" i="16" s="1"/>
  <c r="AA168" i="17"/>
  <c r="AA136" i="16"/>
  <c r="AG136" i="16" s="1"/>
  <c r="AA161" i="16"/>
  <c r="AG161" i="16" s="1"/>
  <c r="AA297" i="16"/>
  <c r="AA387" i="16"/>
  <c r="AA393" i="16"/>
  <c r="AA99" i="16"/>
  <c r="AA391" i="16"/>
  <c r="AA106" i="16"/>
  <c r="AA231" i="16"/>
  <c r="AA5" i="16"/>
  <c r="AA229" i="16"/>
  <c r="AA237" i="16"/>
  <c r="AA239" i="16"/>
  <c r="AA3" i="16"/>
  <c r="AA109" i="16"/>
  <c r="AA394" i="16"/>
  <c r="AA92" i="16"/>
  <c r="AA42" i="17"/>
  <c r="AA159" i="16"/>
  <c r="AG159" i="16" s="1"/>
  <c r="AA71" i="17"/>
  <c r="AA508" i="16"/>
  <c r="AG508" i="16" s="1"/>
  <c r="AA505" i="16"/>
  <c r="AG505" i="16" s="1"/>
  <c r="AA45" i="17"/>
  <c r="AA161" i="17"/>
  <c r="AA163" i="16"/>
  <c r="AG163" i="16" s="1"/>
  <c r="AA134" i="16"/>
  <c r="AG134" i="16" s="1"/>
  <c r="AA459" i="16"/>
  <c r="AA238" i="16"/>
  <c r="AA379" i="16"/>
  <c r="AA382" i="16"/>
  <c r="AA91" i="16"/>
  <c r="AA381" i="16"/>
  <c r="AA98" i="16"/>
  <c r="AA102" i="16"/>
  <c r="AA221" i="16"/>
  <c r="AA375" i="16"/>
  <c r="AA220" i="16"/>
  <c r="AA86" i="16"/>
  <c r="AA228" i="16"/>
  <c r="AA101" i="16"/>
  <c r="AA383" i="16"/>
  <c r="AA24" i="16"/>
  <c r="AA162" i="16"/>
  <c r="AG162" i="16" s="1"/>
  <c r="AA145" i="16"/>
  <c r="AG145" i="16" s="1"/>
  <c r="AA68" i="17"/>
  <c r="AA171" i="17"/>
  <c r="AA504" i="16"/>
  <c r="AG504" i="16" s="1"/>
  <c r="AA159" i="17"/>
  <c r="AA69" i="17"/>
  <c r="AA160" i="17"/>
  <c r="AA74" i="17"/>
  <c r="AA451" i="16"/>
  <c r="AA230" i="16"/>
  <c r="AA371" i="16"/>
  <c r="AA372" i="16"/>
  <c r="AA23" i="16"/>
  <c r="AA370" i="16"/>
  <c r="AA90" i="16"/>
  <c r="AA456" i="16"/>
  <c r="AA453" i="16"/>
  <c r="AA104" i="16"/>
  <c r="AA18" i="16"/>
  <c r="AA385" i="16"/>
  <c r="AA93" i="16"/>
  <c r="AA373" i="16"/>
  <c r="AA16" i="16"/>
  <c r="AA169" i="16"/>
  <c r="AG169" i="16" s="1"/>
  <c r="AA143" i="16"/>
  <c r="AG143" i="16" s="1"/>
  <c r="AA40" i="17"/>
  <c r="AA166" i="16"/>
  <c r="AG166" i="16" s="1"/>
  <c r="AA170" i="17"/>
  <c r="AA503" i="16"/>
  <c r="AG503" i="16" s="1"/>
  <c r="AA43" i="17"/>
  <c r="AA158" i="16"/>
  <c r="AG158" i="16" s="1"/>
  <c r="AA72" i="17"/>
  <c r="AA392" i="16"/>
  <c r="AA458" i="16"/>
  <c r="AA300" i="16"/>
  <c r="AA303" i="16"/>
  <c r="AA15" i="16"/>
  <c r="AA302" i="16"/>
  <c r="AA22" i="16"/>
  <c r="AA390" i="16"/>
  <c r="AA105" i="16"/>
  <c r="AA389" i="16"/>
  <c r="AA96" i="16"/>
  <c r="AA452" i="16"/>
  <c r="AA103" i="16"/>
  <c r="AA374" i="16"/>
  <c r="AA25" i="16"/>
  <c r="AA304" i="16"/>
  <c r="AA8" i="16"/>
  <c r="AA63" i="17"/>
  <c r="AA141" i="16"/>
  <c r="AG141" i="16" s="1"/>
  <c r="AA38" i="17"/>
  <c r="AA163" i="17"/>
  <c r="AA165" i="16"/>
  <c r="AG165" i="16" s="1"/>
  <c r="AA502" i="16"/>
  <c r="AG502" i="16" s="1"/>
  <c r="AA41" i="17"/>
  <c r="AA144" i="16"/>
  <c r="AG144" i="16" s="1"/>
  <c r="AA39" i="17"/>
  <c r="AA384" i="16"/>
  <c r="AA455" i="16"/>
  <c r="AA241" i="16"/>
  <c r="AA234" i="16"/>
  <c r="AA7" i="16"/>
  <c r="AA243" i="16"/>
  <c r="AA14" i="16"/>
  <c r="AA380" i="16"/>
  <c r="AA97" i="16"/>
  <c r="AA378" i="16"/>
  <c r="AA88" i="16"/>
  <c r="AA388" i="16"/>
  <c r="AA95" i="16"/>
  <c r="AA306" i="16"/>
  <c r="AA17" i="16"/>
  <c r="AA235" i="16"/>
  <c r="AA94" i="16"/>
  <c r="AA165" i="17"/>
  <c r="AA510" i="16"/>
  <c r="AG510" i="16" s="1"/>
  <c r="AA137" i="16"/>
  <c r="AG137" i="16" s="1"/>
  <c r="AA166" i="17"/>
  <c r="AA49" i="17"/>
  <c r="AA64" i="17"/>
  <c r="AA500" i="16"/>
  <c r="AG500" i="16" s="1"/>
  <c r="AA48" i="17"/>
  <c r="AA140" i="16"/>
  <c r="AG140" i="16" s="1"/>
  <c r="AA167" i="17"/>
  <c r="AA368" i="16"/>
  <c r="AA462" i="16"/>
  <c r="AA225" i="16"/>
  <c r="AA227" i="16"/>
  <c r="AA222" i="16"/>
  <c r="AA386" i="16"/>
  <c r="AA301" i="16"/>
  <c r="AA21" i="16"/>
  <c r="AA299" i="16"/>
  <c r="AA12" i="16"/>
  <c r="AA366" i="16"/>
  <c r="AA19" i="16"/>
  <c r="AA236" i="16"/>
  <c r="AA2" i="16"/>
  <c r="AA108" i="16"/>
  <c r="AA46" i="17"/>
  <c r="AA499" i="16"/>
  <c r="AG499" i="16" s="1"/>
  <c r="AA460" i="16"/>
  <c r="AA296" i="16"/>
  <c r="AA4" i="16"/>
  <c r="AA461" i="16"/>
  <c r="AA168" i="16"/>
  <c r="AG168" i="16" s="1"/>
  <c r="AA66" i="17"/>
  <c r="AA142" i="16"/>
  <c r="AG142" i="16" s="1"/>
  <c r="AA223" i="16"/>
  <c r="AA369" i="16"/>
  <c r="AA377" i="16"/>
  <c r="AA224" i="16"/>
  <c r="AA160" i="16"/>
  <c r="AG160" i="16" s="1"/>
  <c r="AA507" i="16"/>
  <c r="AG507" i="16" s="1"/>
  <c r="AA138" i="16"/>
  <c r="AG138" i="16" s="1"/>
  <c r="AA107" i="16"/>
  <c r="AA242" i="16"/>
  <c r="AA298" i="16"/>
  <c r="AA100" i="16"/>
  <c r="AA511" i="16"/>
  <c r="AG511" i="16" s="1"/>
  <c r="AA162" i="17"/>
  <c r="AA170" i="16"/>
  <c r="AG170" i="16" s="1"/>
  <c r="AA376" i="16"/>
  <c r="AA89" i="16"/>
  <c r="AA87" i="16"/>
  <c r="AA10" i="16"/>
  <c r="AA167" i="16"/>
  <c r="AG167" i="16" s="1"/>
  <c r="AA62" i="17"/>
  <c r="AA67" i="17"/>
  <c r="AA305" i="16"/>
  <c r="AA457" i="16"/>
  <c r="AA13" i="16"/>
  <c r="AA11" i="16"/>
  <c r="AA139" i="16"/>
  <c r="AG139" i="16" s="1"/>
  <c r="AA501" i="16"/>
  <c r="AG501" i="16" s="1"/>
  <c r="AA232" i="16"/>
  <c r="AA367" i="16"/>
  <c r="AA295" i="16"/>
  <c r="AA135" i="16"/>
  <c r="AG135" i="16" s="1"/>
  <c r="AA169" i="17"/>
  <c r="AA454" i="16"/>
  <c r="AA240" i="16"/>
  <c r="AA226" i="16"/>
  <c r="AA65" i="17"/>
  <c r="AA70" i="17"/>
  <c r="AA233" i="16"/>
  <c r="AA6" i="16"/>
  <c r="AA20" i="16"/>
  <c r="AA9" i="16"/>
  <c r="L617" i="21"/>
  <c r="O617" i="21" s="1"/>
  <c r="AA233" i="17"/>
  <c r="AA217" i="17"/>
  <c r="AA201" i="17"/>
  <c r="AA226" i="17"/>
  <c r="AA202" i="17"/>
  <c r="AA688" i="16"/>
  <c r="AG688" i="16" s="1"/>
  <c r="AA684" i="16"/>
  <c r="AG684" i="16" s="1"/>
  <c r="AA659" i="16"/>
  <c r="AG659" i="16" s="1"/>
  <c r="AA685" i="16"/>
  <c r="AG685" i="16" s="1"/>
  <c r="AA231" i="17"/>
  <c r="AA215" i="17"/>
  <c r="AA199" i="17"/>
  <c r="AA210" i="17"/>
  <c r="AA214" i="17"/>
  <c r="AA680" i="16"/>
  <c r="AG680" i="16" s="1"/>
  <c r="AA676" i="16"/>
  <c r="AG676" i="16" s="1"/>
  <c r="AA670" i="16"/>
  <c r="AG670" i="16" s="1"/>
  <c r="AA662" i="16"/>
  <c r="AG662" i="16" s="1"/>
  <c r="AA229" i="17"/>
  <c r="AA213" i="17"/>
  <c r="AA220" i="17"/>
  <c r="AA228" i="17"/>
  <c r="AA230" i="17"/>
  <c r="AA672" i="16"/>
  <c r="AG672" i="16" s="1"/>
  <c r="AA668" i="16"/>
  <c r="AG668" i="16" s="1"/>
  <c r="AA657" i="16"/>
  <c r="AG657" i="16" s="1"/>
  <c r="AA681" i="16"/>
  <c r="AG681" i="16" s="1"/>
  <c r="AA227" i="17"/>
  <c r="AA211" i="17"/>
  <c r="AA204" i="17"/>
  <c r="AA212" i="17"/>
  <c r="AA690" i="16"/>
  <c r="AG690" i="16" s="1"/>
  <c r="AA664" i="16"/>
  <c r="AG664" i="16" s="1"/>
  <c r="AA660" i="16"/>
  <c r="AG660" i="16" s="1"/>
  <c r="AA689" i="16"/>
  <c r="AG689" i="16" s="1"/>
  <c r="AA661" i="16"/>
  <c r="AG661" i="16" s="1"/>
  <c r="AA225" i="17"/>
  <c r="AA209" i="17"/>
  <c r="AA222" i="17"/>
  <c r="AA232" i="17"/>
  <c r="AA682" i="16"/>
  <c r="AG682" i="16" s="1"/>
  <c r="AA687" i="16"/>
  <c r="AG687" i="16" s="1"/>
  <c r="AA691" i="16"/>
  <c r="AG691" i="16" s="1"/>
  <c r="AA669" i="16"/>
  <c r="AG669" i="16" s="1"/>
  <c r="AA677" i="16"/>
  <c r="AG677" i="16" s="1"/>
  <c r="AA223" i="17"/>
  <c r="AA207" i="17"/>
  <c r="AA206" i="17"/>
  <c r="AA216" i="17"/>
  <c r="AA674" i="16"/>
  <c r="AG674" i="16" s="1"/>
  <c r="AA679" i="16"/>
  <c r="AG679" i="16" s="1"/>
  <c r="AA683" i="16"/>
  <c r="AG683" i="16" s="1"/>
  <c r="AA678" i="16"/>
  <c r="AG678" i="16" s="1"/>
  <c r="AA673" i="16"/>
  <c r="AG673" i="16" s="1"/>
  <c r="AA221" i="17"/>
  <c r="AA205" i="17"/>
  <c r="AA224" i="17"/>
  <c r="AA200" i="17"/>
  <c r="AA666" i="16"/>
  <c r="AG666" i="16" s="1"/>
  <c r="AA671" i="16"/>
  <c r="AG671" i="16" s="1"/>
  <c r="AA675" i="16"/>
  <c r="AG675" i="16" s="1"/>
  <c r="AA686" i="16"/>
  <c r="AG686" i="16" s="1"/>
  <c r="AA219" i="17"/>
  <c r="AA203" i="17"/>
  <c r="AA208" i="17"/>
  <c r="AA218" i="17"/>
  <c r="AA658" i="16"/>
  <c r="AG658" i="16" s="1"/>
  <c r="AA663" i="16"/>
  <c r="AG663" i="16" s="1"/>
  <c r="AA667" i="16"/>
  <c r="AG667" i="16" s="1"/>
  <c r="AA665" i="16"/>
  <c r="AG665" i="16" s="1"/>
  <c r="L584" i="21"/>
  <c r="O584" i="21" s="1"/>
  <c r="AA505" i="17"/>
  <c r="AA501" i="17"/>
  <c r="AA1243" i="16"/>
  <c r="AG1243" i="16" s="1"/>
  <c r="AA1204" i="16"/>
  <c r="AA1140" i="16"/>
  <c r="AA1226" i="16"/>
  <c r="AA1162" i="16"/>
  <c r="AA1010" i="16"/>
  <c r="AA1169" i="16"/>
  <c r="AA1224" i="16"/>
  <c r="AA1160" i="16"/>
  <c r="AA1231" i="16"/>
  <c r="AA1167" i="16"/>
  <c r="AA1230" i="16"/>
  <c r="AA1229" i="16"/>
  <c r="AA1182" i="16"/>
  <c r="AA1139" i="16"/>
  <c r="AA1094" i="16"/>
  <c r="AA1093" i="16"/>
  <c r="AA1097" i="16"/>
  <c r="AA504" i="17"/>
  <c r="AA500" i="17"/>
  <c r="AA1235" i="16"/>
  <c r="AG1235" i="16" s="1"/>
  <c r="AA1196" i="16"/>
  <c r="AA1132" i="16"/>
  <c r="AA1218" i="16"/>
  <c r="AA1154" i="16"/>
  <c r="AA1225" i="16"/>
  <c r="AA1161" i="16"/>
  <c r="AA1216" i="16"/>
  <c r="AA1152" i="16"/>
  <c r="AA1223" i="16"/>
  <c r="AA1159" i="16"/>
  <c r="AA1213" i="16"/>
  <c r="AA1211" i="16"/>
  <c r="AA1206" i="16"/>
  <c r="AA1163" i="16"/>
  <c r="AA1099" i="16"/>
  <c r="AA1014" i="16"/>
  <c r="AA1013" i="16"/>
  <c r="AA1234" i="16"/>
  <c r="AG1234" i="16" s="1"/>
  <c r="AA1242" i="16"/>
  <c r="AG1242" i="16" s="1"/>
  <c r="AA1240" i="16"/>
  <c r="AG1240" i="16" s="1"/>
  <c r="AA1188" i="16"/>
  <c r="AA1124" i="16"/>
  <c r="AA1210" i="16"/>
  <c r="AA1146" i="16"/>
  <c r="AA1217" i="16"/>
  <c r="AA1153" i="16"/>
  <c r="AA1208" i="16"/>
  <c r="AA1144" i="16"/>
  <c r="AA1215" i="16"/>
  <c r="AA1151" i="16"/>
  <c r="AA1190" i="16"/>
  <c r="AA1189" i="16"/>
  <c r="AA1187" i="16"/>
  <c r="AA1141" i="16"/>
  <c r="AA1019" i="16"/>
  <c r="AA1221" i="16"/>
  <c r="AA508" i="17"/>
  <c r="AA1241" i="16"/>
  <c r="AG1241" i="16" s="1"/>
  <c r="AA510" i="17"/>
  <c r="AA1180" i="16"/>
  <c r="AA1100" i="16"/>
  <c r="AA1202" i="16"/>
  <c r="AA1138" i="16"/>
  <c r="AA1209" i="16"/>
  <c r="AA1145" i="16"/>
  <c r="AA1200" i="16"/>
  <c r="AA1136" i="16"/>
  <c r="AA1207" i="16"/>
  <c r="AA1143" i="16"/>
  <c r="AA1171" i="16"/>
  <c r="AA1166" i="16"/>
  <c r="AA1165" i="16"/>
  <c r="AA1101" i="16"/>
  <c r="AA1219" i="16"/>
  <c r="AA1214" i="16"/>
  <c r="AA1198" i="16"/>
  <c r="AA1244" i="16"/>
  <c r="AG1244" i="16" s="1"/>
  <c r="AA1233" i="16"/>
  <c r="AG1233" i="16" s="1"/>
  <c r="AA509" i="17"/>
  <c r="AA1172" i="16"/>
  <c r="AA1092" i="16"/>
  <c r="AA1194" i="16"/>
  <c r="AA1130" i="16"/>
  <c r="AA1201" i="16"/>
  <c r="AA1137" i="16"/>
  <c r="AA1192" i="16"/>
  <c r="AA1128" i="16"/>
  <c r="AA1199" i="16"/>
  <c r="AA1135" i="16"/>
  <c r="AA1149" i="16"/>
  <c r="AA1147" i="16"/>
  <c r="AA1142" i="16"/>
  <c r="AA1222" i="16"/>
  <c r="AA1197" i="16"/>
  <c r="AA1195" i="16"/>
  <c r="AA1179" i="16"/>
  <c r="AA507" i="17"/>
  <c r="AA503" i="17"/>
  <c r="AA1238" i="16"/>
  <c r="AG1238" i="16" s="1"/>
  <c r="AA1220" i="16"/>
  <c r="AA1156" i="16"/>
  <c r="AA1178" i="16"/>
  <c r="AA1090" i="16"/>
  <c r="AA1185" i="16"/>
  <c r="AA1176" i="16"/>
  <c r="AA1016" i="16"/>
  <c r="AA1183" i="16"/>
  <c r="AA1095" i="16"/>
  <c r="AA1091" i="16"/>
  <c r="AA1089" i="16"/>
  <c r="AA1227" i="16"/>
  <c r="AA1181" i="16"/>
  <c r="AA1155" i="16"/>
  <c r="AA1150" i="16"/>
  <c r="AA1017" i="16"/>
  <c r="AA1237" i="16"/>
  <c r="AG1237" i="16" s="1"/>
  <c r="AA1212" i="16"/>
  <c r="AA1018" i="16"/>
  <c r="AA1008" i="16"/>
  <c r="AA1009" i="16"/>
  <c r="AA1131" i="16"/>
  <c r="AA1164" i="16"/>
  <c r="AA1193" i="16"/>
  <c r="AA1191" i="16"/>
  <c r="AA1123" i="16"/>
  <c r="AA1157" i="16"/>
  <c r="AA1148" i="16"/>
  <c r="AA1177" i="16"/>
  <c r="AA1175" i="16"/>
  <c r="AA1205" i="16"/>
  <c r="AA1134" i="16"/>
  <c r="AA1239" i="16"/>
  <c r="AG1239" i="16" s="1"/>
  <c r="AA1012" i="16"/>
  <c r="AA1129" i="16"/>
  <c r="AA1127" i="16"/>
  <c r="AA1203" i="16"/>
  <c r="AA506" i="17"/>
  <c r="AA1232" i="16"/>
  <c r="AA1015" i="16"/>
  <c r="AA1158" i="16"/>
  <c r="AA1236" i="16"/>
  <c r="AG1236" i="16" s="1"/>
  <c r="AA1186" i="16"/>
  <c r="AA1184" i="16"/>
  <c r="AA1126" i="16"/>
  <c r="AA1174" i="16"/>
  <c r="AA502" i="17"/>
  <c r="AA1170" i="16"/>
  <c r="AA1168" i="16"/>
  <c r="AA1011" i="16"/>
  <c r="AA1133" i="16"/>
  <c r="AA499" i="17"/>
  <c r="AA1228" i="16"/>
  <c r="AA1098" i="16"/>
  <c r="AA1096" i="16"/>
  <c r="AA1125" i="16"/>
  <c r="AA1173" i="16"/>
  <c r="AA496" i="17"/>
  <c r="AA480" i="17"/>
  <c r="AA495" i="17"/>
  <c r="AA948" i="16"/>
  <c r="AG948" i="16" s="1"/>
  <c r="AA939" i="16"/>
  <c r="AG939" i="16" s="1"/>
  <c r="AA951" i="16"/>
  <c r="AG951" i="16" s="1"/>
  <c r="AA544" i="16"/>
  <c r="AA542" i="16"/>
  <c r="AA551" i="16"/>
  <c r="AA541" i="16"/>
  <c r="AA543" i="16"/>
  <c r="AA538" i="16"/>
  <c r="AA548" i="16"/>
  <c r="AA553" i="16"/>
  <c r="AA540" i="16"/>
  <c r="AA549" i="16"/>
  <c r="AA539" i="16"/>
  <c r="AA550" i="16"/>
  <c r="AA552" i="16"/>
  <c r="AA547" i="16"/>
  <c r="AA545" i="16"/>
  <c r="AA546" i="16"/>
  <c r="L627" i="21"/>
  <c r="O627" i="21" s="1"/>
  <c r="AG619" i="16"/>
  <c r="L579" i="21"/>
  <c r="O579" i="21" s="1"/>
  <c r="L636" i="21"/>
  <c r="O636" i="21" s="1"/>
  <c r="L635" i="21"/>
  <c r="O635" i="21" s="1"/>
  <c r="L585" i="21"/>
  <c r="O585" i="21" s="1"/>
  <c r="L582" i="21"/>
  <c r="O582" i="21" s="1"/>
  <c r="L643" i="21"/>
  <c r="O643" i="21" s="1"/>
  <c r="L629" i="21"/>
  <c r="O629" i="21" s="1"/>
  <c r="L573" i="21"/>
  <c r="O573" i="21" s="1"/>
  <c r="L639" i="21"/>
  <c r="O639" i="21" s="1"/>
  <c r="L631" i="21"/>
  <c r="O631" i="21" s="1"/>
  <c r="L632" i="21"/>
  <c r="O632" i="21" s="1"/>
  <c r="L628" i="21"/>
  <c r="O628" i="21" s="1"/>
  <c r="AG612" i="16"/>
  <c r="L615" i="21"/>
  <c r="O615" i="21" s="1"/>
  <c r="L581" i="21"/>
  <c r="O581" i="21" s="1"/>
  <c r="L575" i="21"/>
  <c r="O575" i="21" s="1"/>
  <c r="L572" i="21"/>
  <c r="O572" i="21" s="1"/>
  <c r="L620" i="21"/>
  <c r="O620" i="21" s="1"/>
  <c r="AA536" i="16"/>
  <c r="AG536" i="16" s="1"/>
  <c r="AA528" i="16"/>
  <c r="AG528" i="16" s="1"/>
  <c r="AA191" i="17"/>
  <c r="AA176" i="16"/>
  <c r="AG176" i="16" s="1"/>
  <c r="AA59" i="17"/>
  <c r="AA57" i="17"/>
  <c r="AA534" i="16"/>
  <c r="AG534" i="16" s="1"/>
  <c r="AA185" i="17"/>
  <c r="AA174" i="16"/>
  <c r="AG174" i="16" s="1"/>
  <c r="AA50" i="17"/>
  <c r="AA175" i="16"/>
  <c r="AG175" i="16" s="1"/>
  <c r="AA533" i="16"/>
  <c r="AG533" i="16" s="1"/>
  <c r="AA525" i="16"/>
  <c r="AG525" i="16" s="1"/>
  <c r="AA194" i="17"/>
  <c r="AA186" i="17"/>
  <c r="AA177" i="16"/>
  <c r="AG177" i="16" s="1"/>
  <c r="AA157" i="16"/>
  <c r="AG157" i="16" s="1"/>
  <c r="AA155" i="16"/>
  <c r="AG155" i="16" s="1"/>
  <c r="AA153" i="16"/>
  <c r="AG153" i="16" s="1"/>
  <c r="AA151" i="16"/>
  <c r="AG151" i="16" s="1"/>
  <c r="AA149" i="16"/>
  <c r="AG149" i="16" s="1"/>
  <c r="AA147" i="16"/>
  <c r="AG147" i="16" s="1"/>
  <c r="AA87" i="17"/>
  <c r="AA85" i="17"/>
  <c r="AA83" i="17"/>
  <c r="AA81" i="17"/>
  <c r="AA79" i="17"/>
  <c r="AA77" i="17"/>
  <c r="AA75" i="17"/>
  <c r="AA55" i="17"/>
  <c r="AA53" i="17"/>
  <c r="AA196" i="17"/>
  <c r="AA61" i="17"/>
  <c r="AA530" i="16"/>
  <c r="AG530" i="16" s="1"/>
  <c r="AA197" i="17"/>
  <c r="AA189" i="17"/>
  <c r="AA178" i="16"/>
  <c r="AG178" i="16" s="1"/>
  <c r="AA51" i="17"/>
  <c r="AA535" i="16"/>
  <c r="AG535" i="16" s="1"/>
  <c r="AA527" i="16"/>
  <c r="AG527" i="16" s="1"/>
  <c r="AA192" i="17"/>
  <c r="AA179" i="16"/>
  <c r="AG179" i="16" s="1"/>
  <c r="AA52" i="17"/>
  <c r="AA532" i="16"/>
  <c r="AG532" i="16" s="1"/>
  <c r="AA195" i="17"/>
  <c r="AA187" i="17"/>
  <c r="AA180" i="16"/>
  <c r="AG180" i="16" s="1"/>
  <c r="AA172" i="16"/>
  <c r="AG172" i="16" s="1"/>
  <c r="AA60" i="17"/>
  <c r="AA58" i="17"/>
  <c r="AA531" i="16"/>
  <c r="AG531" i="16" s="1"/>
  <c r="AA183" i="16"/>
  <c r="AG183" i="16" s="1"/>
  <c r="AA537" i="16"/>
  <c r="AG537" i="16" s="1"/>
  <c r="AA529" i="16"/>
  <c r="AG529" i="16" s="1"/>
  <c r="AA190" i="17"/>
  <c r="AA181" i="16"/>
  <c r="AG181" i="16" s="1"/>
  <c r="AA173" i="16"/>
  <c r="AG173" i="16" s="1"/>
  <c r="AA171" i="16"/>
  <c r="AG171" i="16" s="1"/>
  <c r="AA156" i="16"/>
  <c r="AG156" i="16" s="1"/>
  <c r="AA154" i="16"/>
  <c r="AG154" i="16" s="1"/>
  <c r="AA152" i="16"/>
  <c r="AG152" i="16" s="1"/>
  <c r="AA150" i="16"/>
  <c r="AG150" i="16" s="1"/>
  <c r="AA148" i="16"/>
  <c r="AG148" i="16" s="1"/>
  <c r="AA146" i="16"/>
  <c r="AG146" i="16" s="1"/>
  <c r="AA86" i="17"/>
  <c r="AA84" i="17"/>
  <c r="AA82" i="17"/>
  <c r="AA80" i="17"/>
  <c r="AA78" i="17"/>
  <c r="AA76" i="17"/>
  <c r="AA56" i="17"/>
  <c r="AA54" i="17"/>
  <c r="AA526" i="16"/>
  <c r="AG526" i="16" s="1"/>
  <c r="AA193" i="17"/>
  <c r="AA182" i="16"/>
  <c r="AG182" i="16" s="1"/>
  <c r="AA188" i="17"/>
  <c r="AB43" i="13"/>
  <c r="AA491" i="16"/>
  <c r="AA443" i="16"/>
  <c r="AA435" i="16"/>
  <c r="AA427" i="16"/>
  <c r="AA325" i="16"/>
  <c r="AA289" i="16"/>
  <c r="AA281" i="16"/>
  <c r="AA273" i="16"/>
  <c r="AA498" i="16"/>
  <c r="AA490" i="16"/>
  <c r="AA450" i="16"/>
  <c r="AA442" i="16"/>
  <c r="AA495" i="16"/>
  <c r="AA487" i="16"/>
  <c r="AA447" i="16"/>
  <c r="AA439" i="16"/>
  <c r="AA494" i="16"/>
  <c r="AA446" i="16"/>
  <c r="AA438" i="16"/>
  <c r="AA430" i="16"/>
  <c r="AA422" i="16"/>
  <c r="AA328" i="16"/>
  <c r="AA320" i="16"/>
  <c r="AA292" i="16"/>
  <c r="AA284" i="16"/>
  <c r="AA276" i="16"/>
  <c r="AA444" i="16"/>
  <c r="AA431" i="16"/>
  <c r="AA326" i="16"/>
  <c r="AA293" i="16"/>
  <c r="AA282" i="16"/>
  <c r="AA271" i="16"/>
  <c r="AA131" i="16"/>
  <c r="AA123" i="16"/>
  <c r="AA115" i="16"/>
  <c r="AA47" i="16"/>
  <c r="AA39" i="16"/>
  <c r="AA31" i="16"/>
  <c r="AA434" i="16"/>
  <c r="AA319" i="16"/>
  <c r="AA110" i="16"/>
  <c r="AA26" i="16"/>
  <c r="AA497" i="16"/>
  <c r="AA441" i="16"/>
  <c r="AA429" i="16"/>
  <c r="AA324" i="16"/>
  <c r="AA291" i="16"/>
  <c r="AA280" i="16"/>
  <c r="AA130" i="16"/>
  <c r="AA122" i="16"/>
  <c r="AA114" i="16"/>
  <c r="AA46" i="16"/>
  <c r="AA38" i="16"/>
  <c r="AA30" i="16"/>
  <c r="AA489" i="16"/>
  <c r="AA34" i="16"/>
  <c r="AA496" i="16"/>
  <c r="AA440" i="16"/>
  <c r="AA428" i="16"/>
  <c r="AA323" i="16"/>
  <c r="AA290" i="16"/>
  <c r="AA279" i="16"/>
  <c r="AA129" i="16"/>
  <c r="AA121" i="16"/>
  <c r="AA113" i="16"/>
  <c r="AA45" i="16"/>
  <c r="AA37" i="16"/>
  <c r="AA29" i="16"/>
  <c r="AA42" i="16"/>
  <c r="AA493" i="16"/>
  <c r="AA437" i="16"/>
  <c r="AA426" i="16"/>
  <c r="AA322" i="16"/>
  <c r="AA288" i="16"/>
  <c r="AA278" i="16"/>
  <c r="AA128" i="16"/>
  <c r="AA120" i="16"/>
  <c r="AA112" i="16"/>
  <c r="AA44" i="16"/>
  <c r="AA36" i="16"/>
  <c r="AA28" i="16"/>
  <c r="AA449" i="16"/>
  <c r="AA330" i="16"/>
  <c r="AA126" i="16"/>
  <c r="AA492" i="16"/>
  <c r="AA436" i="16"/>
  <c r="AA425" i="16"/>
  <c r="AA321" i="16"/>
  <c r="AA287" i="16"/>
  <c r="AA277" i="16"/>
  <c r="AA127" i="16"/>
  <c r="AA119" i="16"/>
  <c r="AA111" i="16"/>
  <c r="AA43" i="16"/>
  <c r="AA35" i="16"/>
  <c r="AA27" i="16"/>
  <c r="AA275" i="16"/>
  <c r="AA118" i="16"/>
  <c r="AA488" i="16"/>
  <c r="AA448" i="16"/>
  <c r="AA433" i="16"/>
  <c r="AA423" i="16"/>
  <c r="AA329" i="16"/>
  <c r="AA285" i="16"/>
  <c r="AA274" i="16"/>
  <c r="AA133" i="16"/>
  <c r="AA125" i="16"/>
  <c r="AA117" i="16"/>
  <c r="AA49" i="16"/>
  <c r="AA41" i="16"/>
  <c r="AA33" i="16"/>
  <c r="AA445" i="16"/>
  <c r="AA432" i="16"/>
  <c r="AA327" i="16"/>
  <c r="AA294" i="16"/>
  <c r="AA283" i="16"/>
  <c r="AA272" i="16"/>
  <c r="AA132" i="16"/>
  <c r="AA124" i="16"/>
  <c r="AA116" i="16"/>
  <c r="AA48" i="16"/>
  <c r="AA40" i="16"/>
  <c r="AA32" i="16"/>
  <c r="AA424" i="16"/>
  <c r="AA286" i="16"/>
  <c r="O946" i="21" l="1"/>
  <c r="O941" i="21"/>
  <c r="O949" i="21"/>
  <c r="K9" i="25"/>
  <c r="K11" i="25"/>
  <c r="K7" i="25"/>
  <c r="K13" i="25" s="1"/>
  <c r="N11" i="25"/>
  <c r="N9" i="25"/>
  <c r="N7" i="25"/>
  <c r="N13" i="25" s="1"/>
  <c r="O934" i="21"/>
  <c r="H15" i="25"/>
  <c r="H14" i="25"/>
  <c r="C15" i="25"/>
  <c r="C14" i="25"/>
  <c r="AB53" i="8"/>
  <c r="S5" i="23"/>
  <c r="S57" i="23" s="1"/>
  <c r="S53" i="9"/>
  <c r="O953" i="21"/>
  <c r="O942" i="21"/>
  <c r="O943" i="21"/>
  <c r="O956" i="21"/>
  <c r="O938" i="21"/>
  <c r="O692" i="21"/>
  <c r="O950" i="21"/>
  <c r="O719" i="21"/>
  <c r="O721" i="21"/>
  <c r="O703" i="21"/>
  <c r="O714" i="21"/>
  <c r="O711" i="21"/>
  <c r="O717" i="21"/>
  <c r="O710" i="21"/>
  <c r="O725" i="21"/>
  <c r="K13" i="26"/>
  <c r="O715" i="21"/>
  <c r="O713" i="21"/>
  <c r="O708" i="21"/>
  <c r="O712" i="21"/>
  <c r="O716" i="21"/>
  <c r="O682" i="21"/>
  <c r="O723" i="21"/>
  <c r="O720" i="21"/>
  <c r="O696" i="21"/>
  <c r="O663" i="21"/>
  <c r="O705" i="21"/>
  <c r="O685" i="21"/>
  <c r="O709" i="21"/>
  <c r="O702" i="21"/>
  <c r="O676" i="21"/>
  <c r="O670" i="21"/>
  <c r="O693" i="21"/>
  <c r="O701" i="21"/>
  <c r="O722" i="21"/>
  <c r="L550" i="21"/>
  <c r="O550" i="21" s="1"/>
  <c r="AG550" i="16"/>
  <c r="AG543" i="16"/>
  <c r="L543" i="21"/>
  <c r="O543" i="21" s="1"/>
  <c r="AG1184" i="16"/>
  <c r="L1184" i="21"/>
  <c r="O1184" i="21" s="1"/>
  <c r="AG1127" i="16"/>
  <c r="L1127" i="21"/>
  <c r="O1127" i="21" s="1"/>
  <c r="L1148" i="21"/>
  <c r="O1148" i="21" s="1"/>
  <c r="AG1148" i="16"/>
  <c r="AG1008" i="16"/>
  <c r="L1008" i="21"/>
  <c r="O1008" i="21" s="1"/>
  <c r="AG1227" i="16"/>
  <c r="L1227" i="21"/>
  <c r="O1227" i="21" s="1"/>
  <c r="AG1090" i="16"/>
  <c r="L1090" i="21"/>
  <c r="O1090" i="21" s="1"/>
  <c r="AG1195" i="16"/>
  <c r="L1195" i="21"/>
  <c r="O1195" i="21" s="1"/>
  <c r="AG1128" i="16"/>
  <c r="L1128" i="21"/>
  <c r="O1128" i="21" s="1"/>
  <c r="AG1166" i="16"/>
  <c r="L1166" i="21"/>
  <c r="O1166" i="21" s="1"/>
  <c r="AG1138" i="16"/>
  <c r="L1138" i="21"/>
  <c r="O1138" i="21" s="1"/>
  <c r="L1019" i="21"/>
  <c r="O1019" i="21" s="1"/>
  <c r="AG1019" i="16"/>
  <c r="AG1208" i="16"/>
  <c r="L1208" i="21"/>
  <c r="O1208" i="21" s="1"/>
  <c r="AG1213" i="16"/>
  <c r="L1213" i="21"/>
  <c r="O1213" i="21" s="1"/>
  <c r="AG1218" i="16"/>
  <c r="L1218" i="21"/>
  <c r="O1218" i="21" s="1"/>
  <c r="AG1093" i="16"/>
  <c r="L1093" i="21"/>
  <c r="O1093" i="21" s="1"/>
  <c r="AG1160" i="16"/>
  <c r="L1160" i="21"/>
  <c r="O1160" i="21" s="1"/>
  <c r="AG226" i="16"/>
  <c r="L226" i="21"/>
  <c r="O226" i="21" s="1"/>
  <c r="AG100" i="16"/>
  <c r="L100" i="21"/>
  <c r="O100" i="21" s="1"/>
  <c r="AG377" i="16"/>
  <c r="L377" i="21"/>
  <c r="O377" i="21" s="1"/>
  <c r="AG296" i="16"/>
  <c r="L296" i="21"/>
  <c r="O296" i="21" s="1"/>
  <c r="AG366" i="16"/>
  <c r="L366" i="21"/>
  <c r="O366" i="21" s="1"/>
  <c r="AG225" i="16"/>
  <c r="L225" i="21"/>
  <c r="O225" i="21" s="1"/>
  <c r="AG17" i="16"/>
  <c r="L17" i="21"/>
  <c r="O17" i="21" s="1"/>
  <c r="AG14" i="16"/>
  <c r="L14" i="21"/>
  <c r="O14" i="21" s="1"/>
  <c r="AG389" i="16"/>
  <c r="L389" i="21"/>
  <c r="O389" i="21" s="1"/>
  <c r="AG458" i="16"/>
  <c r="L458" i="21"/>
  <c r="O458" i="21" s="1"/>
  <c r="AG104" i="16"/>
  <c r="L104" i="21"/>
  <c r="O104" i="21" s="1"/>
  <c r="AG230" i="16"/>
  <c r="L230" i="21"/>
  <c r="O230" i="21" s="1"/>
  <c r="AG220" i="16"/>
  <c r="L220" i="21"/>
  <c r="O220" i="21" s="1"/>
  <c r="AG379" i="16"/>
  <c r="L379" i="21"/>
  <c r="O379" i="21" s="1"/>
  <c r="L239" i="21"/>
  <c r="O239" i="21" s="1"/>
  <c r="AG239" i="16"/>
  <c r="AG393" i="16"/>
  <c r="L393" i="21"/>
  <c r="O393" i="21" s="1"/>
  <c r="L815" i="21"/>
  <c r="O815" i="21" s="1"/>
  <c r="AG815" i="16"/>
  <c r="AG1245" i="16"/>
  <c r="L1245" i="21"/>
  <c r="AG1254" i="16"/>
  <c r="L1254" i="21"/>
  <c r="O1254" i="21" s="1"/>
  <c r="AG1248" i="16"/>
  <c r="L1248" i="21"/>
  <c r="O1248" i="21" s="1"/>
  <c r="AG793" i="16"/>
  <c r="L793" i="21"/>
  <c r="O793" i="21" s="1"/>
  <c r="AG782" i="16"/>
  <c r="L782" i="21"/>
  <c r="L1084" i="21"/>
  <c r="O1084" i="21" s="1"/>
  <c r="AG1084" i="16"/>
  <c r="AG991" i="16"/>
  <c r="L991" i="21"/>
  <c r="O991" i="21" s="1"/>
  <c r="AG1069" i="16"/>
  <c r="L1069" i="21"/>
  <c r="O1069" i="21" s="1"/>
  <c r="L1007" i="21"/>
  <c r="O1007" i="21" s="1"/>
  <c r="AG1007" i="16"/>
  <c r="AG1073" i="16"/>
  <c r="L1073" i="21"/>
  <c r="O1073" i="21" s="1"/>
  <c r="L1075" i="21"/>
  <c r="O1075" i="21" s="1"/>
  <c r="AG1075" i="16"/>
  <c r="O707" i="21"/>
  <c r="AG1035" i="16"/>
  <c r="L1035" i="21"/>
  <c r="O1035" i="21" s="1"/>
  <c r="AG1110" i="16"/>
  <c r="L1110" i="21"/>
  <c r="O1110" i="21" s="1"/>
  <c r="AG1103" i="16"/>
  <c r="L1103" i="21"/>
  <c r="O1103" i="21" s="1"/>
  <c r="AG1020" i="16"/>
  <c r="L1020" i="21"/>
  <c r="O1020" i="21" s="1"/>
  <c r="AG1118" i="16"/>
  <c r="L1118" i="21"/>
  <c r="O1118" i="21" s="1"/>
  <c r="AG1107" i="16"/>
  <c r="L1107" i="21"/>
  <c r="O1107" i="21" s="1"/>
  <c r="O706" i="21"/>
  <c r="O691" i="21"/>
  <c r="AG539" i="16"/>
  <c r="L539" i="21"/>
  <c r="O539" i="21" s="1"/>
  <c r="AG541" i="16"/>
  <c r="L541" i="21"/>
  <c r="O541" i="21" s="1"/>
  <c r="L1133" i="21"/>
  <c r="O1133" i="21" s="1"/>
  <c r="AG1133" i="16"/>
  <c r="AG1186" i="16"/>
  <c r="L1186" i="21"/>
  <c r="O1186" i="21" s="1"/>
  <c r="L1129" i="21"/>
  <c r="O1129" i="21" s="1"/>
  <c r="AG1129" i="16"/>
  <c r="AG1157" i="16"/>
  <c r="L1157" i="21"/>
  <c r="O1157" i="21" s="1"/>
  <c r="AG1018" i="16"/>
  <c r="L1018" i="21"/>
  <c r="O1018" i="21" s="1"/>
  <c r="AG1089" i="16"/>
  <c r="L1089" i="21"/>
  <c r="O1089" i="21" s="1"/>
  <c r="AG1178" i="16"/>
  <c r="L1178" i="21"/>
  <c r="O1178" i="21" s="1"/>
  <c r="L1197" i="21"/>
  <c r="O1197" i="21" s="1"/>
  <c r="AG1197" i="16"/>
  <c r="AG1192" i="16"/>
  <c r="L1192" i="21"/>
  <c r="O1192" i="21" s="1"/>
  <c r="AG1171" i="16"/>
  <c r="L1171" i="21"/>
  <c r="O1171" i="21" s="1"/>
  <c r="AG1202" i="16"/>
  <c r="L1202" i="21"/>
  <c r="O1202" i="21" s="1"/>
  <c r="AG1141" i="16"/>
  <c r="L1141" i="21"/>
  <c r="O1141" i="21" s="1"/>
  <c r="AG1153" i="16"/>
  <c r="L1153" i="21"/>
  <c r="O1153" i="21" s="1"/>
  <c r="AG1159" i="16"/>
  <c r="L1159" i="21"/>
  <c r="O1159" i="21" s="1"/>
  <c r="L1132" i="21"/>
  <c r="O1132" i="21" s="1"/>
  <c r="AG1132" i="16"/>
  <c r="AG1094" i="16"/>
  <c r="L1094" i="21"/>
  <c r="O1094" i="21" s="1"/>
  <c r="L1224" i="21"/>
  <c r="O1224" i="21" s="1"/>
  <c r="AG1224" i="16"/>
  <c r="AG240" i="16"/>
  <c r="L240" i="21"/>
  <c r="O240" i="21" s="1"/>
  <c r="AG10" i="16"/>
  <c r="L10" i="21"/>
  <c r="O10" i="21" s="1"/>
  <c r="AG298" i="16"/>
  <c r="L298" i="21"/>
  <c r="O298" i="21" s="1"/>
  <c r="AG369" i="16"/>
  <c r="L369" i="21"/>
  <c r="O369" i="21" s="1"/>
  <c r="AG460" i="16"/>
  <c r="L460" i="21"/>
  <c r="O460" i="21" s="1"/>
  <c r="AG12" i="16"/>
  <c r="L12" i="21"/>
  <c r="O12" i="21" s="1"/>
  <c r="L504" i="21"/>
  <c r="O504" i="21" s="1"/>
  <c r="L505" i="21"/>
  <c r="O505" i="21" s="1"/>
  <c r="L508" i="21"/>
  <c r="O508" i="21" s="1"/>
  <c r="L510" i="21"/>
  <c r="O510" i="21" s="1"/>
  <c r="L506" i="21"/>
  <c r="O506" i="21" s="1"/>
  <c r="L503" i="21"/>
  <c r="O503" i="21" s="1"/>
  <c r="L502" i="21"/>
  <c r="O502" i="21" s="1"/>
  <c r="L462" i="21"/>
  <c r="O462" i="21" s="1"/>
  <c r="L499" i="21"/>
  <c r="O499" i="21" s="1"/>
  <c r="L509" i="21"/>
  <c r="O509" i="21" s="1"/>
  <c r="L507" i="21"/>
  <c r="O507" i="21" s="1"/>
  <c r="AG462" i="16"/>
  <c r="L501" i="21"/>
  <c r="O501" i="21" s="1"/>
  <c r="L511" i="21"/>
  <c r="O511" i="21" s="1"/>
  <c r="L500" i="21"/>
  <c r="O500" i="21" s="1"/>
  <c r="AG306" i="16"/>
  <c r="L306" i="21"/>
  <c r="O306" i="21" s="1"/>
  <c r="L243" i="21"/>
  <c r="O243" i="21" s="1"/>
  <c r="AG243" i="16"/>
  <c r="AG8" i="16"/>
  <c r="L8" i="21"/>
  <c r="O8" i="21" s="1"/>
  <c r="AG105" i="16"/>
  <c r="L105" i="21"/>
  <c r="O105" i="21" s="1"/>
  <c r="AG392" i="16"/>
  <c r="L392" i="21"/>
  <c r="O392" i="21" s="1"/>
  <c r="AG453" i="16"/>
  <c r="L453" i="21"/>
  <c r="O453" i="21" s="1"/>
  <c r="L451" i="21"/>
  <c r="O451" i="21" s="1"/>
  <c r="AG451" i="16"/>
  <c r="AG375" i="16"/>
  <c r="L375" i="21"/>
  <c r="O375" i="21" s="1"/>
  <c r="AG238" i="16"/>
  <c r="L238" i="21"/>
  <c r="O238" i="21" s="1"/>
  <c r="AG237" i="16"/>
  <c r="L237" i="21"/>
  <c r="O237" i="21" s="1"/>
  <c r="AG387" i="16"/>
  <c r="L387" i="21"/>
  <c r="O387" i="21" s="1"/>
  <c r="AG814" i="16"/>
  <c r="L814" i="21"/>
  <c r="O814" i="21" s="1"/>
  <c r="O671" i="21"/>
  <c r="O661" i="21"/>
  <c r="AG1256" i="16"/>
  <c r="L1256" i="21"/>
  <c r="O1256" i="21" s="1"/>
  <c r="AG1258" i="16"/>
  <c r="L1258" i="21"/>
  <c r="O1258" i="21" s="1"/>
  <c r="AG792" i="16"/>
  <c r="L792" i="21"/>
  <c r="O792" i="21" s="1"/>
  <c r="AG791" i="16"/>
  <c r="L791" i="21"/>
  <c r="O791" i="21" s="1"/>
  <c r="AG997" i="16"/>
  <c r="L997" i="21"/>
  <c r="O997" i="21" s="1"/>
  <c r="AG1004" i="16"/>
  <c r="L1004" i="21"/>
  <c r="O1004" i="21" s="1"/>
  <c r="AG983" i="16"/>
  <c r="L983" i="21"/>
  <c r="O983" i="21" s="1"/>
  <c r="AG998" i="16"/>
  <c r="L998" i="21"/>
  <c r="O998" i="21" s="1"/>
  <c r="AG1072" i="16"/>
  <c r="L1072" i="21"/>
  <c r="O1072" i="21" s="1"/>
  <c r="AG1074" i="16"/>
  <c r="L1074" i="21"/>
  <c r="O1074" i="21" s="1"/>
  <c r="O687" i="21"/>
  <c r="O669" i="21"/>
  <c r="AG1114" i="16"/>
  <c r="L1114" i="21"/>
  <c r="O1114" i="21" s="1"/>
  <c r="AG1102" i="16"/>
  <c r="L1102" i="21"/>
  <c r="O1102" i="21" s="1"/>
  <c r="AG1120" i="16"/>
  <c r="L1120" i="21"/>
  <c r="O1120" i="21" s="1"/>
  <c r="AG1115" i="16"/>
  <c r="L1115" i="21"/>
  <c r="O1115" i="21" s="1"/>
  <c r="L1043" i="21"/>
  <c r="O1043" i="21" s="1"/>
  <c r="AG1043" i="16"/>
  <c r="AG1032" i="16"/>
  <c r="L1032" i="21"/>
  <c r="O1032" i="21" s="1"/>
  <c r="O698" i="21"/>
  <c r="O660" i="21"/>
  <c r="L549" i="21"/>
  <c r="O549" i="21" s="1"/>
  <c r="AG549" i="16"/>
  <c r="AG551" i="16"/>
  <c r="L551" i="21"/>
  <c r="O551" i="21" s="1"/>
  <c r="L1011" i="21"/>
  <c r="O1011" i="21" s="1"/>
  <c r="AG1011" i="16"/>
  <c r="AG1012" i="16"/>
  <c r="L1012" i="21"/>
  <c r="O1012" i="21" s="1"/>
  <c r="AG1123" i="16"/>
  <c r="L1123" i="21"/>
  <c r="O1123" i="21" s="1"/>
  <c r="AG1212" i="16"/>
  <c r="L1212" i="21"/>
  <c r="O1212" i="21" s="1"/>
  <c r="AG1091" i="16"/>
  <c r="L1091" i="21"/>
  <c r="O1091" i="21" s="1"/>
  <c r="AG1156" i="16"/>
  <c r="L1156" i="21"/>
  <c r="O1156" i="21" s="1"/>
  <c r="AG1222" i="16"/>
  <c r="L1222" i="21"/>
  <c r="O1222" i="21" s="1"/>
  <c r="AG1137" i="16"/>
  <c r="L1137" i="21"/>
  <c r="O1137" i="21" s="1"/>
  <c r="AG1143" i="16"/>
  <c r="L1143" i="21"/>
  <c r="O1143" i="21" s="1"/>
  <c r="AG1100" i="16"/>
  <c r="L1100" i="21"/>
  <c r="O1100" i="21" s="1"/>
  <c r="AG1187" i="16"/>
  <c r="L1187" i="21"/>
  <c r="O1187" i="21" s="1"/>
  <c r="AG1217" i="16"/>
  <c r="L1217" i="21"/>
  <c r="O1217" i="21" s="1"/>
  <c r="AG1013" i="16"/>
  <c r="L1013" i="21"/>
  <c r="O1013" i="21" s="1"/>
  <c r="AG1223" i="16"/>
  <c r="L1223" i="21"/>
  <c r="O1223" i="21" s="1"/>
  <c r="L1196" i="21"/>
  <c r="O1196" i="21" s="1"/>
  <c r="AG1196" i="16"/>
  <c r="AG1139" i="16"/>
  <c r="L1139" i="21"/>
  <c r="O1139" i="21" s="1"/>
  <c r="L1169" i="21"/>
  <c r="O1169" i="21" s="1"/>
  <c r="AG1169" i="16"/>
  <c r="O667" i="21"/>
  <c r="AG9" i="16"/>
  <c r="L9" i="21"/>
  <c r="O9" i="21" s="1"/>
  <c r="AG454" i="16"/>
  <c r="L454" i="21"/>
  <c r="O454" i="21" s="1"/>
  <c r="AG11" i="16"/>
  <c r="L11" i="21"/>
  <c r="O11" i="21" s="1"/>
  <c r="L87" i="21"/>
  <c r="O87" i="21" s="1"/>
  <c r="AG87" i="16"/>
  <c r="AG242" i="16"/>
  <c r="L242" i="21"/>
  <c r="O242" i="21" s="1"/>
  <c r="AG223" i="16"/>
  <c r="L223" i="21"/>
  <c r="O223" i="21" s="1"/>
  <c r="AG299" i="16"/>
  <c r="L299" i="21"/>
  <c r="O299" i="21" s="1"/>
  <c r="AG368" i="16"/>
  <c r="L368" i="21"/>
  <c r="O368" i="21" s="1"/>
  <c r="AG95" i="16"/>
  <c r="L95" i="21"/>
  <c r="O95" i="21" s="1"/>
  <c r="L7" i="21"/>
  <c r="O7" i="21" s="1"/>
  <c r="AG7" i="16"/>
  <c r="AG304" i="16"/>
  <c r="L304" i="21"/>
  <c r="O304" i="21" s="1"/>
  <c r="AG390" i="16"/>
  <c r="L390" i="21"/>
  <c r="O390" i="21" s="1"/>
  <c r="AG456" i="16"/>
  <c r="L456" i="21"/>
  <c r="O456" i="21" s="1"/>
  <c r="L221" i="21"/>
  <c r="O221" i="21" s="1"/>
  <c r="AG221" i="16"/>
  <c r="AG459" i="16"/>
  <c r="L459" i="21"/>
  <c r="O459" i="21" s="1"/>
  <c r="AG229" i="16"/>
  <c r="L229" i="21"/>
  <c r="O229" i="21" s="1"/>
  <c r="AG297" i="16"/>
  <c r="L297" i="21"/>
  <c r="O297" i="21" s="1"/>
  <c r="AG811" i="16"/>
  <c r="L811" i="21"/>
  <c r="O811" i="21" s="1"/>
  <c r="O658" i="21"/>
  <c r="O684" i="21"/>
  <c r="AG1246" i="16"/>
  <c r="L1246" i="21"/>
  <c r="O1246" i="21" s="1"/>
  <c r="AG1247" i="16"/>
  <c r="L1247" i="21"/>
  <c r="O1247" i="21" s="1"/>
  <c r="AG788" i="16"/>
  <c r="L788" i="21"/>
  <c r="O788" i="21" s="1"/>
  <c r="AG785" i="16"/>
  <c r="L785" i="21"/>
  <c r="O785" i="21" s="1"/>
  <c r="AG1082" i="16"/>
  <c r="L1082" i="21"/>
  <c r="O1082" i="21" s="1"/>
  <c r="AG992" i="16"/>
  <c r="L992" i="21"/>
  <c r="O992" i="21" s="1"/>
  <c r="AG996" i="16"/>
  <c r="L996" i="21"/>
  <c r="O996" i="21" s="1"/>
  <c r="AG1070" i="16"/>
  <c r="L1070" i="21"/>
  <c r="O1070" i="21" s="1"/>
  <c r="AG1081" i="16"/>
  <c r="L1081" i="21"/>
  <c r="O1081" i="21" s="1"/>
  <c r="O704" i="21"/>
  <c r="AG1038" i="16"/>
  <c r="L1038" i="21"/>
  <c r="O1038" i="21" s="1"/>
  <c r="AG1031" i="16"/>
  <c r="L1031" i="21"/>
  <c r="O1031" i="21" s="1"/>
  <c r="AG1122" i="16"/>
  <c r="L1122" i="21"/>
  <c r="O1122" i="21" s="1"/>
  <c r="L1037" i="21"/>
  <c r="O1037" i="21" s="1"/>
  <c r="AG1037" i="16"/>
  <c r="L1024" i="21"/>
  <c r="O1024" i="21" s="1"/>
  <c r="AG1024" i="16"/>
  <c r="AG1034" i="16"/>
  <c r="L1034" i="21"/>
  <c r="O1034" i="21" s="1"/>
  <c r="O659" i="21"/>
  <c r="O700" i="21"/>
  <c r="AG540" i="16"/>
  <c r="L540" i="21"/>
  <c r="O540" i="21" s="1"/>
  <c r="AG542" i="16"/>
  <c r="L542" i="21"/>
  <c r="O542" i="21" s="1"/>
  <c r="AG1173" i="16"/>
  <c r="L1173" i="21"/>
  <c r="O1173" i="21" s="1"/>
  <c r="AG1168" i="16"/>
  <c r="L1168" i="21"/>
  <c r="O1168" i="21" s="1"/>
  <c r="L1158" i="21"/>
  <c r="O1158" i="21" s="1"/>
  <c r="AG1158" i="16"/>
  <c r="AG1191" i="16"/>
  <c r="L1191" i="21"/>
  <c r="O1191" i="21" s="1"/>
  <c r="AG1095" i="16"/>
  <c r="L1095" i="21"/>
  <c r="O1095" i="21" s="1"/>
  <c r="AG1220" i="16"/>
  <c r="L1220" i="21"/>
  <c r="O1220" i="21" s="1"/>
  <c r="AG1142" i="16"/>
  <c r="L1142" i="21"/>
  <c r="O1142" i="21" s="1"/>
  <c r="AG1201" i="16"/>
  <c r="L1201" i="21"/>
  <c r="O1201" i="21" s="1"/>
  <c r="AG1198" i="16"/>
  <c r="L1198" i="21"/>
  <c r="O1198" i="21" s="1"/>
  <c r="AG1207" i="16"/>
  <c r="L1207" i="21"/>
  <c r="O1207" i="21" s="1"/>
  <c r="AG1180" i="16"/>
  <c r="L1180" i="21"/>
  <c r="O1180" i="21" s="1"/>
  <c r="AG1189" i="16"/>
  <c r="L1189" i="21"/>
  <c r="O1189" i="21" s="1"/>
  <c r="AG1146" i="16"/>
  <c r="L1146" i="21"/>
  <c r="O1146" i="21" s="1"/>
  <c r="AG1014" i="16"/>
  <c r="L1014" i="21"/>
  <c r="O1014" i="21" s="1"/>
  <c r="AG1152" i="16"/>
  <c r="L1152" i="21"/>
  <c r="O1152" i="21" s="1"/>
  <c r="AG1182" i="16"/>
  <c r="L1182" i="21"/>
  <c r="O1182" i="21" s="1"/>
  <c r="AG1010" i="16"/>
  <c r="L1010" i="21"/>
  <c r="O1010" i="21" s="1"/>
  <c r="AG20" i="16"/>
  <c r="L20" i="21"/>
  <c r="O20" i="21" s="1"/>
  <c r="L13" i="21"/>
  <c r="O13" i="21" s="1"/>
  <c r="AG13" i="16"/>
  <c r="L89" i="21"/>
  <c r="O89" i="21" s="1"/>
  <c r="AG89" i="16"/>
  <c r="AG107" i="16"/>
  <c r="L107" i="21"/>
  <c r="O107" i="21" s="1"/>
  <c r="AG21" i="16"/>
  <c r="L21" i="21"/>
  <c r="O21" i="21" s="1"/>
  <c r="AG388" i="16"/>
  <c r="L388" i="21"/>
  <c r="O388" i="21" s="1"/>
  <c r="AG234" i="16"/>
  <c r="L234" i="21"/>
  <c r="O234" i="21" s="1"/>
  <c r="AG25" i="16"/>
  <c r="L25" i="21"/>
  <c r="O25" i="21" s="1"/>
  <c r="L22" i="21"/>
  <c r="O22" i="21" s="1"/>
  <c r="AG22" i="16"/>
  <c r="L16" i="21"/>
  <c r="O16" i="21" s="1"/>
  <c r="AG16" i="16"/>
  <c r="AG90" i="16"/>
  <c r="L90" i="21"/>
  <c r="O90" i="21" s="1"/>
  <c r="L24" i="21"/>
  <c r="O24" i="21" s="1"/>
  <c r="AG24" i="16"/>
  <c r="AG102" i="16"/>
  <c r="L102" i="21"/>
  <c r="O102" i="21" s="1"/>
  <c r="AG5" i="16"/>
  <c r="L5" i="21"/>
  <c r="O5" i="21" s="1"/>
  <c r="L817" i="21"/>
  <c r="O817" i="21" s="1"/>
  <c r="AG817" i="16"/>
  <c r="L809" i="21"/>
  <c r="O809" i="21" s="1"/>
  <c r="AG809" i="16"/>
  <c r="M9" i="26"/>
  <c r="K14" i="26"/>
  <c r="K15" i="26"/>
  <c r="AG1249" i="16"/>
  <c r="L1249" i="21"/>
  <c r="O1249" i="21" s="1"/>
  <c r="L1252" i="21"/>
  <c r="O1252" i="21" s="1"/>
  <c r="AG1252" i="16"/>
  <c r="AG790" i="16"/>
  <c r="L790" i="21"/>
  <c r="O790" i="21" s="1"/>
  <c r="L1071" i="21"/>
  <c r="O1071" i="21" s="1"/>
  <c r="AG1071" i="16"/>
  <c r="L994" i="21"/>
  <c r="O994" i="21" s="1"/>
  <c r="AG994" i="16"/>
  <c r="AG1077" i="16"/>
  <c r="L1077" i="21"/>
  <c r="O1077" i="21" s="1"/>
  <c r="AG1079" i="16"/>
  <c r="L1079" i="21"/>
  <c r="O1079" i="21" s="1"/>
  <c r="AG1083" i="16"/>
  <c r="L1083" i="21"/>
  <c r="O1083" i="21" s="1"/>
  <c r="O699" i="21"/>
  <c r="O683" i="21"/>
  <c r="AG1108" i="16"/>
  <c r="L1108" i="21"/>
  <c r="O1108" i="21" s="1"/>
  <c r="L1104" i="21"/>
  <c r="O1104" i="21" s="1"/>
  <c r="AG1104" i="16"/>
  <c r="AG1033" i="16"/>
  <c r="L1033" i="21"/>
  <c r="O1033" i="21" s="1"/>
  <c r="AG1027" i="16"/>
  <c r="L1027" i="21"/>
  <c r="O1027" i="21" s="1"/>
  <c r="AG1026" i="16"/>
  <c r="L1026" i="21"/>
  <c r="O1026" i="21" s="1"/>
  <c r="AG1044" i="16"/>
  <c r="L1044" i="21"/>
  <c r="O1044" i="21" s="1"/>
  <c r="O695" i="21"/>
  <c r="O688" i="21"/>
  <c r="AG546" i="16"/>
  <c r="L546" i="21"/>
  <c r="O546" i="21" s="1"/>
  <c r="AG544" i="16"/>
  <c r="L544" i="21"/>
  <c r="O544" i="21" s="1"/>
  <c r="AG1125" i="16"/>
  <c r="L1125" i="21"/>
  <c r="O1125" i="21" s="1"/>
  <c r="AG1170" i="16"/>
  <c r="L1170" i="21"/>
  <c r="O1170" i="21" s="1"/>
  <c r="L1015" i="21"/>
  <c r="O1015" i="21" s="1"/>
  <c r="AG1015" i="16"/>
  <c r="AG1134" i="16"/>
  <c r="L1134" i="21"/>
  <c r="O1134" i="21" s="1"/>
  <c r="AG1193" i="16"/>
  <c r="L1193" i="21"/>
  <c r="O1193" i="21" s="1"/>
  <c r="AG1017" i="16"/>
  <c r="L1017" i="21"/>
  <c r="O1017" i="21" s="1"/>
  <c r="AG1183" i="16"/>
  <c r="L1183" i="21"/>
  <c r="O1183" i="21" s="1"/>
  <c r="AG1147" i="16"/>
  <c r="L1147" i="21"/>
  <c r="O1147" i="21" s="1"/>
  <c r="AG1130" i="16"/>
  <c r="L1130" i="21"/>
  <c r="O1130" i="21" s="1"/>
  <c r="AG1214" i="16"/>
  <c r="L1214" i="21"/>
  <c r="O1214" i="21" s="1"/>
  <c r="AG1136" i="16"/>
  <c r="L1136" i="21"/>
  <c r="O1136" i="21" s="1"/>
  <c r="L1190" i="21"/>
  <c r="O1190" i="21" s="1"/>
  <c r="AG1190" i="16"/>
  <c r="L1210" i="21"/>
  <c r="O1210" i="21" s="1"/>
  <c r="AG1210" i="16"/>
  <c r="AG1099" i="16"/>
  <c r="L1099" i="21"/>
  <c r="O1099" i="21" s="1"/>
  <c r="L1216" i="21"/>
  <c r="O1216" i="21" s="1"/>
  <c r="AG1216" i="16"/>
  <c r="AG1229" i="16"/>
  <c r="L1229" i="21"/>
  <c r="O1229" i="21" s="1"/>
  <c r="AG1162" i="16"/>
  <c r="L1162" i="21"/>
  <c r="O1162" i="21" s="1"/>
  <c r="O679" i="21"/>
  <c r="AG6" i="16"/>
  <c r="L6" i="21"/>
  <c r="O6" i="21" s="1"/>
  <c r="AG457" i="16"/>
  <c r="L457" i="21"/>
  <c r="O457" i="21" s="1"/>
  <c r="AG376" i="16"/>
  <c r="L376" i="21"/>
  <c r="O376" i="21" s="1"/>
  <c r="AG108" i="16"/>
  <c r="L108" i="21"/>
  <c r="O108" i="21" s="1"/>
  <c r="AG301" i="16"/>
  <c r="L301" i="21"/>
  <c r="O301" i="21" s="1"/>
  <c r="AG88" i="16"/>
  <c r="L88" i="21"/>
  <c r="O88" i="21" s="1"/>
  <c r="AG241" i="16"/>
  <c r="L241" i="21"/>
  <c r="O241" i="21" s="1"/>
  <c r="AG374" i="16"/>
  <c r="L374" i="21"/>
  <c r="O374" i="21" s="1"/>
  <c r="AG302" i="16"/>
  <c r="L302" i="21"/>
  <c r="O302" i="21" s="1"/>
  <c r="AG373" i="16"/>
  <c r="L373" i="21"/>
  <c r="O373" i="21" s="1"/>
  <c r="AG370" i="16"/>
  <c r="L370" i="21"/>
  <c r="O370" i="21" s="1"/>
  <c r="AG383" i="16"/>
  <c r="L383" i="21"/>
  <c r="O383" i="21" s="1"/>
  <c r="AG98" i="16"/>
  <c r="L98" i="21"/>
  <c r="O98" i="21" s="1"/>
  <c r="AG92" i="16"/>
  <c r="L92" i="21"/>
  <c r="O92" i="21" s="1"/>
  <c r="AG231" i="16"/>
  <c r="L231" i="21"/>
  <c r="O231" i="21" s="1"/>
  <c r="AG810" i="16"/>
  <c r="L810" i="21"/>
  <c r="O810" i="21" s="1"/>
  <c r="AG807" i="16"/>
  <c r="L807" i="21"/>
  <c r="O807" i="21" s="1"/>
  <c r="AG808" i="16"/>
  <c r="L808" i="21"/>
  <c r="O808" i="21" s="1"/>
  <c r="O673" i="21"/>
  <c r="AG1251" i="16"/>
  <c r="L1251" i="21"/>
  <c r="O1251" i="21" s="1"/>
  <c r="AG1259" i="16"/>
  <c r="L1259" i="21"/>
  <c r="O1259" i="21" s="1"/>
  <c r="AG987" i="16"/>
  <c r="L987" i="21"/>
  <c r="O987" i="21" s="1"/>
  <c r="AG1076" i="16"/>
  <c r="L1076" i="21"/>
  <c r="O1076" i="21" s="1"/>
  <c r="AG1006" i="16"/>
  <c r="L1006" i="21"/>
  <c r="O1006" i="21" s="1"/>
  <c r="L1085" i="21"/>
  <c r="O1085" i="21" s="1"/>
  <c r="AG1085" i="16"/>
  <c r="AG1078" i="16"/>
  <c r="L1078" i="21"/>
  <c r="O1078" i="21" s="1"/>
  <c r="AG995" i="16"/>
  <c r="L995" i="21"/>
  <c r="O995" i="21" s="1"/>
  <c r="O674" i="21"/>
  <c r="O694" i="21"/>
  <c r="O686" i="21"/>
  <c r="AG1025" i="16"/>
  <c r="L1025" i="21"/>
  <c r="O1025" i="21" s="1"/>
  <c r="AG1106" i="16"/>
  <c r="L1106" i="21"/>
  <c r="O1106" i="21" s="1"/>
  <c r="AG1021" i="16"/>
  <c r="L1021" i="21"/>
  <c r="O1021" i="21" s="1"/>
  <c r="AG1119" i="16"/>
  <c r="L1119" i="21"/>
  <c r="O1119" i="21" s="1"/>
  <c r="AG1036" i="16"/>
  <c r="L1036" i="21"/>
  <c r="O1036" i="21" s="1"/>
  <c r="O690" i="21"/>
  <c r="O665" i="21"/>
  <c r="O675" i="21"/>
  <c r="AG545" i="16"/>
  <c r="L545" i="21"/>
  <c r="O545" i="21" s="1"/>
  <c r="AG553" i="16"/>
  <c r="L553" i="21"/>
  <c r="O553" i="21" s="1"/>
  <c r="AG1096" i="16"/>
  <c r="L1096" i="21"/>
  <c r="O1096" i="21" s="1"/>
  <c r="AG1232" i="16"/>
  <c r="L1237" i="21"/>
  <c r="O1237" i="21" s="1"/>
  <c r="L1244" i="21"/>
  <c r="O1244" i="21" s="1"/>
  <c r="L1236" i="21"/>
  <c r="O1236" i="21" s="1"/>
  <c r="L1240" i="21"/>
  <c r="O1240" i="21" s="1"/>
  <c r="L1241" i="21"/>
  <c r="O1241" i="21" s="1"/>
  <c r="L1238" i="21"/>
  <c r="O1238" i="21" s="1"/>
  <c r="L1234" i="21"/>
  <c r="O1234" i="21" s="1"/>
  <c r="L1243" i="21"/>
  <c r="O1243" i="21" s="1"/>
  <c r="L1239" i="21"/>
  <c r="O1239" i="21" s="1"/>
  <c r="L1235" i="21"/>
  <c r="O1235" i="21" s="1"/>
  <c r="L1242" i="21"/>
  <c r="O1242" i="21" s="1"/>
  <c r="L1233" i="21"/>
  <c r="O1233" i="21" s="1"/>
  <c r="L1232" i="21"/>
  <c r="O1232" i="21" s="1"/>
  <c r="AG1205" i="16"/>
  <c r="L1205" i="21"/>
  <c r="O1205" i="21" s="1"/>
  <c r="AG1164" i="16"/>
  <c r="L1164" i="21"/>
  <c r="O1164" i="21" s="1"/>
  <c r="AG1150" i="16"/>
  <c r="L1150" i="21"/>
  <c r="O1150" i="21" s="1"/>
  <c r="AG1016" i="16"/>
  <c r="L1016" i="21"/>
  <c r="O1016" i="21" s="1"/>
  <c r="AG1149" i="16"/>
  <c r="L1149" i="21"/>
  <c r="O1149" i="21" s="1"/>
  <c r="L1194" i="21"/>
  <c r="O1194" i="21" s="1"/>
  <c r="AG1194" i="16"/>
  <c r="AG1219" i="16"/>
  <c r="L1219" i="21"/>
  <c r="O1219" i="21" s="1"/>
  <c r="L1200" i="21"/>
  <c r="O1200" i="21" s="1"/>
  <c r="AG1200" i="16"/>
  <c r="AG1151" i="16"/>
  <c r="L1151" i="21"/>
  <c r="O1151" i="21" s="1"/>
  <c r="AG1124" i="16"/>
  <c r="L1124" i="21"/>
  <c r="O1124" i="21" s="1"/>
  <c r="AG1163" i="16"/>
  <c r="L1163" i="21"/>
  <c r="O1163" i="21" s="1"/>
  <c r="AG1161" i="16"/>
  <c r="L1161" i="21"/>
  <c r="O1161" i="21" s="1"/>
  <c r="L1230" i="21"/>
  <c r="O1230" i="21" s="1"/>
  <c r="AG1230" i="16"/>
  <c r="AG1226" i="16"/>
  <c r="L1226" i="21"/>
  <c r="O1226" i="21" s="1"/>
  <c r="AG233" i="16"/>
  <c r="L233" i="21"/>
  <c r="O233" i="21" s="1"/>
  <c r="AG295" i="16"/>
  <c r="L295" i="21"/>
  <c r="O295" i="21" s="1"/>
  <c r="AG305" i="16"/>
  <c r="L305" i="21"/>
  <c r="O305" i="21" s="1"/>
  <c r="AG2" i="16"/>
  <c r="L2" i="21"/>
  <c r="O2" i="21" s="1"/>
  <c r="AG386" i="16"/>
  <c r="L386" i="21"/>
  <c r="O386" i="21" s="1"/>
  <c r="AG378" i="16"/>
  <c r="L378" i="21"/>
  <c r="O378" i="21" s="1"/>
  <c r="AG455" i="16"/>
  <c r="L455" i="21"/>
  <c r="O455" i="21" s="1"/>
  <c r="L103" i="21"/>
  <c r="O103" i="21" s="1"/>
  <c r="AG103" i="16"/>
  <c r="AG15" i="16"/>
  <c r="L15" i="21"/>
  <c r="O15" i="21" s="1"/>
  <c r="AG93" i="16"/>
  <c r="L93" i="21"/>
  <c r="O93" i="21" s="1"/>
  <c r="AG23" i="16"/>
  <c r="L23" i="21"/>
  <c r="O23" i="21" s="1"/>
  <c r="AG101" i="16"/>
  <c r="L101" i="21"/>
  <c r="O101" i="21" s="1"/>
  <c r="AG381" i="16"/>
  <c r="L381" i="21"/>
  <c r="O381" i="21" s="1"/>
  <c r="AG394" i="16"/>
  <c r="L394" i="21"/>
  <c r="O394" i="21" s="1"/>
  <c r="AG106" i="16"/>
  <c r="L106" i="21"/>
  <c r="O106" i="21" s="1"/>
  <c r="L806" i="21"/>
  <c r="O806" i="21" s="1"/>
  <c r="AG806" i="16"/>
  <c r="AG1257" i="16"/>
  <c r="L1257" i="21"/>
  <c r="O1257" i="21" s="1"/>
  <c r="AG1255" i="16"/>
  <c r="L1255" i="21"/>
  <c r="O1255" i="21" s="1"/>
  <c r="AG786" i="16"/>
  <c r="L786" i="21"/>
  <c r="O786" i="21" s="1"/>
  <c r="AG787" i="16"/>
  <c r="L787" i="21"/>
  <c r="O787" i="21" s="1"/>
  <c r="AG1002" i="16"/>
  <c r="L1002" i="21"/>
  <c r="O1002" i="21" s="1"/>
  <c r="L1000" i="21"/>
  <c r="O1000" i="21" s="1"/>
  <c r="AG1000" i="16"/>
  <c r="AG1088" i="16"/>
  <c r="L1088" i="21"/>
  <c r="O1088" i="21" s="1"/>
  <c r="AG999" i="16"/>
  <c r="L999" i="21"/>
  <c r="O999" i="21" s="1"/>
  <c r="AG1086" i="16"/>
  <c r="L1086" i="21"/>
  <c r="O1086" i="21" s="1"/>
  <c r="AG1080" i="16"/>
  <c r="L1080" i="21"/>
  <c r="O1080" i="21" s="1"/>
  <c r="O657" i="21"/>
  <c r="L1112" i="21"/>
  <c r="O1112" i="21" s="1"/>
  <c r="AG1112" i="16"/>
  <c r="AG1023" i="16"/>
  <c r="L1023" i="21"/>
  <c r="O1023" i="21" s="1"/>
  <c r="AG1116" i="16"/>
  <c r="L1116" i="21"/>
  <c r="O1116" i="21" s="1"/>
  <c r="AG1105" i="16"/>
  <c r="L1105" i="21"/>
  <c r="O1105" i="21" s="1"/>
  <c r="AG1121" i="16"/>
  <c r="L1121" i="21"/>
  <c r="O1121" i="21" s="1"/>
  <c r="O689" i="21"/>
  <c r="O677" i="21"/>
  <c r="O939" i="21"/>
  <c r="AG547" i="16"/>
  <c r="L547" i="21"/>
  <c r="O547" i="21" s="1"/>
  <c r="L548" i="21"/>
  <c r="O548" i="21" s="1"/>
  <c r="AG548" i="16"/>
  <c r="AG1098" i="16"/>
  <c r="L1098" i="21"/>
  <c r="O1098" i="21" s="1"/>
  <c r="AG1174" i="16"/>
  <c r="L1174" i="21"/>
  <c r="O1174" i="21" s="1"/>
  <c r="AG1175" i="16"/>
  <c r="L1175" i="21"/>
  <c r="O1175" i="21" s="1"/>
  <c r="AG1131" i="16"/>
  <c r="L1131" i="21"/>
  <c r="O1131" i="21" s="1"/>
  <c r="L1155" i="21"/>
  <c r="O1155" i="21" s="1"/>
  <c r="AG1155" i="16"/>
  <c r="L1176" i="21"/>
  <c r="O1176" i="21" s="1"/>
  <c r="AG1176" i="16"/>
  <c r="AG1135" i="16"/>
  <c r="L1135" i="21"/>
  <c r="O1135" i="21" s="1"/>
  <c r="AG1092" i="16"/>
  <c r="L1092" i="21"/>
  <c r="O1092" i="21" s="1"/>
  <c r="AG1101" i="16"/>
  <c r="L1101" i="21"/>
  <c r="O1101" i="21" s="1"/>
  <c r="AG1145" i="16"/>
  <c r="L1145" i="21"/>
  <c r="O1145" i="21" s="1"/>
  <c r="AG1215" i="16"/>
  <c r="L1215" i="21"/>
  <c r="O1215" i="21" s="1"/>
  <c r="AG1188" i="16"/>
  <c r="L1188" i="21"/>
  <c r="O1188" i="21" s="1"/>
  <c r="AG1206" i="16"/>
  <c r="L1206" i="21"/>
  <c r="O1206" i="21" s="1"/>
  <c r="AG1225" i="16"/>
  <c r="L1225" i="21"/>
  <c r="O1225" i="21" s="1"/>
  <c r="AG1167" i="16"/>
  <c r="L1167" i="21"/>
  <c r="O1167" i="21" s="1"/>
  <c r="AG1140" i="16"/>
  <c r="L1140" i="21"/>
  <c r="O1140" i="21" s="1"/>
  <c r="L367" i="21"/>
  <c r="O367" i="21" s="1"/>
  <c r="AG367" i="16"/>
  <c r="AG461" i="16"/>
  <c r="L461" i="21"/>
  <c r="O461" i="21" s="1"/>
  <c r="L236" i="21"/>
  <c r="O236" i="21" s="1"/>
  <c r="AG236" i="16"/>
  <c r="AG222" i="16"/>
  <c r="L222" i="21"/>
  <c r="O222" i="21" s="1"/>
  <c r="L94" i="21"/>
  <c r="O94" i="21" s="1"/>
  <c r="AG94" i="16"/>
  <c r="AG97" i="16"/>
  <c r="L97" i="21"/>
  <c r="O97" i="21" s="1"/>
  <c r="AG384" i="16"/>
  <c r="L384" i="21"/>
  <c r="O384" i="21" s="1"/>
  <c r="AG452" i="16"/>
  <c r="L452" i="21"/>
  <c r="O452" i="21" s="1"/>
  <c r="AG303" i="16"/>
  <c r="L303" i="21"/>
  <c r="O303" i="21" s="1"/>
  <c r="AG385" i="16"/>
  <c r="L385" i="21"/>
  <c r="O385" i="21" s="1"/>
  <c r="AG372" i="16"/>
  <c r="L372" i="21"/>
  <c r="O372" i="21" s="1"/>
  <c r="AG228" i="16"/>
  <c r="L228" i="21"/>
  <c r="O228" i="21" s="1"/>
  <c r="AG91" i="16"/>
  <c r="L91" i="21"/>
  <c r="O91" i="21" s="1"/>
  <c r="L165" i="21"/>
  <c r="O165" i="21" s="1"/>
  <c r="L161" i="21"/>
  <c r="O161" i="21" s="1"/>
  <c r="L141" i="21"/>
  <c r="O141" i="21" s="1"/>
  <c r="L145" i="21"/>
  <c r="O145" i="21" s="1"/>
  <c r="L134" i="21"/>
  <c r="O134" i="21" s="1"/>
  <c r="L139" i="21"/>
  <c r="O139" i="21" s="1"/>
  <c r="L137" i="21"/>
  <c r="O137" i="21" s="1"/>
  <c r="L143" i="21"/>
  <c r="O143" i="21" s="1"/>
  <c r="L160" i="21"/>
  <c r="O160" i="21" s="1"/>
  <c r="AG109" i="16"/>
  <c r="L167" i="21"/>
  <c r="O167" i="21" s="1"/>
  <c r="L169" i="21"/>
  <c r="O169" i="21" s="1"/>
  <c r="L158" i="21"/>
  <c r="O158" i="21" s="1"/>
  <c r="L170" i="21"/>
  <c r="O170" i="21" s="1"/>
  <c r="L163" i="21"/>
  <c r="O163" i="21" s="1"/>
  <c r="L164" i="21"/>
  <c r="O164" i="21" s="1"/>
  <c r="L136" i="21"/>
  <c r="O136" i="21" s="1"/>
  <c r="L162" i="21"/>
  <c r="O162" i="21" s="1"/>
  <c r="L159" i="21"/>
  <c r="O159" i="21" s="1"/>
  <c r="L142" i="21"/>
  <c r="O142" i="21" s="1"/>
  <c r="L109" i="21"/>
  <c r="O109" i="21" s="1"/>
  <c r="L138" i="21"/>
  <c r="O138" i="21" s="1"/>
  <c r="L140" i="21"/>
  <c r="O140" i="21" s="1"/>
  <c r="L166" i="21"/>
  <c r="O166" i="21" s="1"/>
  <c r="L168" i="21"/>
  <c r="O168" i="21" s="1"/>
  <c r="L135" i="21"/>
  <c r="O135" i="21" s="1"/>
  <c r="L144" i="21"/>
  <c r="O144" i="21" s="1"/>
  <c r="AG391" i="16"/>
  <c r="L391" i="21"/>
  <c r="O391" i="21" s="1"/>
  <c r="AG816" i="16"/>
  <c r="L816" i="21"/>
  <c r="O816" i="21" s="1"/>
  <c r="AG813" i="16"/>
  <c r="L813" i="21"/>
  <c r="O813" i="21" s="1"/>
  <c r="O664" i="21"/>
  <c r="O662" i="21"/>
  <c r="L1253" i="21"/>
  <c r="O1253" i="21" s="1"/>
  <c r="AG1253" i="16"/>
  <c r="AG1260" i="16"/>
  <c r="L1260" i="21"/>
  <c r="O1260" i="21" s="1"/>
  <c r="AG789" i="16"/>
  <c r="L789" i="21"/>
  <c r="O789" i="21" s="1"/>
  <c r="AG783" i="16"/>
  <c r="L783" i="21"/>
  <c r="O783" i="21" s="1"/>
  <c r="AG993" i="16"/>
  <c r="L993" i="21"/>
  <c r="O993" i="21" s="1"/>
  <c r="L1087" i="21"/>
  <c r="O1087" i="21" s="1"/>
  <c r="AG1087" i="16"/>
  <c r="AG988" i="16"/>
  <c r="L988" i="21"/>
  <c r="O988" i="21" s="1"/>
  <c r="AG982" i="16"/>
  <c r="L982" i="21"/>
  <c r="AG984" i="16"/>
  <c r="L984" i="21"/>
  <c r="O984" i="21" s="1"/>
  <c r="AG1001" i="16"/>
  <c r="L1001" i="21"/>
  <c r="O1001" i="21" s="1"/>
  <c r="O678" i="21"/>
  <c r="O951" i="21"/>
  <c r="O672" i="21"/>
  <c r="AG1030" i="16"/>
  <c r="L1030" i="21"/>
  <c r="O1030" i="21" s="1"/>
  <c r="AG1039" i="16"/>
  <c r="L1039" i="21"/>
  <c r="O1039" i="21" s="1"/>
  <c r="AG1117" i="16"/>
  <c r="L1117" i="21"/>
  <c r="O1117" i="21" s="1"/>
  <c r="AG1111" i="16"/>
  <c r="L1111" i="21"/>
  <c r="O1111" i="21" s="1"/>
  <c r="L1028" i="21"/>
  <c r="O1028" i="21" s="1"/>
  <c r="AG1028" i="16"/>
  <c r="AG1109" i="16"/>
  <c r="L1109" i="21"/>
  <c r="O1109" i="21" s="1"/>
  <c r="O697" i="21"/>
  <c r="O681" i="21"/>
  <c r="AG552" i="16"/>
  <c r="L552" i="21"/>
  <c r="O552" i="21" s="1"/>
  <c r="AG538" i="16"/>
  <c r="L538" i="21"/>
  <c r="O538" i="21" s="1"/>
  <c r="L1228" i="21"/>
  <c r="O1228" i="21" s="1"/>
  <c r="AG1228" i="16"/>
  <c r="AG1126" i="16"/>
  <c r="L1126" i="21"/>
  <c r="O1126" i="21" s="1"/>
  <c r="AG1203" i="16"/>
  <c r="L1203" i="21"/>
  <c r="O1203" i="21" s="1"/>
  <c r="AG1177" i="16"/>
  <c r="L1177" i="21"/>
  <c r="O1177" i="21" s="1"/>
  <c r="AG1009" i="16"/>
  <c r="L1009" i="21"/>
  <c r="O1009" i="21" s="1"/>
  <c r="AG1181" i="16"/>
  <c r="L1181" i="21"/>
  <c r="O1181" i="21" s="1"/>
  <c r="AG1185" i="16"/>
  <c r="L1185" i="21"/>
  <c r="O1185" i="21" s="1"/>
  <c r="AG1179" i="16"/>
  <c r="L1179" i="21"/>
  <c r="O1179" i="21" s="1"/>
  <c r="AG1199" i="16"/>
  <c r="L1199" i="21"/>
  <c r="O1199" i="21" s="1"/>
  <c r="AG1172" i="16"/>
  <c r="L1172" i="21"/>
  <c r="O1172" i="21" s="1"/>
  <c r="AG1165" i="16"/>
  <c r="L1165" i="21"/>
  <c r="O1165" i="21" s="1"/>
  <c r="AG1209" i="16"/>
  <c r="L1209" i="21"/>
  <c r="O1209" i="21" s="1"/>
  <c r="L1221" i="21"/>
  <c r="O1221" i="21" s="1"/>
  <c r="AG1221" i="16"/>
  <c r="AG1144" i="16"/>
  <c r="L1144" i="21"/>
  <c r="O1144" i="21" s="1"/>
  <c r="AG1211" i="16"/>
  <c r="L1211" i="21"/>
  <c r="O1211" i="21" s="1"/>
  <c r="AG1154" i="16"/>
  <c r="L1154" i="21"/>
  <c r="O1154" i="21" s="1"/>
  <c r="AG1097" i="16"/>
  <c r="L1097" i="21"/>
  <c r="O1097" i="21" s="1"/>
  <c r="AG1231" i="16"/>
  <c r="L1231" i="21"/>
  <c r="O1231" i="21" s="1"/>
  <c r="AG1204" i="16"/>
  <c r="L1204" i="21"/>
  <c r="O1204" i="21" s="1"/>
  <c r="O680" i="21"/>
  <c r="AG232" i="16"/>
  <c r="L232" i="21"/>
  <c r="O232" i="21" s="1"/>
  <c r="AG224" i="16"/>
  <c r="L224" i="21"/>
  <c r="O224" i="21" s="1"/>
  <c r="AG4" i="16"/>
  <c r="L4" i="21"/>
  <c r="O4" i="21" s="1"/>
  <c r="AG19" i="16"/>
  <c r="L19" i="21"/>
  <c r="O19" i="21" s="1"/>
  <c r="AG227" i="16"/>
  <c r="L227" i="21"/>
  <c r="O227" i="21" s="1"/>
  <c r="L235" i="21"/>
  <c r="O235" i="21" s="1"/>
  <c r="AG235" i="16"/>
  <c r="AG380" i="16"/>
  <c r="L380" i="21"/>
  <c r="O380" i="21" s="1"/>
  <c r="L96" i="21"/>
  <c r="O96" i="21" s="1"/>
  <c r="AG96" i="16"/>
  <c r="AG300" i="16"/>
  <c r="L300" i="21"/>
  <c r="O300" i="21" s="1"/>
  <c r="AG18" i="16"/>
  <c r="L18" i="21"/>
  <c r="O18" i="21" s="1"/>
  <c r="AG371" i="16"/>
  <c r="L371" i="21"/>
  <c r="O371" i="21" s="1"/>
  <c r="AG86" i="16"/>
  <c r="L86" i="21"/>
  <c r="O86" i="21" s="1"/>
  <c r="AG382" i="16"/>
  <c r="L382" i="21"/>
  <c r="O382" i="21" s="1"/>
  <c r="AG3" i="16"/>
  <c r="L3" i="21"/>
  <c r="O3" i="21" s="1"/>
  <c r="L99" i="21"/>
  <c r="O99" i="21" s="1"/>
  <c r="AG99" i="16"/>
  <c r="L812" i="21"/>
  <c r="O812" i="21" s="1"/>
  <c r="AG812" i="16"/>
  <c r="O948" i="21"/>
  <c r="AG1250" i="16"/>
  <c r="L1250" i="21"/>
  <c r="O1250" i="21" s="1"/>
  <c r="L1261" i="21"/>
  <c r="O1261" i="21" s="1"/>
  <c r="AG1261" i="16"/>
  <c r="AG784" i="16"/>
  <c r="L784" i="21"/>
  <c r="O784" i="21" s="1"/>
  <c r="L989" i="21"/>
  <c r="O989" i="21" s="1"/>
  <c r="AG989" i="16"/>
  <c r="AG986" i="16"/>
  <c r="L986" i="21"/>
  <c r="O986" i="21" s="1"/>
  <c r="AG985" i="16"/>
  <c r="L985" i="21"/>
  <c r="O985" i="21" s="1"/>
  <c r="AG990" i="16"/>
  <c r="L990" i="21"/>
  <c r="O990" i="21" s="1"/>
  <c r="AG1003" i="16"/>
  <c r="L1003" i="21"/>
  <c r="O1003" i="21" s="1"/>
  <c r="AG1005" i="16"/>
  <c r="L1005" i="21"/>
  <c r="O1005" i="21" s="1"/>
  <c r="O724" i="21"/>
  <c r="O718" i="21"/>
  <c r="AG1042" i="16"/>
  <c r="L1042" i="21"/>
  <c r="O1042" i="21" s="1"/>
  <c r="AG1040" i="16"/>
  <c r="L1040" i="21"/>
  <c r="O1040" i="21" s="1"/>
  <c r="L1041" i="21"/>
  <c r="O1041" i="21" s="1"/>
  <c r="AG1041" i="16"/>
  <c r="AG1113" i="16"/>
  <c r="L1113" i="21"/>
  <c r="O1113" i="21" s="1"/>
  <c r="AG1029" i="16"/>
  <c r="L1029" i="21"/>
  <c r="O1029" i="21" s="1"/>
  <c r="AG1022" i="16"/>
  <c r="L1022" i="21"/>
  <c r="O1022" i="21" s="1"/>
  <c r="O666" i="21"/>
  <c r="O668" i="21"/>
  <c r="AG132" i="16"/>
  <c r="L132" i="21"/>
  <c r="O132" i="21" s="1"/>
  <c r="AG445" i="16"/>
  <c r="L445" i="21"/>
  <c r="O445" i="21" s="1"/>
  <c r="AG448" i="16"/>
  <c r="L448" i="21"/>
  <c r="O448" i="21" s="1"/>
  <c r="AG43" i="16"/>
  <c r="L43" i="21"/>
  <c r="O43" i="21" s="1"/>
  <c r="AG287" i="16"/>
  <c r="L287" i="21"/>
  <c r="O287" i="21" s="1"/>
  <c r="AG449" i="16"/>
  <c r="L449" i="21"/>
  <c r="O449" i="21" s="1"/>
  <c r="AG29" i="16"/>
  <c r="L29" i="21"/>
  <c r="O29" i="21" s="1"/>
  <c r="AG323" i="16"/>
  <c r="L323" i="21"/>
  <c r="O323" i="21" s="1"/>
  <c r="AG38" i="16"/>
  <c r="L38" i="21"/>
  <c r="O38" i="21" s="1"/>
  <c r="AG291" i="16"/>
  <c r="L291" i="21"/>
  <c r="O291" i="21" s="1"/>
  <c r="AG319" i="16"/>
  <c r="L319" i="21"/>
  <c r="O319" i="21" s="1"/>
  <c r="AG431" i="16"/>
  <c r="L431" i="21"/>
  <c r="O431" i="21" s="1"/>
  <c r="AG422" i="16"/>
  <c r="L422" i="21"/>
  <c r="O422" i="21" s="1"/>
  <c r="AG487" i="16"/>
  <c r="L487" i="21"/>
  <c r="O487" i="21" s="1"/>
  <c r="AG491" i="16"/>
  <c r="L491" i="21"/>
  <c r="O491" i="21" s="1"/>
  <c r="AG286" i="16"/>
  <c r="L286" i="21"/>
  <c r="O286" i="21" s="1"/>
  <c r="AG488" i="16"/>
  <c r="L488" i="21"/>
  <c r="O488" i="21" s="1"/>
  <c r="AG111" i="16"/>
  <c r="L111" i="21"/>
  <c r="O111" i="21" s="1"/>
  <c r="AG321" i="16"/>
  <c r="L321" i="21"/>
  <c r="O321" i="21" s="1"/>
  <c r="AG28" i="16"/>
  <c r="L28" i="21"/>
  <c r="O28" i="21" s="1"/>
  <c r="AG278" i="16"/>
  <c r="L278" i="21"/>
  <c r="O278" i="21" s="1"/>
  <c r="AG37" i="16"/>
  <c r="L37" i="21"/>
  <c r="O37" i="21" s="1"/>
  <c r="AG428" i="16"/>
  <c r="L428" i="21"/>
  <c r="O428" i="21" s="1"/>
  <c r="AG46" i="16"/>
  <c r="L46" i="21"/>
  <c r="O46" i="21" s="1"/>
  <c r="AG324" i="16"/>
  <c r="L324" i="21"/>
  <c r="O324" i="21" s="1"/>
  <c r="AG434" i="16"/>
  <c r="L434" i="21"/>
  <c r="O434" i="21" s="1"/>
  <c r="AG444" i="16"/>
  <c r="L444" i="21"/>
  <c r="O444" i="21" s="1"/>
  <c r="AG430" i="16"/>
  <c r="L430" i="21"/>
  <c r="O430" i="21" s="1"/>
  <c r="AG495" i="16"/>
  <c r="L495" i="21"/>
  <c r="O495" i="21" s="1"/>
  <c r="AG273" i="16"/>
  <c r="L273" i="21"/>
  <c r="O273" i="21" s="1"/>
  <c r="AG124" i="16"/>
  <c r="L124" i="21"/>
  <c r="O124" i="21" s="1"/>
  <c r="AG330" i="16"/>
  <c r="L330" i="21"/>
  <c r="O330" i="21" s="1"/>
  <c r="AG290" i="16"/>
  <c r="L290" i="21"/>
  <c r="O290" i="21" s="1"/>
  <c r="AG280" i="16"/>
  <c r="L280" i="21"/>
  <c r="O280" i="21" s="1"/>
  <c r="AG131" i="16"/>
  <c r="L131" i="21"/>
  <c r="O131" i="21" s="1"/>
  <c r="AG326" i="16"/>
  <c r="L326" i="21"/>
  <c r="O326" i="21" s="1"/>
  <c r="AG328" i="16"/>
  <c r="L328" i="21"/>
  <c r="O328" i="21" s="1"/>
  <c r="AG443" i="16"/>
  <c r="L443" i="21"/>
  <c r="O443" i="21" s="1"/>
  <c r="AG424" i="16"/>
  <c r="L424" i="21"/>
  <c r="O424" i="21" s="1"/>
  <c r="AG33" i="16"/>
  <c r="L33" i="21"/>
  <c r="O33" i="21" s="1"/>
  <c r="AG119" i="16"/>
  <c r="L119" i="21"/>
  <c r="O119" i="21" s="1"/>
  <c r="AG425" i="16"/>
  <c r="L425" i="21"/>
  <c r="O425" i="21" s="1"/>
  <c r="AG36" i="16"/>
  <c r="L36" i="21"/>
  <c r="O36" i="21" s="1"/>
  <c r="AG288" i="16"/>
  <c r="L288" i="21"/>
  <c r="O288" i="21" s="1"/>
  <c r="AG45" i="16"/>
  <c r="L45" i="21"/>
  <c r="O45" i="21" s="1"/>
  <c r="AG440" i="16"/>
  <c r="L440" i="21"/>
  <c r="O440" i="21" s="1"/>
  <c r="AG114" i="16"/>
  <c r="L114" i="21"/>
  <c r="O114" i="21" s="1"/>
  <c r="AG429" i="16"/>
  <c r="L429" i="21"/>
  <c r="O429" i="21" s="1"/>
  <c r="AG31" i="16"/>
  <c r="L31" i="21"/>
  <c r="O31" i="21" s="1"/>
  <c r="AG438" i="16"/>
  <c r="L438" i="21"/>
  <c r="O438" i="21" s="1"/>
  <c r="AG281" i="16"/>
  <c r="L281" i="21"/>
  <c r="O281" i="21" s="1"/>
  <c r="AG432" i="16"/>
  <c r="L432" i="21"/>
  <c r="O432" i="21" s="1"/>
  <c r="AG277" i="16"/>
  <c r="L277" i="21"/>
  <c r="O277" i="21" s="1"/>
  <c r="AG30" i="16"/>
  <c r="L30" i="21"/>
  <c r="O30" i="21" s="1"/>
  <c r="AG447" i="16"/>
  <c r="L447" i="21"/>
  <c r="O447" i="21" s="1"/>
  <c r="AG32" i="16"/>
  <c r="L32" i="21"/>
  <c r="O32" i="21" s="1"/>
  <c r="AG272" i="16"/>
  <c r="L272" i="21"/>
  <c r="O272" i="21" s="1"/>
  <c r="AG41" i="16"/>
  <c r="L41" i="21"/>
  <c r="O41" i="21" s="1"/>
  <c r="AG274" i="16"/>
  <c r="L274" i="21"/>
  <c r="O274" i="21" s="1"/>
  <c r="AG118" i="16"/>
  <c r="L118" i="21"/>
  <c r="O118" i="21" s="1"/>
  <c r="AG127" i="16"/>
  <c r="L127" i="21"/>
  <c r="O127" i="21" s="1"/>
  <c r="AG436" i="16"/>
  <c r="L436" i="21"/>
  <c r="O436" i="21" s="1"/>
  <c r="AG44" i="16"/>
  <c r="L44" i="21"/>
  <c r="O44" i="21" s="1"/>
  <c r="AG322" i="16"/>
  <c r="L322" i="21"/>
  <c r="O322" i="21" s="1"/>
  <c r="AG113" i="16"/>
  <c r="L113" i="21"/>
  <c r="O113" i="21" s="1"/>
  <c r="AG496" i="16"/>
  <c r="L496" i="21"/>
  <c r="O496" i="21" s="1"/>
  <c r="AG122" i="16"/>
  <c r="L122" i="21"/>
  <c r="O122" i="21" s="1"/>
  <c r="AG441" i="16"/>
  <c r="L441" i="21"/>
  <c r="O441" i="21" s="1"/>
  <c r="AG39" i="16"/>
  <c r="L39" i="21"/>
  <c r="O39" i="21" s="1"/>
  <c r="AG276" i="16"/>
  <c r="L276" i="21"/>
  <c r="O276" i="21" s="1"/>
  <c r="AG446" i="16"/>
  <c r="L446" i="21"/>
  <c r="O446" i="21" s="1"/>
  <c r="AG442" i="16"/>
  <c r="L442" i="21"/>
  <c r="O442" i="21" s="1"/>
  <c r="AG289" i="16"/>
  <c r="L289" i="21"/>
  <c r="O289" i="21" s="1"/>
  <c r="AG433" i="16"/>
  <c r="L433" i="21"/>
  <c r="O433" i="21" s="1"/>
  <c r="AG40" i="16"/>
  <c r="L40" i="21"/>
  <c r="O40" i="21" s="1"/>
  <c r="AG49" i="16"/>
  <c r="L49" i="21"/>
  <c r="O49" i="21" s="1"/>
  <c r="AG275" i="16"/>
  <c r="L275" i="21"/>
  <c r="O275" i="21" s="1"/>
  <c r="AG492" i="16"/>
  <c r="L492" i="21"/>
  <c r="O492" i="21" s="1"/>
  <c r="AG112" i="16"/>
  <c r="L112" i="21"/>
  <c r="O112" i="21" s="1"/>
  <c r="AG426" i="16"/>
  <c r="L426" i="21"/>
  <c r="O426" i="21" s="1"/>
  <c r="AG121" i="16"/>
  <c r="L121" i="21"/>
  <c r="O121" i="21" s="1"/>
  <c r="AG130" i="16"/>
  <c r="L130" i="21"/>
  <c r="O130" i="21" s="1"/>
  <c r="AG497" i="16"/>
  <c r="L497" i="21"/>
  <c r="O497" i="21" s="1"/>
  <c r="AG47" i="16"/>
  <c r="L47" i="21"/>
  <c r="O47" i="21" s="1"/>
  <c r="AG271" i="16"/>
  <c r="L271" i="21"/>
  <c r="O271" i="21" s="1"/>
  <c r="AG284" i="16"/>
  <c r="L284" i="21"/>
  <c r="O284" i="21" s="1"/>
  <c r="AG494" i="16"/>
  <c r="L494" i="21"/>
  <c r="O494" i="21" s="1"/>
  <c r="AG450" i="16"/>
  <c r="L450" i="21"/>
  <c r="O450" i="21" s="1"/>
  <c r="AG325" i="16"/>
  <c r="L325" i="21"/>
  <c r="O325" i="21" s="1"/>
  <c r="AG133" i="16"/>
  <c r="L178" i="21"/>
  <c r="O178" i="21" s="1"/>
  <c r="L154" i="21"/>
  <c r="O154" i="21" s="1"/>
  <c r="L146" i="21"/>
  <c r="O146" i="21" s="1"/>
  <c r="L182" i="21"/>
  <c r="O182" i="21" s="1"/>
  <c r="L179" i="21"/>
  <c r="O179" i="21" s="1"/>
  <c r="L176" i="21"/>
  <c r="O176" i="21" s="1"/>
  <c r="L173" i="21"/>
  <c r="O173" i="21" s="1"/>
  <c r="L183" i="21"/>
  <c r="O183" i="21" s="1"/>
  <c r="L180" i="21"/>
  <c r="O180" i="21" s="1"/>
  <c r="L177" i="21"/>
  <c r="O177" i="21" s="1"/>
  <c r="L174" i="21"/>
  <c r="O174" i="21" s="1"/>
  <c r="L171" i="21"/>
  <c r="O171" i="21" s="1"/>
  <c r="L181" i="21"/>
  <c r="O181" i="21" s="1"/>
  <c r="L175" i="21"/>
  <c r="O175" i="21" s="1"/>
  <c r="L155" i="21"/>
  <c r="O155" i="21" s="1"/>
  <c r="L147" i="21"/>
  <c r="O147" i="21" s="1"/>
  <c r="L151" i="21"/>
  <c r="O151" i="21" s="1"/>
  <c r="L172" i="21"/>
  <c r="O172" i="21" s="1"/>
  <c r="L156" i="21"/>
  <c r="O156" i="21" s="1"/>
  <c r="L148" i="21"/>
  <c r="O148" i="21" s="1"/>
  <c r="L153" i="21"/>
  <c r="O153" i="21" s="1"/>
  <c r="L157" i="21"/>
  <c r="O157" i="21" s="1"/>
  <c r="L152" i="21"/>
  <c r="O152" i="21" s="1"/>
  <c r="L150" i="21"/>
  <c r="O150" i="21" s="1"/>
  <c r="L149" i="21"/>
  <c r="O149" i="21" s="1"/>
  <c r="L133" i="21"/>
  <c r="O133" i="21" s="1"/>
  <c r="AG42" i="16"/>
  <c r="L42" i="21"/>
  <c r="O42" i="21" s="1"/>
  <c r="AG283" i="16"/>
  <c r="L283" i="21"/>
  <c r="O283" i="21" s="1"/>
  <c r="AG285" i="16"/>
  <c r="L285" i="21"/>
  <c r="O285" i="21" s="1"/>
  <c r="AG48" i="16"/>
  <c r="L48" i="21"/>
  <c r="O48" i="21" s="1"/>
  <c r="AG294" i="16"/>
  <c r="L294" i="21"/>
  <c r="O294" i="21" s="1"/>
  <c r="AG117" i="16"/>
  <c r="L117" i="21"/>
  <c r="O117" i="21" s="1"/>
  <c r="AG329" i="16"/>
  <c r="L329" i="21"/>
  <c r="O329" i="21" s="1"/>
  <c r="AG120" i="16"/>
  <c r="L120" i="21"/>
  <c r="O120" i="21" s="1"/>
  <c r="AG437" i="16"/>
  <c r="L437" i="21"/>
  <c r="O437" i="21" s="1"/>
  <c r="AG129" i="16"/>
  <c r="L129" i="21"/>
  <c r="O129" i="21" s="1"/>
  <c r="AG34" i="16"/>
  <c r="L34" i="21"/>
  <c r="O34" i="21" s="1"/>
  <c r="AG26" i="16"/>
  <c r="L26" i="21"/>
  <c r="AG115" i="16"/>
  <c r="L115" i="21"/>
  <c r="O115" i="21" s="1"/>
  <c r="AG282" i="16"/>
  <c r="L282" i="21"/>
  <c r="O282" i="21" s="1"/>
  <c r="AG292" i="16"/>
  <c r="L292" i="21"/>
  <c r="O292" i="21" s="1"/>
  <c r="AG490" i="16"/>
  <c r="L490" i="21"/>
  <c r="O490" i="21" s="1"/>
  <c r="AG427" i="16"/>
  <c r="L427" i="21"/>
  <c r="O427" i="21" s="1"/>
  <c r="AG35" i="16"/>
  <c r="L35" i="21"/>
  <c r="O35" i="21" s="1"/>
  <c r="AG116" i="16"/>
  <c r="L116" i="21"/>
  <c r="O116" i="21" s="1"/>
  <c r="AG327" i="16"/>
  <c r="L327" i="21"/>
  <c r="O327" i="21" s="1"/>
  <c r="AG125" i="16"/>
  <c r="L125" i="21"/>
  <c r="O125" i="21" s="1"/>
  <c r="AG423" i="16"/>
  <c r="L423" i="21"/>
  <c r="O423" i="21" s="1"/>
  <c r="AG27" i="16"/>
  <c r="L27" i="21"/>
  <c r="O27" i="21" s="1"/>
  <c r="AG126" i="16"/>
  <c r="L126" i="21"/>
  <c r="O126" i="21" s="1"/>
  <c r="AG128" i="16"/>
  <c r="L128" i="21"/>
  <c r="O128" i="21" s="1"/>
  <c r="AG493" i="16"/>
  <c r="L493" i="21"/>
  <c r="O493" i="21" s="1"/>
  <c r="AG279" i="16"/>
  <c r="L279" i="21"/>
  <c r="O279" i="21" s="1"/>
  <c r="AG489" i="16"/>
  <c r="L489" i="21"/>
  <c r="O489" i="21" s="1"/>
  <c r="AG110" i="16"/>
  <c r="L110" i="21"/>
  <c r="O110" i="21" s="1"/>
  <c r="AG123" i="16"/>
  <c r="L123" i="21"/>
  <c r="O123" i="21" s="1"/>
  <c r="AG293" i="16"/>
  <c r="L293" i="21"/>
  <c r="O293" i="21" s="1"/>
  <c r="AG320" i="16"/>
  <c r="L320" i="21"/>
  <c r="O320" i="21" s="1"/>
  <c r="AG439" i="16"/>
  <c r="L439" i="21"/>
  <c r="O439" i="21" s="1"/>
  <c r="AG498" i="16"/>
  <c r="L533" i="21"/>
  <c r="O533" i="21" s="1"/>
  <c r="L525" i="21"/>
  <c r="O525" i="21" s="1"/>
  <c r="L528" i="21"/>
  <c r="O528" i="21" s="1"/>
  <c r="L532" i="21"/>
  <c r="O532" i="21" s="1"/>
  <c r="L527" i="21"/>
  <c r="O527" i="21" s="1"/>
  <c r="L531" i="21"/>
  <c r="O531" i="21" s="1"/>
  <c r="L537" i="21"/>
  <c r="O537" i="21" s="1"/>
  <c r="L535" i="21"/>
  <c r="O535" i="21" s="1"/>
  <c r="L530" i="21"/>
  <c r="O530" i="21" s="1"/>
  <c r="L529" i="21"/>
  <c r="O529" i="21" s="1"/>
  <c r="L534" i="21"/>
  <c r="O534" i="21" s="1"/>
  <c r="L526" i="21"/>
  <c r="O526" i="21" s="1"/>
  <c r="L536" i="21"/>
  <c r="O536" i="21" s="1"/>
  <c r="L498" i="21"/>
  <c r="O498" i="21" s="1"/>
  <c r="AG435" i="16"/>
  <c r="L435" i="21"/>
  <c r="O435" i="21" s="1"/>
  <c r="I9" i="25" l="1"/>
  <c r="I11" i="25"/>
  <c r="I7" i="25"/>
  <c r="I13" i="25" s="1"/>
  <c r="N15" i="25"/>
  <c r="N14" i="25"/>
  <c r="K15" i="25"/>
  <c r="K14" i="25"/>
  <c r="AP2" i="16"/>
  <c r="AP7" i="16" s="1"/>
  <c r="W9" i="21"/>
  <c r="AC9" i="21"/>
  <c r="M15" i="26"/>
  <c r="M14" i="26"/>
  <c r="T10" i="21"/>
  <c r="O782" i="21"/>
  <c r="W10" i="21" s="1"/>
  <c r="T12" i="21"/>
  <c r="O1245" i="21"/>
  <c r="W12" i="21" s="1"/>
  <c r="AC10" i="21"/>
  <c r="AP4" i="16"/>
  <c r="AQ4" i="16" s="1"/>
  <c r="AC12" i="21"/>
  <c r="AP6" i="16"/>
  <c r="AQ6" i="16" s="1"/>
  <c r="T9" i="21"/>
  <c r="AP3" i="16"/>
  <c r="O982" i="21"/>
  <c r="W11" i="21" s="1"/>
  <c r="T11" i="21"/>
  <c r="AC11" i="21"/>
  <c r="AP5" i="16"/>
  <c r="AQ5" i="16" s="1"/>
  <c r="O26" i="21"/>
  <c r="W7" i="21" s="1"/>
  <c r="T7" i="21"/>
  <c r="AC7" i="21"/>
  <c r="AQ2" i="16" l="1"/>
  <c r="I15" i="25"/>
  <c r="I14" i="25"/>
  <c r="Z9" i="21"/>
  <c r="AH9" i="21" s="1"/>
  <c r="Z11" i="21"/>
  <c r="AH11" i="21" s="1"/>
  <c r="Z12" i="21"/>
  <c r="AH12" i="21" s="1"/>
  <c r="AQ3" i="16"/>
  <c r="AP8" i="16"/>
  <c r="AQ8" i="16" s="1"/>
  <c r="Z10" i="21"/>
  <c r="AH10" i="21" s="1"/>
  <c r="Z7" i="21"/>
  <c r="AH7" i="21" s="1"/>
  <c r="AQ7" i="16"/>
  <c r="AP9" i="16" l="1"/>
  <c r="AQ9" i="16" s="1"/>
  <c r="J2" i="21" l="1"/>
  <c r="K2" i="21"/>
  <c r="M2" i="21"/>
  <c r="N2" i="21"/>
  <c r="J3" i="21"/>
  <c r="K3" i="21"/>
  <c r="M3" i="21"/>
  <c r="N3" i="21"/>
  <c r="J4" i="21"/>
  <c r="K4" i="21"/>
  <c r="M4" i="21"/>
  <c r="N4" i="21"/>
  <c r="J5" i="21"/>
  <c r="K5" i="21"/>
  <c r="M5" i="21"/>
  <c r="N5" i="21"/>
  <c r="J6" i="21"/>
  <c r="K6" i="21"/>
  <c r="M6" i="21"/>
  <c r="N6" i="21"/>
  <c r="J7" i="21"/>
  <c r="K7" i="21"/>
  <c r="M7" i="21"/>
  <c r="N7" i="21"/>
  <c r="R7" i="21"/>
  <c r="S7" i="21"/>
  <c r="U7" i="21"/>
  <c r="V7" i="21"/>
  <c r="X7" i="21"/>
  <c r="Y7" i="21"/>
  <c r="AA7" i="21"/>
  <c r="AB7" i="21"/>
  <c r="AD7" i="21"/>
  <c r="AE7" i="21"/>
  <c r="AF7" i="21"/>
  <c r="AG7" i="21"/>
  <c r="AI7" i="21"/>
  <c r="AJ7" i="21"/>
  <c r="J8" i="21"/>
  <c r="K8" i="21"/>
  <c r="M8" i="21"/>
  <c r="N8" i="21"/>
  <c r="J9" i="21"/>
  <c r="K9" i="21"/>
  <c r="M9" i="21"/>
  <c r="N9" i="21"/>
  <c r="S9" i="21"/>
  <c r="V9" i="21"/>
  <c r="Y9" i="21"/>
  <c r="AB9" i="21"/>
  <c r="AE9" i="21"/>
  <c r="AG9" i="21"/>
  <c r="AJ9" i="21"/>
  <c r="J10" i="21"/>
  <c r="K10" i="21"/>
  <c r="M10" i="21"/>
  <c r="N10" i="21"/>
  <c r="S10" i="21"/>
  <c r="V10" i="21"/>
  <c r="Y10" i="21"/>
  <c r="AB10" i="21"/>
  <c r="AE10" i="21"/>
  <c r="AG10" i="21"/>
  <c r="AJ10" i="21"/>
  <c r="J11" i="21"/>
  <c r="K11" i="21"/>
  <c r="M11" i="21"/>
  <c r="N11" i="21"/>
  <c r="S11" i="21"/>
  <c r="V11" i="21"/>
  <c r="Y11" i="21"/>
  <c r="AB11" i="21"/>
  <c r="AE11" i="21"/>
  <c r="AG11" i="21"/>
  <c r="AJ11" i="21"/>
  <c r="J12" i="21"/>
  <c r="K12" i="21"/>
  <c r="M12" i="21"/>
  <c r="N12" i="21"/>
  <c r="S12" i="21"/>
  <c r="V12" i="21"/>
  <c r="Y12" i="21"/>
  <c r="AB12" i="21"/>
  <c r="AG12" i="21"/>
  <c r="AJ12" i="21"/>
  <c r="J13" i="21"/>
  <c r="K13" i="21"/>
  <c r="M13" i="21"/>
  <c r="N13" i="21"/>
  <c r="J14" i="21"/>
  <c r="K14" i="21"/>
  <c r="M14" i="21"/>
  <c r="N14" i="21"/>
  <c r="J15" i="21"/>
  <c r="K15" i="21"/>
  <c r="M15" i="21"/>
  <c r="N15" i="21"/>
  <c r="J16" i="21"/>
  <c r="K16" i="21"/>
  <c r="M16" i="21"/>
  <c r="N16" i="21"/>
  <c r="J17" i="21"/>
  <c r="K17" i="21"/>
  <c r="M17" i="21"/>
  <c r="N17" i="21"/>
  <c r="J18" i="21"/>
  <c r="K18" i="21"/>
  <c r="M18" i="21"/>
  <c r="N18" i="21"/>
  <c r="J19" i="21"/>
  <c r="K19" i="21"/>
  <c r="M19" i="21"/>
  <c r="N19" i="21"/>
  <c r="J20" i="21"/>
  <c r="K20" i="21"/>
  <c r="M20" i="21"/>
  <c r="N20" i="21"/>
  <c r="J21" i="21"/>
  <c r="K21" i="21"/>
  <c r="M21" i="21"/>
  <c r="N21" i="21"/>
  <c r="J22" i="21"/>
  <c r="K22" i="21"/>
  <c r="M22" i="21"/>
  <c r="N22" i="21"/>
  <c r="J23" i="21"/>
  <c r="K23" i="21"/>
  <c r="M23" i="21"/>
  <c r="N23" i="21"/>
  <c r="J24" i="21"/>
  <c r="K24" i="21"/>
  <c r="M24" i="21"/>
  <c r="N24" i="21"/>
  <c r="J25" i="21"/>
  <c r="K25" i="21"/>
  <c r="M25" i="21"/>
  <c r="N25" i="21"/>
  <c r="J26" i="21"/>
  <c r="K26" i="21"/>
  <c r="M26" i="21"/>
  <c r="N26" i="21"/>
  <c r="J27" i="21"/>
  <c r="K27" i="21"/>
  <c r="M27" i="21"/>
  <c r="N27" i="21"/>
  <c r="J28" i="21"/>
  <c r="K28" i="21"/>
  <c r="M28" i="21"/>
  <c r="N28" i="21"/>
  <c r="J29" i="21"/>
  <c r="K29" i="21"/>
  <c r="M29" i="21"/>
  <c r="N29" i="21"/>
  <c r="J30" i="21"/>
  <c r="K30" i="21"/>
  <c r="M30" i="21"/>
  <c r="N30" i="21"/>
  <c r="J31" i="21"/>
  <c r="K31" i="21"/>
  <c r="M31" i="21"/>
  <c r="N31" i="21"/>
  <c r="J32" i="21"/>
  <c r="K32" i="21"/>
  <c r="M32" i="21"/>
  <c r="N32" i="21"/>
  <c r="J33" i="21"/>
  <c r="K33" i="21"/>
  <c r="M33" i="21"/>
  <c r="N33" i="21"/>
  <c r="J34" i="21"/>
  <c r="K34" i="21"/>
  <c r="M34" i="21"/>
  <c r="N34" i="21"/>
  <c r="J35" i="21"/>
  <c r="K35" i="21"/>
  <c r="M35" i="21"/>
  <c r="N35" i="21"/>
  <c r="J36" i="21"/>
  <c r="K36" i="21"/>
  <c r="M36" i="21"/>
  <c r="N36" i="21"/>
  <c r="J37" i="21"/>
  <c r="K37" i="21"/>
  <c r="M37" i="21"/>
  <c r="N37" i="21"/>
  <c r="J38" i="21"/>
  <c r="K38" i="21"/>
  <c r="M38" i="21"/>
  <c r="N38" i="21"/>
  <c r="J39" i="21"/>
  <c r="K39" i="21"/>
  <c r="M39" i="21"/>
  <c r="N39" i="21"/>
  <c r="J40" i="21"/>
  <c r="K40" i="21"/>
  <c r="M40" i="21"/>
  <c r="N40" i="21"/>
  <c r="J41" i="21"/>
  <c r="K41" i="21"/>
  <c r="M41" i="21"/>
  <c r="N41" i="21"/>
  <c r="J42" i="21"/>
  <c r="K42" i="21"/>
  <c r="M42" i="21"/>
  <c r="N42" i="21"/>
  <c r="J43" i="21"/>
  <c r="K43" i="21"/>
  <c r="M43" i="21"/>
  <c r="N43" i="21"/>
  <c r="J44" i="21"/>
  <c r="K44" i="21"/>
  <c r="M44" i="21"/>
  <c r="N44" i="21"/>
  <c r="J45" i="21"/>
  <c r="K45" i="21"/>
  <c r="M45" i="21"/>
  <c r="N45" i="21"/>
  <c r="J46" i="21"/>
  <c r="K46" i="21"/>
  <c r="M46" i="21"/>
  <c r="N46" i="21"/>
  <c r="J47" i="21"/>
  <c r="K47" i="21"/>
  <c r="M47" i="21"/>
  <c r="N47" i="21"/>
  <c r="J48" i="21"/>
  <c r="K48" i="21"/>
  <c r="M48" i="21"/>
  <c r="N48" i="21"/>
  <c r="J49" i="21"/>
  <c r="K49" i="21"/>
  <c r="M49" i="21"/>
  <c r="N49" i="21"/>
  <c r="J50" i="21"/>
  <c r="K50" i="21"/>
  <c r="M50" i="21"/>
  <c r="N50" i="21"/>
  <c r="J51" i="21"/>
  <c r="K51" i="21"/>
  <c r="M51" i="21"/>
  <c r="N51" i="21"/>
  <c r="J52" i="21"/>
  <c r="K52" i="21"/>
  <c r="M52" i="21"/>
  <c r="N52" i="21"/>
  <c r="J53" i="21"/>
  <c r="K53" i="21"/>
  <c r="M53" i="21"/>
  <c r="N53" i="21"/>
  <c r="J54" i="21"/>
  <c r="K54" i="21"/>
  <c r="M54" i="21"/>
  <c r="N54" i="21"/>
  <c r="J55" i="21"/>
  <c r="K55" i="21"/>
  <c r="M55" i="21"/>
  <c r="N55" i="21"/>
  <c r="J56" i="21"/>
  <c r="K56" i="21"/>
  <c r="M56" i="21"/>
  <c r="N56" i="21"/>
  <c r="J57" i="21"/>
  <c r="K57" i="21"/>
  <c r="M57" i="21"/>
  <c r="N57" i="21"/>
  <c r="J58" i="21"/>
  <c r="K58" i="21"/>
  <c r="M58" i="21"/>
  <c r="N58" i="21"/>
  <c r="J59" i="21"/>
  <c r="K59" i="21"/>
  <c r="M59" i="21"/>
  <c r="N59" i="21"/>
  <c r="J60" i="21"/>
  <c r="K60" i="21"/>
  <c r="M60" i="21"/>
  <c r="N60" i="21"/>
  <c r="J61" i="21"/>
  <c r="K61" i="21"/>
  <c r="M61" i="21"/>
  <c r="N61" i="21"/>
  <c r="K62" i="21"/>
  <c r="N62" i="21"/>
  <c r="K63" i="21"/>
  <c r="N63" i="21"/>
  <c r="K64" i="21"/>
  <c r="N64" i="21"/>
  <c r="K65" i="21"/>
  <c r="N65" i="21"/>
  <c r="K66" i="21"/>
  <c r="N66" i="21"/>
  <c r="K67" i="21"/>
  <c r="N67" i="21"/>
  <c r="K68" i="21"/>
  <c r="N68" i="21"/>
  <c r="K69" i="21"/>
  <c r="N69" i="21"/>
  <c r="K70" i="21"/>
  <c r="N70" i="21"/>
  <c r="K71" i="21"/>
  <c r="N71" i="21"/>
  <c r="K72" i="21"/>
  <c r="N72" i="21"/>
  <c r="K73" i="21"/>
  <c r="N73" i="21"/>
  <c r="J74" i="21"/>
  <c r="K74" i="21"/>
  <c r="M74" i="21"/>
  <c r="N74" i="21"/>
  <c r="J75" i="21"/>
  <c r="K75" i="21"/>
  <c r="M75" i="21"/>
  <c r="N75" i="21"/>
  <c r="J76" i="21"/>
  <c r="K76" i="21"/>
  <c r="M76" i="21"/>
  <c r="N76" i="21"/>
  <c r="J77" i="21"/>
  <c r="K77" i="21"/>
  <c r="M77" i="21"/>
  <c r="N77" i="21"/>
  <c r="J78" i="21"/>
  <c r="K78" i="21"/>
  <c r="M78" i="21"/>
  <c r="N78" i="21"/>
  <c r="J79" i="21"/>
  <c r="K79" i="21"/>
  <c r="M79" i="21"/>
  <c r="N79" i="21"/>
  <c r="J80" i="21"/>
  <c r="K80" i="21"/>
  <c r="M80" i="21"/>
  <c r="N80" i="21"/>
  <c r="J81" i="21"/>
  <c r="K81" i="21"/>
  <c r="M81" i="21"/>
  <c r="N81" i="21"/>
  <c r="J82" i="21"/>
  <c r="K82" i="21"/>
  <c r="M82" i="21"/>
  <c r="N82" i="21"/>
  <c r="J83" i="21"/>
  <c r="K83" i="21"/>
  <c r="M83" i="21"/>
  <c r="N83" i="21"/>
  <c r="J84" i="21"/>
  <c r="K84" i="21"/>
  <c r="M84" i="21"/>
  <c r="N84" i="21"/>
  <c r="J85" i="21"/>
  <c r="K85" i="21"/>
  <c r="M85" i="21"/>
  <c r="N85" i="21"/>
  <c r="J86" i="21"/>
  <c r="K86" i="21"/>
  <c r="M86" i="21"/>
  <c r="N86" i="21"/>
  <c r="J87" i="21"/>
  <c r="K87" i="21"/>
  <c r="M87" i="21"/>
  <c r="N87" i="21"/>
  <c r="J88" i="21"/>
  <c r="K88" i="21"/>
  <c r="M88" i="21"/>
  <c r="N88" i="21"/>
  <c r="J89" i="21"/>
  <c r="K89" i="21"/>
  <c r="M89" i="21"/>
  <c r="N89" i="21"/>
  <c r="J90" i="21"/>
  <c r="K90" i="21"/>
  <c r="M90" i="21"/>
  <c r="N90" i="21"/>
  <c r="J91" i="21"/>
  <c r="K91" i="21"/>
  <c r="M91" i="21"/>
  <c r="N91" i="21"/>
  <c r="J92" i="21"/>
  <c r="K92" i="21"/>
  <c r="M92" i="21"/>
  <c r="N92" i="21"/>
  <c r="J93" i="21"/>
  <c r="K93" i="21"/>
  <c r="M93" i="21"/>
  <c r="N93" i="21"/>
  <c r="J94" i="21"/>
  <c r="K94" i="21"/>
  <c r="M94" i="21"/>
  <c r="N94" i="21"/>
  <c r="J95" i="21"/>
  <c r="K95" i="21"/>
  <c r="M95" i="21"/>
  <c r="N95" i="21"/>
  <c r="J96" i="21"/>
  <c r="K96" i="21"/>
  <c r="M96" i="21"/>
  <c r="N96" i="21"/>
  <c r="J97" i="21"/>
  <c r="K97" i="21"/>
  <c r="M97" i="21"/>
  <c r="N97" i="21"/>
  <c r="J98" i="21"/>
  <c r="K98" i="21"/>
  <c r="M98" i="21"/>
  <c r="N98" i="21"/>
  <c r="J99" i="21"/>
  <c r="K99" i="21"/>
  <c r="M99" i="21"/>
  <c r="N99" i="21"/>
  <c r="J100" i="21"/>
  <c r="K100" i="21"/>
  <c r="M100" i="21"/>
  <c r="N100" i="21"/>
  <c r="J101" i="21"/>
  <c r="K101" i="21"/>
  <c r="M101" i="21"/>
  <c r="N101" i="21"/>
  <c r="J102" i="21"/>
  <c r="K102" i="21"/>
  <c r="M102" i="21"/>
  <c r="N102" i="21"/>
  <c r="J103" i="21"/>
  <c r="K103" i="21"/>
  <c r="M103" i="21"/>
  <c r="N103" i="21"/>
  <c r="J104" i="21"/>
  <c r="K104" i="21"/>
  <c r="M104" i="21"/>
  <c r="N104" i="21"/>
  <c r="J105" i="21"/>
  <c r="K105" i="21"/>
  <c r="M105" i="21"/>
  <c r="N105" i="21"/>
  <c r="J106" i="21"/>
  <c r="K106" i="21"/>
  <c r="M106" i="21"/>
  <c r="N106" i="21"/>
  <c r="J107" i="21"/>
  <c r="K107" i="21"/>
  <c r="M107" i="21"/>
  <c r="N107" i="21"/>
  <c r="J108" i="21"/>
  <c r="K108" i="21"/>
  <c r="M108" i="21"/>
  <c r="N108" i="21"/>
  <c r="J109" i="21"/>
  <c r="K109" i="21"/>
  <c r="M109" i="21"/>
  <c r="N109" i="21"/>
  <c r="J110" i="21"/>
  <c r="K110" i="21"/>
  <c r="M110" i="21"/>
  <c r="N110" i="21"/>
  <c r="J111" i="21"/>
  <c r="K111" i="21"/>
  <c r="M111" i="21"/>
  <c r="N111" i="21"/>
  <c r="J112" i="21"/>
  <c r="K112" i="21"/>
  <c r="M112" i="21"/>
  <c r="N112" i="21"/>
  <c r="J113" i="21"/>
  <c r="K113" i="21"/>
  <c r="M113" i="21"/>
  <c r="N113" i="21"/>
  <c r="J114" i="21"/>
  <c r="K114" i="21"/>
  <c r="M114" i="21"/>
  <c r="N114" i="21"/>
  <c r="J115" i="21"/>
  <c r="K115" i="21"/>
  <c r="M115" i="21"/>
  <c r="N115" i="21"/>
  <c r="J116" i="21"/>
  <c r="K116" i="21"/>
  <c r="M116" i="21"/>
  <c r="N116" i="21"/>
  <c r="J117" i="21"/>
  <c r="K117" i="21"/>
  <c r="M117" i="21"/>
  <c r="N117" i="21"/>
  <c r="J118" i="21"/>
  <c r="K118" i="21"/>
  <c r="M118" i="21"/>
  <c r="N118" i="21"/>
  <c r="J119" i="21"/>
  <c r="K119" i="21"/>
  <c r="M119" i="21"/>
  <c r="N119" i="21"/>
  <c r="J120" i="21"/>
  <c r="K120" i="21"/>
  <c r="M120" i="21"/>
  <c r="N120" i="21"/>
  <c r="J121" i="21"/>
  <c r="K121" i="21"/>
  <c r="M121" i="21"/>
  <c r="N121" i="21"/>
  <c r="J122" i="21"/>
  <c r="K122" i="21"/>
  <c r="M122" i="21"/>
  <c r="N122" i="21"/>
  <c r="J123" i="21"/>
  <c r="K123" i="21"/>
  <c r="M123" i="21"/>
  <c r="N123" i="21"/>
  <c r="J124" i="21"/>
  <c r="K124" i="21"/>
  <c r="M124" i="21"/>
  <c r="N124" i="21"/>
  <c r="J125" i="21"/>
  <c r="K125" i="21"/>
  <c r="M125" i="21"/>
  <c r="N125" i="21"/>
  <c r="J126" i="21"/>
  <c r="K126" i="21"/>
  <c r="M126" i="21"/>
  <c r="N126" i="21"/>
  <c r="J127" i="21"/>
  <c r="K127" i="21"/>
  <c r="M127" i="21"/>
  <c r="N127" i="21"/>
  <c r="J128" i="21"/>
  <c r="K128" i="21"/>
  <c r="M128" i="21"/>
  <c r="N128" i="21"/>
  <c r="J129" i="21"/>
  <c r="K129" i="21"/>
  <c r="M129" i="21"/>
  <c r="N129" i="21"/>
  <c r="J130" i="21"/>
  <c r="K130" i="21"/>
  <c r="M130" i="21"/>
  <c r="N130" i="21"/>
  <c r="J131" i="21"/>
  <c r="K131" i="21"/>
  <c r="M131" i="21"/>
  <c r="N131" i="21"/>
  <c r="J132" i="21"/>
  <c r="K132" i="21"/>
  <c r="M132" i="21"/>
  <c r="N132" i="21"/>
  <c r="J133" i="21"/>
  <c r="K133" i="21"/>
  <c r="M133" i="21"/>
  <c r="N133" i="21"/>
  <c r="J134" i="21"/>
  <c r="K134" i="21"/>
  <c r="M134" i="21"/>
  <c r="N134" i="21"/>
  <c r="J135" i="21"/>
  <c r="K135" i="21"/>
  <c r="M135" i="21"/>
  <c r="N135" i="21"/>
  <c r="J136" i="21"/>
  <c r="K136" i="21"/>
  <c r="M136" i="21"/>
  <c r="N136" i="21"/>
  <c r="J137" i="21"/>
  <c r="K137" i="21"/>
  <c r="M137" i="21"/>
  <c r="N137" i="21"/>
  <c r="J138" i="21"/>
  <c r="K138" i="21"/>
  <c r="M138" i="21"/>
  <c r="N138" i="21"/>
  <c r="J139" i="21"/>
  <c r="K139" i="21"/>
  <c r="M139" i="21"/>
  <c r="N139" i="21"/>
  <c r="J140" i="21"/>
  <c r="K140" i="21"/>
  <c r="M140" i="21"/>
  <c r="N140" i="21"/>
  <c r="J141" i="21"/>
  <c r="K141" i="21"/>
  <c r="M141" i="21"/>
  <c r="N141" i="21"/>
  <c r="J142" i="21"/>
  <c r="K142" i="21"/>
  <c r="M142" i="21"/>
  <c r="N142" i="21"/>
  <c r="J143" i="21"/>
  <c r="K143" i="21"/>
  <c r="M143" i="21"/>
  <c r="N143" i="21"/>
  <c r="J144" i="21"/>
  <c r="K144" i="21"/>
  <c r="M144" i="21"/>
  <c r="N144" i="21"/>
  <c r="J145" i="21"/>
  <c r="K145" i="21"/>
  <c r="M145" i="21"/>
  <c r="N145" i="21"/>
  <c r="J146" i="21"/>
  <c r="K146" i="21"/>
  <c r="M146" i="21"/>
  <c r="N146" i="21"/>
  <c r="J147" i="21"/>
  <c r="K147" i="21"/>
  <c r="M147" i="21"/>
  <c r="N147" i="21"/>
  <c r="J148" i="21"/>
  <c r="K148" i="21"/>
  <c r="M148" i="21"/>
  <c r="N148" i="21"/>
  <c r="J149" i="21"/>
  <c r="K149" i="21"/>
  <c r="M149" i="21"/>
  <c r="N149" i="21"/>
  <c r="J150" i="21"/>
  <c r="K150" i="21"/>
  <c r="M150" i="21"/>
  <c r="N150" i="21"/>
  <c r="J151" i="21"/>
  <c r="K151" i="21"/>
  <c r="M151" i="21"/>
  <c r="N151" i="21"/>
  <c r="J152" i="21"/>
  <c r="K152" i="21"/>
  <c r="M152" i="21"/>
  <c r="N152" i="21"/>
  <c r="J153" i="21"/>
  <c r="K153" i="21"/>
  <c r="M153" i="21"/>
  <c r="N153" i="21"/>
  <c r="J154" i="21"/>
  <c r="K154" i="21"/>
  <c r="M154" i="21"/>
  <c r="N154" i="21"/>
  <c r="J155" i="21"/>
  <c r="K155" i="21"/>
  <c r="M155" i="21"/>
  <c r="N155" i="21"/>
  <c r="J156" i="21"/>
  <c r="K156" i="21"/>
  <c r="M156" i="21"/>
  <c r="N156" i="21"/>
  <c r="J157" i="21"/>
  <c r="K157" i="21"/>
  <c r="M157" i="21"/>
  <c r="N157" i="21"/>
  <c r="J158" i="21"/>
  <c r="K158" i="21"/>
  <c r="M158" i="21"/>
  <c r="N158" i="21"/>
  <c r="J159" i="21"/>
  <c r="K159" i="21"/>
  <c r="M159" i="21"/>
  <c r="N159" i="21"/>
  <c r="J160" i="21"/>
  <c r="K160" i="21"/>
  <c r="M160" i="21"/>
  <c r="N160" i="21"/>
  <c r="J161" i="21"/>
  <c r="K161" i="21"/>
  <c r="M161" i="21"/>
  <c r="N161" i="21"/>
  <c r="J162" i="21"/>
  <c r="K162" i="21"/>
  <c r="M162" i="21"/>
  <c r="N162" i="21"/>
  <c r="J163" i="21"/>
  <c r="K163" i="21"/>
  <c r="M163" i="21"/>
  <c r="N163" i="21"/>
  <c r="J164" i="21"/>
  <c r="K164" i="21"/>
  <c r="M164" i="21"/>
  <c r="N164" i="21"/>
  <c r="J165" i="21"/>
  <c r="K165" i="21"/>
  <c r="M165" i="21"/>
  <c r="N165" i="21"/>
  <c r="J166" i="21"/>
  <c r="K166" i="21"/>
  <c r="M166" i="21"/>
  <c r="N166" i="21"/>
  <c r="J167" i="21"/>
  <c r="K167" i="21"/>
  <c r="M167" i="21"/>
  <c r="N167" i="21"/>
  <c r="J168" i="21"/>
  <c r="K168" i="21"/>
  <c r="M168" i="21"/>
  <c r="N168" i="21"/>
  <c r="J169" i="21"/>
  <c r="K169" i="21"/>
  <c r="M169" i="21"/>
  <c r="N169" i="21"/>
  <c r="J170" i="21"/>
  <c r="K170" i="21"/>
  <c r="M170" i="21"/>
  <c r="N170" i="21"/>
  <c r="J171" i="21"/>
  <c r="K171" i="21"/>
  <c r="M171" i="21"/>
  <c r="N171" i="21"/>
  <c r="J172" i="21"/>
  <c r="K172" i="21"/>
  <c r="M172" i="21"/>
  <c r="N172" i="21"/>
  <c r="J173" i="21"/>
  <c r="K173" i="21"/>
  <c r="M173" i="21"/>
  <c r="N173" i="21"/>
  <c r="J174" i="21"/>
  <c r="K174" i="21"/>
  <c r="M174" i="21"/>
  <c r="N174" i="21"/>
  <c r="J175" i="21"/>
  <c r="K175" i="21"/>
  <c r="M175" i="21"/>
  <c r="N175" i="21"/>
  <c r="J176" i="21"/>
  <c r="K176" i="21"/>
  <c r="M176" i="21"/>
  <c r="N176" i="21"/>
  <c r="J177" i="21"/>
  <c r="K177" i="21"/>
  <c r="M177" i="21"/>
  <c r="N177" i="21"/>
  <c r="J178" i="21"/>
  <c r="K178" i="21"/>
  <c r="M178" i="21"/>
  <c r="N178" i="21"/>
  <c r="J179" i="21"/>
  <c r="K179" i="21"/>
  <c r="M179" i="21"/>
  <c r="N179" i="21"/>
  <c r="J180" i="21"/>
  <c r="K180" i="21"/>
  <c r="M180" i="21"/>
  <c r="N180" i="21"/>
  <c r="J181" i="21"/>
  <c r="K181" i="21"/>
  <c r="M181" i="21"/>
  <c r="N181" i="21"/>
  <c r="J182" i="21"/>
  <c r="K182" i="21"/>
  <c r="M182" i="21"/>
  <c r="N182" i="21"/>
  <c r="J183" i="21"/>
  <c r="K183" i="21"/>
  <c r="M183" i="21"/>
  <c r="N183" i="21"/>
  <c r="J184" i="21"/>
  <c r="M184" i="21"/>
  <c r="J185" i="21"/>
  <c r="M185" i="21"/>
  <c r="J186" i="21"/>
  <c r="M186" i="21"/>
  <c r="J187" i="21"/>
  <c r="M187" i="21"/>
  <c r="J188" i="21"/>
  <c r="M188" i="21"/>
  <c r="J189" i="21"/>
  <c r="M189" i="21"/>
  <c r="J190" i="21"/>
  <c r="M190" i="21"/>
  <c r="J191" i="21"/>
  <c r="M191" i="21"/>
  <c r="J192" i="21"/>
  <c r="M192" i="21"/>
  <c r="J193" i="21"/>
  <c r="M193" i="21"/>
  <c r="J194" i="21"/>
  <c r="M194" i="21"/>
  <c r="J195" i="21"/>
  <c r="M195" i="21"/>
  <c r="J196" i="21"/>
  <c r="M196" i="21"/>
  <c r="J197" i="21"/>
  <c r="M197" i="21"/>
  <c r="J198" i="21"/>
  <c r="M198" i="21"/>
  <c r="J199" i="21"/>
  <c r="M199" i="21"/>
  <c r="J200" i="21"/>
  <c r="M200" i="21"/>
  <c r="J201" i="21"/>
  <c r="M201" i="21"/>
  <c r="J202" i="21"/>
  <c r="M202" i="21"/>
  <c r="J203" i="21"/>
  <c r="M203" i="21"/>
  <c r="J204" i="21"/>
  <c r="M204" i="21"/>
  <c r="J205" i="21"/>
  <c r="M205" i="21"/>
  <c r="J206" i="21"/>
  <c r="M206" i="21"/>
  <c r="J207" i="21"/>
  <c r="M207" i="21"/>
  <c r="J208" i="21"/>
  <c r="M208" i="21"/>
  <c r="J209" i="21"/>
  <c r="M209" i="21"/>
  <c r="J210" i="21"/>
  <c r="M210" i="21"/>
  <c r="J211" i="21"/>
  <c r="M211" i="21"/>
  <c r="J212" i="21"/>
  <c r="M212" i="21"/>
  <c r="J213" i="21"/>
  <c r="M213" i="21"/>
  <c r="J214" i="21"/>
  <c r="M214" i="21"/>
  <c r="J215" i="21"/>
  <c r="M215" i="21"/>
  <c r="J216" i="21"/>
  <c r="M216" i="21"/>
  <c r="J217" i="21"/>
  <c r="M217" i="21"/>
  <c r="J218" i="21"/>
  <c r="M218" i="21"/>
  <c r="J219" i="21"/>
  <c r="M219" i="21"/>
  <c r="K220" i="21"/>
  <c r="N220" i="21"/>
  <c r="K221" i="21"/>
  <c r="N221" i="21"/>
  <c r="K222" i="21"/>
  <c r="N222" i="21"/>
  <c r="K223" i="21"/>
  <c r="N223" i="21"/>
  <c r="K224" i="21"/>
  <c r="N224" i="21"/>
  <c r="K225" i="21"/>
  <c r="N225" i="21"/>
  <c r="K226" i="21"/>
  <c r="N226" i="21"/>
  <c r="K227" i="21"/>
  <c r="N227" i="21"/>
  <c r="K228" i="21"/>
  <c r="N228" i="21"/>
  <c r="K229" i="21"/>
  <c r="N229" i="21"/>
  <c r="K230" i="21"/>
  <c r="N230" i="21"/>
  <c r="K231" i="21"/>
  <c r="N231" i="21"/>
  <c r="K232" i="21"/>
  <c r="N232" i="21"/>
  <c r="K233" i="21"/>
  <c r="N233" i="21"/>
  <c r="K234" i="21"/>
  <c r="N234" i="21"/>
  <c r="K235" i="21"/>
  <c r="N235" i="21"/>
  <c r="K236" i="21"/>
  <c r="N236" i="21"/>
  <c r="K237" i="21"/>
  <c r="N237" i="21"/>
  <c r="K238" i="21"/>
  <c r="N238" i="21"/>
  <c r="K239" i="21"/>
  <c r="N239" i="21"/>
  <c r="K240" i="21"/>
  <c r="N240" i="21"/>
  <c r="K241" i="21"/>
  <c r="N241" i="21"/>
  <c r="K242" i="21"/>
  <c r="N242" i="21"/>
  <c r="K243" i="21"/>
  <c r="N243" i="21"/>
  <c r="J244" i="21"/>
  <c r="M244" i="21"/>
  <c r="J245" i="21"/>
  <c r="M245" i="21"/>
  <c r="J246" i="21"/>
  <c r="M246" i="21"/>
  <c r="J247" i="21"/>
  <c r="M247" i="21"/>
  <c r="J248" i="21"/>
  <c r="M248" i="21"/>
  <c r="J249" i="21"/>
  <c r="M249" i="21"/>
  <c r="J250" i="21"/>
  <c r="M250" i="21"/>
  <c r="J251" i="21"/>
  <c r="M251" i="21"/>
  <c r="J252" i="21"/>
  <c r="M252" i="21"/>
  <c r="J253" i="21"/>
  <c r="M253" i="21"/>
  <c r="J254" i="21"/>
  <c r="M254" i="21"/>
  <c r="J255" i="21"/>
  <c r="M255" i="21"/>
  <c r="J256" i="21"/>
  <c r="M256" i="21"/>
  <c r="J257" i="21"/>
  <c r="M257" i="21"/>
  <c r="J258" i="21"/>
  <c r="M258" i="21"/>
  <c r="J259" i="21"/>
  <c r="M259" i="21"/>
  <c r="J260" i="21"/>
  <c r="M260" i="21"/>
  <c r="J261" i="21"/>
  <c r="M261" i="21"/>
  <c r="J262" i="21"/>
  <c r="M262" i="21"/>
  <c r="J263" i="21"/>
  <c r="M263" i="21"/>
  <c r="J264" i="21"/>
  <c r="M264" i="21"/>
  <c r="J265" i="21"/>
  <c r="M265" i="21"/>
  <c r="J266" i="21"/>
  <c r="M266" i="21"/>
  <c r="J267" i="21"/>
  <c r="M267" i="21"/>
  <c r="J268" i="21"/>
  <c r="M268" i="21"/>
  <c r="J269" i="21"/>
  <c r="M269" i="21"/>
  <c r="J270" i="21"/>
  <c r="M270" i="21"/>
  <c r="K271" i="21"/>
  <c r="N271" i="21"/>
  <c r="K272" i="21"/>
  <c r="N272" i="21"/>
  <c r="K273" i="21"/>
  <c r="N273" i="21"/>
  <c r="K274" i="21"/>
  <c r="N274" i="21"/>
  <c r="K275" i="21"/>
  <c r="N275" i="21"/>
  <c r="K276" i="21"/>
  <c r="N276" i="21"/>
  <c r="K277" i="21"/>
  <c r="N277" i="21"/>
  <c r="K278" i="21"/>
  <c r="N278" i="21"/>
  <c r="K279" i="21"/>
  <c r="N279" i="21"/>
  <c r="K280" i="21"/>
  <c r="N280" i="21"/>
  <c r="K281" i="21"/>
  <c r="N281" i="21"/>
  <c r="K282" i="21"/>
  <c r="N282" i="21"/>
  <c r="K283" i="21"/>
  <c r="N283" i="21"/>
  <c r="K284" i="21"/>
  <c r="N284" i="21"/>
  <c r="K285" i="21"/>
  <c r="N285" i="21"/>
  <c r="K286" i="21"/>
  <c r="N286" i="21"/>
  <c r="K287" i="21"/>
  <c r="N287" i="21"/>
  <c r="K288" i="21"/>
  <c r="N288" i="21"/>
  <c r="K289" i="21"/>
  <c r="N289" i="21"/>
  <c r="K290" i="21"/>
  <c r="N290" i="21"/>
  <c r="K291" i="21"/>
  <c r="N291" i="21"/>
  <c r="K292" i="21"/>
  <c r="N292" i="21"/>
  <c r="K293" i="21"/>
  <c r="N293" i="21"/>
  <c r="K294" i="21"/>
  <c r="N294" i="21"/>
  <c r="K295" i="21"/>
  <c r="N295" i="21"/>
  <c r="K296" i="21"/>
  <c r="N296" i="21"/>
  <c r="K297" i="21"/>
  <c r="N297" i="21"/>
  <c r="K298" i="21"/>
  <c r="N298" i="21"/>
  <c r="K299" i="21"/>
  <c r="N299" i="21"/>
  <c r="K300" i="21"/>
  <c r="N300" i="21"/>
  <c r="K301" i="21"/>
  <c r="N301" i="21"/>
  <c r="K302" i="21"/>
  <c r="N302" i="21"/>
  <c r="K303" i="21"/>
  <c r="N303" i="21"/>
  <c r="K304" i="21"/>
  <c r="N304" i="21"/>
  <c r="K305" i="21"/>
  <c r="N305" i="21"/>
  <c r="K306" i="21"/>
  <c r="N306" i="21"/>
  <c r="J307" i="21"/>
  <c r="M307" i="21"/>
  <c r="J308" i="21"/>
  <c r="M308" i="21"/>
  <c r="J309" i="21"/>
  <c r="M309" i="21"/>
  <c r="J310" i="21"/>
  <c r="M310" i="21"/>
  <c r="J311" i="21"/>
  <c r="M311" i="21"/>
  <c r="J312" i="21"/>
  <c r="M312" i="21"/>
  <c r="J313" i="21"/>
  <c r="M313" i="21"/>
  <c r="J314" i="21"/>
  <c r="M314" i="21"/>
  <c r="J315" i="21"/>
  <c r="M315" i="21"/>
  <c r="J316" i="21"/>
  <c r="M316" i="21"/>
  <c r="J317" i="21"/>
  <c r="M317" i="21"/>
  <c r="J318" i="21"/>
  <c r="M318" i="21"/>
  <c r="K319" i="21"/>
  <c r="N319" i="21"/>
  <c r="K320" i="21"/>
  <c r="N320" i="21"/>
  <c r="K321" i="21"/>
  <c r="N321" i="21"/>
  <c r="K322" i="21"/>
  <c r="N322" i="21"/>
  <c r="K323" i="21"/>
  <c r="N323" i="21"/>
  <c r="K324" i="21"/>
  <c r="N324" i="21"/>
  <c r="K325" i="21"/>
  <c r="N325" i="21"/>
  <c r="K326" i="21"/>
  <c r="N326" i="21"/>
  <c r="K327" i="21"/>
  <c r="N327" i="21"/>
  <c r="K328" i="21"/>
  <c r="N328" i="21"/>
  <c r="K329" i="21"/>
  <c r="N329" i="21"/>
  <c r="K330" i="21"/>
  <c r="N330" i="21"/>
  <c r="K331" i="21"/>
  <c r="N331" i="21"/>
  <c r="K332" i="21"/>
  <c r="N332" i="21"/>
  <c r="K333" i="21"/>
  <c r="N333" i="21"/>
  <c r="K334" i="21"/>
  <c r="N334" i="21"/>
  <c r="K335" i="21"/>
  <c r="N335" i="21"/>
  <c r="K336" i="21"/>
  <c r="N336" i="21"/>
  <c r="K337" i="21"/>
  <c r="N337" i="21"/>
  <c r="K338" i="21"/>
  <c r="N338" i="21"/>
  <c r="K339" i="21"/>
  <c r="N339" i="21"/>
  <c r="K340" i="21"/>
  <c r="N340" i="21"/>
  <c r="K341" i="21"/>
  <c r="N341" i="21"/>
  <c r="K342" i="21"/>
  <c r="N342" i="21"/>
  <c r="J343" i="21"/>
  <c r="M343" i="21"/>
  <c r="J344" i="21"/>
  <c r="M344" i="21"/>
  <c r="J345" i="21"/>
  <c r="M345" i="21"/>
  <c r="J346" i="21"/>
  <c r="M346" i="21"/>
  <c r="J347" i="21"/>
  <c r="M347" i="21"/>
  <c r="J348" i="21"/>
  <c r="M348" i="21"/>
  <c r="J349" i="21"/>
  <c r="M349" i="21"/>
  <c r="J350" i="21"/>
  <c r="M350" i="21"/>
  <c r="J351" i="21"/>
  <c r="M351" i="21"/>
  <c r="J352" i="21"/>
  <c r="M352" i="21"/>
  <c r="J353" i="21"/>
  <c r="M353" i="21"/>
  <c r="K354" i="21"/>
  <c r="N354" i="21"/>
  <c r="K355" i="21"/>
  <c r="N355" i="21"/>
  <c r="K356" i="21"/>
  <c r="N356" i="21"/>
  <c r="K357" i="21"/>
  <c r="N357" i="21"/>
  <c r="K358" i="21"/>
  <c r="N358" i="21"/>
  <c r="K359" i="21"/>
  <c r="N359" i="21"/>
  <c r="K360" i="21"/>
  <c r="N360" i="21"/>
  <c r="K361" i="21"/>
  <c r="N361" i="21"/>
  <c r="K362" i="21"/>
  <c r="N362" i="21"/>
  <c r="K363" i="21"/>
  <c r="N363" i="21"/>
  <c r="K364" i="21"/>
  <c r="N364" i="21"/>
  <c r="K365" i="21"/>
  <c r="N365" i="21"/>
  <c r="K366" i="21"/>
  <c r="N366" i="21"/>
  <c r="K367" i="21"/>
  <c r="N367" i="21"/>
  <c r="K368" i="21"/>
  <c r="N368" i="21"/>
  <c r="K369" i="21"/>
  <c r="N369" i="21"/>
  <c r="K370" i="21"/>
  <c r="N370" i="21"/>
  <c r="K371" i="21"/>
  <c r="N371" i="21"/>
  <c r="K372" i="21"/>
  <c r="N372" i="21"/>
  <c r="K373" i="21"/>
  <c r="N373" i="21"/>
  <c r="K374" i="21"/>
  <c r="N374" i="21"/>
  <c r="K375" i="21"/>
  <c r="N375" i="21"/>
  <c r="K376" i="21"/>
  <c r="N376" i="21"/>
  <c r="K377" i="21"/>
  <c r="N377" i="21"/>
  <c r="K378" i="21"/>
  <c r="N378" i="21"/>
  <c r="K379" i="21"/>
  <c r="N379" i="21"/>
  <c r="K380" i="21"/>
  <c r="N380" i="21"/>
  <c r="K381" i="21"/>
  <c r="N381" i="21"/>
  <c r="K382" i="21"/>
  <c r="N382" i="21"/>
  <c r="K383" i="21"/>
  <c r="N383" i="21"/>
  <c r="K384" i="21"/>
  <c r="N384" i="21"/>
  <c r="K385" i="21"/>
  <c r="N385" i="21"/>
  <c r="K386" i="21"/>
  <c r="N386" i="21"/>
  <c r="K387" i="21"/>
  <c r="N387" i="21"/>
  <c r="K388" i="21"/>
  <c r="N388" i="21"/>
  <c r="K389" i="21"/>
  <c r="N389" i="21"/>
  <c r="K390" i="21"/>
  <c r="N390" i="21"/>
  <c r="K391" i="21"/>
  <c r="N391" i="21"/>
  <c r="K392" i="21"/>
  <c r="N392" i="21"/>
  <c r="K393" i="21"/>
  <c r="N393" i="21"/>
  <c r="K394" i="21"/>
  <c r="N394" i="21"/>
  <c r="J395" i="21"/>
  <c r="M395" i="21"/>
  <c r="J396" i="21"/>
  <c r="M396" i="21"/>
  <c r="J397" i="21"/>
  <c r="M397" i="21"/>
  <c r="J398" i="21"/>
  <c r="M398" i="21"/>
  <c r="J399" i="21"/>
  <c r="M399" i="21"/>
  <c r="J400" i="21"/>
  <c r="M400" i="21"/>
  <c r="J401" i="21"/>
  <c r="M401" i="21"/>
  <c r="J402" i="21"/>
  <c r="M402" i="21"/>
  <c r="J403" i="21"/>
  <c r="M403" i="21"/>
  <c r="J404" i="21"/>
  <c r="M404" i="21"/>
  <c r="J405" i="21"/>
  <c r="M405" i="21"/>
  <c r="J406" i="21"/>
  <c r="M406" i="21"/>
  <c r="J407" i="21"/>
  <c r="M407" i="21"/>
  <c r="J408" i="21"/>
  <c r="M408" i="21"/>
  <c r="J409" i="21"/>
  <c r="M409" i="21"/>
  <c r="J410" i="21"/>
  <c r="M410" i="21"/>
  <c r="J411" i="21"/>
  <c r="M411" i="21"/>
  <c r="J412" i="21"/>
  <c r="M412" i="21"/>
  <c r="J413" i="21"/>
  <c r="M413" i="21"/>
  <c r="J414" i="21"/>
  <c r="M414" i="21"/>
  <c r="J415" i="21"/>
  <c r="M415" i="21"/>
  <c r="J416" i="21"/>
  <c r="M416" i="21"/>
  <c r="J417" i="21"/>
  <c r="M417" i="21"/>
  <c r="J418" i="21"/>
  <c r="M418" i="21"/>
  <c r="J419" i="21"/>
  <c r="M419" i="21"/>
  <c r="J420" i="21"/>
  <c r="M420" i="21"/>
  <c r="J421" i="21"/>
  <c r="M421" i="21"/>
  <c r="K422" i="21"/>
  <c r="N422" i="21"/>
  <c r="K423" i="21"/>
  <c r="N423" i="21"/>
  <c r="K424" i="21"/>
  <c r="N424" i="21"/>
  <c r="K425" i="21"/>
  <c r="N425" i="21"/>
  <c r="K426" i="21"/>
  <c r="N426" i="21"/>
  <c r="K427" i="21"/>
  <c r="N427" i="21"/>
  <c r="K428" i="21"/>
  <c r="N428" i="21"/>
  <c r="K429" i="21"/>
  <c r="N429" i="21"/>
  <c r="K430" i="21"/>
  <c r="N430" i="21"/>
  <c r="K431" i="21"/>
  <c r="N431" i="21"/>
  <c r="K432" i="21"/>
  <c r="N432" i="21"/>
  <c r="K433" i="21"/>
  <c r="N433" i="21"/>
  <c r="K434" i="21"/>
  <c r="N434" i="21"/>
  <c r="K435" i="21"/>
  <c r="N435" i="21"/>
  <c r="K436" i="21"/>
  <c r="N436" i="21"/>
  <c r="K437" i="21"/>
  <c r="N437" i="21"/>
  <c r="K438" i="21"/>
  <c r="N438" i="21"/>
  <c r="K439" i="21"/>
  <c r="N439" i="21"/>
  <c r="K440" i="21"/>
  <c r="N440" i="21"/>
  <c r="K441" i="21"/>
  <c r="N441" i="21"/>
  <c r="K442" i="21"/>
  <c r="N442" i="21"/>
  <c r="K443" i="21"/>
  <c r="N443" i="21"/>
  <c r="K444" i="21"/>
  <c r="N444" i="21"/>
  <c r="K445" i="21"/>
  <c r="N445" i="21"/>
  <c r="K446" i="21"/>
  <c r="N446" i="21"/>
  <c r="K447" i="21"/>
  <c r="N447" i="21"/>
  <c r="K448" i="21"/>
  <c r="N448" i="21"/>
  <c r="K449" i="21"/>
  <c r="N449" i="21"/>
  <c r="K450" i="21"/>
  <c r="N450" i="21"/>
  <c r="K451" i="21"/>
  <c r="N451" i="21"/>
  <c r="K452" i="21"/>
  <c r="N452" i="21"/>
  <c r="K453" i="21"/>
  <c r="N453" i="21"/>
  <c r="K454" i="21"/>
  <c r="N454" i="21"/>
  <c r="K455" i="21"/>
  <c r="N455" i="21"/>
  <c r="K456" i="21"/>
  <c r="N456" i="21"/>
  <c r="K457" i="21"/>
  <c r="N457" i="21"/>
  <c r="K458" i="21"/>
  <c r="N458" i="21"/>
  <c r="K459" i="21"/>
  <c r="N459" i="21"/>
  <c r="K460" i="21"/>
  <c r="N460" i="21"/>
  <c r="K461" i="21"/>
  <c r="N461" i="21"/>
  <c r="K462" i="21"/>
  <c r="N462" i="21"/>
  <c r="J463" i="21"/>
  <c r="M463" i="21"/>
  <c r="J464" i="21"/>
  <c r="M464" i="21"/>
  <c r="J465" i="21"/>
  <c r="M465" i="21"/>
  <c r="J466" i="21"/>
  <c r="M466" i="21"/>
  <c r="J467" i="21"/>
  <c r="M467" i="21"/>
  <c r="J468" i="21"/>
  <c r="M468" i="21"/>
  <c r="J469" i="21"/>
  <c r="M469" i="21"/>
  <c r="J470" i="21"/>
  <c r="M470" i="21"/>
  <c r="J471" i="21"/>
  <c r="M471" i="21"/>
  <c r="J472" i="21"/>
  <c r="M472" i="21"/>
  <c r="J473" i="21"/>
  <c r="M473" i="21"/>
  <c r="J474" i="21"/>
  <c r="M474" i="21"/>
  <c r="J475" i="21"/>
  <c r="M475" i="21"/>
  <c r="J476" i="21"/>
  <c r="M476" i="21"/>
  <c r="J477" i="21"/>
  <c r="M477" i="21"/>
  <c r="J478" i="21"/>
  <c r="M478" i="21"/>
  <c r="J479" i="21"/>
  <c r="M479" i="21"/>
  <c r="J480" i="21"/>
  <c r="M480" i="21"/>
  <c r="J481" i="21"/>
  <c r="M481" i="21"/>
  <c r="J482" i="21"/>
  <c r="M482" i="21"/>
  <c r="J483" i="21"/>
  <c r="M483" i="21"/>
  <c r="J484" i="21"/>
  <c r="M484" i="21"/>
  <c r="J485" i="21"/>
  <c r="M485" i="21"/>
  <c r="J486" i="21"/>
  <c r="M486" i="21"/>
  <c r="K487" i="21"/>
  <c r="N487" i="21"/>
  <c r="K488" i="21"/>
  <c r="N488" i="21"/>
  <c r="K489" i="21"/>
  <c r="N489" i="21"/>
  <c r="K490" i="21"/>
  <c r="N490" i="21"/>
  <c r="K491" i="21"/>
  <c r="N491" i="21"/>
  <c r="K492" i="21"/>
  <c r="N492" i="21"/>
  <c r="K493" i="21"/>
  <c r="N493" i="21"/>
  <c r="K494" i="21"/>
  <c r="N494" i="21"/>
  <c r="K495" i="21"/>
  <c r="N495" i="21"/>
  <c r="K496" i="21"/>
  <c r="N496" i="21"/>
  <c r="K497" i="21"/>
  <c r="N497" i="21"/>
  <c r="K498" i="21"/>
  <c r="N498" i="21"/>
  <c r="K499" i="21"/>
  <c r="N499" i="21"/>
  <c r="K500" i="21"/>
  <c r="N500" i="21"/>
  <c r="K501" i="21"/>
  <c r="N501" i="21"/>
  <c r="K502" i="21"/>
  <c r="N502" i="21"/>
  <c r="K503" i="21"/>
  <c r="N503" i="21"/>
  <c r="K504" i="21"/>
  <c r="N504" i="21"/>
  <c r="K505" i="21"/>
  <c r="N505" i="21"/>
  <c r="K506" i="21"/>
  <c r="N506" i="21"/>
  <c r="K507" i="21"/>
  <c r="N507" i="21"/>
  <c r="K508" i="21"/>
  <c r="N508" i="21"/>
  <c r="K509" i="21"/>
  <c r="N509" i="21"/>
  <c r="K510" i="21"/>
  <c r="N510" i="21"/>
  <c r="K511" i="21"/>
  <c r="N511" i="21"/>
  <c r="J512" i="21"/>
  <c r="M512" i="21"/>
  <c r="J513" i="21"/>
  <c r="M513" i="21"/>
  <c r="J514" i="21"/>
  <c r="M514" i="21"/>
  <c r="J515" i="21"/>
  <c r="M515" i="21"/>
  <c r="J516" i="21"/>
  <c r="M516" i="21"/>
  <c r="J517" i="21"/>
  <c r="M517" i="21"/>
  <c r="J518" i="21"/>
  <c r="M518" i="21"/>
  <c r="J519" i="21"/>
  <c r="M519" i="21"/>
  <c r="J520" i="21"/>
  <c r="M520" i="21"/>
  <c r="J521" i="21"/>
  <c r="M521" i="21"/>
  <c r="J522" i="21"/>
  <c r="M522" i="21"/>
  <c r="J523" i="21"/>
  <c r="M523" i="21"/>
  <c r="J524" i="21"/>
  <c r="M524" i="21"/>
  <c r="K525" i="21"/>
  <c r="N525" i="21"/>
  <c r="K526" i="21"/>
  <c r="N526" i="21"/>
  <c r="K527" i="21"/>
  <c r="N527" i="21"/>
  <c r="K528" i="21"/>
  <c r="N528" i="21"/>
  <c r="K529" i="21"/>
  <c r="N529" i="21"/>
  <c r="K530" i="21"/>
  <c r="N530" i="21"/>
  <c r="K531" i="21"/>
  <c r="N531" i="21"/>
  <c r="K532" i="21"/>
  <c r="N532" i="21"/>
  <c r="K533" i="21"/>
  <c r="N533" i="21"/>
  <c r="K534" i="21"/>
  <c r="N534" i="21"/>
  <c r="K535" i="21"/>
  <c r="N535" i="21"/>
  <c r="K536" i="21"/>
  <c r="N536" i="21"/>
  <c r="K537" i="21"/>
  <c r="N537" i="21"/>
  <c r="K538" i="21"/>
  <c r="N538" i="21"/>
  <c r="K539" i="21"/>
  <c r="N539" i="21"/>
  <c r="K540" i="21"/>
  <c r="N540" i="21"/>
  <c r="K541" i="21"/>
  <c r="N541" i="21"/>
  <c r="K542" i="21"/>
  <c r="N542" i="21"/>
  <c r="K543" i="21"/>
  <c r="N543" i="21"/>
  <c r="K544" i="21"/>
  <c r="N544" i="21"/>
  <c r="K545" i="21"/>
  <c r="N545" i="21"/>
  <c r="K546" i="21"/>
  <c r="N546" i="21"/>
  <c r="K547" i="21"/>
  <c r="N547" i="21"/>
  <c r="K548" i="21"/>
  <c r="N548" i="21"/>
  <c r="K549" i="21"/>
  <c r="N549" i="21"/>
  <c r="K550" i="21"/>
  <c r="N550" i="21"/>
  <c r="K551" i="21"/>
  <c r="N551" i="21"/>
  <c r="K552" i="21"/>
  <c r="N552" i="21"/>
  <c r="K553" i="21"/>
  <c r="N553" i="21"/>
  <c r="K554" i="21"/>
  <c r="N554" i="21"/>
  <c r="K555" i="21"/>
  <c r="N555" i="21"/>
  <c r="K556" i="21"/>
  <c r="N556" i="21"/>
  <c r="K557" i="21"/>
  <c r="N557" i="21"/>
  <c r="K558" i="21"/>
  <c r="N558" i="21"/>
  <c r="K559" i="21"/>
  <c r="N559" i="21"/>
  <c r="K560" i="21"/>
  <c r="N560" i="21"/>
  <c r="K561" i="21"/>
  <c r="N561" i="21"/>
  <c r="K562" i="21"/>
  <c r="N562" i="21"/>
  <c r="K563" i="21"/>
  <c r="N563" i="21"/>
  <c r="K564" i="21"/>
  <c r="N564" i="21"/>
  <c r="K565" i="21"/>
  <c r="N565" i="21"/>
  <c r="K566" i="21"/>
  <c r="N566" i="21"/>
  <c r="K567" i="21"/>
  <c r="N567" i="21"/>
  <c r="K568" i="21"/>
  <c r="N568" i="21"/>
  <c r="K569" i="21"/>
  <c r="N569" i="21"/>
  <c r="K570" i="21"/>
  <c r="N570" i="21"/>
  <c r="K571" i="21"/>
  <c r="N571" i="21"/>
  <c r="K572" i="21"/>
  <c r="N572" i="21"/>
  <c r="K573" i="21"/>
  <c r="N573" i="21"/>
  <c r="K574" i="21"/>
  <c r="N574" i="21"/>
  <c r="K575" i="21"/>
  <c r="N575" i="21"/>
  <c r="K576" i="21"/>
  <c r="N576" i="21"/>
  <c r="K577" i="21"/>
  <c r="N577" i="21"/>
  <c r="K578" i="21"/>
  <c r="N578" i="21"/>
  <c r="K579" i="21"/>
  <c r="N579" i="21"/>
  <c r="K580" i="21"/>
  <c r="N580" i="21"/>
  <c r="K581" i="21"/>
  <c r="N581" i="21"/>
  <c r="K582" i="21"/>
  <c r="N582" i="21"/>
  <c r="K583" i="21"/>
  <c r="N583" i="21"/>
  <c r="K584" i="21"/>
  <c r="N584" i="21"/>
  <c r="K585" i="21"/>
  <c r="N585" i="21"/>
  <c r="K586" i="21"/>
  <c r="N586" i="21"/>
  <c r="K587" i="21"/>
  <c r="N587" i="21"/>
  <c r="K588" i="21"/>
  <c r="N588" i="21"/>
  <c r="K589" i="21"/>
  <c r="N589" i="21"/>
  <c r="K590" i="21"/>
  <c r="N590" i="21"/>
  <c r="K591" i="21"/>
  <c r="N591" i="21"/>
  <c r="K592" i="21"/>
  <c r="N592" i="21"/>
  <c r="K593" i="21"/>
  <c r="N593" i="21"/>
  <c r="K594" i="21"/>
  <c r="N594" i="21"/>
  <c r="K595" i="21"/>
  <c r="N595" i="21"/>
  <c r="K596" i="21"/>
  <c r="N596" i="21"/>
  <c r="K597" i="21"/>
  <c r="N597" i="21"/>
  <c r="K598" i="21"/>
  <c r="N598" i="21"/>
  <c r="K599" i="21"/>
  <c r="N599" i="21"/>
  <c r="K600" i="21"/>
  <c r="N600" i="21"/>
  <c r="K601" i="21"/>
  <c r="N601" i="21"/>
  <c r="K602" i="21"/>
  <c r="N602" i="21"/>
  <c r="K603" i="21"/>
  <c r="N603" i="21"/>
  <c r="K604" i="21"/>
  <c r="N604" i="21"/>
  <c r="K605" i="21"/>
  <c r="N605" i="21"/>
  <c r="K606" i="21"/>
  <c r="N606" i="21"/>
  <c r="K607" i="21"/>
  <c r="N607" i="21"/>
  <c r="K608" i="21"/>
  <c r="N608" i="21"/>
  <c r="K609" i="21"/>
  <c r="N609" i="21"/>
  <c r="K610" i="21"/>
  <c r="N610" i="21"/>
  <c r="K611" i="21"/>
  <c r="N611" i="21"/>
  <c r="K612" i="21"/>
  <c r="N612" i="21"/>
  <c r="K613" i="21"/>
  <c r="N613" i="21"/>
  <c r="K614" i="21"/>
  <c r="N614" i="21"/>
  <c r="K615" i="21"/>
  <c r="N615" i="21"/>
  <c r="K616" i="21"/>
  <c r="N616" i="21"/>
  <c r="K617" i="21"/>
  <c r="N617" i="21"/>
  <c r="K618" i="21"/>
  <c r="N618" i="21"/>
  <c r="K619" i="21"/>
  <c r="N619" i="21"/>
  <c r="K620" i="21"/>
  <c r="N620" i="21"/>
  <c r="K621" i="21"/>
  <c r="N621" i="21"/>
  <c r="K622" i="21"/>
  <c r="N622" i="21"/>
  <c r="K623" i="21"/>
  <c r="N623" i="21"/>
  <c r="K624" i="21"/>
  <c r="N624" i="21"/>
  <c r="K625" i="21"/>
  <c r="N625" i="21"/>
  <c r="K626" i="21"/>
  <c r="N626" i="21"/>
  <c r="K627" i="21"/>
  <c r="N627" i="21"/>
  <c r="K628" i="21"/>
  <c r="N628" i="21"/>
  <c r="K629" i="21"/>
  <c r="N629" i="21"/>
  <c r="K630" i="21"/>
  <c r="N630" i="21"/>
  <c r="K631" i="21"/>
  <c r="N631" i="21"/>
  <c r="K632" i="21"/>
  <c r="N632" i="21"/>
  <c r="K633" i="21"/>
  <c r="N633" i="21"/>
  <c r="K634" i="21"/>
  <c r="N634" i="21"/>
  <c r="K635" i="21"/>
  <c r="N635" i="21"/>
  <c r="K636" i="21"/>
  <c r="N636" i="21"/>
  <c r="K637" i="21"/>
  <c r="N637" i="21"/>
  <c r="K638" i="21"/>
  <c r="N638" i="21"/>
  <c r="K639" i="21"/>
  <c r="N639" i="21"/>
  <c r="K640" i="21"/>
  <c r="N640" i="21"/>
  <c r="K641" i="21"/>
  <c r="N641" i="21"/>
  <c r="K642" i="21"/>
  <c r="N642" i="21"/>
  <c r="K643" i="21"/>
  <c r="N643" i="21"/>
  <c r="K644" i="21"/>
  <c r="N644" i="21"/>
  <c r="K645" i="21"/>
  <c r="N645" i="21"/>
  <c r="K646" i="21"/>
  <c r="N646" i="21"/>
  <c r="K647" i="21"/>
  <c r="N647" i="21"/>
  <c r="K648" i="21"/>
  <c r="N648" i="21"/>
  <c r="K649" i="21"/>
  <c r="N649" i="21"/>
  <c r="K650" i="21"/>
  <c r="N650" i="21"/>
  <c r="K651" i="21"/>
  <c r="N651" i="21"/>
  <c r="K652" i="21"/>
  <c r="N652" i="21"/>
  <c r="K653" i="21"/>
  <c r="N653" i="21"/>
  <c r="K654" i="21"/>
  <c r="N654" i="21"/>
  <c r="K655" i="21"/>
  <c r="N655" i="21"/>
  <c r="K656" i="21"/>
  <c r="N656" i="21"/>
  <c r="K657" i="21"/>
  <c r="N657" i="21"/>
  <c r="K658" i="21"/>
  <c r="N658" i="21"/>
  <c r="K659" i="21"/>
  <c r="N659" i="21"/>
  <c r="K660" i="21"/>
  <c r="N660" i="21"/>
  <c r="K661" i="21"/>
  <c r="N661" i="21"/>
  <c r="K662" i="21"/>
  <c r="N662" i="21"/>
  <c r="K663" i="21"/>
  <c r="N663" i="21"/>
  <c r="K664" i="21"/>
  <c r="N664" i="21"/>
  <c r="K665" i="21"/>
  <c r="N665" i="21"/>
  <c r="K666" i="21"/>
  <c r="N666" i="21"/>
  <c r="K667" i="21"/>
  <c r="N667" i="21"/>
  <c r="K668" i="21"/>
  <c r="N668" i="21"/>
  <c r="K669" i="21"/>
  <c r="N669" i="21"/>
  <c r="K670" i="21"/>
  <c r="N670" i="21"/>
  <c r="K671" i="21"/>
  <c r="N671" i="21"/>
  <c r="K672" i="21"/>
  <c r="N672" i="21"/>
  <c r="K673" i="21"/>
  <c r="N673" i="21"/>
  <c r="K674" i="21"/>
  <c r="N674" i="21"/>
  <c r="K675" i="21"/>
  <c r="N675" i="21"/>
  <c r="K676" i="21"/>
  <c r="N676" i="21"/>
  <c r="K677" i="21"/>
  <c r="N677" i="21"/>
  <c r="K678" i="21"/>
  <c r="N678" i="21"/>
  <c r="K679" i="21"/>
  <c r="N679" i="21"/>
  <c r="K680" i="21"/>
  <c r="N680" i="21"/>
  <c r="K681" i="21"/>
  <c r="N681" i="21"/>
  <c r="K682" i="21"/>
  <c r="N682" i="21"/>
  <c r="K683" i="21"/>
  <c r="N683" i="21"/>
  <c r="K684" i="21"/>
  <c r="N684" i="21"/>
  <c r="K685" i="21"/>
  <c r="N685" i="21"/>
  <c r="K686" i="21"/>
  <c r="N686" i="21"/>
  <c r="K687" i="21"/>
  <c r="N687" i="21"/>
  <c r="K688" i="21"/>
  <c r="N688" i="21"/>
  <c r="K689" i="21"/>
  <c r="N689" i="21"/>
  <c r="K690" i="21"/>
  <c r="N690" i="21"/>
  <c r="K691" i="21"/>
  <c r="N691" i="21"/>
  <c r="K692" i="21"/>
  <c r="N692" i="21"/>
  <c r="K693" i="21"/>
  <c r="N693" i="21"/>
  <c r="K694" i="21"/>
  <c r="N694" i="21"/>
  <c r="K695" i="21"/>
  <c r="N695" i="21"/>
  <c r="K696" i="21"/>
  <c r="N696" i="21"/>
  <c r="K697" i="21"/>
  <c r="N697" i="21"/>
  <c r="K698" i="21"/>
  <c r="N698" i="21"/>
  <c r="K699" i="21"/>
  <c r="N699" i="21"/>
  <c r="K700" i="21"/>
  <c r="N700" i="21"/>
  <c r="K701" i="21"/>
  <c r="N701" i="21"/>
  <c r="K702" i="21"/>
  <c r="N702" i="21"/>
  <c r="K703" i="21"/>
  <c r="N703" i="21"/>
  <c r="K704" i="21"/>
  <c r="N704" i="21"/>
  <c r="K705" i="21"/>
  <c r="N705" i="21"/>
  <c r="K706" i="21"/>
  <c r="N706" i="21"/>
  <c r="K707" i="21"/>
  <c r="N707" i="21"/>
  <c r="K708" i="21"/>
  <c r="N708" i="21"/>
  <c r="K709" i="21"/>
  <c r="N709" i="21"/>
  <c r="K710" i="21"/>
  <c r="N710" i="21"/>
  <c r="K711" i="21"/>
  <c r="N711" i="21"/>
  <c r="K712" i="21"/>
  <c r="N712" i="21"/>
  <c r="K713" i="21"/>
  <c r="N713" i="21"/>
  <c r="K714" i="21"/>
  <c r="N714" i="21"/>
  <c r="K715" i="21"/>
  <c r="N715" i="21"/>
  <c r="K716" i="21"/>
  <c r="N716" i="21"/>
  <c r="K717" i="21"/>
  <c r="N717" i="21"/>
  <c r="K718" i="21"/>
  <c r="N718" i="21"/>
  <c r="K719" i="21"/>
  <c r="N719" i="21"/>
  <c r="K720" i="21"/>
  <c r="N720" i="21"/>
  <c r="K721" i="21"/>
  <c r="N721" i="21"/>
  <c r="K722" i="21"/>
  <c r="N722" i="21"/>
  <c r="K723" i="21"/>
  <c r="N723" i="21"/>
  <c r="K724" i="21"/>
  <c r="N724" i="21"/>
  <c r="K725" i="21"/>
  <c r="N725" i="21"/>
  <c r="K726" i="21"/>
  <c r="N726" i="21"/>
  <c r="K727" i="21"/>
  <c r="N727" i="21"/>
  <c r="K728" i="21"/>
  <c r="N728" i="21"/>
  <c r="K729" i="21"/>
  <c r="N729" i="21"/>
  <c r="K730" i="21"/>
  <c r="N730" i="21"/>
  <c r="K731" i="21"/>
  <c r="N731" i="21"/>
  <c r="K732" i="21"/>
  <c r="N732" i="21"/>
  <c r="K733" i="21"/>
  <c r="N733" i="21"/>
  <c r="K734" i="21"/>
  <c r="N734" i="21"/>
  <c r="K735" i="21"/>
  <c r="N735" i="21"/>
  <c r="K736" i="21"/>
  <c r="N736" i="21"/>
  <c r="K737" i="21"/>
  <c r="N737" i="21"/>
  <c r="K738" i="21"/>
  <c r="N738" i="21"/>
  <c r="K739" i="21"/>
  <c r="N739" i="21"/>
  <c r="K740" i="21"/>
  <c r="N740" i="21"/>
  <c r="K741" i="21"/>
  <c r="N741" i="21"/>
  <c r="K742" i="21"/>
  <c r="N742" i="21"/>
  <c r="K743" i="21"/>
  <c r="N743" i="21"/>
  <c r="K744" i="21"/>
  <c r="N744" i="21"/>
  <c r="K745" i="21"/>
  <c r="N745" i="21"/>
  <c r="K746" i="21"/>
  <c r="N746" i="21"/>
  <c r="K747" i="21"/>
  <c r="N747" i="21"/>
  <c r="K748" i="21"/>
  <c r="N748" i="21"/>
  <c r="K749" i="21"/>
  <c r="N749" i="21"/>
  <c r="K750" i="21"/>
  <c r="N750" i="21"/>
  <c r="K751" i="21"/>
  <c r="N751" i="21"/>
  <c r="K752" i="21"/>
  <c r="N752" i="21"/>
  <c r="K753" i="21"/>
  <c r="N753" i="21"/>
  <c r="K754" i="21"/>
  <c r="N754" i="21"/>
  <c r="K755" i="21"/>
  <c r="N755" i="21"/>
  <c r="K756" i="21"/>
  <c r="N756" i="21"/>
  <c r="K757" i="21"/>
  <c r="N757" i="21"/>
  <c r="K758" i="21"/>
  <c r="N758" i="21"/>
  <c r="K759" i="21"/>
  <c r="N759" i="21"/>
  <c r="K760" i="21"/>
  <c r="N760" i="21"/>
  <c r="K761" i="21"/>
  <c r="N761" i="21"/>
  <c r="K762" i="21"/>
  <c r="N762" i="21"/>
  <c r="K763" i="21"/>
  <c r="N763" i="21"/>
  <c r="K764" i="21"/>
  <c r="N764" i="21"/>
  <c r="K765" i="21"/>
  <c r="N765" i="21"/>
  <c r="K766" i="21"/>
  <c r="N766" i="21"/>
  <c r="K767" i="21"/>
  <c r="N767" i="21"/>
  <c r="K768" i="21"/>
  <c r="N768" i="21"/>
  <c r="K769" i="21"/>
  <c r="N769" i="21"/>
  <c r="K770" i="21"/>
  <c r="N770" i="21"/>
  <c r="K771" i="21"/>
  <c r="N771" i="21"/>
  <c r="K772" i="21"/>
  <c r="N772" i="21"/>
  <c r="K773" i="21"/>
  <c r="N773" i="21"/>
  <c r="K774" i="21"/>
  <c r="N774" i="21"/>
  <c r="K775" i="21"/>
  <c r="N775" i="21"/>
  <c r="K776" i="21"/>
  <c r="N776" i="21"/>
  <c r="K777" i="21"/>
  <c r="N777" i="21"/>
  <c r="K778" i="21"/>
  <c r="N778" i="21"/>
  <c r="K779" i="21"/>
  <c r="N779" i="21"/>
  <c r="K780" i="21"/>
  <c r="N780" i="21"/>
  <c r="K781" i="21"/>
  <c r="N781" i="21"/>
  <c r="K782" i="21"/>
  <c r="N782" i="21"/>
  <c r="K783" i="21"/>
  <c r="N783" i="21"/>
  <c r="K784" i="21"/>
  <c r="N784" i="21"/>
  <c r="K785" i="21"/>
  <c r="N785" i="21"/>
  <c r="K786" i="21"/>
  <c r="N786" i="21"/>
  <c r="K787" i="21"/>
  <c r="N787" i="21"/>
  <c r="K788" i="21"/>
  <c r="N788" i="21"/>
  <c r="K789" i="21"/>
  <c r="N789" i="21"/>
  <c r="K790" i="21"/>
  <c r="N790" i="21"/>
  <c r="K791" i="21"/>
  <c r="N791" i="21"/>
  <c r="K792" i="21"/>
  <c r="N792" i="21"/>
  <c r="K793" i="21"/>
  <c r="N793" i="21"/>
  <c r="K794" i="21"/>
  <c r="N794" i="21"/>
  <c r="K795" i="21"/>
  <c r="N795" i="21"/>
  <c r="K796" i="21"/>
  <c r="N796" i="21"/>
  <c r="K797" i="21"/>
  <c r="N797" i="21"/>
  <c r="K798" i="21"/>
  <c r="N798" i="21"/>
  <c r="K799" i="21"/>
  <c r="N799" i="21"/>
  <c r="K800" i="21"/>
  <c r="N800" i="21"/>
  <c r="K801" i="21"/>
  <c r="N801" i="21"/>
  <c r="K802" i="21"/>
  <c r="N802" i="21"/>
  <c r="K803" i="21"/>
  <c r="N803" i="21"/>
  <c r="K804" i="21"/>
  <c r="N804" i="21"/>
  <c r="K805" i="21"/>
  <c r="N805" i="21"/>
  <c r="K806" i="21"/>
  <c r="N806" i="21"/>
  <c r="K807" i="21"/>
  <c r="N807" i="21"/>
  <c r="K808" i="21"/>
  <c r="N808" i="21"/>
  <c r="K809" i="21"/>
  <c r="N809" i="21"/>
  <c r="K810" i="21"/>
  <c r="N810" i="21"/>
  <c r="K811" i="21"/>
  <c r="N811" i="21"/>
  <c r="K812" i="21"/>
  <c r="N812" i="21"/>
  <c r="K813" i="21"/>
  <c r="N813" i="21"/>
  <c r="K814" i="21"/>
  <c r="N814" i="21"/>
  <c r="K815" i="21"/>
  <c r="N815" i="21"/>
  <c r="K816" i="21"/>
  <c r="N816" i="21"/>
  <c r="K817" i="21"/>
  <c r="N817" i="21"/>
  <c r="K818" i="21"/>
  <c r="N818" i="21"/>
  <c r="K819" i="21"/>
  <c r="N819" i="21"/>
  <c r="K820" i="21"/>
  <c r="N820" i="21"/>
  <c r="K821" i="21"/>
  <c r="N821" i="21"/>
  <c r="K822" i="21"/>
  <c r="N822" i="21"/>
  <c r="K823" i="21"/>
  <c r="N823" i="21"/>
  <c r="K824" i="21"/>
  <c r="N824" i="21"/>
  <c r="K825" i="21"/>
  <c r="N825" i="21"/>
  <c r="K826" i="21"/>
  <c r="N826" i="21"/>
  <c r="K827" i="21"/>
  <c r="N827" i="21"/>
  <c r="K828" i="21"/>
  <c r="N828" i="21"/>
  <c r="K829" i="21"/>
  <c r="N829" i="21"/>
  <c r="K830" i="21"/>
  <c r="N830" i="21"/>
  <c r="K831" i="21"/>
  <c r="N831" i="21"/>
  <c r="K832" i="21"/>
  <c r="N832" i="21"/>
  <c r="K833" i="21"/>
  <c r="N833" i="21"/>
  <c r="K834" i="21"/>
  <c r="N834" i="21"/>
  <c r="K835" i="21"/>
  <c r="N835" i="21"/>
  <c r="K836" i="21"/>
  <c r="N836" i="21"/>
  <c r="K837" i="21"/>
  <c r="N837" i="21"/>
  <c r="K838" i="21"/>
  <c r="N838" i="21"/>
  <c r="K839" i="21"/>
  <c r="N839" i="21"/>
  <c r="K840" i="21"/>
  <c r="N840" i="21"/>
  <c r="K841" i="21"/>
  <c r="N841" i="21"/>
  <c r="K842" i="21"/>
  <c r="N842" i="21"/>
  <c r="K843" i="21"/>
  <c r="N843" i="21"/>
  <c r="K844" i="21"/>
  <c r="N844" i="21"/>
  <c r="K845" i="21"/>
  <c r="N845" i="21"/>
  <c r="K846" i="21"/>
  <c r="N846" i="21"/>
  <c r="K847" i="21"/>
  <c r="N847" i="21"/>
  <c r="K848" i="21"/>
  <c r="N848" i="21"/>
  <c r="K849" i="21"/>
  <c r="N849" i="21"/>
  <c r="K850" i="21"/>
  <c r="N850" i="21"/>
  <c r="K851" i="21"/>
  <c r="N851" i="21"/>
  <c r="K852" i="21"/>
  <c r="N852" i="21"/>
  <c r="K853" i="21"/>
  <c r="N853" i="21"/>
  <c r="K854" i="21"/>
  <c r="N854" i="21"/>
  <c r="K855" i="21"/>
  <c r="N855" i="21"/>
  <c r="K856" i="21"/>
  <c r="N856" i="21"/>
  <c r="K857" i="21"/>
  <c r="N857" i="21"/>
  <c r="K858" i="21"/>
  <c r="N858" i="21"/>
  <c r="K859" i="21"/>
  <c r="N859" i="21"/>
  <c r="K860" i="21"/>
  <c r="N860" i="21"/>
  <c r="K861" i="21"/>
  <c r="N861" i="21"/>
  <c r="K862" i="21"/>
  <c r="N862" i="21"/>
  <c r="K863" i="21"/>
  <c r="N863" i="21"/>
  <c r="K864" i="21"/>
  <c r="N864" i="21"/>
  <c r="K865" i="21"/>
  <c r="N865" i="21"/>
  <c r="K866" i="21"/>
  <c r="N866" i="21"/>
  <c r="K867" i="21"/>
  <c r="N867" i="21"/>
  <c r="K868" i="21"/>
  <c r="N868" i="21"/>
  <c r="K869" i="21"/>
  <c r="N869" i="21"/>
  <c r="K870" i="21"/>
  <c r="N870" i="21"/>
  <c r="K871" i="21"/>
  <c r="N871" i="21"/>
  <c r="K872" i="21"/>
  <c r="N872" i="21"/>
  <c r="K873" i="21"/>
  <c r="N873" i="21"/>
  <c r="K874" i="21"/>
  <c r="N874" i="21"/>
  <c r="K875" i="21"/>
  <c r="N875" i="21"/>
  <c r="K876" i="21"/>
  <c r="N876" i="21"/>
  <c r="K877" i="21"/>
  <c r="N877" i="21"/>
  <c r="K878" i="21"/>
  <c r="N878" i="21"/>
  <c r="K879" i="21"/>
  <c r="N879" i="21"/>
  <c r="K880" i="21"/>
  <c r="N880" i="21"/>
  <c r="K881" i="21"/>
  <c r="N881" i="21"/>
  <c r="K882" i="21"/>
  <c r="N882" i="21"/>
  <c r="K883" i="21"/>
  <c r="N883" i="21"/>
  <c r="K884" i="21"/>
  <c r="N884" i="21"/>
  <c r="K885" i="21"/>
  <c r="N885" i="21"/>
  <c r="K886" i="21"/>
  <c r="N886" i="21"/>
  <c r="K887" i="21"/>
  <c r="N887" i="21"/>
  <c r="K888" i="21"/>
  <c r="N888" i="21"/>
  <c r="K889" i="21"/>
  <c r="N889" i="21"/>
  <c r="K890" i="21"/>
  <c r="N890" i="21"/>
  <c r="K891" i="21"/>
  <c r="N891" i="21"/>
  <c r="K892" i="21"/>
  <c r="N892" i="21"/>
  <c r="K893" i="21"/>
  <c r="N893" i="21"/>
  <c r="K894" i="21"/>
  <c r="N894" i="21"/>
  <c r="K895" i="21"/>
  <c r="N895" i="21"/>
  <c r="K896" i="21"/>
  <c r="N896" i="21"/>
  <c r="K897" i="21"/>
  <c r="N897" i="21"/>
  <c r="K898" i="21"/>
  <c r="N898" i="21"/>
  <c r="K899" i="21"/>
  <c r="N899" i="21"/>
  <c r="K900" i="21"/>
  <c r="N900" i="21"/>
  <c r="K901" i="21"/>
  <c r="N901" i="21"/>
  <c r="K902" i="21"/>
  <c r="N902" i="21"/>
  <c r="K903" i="21"/>
  <c r="N903" i="21"/>
  <c r="K904" i="21"/>
  <c r="N904" i="21"/>
  <c r="K905" i="21"/>
  <c r="N905" i="21"/>
  <c r="K906" i="21"/>
  <c r="N906" i="21"/>
  <c r="K907" i="21"/>
  <c r="N907" i="21"/>
  <c r="K908" i="21"/>
  <c r="N908" i="21"/>
  <c r="K909" i="21"/>
  <c r="N909" i="21"/>
  <c r="K910" i="21"/>
  <c r="N910" i="21"/>
  <c r="K911" i="21"/>
  <c r="N911" i="21"/>
  <c r="K912" i="21"/>
  <c r="N912" i="21"/>
  <c r="K913" i="21"/>
  <c r="N913" i="21"/>
  <c r="K914" i="21"/>
  <c r="N914" i="21"/>
  <c r="K915" i="21"/>
  <c r="N915" i="21"/>
  <c r="K916" i="21"/>
  <c r="N916" i="21"/>
  <c r="K917" i="21"/>
  <c r="N917" i="21"/>
  <c r="K918" i="21"/>
  <c r="N918" i="21"/>
  <c r="K919" i="21"/>
  <c r="N919" i="21"/>
  <c r="K920" i="21"/>
  <c r="N920" i="21"/>
  <c r="K921" i="21"/>
  <c r="N921" i="21"/>
  <c r="K922" i="21"/>
  <c r="N922" i="21"/>
  <c r="K923" i="21"/>
  <c r="N923" i="21"/>
  <c r="K924" i="21"/>
  <c r="N924" i="21"/>
  <c r="K925" i="21"/>
  <c r="N925" i="21"/>
  <c r="K926" i="21"/>
  <c r="N926" i="21"/>
  <c r="K927" i="21"/>
  <c r="N927" i="21"/>
  <c r="K928" i="21"/>
  <c r="N928" i="21"/>
  <c r="K929" i="21"/>
  <c r="N929" i="21"/>
  <c r="K930" i="21"/>
  <c r="N930" i="21"/>
  <c r="K931" i="21"/>
  <c r="N931" i="21"/>
  <c r="K932" i="21"/>
  <c r="N932" i="21"/>
  <c r="K933" i="21"/>
  <c r="N933" i="21"/>
  <c r="K934" i="21"/>
  <c r="N934" i="21"/>
  <c r="K935" i="21"/>
  <c r="N935" i="21"/>
  <c r="K936" i="21"/>
  <c r="N936" i="21"/>
  <c r="K937" i="21"/>
  <c r="N937" i="21"/>
  <c r="K938" i="21"/>
  <c r="N938" i="21"/>
  <c r="K939" i="21"/>
  <c r="N939" i="21"/>
  <c r="K940" i="21"/>
  <c r="N940" i="21"/>
  <c r="K941" i="21"/>
  <c r="N941" i="21"/>
  <c r="K942" i="21"/>
  <c r="N942" i="21"/>
  <c r="K943" i="21"/>
  <c r="N943" i="21"/>
  <c r="K944" i="21"/>
  <c r="N944" i="21"/>
  <c r="K945" i="21"/>
  <c r="N945" i="21"/>
  <c r="K946" i="21"/>
  <c r="N946" i="21"/>
  <c r="K947" i="21"/>
  <c r="N947" i="21"/>
  <c r="K948" i="21"/>
  <c r="N948" i="21"/>
  <c r="K949" i="21"/>
  <c r="N949" i="21"/>
  <c r="K950" i="21"/>
  <c r="N950" i="21"/>
  <c r="K951" i="21"/>
  <c r="N951" i="21"/>
  <c r="K952" i="21"/>
  <c r="N952" i="21"/>
  <c r="K953" i="21"/>
  <c r="N953" i="21"/>
  <c r="K954" i="21"/>
  <c r="N954" i="21"/>
  <c r="K955" i="21"/>
  <c r="N955" i="21"/>
  <c r="K956" i="21"/>
  <c r="N956" i="21"/>
  <c r="K957" i="21"/>
  <c r="N957" i="21"/>
  <c r="K958" i="21"/>
  <c r="N958" i="21"/>
  <c r="K959" i="21"/>
  <c r="N959" i="21"/>
  <c r="K960" i="21"/>
  <c r="N960" i="21"/>
  <c r="K961" i="21"/>
  <c r="N961" i="21"/>
  <c r="K962" i="21"/>
  <c r="N962" i="21"/>
  <c r="K963" i="21"/>
  <c r="N963" i="21"/>
  <c r="K964" i="21"/>
  <c r="N964" i="21"/>
  <c r="K965" i="21"/>
  <c r="N965" i="21"/>
  <c r="K966" i="21"/>
  <c r="N966" i="21"/>
  <c r="K967" i="21"/>
  <c r="N967" i="21"/>
  <c r="K968" i="21"/>
  <c r="N968" i="21"/>
  <c r="K969" i="21"/>
  <c r="N969" i="21"/>
  <c r="K970" i="21"/>
  <c r="N970" i="21"/>
  <c r="K971" i="21"/>
  <c r="N971" i="21"/>
  <c r="K972" i="21"/>
  <c r="N972" i="21"/>
  <c r="K973" i="21"/>
  <c r="N973" i="21"/>
  <c r="K974" i="21"/>
  <c r="N974" i="21"/>
  <c r="K975" i="21"/>
  <c r="N975" i="21"/>
  <c r="K976" i="21"/>
  <c r="N976" i="21"/>
  <c r="K977" i="21"/>
  <c r="N977" i="21"/>
  <c r="K978" i="21"/>
  <c r="N978" i="21"/>
  <c r="K979" i="21"/>
  <c r="N979" i="21"/>
  <c r="K980" i="21"/>
  <c r="N980" i="21"/>
  <c r="K981" i="21"/>
  <c r="N981" i="21"/>
  <c r="K982" i="21"/>
  <c r="N982" i="21"/>
  <c r="K983" i="21"/>
  <c r="N983" i="21"/>
  <c r="K984" i="21"/>
  <c r="N984" i="21"/>
  <c r="K985" i="21"/>
  <c r="N985" i="21"/>
  <c r="K986" i="21"/>
  <c r="N986" i="21"/>
  <c r="K987" i="21"/>
  <c r="N987" i="21"/>
  <c r="K988" i="21"/>
  <c r="N988" i="21"/>
  <c r="K989" i="21"/>
  <c r="N989" i="21"/>
  <c r="K990" i="21"/>
  <c r="N990" i="21"/>
  <c r="K991" i="21"/>
  <c r="N991" i="21"/>
  <c r="K992" i="21"/>
  <c r="N992" i="21"/>
  <c r="K993" i="21"/>
  <c r="N993" i="21"/>
  <c r="K994" i="21"/>
  <c r="N994" i="21"/>
  <c r="K995" i="21"/>
  <c r="N995" i="21"/>
  <c r="K996" i="21"/>
  <c r="N996" i="21"/>
  <c r="K997" i="21"/>
  <c r="N997" i="21"/>
  <c r="K998" i="21"/>
  <c r="N998" i="21"/>
  <c r="K999" i="21"/>
  <c r="N999" i="21"/>
  <c r="K1000" i="21"/>
  <c r="N1000" i="21"/>
  <c r="K1001" i="21"/>
  <c r="N1001" i="21"/>
  <c r="K1002" i="21"/>
  <c r="N1002" i="21"/>
  <c r="K1003" i="21"/>
  <c r="N1003" i="21"/>
  <c r="K1004" i="21"/>
  <c r="N1004" i="21"/>
  <c r="K1005" i="21"/>
  <c r="N1005" i="21"/>
  <c r="K1006" i="21"/>
  <c r="N1006" i="21"/>
  <c r="K1007" i="21"/>
  <c r="N1007" i="21"/>
  <c r="K1008" i="21"/>
  <c r="N1008" i="21"/>
  <c r="K1009" i="21"/>
  <c r="N1009" i="21"/>
  <c r="K1010" i="21"/>
  <c r="N1010" i="21"/>
  <c r="K1011" i="21"/>
  <c r="N1011" i="21"/>
  <c r="K1012" i="21"/>
  <c r="N1012" i="21"/>
  <c r="K1013" i="21"/>
  <c r="N1013" i="21"/>
  <c r="K1014" i="21"/>
  <c r="N1014" i="21"/>
  <c r="K1015" i="21"/>
  <c r="N1015" i="21"/>
  <c r="K1016" i="21"/>
  <c r="N1016" i="21"/>
  <c r="K1017" i="21"/>
  <c r="N1017" i="21"/>
  <c r="K1018" i="21"/>
  <c r="N1018" i="21"/>
  <c r="K1019" i="21"/>
  <c r="N1019" i="21"/>
  <c r="K1020" i="21"/>
  <c r="N1020" i="21"/>
  <c r="K1021" i="21"/>
  <c r="N1021" i="21"/>
  <c r="K1022" i="21"/>
  <c r="N1022" i="21"/>
  <c r="K1023" i="21"/>
  <c r="N1023" i="21"/>
  <c r="K1024" i="21"/>
  <c r="N1024" i="21"/>
  <c r="K1025" i="21"/>
  <c r="N1025" i="21"/>
  <c r="K1026" i="21"/>
  <c r="N1026" i="21"/>
  <c r="K1027" i="21"/>
  <c r="N1027" i="21"/>
  <c r="K1028" i="21"/>
  <c r="N1028" i="21"/>
  <c r="K1029" i="21"/>
  <c r="N1029" i="21"/>
  <c r="K1030" i="21"/>
  <c r="N1030" i="21"/>
  <c r="K1031" i="21"/>
  <c r="N1031" i="21"/>
  <c r="K1032" i="21"/>
  <c r="N1032" i="21"/>
  <c r="K1033" i="21"/>
  <c r="N1033" i="21"/>
  <c r="K1034" i="21"/>
  <c r="N1034" i="21"/>
  <c r="K1035" i="21"/>
  <c r="N1035" i="21"/>
  <c r="K1036" i="21"/>
  <c r="N1036" i="21"/>
  <c r="K1037" i="21"/>
  <c r="N1037" i="21"/>
  <c r="K1038" i="21"/>
  <c r="N1038" i="21"/>
  <c r="K1039" i="21"/>
  <c r="N1039" i="21"/>
  <c r="K1040" i="21"/>
  <c r="N1040" i="21"/>
  <c r="K1041" i="21"/>
  <c r="N1041" i="21"/>
  <c r="K1042" i="21"/>
  <c r="N1042" i="21"/>
  <c r="K1043" i="21"/>
  <c r="N1043" i="21"/>
  <c r="K1044" i="21"/>
  <c r="N1044" i="21"/>
  <c r="K1045" i="21"/>
  <c r="N1045" i="21"/>
  <c r="K1046" i="21"/>
  <c r="N1046" i="21"/>
  <c r="K1047" i="21"/>
  <c r="N1047" i="21"/>
  <c r="K1048" i="21"/>
  <c r="N1048" i="21"/>
  <c r="K1049" i="21"/>
  <c r="N1049" i="21"/>
  <c r="K1050" i="21"/>
  <c r="N1050" i="21"/>
  <c r="K1051" i="21"/>
  <c r="N1051" i="21"/>
  <c r="K1052" i="21"/>
  <c r="N1052" i="21"/>
  <c r="K1053" i="21"/>
  <c r="N1053" i="21"/>
  <c r="K1054" i="21"/>
  <c r="N1054" i="21"/>
  <c r="K1055" i="21"/>
  <c r="N1055" i="21"/>
  <c r="K1056" i="21"/>
  <c r="N1056" i="21"/>
  <c r="K1057" i="21"/>
  <c r="N1057" i="21"/>
  <c r="K1058" i="21"/>
  <c r="N1058" i="21"/>
  <c r="K1059" i="21"/>
  <c r="N1059" i="21"/>
  <c r="K1060" i="21"/>
  <c r="N1060" i="21"/>
  <c r="K1061" i="21"/>
  <c r="N1061" i="21"/>
  <c r="K1062" i="21"/>
  <c r="N1062" i="21"/>
  <c r="K1063" i="21"/>
  <c r="N1063" i="21"/>
  <c r="K1064" i="21"/>
  <c r="N1064" i="21"/>
  <c r="K1065" i="21"/>
  <c r="N1065" i="21"/>
  <c r="K1066" i="21"/>
  <c r="N1066" i="21"/>
  <c r="K1067" i="21"/>
  <c r="N1067" i="21"/>
  <c r="K1068" i="21"/>
  <c r="N1068" i="21"/>
  <c r="K1069" i="21"/>
  <c r="N1069" i="21"/>
  <c r="K1070" i="21"/>
  <c r="N1070" i="21"/>
  <c r="K1071" i="21"/>
  <c r="N1071" i="21"/>
  <c r="K1072" i="21"/>
  <c r="N1072" i="21"/>
  <c r="K1073" i="21"/>
  <c r="N1073" i="21"/>
  <c r="K1074" i="21"/>
  <c r="N1074" i="21"/>
  <c r="K1075" i="21"/>
  <c r="N1075" i="21"/>
  <c r="K1076" i="21"/>
  <c r="N1076" i="21"/>
  <c r="K1077" i="21"/>
  <c r="N1077" i="21"/>
  <c r="K1078" i="21"/>
  <c r="N1078" i="21"/>
  <c r="K1079" i="21"/>
  <c r="N1079" i="21"/>
  <c r="K1080" i="21"/>
  <c r="N1080" i="21"/>
  <c r="K1081" i="21"/>
  <c r="N1081" i="21"/>
  <c r="K1082" i="21"/>
  <c r="N1082" i="21"/>
  <c r="K1083" i="21"/>
  <c r="N1083" i="21"/>
  <c r="K1084" i="21"/>
  <c r="N1084" i="21"/>
  <c r="K1085" i="21"/>
  <c r="N1085" i="21"/>
  <c r="K1086" i="21"/>
  <c r="N1086" i="21"/>
  <c r="K1087" i="21"/>
  <c r="N1087" i="21"/>
  <c r="K1088" i="21"/>
  <c r="N1088" i="21"/>
  <c r="K1089" i="21"/>
  <c r="N1089" i="21"/>
  <c r="K1090" i="21"/>
  <c r="N1090" i="21"/>
  <c r="K1091" i="21"/>
  <c r="N1091" i="21"/>
  <c r="K1092" i="21"/>
  <c r="N1092" i="21"/>
  <c r="K1093" i="21"/>
  <c r="N1093" i="21"/>
  <c r="K1094" i="21"/>
  <c r="N1094" i="21"/>
  <c r="K1095" i="21"/>
  <c r="N1095" i="21"/>
  <c r="K1096" i="21"/>
  <c r="N1096" i="21"/>
  <c r="K1097" i="21"/>
  <c r="N1097" i="21"/>
  <c r="K1098" i="21"/>
  <c r="N1098" i="21"/>
  <c r="K1099" i="21"/>
  <c r="N1099" i="21"/>
  <c r="K1100" i="21"/>
  <c r="N1100" i="21"/>
  <c r="K1101" i="21"/>
  <c r="N1101" i="21"/>
  <c r="K1102" i="21"/>
  <c r="N1102" i="21"/>
  <c r="K1103" i="21"/>
  <c r="N1103" i="21"/>
  <c r="K1104" i="21"/>
  <c r="N1104" i="21"/>
  <c r="K1105" i="21"/>
  <c r="N1105" i="21"/>
  <c r="K1106" i="21"/>
  <c r="N1106" i="21"/>
  <c r="K1107" i="21"/>
  <c r="N1107" i="21"/>
  <c r="K1108" i="21"/>
  <c r="N1108" i="21"/>
  <c r="K1109" i="21"/>
  <c r="N1109" i="21"/>
  <c r="K1110" i="21"/>
  <c r="N1110" i="21"/>
  <c r="K1111" i="21"/>
  <c r="N1111" i="21"/>
  <c r="K1112" i="21"/>
  <c r="N1112" i="21"/>
  <c r="K1113" i="21"/>
  <c r="N1113" i="21"/>
  <c r="K1114" i="21"/>
  <c r="N1114" i="21"/>
  <c r="K1115" i="21"/>
  <c r="N1115" i="21"/>
  <c r="K1116" i="21"/>
  <c r="N1116" i="21"/>
  <c r="K1117" i="21"/>
  <c r="N1117" i="21"/>
  <c r="K1118" i="21"/>
  <c r="N1118" i="21"/>
  <c r="K1119" i="21"/>
  <c r="N1119" i="21"/>
  <c r="K1120" i="21"/>
  <c r="N1120" i="21"/>
  <c r="K1121" i="21"/>
  <c r="N1121" i="21"/>
  <c r="K1122" i="21"/>
  <c r="N1122" i="21"/>
  <c r="K1123" i="21"/>
  <c r="N1123" i="21"/>
  <c r="K1124" i="21"/>
  <c r="N1124" i="21"/>
  <c r="K1125" i="21"/>
  <c r="N1125" i="21"/>
  <c r="K1126" i="21"/>
  <c r="N1126" i="21"/>
  <c r="K1127" i="21"/>
  <c r="N1127" i="21"/>
  <c r="K1128" i="21"/>
  <c r="N1128" i="21"/>
  <c r="K1129" i="21"/>
  <c r="N1129" i="21"/>
  <c r="K1130" i="21"/>
  <c r="N1130" i="21"/>
  <c r="K1131" i="21"/>
  <c r="N1131" i="21"/>
  <c r="K1132" i="21"/>
  <c r="N1132" i="21"/>
  <c r="K1133" i="21"/>
  <c r="N1133" i="21"/>
  <c r="K1134" i="21"/>
  <c r="N1134" i="21"/>
  <c r="K1135" i="21"/>
  <c r="N1135" i="21"/>
  <c r="K1136" i="21"/>
  <c r="N1136" i="21"/>
  <c r="K1137" i="21"/>
  <c r="N1137" i="21"/>
  <c r="K1138" i="21"/>
  <c r="N1138" i="21"/>
  <c r="K1139" i="21"/>
  <c r="N1139" i="21"/>
  <c r="K1140" i="21"/>
  <c r="N1140" i="21"/>
  <c r="K1141" i="21"/>
  <c r="N1141" i="21"/>
  <c r="K1142" i="21"/>
  <c r="N1142" i="21"/>
  <c r="K1143" i="21"/>
  <c r="N1143" i="21"/>
  <c r="K1144" i="21"/>
  <c r="N1144" i="21"/>
  <c r="K1145" i="21"/>
  <c r="N1145" i="21"/>
  <c r="K1146" i="21"/>
  <c r="N1146" i="21"/>
  <c r="K1147" i="21"/>
  <c r="N1147" i="21"/>
  <c r="K1148" i="21"/>
  <c r="N1148" i="21"/>
  <c r="K1149" i="21"/>
  <c r="N1149" i="21"/>
  <c r="K1150" i="21"/>
  <c r="N1150" i="21"/>
  <c r="K1151" i="21"/>
  <c r="N1151" i="21"/>
  <c r="K1152" i="21"/>
  <c r="N1152" i="21"/>
  <c r="K1153" i="21"/>
  <c r="N1153" i="21"/>
  <c r="K1154" i="21"/>
  <c r="N1154" i="21"/>
  <c r="K1155" i="21"/>
  <c r="N1155" i="21"/>
  <c r="K1156" i="21"/>
  <c r="N1156" i="21"/>
  <c r="K1157" i="21"/>
  <c r="N1157" i="21"/>
  <c r="K1158" i="21"/>
  <c r="N1158" i="21"/>
  <c r="K1159" i="21"/>
  <c r="N1159" i="21"/>
  <c r="K1160" i="21"/>
  <c r="N1160" i="21"/>
  <c r="K1161" i="21"/>
  <c r="N1161" i="21"/>
  <c r="K1162" i="21"/>
  <c r="N1162" i="21"/>
  <c r="K1163" i="21"/>
  <c r="N1163" i="21"/>
  <c r="K1164" i="21"/>
  <c r="N1164" i="21"/>
  <c r="K1165" i="21"/>
  <c r="N1165" i="21"/>
  <c r="K1166" i="21"/>
  <c r="N1166" i="21"/>
  <c r="K1167" i="21"/>
  <c r="N1167" i="21"/>
  <c r="K1168" i="21"/>
  <c r="N1168" i="21"/>
  <c r="K1169" i="21"/>
  <c r="N1169" i="21"/>
  <c r="K1170" i="21"/>
  <c r="N1170" i="21"/>
  <c r="K1171" i="21"/>
  <c r="N1171" i="21"/>
  <c r="K1172" i="21"/>
  <c r="N1172" i="21"/>
  <c r="K1173" i="21"/>
  <c r="N1173" i="21"/>
  <c r="K1174" i="21"/>
  <c r="N1174" i="21"/>
  <c r="K1175" i="21"/>
  <c r="N1175" i="21"/>
  <c r="K1176" i="21"/>
  <c r="N1176" i="21"/>
  <c r="K1177" i="21"/>
  <c r="N1177" i="21"/>
  <c r="K1178" i="21"/>
  <c r="N1178" i="21"/>
  <c r="K1179" i="21"/>
  <c r="N1179" i="21"/>
  <c r="K1180" i="21"/>
  <c r="N1180" i="21"/>
  <c r="K1181" i="21"/>
  <c r="N1181" i="21"/>
  <c r="K1182" i="21"/>
  <c r="N1182" i="21"/>
  <c r="K1183" i="21"/>
  <c r="N1183" i="21"/>
  <c r="K1184" i="21"/>
  <c r="N1184" i="21"/>
  <c r="K1185" i="21"/>
  <c r="N1185" i="21"/>
  <c r="K1186" i="21"/>
  <c r="N1186" i="21"/>
  <c r="K1187" i="21"/>
  <c r="N1187" i="21"/>
  <c r="K1188" i="21"/>
  <c r="N1188" i="21"/>
  <c r="K1189" i="21"/>
  <c r="N1189" i="21"/>
  <c r="K1190" i="21"/>
  <c r="N1190" i="21"/>
  <c r="K1191" i="21"/>
  <c r="N1191" i="21"/>
  <c r="K1192" i="21"/>
  <c r="N1192" i="21"/>
  <c r="K1193" i="21"/>
  <c r="N1193" i="21"/>
  <c r="K1194" i="21"/>
  <c r="N1194" i="21"/>
  <c r="K1195" i="21"/>
  <c r="N1195" i="21"/>
  <c r="K1196" i="21"/>
  <c r="N1196" i="21"/>
  <c r="K1197" i="21"/>
  <c r="N1197" i="21"/>
  <c r="K1198" i="21"/>
  <c r="N1198" i="21"/>
  <c r="K1199" i="21"/>
  <c r="N1199" i="21"/>
  <c r="K1200" i="21"/>
  <c r="N1200" i="21"/>
  <c r="K1201" i="21"/>
  <c r="N1201" i="21"/>
  <c r="K1202" i="21"/>
  <c r="N1202" i="21"/>
  <c r="K1203" i="21"/>
  <c r="N1203" i="21"/>
  <c r="K1204" i="21"/>
  <c r="N1204" i="21"/>
  <c r="K1205" i="21"/>
  <c r="N1205" i="21"/>
  <c r="K1206" i="21"/>
  <c r="N1206" i="21"/>
  <c r="K1207" i="21"/>
  <c r="N1207" i="21"/>
  <c r="K1208" i="21"/>
  <c r="N1208" i="21"/>
  <c r="K1209" i="21"/>
  <c r="N1209" i="21"/>
  <c r="K1210" i="21"/>
  <c r="N1210" i="21"/>
  <c r="K1211" i="21"/>
  <c r="N1211" i="21"/>
  <c r="K1212" i="21"/>
  <c r="N1212" i="21"/>
  <c r="K1213" i="21"/>
  <c r="N1213" i="21"/>
  <c r="K1214" i="21"/>
  <c r="N1214" i="21"/>
  <c r="K1215" i="21"/>
  <c r="N1215" i="21"/>
  <c r="K1216" i="21"/>
  <c r="N1216" i="21"/>
  <c r="K1217" i="21"/>
  <c r="N1217" i="21"/>
  <c r="K1218" i="21"/>
  <c r="N1218" i="21"/>
  <c r="K1219" i="21"/>
  <c r="N1219" i="21"/>
  <c r="K1220" i="21"/>
  <c r="N1220" i="21"/>
  <c r="K1221" i="21"/>
  <c r="N1221" i="21"/>
  <c r="K1222" i="21"/>
  <c r="N1222" i="21"/>
  <c r="K1223" i="21"/>
  <c r="N1223" i="21"/>
  <c r="K1224" i="21"/>
  <c r="N1224" i="21"/>
  <c r="K1225" i="21"/>
  <c r="N1225" i="21"/>
  <c r="K1226" i="21"/>
  <c r="N1226" i="21"/>
  <c r="K1227" i="21"/>
  <c r="N1227" i="21"/>
  <c r="K1228" i="21"/>
  <c r="N1228" i="21"/>
  <c r="K1229" i="21"/>
  <c r="N1229" i="21"/>
  <c r="K1230" i="21"/>
  <c r="N1230" i="21"/>
  <c r="K1231" i="21"/>
  <c r="N1231" i="21"/>
  <c r="K1232" i="21"/>
  <c r="N1232" i="21"/>
  <c r="K1233" i="21"/>
  <c r="N1233" i="21"/>
  <c r="K1234" i="21"/>
  <c r="N1234" i="21"/>
  <c r="K1235" i="21"/>
  <c r="N1235" i="21"/>
  <c r="K1236" i="21"/>
  <c r="N1236" i="21"/>
  <c r="K1237" i="21"/>
  <c r="N1237" i="21"/>
  <c r="K1238" i="21"/>
  <c r="N1238" i="21"/>
  <c r="K1239" i="21"/>
  <c r="N1239" i="21"/>
  <c r="K1240" i="21"/>
  <c r="N1240" i="21"/>
  <c r="K1241" i="21"/>
  <c r="N1241" i="21"/>
  <c r="K1242" i="21"/>
  <c r="N1242" i="21"/>
  <c r="K1243" i="21"/>
  <c r="N1243" i="21"/>
  <c r="K1244" i="21"/>
  <c r="N1244" i="21"/>
  <c r="K1245" i="21"/>
  <c r="N1245" i="21"/>
  <c r="K1246" i="21"/>
  <c r="N1246" i="21"/>
  <c r="K1247" i="21"/>
  <c r="N1247" i="21"/>
  <c r="K1248" i="21"/>
  <c r="N1248" i="21"/>
  <c r="K1249" i="21"/>
  <c r="N1249" i="21"/>
  <c r="K1250" i="21"/>
  <c r="N1250" i="21"/>
  <c r="K1251" i="21"/>
  <c r="N1251" i="21"/>
  <c r="K1252" i="21"/>
  <c r="N1252" i="21"/>
  <c r="K1253" i="21"/>
  <c r="N1253" i="21"/>
  <c r="K1254" i="21"/>
  <c r="N1254" i="21"/>
  <c r="K1255" i="21"/>
  <c r="N1255" i="21"/>
  <c r="K1256" i="21"/>
  <c r="N1256" i="21"/>
  <c r="K1257" i="21"/>
  <c r="N1257" i="21"/>
  <c r="K1258" i="21"/>
  <c r="N1258" i="21"/>
  <c r="K1259" i="21"/>
  <c r="N1259" i="21"/>
  <c r="K1260" i="21"/>
  <c r="N1260" i="21"/>
  <c r="K1261" i="21"/>
  <c r="N1261" i="21"/>
  <c r="H47" i="5"/>
  <c r="D48" i="5"/>
  <c r="E48" i="5"/>
  <c r="F48" i="5"/>
  <c r="H48" i="5"/>
  <c r="D49" i="5"/>
  <c r="E49" i="5"/>
  <c r="F49" i="5"/>
  <c r="E53" i="5"/>
  <c r="Y2" i="16"/>
  <c r="Z2" i="16"/>
  <c r="AE2" i="16"/>
  <c r="AF2" i="16"/>
  <c r="AK2" i="16"/>
  <c r="AL2" i="16"/>
  <c r="AU2" i="16"/>
  <c r="AV2" i="16"/>
  <c r="Y3" i="16"/>
  <c r="Z3" i="16"/>
  <c r="AE3" i="16"/>
  <c r="AF3" i="16"/>
  <c r="AK3" i="16"/>
  <c r="AL3" i="16"/>
  <c r="AU3" i="16"/>
  <c r="AV3" i="16"/>
  <c r="Y4" i="16"/>
  <c r="Z4" i="16"/>
  <c r="AE4" i="16"/>
  <c r="AF4" i="16"/>
  <c r="AK4" i="16"/>
  <c r="AL4" i="16"/>
  <c r="AU4" i="16"/>
  <c r="AV4" i="16"/>
  <c r="Y5" i="16"/>
  <c r="Z5" i="16"/>
  <c r="AE5" i="16"/>
  <c r="AF5" i="16"/>
  <c r="AK5" i="16"/>
  <c r="AL5" i="16"/>
  <c r="AU5" i="16"/>
  <c r="AV5" i="16"/>
  <c r="Y6" i="16"/>
  <c r="Z6" i="16"/>
  <c r="AE6" i="16"/>
  <c r="AF6" i="16"/>
  <c r="AK6" i="16"/>
  <c r="AL6" i="16"/>
  <c r="AU6" i="16"/>
  <c r="AV6" i="16"/>
  <c r="Y7" i="16"/>
  <c r="Z7" i="16"/>
  <c r="AE7" i="16"/>
  <c r="AF7" i="16"/>
  <c r="AK7" i="16"/>
  <c r="AL7" i="16"/>
  <c r="AU7" i="16"/>
  <c r="AV7" i="16"/>
  <c r="Y8" i="16"/>
  <c r="Z8" i="16"/>
  <c r="AE8" i="16"/>
  <c r="AF8" i="16"/>
  <c r="AK8" i="16"/>
  <c r="AL8" i="16"/>
  <c r="AU8" i="16"/>
  <c r="AV8" i="16"/>
  <c r="Y9" i="16"/>
  <c r="Z9" i="16"/>
  <c r="AE9" i="16"/>
  <c r="AF9" i="16"/>
  <c r="AK9" i="16"/>
  <c r="AL9" i="16"/>
  <c r="AU9" i="16"/>
  <c r="AV9" i="16"/>
  <c r="Y10" i="16"/>
  <c r="Z10" i="16"/>
  <c r="AE10" i="16"/>
  <c r="AF10" i="16"/>
  <c r="Y11" i="16"/>
  <c r="Z11" i="16"/>
  <c r="AE11" i="16"/>
  <c r="AF11" i="16"/>
  <c r="Y12" i="16"/>
  <c r="Z12" i="16"/>
  <c r="AE12" i="16"/>
  <c r="AF12" i="16"/>
  <c r="Y13" i="16"/>
  <c r="Z13" i="16"/>
  <c r="AE13" i="16"/>
  <c r="AF13" i="16"/>
  <c r="Y14" i="16"/>
  <c r="Z14" i="16"/>
  <c r="AE14" i="16"/>
  <c r="AF14" i="16"/>
  <c r="Y15" i="16"/>
  <c r="Z15" i="16"/>
  <c r="AE15" i="16"/>
  <c r="AF15" i="16"/>
  <c r="Y16" i="16"/>
  <c r="Z16" i="16"/>
  <c r="AE16" i="16"/>
  <c r="AF16" i="16"/>
  <c r="Y17" i="16"/>
  <c r="Z17" i="16"/>
  <c r="AE17" i="16"/>
  <c r="AF17" i="16"/>
  <c r="Y18" i="16"/>
  <c r="Z18" i="16"/>
  <c r="AE18" i="16"/>
  <c r="AF18" i="16"/>
  <c r="Y19" i="16"/>
  <c r="Z19" i="16"/>
  <c r="AE19" i="16"/>
  <c r="AF19" i="16"/>
  <c r="Y20" i="16"/>
  <c r="Z20" i="16"/>
  <c r="AE20" i="16"/>
  <c r="AF20" i="16"/>
  <c r="Y21" i="16"/>
  <c r="Z21" i="16"/>
  <c r="AE21" i="16"/>
  <c r="AF21" i="16"/>
  <c r="Y22" i="16"/>
  <c r="Z22" i="16"/>
  <c r="AE22" i="16"/>
  <c r="AF22" i="16"/>
  <c r="Y23" i="16"/>
  <c r="Z23" i="16"/>
  <c r="AE23" i="16"/>
  <c r="AF23" i="16"/>
  <c r="Y24" i="16"/>
  <c r="Z24" i="16"/>
  <c r="AE24" i="16"/>
  <c r="AF24" i="16"/>
  <c r="Y25" i="16"/>
  <c r="Z25" i="16"/>
  <c r="AE25" i="16"/>
  <c r="AF25" i="16"/>
  <c r="Y26" i="16"/>
  <c r="Z26" i="16"/>
  <c r="AE26" i="16"/>
  <c r="AF26" i="16"/>
  <c r="Y27" i="16"/>
  <c r="Z27" i="16"/>
  <c r="AE27" i="16"/>
  <c r="AF27" i="16"/>
  <c r="Y28" i="16"/>
  <c r="Z28" i="16"/>
  <c r="AE28" i="16"/>
  <c r="AF28" i="16"/>
  <c r="Y29" i="16"/>
  <c r="Z29" i="16"/>
  <c r="AE29" i="16"/>
  <c r="AF29" i="16"/>
  <c r="Y30" i="16"/>
  <c r="Z30" i="16"/>
  <c r="AE30" i="16"/>
  <c r="AF30" i="16"/>
  <c r="Y31" i="16"/>
  <c r="Z31" i="16"/>
  <c r="AE31" i="16"/>
  <c r="AF31" i="16"/>
  <c r="Y32" i="16"/>
  <c r="Z32" i="16"/>
  <c r="AE32" i="16"/>
  <c r="AF32" i="16"/>
  <c r="Y33" i="16"/>
  <c r="Z33" i="16"/>
  <c r="AE33" i="16"/>
  <c r="AF33" i="16"/>
  <c r="Y34" i="16"/>
  <c r="Z34" i="16"/>
  <c r="AE34" i="16"/>
  <c r="AF34" i="16"/>
  <c r="Y35" i="16"/>
  <c r="Z35" i="16"/>
  <c r="AE35" i="16"/>
  <c r="AF35" i="16"/>
  <c r="Y36" i="16"/>
  <c r="Z36" i="16"/>
  <c r="AE36" i="16"/>
  <c r="AF36" i="16"/>
  <c r="Y37" i="16"/>
  <c r="Z37" i="16"/>
  <c r="AE37" i="16"/>
  <c r="AF37" i="16"/>
  <c r="Y38" i="16"/>
  <c r="Z38" i="16"/>
  <c r="AE38" i="16"/>
  <c r="AF38" i="16"/>
  <c r="Y39" i="16"/>
  <c r="Z39" i="16"/>
  <c r="AE39" i="16"/>
  <c r="AF39" i="16"/>
  <c r="Y40" i="16"/>
  <c r="Z40" i="16"/>
  <c r="AE40" i="16"/>
  <c r="AF40" i="16"/>
  <c r="Y41" i="16"/>
  <c r="Z41" i="16"/>
  <c r="AE41" i="16"/>
  <c r="AF41" i="16"/>
  <c r="Y42" i="16"/>
  <c r="Z42" i="16"/>
  <c r="AE42" i="16"/>
  <c r="AF42" i="16"/>
  <c r="Y43" i="16"/>
  <c r="Z43" i="16"/>
  <c r="AE43" i="16"/>
  <c r="AF43" i="16"/>
  <c r="Y44" i="16"/>
  <c r="Z44" i="16"/>
  <c r="AE44" i="16"/>
  <c r="AF44" i="16"/>
  <c r="Y45" i="16"/>
  <c r="Z45" i="16"/>
  <c r="AE45" i="16"/>
  <c r="AF45" i="16"/>
  <c r="Y46" i="16"/>
  <c r="Z46" i="16"/>
  <c r="AE46" i="16"/>
  <c r="AF46" i="16"/>
  <c r="Y47" i="16"/>
  <c r="Z47" i="16"/>
  <c r="AE47" i="16"/>
  <c r="AF47" i="16"/>
  <c r="Y48" i="16"/>
  <c r="Z48" i="16"/>
  <c r="AE48" i="16"/>
  <c r="AF48" i="16"/>
  <c r="Y49" i="16"/>
  <c r="Z49" i="16"/>
  <c r="AE49" i="16"/>
  <c r="AF49" i="16"/>
  <c r="Y50" i="16"/>
  <c r="Z50" i="16"/>
  <c r="AE50" i="16"/>
  <c r="AF50" i="16"/>
  <c r="Y51" i="16"/>
  <c r="Z51" i="16"/>
  <c r="AE51" i="16"/>
  <c r="AF51" i="16"/>
  <c r="Y52" i="16"/>
  <c r="Z52" i="16"/>
  <c r="AE52" i="16"/>
  <c r="AF52" i="16"/>
  <c r="Y53" i="16"/>
  <c r="Z53" i="16"/>
  <c r="AE53" i="16"/>
  <c r="AF53" i="16"/>
  <c r="Y54" i="16"/>
  <c r="Z54" i="16"/>
  <c r="AE54" i="16"/>
  <c r="AF54" i="16"/>
  <c r="Y55" i="16"/>
  <c r="Z55" i="16"/>
  <c r="AE55" i="16"/>
  <c r="AF55" i="16"/>
  <c r="Y56" i="16"/>
  <c r="Z56" i="16"/>
  <c r="AE56" i="16"/>
  <c r="AF56" i="16"/>
  <c r="Y57" i="16"/>
  <c r="Z57" i="16"/>
  <c r="AE57" i="16"/>
  <c r="AF57" i="16"/>
  <c r="Y58" i="16"/>
  <c r="Z58" i="16"/>
  <c r="AE58" i="16"/>
  <c r="AF58" i="16"/>
  <c r="Y59" i="16"/>
  <c r="Z59" i="16"/>
  <c r="AE59" i="16"/>
  <c r="AF59" i="16"/>
  <c r="Y60" i="16"/>
  <c r="Z60" i="16"/>
  <c r="AE60" i="16"/>
  <c r="AF60" i="16"/>
  <c r="Y61" i="16"/>
  <c r="Z61" i="16"/>
  <c r="AE61" i="16"/>
  <c r="AF61" i="16"/>
  <c r="Z62" i="16"/>
  <c r="AF62" i="16"/>
  <c r="Z63" i="16"/>
  <c r="AF63" i="16"/>
  <c r="Z64" i="16"/>
  <c r="AF64" i="16"/>
  <c r="Z65" i="16"/>
  <c r="AF65" i="16"/>
  <c r="Z66" i="16"/>
  <c r="AF66" i="16"/>
  <c r="Z67" i="16"/>
  <c r="AF67" i="16"/>
  <c r="Z68" i="16"/>
  <c r="AF68" i="16"/>
  <c r="Z69" i="16"/>
  <c r="AF69" i="16"/>
  <c r="Z70" i="16"/>
  <c r="AF70" i="16"/>
  <c r="Z71" i="16"/>
  <c r="AF71" i="16"/>
  <c r="Z72" i="16"/>
  <c r="AF72" i="16"/>
  <c r="Z73" i="16"/>
  <c r="AF73" i="16"/>
  <c r="Y74" i="16"/>
  <c r="Z74" i="16"/>
  <c r="AE74" i="16"/>
  <c r="AF74" i="16"/>
  <c r="Y75" i="16"/>
  <c r="Z75" i="16"/>
  <c r="AE75" i="16"/>
  <c r="AF75" i="16"/>
  <c r="Y76" i="16"/>
  <c r="Z76" i="16"/>
  <c r="AE76" i="16"/>
  <c r="AF76" i="16"/>
  <c r="Y77" i="16"/>
  <c r="Z77" i="16"/>
  <c r="AE77" i="16"/>
  <c r="AF77" i="16"/>
  <c r="Y78" i="16"/>
  <c r="Z78" i="16"/>
  <c r="AE78" i="16"/>
  <c r="AF78" i="16"/>
  <c r="Y79" i="16"/>
  <c r="Z79" i="16"/>
  <c r="AE79" i="16"/>
  <c r="AF79" i="16"/>
  <c r="Y80" i="16"/>
  <c r="Z80" i="16"/>
  <c r="AE80" i="16"/>
  <c r="AF80" i="16"/>
  <c r="Y81" i="16"/>
  <c r="Z81" i="16"/>
  <c r="AE81" i="16"/>
  <c r="AF81" i="16"/>
  <c r="Y82" i="16"/>
  <c r="Z82" i="16"/>
  <c r="AE82" i="16"/>
  <c r="AF82" i="16"/>
  <c r="Y83" i="16"/>
  <c r="Z83" i="16"/>
  <c r="AE83" i="16"/>
  <c r="AF83" i="16"/>
  <c r="Y84" i="16"/>
  <c r="Z84" i="16"/>
  <c r="AE84" i="16"/>
  <c r="AF84" i="16"/>
  <c r="Y85" i="16"/>
  <c r="Z85" i="16"/>
  <c r="AE85" i="16"/>
  <c r="AF85" i="16"/>
  <c r="Y86" i="16"/>
  <c r="Z86" i="16"/>
  <c r="AE86" i="16"/>
  <c r="AF86" i="16"/>
  <c r="Y87" i="16"/>
  <c r="Z87" i="16"/>
  <c r="AE87" i="16"/>
  <c r="AF87" i="16"/>
  <c r="Y88" i="16"/>
  <c r="Z88" i="16"/>
  <c r="AE88" i="16"/>
  <c r="AF88" i="16"/>
  <c r="Y89" i="16"/>
  <c r="Z89" i="16"/>
  <c r="AE89" i="16"/>
  <c r="AF89" i="16"/>
  <c r="Y90" i="16"/>
  <c r="Z90" i="16"/>
  <c r="AE90" i="16"/>
  <c r="AF90" i="16"/>
  <c r="Y91" i="16"/>
  <c r="Z91" i="16"/>
  <c r="AE91" i="16"/>
  <c r="AF91" i="16"/>
  <c r="Y92" i="16"/>
  <c r="Z92" i="16"/>
  <c r="AE92" i="16"/>
  <c r="AF92" i="16"/>
  <c r="Y93" i="16"/>
  <c r="Z93" i="16"/>
  <c r="AE93" i="16"/>
  <c r="AF93" i="16"/>
  <c r="Y94" i="16"/>
  <c r="Z94" i="16"/>
  <c r="AE94" i="16"/>
  <c r="AF94" i="16"/>
  <c r="Y95" i="16"/>
  <c r="Z95" i="16"/>
  <c r="AE95" i="16"/>
  <c r="AF95" i="16"/>
  <c r="Y96" i="16"/>
  <c r="Z96" i="16"/>
  <c r="AE96" i="16"/>
  <c r="AF96" i="16"/>
  <c r="Y97" i="16"/>
  <c r="Z97" i="16"/>
  <c r="AE97" i="16"/>
  <c r="AF97" i="16"/>
  <c r="Y98" i="16"/>
  <c r="Z98" i="16"/>
  <c r="AE98" i="16"/>
  <c r="AF98" i="16"/>
  <c r="Y99" i="16"/>
  <c r="Z99" i="16"/>
  <c r="AE99" i="16"/>
  <c r="AF99" i="16"/>
  <c r="Y100" i="16"/>
  <c r="Z100" i="16"/>
  <c r="AE100" i="16"/>
  <c r="AF100" i="16"/>
  <c r="Y101" i="16"/>
  <c r="Z101" i="16"/>
  <c r="AE101" i="16"/>
  <c r="AF101" i="16"/>
  <c r="Y102" i="16"/>
  <c r="Z102" i="16"/>
  <c r="AE102" i="16"/>
  <c r="AF102" i="16"/>
  <c r="Y103" i="16"/>
  <c r="Z103" i="16"/>
  <c r="AE103" i="16"/>
  <c r="AF103" i="16"/>
  <c r="Y104" i="16"/>
  <c r="Z104" i="16"/>
  <c r="AE104" i="16"/>
  <c r="AF104" i="16"/>
  <c r="Y105" i="16"/>
  <c r="Z105" i="16"/>
  <c r="AE105" i="16"/>
  <c r="AF105" i="16"/>
  <c r="Y106" i="16"/>
  <c r="Z106" i="16"/>
  <c r="AE106" i="16"/>
  <c r="AF106" i="16"/>
  <c r="Y107" i="16"/>
  <c r="Z107" i="16"/>
  <c r="AE107" i="16"/>
  <c r="AF107" i="16"/>
  <c r="Y108" i="16"/>
  <c r="Z108" i="16"/>
  <c r="AE108" i="16"/>
  <c r="AF108" i="16"/>
  <c r="Y109" i="16"/>
  <c r="Z109" i="16"/>
  <c r="AE109" i="16"/>
  <c r="AF109" i="16"/>
  <c r="Y110" i="16"/>
  <c r="Z110" i="16"/>
  <c r="AE110" i="16"/>
  <c r="AF110" i="16"/>
  <c r="Y111" i="16"/>
  <c r="Z111" i="16"/>
  <c r="AE111" i="16"/>
  <c r="AF111" i="16"/>
  <c r="Y112" i="16"/>
  <c r="Z112" i="16"/>
  <c r="AE112" i="16"/>
  <c r="AF112" i="16"/>
  <c r="Y113" i="16"/>
  <c r="Z113" i="16"/>
  <c r="AE113" i="16"/>
  <c r="AF113" i="16"/>
  <c r="Y114" i="16"/>
  <c r="Z114" i="16"/>
  <c r="AE114" i="16"/>
  <c r="AF114" i="16"/>
  <c r="Y115" i="16"/>
  <c r="Z115" i="16"/>
  <c r="AE115" i="16"/>
  <c r="AF115" i="16"/>
  <c r="Y116" i="16"/>
  <c r="Z116" i="16"/>
  <c r="AE116" i="16"/>
  <c r="AF116" i="16"/>
  <c r="Y117" i="16"/>
  <c r="Z117" i="16"/>
  <c r="AE117" i="16"/>
  <c r="AF117" i="16"/>
  <c r="Y118" i="16"/>
  <c r="Z118" i="16"/>
  <c r="AE118" i="16"/>
  <c r="AF118" i="16"/>
  <c r="Y119" i="16"/>
  <c r="Z119" i="16"/>
  <c r="AE119" i="16"/>
  <c r="AF119" i="16"/>
  <c r="Y120" i="16"/>
  <c r="Z120" i="16"/>
  <c r="AE120" i="16"/>
  <c r="AF120" i="16"/>
  <c r="Y121" i="16"/>
  <c r="Z121" i="16"/>
  <c r="AE121" i="16"/>
  <c r="AF121" i="16"/>
  <c r="Y122" i="16"/>
  <c r="Z122" i="16"/>
  <c r="AE122" i="16"/>
  <c r="AF122" i="16"/>
  <c r="Y123" i="16"/>
  <c r="Z123" i="16"/>
  <c r="AE123" i="16"/>
  <c r="AF123" i="16"/>
  <c r="Y124" i="16"/>
  <c r="Z124" i="16"/>
  <c r="AE124" i="16"/>
  <c r="AF124" i="16"/>
  <c r="Y125" i="16"/>
  <c r="Z125" i="16"/>
  <c r="AE125" i="16"/>
  <c r="AF125" i="16"/>
  <c r="Y126" i="16"/>
  <c r="Z126" i="16"/>
  <c r="AE126" i="16"/>
  <c r="AF126" i="16"/>
  <c r="Y127" i="16"/>
  <c r="Z127" i="16"/>
  <c r="AE127" i="16"/>
  <c r="AF127" i="16"/>
  <c r="Y128" i="16"/>
  <c r="Z128" i="16"/>
  <c r="AE128" i="16"/>
  <c r="AF128" i="16"/>
  <c r="Y129" i="16"/>
  <c r="Z129" i="16"/>
  <c r="AE129" i="16"/>
  <c r="AF129" i="16"/>
  <c r="Y130" i="16"/>
  <c r="Z130" i="16"/>
  <c r="AE130" i="16"/>
  <c r="AF130" i="16"/>
  <c r="Y131" i="16"/>
  <c r="Z131" i="16"/>
  <c r="AE131" i="16"/>
  <c r="AF131" i="16"/>
  <c r="Y132" i="16"/>
  <c r="Z132" i="16"/>
  <c r="AE132" i="16"/>
  <c r="AF132" i="16"/>
  <c r="Y133" i="16"/>
  <c r="Z133" i="16"/>
  <c r="AE133" i="16"/>
  <c r="AF133" i="16"/>
  <c r="Y134" i="16"/>
  <c r="Z134" i="16"/>
  <c r="AE134" i="16"/>
  <c r="AF134" i="16"/>
  <c r="Y135" i="16"/>
  <c r="Z135" i="16"/>
  <c r="AE135" i="16"/>
  <c r="AF135" i="16"/>
  <c r="Y136" i="16"/>
  <c r="Z136" i="16"/>
  <c r="AE136" i="16"/>
  <c r="AF136" i="16"/>
  <c r="Y137" i="16"/>
  <c r="Z137" i="16"/>
  <c r="AE137" i="16"/>
  <c r="AF137" i="16"/>
  <c r="Y138" i="16"/>
  <c r="Z138" i="16"/>
  <c r="AE138" i="16"/>
  <c r="AF138" i="16"/>
  <c r="Y139" i="16"/>
  <c r="Z139" i="16"/>
  <c r="AE139" i="16"/>
  <c r="AF139" i="16"/>
  <c r="Y140" i="16"/>
  <c r="Z140" i="16"/>
  <c r="AE140" i="16"/>
  <c r="AF140" i="16"/>
  <c r="Y141" i="16"/>
  <c r="Z141" i="16"/>
  <c r="AE141" i="16"/>
  <c r="AF141" i="16"/>
  <c r="Y142" i="16"/>
  <c r="Z142" i="16"/>
  <c r="AE142" i="16"/>
  <c r="AF142" i="16"/>
  <c r="Y143" i="16"/>
  <c r="Z143" i="16"/>
  <c r="AE143" i="16"/>
  <c r="AF143" i="16"/>
  <c r="Y144" i="16"/>
  <c r="Z144" i="16"/>
  <c r="AE144" i="16"/>
  <c r="AF144" i="16"/>
  <c r="Y145" i="16"/>
  <c r="Z145" i="16"/>
  <c r="AE145" i="16"/>
  <c r="AF145" i="16"/>
  <c r="Y146" i="16"/>
  <c r="Z146" i="16"/>
  <c r="AE146" i="16"/>
  <c r="AF146" i="16"/>
  <c r="Y147" i="16"/>
  <c r="Z147" i="16"/>
  <c r="AE147" i="16"/>
  <c r="AF147" i="16"/>
  <c r="Y148" i="16"/>
  <c r="Z148" i="16"/>
  <c r="AE148" i="16"/>
  <c r="AF148" i="16"/>
  <c r="Y149" i="16"/>
  <c r="Z149" i="16"/>
  <c r="AE149" i="16"/>
  <c r="AF149" i="16"/>
  <c r="Y150" i="16"/>
  <c r="Z150" i="16"/>
  <c r="AE150" i="16"/>
  <c r="AF150" i="16"/>
  <c r="Y151" i="16"/>
  <c r="Z151" i="16"/>
  <c r="AE151" i="16"/>
  <c r="AF151" i="16"/>
  <c r="Y152" i="16"/>
  <c r="Z152" i="16"/>
  <c r="AE152" i="16"/>
  <c r="AF152" i="16"/>
  <c r="Y153" i="16"/>
  <c r="Z153" i="16"/>
  <c r="AE153" i="16"/>
  <c r="AF153" i="16"/>
  <c r="Y154" i="16"/>
  <c r="Z154" i="16"/>
  <c r="AE154" i="16"/>
  <c r="AF154" i="16"/>
  <c r="Y155" i="16"/>
  <c r="Z155" i="16"/>
  <c r="AE155" i="16"/>
  <c r="AF155" i="16"/>
  <c r="Y156" i="16"/>
  <c r="Z156" i="16"/>
  <c r="AE156" i="16"/>
  <c r="AF156" i="16"/>
  <c r="Y157" i="16"/>
  <c r="Z157" i="16"/>
  <c r="AE157" i="16"/>
  <c r="AF157" i="16"/>
  <c r="Y158" i="16"/>
  <c r="Z158" i="16"/>
  <c r="AE158" i="16"/>
  <c r="AF158" i="16"/>
  <c r="Y159" i="16"/>
  <c r="Z159" i="16"/>
  <c r="AE159" i="16"/>
  <c r="AF159" i="16"/>
  <c r="Y160" i="16"/>
  <c r="Z160" i="16"/>
  <c r="AE160" i="16"/>
  <c r="AF160" i="16"/>
  <c r="Y161" i="16"/>
  <c r="Z161" i="16"/>
  <c r="AE161" i="16"/>
  <c r="AF161" i="16"/>
  <c r="Y162" i="16"/>
  <c r="Z162" i="16"/>
  <c r="AE162" i="16"/>
  <c r="AF162" i="16"/>
  <c r="Y163" i="16"/>
  <c r="Z163" i="16"/>
  <c r="AE163" i="16"/>
  <c r="AF163" i="16"/>
  <c r="Y164" i="16"/>
  <c r="Z164" i="16"/>
  <c r="AE164" i="16"/>
  <c r="AF164" i="16"/>
  <c r="Y165" i="16"/>
  <c r="Z165" i="16"/>
  <c r="AE165" i="16"/>
  <c r="AF165" i="16"/>
  <c r="Y166" i="16"/>
  <c r="Z166" i="16"/>
  <c r="AE166" i="16"/>
  <c r="AF166" i="16"/>
  <c r="Y167" i="16"/>
  <c r="Z167" i="16"/>
  <c r="AE167" i="16"/>
  <c r="AF167" i="16"/>
  <c r="Y168" i="16"/>
  <c r="Z168" i="16"/>
  <c r="AE168" i="16"/>
  <c r="AF168" i="16"/>
  <c r="Y169" i="16"/>
  <c r="Z169" i="16"/>
  <c r="AE169" i="16"/>
  <c r="AF169" i="16"/>
  <c r="Y170" i="16"/>
  <c r="Z170" i="16"/>
  <c r="AE170" i="16"/>
  <c r="AF170" i="16"/>
  <c r="Y171" i="16"/>
  <c r="Z171" i="16"/>
  <c r="AE171" i="16"/>
  <c r="AF171" i="16"/>
  <c r="Y172" i="16"/>
  <c r="Z172" i="16"/>
  <c r="AE172" i="16"/>
  <c r="AF172" i="16"/>
  <c r="Y173" i="16"/>
  <c r="Z173" i="16"/>
  <c r="AE173" i="16"/>
  <c r="AF173" i="16"/>
  <c r="Y174" i="16"/>
  <c r="Z174" i="16"/>
  <c r="AE174" i="16"/>
  <c r="AF174" i="16"/>
  <c r="Y175" i="16"/>
  <c r="Z175" i="16"/>
  <c r="AE175" i="16"/>
  <c r="AF175" i="16"/>
  <c r="Y176" i="16"/>
  <c r="Z176" i="16"/>
  <c r="AE176" i="16"/>
  <c r="AF176" i="16"/>
  <c r="Y177" i="16"/>
  <c r="Z177" i="16"/>
  <c r="AE177" i="16"/>
  <c r="AF177" i="16"/>
  <c r="Y178" i="16"/>
  <c r="Z178" i="16"/>
  <c r="AE178" i="16"/>
  <c r="AF178" i="16"/>
  <c r="Y179" i="16"/>
  <c r="Z179" i="16"/>
  <c r="AE179" i="16"/>
  <c r="AF179" i="16"/>
  <c r="Y180" i="16"/>
  <c r="Z180" i="16"/>
  <c r="AE180" i="16"/>
  <c r="AF180" i="16"/>
  <c r="Y181" i="16"/>
  <c r="Z181" i="16"/>
  <c r="AE181" i="16"/>
  <c r="AF181" i="16"/>
  <c r="Y182" i="16"/>
  <c r="Z182" i="16"/>
  <c r="AE182" i="16"/>
  <c r="AF182" i="16"/>
  <c r="Y183" i="16"/>
  <c r="Z183" i="16"/>
  <c r="AE183" i="16"/>
  <c r="AF183" i="16"/>
  <c r="Y184" i="16"/>
  <c r="AE184" i="16"/>
  <c r="Y185" i="16"/>
  <c r="AE185" i="16"/>
  <c r="Y186" i="16"/>
  <c r="AE186" i="16"/>
  <c r="Y187" i="16"/>
  <c r="AE187" i="16"/>
  <c r="Y188" i="16"/>
  <c r="AE188" i="16"/>
  <c r="Y189" i="16"/>
  <c r="AE189" i="16"/>
  <c r="Y190" i="16"/>
  <c r="AE190" i="16"/>
  <c r="Y191" i="16"/>
  <c r="AE191" i="16"/>
  <c r="Y192" i="16"/>
  <c r="AE192" i="16"/>
  <c r="Y193" i="16"/>
  <c r="AE193" i="16"/>
  <c r="Y194" i="16"/>
  <c r="AE194" i="16"/>
  <c r="Y195" i="16"/>
  <c r="AE195" i="16"/>
  <c r="Y196" i="16"/>
  <c r="AE196" i="16"/>
  <c r="Y197" i="16"/>
  <c r="AE197" i="16"/>
  <c r="Y198" i="16"/>
  <c r="AE198" i="16"/>
  <c r="Y199" i="16"/>
  <c r="AE199" i="16"/>
  <c r="Y200" i="16"/>
  <c r="AE200" i="16"/>
  <c r="Y201" i="16"/>
  <c r="AE201" i="16"/>
  <c r="Y202" i="16"/>
  <c r="AE202" i="16"/>
  <c r="Y203" i="16"/>
  <c r="AE203" i="16"/>
  <c r="Y204" i="16"/>
  <c r="AE204" i="16"/>
  <c r="Y205" i="16"/>
  <c r="AE205" i="16"/>
  <c r="Y206" i="16"/>
  <c r="AE206" i="16"/>
  <c r="Y207" i="16"/>
  <c r="AE207" i="16"/>
  <c r="Y208" i="16"/>
  <c r="AE208" i="16"/>
  <c r="Y209" i="16"/>
  <c r="AE209" i="16"/>
  <c r="Y210" i="16"/>
  <c r="AE210" i="16"/>
  <c r="Y211" i="16"/>
  <c r="AE211" i="16"/>
  <c r="Y212" i="16"/>
  <c r="AE212" i="16"/>
  <c r="Y213" i="16"/>
  <c r="AE213" i="16"/>
  <c r="Y214" i="16"/>
  <c r="AE214" i="16"/>
  <c r="Y215" i="16"/>
  <c r="AE215" i="16"/>
  <c r="Y216" i="16"/>
  <c r="AE216" i="16"/>
  <c r="Y217" i="16"/>
  <c r="AE217" i="16"/>
  <c r="Y218" i="16"/>
  <c r="AE218" i="16"/>
  <c r="Y219" i="16"/>
  <c r="AE219" i="16"/>
  <c r="Z220" i="16"/>
  <c r="AF220" i="16"/>
  <c r="Z221" i="16"/>
  <c r="AF221" i="16"/>
  <c r="Z222" i="16"/>
  <c r="AF222" i="16"/>
  <c r="Z223" i="16"/>
  <c r="AF223" i="16"/>
  <c r="Z224" i="16"/>
  <c r="AF224" i="16"/>
  <c r="Z225" i="16"/>
  <c r="AF225" i="16"/>
  <c r="Z226" i="16"/>
  <c r="AF226" i="16"/>
  <c r="Z227" i="16"/>
  <c r="AF227" i="16"/>
  <c r="Z228" i="16"/>
  <c r="AF228" i="16"/>
  <c r="Z229" i="16"/>
  <c r="AF229" i="16"/>
  <c r="Z230" i="16"/>
  <c r="AF230" i="16"/>
  <c r="Z231" i="16"/>
  <c r="AF231" i="16"/>
  <c r="Z232" i="16"/>
  <c r="AF232" i="16"/>
  <c r="Z233" i="16"/>
  <c r="AF233" i="16"/>
  <c r="Z234" i="16"/>
  <c r="AF234" i="16"/>
  <c r="Z235" i="16"/>
  <c r="AF235" i="16"/>
  <c r="Z236" i="16"/>
  <c r="AF236" i="16"/>
  <c r="Z237" i="16"/>
  <c r="AF237" i="16"/>
  <c r="Z238" i="16"/>
  <c r="AF238" i="16"/>
  <c r="Z239" i="16"/>
  <c r="AF239" i="16"/>
  <c r="Z240" i="16"/>
  <c r="AF240" i="16"/>
  <c r="Z241" i="16"/>
  <c r="AF241" i="16"/>
  <c r="Z242" i="16"/>
  <c r="AF242" i="16"/>
  <c r="Z243" i="16"/>
  <c r="AF243" i="16"/>
  <c r="Y244" i="16"/>
  <c r="AE244" i="16"/>
  <c r="Y245" i="16"/>
  <c r="AE245" i="16"/>
  <c r="Y246" i="16"/>
  <c r="AE246" i="16"/>
  <c r="Y247" i="16"/>
  <c r="AE247" i="16"/>
  <c r="Y248" i="16"/>
  <c r="AE248" i="16"/>
  <c r="Y249" i="16"/>
  <c r="AE249" i="16"/>
  <c r="Y250" i="16"/>
  <c r="AE250" i="16"/>
  <c r="Y251" i="16"/>
  <c r="AE251" i="16"/>
  <c r="Y252" i="16"/>
  <c r="AE252" i="16"/>
  <c r="Y253" i="16"/>
  <c r="AE253" i="16"/>
  <c r="Y254" i="16"/>
  <c r="AE254" i="16"/>
  <c r="Y255" i="16"/>
  <c r="AE255" i="16"/>
  <c r="Y256" i="16"/>
  <c r="AE256" i="16"/>
  <c r="Y257" i="16"/>
  <c r="AE257" i="16"/>
  <c r="Y258" i="16"/>
  <c r="AE258" i="16"/>
  <c r="Y259" i="16"/>
  <c r="AE259" i="16"/>
  <c r="Y260" i="16"/>
  <c r="AE260" i="16"/>
  <c r="Y261" i="16"/>
  <c r="AE261" i="16"/>
  <c r="Y262" i="16"/>
  <c r="AE262" i="16"/>
  <c r="Y263" i="16"/>
  <c r="AE263" i="16"/>
  <c r="Y264" i="16"/>
  <c r="AE264" i="16"/>
  <c r="Y265" i="16"/>
  <c r="AE265" i="16"/>
  <c r="Y266" i="16"/>
  <c r="AE266" i="16"/>
  <c r="Y267" i="16"/>
  <c r="AE267" i="16"/>
  <c r="Y268" i="16"/>
  <c r="AE268" i="16"/>
  <c r="Y269" i="16"/>
  <c r="AE269" i="16"/>
  <c r="Y270" i="16"/>
  <c r="AE270" i="16"/>
  <c r="Z271" i="16"/>
  <c r="AF271" i="16"/>
  <c r="Z272" i="16"/>
  <c r="AF272" i="16"/>
  <c r="Z273" i="16"/>
  <c r="AF273" i="16"/>
  <c r="Z274" i="16"/>
  <c r="AF274" i="16"/>
  <c r="Z275" i="16"/>
  <c r="AF275" i="16"/>
  <c r="Z276" i="16"/>
  <c r="AF276" i="16"/>
  <c r="Z277" i="16"/>
  <c r="AF277" i="16"/>
  <c r="Z278" i="16"/>
  <c r="AF278" i="16"/>
  <c r="Z279" i="16"/>
  <c r="AF279" i="16"/>
  <c r="Z280" i="16"/>
  <c r="AF280" i="16"/>
  <c r="Z281" i="16"/>
  <c r="AF281" i="16"/>
  <c r="Z282" i="16"/>
  <c r="AF282" i="16"/>
  <c r="Z283" i="16"/>
  <c r="AF283" i="16"/>
  <c r="Z284" i="16"/>
  <c r="AF284" i="16"/>
  <c r="Z285" i="16"/>
  <c r="AF285" i="16"/>
  <c r="Z286" i="16"/>
  <c r="AF286" i="16"/>
  <c r="Z287" i="16"/>
  <c r="AF287" i="16"/>
  <c r="Z288" i="16"/>
  <c r="AF288" i="16"/>
  <c r="Z289" i="16"/>
  <c r="AF289" i="16"/>
  <c r="Z290" i="16"/>
  <c r="AF290" i="16"/>
  <c r="Z291" i="16"/>
  <c r="AF291" i="16"/>
  <c r="Z292" i="16"/>
  <c r="AF292" i="16"/>
  <c r="Z293" i="16"/>
  <c r="AF293" i="16"/>
  <c r="Z294" i="16"/>
  <c r="AF294" i="16"/>
  <c r="Z295" i="16"/>
  <c r="AF295" i="16"/>
  <c r="Z296" i="16"/>
  <c r="AF296" i="16"/>
  <c r="Z297" i="16"/>
  <c r="AF297" i="16"/>
  <c r="Z298" i="16"/>
  <c r="AF298" i="16"/>
  <c r="Z299" i="16"/>
  <c r="AF299" i="16"/>
  <c r="Z300" i="16"/>
  <c r="AF300" i="16"/>
  <c r="Z301" i="16"/>
  <c r="AF301" i="16"/>
  <c r="Z302" i="16"/>
  <c r="AF302" i="16"/>
  <c r="Z303" i="16"/>
  <c r="AF303" i="16"/>
  <c r="Z304" i="16"/>
  <c r="AF304" i="16"/>
  <c r="Z305" i="16"/>
  <c r="AF305" i="16"/>
  <c r="Z306" i="16"/>
  <c r="AF306" i="16"/>
  <c r="Y307" i="16"/>
  <c r="AE307" i="16"/>
  <c r="Y308" i="16"/>
  <c r="AE308" i="16"/>
  <c r="Y309" i="16"/>
  <c r="AE309" i="16"/>
  <c r="Y310" i="16"/>
  <c r="AE310" i="16"/>
  <c r="Y311" i="16"/>
  <c r="AE311" i="16"/>
  <c r="Y312" i="16"/>
  <c r="AE312" i="16"/>
  <c r="Y313" i="16"/>
  <c r="AE313" i="16"/>
  <c r="Y314" i="16"/>
  <c r="AE314" i="16"/>
  <c r="Y315" i="16"/>
  <c r="AE315" i="16"/>
  <c r="Y316" i="16"/>
  <c r="AE316" i="16"/>
  <c r="Y317" i="16"/>
  <c r="AE317" i="16"/>
  <c r="Y318" i="16"/>
  <c r="AE318" i="16"/>
  <c r="Z319" i="16"/>
  <c r="AF319" i="16"/>
  <c r="Z320" i="16"/>
  <c r="AF320" i="16"/>
  <c r="Z321" i="16"/>
  <c r="AF321" i="16"/>
  <c r="Z322" i="16"/>
  <c r="AF322" i="16"/>
  <c r="Z323" i="16"/>
  <c r="AF323" i="16"/>
  <c r="Z324" i="16"/>
  <c r="AF324" i="16"/>
  <c r="Z325" i="16"/>
  <c r="AF325" i="16"/>
  <c r="Z326" i="16"/>
  <c r="AF326" i="16"/>
  <c r="Z327" i="16"/>
  <c r="AF327" i="16"/>
  <c r="Z328" i="16"/>
  <c r="AF328" i="16"/>
  <c r="Z329" i="16"/>
  <c r="AF329" i="16"/>
  <c r="Z330" i="16"/>
  <c r="AF330" i="16"/>
  <c r="Z331" i="16"/>
  <c r="AF331" i="16"/>
  <c r="Z332" i="16"/>
  <c r="AF332" i="16"/>
  <c r="Z333" i="16"/>
  <c r="AF333" i="16"/>
  <c r="Z334" i="16"/>
  <c r="AF334" i="16"/>
  <c r="Z335" i="16"/>
  <c r="AF335" i="16"/>
  <c r="Z336" i="16"/>
  <c r="AF336" i="16"/>
  <c r="Z337" i="16"/>
  <c r="AF337" i="16"/>
  <c r="Z338" i="16"/>
  <c r="AF338" i="16"/>
  <c r="Z339" i="16"/>
  <c r="AF339" i="16"/>
  <c r="Z340" i="16"/>
  <c r="AF340" i="16"/>
  <c r="Z341" i="16"/>
  <c r="AF341" i="16"/>
  <c r="Z342" i="16"/>
  <c r="AF342" i="16"/>
  <c r="Y343" i="16"/>
  <c r="AE343" i="16"/>
  <c r="Y344" i="16"/>
  <c r="AE344" i="16"/>
  <c r="Y345" i="16"/>
  <c r="AE345" i="16"/>
  <c r="Y346" i="16"/>
  <c r="AE346" i="16"/>
  <c r="Y347" i="16"/>
  <c r="AE347" i="16"/>
  <c r="Y348" i="16"/>
  <c r="AE348" i="16"/>
  <c r="Y349" i="16"/>
  <c r="AE349" i="16"/>
  <c r="Y350" i="16"/>
  <c r="AE350" i="16"/>
  <c r="Y351" i="16"/>
  <c r="AE351" i="16"/>
  <c r="Y352" i="16"/>
  <c r="AE352" i="16"/>
  <c r="Y353" i="16"/>
  <c r="AE353" i="16"/>
  <c r="Z354" i="16"/>
  <c r="AF354" i="16"/>
  <c r="Z355" i="16"/>
  <c r="AF355" i="16"/>
  <c r="Z356" i="16"/>
  <c r="AF356" i="16"/>
  <c r="Z357" i="16"/>
  <c r="AF357" i="16"/>
  <c r="Z358" i="16"/>
  <c r="AF358" i="16"/>
  <c r="Z359" i="16"/>
  <c r="AF359" i="16"/>
  <c r="Z360" i="16"/>
  <c r="AF360" i="16"/>
  <c r="Z361" i="16"/>
  <c r="AF361" i="16"/>
  <c r="Z362" i="16"/>
  <c r="AF362" i="16"/>
  <c r="Z363" i="16"/>
  <c r="AF363" i="16"/>
  <c r="Z364" i="16"/>
  <c r="AF364" i="16"/>
  <c r="Z365" i="16"/>
  <c r="AF365" i="16"/>
  <c r="Z366" i="16"/>
  <c r="AF366" i="16"/>
  <c r="Z367" i="16"/>
  <c r="AF367" i="16"/>
  <c r="Z368" i="16"/>
  <c r="AF368" i="16"/>
  <c r="Z369" i="16"/>
  <c r="AF369" i="16"/>
  <c r="Z370" i="16"/>
  <c r="AF370" i="16"/>
  <c r="Z371" i="16"/>
  <c r="AF371" i="16"/>
  <c r="Z372" i="16"/>
  <c r="AF372" i="16"/>
  <c r="Z373" i="16"/>
  <c r="AF373" i="16"/>
  <c r="Z374" i="16"/>
  <c r="AF374" i="16"/>
  <c r="Z375" i="16"/>
  <c r="AF375" i="16"/>
  <c r="Z376" i="16"/>
  <c r="AF376" i="16"/>
  <c r="Z377" i="16"/>
  <c r="AF377" i="16"/>
  <c r="Z378" i="16"/>
  <c r="AF378" i="16"/>
  <c r="Z379" i="16"/>
  <c r="AF379" i="16"/>
  <c r="Z380" i="16"/>
  <c r="AF380" i="16"/>
  <c r="Z381" i="16"/>
  <c r="AF381" i="16"/>
  <c r="Z382" i="16"/>
  <c r="AF382" i="16"/>
  <c r="Z383" i="16"/>
  <c r="AF383" i="16"/>
  <c r="Z384" i="16"/>
  <c r="AF384" i="16"/>
  <c r="Z385" i="16"/>
  <c r="AF385" i="16"/>
  <c r="Z386" i="16"/>
  <c r="AF386" i="16"/>
  <c r="Z387" i="16"/>
  <c r="AF387" i="16"/>
  <c r="Z388" i="16"/>
  <c r="AF388" i="16"/>
  <c r="Z389" i="16"/>
  <c r="AF389" i="16"/>
  <c r="Z390" i="16"/>
  <c r="AF390" i="16"/>
  <c r="Z391" i="16"/>
  <c r="AF391" i="16"/>
  <c r="Z392" i="16"/>
  <c r="AF392" i="16"/>
  <c r="Z393" i="16"/>
  <c r="AF393" i="16"/>
  <c r="Z394" i="16"/>
  <c r="AF394" i="16"/>
  <c r="Y395" i="16"/>
  <c r="AE395" i="16"/>
  <c r="Y396" i="16"/>
  <c r="AE396" i="16"/>
  <c r="Y397" i="16"/>
  <c r="AE397" i="16"/>
  <c r="Y398" i="16"/>
  <c r="AE398" i="16"/>
  <c r="Y399" i="16"/>
  <c r="AE399" i="16"/>
  <c r="Y400" i="16"/>
  <c r="AE400" i="16"/>
  <c r="Y401" i="16"/>
  <c r="AE401" i="16"/>
  <c r="Y402" i="16"/>
  <c r="AE402" i="16"/>
  <c r="Y403" i="16"/>
  <c r="AE403" i="16"/>
  <c r="Y404" i="16"/>
  <c r="AE404" i="16"/>
  <c r="Y405" i="16"/>
  <c r="AE405" i="16"/>
  <c r="Y406" i="16"/>
  <c r="AE406" i="16"/>
  <c r="Y407" i="16"/>
  <c r="AE407" i="16"/>
  <c r="Y408" i="16"/>
  <c r="AE408" i="16"/>
  <c r="Y409" i="16"/>
  <c r="AE409" i="16"/>
  <c r="Y410" i="16"/>
  <c r="AE410" i="16"/>
  <c r="Y411" i="16"/>
  <c r="AE411" i="16"/>
  <c r="Y412" i="16"/>
  <c r="AE412" i="16"/>
  <c r="Y413" i="16"/>
  <c r="AE413" i="16"/>
  <c r="Y414" i="16"/>
  <c r="AE414" i="16"/>
  <c r="Y415" i="16"/>
  <c r="AE415" i="16"/>
  <c r="Y416" i="16"/>
  <c r="AE416" i="16"/>
  <c r="Y417" i="16"/>
  <c r="AE417" i="16"/>
  <c r="Y418" i="16"/>
  <c r="AE418" i="16"/>
  <c r="Y419" i="16"/>
  <c r="AE419" i="16"/>
  <c r="Y420" i="16"/>
  <c r="AE420" i="16"/>
  <c r="Y421" i="16"/>
  <c r="AE421" i="16"/>
  <c r="Z422" i="16"/>
  <c r="AF422" i="16"/>
  <c r="Z423" i="16"/>
  <c r="AF423" i="16"/>
  <c r="Z424" i="16"/>
  <c r="AF424" i="16"/>
  <c r="Z425" i="16"/>
  <c r="AF425" i="16"/>
  <c r="Z426" i="16"/>
  <c r="AF426" i="16"/>
  <c r="Z427" i="16"/>
  <c r="AF427" i="16"/>
  <c r="Z428" i="16"/>
  <c r="AF428" i="16"/>
  <c r="Z429" i="16"/>
  <c r="AF429" i="16"/>
  <c r="Z430" i="16"/>
  <c r="AF430" i="16"/>
  <c r="Z431" i="16"/>
  <c r="AF431" i="16"/>
  <c r="Z432" i="16"/>
  <c r="AF432" i="16"/>
  <c r="Z433" i="16"/>
  <c r="AF433" i="16"/>
  <c r="Z434" i="16"/>
  <c r="AF434" i="16"/>
  <c r="Z435" i="16"/>
  <c r="AF435" i="16"/>
  <c r="Z436" i="16"/>
  <c r="AF436" i="16"/>
  <c r="Z437" i="16"/>
  <c r="AF437" i="16"/>
  <c r="Z438" i="16"/>
  <c r="AF438" i="16"/>
  <c r="Z439" i="16"/>
  <c r="AF439" i="16"/>
  <c r="Z440" i="16"/>
  <c r="AF440" i="16"/>
  <c r="Z441" i="16"/>
  <c r="AF441" i="16"/>
  <c r="Z442" i="16"/>
  <c r="AF442" i="16"/>
  <c r="Z443" i="16"/>
  <c r="AF443" i="16"/>
  <c r="Z444" i="16"/>
  <c r="AF444" i="16"/>
  <c r="Z445" i="16"/>
  <c r="AF445" i="16"/>
  <c r="Z446" i="16"/>
  <c r="AF446" i="16"/>
  <c r="Z447" i="16"/>
  <c r="AF447" i="16"/>
  <c r="Z448" i="16"/>
  <c r="AF448" i="16"/>
  <c r="Z449" i="16"/>
  <c r="AF449" i="16"/>
  <c r="Z450" i="16"/>
  <c r="AF450" i="16"/>
  <c r="Z451" i="16"/>
  <c r="AF451" i="16"/>
  <c r="Z452" i="16"/>
  <c r="AF452" i="16"/>
  <c r="Z453" i="16"/>
  <c r="AF453" i="16"/>
  <c r="Z454" i="16"/>
  <c r="AF454" i="16"/>
  <c r="Z455" i="16"/>
  <c r="AF455" i="16"/>
  <c r="Z456" i="16"/>
  <c r="AF456" i="16"/>
  <c r="Z457" i="16"/>
  <c r="AF457" i="16"/>
  <c r="Z458" i="16"/>
  <c r="AF458" i="16"/>
  <c r="Z459" i="16"/>
  <c r="AF459" i="16"/>
  <c r="Z460" i="16"/>
  <c r="AF460" i="16"/>
  <c r="Z461" i="16"/>
  <c r="AF461" i="16"/>
  <c r="Z462" i="16"/>
  <c r="AF462" i="16"/>
  <c r="Y463" i="16"/>
  <c r="AE463" i="16"/>
  <c r="Y464" i="16"/>
  <c r="AE464" i="16"/>
  <c r="Y465" i="16"/>
  <c r="AE465" i="16"/>
  <c r="Y466" i="16"/>
  <c r="AE466" i="16"/>
  <c r="Y467" i="16"/>
  <c r="AE467" i="16"/>
  <c r="Y468" i="16"/>
  <c r="AE468" i="16"/>
  <c r="Y469" i="16"/>
  <c r="AE469" i="16"/>
  <c r="Y470" i="16"/>
  <c r="AE470" i="16"/>
  <c r="Y471" i="16"/>
  <c r="AE471" i="16"/>
  <c r="Y472" i="16"/>
  <c r="AE472" i="16"/>
  <c r="Y473" i="16"/>
  <c r="AE473" i="16"/>
  <c r="Y474" i="16"/>
  <c r="AE474" i="16"/>
  <c r="Y475" i="16"/>
  <c r="AE475" i="16"/>
  <c r="Y476" i="16"/>
  <c r="AE476" i="16"/>
  <c r="Y477" i="16"/>
  <c r="AE477" i="16"/>
  <c r="Y478" i="16"/>
  <c r="AE478" i="16"/>
  <c r="Y479" i="16"/>
  <c r="AE479" i="16"/>
  <c r="Y480" i="16"/>
  <c r="AE480" i="16"/>
  <c r="Y481" i="16"/>
  <c r="AE481" i="16"/>
  <c r="Y482" i="16"/>
  <c r="AE482" i="16"/>
  <c r="Y483" i="16"/>
  <c r="AE483" i="16"/>
  <c r="Y484" i="16"/>
  <c r="AE484" i="16"/>
  <c r="Y485" i="16"/>
  <c r="AE485" i="16"/>
  <c r="Y486" i="16"/>
  <c r="AE486" i="16"/>
  <c r="Z487" i="16"/>
  <c r="AF487" i="16"/>
  <c r="Z488" i="16"/>
  <c r="AF488" i="16"/>
  <c r="Z489" i="16"/>
  <c r="AF489" i="16"/>
  <c r="Z490" i="16"/>
  <c r="AF490" i="16"/>
  <c r="Z491" i="16"/>
  <c r="AF491" i="16"/>
  <c r="Z492" i="16"/>
  <c r="AF492" i="16"/>
  <c r="Z493" i="16"/>
  <c r="AF493" i="16"/>
  <c r="Z494" i="16"/>
  <c r="AF494" i="16"/>
  <c r="Z495" i="16"/>
  <c r="AF495" i="16"/>
  <c r="Z496" i="16"/>
  <c r="AF496" i="16"/>
  <c r="Z497" i="16"/>
  <c r="AF497" i="16"/>
  <c r="Z498" i="16"/>
  <c r="AF498" i="16"/>
  <c r="Z499" i="16"/>
  <c r="AF499" i="16"/>
  <c r="Z500" i="16"/>
  <c r="AF500" i="16"/>
  <c r="Z501" i="16"/>
  <c r="AF501" i="16"/>
  <c r="Z502" i="16"/>
  <c r="AF502" i="16"/>
  <c r="Z503" i="16"/>
  <c r="AF503" i="16"/>
  <c r="Z504" i="16"/>
  <c r="AF504" i="16"/>
  <c r="Z505" i="16"/>
  <c r="AF505" i="16"/>
  <c r="Z506" i="16"/>
  <c r="AF506" i="16"/>
  <c r="Z507" i="16"/>
  <c r="AF507" i="16"/>
  <c r="Z508" i="16"/>
  <c r="AF508" i="16"/>
  <c r="Z509" i="16"/>
  <c r="AF509" i="16"/>
  <c r="Z510" i="16"/>
  <c r="AF510" i="16"/>
  <c r="Z511" i="16"/>
  <c r="AF511" i="16"/>
  <c r="Y512" i="16"/>
  <c r="AE512" i="16"/>
  <c r="Y513" i="16"/>
  <c r="AE513" i="16"/>
  <c r="Y514" i="16"/>
  <c r="AE514" i="16"/>
  <c r="Y515" i="16"/>
  <c r="AE515" i="16"/>
  <c r="Y516" i="16"/>
  <c r="AE516" i="16"/>
  <c r="Y517" i="16"/>
  <c r="AE517" i="16"/>
  <c r="Y518" i="16"/>
  <c r="AE518" i="16"/>
  <c r="Y519" i="16"/>
  <c r="AE519" i="16"/>
  <c r="Y520" i="16"/>
  <c r="AE520" i="16"/>
  <c r="Y521" i="16"/>
  <c r="AE521" i="16"/>
  <c r="Y522" i="16"/>
  <c r="AE522" i="16"/>
  <c r="Y523" i="16"/>
  <c r="AE523" i="16"/>
  <c r="Y524" i="16"/>
  <c r="AE524" i="16"/>
  <c r="Z525" i="16"/>
  <c r="AF525" i="16"/>
  <c r="Z526" i="16"/>
  <c r="AF526" i="16"/>
  <c r="Z527" i="16"/>
  <c r="AF527" i="16"/>
  <c r="Z528" i="16"/>
  <c r="AF528" i="16"/>
  <c r="Z529" i="16"/>
  <c r="AF529" i="16"/>
  <c r="Z530" i="16"/>
  <c r="AF530" i="16"/>
  <c r="Z531" i="16"/>
  <c r="AF531" i="16"/>
  <c r="Z532" i="16"/>
  <c r="AF532" i="16"/>
  <c r="Z533" i="16"/>
  <c r="AF533" i="16"/>
  <c r="Z534" i="16"/>
  <c r="AF534" i="16"/>
  <c r="Z535" i="16"/>
  <c r="AF535" i="16"/>
  <c r="Z536" i="16"/>
  <c r="AF536" i="16"/>
  <c r="Z537" i="16"/>
  <c r="AF537" i="16"/>
  <c r="Z538" i="16"/>
  <c r="AF538" i="16"/>
  <c r="Z539" i="16"/>
  <c r="AF539" i="16"/>
  <c r="Z540" i="16"/>
  <c r="AF540" i="16"/>
  <c r="Z541" i="16"/>
  <c r="AF541" i="16"/>
  <c r="Z542" i="16"/>
  <c r="AF542" i="16"/>
  <c r="Z543" i="16"/>
  <c r="AF543" i="16"/>
  <c r="Z544" i="16"/>
  <c r="AF544" i="16"/>
  <c r="Z545" i="16"/>
  <c r="AF545" i="16"/>
  <c r="Z546" i="16"/>
  <c r="AF546" i="16"/>
  <c r="Z547" i="16"/>
  <c r="AF547" i="16"/>
  <c r="Z548" i="16"/>
  <c r="AF548" i="16"/>
  <c r="Z549" i="16"/>
  <c r="AF549" i="16"/>
  <c r="Z550" i="16"/>
  <c r="AF550" i="16"/>
  <c r="Z551" i="16"/>
  <c r="AF551" i="16"/>
  <c r="Z552" i="16"/>
  <c r="AF552" i="16"/>
  <c r="Z553" i="16"/>
  <c r="AF553" i="16"/>
  <c r="Z554" i="16"/>
  <c r="AF554" i="16"/>
  <c r="Z555" i="16"/>
  <c r="AF555" i="16"/>
  <c r="Z556" i="16"/>
  <c r="AF556" i="16"/>
  <c r="Z557" i="16"/>
  <c r="AF557" i="16"/>
  <c r="Z558" i="16"/>
  <c r="AF558" i="16"/>
  <c r="Z559" i="16"/>
  <c r="AF559" i="16"/>
  <c r="Z560" i="16"/>
  <c r="AF560" i="16"/>
  <c r="Z561" i="16"/>
  <c r="AF561" i="16"/>
  <c r="Z562" i="16"/>
  <c r="AF562" i="16"/>
  <c r="Z563" i="16"/>
  <c r="AF563" i="16"/>
  <c r="Z564" i="16"/>
  <c r="AF564" i="16"/>
  <c r="Z565" i="16"/>
  <c r="AF565" i="16"/>
  <c r="Z566" i="16"/>
  <c r="AF566" i="16"/>
  <c r="Z567" i="16"/>
  <c r="AF567" i="16"/>
  <c r="Z568" i="16"/>
  <c r="AF568" i="16"/>
  <c r="Z569" i="16"/>
  <c r="AF569" i="16"/>
  <c r="Z570" i="16"/>
  <c r="AF570" i="16"/>
  <c r="Z571" i="16"/>
  <c r="AF571" i="16"/>
  <c r="Z572" i="16"/>
  <c r="AF572" i="16"/>
  <c r="Z573" i="16"/>
  <c r="AF573" i="16"/>
  <c r="Z574" i="16"/>
  <c r="AF574" i="16"/>
  <c r="Z575" i="16"/>
  <c r="AF575" i="16"/>
  <c r="Z576" i="16"/>
  <c r="AF576" i="16"/>
  <c r="Z577" i="16"/>
  <c r="AF577" i="16"/>
  <c r="Z578" i="16"/>
  <c r="AF578" i="16"/>
  <c r="Z579" i="16"/>
  <c r="AF579" i="16"/>
  <c r="Z580" i="16"/>
  <c r="AF580" i="16"/>
  <c r="Z581" i="16"/>
  <c r="AF581" i="16"/>
  <c r="Z582" i="16"/>
  <c r="AF582" i="16"/>
  <c r="Z583" i="16"/>
  <c r="AF583" i="16"/>
  <c r="Z584" i="16"/>
  <c r="AF584" i="16"/>
  <c r="Z585" i="16"/>
  <c r="AF585" i="16"/>
  <c r="Z586" i="16"/>
  <c r="AF586" i="16"/>
  <c r="Z587" i="16"/>
  <c r="AF587" i="16"/>
  <c r="Z588" i="16"/>
  <c r="AF588" i="16"/>
  <c r="Z589" i="16"/>
  <c r="AF589" i="16"/>
  <c r="Z590" i="16"/>
  <c r="AF590" i="16"/>
  <c r="Z591" i="16"/>
  <c r="AF591" i="16"/>
  <c r="Z592" i="16"/>
  <c r="AF592" i="16"/>
  <c r="Z593" i="16"/>
  <c r="AF593" i="16"/>
  <c r="Z594" i="16"/>
  <c r="AF594" i="16"/>
  <c r="Z595" i="16"/>
  <c r="AF595" i="16"/>
  <c r="Z596" i="16"/>
  <c r="AF596" i="16"/>
  <c r="Z597" i="16"/>
  <c r="AF597" i="16"/>
  <c r="Z598" i="16"/>
  <c r="AF598" i="16"/>
  <c r="Z599" i="16"/>
  <c r="AF599" i="16"/>
  <c r="Z600" i="16"/>
  <c r="AF600" i="16"/>
  <c r="Z601" i="16"/>
  <c r="AF601" i="16"/>
  <c r="Z602" i="16"/>
  <c r="AF602" i="16"/>
  <c r="Z603" i="16"/>
  <c r="AF603" i="16"/>
  <c r="Z604" i="16"/>
  <c r="AF604" i="16"/>
  <c r="Z605" i="16"/>
  <c r="AF605" i="16"/>
  <c r="Z606" i="16"/>
  <c r="AF606" i="16"/>
  <c r="Z607" i="16"/>
  <c r="AF607" i="16"/>
  <c r="Z608" i="16"/>
  <c r="AF608" i="16"/>
  <c r="Z609" i="16"/>
  <c r="AF609" i="16"/>
  <c r="Z610" i="16"/>
  <c r="AF610" i="16"/>
  <c r="Z611" i="16"/>
  <c r="AF611" i="16"/>
  <c r="Z612" i="16"/>
  <c r="AF612" i="16"/>
  <c r="Z613" i="16"/>
  <c r="AF613" i="16"/>
  <c r="Z614" i="16"/>
  <c r="AF614" i="16"/>
  <c r="Z615" i="16"/>
  <c r="AF615" i="16"/>
  <c r="Z616" i="16"/>
  <c r="AF616" i="16"/>
  <c r="Z617" i="16"/>
  <c r="AF617" i="16"/>
  <c r="Z618" i="16"/>
  <c r="AF618" i="16"/>
  <c r="Z619" i="16"/>
  <c r="AF619" i="16"/>
  <c r="Z620" i="16"/>
  <c r="AF620" i="16"/>
  <c r="Z621" i="16"/>
  <c r="AF621" i="16"/>
  <c r="Z622" i="16"/>
  <c r="AF622" i="16"/>
  <c r="Z623" i="16"/>
  <c r="AF623" i="16"/>
  <c r="Z624" i="16"/>
  <c r="AF624" i="16"/>
  <c r="Z625" i="16"/>
  <c r="AF625" i="16"/>
  <c r="Z626" i="16"/>
  <c r="AF626" i="16"/>
  <c r="Z627" i="16"/>
  <c r="AF627" i="16"/>
  <c r="Z628" i="16"/>
  <c r="AF628" i="16"/>
  <c r="Z629" i="16"/>
  <c r="AF629" i="16"/>
  <c r="Z630" i="16"/>
  <c r="AF630" i="16"/>
  <c r="Z631" i="16"/>
  <c r="AF631" i="16"/>
  <c r="Z632" i="16"/>
  <c r="AF632" i="16"/>
  <c r="Z633" i="16"/>
  <c r="AF633" i="16"/>
  <c r="Z634" i="16"/>
  <c r="AF634" i="16"/>
  <c r="Z635" i="16"/>
  <c r="AF635" i="16"/>
  <c r="Z636" i="16"/>
  <c r="AF636" i="16"/>
  <c r="Z637" i="16"/>
  <c r="AF637" i="16"/>
  <c r="Z638" i="16"/>
  <c r="AF638" i="16"/>
  <c r="Z639" i="16"/>
  <c r="AF639" i="16"/>
  <c r="Z640" i="16"/>
  <c r="AF640" i="16"/>
  <c r="Z641" i="16"/>
  <c r="AF641" i="16"/>
  <c r="Z642" i="16"/>
  <c r="AF642" i="16"/>
  <c r="Z643" i="16"/>
  <c r="AF643" i="16"/>
  <c r="Z644" i="16"/>
  <c r="AF644" i="16"/>
  <c r="Z645" i="16"/>
  <c r="AF645" i="16"/>
  <c r="Z646" i="16"/>
  <c r="AF646" i="16"/>
  <c r="Z647" i="16"/>
  <c r="AF647" i="16"/>
  <c r="Z648" i="16"/>
  <c r="AF648" i="16"/>
  <c r="Z649" i="16"/>
  <c r="AF649" i="16"/>
  <c r="Z650" i="16"/>
  <c r="AF650" i="16"/>
  <c r="Z651" i="16"/>
  <c r="AF651" i="16"/>
  <c r="Z652" i="16"/>
  <c r="AF652" i="16"/>
  <c r="Z653" i="16"/>
  <c r="AF653" i="16"/>
  <c r="Z654" i="16"/>
  <c r="AF654" i="16"/>
  <c r="Z655" i="16"/>
  <c r="AF655" i="16"/>
  <c r="Z656" i="16"/>
  <c r="AF656" i="16"/>
  <c r="Z657" i="16"/>
  <c r="AF657" i="16"/>
  <c r="Z658" i="16"/>
  <c r="AF658" i="16"/>
  <c r="Z659" i="16"/>
  <c r="AF659" i="16"/>
  <c r="Z660" i="16"/>
  <c r="AF660" i="16"/>
  <c r="Z661" i="16"/>
  <c r="AF661" i="16"/>
  <c r="Z662" i="16"/>
  <c r="AF662" i="16"/>
  <c r="Z663" i="16"/>
  <c r="AF663" i="16"/>
  <c r="Z664" i="16"/>
  <c r="AF664" i="16"/>
  <c r="Z665" i="16"/>
  <c r="AF665" i="16"/>
  <c r="Z666" i="16"/>
  <c r="AF666" i="16"/>
  <c r="Z667" i="16"/>
  <c r="AF667" i="16"/>
  <c r="Z668" i="16"/>
  <c r="AF668" i="16"/>
  <c r="Z669" i="16"/>
  <c r="AF669" i="16"/>
  <c r="Z670" i="16"/>
  <c r="AF670" i="16"/>
  <c r="Z671" i="16"/>
  <c r="AF671" i="16"/>
  <c r="Z672" i="16"/>
  <c r="AF672" i="16"/>
  <c r="Z673" i="16"/>
  <c r="AF673" i="16"/>
  <c r="Z674" i="16"/>
  <c r="AF674" i="16"/>
  <c r="Z675" i="16"/>
  <c r="AF675" i="16"/>
  <c r="Z676" i="16"/>
  <c r="AF676" i="16"/>
  <c r="Z677" i="16"/>
  <c r="AF677" i="16"/>
  <c r="Z678" i="16"/>
  <c r="AF678" i="16"/>
  <c r="Z679" i="16"/>
  <c r="AF679" i="16"/>
  <c r="Z680" i="16"/>
  <c r="AF680" i="16"/>
  <c r="Z681" i="16"/>
  <c r="AF681" i="16"/>
  <c r="Z682" i="16"/>
  <c r="AF682" i="16"/>
  <c r="Z683" i="16"/>
  <c r="AF683" i="16"/>
  <c r="Z684" i="16"/>
  <c r="AF684" i="16"/>
  <c r="Z685" i="16"/>
  <c r="AF685" i="16"/>
  <c r="Z686" i="16"/>
  <c r="AF686" i="16"/>
  <c r="Z687" i="16"/>
  <c r="AF687" i="16"/>
  <c r="Z688" i="16"/>
  <c r="AF688" i="16"/>
  <c r="Z689" i="16"/>
  <c r="AF689" i="16"/>
  <c r="Z690" i="16"/>
  <c r="AF690" i="16"/>
  <c r="Z691" i="16"/>
  <c r="AF691" i="16"/>
  <c r="Z692" i="16"/>
  <c r="AF692" i="16"/>
  <c r="Z693" i="16"/>
  <c r="AF693" i="16"/>
  <c r="Z694" i="16"/>
  <c r="AF694" i="16"/>
  <c r="Z695" i="16"/>
  <c r="AF695" i="16"/>
  <c r="Z696" i="16"/>
  <c r="AF696" i="16"/>
  <c r="Z697" i="16"/>
  <c r="AF697" i="16"/>
  <c r="Z698" i="16"/>
  <c r="AF698" i="16"/>
  <c r="Z699" i="16"/>
  <c r="AF699" i="16"/>
  <c r="Z700" i="16"/>
  <c r="AF700" i="16"/>
  <c r="Z701" i="16"/>
  <c r="AF701" i="16"/>
  <c r="Z702" i="16"/>
  <c r="AF702" i="16"/>
  <c r="Z703" i="16"/>
  <c r="AF703" i="16"/>
  <c r="Z704" i="16"/>
  <c r="AF704" i="16"/>
  <c r="Z705" i="16"/>
  <c r="AF705" i="16"/>
  <c r="Z706" i="16"/>
  <c r="AF706" i="16"/>
  <c r="Z707" i="16"/>
  <c r="AF707" i="16"/>
  <c r="Z708" i="16"/>
  <c r="AF708" i="16"/>
  <c r="Z709" i="16"/>
  <c r="AF709" i="16"/>
  <c r="Z710" i="16"/>
  <c r="AF710" i="16"/>
  <c r="Z711" i="16"/>
  <c r="AF711" i="16"/>
  <c r="Z712" i="16"/>
  <c r="AF712" i="16"/>
  <c r="Z713" i="16"/>
  <c r="AF713" i="16"/>
  <c r="Z714" i="16"/>
  <c r="AF714" i="16"/>
  <c r="Z715" i="16"/>
  <c r="AF715" i="16"/>
  <c r="Z716" i="16"/>
  <c r="AF716" i="16"/>
  <c r="Z717" i="16"/>
  <c r="AF717" i="16"/>
  <c r="Z718" i="16"/>
  <c r="AF718" i="16"/>
  <c r="Z719" i="16"/>
  <c r="AF719" i="16"/>
  <c r="Z720" i="16"/>
  <c r="AF720" i="16"/>
  <c r="Z721" i="16"/>
  <c r="AF721" i="16"/>
  <c r="Z722" i="16"/>
  <c r="AF722" i="16"/>
  <c r="Z723" i="16"/>
  <c r="AF723" i="16"/>
  <c r="Z724" i="16"/>
  <c r="AF724" i="16"/>
  <c r="Z725" i="16"/>
  <c r="AF725" i="16"/>
  <c r="Z726" i="16"/>
  <c r="AF726" i="16"/>
  <c r="Z727" i="16"/>
  <c r="AF727" i="16"/>
  <c r="Z728" i="16"/>
  <c r="AF728" i="16"/>
  <c r="Z729" i="16"/>
  <c r="AF729" i="16"/>
  <c r="Z730" i="16"/>
  <c r="AF730" i="16"/>
  <c r="Z731" i="16"/>
  <c r="AF731" i="16"/>
  <c r="Z732" i="16"/>
  <c r="AF732" i="16"/>
  <c r="Z733" i="16"/>
  <c r="AF733" i="16"/>
  <c r="Z734" i="16"/>
  <c r="AF734" i="16"/>
  <c r="Z735" i="16"/>
  <c r="AF735" i="16"/>
  <c r="Z736" i="16"/>
  <c r="AF736" i="16"/>
  <c r="Z737" i="16"/>
  <c r="AF737" i="16"/>
  <c r="Z738" i="16"/>
  <c r="AF738" i="16"/>
  <c r="Z739" i="16"/>
  <c r="AF739" i="16"/>
  <c r="Z740" i="16"/>
  <c r="AF740" i="16"/>
  <c r="Z741" i="16"/>
  <c r="AF741" i="16"/>
  <c r="Z742" i="16"/>
  <c r="AF742" i="16"/>
  <c r="Z743" i="16"/>
  <c r="AF743" i="16"/>
  <c r="Z744" i="16"/>
  <c r="AF744" i="16"/>
  <c r="Z745" i="16"/>
  <c r="AF745" i="16"/>
  <c r="Z746" i="16"/>
  <c r="AF746" i="16"/>
  <c r="Z747" i="16"/>
  <c r="AF747" i="16"/>
  <c r="Z748" i="16"/>
  <c r="AF748" i="16"/>
  <c r="Z749" i="16"/>
  <c r="AF749" i="16"/>
  <c r="Z750" i="16"/>
  <c r="AF750" i="16"/>
  <c r="Z751" i="16"/>
  <c r="AF751" i="16"/>
  <c r="Z752" i="16"/>
  <c r="AF752" i="16"/>
  <c r="Z753" i="16"/>
  <c r="AF753" i="16"/>
  <c r="Z754" i="16"/>
  <c r="AF754" i="16"/>
  <c r="Z755" i="16"/>
  <c r="AF755" i="16"/>
  <c r="Z756" i="16"/>
  <c r="AF756" i="16"/>
  <c r="Z757" i="16"/>
  <c r="AF757" i="16"/>
  <c r="Z758" i="16"/>
  <c r="AF758" i="16"/>
  <c r="Z759" i="16"/>
  <c r="AF759" i="16"/>
  <c r="Z760" i="16"/>
  <c r="AF760" i="16"/>
  <c r="Z761" i="16"/>
  <c r="AF761" i="16"/>
  <c r="Z762" i="16"/>
  <c r="AF762" i="16"/>
  <c r="Z763" i="16"/>
  <c r="AF763" i="16"/>
  <c r="Z764" i="16"/>
  <c r="AF764" i="16"/>
  <c r="Z765" i="16"/>
  <c r="AF765" i="16"/>
  <c r="Z766" i="16"/>
  <c r="AF766" i="16"/>
  <c r="Z767" i="16"/>
  <c r="AF767" i="16"/>
  <c r="Z768" i="16"/>
  <c r="AF768" i="16"/>
  <c r="Z769" i="16"/>
  <c r="AF769" i="16"/>
  <c r="Z770" i="16"/>
  <c r="AF770" i="16"/>
  <c r="Z771" i="16"/>
  <c r="AF771" i="16"/>
  <c r="Z772" i="16"/>
  <c r="AF772" i="16"/>
  <c r="Z773" i="16"/>
  <c r="AF773" i="16"/>
  <c r="Z774" i="16"/>
  <c r="AF774" i="16"/>
  <c r="Z775" i="16"/>
  <c r="AF775" i="16"/>
  <c r="Z776" i="16"/>
  <c r="AF776" i="16"/>
  <c r="Z777" i="16"/>
  <c r="AF777" i="16"/>
  <c r="Z778" i="16"/>
  <c r="AF778" i="16"/>
  <c r="Z779" i="16"/>
  <c r="AF779" i="16"/>
  <c r="Z780" i="16"/>
  <c r="AF780" i="16"/>
  <c r="Z781" i="16"/>
  <c r="AF781" i="16"/>
  <c r="Z782" i="16"/>
  <c r="AF782" i="16"/>
  <c r="Z783" i="16"/>
  <c r="AF783" i="16"/>
  <c r="Z784" i="16"/>
  <c r="AF784" i="16"/>
  <c r="Z785" i="16"/>
  <c r="AF785" i="16"/>
  <c r="Z786" i="16"/>
  <c r="AF786" i="16"/>
  <c r="Z787" i="16"/>
  <c r="AF787" i="16"/>
  <c r="Z788" i="16"/>
  <c r="AF788" i="16"/>
  <c r="Z789" i="16"/>
  <c r="AF789" i="16"/>
  <c r="Z790" i="16"/>
  <c r="AF790" i="16"/>
  <c r="Z791" i="16"/>
  <c r="AF791" i="16"/>
  <c r="Z792" i="16"/>
  <c r="AF792" i="16"/>
  <c r="Z793" i="16"/>
  <c r="AF793" i="16"/>
  <c r="Z794" i="16"/>
  <c r="AF794" i="16"/>
  <c r="Z795" i="16"/>
  <c r="AF795" i="16"/>
  <c r="Z796" i="16"/>
  <c r="AF796" i="16"/>
  <c r="Z797" i="16"/>
  <c r="AF797" i="16"/>
  <c r="Z798" i="16"/>
  <c r="AF798" i="16"/>
  <c r="Z799" i="16"/>
  <c r="AF799" i="16"/>
  <c r="Z800" i="16"/>
  <c r="AF800" i="16"/>
  <c r="Z801" i="16"/>
  <c r="AF801" i="16"/>
  <c r="Z802" i="16"/>
  <c r="AF802" i="16"/>
  <c r="Z803" i="16"/>
  <c r="AF803" i="16"/>
  <c r="Z804" i="16"/>
  <c r="AF804" i="16"/>
  <c r="Z805" i="16"/>
  <c r="AF805" i="16"/>
  <c r="Z806" i="16"/>
  <c r="AF806" i="16"/>
  <c r="Z807" i="16"/>
  <c r="AF807" i="16"/>
  <c r="Z808" i="16"/>
  <c r="AF808" i="16"/>
  <c r="Z809" i="16"/>
  <c r="AF809" i="16"/>
  <c r="Z810" i="16"/>
  <c r="AF810" i="16"/>
  <c r="Z811" i="16"/>
  <c r="AF811" i="16"/>
  <c r="Z812" i="16"/>
  <c r="AF812" i="16"/>
  <c r="Z813" i="16"/>
  <c r="AF813" i="16"/>
  <c r="Z814" i="16"/>
  <c r="AF814" i="16"/>
  <c r="Z815" i="16"/>
  <c r="AF815" i="16"/>
  <c r="Z816" i="16"/>
  <c r="AF816" i="16"/>
  <c r="Z817" i="16"/>
  <c r="AF817" i="16"/>
  <c r="Z818" i="16"/>
  <c r="AF818" i="16"/>
  <c r="Z819" i="16"/>
  <c r="AF819" i="16"/>
  <c r="Z820" i="16"/>
  <c r="AF820" i="16"/>
  <c r="Z821" i="16"/>
  <c r="AF821" i="16"/>
  <c r="Z822" i="16"/>
  <c r="AF822" i="16"/>
  <c r="Z823" i="16"/>
  <c r="AF823" i="16"/>
  <c r="Z824" i="16"/>
  <c r="AF824" i="16"/>
  <c r="Z825" i="16"/>
  <c r="AF825" i="16"/>
  <c r="Z826" i="16"/>
  <c r="AF826" i="16"/>
  <c r="Z827" i="16"/>
  <c r="AF827" i="16"/>
  <c r="Z828" i="16"/>
  <c r="AF828" i="16"/>
  <c r="Z829" i="16"/>
  <c r="AF829" i="16"/>
  <c r="Z830" i="16"/>
  <c r="AF830" i="16"/>
  <c r="Z831" i="16"/>
  <c r="AF831" i="16"/>
  <c r="Z832" i="16"/>
  <c r="AF832" i="16"/>
  <c r="Z833" i="16"/>
  <c r="AF833" i="16"/>
  <c r="Z834" i="16"/>
  <c r="AF834" i="16"/>
  <c r="Z835" i="16"/>
  <c r="AF835" i="16"/>
  <c r="Z836" i="16"/>
  <c r="AF836" i="16"/>
  <c r="Z837" i="16"/>
  <c r="AF837" i="16"/>
  <c r="Z838" i="16"/>
  <c r="AF838" i="16"/>
  <c r="Z839" i="16"/>
  <c r="AF839" i="16"/>
  <c r="Z840" i="16"/>
  <c r="AF840" i="16"/>
  <c r="Z841" i="16"/>
  <c r="AF841" i="16"/>
  <c r="Z842" i="16"/>
  <c r="AF842" i="16"/>
  <c r="Z843" i="16"/>
  <c r="AF843" i="16"/>
  <c r="Z844" i="16"/>
  <c r="AF844" i="16"/>
  <c r="Z845" i="16"/>
  <c r="AF845" i="16"/>
  <c r="Z846" i="16"/>
  <c r="AF846" i="16"/>
  <c r="Z847" i="16"/>
  <c r="AF847" i="16"/>
  <c r="Z848" i="16"/>
  <c r="AF848" i="16"/>
  <c r="Z849" i="16"/>
  <c r="AF849" i="16"/>
  <c r="Z850" i="16"/>
  <c r="AF850" i="16"/>
  <c r="Z851" i="16"/>
  <c r="AF851" i="16"/>
  <c r="Z852" i="16"/>
  <c r="AF852" i="16"/>
  <c r="Z853" i="16"/>
  <c r="AF853" i="16"/>
  <c r="Z854" i="16"/>
  <c r="AF854" i="16"/>
  <c r="Z855" i="16"/>
  <c r="AF855" i="16"/>
  <c r="Z856" i="16"/>
  <c r="AF856" i="16"/>
  <c r="Z857" i="16"/>
  <c r="AF857" i="16"/>
  <c r="Z858" i="16"/>
  <c r="AF858" i="16"/>
  <c r="Z859" i="16"/>
  <c r="AF859" i="16"/>
  <c r="Z860" i="16"/>
  <c r="AF860" i="16"/>
  <c r="Z861" i="16"/>
  <c r="AF861" i="16"/>
  <c r="Z862" i="16"/>
  <c r="AF862" i="16"/>
  <c r="Z863" i="16"/>
  <c r="AF863" i="16"/>
  <c r="Z864" i="16"/>
  <c r="AF864" i="16"/>
  <c r="Z865" i="16"/>
  <c r="AF865" i="16"/>
  <c r="Z866" i="16"/>
  <c r="AF866" i="16"/>
  <c r="Z867" i="16"/>
  <c r="AF867" i="16"/>
  <c r="Z868" i="16"/>
  <c r="AF868" i="16"/>
  <c r="Z869" i="16"/>
  <c r="AF869" i="16"/>
  <c r="Z870" i="16"/>
  <c r="AF870" i="16"/>
  <c r="Z871" i="16"/>
  <c r="AF871" i="16"/>
  <c r="Z872" i="16"/>
  <c r="AF872" i="16"/>
  <c r="Z873" i="16"/>
  <c r="AF873" i="16"/>
  <c r="Z874" i="16"/>
  <c r="AF874" i="16"/>
  <c r="Z875" i="16"/>
  <c r="AF875" i="16"/>
  <c r="Z876" i="16"/>
  <c r="AF876" i="16"/>
  <c r="Z877" i="16"/>
  <c r="AF877" i="16"/>
  <c r="Z878" i="16"/>
  <c r="AF878" i="16"/>
  <c r="Z879" i="16"/>
  <c r="AF879" i="16"/>
  <c r="Z880" i="16"/>
  <c r="AF880" i="16"/>
  <c r="Z881" i="16"/>
  <c r="AF881" i="16"/>
  <c r="Z882" i="16"/>
  <c r="AF882" i="16"/>
  <c r="Z883" i="16"/>
  <c r="AF883" i="16"/>
  <c r="Z884" i="16"/>
  <c r="AF884" i="16"/>
  <c r="Z885" i="16"/>
  <c r="AF885" i="16"/>
  <c r="Z886" i="16"/>
  <c r="AF886" i="16"/>
  <c r="Z887" i="16"/>
  <c r="AF887" i="16"/>
  <c r="Z888" i="16"/>
  <c r="AF888" i="16"/>
  <c r="Z889" i="16"/>
  <c r="AF889" i="16"/>
  <c r="Z890" i="16"/>
  <c r="AF890" i="16"/>
  <c r="Z891" i="16"/>
  <c r="AF891" i="16"/>
  <c r="Z892" i="16"/>
  <c r="AF892" i="16"/>
  <c r="Z893" i="16"/>
  <c r="AF893" i="16"/>
  <c r="Z894" i="16"/>
  <c r="AF894" i="16"/>
  <c r="Z895" i="16"/>
  <c r="AF895" i="16"/>
  <c r="Z896" i="16"/>
  <c r="AF896" i="16"/>
  <c r="Z897" i="16"/>
  <c r="AF897" i="16"/>
  <c r="Z898" i="16"/>
  <c r="AF898" i="16"/>
  <c r="Z899" i="16"/>
  <c r="AF899" i="16"/>
  <c r="Z900" i="16"/>
  <c r="AF900" i="16"/>
  <c r="Z901" i="16"/>
  <c r="AF901" i="16"/>
  <c r="Z902" i="16"/>
  <c r="AF902" i="16"/>
  <c r="Z903" i="16"/>
  <c r="AF903" i="16"/>
  <c r="Z904" i="16"/>
  <c r="AF904" i="16"/>
  <c r="Z905" i="16"/>
  <c r="AF905" i="16"/>
  <c r="Z906" i="16"/>
  <c r="AF906" i="16"/>
  <c r="Z907" i="16"/>
  <c r="AF907" i="16"/>
  <c r="Z908" i="16"/>
  <c r="AF908" i="16"/>
  <c r="Z909" i="16"/>
  <c r="AF909" i="16"/>
  <c r="Z910" i="16"/>
  <c r="AF910" i="16"/>
  <c r="Z911" i="16"/>
  <c r="AF911" i="16"/>
  <c r="Z912" i="16"/>
  <c r="AF912" i="16"/>
  <c r="Z913" i="16"/>
  <c r="AF913" i="16"/>
  <c r="Z914" i="16"/>
  <c r="AF914" i="16"/>
  <c r="Z915" i="16"/>
  <c r="AF915" i="16"/>
  <c r="Z916" i="16"/>
  <c r="AF916" i="16"/>
  <c r="Z917" i="16"/>
  <c r="AF917" i="16"/>
  <c r="Z918" i="16"/>
  <c r="AF918" i="16"/>
  <c r="Z919" i="16"/>
  <c r="AF919" i="16"/>
  <c r="Z920" i="16"/>
  <c r="AF920" i="16"/>
  <c r="Z921" i="16"/>
  <c r="AF921" i="16"/>
  <c r="Z922" i="16"/>
  <c r="AF922" i="16"/>
  <c r="Z923" i="16"/>
  <c r="AF923" i="16"/>
  <c r="Z924" i="16"/>
  <c r="AF924" i="16"/>
  <c r="Z925" i="16"/>
  <c r="AF925" i="16"/>
  <c r="Z926" i="16"/>
  <c r="AF926" i="16"/>
  <c r="Z927" i="16"/>
  <c r="AF927" i="16"/>
  <c r="Z928" i="16"/>
  <c r="AF928" i="16"/>
  <c r="Z929" i="16"/>
  <c r="AF929" i="16"/>
  <c r="Z930" i="16"/>
  <c r="AF930" i="16"/>
  <c r="Z931" i="16"/>
  <c r="AF931" i="16"/>
  <c r="Z932" i="16"/>
  <c r="AF932" i="16"/>
  <c r="Z933" i="16"/>
  <c r="AF933" i="16"/>
  <c r="Z934" i="16"/>
  <c r="AF934" i="16"/>
  <c r="Z935" i="16"/>
  <c r="AF935" i="16"/>
  <c r="Z936" i="16"/>
  <c r="AF936" i="16"/>
  <c r="Z937" i="16"/>
  <c r="AF937" i="16"/>
  <c r="Z938" i="16"/>
  <c r="AF938" i="16"/>
  <c r="Z939" i="16"/>
  <c r="AF939" i="16"/>
  <c r="Z940" i="16"/>
  <c r="AF940" i="16"/>
  <c r="Z941" i="16"/>
  <c r="AF941" i="16"/>
  <c r="Z942" i="16"/>
  <c r="AF942" i="16"/>
  <c r="Z943" i="16"/>
  <c r="AF943" i="16"/>
  <c r="Z944" i="16"/>
  <c r="AF944" i="16"/>
  <c r="Z945" i="16"/>
  <c r="AF945" i="16"/>
  <c r="Z946" i="16"/>
  <c r="AF946" i="16"/>
  <c r="Z947" i="16"/>
  <c r="AF947" i="16"/>
  <c r="Z948" i="16"/>
  <c r="AF948" i="16"/>
  <c r="Z949" i="16"/>
  <c r="AF949" i="16"/>
  <c r="Z950" i="16"/>
  <c r="AF950" i="16"/>
  <c r="Z951" i="16"/>
  <c r="AF951" i="16"/>
  <c r="Z952" i="16"/>
  <c r="AF952" i="16"/>
  <c r="Z953" i="16"/>
  <c r="AF953" i="16"/>
  <c r="Z954" i="16"/>
  <c r="AF954" i="16"/>
  <c r="Z955" i="16"/>
  <c r="AF955" i="16"/>
  <c r="Z956" i="16"/>
  <c r="AF956" i="16"/>
  <c r="Z957" i="16"/>
  <c r="AF957" i="16"/>
  <c r="Z958" i="16"/>
  <c r="AF958" i="16"/>
  <c r="Z959" i="16"/>
  <c r="AF959" i="16"/>
  <c r="Z960" i="16"/>
  <c r="AF960" i="16"/>
  <c r="Z961" i="16"/>
  <c r="AF961" i="16"/>
  <c r="Z962" i="16"/>
  <c r="AF962" i="16"/>
  <c r="Z963" i="16"/>
  <c r="AF963" i="16"/>
  <c r="Z964" i="16"/>
  <c r="AF964" i="16"/>
  <c r="Z965" i="16"/>
  <c r="AF965" i="16"/>
  <c r="Z966" i="16"/>
  <c r="AF966" i="16"/>
  <c r="Z967" i="16"/>
  <c r="AF967" i="16"/>
  <c r="Z968" i="16"/>
  <c r="AF968" i="16"/>
  <c r="Z969" i="16"/>
  <c r="AF969" i="16"/>
  <c r="Z970" i="16"/>
  <c r="AF970" i="16"/>
  <c r="Z971" i="16"/>
  <c r="AF971" i="16"/>
  <c r="Z972" i="16"/>
  <c r="AF972" i="16"/>
  <c r="Z973" i="16"/>
  <c r="AF973" i="16"/>
  <c r="Z974" i="16"/>
  <c r="AF974" i="16"/>
  <c r="Z975" i="16"/>
  <c r="AF975" i="16"/>
  <c r="Z976" i="16"/>
  <c r="AF976" i="16"/>
  <c r="Z977" i="16"/>
  <c r="AF977" i="16"/>
  <c r="Z978" i="16"/>
  <c r="AF978" i="16"/>
  <c r="Z979" i="16"/>
  <c r="AF979" i="16"/>
  <c r="Z980" i="16"/>
  <c r="AF980" i="16"/>
  <c r="Z981" i="16"/>
  <c r="AF981" i="16"/>
  <c r="Z982" i="16"/>
  <c r="AF982" i="16"/>
  <c r="Z983" i="16"/>
  <c r="AF983" i="16"/>
  <c r="Z984" i="16"/>
  <c r="AF984" i="16"/>
  <c r="Z985" i="16"/>
  <c r="AF985" i="16"/>
  <c r="Z986" i="16"/>
  <c r="AF986" i="16"/>
  <c r="Z987" i="16"/>
  <c r="AF987" i="16"/>
  <c r="Z988" i="16"/>
  <c r="AF988" i="16"/>
  <c r="Z989" i="16"/>
  <c r="AF989" i="16"/>
  <c r="Z990" i="16"/>
  <c r="AF990" i="16"/>
  <c r="Z991" i="16"/>
  <c r="AF991" i="16"/>
  <c r="Z992" i="16"/>
  <c r="AF992" i="16"/>
  <c r="Z993" i="16"/>
  <c r="AF993" i="16"/>
  <c r="Z994" i="16"/>
  <c r="AF994" i="16"/>
  <c r="Z995" i="16"/>
  <c r="AF995" i="16"/>
  <c r="Z996" i="16"/>
  <c r="AF996" i="16"/>
  <c r="Z997" i="16"/>
  <c r="AF997" i="16"/>
  <c r="Z998" i="16"/>
  <c r="AF998" i="16"/>
  <c r="Z999" i="16"/>
  <c r="AF999" i="16"/>
  <c r="Z1000" i="16"/>
  <c r="AF1000" i="16"/>
  <c r="Z1001" i="16"/>
  <c r="AF1001" i="16"/>
  <c r="Z1002" i="16"/>
  <c r="AF1002" i="16"/>
  <c r="Z1003" i="16"/>
  <c r="AF1003" i="16"/>
  <c r="Z1004" i="16"/>
  <c r="AF1004" i="16"/>
  <c r="Z1005" i="16"/>
  <c r="AF1005" i="16"/>
  <c r="Z1006" i="16"/>
  <c r="AF1006" i="16"/>
  <c r="Z1007" i="16"/>
  <c r="AF1007" i="16"/>
  <c r="Z1008" i="16"/>
  <c r="AF1008" i="16"/>
  <c r="Z1009" i="16"/>
  <c r="AF1009" i="16"/>
  <c r="Z1010" i="16"/>
  <c r="AF1010" i="16"/>
  <c r="Z1011" i="16"/>
  <c r="AF1011" i="16"/>
  <c r="Z1012" i="16"/>
  <c r="AF1012" i="16"/>
  <c r="Z1013" i="16"/>
  <c r="AF1013" i="16"/>
  <c r="Z1014" i="16"/>
  <c r="AF1014" i="16"/>
  <c r="Z1015" i="16"/>
  <c r="AF1015" i="16"/>
  <c r="Z1016" i="16"/>
  <c r="AF1016" i="16"/>
  <c r="Z1017" i="16"/>
  <c r="AF1017" i="16"/>
  <c r="Z1018" i="16"/>
  <c r="AF1018" i="16"/>
  <c r="Z1019" i="16"/>
  <c r="AF1019" i="16"/>
  <c r="Z1020" i="16"/>
  <c r="AF1020" i="16"/>
  <c r="Z1021" i="16"/>
  <c r="AF1021" i="16"/>
  <c r="Z1022" i="16"/>
  <c r="AF1022" i="16"/>
  <c r="Z1023" i="16"/>
  <c r="AF1023" i="16"/>
  <c r="Z1024" i="16"/>
  <c r="AF1024" i="16"/>
  <c r="Z1025" i="16"/>
  <c r="AF1025" i="16"/>
  <c r="Z1026" i="16"/>
  <c r="AF1026" i="16"/>
  <c r="Z1027" i="16"/>
  <c r="AF1027" i="16"/>
  <c r="Z1028" i="16"/>
  <c r="AF1028" i="16"/>
  <c r="Z1029" i="16"/>
  <c r="AF1029" i="16"/>
  <c r="Z1030" i="16"/>
  <c r="AF1030" i="16"/>
  <c r="Z1031" i="16"/>
  <c r="AF1031" i="16"/>
  <c r="Z1032" i="16"/>
  <c r="AF1032" i="16"/>
  <c r="Z1033" i="16"/>
  <c r="AF1033" i="16"/>
  <c r="Z1034" i="16"/>
  <c r="AF1034" i="16"/>
  <c r="Z1035" i="16"/>
  <c r="AF1035" i="16"/>
  <c r="Z1036" i="16"/>
  <c r="AF1036" i="16"/>
  <c r="Z1037" i="16"/>
  <c r="AF1037" i="16"/>
  <c r="Z1038" i="16"/>
  <c r="AF1038" i="16"/>
  <c r="Z1039" i="16"/>
  <c r="AF1039" i="16"/>
  <c r="Z1040" i="16"/>
  <c r="AF1040" i="16"/>
  <c r="Z1041" i="16"/>
  <c r="AF1041" i="16"/>
  <c r="Z1042" i="16"/>
  <c r="AF1042" i="16"/>
  <c r="Z1043" i="16"/>
  <c r="AF1043" i="16"/>
  <c r="Z1044" i="16"/>
  <c r="AF1044" i="16"/>
  <c r="Z1045" i="16"/>
  <c r="AF1045" i="16"/>
  <c r="Z1046" i="16"/>
  <c r="AF1046" i="16"/>
  <c r="Z1047" i="16"/>
  <c r="AF1047" i="16"/>
  <c r="Z1048" i="16"/>
  <c r="AF1048" i="16"/>
  <c r="Z1049" i="16"/>
  <c r="AF1049" i="16"/>
  <c r="Z1050" i="16"/>
  <c r="AF1050" i="16"/>
  <c r="Z1051" i="16"/>
  <c r="AF1051" i="16"/>
  <c r="Z1052" i="16"/>
  <c r="AF1052" i="16"/>
  <c r="Z1053" i="16"/>
  <c r="AF1053" i="16"/>
  <c r="Z1054" i="16"/>
  <c r="AF1054" i="16"/>
  <c r="Z1055" i="16"/>
  <c r="AF1055" i="16"/>
  <c r="Z1056" i="16"/>
  <c r="AF1056" i="16"/>
  <c r="Z1057" i="16"/>
  <c r="AF1057" i="16"/>
  <c r="Z1058" i="16"/>
  <c r="AF1058" i="16"/>
  <c r="Z1059" i="16"/>
  <c r="AF1059" i="16"/>
  <c r="Z1060" i="16"/>
  <c r="AF1060" i="16"/>
  <c r="Z1061" i="16"/>
  <c r="AF1061" i="16"/>
  <c r="Z1062" i="16"/>
  <c r="AF1062" i="16"/>
  <c r="Z1063" i="16"/>
  <c r="AF1063" i="16"/>
  <c r="Z1064" i="16"/>
  <c r="AF1064" i="16"/>
  <c r="Z1065" i="16"/>
  <c r="AF1065" i="16"/>
  <c r="Z1066" i="16"/>
  <c r="AF1066" i="16"/>
  <c r="Z1067" i="16"/>
  <c r="AF1067" i="16"/>
  <c r="Z1068" i="16"/>
  <c r="AF1068" i="16"/>
  <c r="Z1069" i="16"/>
  <c r="AF1069" i="16"/>
  <c r="Z1070" i="16"/>
  <c r="AF1070" i="16"/>
  <c r="Z1071" i="16"/>
  <c r="AF1071" i="16"/>
  <c r="Z1072" i="16"/>
  <c r="AF1072" i="16"/>
  <c r="Z1073" i="16"/>
  <c r="AF1073" i="16"/>
  <c r="Z1074" i="16"/>
  <c r="AF1074" i="16"/>
  <c r="Z1075" i="16"/>
  <c r="AF1075" i="16"/>
  <c r="Z1076" i="16"/>
  <c r="AF1076" i="16"/>
  <c r="Z1077" i="16"/>
  <c r="AF1077" i="16"/>
  <c r="Z1078" i="16"/>
  <c r="AF1078" i="16"/>
  <c r="Z1079" i="16"/>
  <c r="AF1079" i="16"/>
  <c r="Z1080" i="16"/>
  <c r="AF1080" i="16"/>
  <c r="Z1081" i="16"/>
  <c r="AF1081" i="16"/>
  <c r="Z1082" i="16"/>
  <c r="AF1082" i="16"/>
  <c r="Z1083" i="16"/>
  <c r="AF1083" i="16"/>
  <c r="Z1084" i="16"/>
  <c r="AF1084" i="16"/>
  <c r="Z1085" i="16"/>
  <c r="AF1085" i="16"/>
  <c r="Z1086" i="16"/>
  <c r="AF1086" i="16"/>
  <c r="Z1087" i="16"/>
  <c r="AF1087" i="16"/>
  <c r="Z1088" i="16"/>
  <c r="AF1088" i="16"/>
  <c r="Z1089" i="16"/>
  <c r="AF1089" i="16"/>
  <c r="Z1090" i="16"/>
  <c r="AF1090" i="16"/>
  <c r="Z1091" i="16"/>
  <c r="AF1091" i="16"/>
  <c r="Z1092" i="16"/>
  <c r="AF1092" i="16"/>
  <c r="Z1093" i="16"/>
  <c r="AF1093" i="16"/>
  <c r="Z1094" i="16"/>
  <c r="AF1094" i="16"/>
  <c r="Z1095" i="16"/>
  <c r="AF1095" i="16"/>
  <c r="Z1096" i="16"/>
  <c r="AF1096" i="16"/>
  <c r="Z1097" i="16"/>
  <c r="AF1097" i="16"/>
  <c r="Z1098" i="16"/>
  <c r="AF1098" i="16"/>
  <c r="Z1099" i="16"/>
  <c r="AF1099" i="16"/>
  <c r="Z1100" i="16"/>
  <c r="AF1100" i="16"/>
  <c r="Z1101" i="16"/>
  <c r="AF1101" i="16"/>
  <c r="Z1102" i="16"/>
  <c r="AF1102" i="16"/>
  <c r="Z1103" i="16"/>
  <c r="AF1103" i="16"/>
  <c r="Z1104" i="16"/>
  <c r="AF1104" i="16"/>
  <c r="Z1105" i="16"/>
  <c r="AF1105" i="16"/>
  <c r="Z1106" i="16"/>
  <c r="AF1106" i="16"/>
  <c r="Z1107" i="16"/>
  <c r="AF1107" i="16"/>
  <c r="Z1108" i="16"/>
  <c r="AF1108" i="16"/>
  <c r="Z1109" i="16"/>
  <c r="AF1109" i="16"/>
  <c r="Z1110" i="16"/>
  <c r="AF1110" i="16"/>
  <c r="Z1111" i="16"/>
  <c r="AF1111" i="16"/>
  <c r="Z1112" i="16"/>
  <c r="AF1112" i="16"/>
  <c r="Z1113" i="16"/>
  <c r="AF1113" i="16"/>
  <c r="Z1114" i="16"/>
  <c r="AF1114" i="16"/>
  <c r="Z1115" i="16"/>
  <c r="AF1115" i="16"/>
  <c r="Z1116" i="16"/>
  <c r="AF1116" i="16"/>
  <c r="Z1117" i="16"/>
  <c r="AF1117" i="16"/>
  <c r="Z1118" i="16"/>
  <c r="AF1118" i="16"/>
  <c r="Z1119" i="16"/>
  <c r="AF1119" i="16"/>
  <c r="Z1120" i="16"/>
  <c r="AF1120" i="16"/>
  <c r="Z1121" i="16"/>
  <c r="AF1121" i="16"/>
  <c r="Z1122" i="16"/>
  <c r="AF1122" i="16"/>
  <c r="Z1123" i="16"/>
  <c r="AF1123" i="16"/>
  <c r="Z1124" i="16"/>
  <c r="AF1124" i="16"/>
  <c r="Z1125" i="16"/>
  <c r="AF1125" i="16"/>
  <c r="Z1126" i="16"/>
  <c r="AF1126" i="16"/>
  <c r="Z1127" i="16"/>
  <c r="AF1127" i="16"/>
  <c r="Z1128" i="16"/>
  <c r="AF1128" i="16"/>
  <c r="Z1129" i="16"/>
  <c r="AF1129" i="16"/>
  <c r="Z1130" i="16"/>
  <c r="AF1130" i="16"/>
  <c r="Z1131" i="16"/>
  <c r="AF1131" i="16"/>
  <c r="Z1132" i="16"/>
  <c r="AF1132" i="16"/>
  <c r="Z1133" i="16"/>
  <c r="AF1133" i="16"/>
  <c r="Z1134" i="16"/>
  <c r="AF1134" i="16"/>
  <c r="Z1135" i="16"/>
  <c r="AF1135" i="16"/>
  <c r="Z1136" i="16"/>
  <c r="AF1136" i="16"/>
  <c r="Z1137" i="16"/>
  <c r="AF1137" i="16"/>
  <c r="Z1138" i="16"/>
  <c r="AF1138" i="16"/>
  <c r="Z1139" i="16"/>
  <c r="AF1139" i="16"/>
  <c r="Z1140" i="16"/>
  <c r="AF1140" i="16"/>
  <c r="Z1141" i="16"/>
  <c r="AF1141" i="16"/>
  <c r="Z1142" i="16"/>
  <c r="AF1142" i="16"/>
  <c r="Z1143" i="16"/>
  <c r="AF1143" i="16"/>
  <c r="Z1144" i="16"/>
  <c r="AF1144" i="16"/>
  <c r="Z1145" i="16"/>
  <c r="AF1145" i="16"/>
  <c r="Z1146" i="16"/>
  <c r="AF1146" i="16"/>
  <c r="Z1147" i="16"/>
  <c r="AF1147" i="16"/>
  <c r="Z1148" i="16"/>
  <c r="AF1148" i="16"/>
  <c r="Z1149" i="16"/>
  <c r="AF1149" i="16"/>
  <c r="Z1150" i="16"/>
  <c r="AF1150" i="16"/>
  <c r="Z1151" i="16"/>
  <c r="AF1151" i="16"/>
  <c r="Z1152" i="16"/>
  <c r="AF1152" i="16"/>
  <c r="Z1153" i="16"/>
  <c r="AF1153" i="16"/>
  <c r="Z1154" i="16"/>
  <c r="AF1154" i="16"/>
  <c r="Z1155" i="16"/>
  <c r="AF1155" i="16"/>
  <c r="Z1156" i="16"/>
  <c r="AF1156" i="16"/>
  <c r="Z1157" i="16"/>
  <c r="AF1157" i="16"/>
  <c r="Z1158" i="16"/>
  <c r="AF1158" i="16"/>
  <c r="Z1159" i="16"/>
  <c r="AF1159" i="16"/>
  <c r="Z1160" i="16"/>
  <c r="AF1160" i="16"/>
  <c r="Z1161" i="16"/>
  <c r="AF1161" i="16"/>
  <c r="Z1162" i="16"/>
  <c r="AF1162" i="16"/>
  <c r="Z1163" i="16"/>
  <c r="AF1163" i="16"/>
  <c r="Z1164" i="16"/>
  <c r="AF1164" i="16"/>
  <c r="Z1165" i="16"/>
  <c r="AF1165" i="16"/>
  <c r="Z1166" i="16"/>
  <c r="AF1166" i="16"/>
  <c r="Z1167" i="16"/>
  <c r="AF1167" i="16"/>
  <c r="Z1168" i="16"/>
  <c r="AF1168" i="16"/>
  <c r="Z1169" i="16"/>
  <c r="AF1169" i="16"/>
  <c r="Z1170" i="16"/>
  <c r="AF1170" i="16"/>
  <c r="Z1171" i="16"/>
  <c r="AF1171" i="16"/>
  <c r="Z1172" i="16"/>
  <c r="AF1172" i="16"/>
  <c r="Z1173" i="16"/>
  <c r="AF1173" i="16"/>
  <c r="Z1174" i="16"/>
  <c r="AF1174" i="16"/>
  <c r="Z1175" i="16"/>
  <c r="AF1175" i="16"/>
  <c r="Z1176" i="16"/>
  <c r="AF1176" i="16"/>
  <c r="Z1177" i="16"/>
  <c r="AF1177" i="16"/>
  <c r="Z1178" i="16"/>
  <c r="AF1178" i="16"/>
  <c r="Z1179" i="16"/>
  <c r="AF1179" i="16"/>
  <c r="Z1180" i="16"/>
  <c r="AF1180" i="16"/>
  <c r="Z1181" i="16"/>
  <c r="AF1181" i="16"/>
  <c r="Z1182" i="16"/>
  <c r="AF1182" i="16"/>
  <c r="Z1183" i="16"/>
  <c r="AF1183" i="16"/>
  <c r="Z1184" i="16"/>
  <c r="AF1184" i="16"/>
  <c r="Z1185" i="16"/>
  <c r="AF1185" i="16"/>
  <c r="Z1186" i="16"/>
  <c r="AF1186" i="16"/>
  <c r="Z1187" i="16"/>
  <c r="AF1187" i="16"/>
  <c r="Z1188" i="16"/>
  <c r="AF1188" i="16"/>
  <c r="Z1189" i="16"/>
  <c r="AF1189" i="16"/>
  <c r="Z1190" i="16"/>
  <c r="AF1190" i="16"/>
  <c r="Z1191" i="16"/>
  <c r="AF1191" i="16"/>
  <c r="Z1192" i="16"/>
  <c r="AF1192" i="16"/>
  <c r="Z1193" i="16"/>
  <c r="AF1193" i="16"/>
  <c r="Z1194" i="16"/>
  <c r="AF1194" i="16"/>
  <c r="Z1195" i="16"/>
  <c r="AF1195" i="16"/>
  <c r="Z1196" i="16"/>
  <c r="AF1196" i="16"/>
  <c r="Z1197" i="16"/>
  <c r="AF1197" i="16"/>
  <c r="Z1198" i="16"/>
  <c r="AF1198" i="16"/>
  <c r="Z1199" i="16"/>
  <c r="AF1199" i="16"/>
  <c r="Z1200" i="16"/>
  <c r="AF1200" i="16"/>
  <c r="Z1201" i="16"/>
  <c r="AF1201" i="16"/>
  <c r="Z1202" i="16"/>
  <c r="AF1202" i="16"/>
  <c r="Z1203" i="16"/>
  <c r="AF1203" i="16"/>
  <c r="Z1204" i="16"/>
  <c r="AF1204" i="16"/>
  <c r="Z1205" i="16"/>
  <c r="AF1205" i="16"/>
  <c r="Z1206" i="16"/>
  <c r="AF1206" i="16"/>
  <c r="Z1207" i="16"/>
  <c r="AF1207" i="16"/>
  <c r="Z1208" i="16"/>
  <c r="AF1208" i="16"/>
  <c r="Z1209" i="16"/>
  <c r="AF1209" i="16"/>
  <c r="Z1210" i="16"/>
  <c r="AF1210" i="16"/>
  <c r="Z1211" i="16"/>
  <c r="AF1211" i="16"/>
  <c r="Z1212" i="16"/>
  <c r="AF1212" i="16"/>
  <c r="Z1213" i="16"/>
  <c r="AF1213" i="16"/>
  <c r="Z1214" i="16"/>
  <c r="AF1214" i="16"/>
  <c r="Z1215" i="16"/>
  <c r="AF1215" i="16"/>
  <c r="Z1216" i="16"/>
  <c r="AF1216" i="16"/>
  <c r="Z1217" i="16"/>
  <c r="AF1217" i="16"/>
  <c r="Z1218" i="16"/>
  <c r="AF1218" i="16"/>
  <c r="Z1219" i="16"/>
  <c r="AF1219" i="16"/>
  <c r="Z1220" i="16"/>
  <c r="AF1220" i="16"/>
  <c r="Z1221" i="16"/>
  <c r="AF1221" i="16"/>
  <c r="Z1222" i="16"/>
  <c r="AF1222" i="16"/>
  <c r="Z1223" i="16"/>
  <c r="AF1223" i="16"/>
  <c r="Z1224" i="16"/>
  <c r="AF1224" i="16"/>
  <c r="Z1225" i="16"/>
  <c r="AF1225" i="16"/>
  <c r="Z1226" i="16"/>
  <c r="AF1226" i="16"/>
  <c r="Z1227" i="16"/>
  <c r="AF1227" i="16"/>
  <c r="Z1228" i="16"/>
  <c r="AF1228" i="16"/>
  <c r="Z1229" i="16"/>
  <c r="AF1229" i="16"/>
  <c r="Z1230" i="16"/>
  <c r="AF1230" i="16"/>
  <c r="Z1231" i="16"/>
  <c r="AF1231" i="16"/>
  <c r="Z1232" i="16"/>
  <c r="AF1232" i="16"/>
  <c r="Z1233" i="16"/>
  <c r="AF1233" i="16"/>
  <c r="Z1234" i="16"/>
  <c r="AF1234" i="16"/>
  <c r="Z1235" i="16"/>
  <c r="AF1235" i="16"/>
  <c r="Z1236" i="16"/>
  <c r="AF1236" i="16"/>
  <c r="Z1237" i="16"/>
  <c r="AF1237" i="16"/>
  <c r="Z1238" i="16"/>
  <c r="AF1238" i="16"/>
  <c r="Z1239" i="16"/>
  <c r="AF1239" i="16"/>
  <c r="Z1240" i="16"/>
  <c r="AF1240" i="16"/>
  <c r="Z1241" i="16"/>
  <c r="AF1241" i="16"/>
  <c r="Z1242" i="16"/>
  <c r="AF1242" i="16"/>
  <c r="Z1243" i="16"/>
  <c r="AF1243" i="16"/>
  <c r="Z1244" i="16"/>
  <c r="AF1244" i="16"/>
  <c r="Z1245" i="16"/>
  <c r="AF1245" i="16"/>
  <c r="Z1246" i="16"/>
  <c r="AF1246" i="16"/>
  <c r="Z1247" i="16"/>
  <c r="AF1247" i="16"/>
  <c r="Z1248" i="16"/>
  <c r="AF1248" i="16"/>
  <c r="Z1249" i="16"/>
  <c r="AF1249" i="16"/>
  <c r="Z1250" i="16"/>
  <c r="AF1250" i="16"/>
  <c r="Z1251" i="16"/>
  <c r="AF1251" i="16"/>
  <c r="Z1252" i="16"/>
  <c r="AF1252" i="16"/>
  <c r="Z1253" i="16"/>
  <c r="AF1253" i="16"/>
  <c r="Z1254" i="16"/>
  <c r="AF1254" i="16"/>
  <c r="Z1255" i="16"/>
  <c r="AF1255" i="16"/>
  <c r="Z1256" i="16"/>
  <c r="AF1256" i="16"/>
  <c r="Z1257" i="16"/>
  <c r="AF1257" i="16"/>
  <c r="Z1258" i="16"/>
  <c r="AF1258" i="16"/>
  <c r="Z1259" i="16"/>
  <c r="AF1259" i="16"/>
  <c r="Z1260" i="16"/>
  <c r="AF1260" i="16"/>
  <c r="Z1261" i="16"/>
  <c r="AF1261" i="16"/>
  <c r="D7" i="25"/>
  <c r="R7" i="25"/>
  <c r="S7" i="25"/>
  <c r="V7" i="25"/>
  <c r="W7" i="25"/>
  <c r="X7" i="25"/>
  <c r="D9" i="25"/>
  <c r="R9" i="25"/>
  <c r="S9" i="25"/>
  <c r="V9" i="25"/>
  <c r="W9" i="25"/>
  <c r="X9" i="25"/>
  <c r="D11" i="25"/>
  <c r="R11" i="25"/>
  <c r="S11" i="25"/>
  <c r="V11" i="25"/>
  <c r="W11" i="25"/>
  <c r="X11" i="25"/>
  <c r="D13" i="25"/>
  <c r="R13" i="25"/>
  <c r="S13" i="25"/>
  <c r="V13" i="25"/>
  <c r="W13" i="25"/>
  <c r="X13" i="25"/>
  <c r="D14" i="25"/>
  <c r="R14" i="25"/>
  <c r="S14" i="25"/>
  <c r="V14" i="25"/>
  <c r="W14" i="25"/>
  <c r="X14" i="25"/>
  <c r="D15" i="25"/>
  <c r="R15" i="25"/>
  <c r="S15" i="25"/>
  <c r="V15" i="25"/>
  <c r="W15" i="25"/>
  <c r="X15" i="25"/>
  <c r="Y2" i="17"/>
  <c r="Z2" i="17"/>
  <c r="AD2" i="17"/>
  <c r="AE2" i="17"/>
  <c r="AJ2" i="17"/>
  <c r="Y3" i="17"/>
  <c r="Z3" i="17"/>
  <c r="AD3" i="17"/>
  <c r="AE3" i="17"/>
  <c r="AJ3" i="17"/>
  <c r="Y4" i="17"/>
  <c r="Z4" i="17"/>
  <c r="AD4" i="17"/>
  <c r="AE4" i="17"/>
  <c r="Y5" i="17"/>
  <c r="Z5" i="17"/>
  <c r="AD5" i="17"/>
  <c r="AE5" i="17"/>
  <c r="AJ5" i="17"/>
  <c r="Y6" i="17"/>
  <c r="Z6" i="17"/>
  <c r="AD6" i="17"/>
  <c r="AE6" i="17"/>
  <c r="AJ6" i="17"/>
  <c r="Y7" i="17"/>
  <c r="Z7" i="17"/>
  <c r="AD7" i="17"/>
  <c r="AE7" i="17"/>
  <c r="AJ7" i="17"/>
  <c r="Y8" i="17"/>
  <c r="Z8" i="17"/>
  <c r="AD8" i="17"/>
  <c r="AE8" i="17"/>
  <c r="AJ8" i="17"/>
  <c r="Y9" i="17"/>
  <c r="Z9" i="17"/>
  <c r="AD9" i="17"/>
  <c r="AE9" i="17"/>
  <c r="Y10" i="17"/>
  <c r="Z10" i="17"/>
  <c r="AD10" i="17"/>
  <c r="AE10" i="17"/>
  <c r="Y11" i="17"/>
  <c r="Z11" i="17"/>
  <c r="AD11" i="17"/>
  <c r="AE11" i="17"/>
  <c r="Y12" i="17"/>
  <c r="Z12" i="17"/>
  <c r="AD12" i="17"/>
  <c r="AE12" i="17"/>
  <c r="Y13" i="17"/>
  <c r="Z13" i="17"/>
  <c r="AD13" i="17"/>
  <c r="AE13" i="17"/>
  <c r="Z14" i="17"/>
  <c r="AE14" i="17"/>
  <c r="Z15" i="17"/>
  <c r="AE15" i="17"/>
  <c r="Z16" i="17"/>
  <c r="AE16" i="17"/>
  <c r="Z17" i="17"/>
  <c r="AE17" i="17"/>
  <c r="Z18" i="17"/>
  <c r="AE18" i="17"/>
  <c r="Z19" i="17"/>
  <c r="AE19" i="17"/>
  <c r="Z20" i="17"/>
  <c r="AE20" i="17"/>
  <c r="Z21" i="17"/>
  <c r="AE21" i="17"/>
  <c r="Z22" i="17"/>
  <c r="AE22" i="17"/>
  <c r="Z23" i="17"/>
  <c r="AE23" i="17"/>
  <c r="Z24" i="17"/>
  <c r="AE24" i="17"/>
  <c r="Z25" i="17"/>
  <c r="AE25" i="17"/>
  <c r="Y26" i="17"/>
  <c r="Z26" i="17"/>
  <c r="AD26" i="17"/>
  <c r="AE26" i="17"/>
  <c r="Y27" i="17"/>
  <c r="Z27" i="17"/>
  <c r="AD27" i="17"/>
  <c r="AE27" i="17"/>
  <c r="Y28" i="17"/>
  <c r="Z28" i="17"/>
  <c r="AD28" i="17"/>
  <c r="AE28" i="17"/>
  <c r="Y29" i="17"/>
  <c r="Z29" i="17"/>
  <c r="AD29" i="17"/>
  <c r="AE29" i="17"/>
  <c r="Y30" i="17"/>
  <c r="Z30" i="17"/>
  <c r="AD30" i="17"/>
  <c r="AE30" i="17"/>
  <c r="Y31" i="17"/>
  <c r="Z31" i="17"/>
  <c r="AD31" i="17"/>
  <c r="AE31" i="17"/>
  <c r="Y32" i="17"/>
  <c r="Z32" i="17"/>
  <c r="AD32" i="17"/>
  <c r="AE32" i="17"/>
  <c r="Y33" i="17"/>
  <c r="Z33" i="17"/>
  <c r="AD33" i="17"/>
  <c r="AE33" i="17"/>
  <c r="Y34" i="17"/>
  <c r="Z34" i="17"/>
  <c r="AD34" i="17"/>
  <c r="AE34" i="17"/>
  <c r="Y35" i="17"/>
  <c r="Z35" i="17"/>
  <c r="AD35" i="17"/>
  <c r="AE35" i="17"/>
  <c r="Y36" i="17"/>
  <c r="Z36" i="17"/>
  <c r="AD36" i="17"/>
  <c r="AE36" i="17"/>
  <c r="Y37" i="17"/>
  <c r="Z37" i="17"/>
  <c r="AD37" i="17"/>
  <c r="AE37" i="17"/>
  <c r="Y38" i="17"/>
  <c r="Z38" i="17"/>
  <c r="AD38" i="17"/>
  <c r="AE38" i="17"/>
  <c r="Y39" i="17"/>
  <c r="Z39" i="17"/>
  <c r="AD39" i="17"/>
  <c r="AE39" i="17"/>
  <c r="Y40" i="17"/>
  <c r="Z40" i="17"/>
  <c r="AD40" i="17"/>
  <c r="AE40" i="17"/>
  <c r="Y41" i="17"/>
  <c r="Z41" i="17"/>
  <c r="AD41" i="17"/>
  <c r="AE41" i="17"/>
  <c r="Y42" i="17"/>
  <c r="Z42" i="17"/>
  <c r="AD42" i="17"/>
  <c r="AE42" i="17"/>
  <c r="Y43" i="17"/>
  <c r="Z43" i="17"/>
  <c r="AD43" i="17"/>
  <c r="AE43" i="17"/>
  <c r="Y44" i="17"/>
  <c r="Z44" i="17"/>
  <c r="AD44" i="17"/>
  <c r="AE44" i="17"/>
  <c r="Y45" i="17"/>
  <c r="Z45" i="17"/>
  <c r="AD45" i="17"/>
  <c r="AE45" i="17"/>
  <c r="Y46" i="17"/>
  <c r="Z46" i="17"/>
  <c r="AD46" i="17"/>
  <c r="AE46" i="17"/>
  <c r="Y47" i="17"/>
  <c r="Z47" i="17"/>
  <c r="AD47" i="17"/>
  <c r="AE47" i="17"/>
  <c r="Y48" i="17"/>
  <c r="Z48" i="17"/>
  <c r="AD48" i="17"/>
  <c r="AE48" i="17"/>
  <c r="Y49" i="17"/>
  <c r="Z49" i="17"/>
  <c r="AD49" i="17"/>
  <c r="AE49" i="17"/>
  <c r="Y50" i="17"/>
  <c r="Z50" i="17"/>
  <c r="AD50" i="17"/>
  <c r="AE50" i="17"/>
  <c r="Y51" i="17"/>
  <c r="Z51" i="17"/>
  <c r="AD51" i="17"/>
  <c r="AE51" i="17"/>
  <c r="Y52" i="17"/>
  <c r="Z52" i="17"/>
  <c r="AD52" i="17"/>
  <c r="AE52" i="17"/>
  <c r="Y53" i="17"/>
  <c r="Z53" i="17"/>
  <c r="AD53" i="17"/>
  <c r="AE53" i="17"/>
  <c r="Y54" i="17"/>
  <c r="Z54" i="17"/>
  <c r="AD54" i="17"/>
  <c r="AE54" i="17"/>
  <c r="Y55" i="17"/>
  <c r="Z55" i="17"/>
  <c r="AD55" i="17"/>
  <c r="AE55" i="17"/>
  <c r="Y56" i="17"/>
  <c r="Z56" i="17"/>
  <c r="AD56" i="17"/>
  <c r="AE56" i="17"/>
  <c r="Y57" i="17"/>
  <c r="Z57" i="17"/>
  <c r="AD57" i="17"/>
  <c r="AE57" i="17"/>
  <c r="Y58" i="17"/>
  <c r="Z58" i="17"/>
  <c r="AD58" i="17"/>
  <c r="AE58" i="17"/>
  <c r="Y59" i="17"/>
  <c r="Z59" i="17"/>
  <c r="AD59" i="17"/>
  <c r="AE59" i="17"/>
  <c r="Y60" i="17"/>
  <c r="Z60" i="17"/>
  <c r="AD60" i="17"/>
  <c r="AE60" i="17"/>
  <c r="Y61" i="17"/>
  <c r="Z61" i="17"/>
  <c r="AD61" i="17"/>
  <c r="AE61" i="17"/>
  <c r="Y62" i="17"/>
  <c r="Z62" i="17"/>
  <c r="AD62" i="17"/>
  <c r="AE62" i="17"/>
  <c r="Y63" i="17"/>
  <c r="Z63" i="17"/>
  <c r="AD63" i="17"/>
  <c r="AE63" i="17"/>
  <c r="Y64" i="17"/>
  <c r="Z64" i="17"/>
  <c r="AD64" i="17"/>
  <c r="AE64" i="17"/>
  <c r="Y65" i="17"/>
  <c r="Z65" i="17"/>
  <c r="AD65" i="17"/>
  <c r="AE65" i="17"/>
  <c r="Y66" i="17"/>
  <c r="Z66" i="17"/>
  <c r="AD66" i="17"/>
  <c r="AE66" i="17"/>
  <c r="Y67" i="17"/>
  <c r="Z67" i="17"/>
  <c r="AD67" i="17"/>
  <c r="AE67" i="17"/>
  <c r="Y68" i="17"/>
  <c r="Z68" i="17"/>
  <c r="AD68" i="17"/>
  <c r="AE68" i="17"/>
  <c r="Y69" i="17"/>
  <c r="Z69" i="17"/>
  <c r="AD69" i="17"/>
  <c r="AE69" i="17"/>
  <c r="Y70" i="17"/>
  <c r="Z70" i="17"/>
  <c r="AD70" i="17"/>
  <c r="AE70" i="17"/>
  <c r="Y71" i="17"/>
  <c r="Z71" i="17"/>
  <c r="AD71" i="17"/>
  <c r="AE71" i="17"/>
  <c r="Y72" i="17"/>
  <c r="Z72" i="17"/>
  <c r="AD72" i="17"/>
  <c r="AE72" i="17"/>
  <c r="Y73" i="17"/>
  <c r="Z73" i="17"/>
  <c r="AD73" i="17"/>
  <c r="AE73" i="17"/>
  <c r="Y74" i="17"/>
  <c r="Z74" i="17"/>
  <c r="AD74" i="17"/>
  <c r="AE74" i="17"/>
  <c r="Y75" i="17"/>
  <c r="Z75" i="17"/>
  <c r="AD75" i="17"/>
  <c r="AE75" i="17"/>
  <c r="Y76" i="17"/>
  <c r="Z76" i="17"/>
  <c r="AD76" i="17"/>
  <c r="AE76" i="17"/>
  <c r="Y77" i="17"/>
  <c r="Z77" i="17"/>
  <c r="AD77" i="17"/>
  <c r="AE77" i="17"/>
  <c r="Y78" i="17"/>
  <c r="Z78" i="17"/>
  <c r="AD78" i="17"/>
  <c r="AE78" i="17"/>
  <c r="Y79" i="17"/>
  <c r="Z79" i="17"/>
  <c r="AD79" i="17"/>
  <c r="AE79" i="17"/>
  <c r="Y80" i="17"/>
  <c r="Z80" i="17"/>
  <c r="AD80" i="17"/>
  <c r="AE80" i="17"/>
  <c r="Y81" i="17"/>
  <c r="Z81" i="17"/>
  <c r="AD81" i="17"/>
  <c r="AE81" i="17"/>
  <c r="Y82" i="17"/>
  <c r="Z82" i="17"/>
  <c r="AD82" i="17"/>
  <c r="AE82" i="17"/>
  <c r="Y83" i="17"/>
  <c r="Z83" i="17"/>
  <c r="AD83" i="17"/>
  <c r="AE83" i="17"/>
  <c r="Y84" i="17"/>
  <c r="Z84" i="17"/>
  <c r="AD84" i="17"/>
  <c r="AE84" i="17"/>
  <c r="Y85" i="17"/>
  <c r="Z85" i="17"/>
  <c r="AD85" i="17"/>
  <c r="AE85" i="17"/>
  <c r="Y86" i="17"/>
  <c r="Z86" i="17"/>
  <c r="AD86" i="17"/>
  <c r="AE86" i="17"/>
  <c r="Y87" i="17"/>
  <c r="Z87" i="17"/>
  <c r="AD87" i="17"/>
  <c r="AE87" i="17"/>
  <c r="Y88" i="17"/>
  <c r="AD88" i="17"/>
  <c r="Y89" i="17"/>
  <c r="AD89" i="17"/>
  <c r="Y90" i="17"/>
  <c r="AD90" i="17"/>
  <c r="Y91" i="17"/>
  <c r="AD91" i="17"/>
  <c r="Y92" i="17"/>
  <c r="AD92" i="17"/>
  <c r="Y93" i="17"/>
  <c r="AD93" i="17"/>
  <c r="Y94" i="17"/>
  <c r="AD94" i="17"/>
  <c r="Y95" i="17"/>
  <c r="AD95" i="17"/>
  <c r="Y96" i="17"/>
  <c r="AD96" i="17"/>
  <c r="Y97" i="17"/>
  <c r="AD97" i="17"/>
  <c r="Y98" i="17"/>
  <c r="AD98" i="17"/>
  <c r="Y99" i="17"/>
  <c r="AD99" i="17"/>
  <c r="Y100" i="17"/>
  <c r="AD100" i="17"/>
  <c r="Y101" i="17"/>
  <c r="AD101" i="17"/>
  <c r="Y102" i="17"/>
  <c r="AD102" i="17"/>
  <c r="Y103" i="17"/>
  <c r="AD103" i="17"/>
  <c r="Y104" i="17"/>
  <c r="AD104" i="17"/>
  <c r="Y105" i="17"/>
  <c r="AD105" i="17"/>
  <c r="Y106" i="17"/>
  <c r="AD106" i="17"/>
  <c r="Y107" i="17"/>
  <c r="AD107" i="17"/>
  <c r="Y108" i="17"/>
  <c r="AD108" i="17"/>
  <c r="Y109" i="17"/>
  <c r="AD109" i="17"/>
  <c r="Y110" i="17"/>
  <c r="AD110" i="17"/>
  <c r="Y111" i="17"/>
  <c r="AD111" i="17"/>
  <c r="Y112" i="17"/>
  <c r="AD112" i="17"/>
  <c r="Y113" i="17"/>
  <c r="AD113" i="17"/>
  <c r="Y114" i="17"/>
  <c r="AD114" i="17"/>
  <c r="Y115" i="17"/>
  <c r="AD115" i="17"/>
  <c r="Y116" i="17"/>
  <c r="AD116" i="17"/>
  <c r="Y117" i="17"/>
  <c r="AD117" i="17"/>
  <c r="Y118" i="17"/>
  <c r="AD118" i="17"/>
  <c r="Y119" i="17"/>
  <c r="AD119" i="17"/>
  <c r="Y120" i="17"/>
  <c r="AD120" i="17"/>
  <c r="Y121" i="17"/>
  <c r="AD121" i="17"/>
  <c r="Y122" i="17"/>
  <c r="AD122" i="17"/>
  <c r="Y123" i="17"/>
  <c r="AD123" i="17"/>
  <c r="Z124" i="17"/>
  <c r="AE124" i="17"/>
  <c r="Z125" i="17"/>
  <c r="AE125" i="17"/>
  <c r="Z126" i="17"/>
  <c r="AE126" i="17"/>
  <c r="Z127" i="17"/>
  <c r="AE127" i="17"/>
  <c r="Z128" i="17"/>
  <c r="AE128" i="17"/>
  <c r="Z129" i="17"/>
  <c r="AE129" i="17"/>
  <c r="Z130" i="17"/>
  <c r="AE130" i="17"/>
  <c r="Z131" i="17"/>
  <c r="AE131" i="17"/>
  <c r="Z132" i="17"/>
  <c r="AE132" i="17"/>
  <c r="Z133" i="17"/>
  <c r="AE133" i="17"/>
  <c r="Z134" i="17"/>
  <c r="AE134" i="17"/>
  <c r="Z135" i="17"/>
  <c r="AE135" i="17"/>
  <c r="Y136" i="17"/>
  <c r="AD136" i="17"/>
  <c r="Y137" i="17"/>
  <c r="AD137" i="17"/>
  <c r="Y138" i="17"/>
  <c r="AD138" i="17"/>
  <c r="Y139" i="17"/>
  <c r="AD139" i="17"/>
  <c r="Y140" i="17"/>
  <c r="AD140" i="17"/>
  <c r="Y141" i="17"/>
  <c r="AD141" i="17"/>
  <c r="Y142" i="17"/>
  <c r="AD142" i="17"/>
  <c r="Y143" i="17"/>
  <c r="AD143" i="17"/>
  <c r="Y144" i="17"/>
  <c r="AD144" i="17"/>
  <c r="Y145" i="17"/>
  <c r="AD145" i="17"/>
  <c r="Y146" i="17"/>
  <c r="AD146" i="17"/>
  <c r="Z147" i="17"/>
  <c r="AE147" i="17"/>
  <c r="Z148" i="17"/>
  <c r="AE148" i="17"/>
  <c r="Z149" i="17"/>
  <c r="AE149" i="17"/>
  <c r="Z150" i="17"/>
  <c r="AE150" i="17"/>
  <c r="Z151" i="17"/>
  <c r="AE151" i="17"/>
  <c r="Z152" i="17"/>
  <c r="AE152" i="17"/>
  <c r="Z153" i="17"/>
  <c r="AE153" i="17"/>
  <c r="Z154" i="17"/>
  <c r="AE154" i="17"/>
  <c r="Z155" i="17"/>
  <c r="AE155" i="17"/>
  <c r="Z156" i="17"/>
  <c r="AE156" i="17"/>
  <c r="Z157" i="17"/>
  <c r="AE157" i="17"/>
  <c r="Z158" i="17"/>
  <c r="AE158" i="17"/>
  <c r="Z159" i="17"/>
  <c r="AE159" i="17"/>
  <c r="Z160" i="17"/>
  <c r="AE160" i="17"/>
  <c r="Z161" i="17"/>
  <c r="AE161" i="17"/>
  <c r="Z162" i="17"/>
  <c r="AE162" i="17"/>
  <c r="Z163" i="17"/>
  <c r="AE163" i="17"/>
  <c r="Z164" i="17"/>
  <c r="AE164" i="17"/>
  <c r="Z165" i="17"/>
  <c r="AE165" i="17"/>
  <c r="Z166" i="17"/>
  <c r="AE166" i="17"/>
  <c r="Z167" i="17"/>
  <c r="AE167" i="17"/>
  <c r="Z168" i="17"/>
  <c r="AE168" i="17"/>
  <c r="Z169" i="17"/>
  <c r="AE169" i="17"/>
  <c r="Z170" i="17"/>
  <c r="AE170" i="17"/>
  <c r="Z171" i="17"/>
  <c r="AE171" i="17"/>
  <c r="Y172" i="17"/>
  <c r="AD172" i="17"/>
  <c r="Y173" i="17"/>
  <c r="AD173" i="17"/>
  <c r="Y174" i="17"/>
  <c r="AD174" i="17"/>
  <c r="Y175" i="17"/>
  <c r="AD175" i="17"/>
  <c r="Y176" i="17"/>
  <c r="AD176" i="17"/>
  <c r="Y177" i="17"/>
  <c r="AD177" i="17"/>
  <c r="Y178" i="17"/>
  <c r="AD178" i="17"/>
  <c r="Y179" i="17"/>
  <c r="AD179" i="17"/>
  <c r="Y180" i="17"/>
  <c r="AD180" i="17"/>
  <c r="Y181" i="17"/>
  <c r="AD181" i="17"/>
  <c r="Y182" i="17"/>
  <c r="AD182" i="17"/>
  <c r="Y183" i="17"/>
  <c r="AD183" i="17"/>
  <c r="Y184" i="17"/>
  <c r="AD184" i="17"/>
  <c r="Z185" i="17"/>
  <c r="AE185" i="17"/>
  <c r="Z186" i="17"/>
  <c r="AE186" i="17"/>
  <c r="Z187" i="17"/>
  <c r="AE187" i="17"/>
  <c r="Z188" i="17"/>
  <c r="AE188" i="17"/>
  <c r="Z189" i="17"/>
  <c r="AE189" i="17"/>
  <c r="Z190" i="17"/>
  <c r="AE190" i="17"/>
  <c r="Z191" i="17"/>
  <c r="AE191" i="17"/>
  <c r="Z192" i="17"/>
  <c r="AE192" i="17"/>
  <c r="Z193" i="17"/>
  <c r="AE193" i="17"/>
  <c r="Z194" i="17"/>
  <c r="AE194" i="17"/>
  <c r="Z195" i="17"/>
  <c r="AE195" i="17"/>
  <c r="Z196" i="17"/>
  <c r="AE196" i="17"/>
  <c r="Z197" i="17"/>
  <c r="AE197" i="17"/>
  <c r="Z198" i="17"/>
  <c r="AE198" i="17"/>
  <c r="Z199" i="17"/>
  <c r="AE199" i="17"/>
  <c r="Z200" i="17"/>
  <c r="AE200" i="17"/>
  <c r="Z201" i="17"/>
  <c r="AE201" i="17"/>
  <c r="Z202" i="17"/>
  <c r="AE202" i="17"/>
  <c r="Z203" i="17"/>
  <c r="AE203" i="17"/>
  <c r="Z204" i="17"/>
  <c r="AE204" i="17"/>
  <c r="Z205" i="17"/>
  <c r="AE205" i="17"/>
  <c r="Z206" i="17"/>
  <c r="AE206" i="17"/>
  <c r="Z207" i="17"/>
  <c r="AE207" i="17"/>
  <c r="Z208" i="17"/>
  <c r="AE208" i="17"/>
  <c r="Z209" i="17"/>
  <c r="AE209" i="17"/>
  <c r="Z210" i="17"/>
  <c r="AE210" i="17"/>
  <c r="Z211" i="17"/>
  <c r="AE211" i="17"/>
  <c r="Z212" i="17"/>
  <c r="AE212" i="17"/>
  <c r="Z213" i="17"/>
  <c r="AE213" i="17"/>
  <c r="Z214" i="17"/>
  <c r="AE214" i="17"/>
  <c r="Z215" i="17"/>
  <c r="AE215" i="17"/>
  <c r="Z216" i="17"/>
  <c r="AE216" i="17"/>
  <c r="Z217" i="17"/>
  <c r="AE217" i="17"/>
  <c r="Z218" i="17"/>
  <c r="AE218" i="17"/>
  <c r="Z219" i="17"/>
  <c r="AE219" i="17"/>
  <c r="Z220" i="17"/>
  <c r="AE220" i="17"/>
  <c r="Z221" i="17"/>
  <c r="AE221" i="17"/>
  <c r="Z222" i="17"/>
  <c r="AE222" i="17"/>
  <c r="Z223" i="17"/>
  <c r="AE223" i="17"/>
  <c r="Z224" i="17"/>
  <c r="AE224" i="17"/>
  <c r="Z225" i="17"/>
  <c r="AE225" i="17"/>
  <c r="Z226" i="17"/>
  <c r="AE226" i="17"/>
  <c r="Z227" i="17"/>
  <c r="AE227" i="17"/>
  <c r="Z228" i="17"/>
  <c r="AE228" i="17"/>
  <c r="Z229" i="17"/>
  <c r="AE229" i="17"/>
  <c r="Z230" i="17"/>
  <c r="AE230" i="17"/>
  <c r="Z231" i="17"/>
  <c r="AE231" i="17"/>
  <c r="Z232" i="17"/>
  <c r="AE232" i="17"/>
  <c r="Z233" i="17"/>
  <c r="AE233" i="17"/>
  <c r="Z234" i="17"/>
  <c r="AE234" i="17"/>
  <c r="Z235" i="17"/>
  <c r="AE235" i="17"/>
  <c r="Z236" i="17"/>
  <c r="AE236" i="17"/>
  <c r="Z237" i="17"/>
  <c r="AE237" i="17"/>
  <c r="Z238" i="17"/>
  <c r="AE238" i="17"/>
  <c r="Z239" i="17"/>
  <c r="AE239" i="17"/>
  <c r="Z240" i="17"/>
  <c r="AE240" i="17"/>
  <c r="Z241" i="17"/>
  <c r="AE241" i="17"/>
  <c r="Z242" i="17"/>
  <c r="AE242" i="17"/>
  <c r="Z243" i="17"/>
  <c r="AE243" i="17"/>
  <c r="Z244" i="17"/>
  <c r="AE244" i="17"/>
  <c r="Z245" i="17"/>
  <c r="AE245" i="17"/>
  <c r="Z246" i="17"/>
  <c r="AE246" i="17"/>
  <c r="Z247" i="17"/>
  <c r="AE247" i="17"/>
  <c r="Z248" i="17"/>
  <c r="AE248" i="17"/>
  <c r="Z249" i="17"/>
  <c r="AE249" i="17"/>
  <c r="Z250" i="17"/>
  <c r="AE250" i="17"/>
  <c r="Z251" i="17"/>
  <c r="AE251" i="17"/>
  <c r="Z252" i="17"/>
  <c r="AE252" i="17"/>
  <c r="Z253" i="17"/>
  <c r="AE253" i="17"/>
  <c r="Z254" i="17"/>
  <c r="AE254" i="17"/>
  <c r="Z255" i="17"/>
  <c r="AE255" i="17"/>
  <c r="Z256" i="17"/>
  <c r="AE256" i="17"/>
  <c r="Z257" i="17"/>
  <c r="AE257" i="17"/>
  <c r="Z258" i="17"/>
  <c r="AE258" i="17"/>
  <c r="Z259" i="17"/>
  <c r="AE259" i="17"/>
  <c r="Z260" i="17"/>
  <c r="AE260" i="17"/>
  <c r="Z261" i="17"/>
  <c r="AE261" i="17"/>
  <c r="Z262" i="17"/>
  <c r="AE262" i="17"/>
  <c r="Z263" i="17"/>
  <c r="AE263" i="17"/>
  <c r="Z264" i="17"/>
  <c r="AE264" i="17"/>
  <c r="Z265" i="17"/>
  <c r="AE265" i="17"/>
  <c r="Z266" i="17"/>
  <c r="AE266" i="17"/>
  <c r="Z267" i="17"/>
  <c r="AE267" i="17"/>
  <c r="Z268" i="17"/>
  <c r="AE268" i="17"/>
  <c r="Z269" i="17"/>
  <c r="AE269" i="17"/>
  <c r="Z270" i="17"/>
  <c r="AE270" i="17"/>
  <c r="Z271" i="17"/>
  <c r="AE271" i="17"/>
  <c r="Z272" i="17"/>
  <c r="AE272" i="17"/>
  <c r="Z273" i="17"/>
  <c r="AE273" i="17"/>
  <c r="Z274" i="17"/>
  <c r="AE274" i="17"/>
  <c r="Z275" i="17"/>
  <c r="AE275" i="17"/>
  <c r="Z276" i="17"/>
  <c r="AE276" i="17"/>
  <c r="Z277" i="17"/>
  <c r="AE277" i="17"/>
  <c r="Z278" i="17"/>
  <c r="AE278" i="17"/>
  <c r="Z279" i="17"/>
  <c r="AE279" i="17"/>
  <c r="Z280" i="17"/>
  <c r="AE280" i="17"/>
  <c r="Z281" i="17"/>
  <c r="AE281" i="17"/>
  <c r="Z282" i="17"/>
  <c r="AE282" i="17"/>
  <c r="Z283" i="17"/>
  <c r="AE283" i="17"/>
  <c r="Z284" i="17"/>
  <c r="AE284" i="17"/>
  <c r="Z285" i="17"/>
  <c r="AE285" i="17"/>
  <c r="Z286" i="17"/>
  <c r="AE286" i="17"/>
  <c r="Z287" i="17"/>
  <c r="AE287" i="17"/>
  <c r="Z288" i="17"/>
  <c r="AE288" i="17"/>
  <c r="Z289" i="17"/>
  <c r="AE289" i="17"/>
  <c r="Z290" i="17"/>
  <c r="AE290" i="17"/>
  <c r="Z291" i="17"/>
  <c r="AE291" i="17"/>
  <c r="Z292" i="17"/>
  <c r="AE292" i="17"/>
  <c r="Z293" i="17"/>
  <c r="AE293" i="17"/>
  <c r="Z294" i="17"/>
  <c r="AE294" i="17"/>
  <c r="Z295" i="17"/>
  <c r="AE295" i="17"/>
  <c r="Z296" i="17"/>
  <c r="AE296" i="17"/>
  <c r="Z297" i="17"/>
  <c r="AE297" i="17"/>
  <c r="Z298" i="17"/>
  <c r="AE298" i="17"/>
  <c r="Z299" i="17"/>
  <c r="AE299" i="17"/>
  <c r="Z300" i="17"/>
  <c r="AE300" i="17"/>
  <c r="Z301" i="17"/>
  <c r="AE301" i="17"/>
  <c r="Z302" i="17"/>
  <c r="AE302" i="17"/>
  <c r="Z303" i="17"/>
  <c r="AE303" i="17"/>
  <c r="Z304" i="17"/>
  <c r="AE304" i="17"/>
  <c r="Z305" i="17"/>
  <c r="AE305" i="17"/>
  <c r="Z306" i="17"/>
  <c r="AE306" i="17"/>
  <c r="Z307" i="17"/>
  <c r="AE307" i="17"/>
  <c r="Z308" i="17"/>
  <c r="AE308" i="17"/>
  <c r="Z309" i="17"/>
  <c r="AE309" i="17"/>
  <c r="Z310" i="17"/>
  <c r="AE310" i="17"/>
  <c r="Z311" i="17"/>
  <c r="AE311" i="17"/>
  <c r="Z312" i="17"/>
  <c r="AE312" i="17"/>
  <c r="Z313" i="17"/>
  <c r="AE313" i="17"/>
  <c r="Z314" i="17"/>
  <c r="AE314" i="17"/>
  <c r="Z315" i="17"/>
  <c r="AE315" i="17"/>
  <c r="Z316" i="17"/>
  <c r="AE316" i="17"/>
  <c r="Z317" i="17"/>
  <c r="AE317" i="17"/>
  <c r="Z318" i="17"/>
  <c r="AE318" i="17"/>
  <c r="Z319" i="17"/>
  <c r="AE319" i="17"/>
  <c r="Z320" i="17"/>
  <c r="AE320" i="17"/>
  <c r="Z321" i="17"/>
  <c r="AE321" i="17"/>
  <c r="Z322" i="17"/>
  <c r="AE322" i="17"/>
  <c r="Z323" i="17"/>
  <c r="AE323" i="17"/>
  <c r="Z324" i="17"/>
  <c r="AE324" i="17"/>
  <c r="Z325" i="17"/>
  <c r="AE325" i="17"/>
  <c r="Z326" i="17"/>
  <c r="AE326" i="17"/>
  <c r="Z327" i="17"/>
  <c r="AE327" i="17"/>
  <c r="Z328" i="17"/>
  <c r="AE328" i="17"/>
  <c r="Z329" i="17"/>
  <c r="AE329" i="17"/>
  <c r="Z330" i="17"/>
  <c r="AE330" i="17"/>
  <c r="Z331" i="17"/>
  <c r="AE331" i="17"/>
  <c r="Z332" i="17"/>
  <c r="AE332" i="17"/>
  <c r="Z333" i="17"/>
  <c r="AE333" i="17"/>
  <c r="Z334" i="17"/>
  <c r="AE334" i="17"/>
  <c r="Z335" i="17"/>
  <c r="AE335" i="17"/>
  <c r="Z336" i="17"/>
  <c r="AE336" i="17"/>
  <c r="Z337" i="17"/>
  <c r="AE337" i="17"/>
  <c r="Z338" i="17"/>
  <c r="AE338" i="17"/>
  <c r="Z339" i="17"/>
  <c r="AE339" i="17"/>
  <c r="Z340" i="17"/>
  <c r="AE340" i="17"/>
  <c r="Z341" i="17"/>
  <c r="AE341" i="17"/>
  <c r="Z342" i="17"/>
  <c r="AE342" i="17"/>
  <c r="Z343" i="17"/>
  <c r="AE343" i="17"/>
  <c r="Z344" i="17"/>
  <c r="AE344" i="17"/>
  <c r="Z345" i="17"/>
  <c r="AE345" i="17"/>
  <c r="Z346" i="17"/>
  <c r="AE346" i="17"/>
  <c r="Z347" i="17"/>
  <c r="AE347" i="17"/>
  <c r="Z348" i="17"/>
  <c r="AE348" i="17"/>
  <c r="Z349" i="17"/>
  <c r="AE349" i="17"/>
  <c r="Z350" i="17"/>
  <c r="AE350" i="17"/>
  <c r="Z351" i="17"/>
  <c r="AE351" i="17"/>
  <c r="Z352" i="17"/>
  <c r="AE352" i="17"/>
  <c r="Z353" i="17"/>
  <c r="AE353" i="17"/>
  <c r="Z354" i="17"/>
  <c r="AE354" i="17"/>
  <c r="Z355" i="17"/>
  <c r="AE355" i="17"/>
  <c r="Z356" i="17"/>
  <c r="AE356" i="17"/>
  <c r="Z357" i="17"/>
  <c r="AE357" i="17"/>
  <c r="Z358" i="17"/>
  <c r="AE358" i="17"/>
  <c r="Z359" i="17"/>
  <c r="AE359" i="17"/>
  <c r="Z360" i="17"/>
  <c r="AE360" i="17"/>
  <c r="Z361" i="17"/>
  <c r="AE361" i="17"/>
  <c r="Z362" i="17"/>
  <c r="AE362" i="17"/>
  <c r="Z363" i="17"/>
  <c r="AE363" i="17"/>
  <c r="Z364" i="17"/>
  <c r="AE364" i="17"/>
  <c r="Z365" i="17"/>
  <c r="AE365" i="17"/>
  <c r="Z366" i="17"/>
  <c r="AE366" i="17"/>
  <c r="Z367" i="17"/>
  <c r="AE367" i="17"/>
  <c r="Z368" i="17"/>
  <c r="AE368" i="17"/>
  <c r="Z369" i="17"/>
  <c r="AE369" i="17"/>
  <c r="Z370" i="17"/>
  <c r="AE370" i="17"/>
  <c r="Z371" i="17"/>
  <c r="AE371" i="17"/>
  <c r="Z372" i="17"/>
  <c r="AE372" i="17"/>
  <c r="Z373" i="17"/>
  <c r="AE373" i="17"/>
  <c r="Z374" i="17"/>
  <c r="AE374" i="17"/>
  <c r="Z375" i="17"/>
  <c r="AE375" i="17"/>
  <c r="Z376" i="17"/>
  <c r="AE376" i="17"/>
  <c r="Z377" i="17"/>
  <c r="AE377" i="17"/>
  <c r="Z378" i="17"/>
  <c r="AE378" i="17"/>
  <c r="Z379" i="17"/>
  <c r="AE379" i="17"/>
  <c r="Z380" i="17"/>
  <c r="AE380" i="17"/>
  <c r="Z381" i="17"/>
  <c r="AE381" i="17"/>
  <c r="Z382" i="17"/>
  <c r="AE382" i="17"/>
  <c r="Z383" i="17"/>
  <c r="AE383" i="17"/>
  <c r="Z384" i="17"/>
  <c r="AE384" i="17"/>
  <c r="Z385" i="17"/>
  <c r="AE385" i="17"/>
  <c r="Z386" i="17"/>
  <c r="AE386" i="17"/>
  <c r="Z387" i="17"/>
  <c r="AE387" i="17"/>
  <c r="Z388" i="17"/>
  <c r="AE388" i="17"/>
  <c r="Z389" i="17"/>
  <c r="AE389" i="17"/>
  <c r="Z390" i="17"/>
  <c r="AE390" i="17"/>
  <c r="Z391" i="17"/>
  <c r="AE391" i="17"/>
  <c r="Z392" i="17"/>
  <c r="AE392" i="17"/>
  <c r="Z393" i="17"/>
  <c r="AE393" i="17"/>
  <c r="Z394" i="17"/>
  <c r="AE394" i="17"/>
  <c r="Z395" i="17"/>
  <c r="AE395" i="17"/>
  <c r="Z396" i="17"/>
  <c r="AE396" i="17"/>
  <c r="Z397" i="17"/>
  <c r="AE397" i="17"/>
  <c r="Z398" i="17"/>
  <c r="AE398" i="17"/>
  <c r="Z399" i="17"/>
  <c r="AE399" i="17"/>
  <c r="Z400" i="17"/>
  <c r="AE400" i="17"/>
  <c r="Z401" i="17"/>
  <c r="AE401" i="17"/>
  <c r="Z402" i="17"/>
  <c r="AE402" i="17"/>
  <c r="Z403" i="17"/>
  <c r="AE403" i="17"/>
  <c r="Z404" i="17"/>
  <c r="AE404" i="17"/>
  <c r="Z405" i="17"/>
  <c r="AE405" i="17"/>
  <c r="Z406" i="17"/>
  <c r="AE406" i="17"/>
  <c r="Z407" i="17"/>
  <c r="AE407" i="17"/>
  <c r="Z408" i="17"/>
  <c r="AE408" i="17"/>
  <c r="Z409" i="17"/>
  <c r="AE409" i="17"/>
  <c r="Z410" i="17"/>
  <c r="AE410" i="17"/>
  <c r="Z411" i="17"/>
  <c r="AE411" i="17"/>
  <c r="Z412" i="17"/>
  <c r="AE412" i="17"/>
  <c r="Z413" i="17"/>
  <c r="AE413" i="17"/>
  <c r="Z414" i="17"/>
  <c r="AE414" i="17"/>
  <c r="Z415" i="17"/>
  <c r="AE415" i="17"/>
  <c r="Z416" i="17"/>
  <c r="AE416" i="17"/>
  <c r="Z417" i="17"/>
  <c r="AE417" i="17"/>
  <c r="Z418" i="17"/>
  <c r="AE418" i="17"/>
  <c r="Z419" i="17"/>
  <c r="AE419" i="17"/>
  <c r="Z420" i="17"/>
  <c r="AE420" i="17"/>
  <c r="Z421" i="17"/>
  <c r="AE421" i="17"/>
  <c r="Z422" i="17"/>
  <c r="AE422" i="17"/>
  <c r="Z423" i="17"/>
  <c r="AE423" i="17"/>
  <c r="Z424" i="17"/>
  <c r="AE424" i="17"/>
  <c r="Z425" i="17"/>
  <c r="AE425" i="17"/>
  <c r="Z426" i="17"/>
  <c r="AE426" i="17"/>
  <c r="Z427" i="17"/>
  <c r="AE427" i="17"/>
  <c r="Z428" i="17"/>
  <c r="AE428" i="17"/>
  <c r="Z429" i="17"/>
  <c r="AE429" i="17"/>
  <c r="Z430" i="17"/>
  <c r="AE430" i="17"/>
  <c r="Z431" i="17"/>
  <c r="AE431" i="17"/>
  <c r="Z432" i="17"/>
  <c r="AE432" i="17"/>
  <c r="Z433" i="17"/>
  <c r="AE433" i="17"/>
  <c r="Z434" i="17"/>
  <c r="AE434" i="17"/>
  <c r="Z435" i="17"/>
  <c r="AE435" i="17"/>
  <c r="Z436" i="17"/>
  <c r="AE436" i="17"/>
  <c r="Z437" i="17"/>
  <c r="AE437" i="17"/>
  <c r="Z438" i="17"/>
  <c r="AE438" i="17"/>
  <c r="Z439" i="17"/>
  <c r="AE439" i="17"/>
  <c r="Z440" i="17"/>
  <c r="AE440" i="17"/>
  <c r="Z441" i="17"/>
  <c r="AE441" i="17"/>
  <c r="Z442" i="17"/>
  <c r="AE442" i="17"/>
  <c r="Z443" i="17"/>
  <c r="AE443" i="17"/>
  <c r="Z444" i="17"/>
  <c r="AE444" i="17"/>
  <c r="Z445" i="17"/>
  <c r="AE445" i="17"/>
  <c r="Z446" i="17"/>
  <c r="AE446" i="17"/>
  <c r="Z447" i="17"/>
  <c r="AE447" i="17"/>
  <c r="Z448" i="17"/>
  <c r="AE448" i="17"/>
  <c r="Z449" i="17"/>
  <c r="AE449" i="17"/>
  <c r="Z450" i="17"/>
  <c r="AE450" i="17"/>
  <c r="Z451" i="17"/>
  <c r="AE451" i="17"/>
  <c r="Z452" i="17"/>
  <c r="AE452" i="17"/>
  <c r="Z453" i="17"/>
  <c r="AE453" i="17"/>
  <c r="Z454" i="17"/>
  <c r="AE454" i="17"/>
  <c r="Z455" i="17"/>
  <c r="AE455" i="17"/>
  <c r="Z456" i="17"/>
  <c r="AE456" i="17"/>
  <c r="Z457" i="17"/>
  <c r="AE457" i="17"/>
  <c r="Z458" i="17"/>
  <c r="AE458" i="17"/>
  <c r="Z459" i="17"/>
  <c r="AE459" i="17"/>
  <c r="Z460" i="17"/>
  <c r="AE460" i="17"/>
  <c r="Z461" i="17"/>
  <c r="AE461" i="17"/>
  <c r="Z462" i="17"/>
  <c r="AE462" i="17"/>
  <c r="Z463" i="17"/>
  <c r="AE463" i="17"/>
  <c r="Z464" i="17"/>
  <c r="AE464" i="17"/>
  <c r="Z465" i="17"/>
  <c r="AE465" i="17"/>
  <c r="Z466" i="17"/>
  <c r="AE466" i="17"/>
  <c r="Z467" i="17"/>
  <c r="AE467" i="17"/>
  <c r="Z468" i="17"/>
  <c r="AE468" i="17"/>
  <c r="Z469" i="17"/>
  <c r="AE469" i="17"/>
  <c r="Z470" i="17"/>
  <c r="AE470" i="17"/>
  <c r="Z471" i="17"/>
  <c r="AE471" i="17"/>
  <c r="Z472" i="17"/>
  <c r="AE472" i="17"/>
  <c r="Z473" i="17"/>
  <c r="AE473" i="17"/>
  <c r="Z474" i="17"/>
  <c r="AE474" i="17"/>
  <c r="Z475" i="17"/>
  <c r="AE475" i="17"/>
  <c r="Z476" i="17"/>
  <c r="AE476" i="17"/>
  <c r="Z477" i="17"/>
  <c r="AE477" i="17"/>
  <c r="Z478" i="17"/>
  <c r="AE478" i="17"/>
  <c r="Z479" i="17"/>
  <c r="AE479" i="17"/>
  <c r="Z480" i="17"/>
  <c r="AE480" i="17"/>
  <c r="Z481" i="17"/>
  <c r="AE481" i="17"/>
  <c r="Z482" i="17"/>
  <c r="AE482" i="17"/>
  <c r="Z483" i="17"/>
  <c r="AE483" i="17"/>
  <c r="Z484" i="17"/>
  <c r="AE484" i="17"/>
  <c r="Z485" i="17"/>
  <c r="AE485" i="17"/>
  <c r="Z486" i="17"/>
  <c r="AE486" i="17"/>
  <c r="Z487" i="17"/>
  <c r="AE487" i="17"/>
  <c r="Z488" i="17"/>
  <c r="AE488" i="17"/>
  <c r="Z489" i="17"/>
  <c r="AE489" i="17"/>
  <c r="Z490" i="17"/>
  <c r="AE490" i="17"/>
  <c r="Z491" i="17"/>
  <c r="AE491" i="17"/>
  <c r="Z492" i="17"/>
  <c r="AE492" i="17"/>
  <c r="Z493" i="17"/>
  <c r="AE493" i="17"/>
  <c r="Z494" i="17"/>
  <c r="AE494" i="17"/>
  <c r="Z495" i="17"/>
  <c r="AE495" i="17"/>
  <c r="Z496" i="17"/>
  <c r="AE496" i="17"/>
  <c r="Z497" i="17"/>
  <c r="AE497" i="17"/>
  <c r="Z498" i="17"/>
  <c r="AE498" i="17"/>
  <c r="Z499" i="17"/>
  <c r="AE499" i="17"/>
  <c r="Z500" i="17"/>
  <c r="AE500" i="17"/>
  <c r="Z501" i="17"/>
  <c r="AE501" i="17"/>
  <c r="Z502" i="17"/>
  <c r="AE502" i="17"/>
  <c r="Z503" i="17"/>
  <c r="AE503" i="17"/>
  <c r="Z504" i="17"/>
  <c r="AE504" i="17"/>
  <c r="Z505" i="17"/>
  <c r="AE505" i="17"/>
  <c r="Z506" i="17"/>
  <c r="AE506" i="17"/>
  <c r="Z507" i="17"/>
  <c r="AE507" i="17"/>
  <c r="Z508" i="17"/>
  <c r="AE508" i="17"/>
  <c r="Z509" i="17"/>
  <c r="AE509" i="17"/>
  <c r="Z510" i="17"/>
  <c r="AE510" i="17"/>
  <c r="E5" i="28"/>
  <c r="F5" i="28"/>
  <c r="H5" i="28"/>
  <c r="I5" i="28"/>
  <c r="R5" i="28"/>
  <c r="U5" i="28"/>
  <c r="E6" i="28"/>
  <c r="F6" i="28"/>
  <c r="H6" i="28"/>
  <c r="I6" i="28"/>
  <c r="R6" i="28"/>
  <c r="U6" i="28"/>
  <c r="E7" i="28"/>
  <c r="F7" i="28"/>
  <c r="H7" i="28"/>
  <c r="I7" i="28"/>
  <c r="R7" i="28"/>
  <c r="U7" i="28"/>
  <c r="E8" i="28"/>
  <c r="F8" i="28"/>
  <c r="H8" i="28"/>
  <c r="I8" i="28"/>
  <c r="R8" i="28"/>
  <c r="U8" i="28"/>
  <c r="E9" i="28"/>
  <c r="H9" i="28"/>
  <c r="R9" i="28"/>
  <c r="U9" i="28"/>
  <c r="F10" i="28"/>
  <c r="I10" i="28"/>
  <c r="R10" i="28"/>
  <c r="U10" i="28"/>
  <c r="F11" i="28"/>
  <c r="I11" i="28"/>
  <c r="R11" i="28"/>
  <c r="U11" i="28"/>
  <c r="E12" i="28"/>
  <c r="H12" i="28"/>
  <c r="R12" i="28"/>
  <c r="U12" i="28"/>
  <c r="F13" i="28"/>
  <c r="I13" i="28"/>
  <c r="R13" i="28"/>
  <c r="U13" i="28"/>
  <c r="F14" i="28"/>
  <c r="I14" i="28"/>
  <c r="R14" i="28"/>
  <c r="U14" i="28"/>
  <c r="E15" i="28"/>
  <c r="H15" i="28"/>
  <c r="R15" i="28"/>
  <c r="U15" i="28"/>
  <c r="R16" i="28"/>
  <c r="U16" i="28"/>
  <c r="R17" i="28"/>
  <c r="U17" i="28"/>
  <c r="R18" i="28"/>
  <c r="U18" i="28"/>
  <c r="R19" i="28"/>
  <c r="U19" i="28"/>
  <c r="R20" i="28"/>
  <c r="U20" i="28"/>
  <c r="R21" i="28"/>
  <c r="U21" i="28"/>
  <c r="R22" i="28"/>
  <c r="U22" i="28"/>
  <c r="R23" i="28"/>
  <c r="U23" i="28"/>
  <c r="R24" i="28"/>
  <c r="U24" i="28"/>
  <c r="R25" i="28"/>
  <c r="U25" i="28"/>
  <c r="R26" i="28"/>
  <c r="U26" i="28"/>
  <c r="R27" i="28"/>
  <c r="U27" i="28"/>
  <c r="R28" i="28"/>
  <c r="U28" i="28"/>
  <c r="R29" i="28"/>
  <c r="U29" i="28"/>
  <c r="R30" i="28"/>
  <c r="U30" i="28"/>
  <c r="R31" i="28"/>
  <c r="U31" i="28"/>
  <c r="R32" i="28"/>
  <c r="U32" i="28"/>
  <c r="R33" i="28"/>
  <c r="U33" i="28"/>
  <c r="Q34" i="28"/>
  <c r="T34" i="28"/>
  <c r="Q35" i="28"/>
  <c r="T35" i="28"/>
  <c r="N7" i="6"/>
  <c r="AJ7" i="6"/>
  <c r="AK7" i="6"/>
  <c r="N8" i="6"/>
  <c r="AJ8" i="6"/>
  <c r="AK8" i="6"/>
  <c r="N11" i="6"/>
  <c r="AJ11" i="6"/>
  <c r="AK11" i="6"/>
  <c r="N12" i="6"/>
  <c r="AJ12" i="6"/>
  <c r="AK12" i="6"/>
  <c r="N13" i="6"/>
  <c r="AJ13" i="6"/>
  <c r="AK13" i="6"/>
  <c r="N14" i="6"/>
  <c r="AJ14" i="6"/>
  <c r="AK14" i="6"/>
  <c r="N17" i="6"/>
  <c r="AJ17" i="6"/>
  <c r="AK17" i="6"/>
  <c r="N18" i="6"/>
  <c r="AJ18" i="6"/>
  <c r="AK18" i="6"/>
  <c r="N19" i="6"/>
  <c r="AJ19" i="6"/>
  <c r="AK19" i="6"/>
  <c r="N20" i="6"/>
  <c r="AJ20" i="6"/>
  <c r="AK20" i="6"/>
  <c r="N21" i="6"/>
  <c r="AJ21" i="6"/>
  <c r="AK21" i="6"/>
  <c r="N22" i="6"/>
  <c r="AJ22" i="6"/>
  <c r="AK22" i="6"/>
  <c r="N23" i="6"/>
  <c r="AJ23" i="6"/>
  <c r="AK23" i="6"/>
  <c r="N24" i="6"/>
  <c r="AJ24" i="6"/>
  <c r="AK24" i="6"/>
  <c r="N25" i="6"/>
  <c r="AJ25" i="6"/>
  <c r="AK25" i="6"/>
  <c r="N26" i="6"/>
  <c r="AJ26" i="6"/>
  <c r="AK26" i="6"/>
  <c r="N27" i="6"/>
  <c r="AJ27" i="6"/>
  <c r="AK27" i="6"/>
  <c r="N28" i="6"/>
  <c r="AJ28" i="6"/>
  <c r="AK28" i="6"/>
  <c r="N29" i="6"/>
  <c r="AJ29" i="6"/>
  <c r="AK29" i="6"/>
  <c r="N30" i="6"/>
  <c r="AJ30" i="6"/>
  <c r="AK30" i="6"/>
  <c r="N31" i="6"/>
  <c r="AJ31" i="6"/>
  <c r="AK31" i="6"/>
  <c r="N32" i="6"/>
  <c r="AJ32" i="6"/>
  <c r="AK32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5" i="6"/>
  <c r="AJ55" i="6"/>
  <c r="AK55" i="6"/>
  <c r="N60" i="6"/>
  <c r="AJ60" i="6"/>
  <c r="AK60" i="6"/>
  <c r="L63" i="6"/>
  <c r="N63" i="6"/>
  <c r="L64" i="6"/>
  <c r="N64" i="6"/>
  <c r="N65" i="6"/>
  <c r="L66" i="6"/>
  <c r="L67" i="6"/>
  <c r="L68" i="6"/>
  <c r="L69" i="6"/>
  <c r="L70" i="6"/>
  <c r="N5" i="23"/>
  <c r="AB5" i="23"/>
  <c r="AC5" i="23"/>
  <c r="AF5" i="23"/>
  <c r="AG5" i="23"/>
  <c r="N6" i="23"/>
  <c r="AB6" i="23"/>
  <c r="AC6" i="23"/>
  <c r="AF6" i="23"/>
  <c r="AG6" i="23"/>
  <c r="N7" i="23"/>
  <c r="AB7" i="23"/>
  <c r="AC7" i="23"/>
  <c r="AF7" i="23"/>
  <c r="AG7" i="23"/>
  <c r="N8" i="23"/>
  <c r="AB8" i="23"/>
  <c r="AC8" i="23"/>
  <c r="AF8" i="23"/>
  <c r="AG8" i="23"/>
  <c r="N9" i="23"/>
  <c r="AB9" i="23"/>
  <c r="AC9" i="23"/>
  <c r="AF9" i="23"/>
  <c r="AG9" i="23"/>
  <c r="N10" i="23"/>
  <c r="AB10" i="23"/>
  <c r="AC10" i="23"/>
  <c r="AF10" i="23"/>
  <c r="AG10" i="23"/>
  <c r="N11" i="23"/>
  <c r="AB11" i="23"/>
  <c r="AC11" i="23"/>
  <c r="AF11" i="23"/>
  <c r="AG11" i="23"/>
  <c r="N12" i="23"/>
  <c r="AB12" i="23"/>
  <c r="AC12" i="23"/>
  <c r="AF12" i="23"/>
  <c r="AG12" i="23"/>
  <c r="N13" i="23"/>
  <c r="AB13" i="23"/>
  <c r="AC13" i="23"/>
  <c r="AF13" i="23"/>
  <c r="AG13" i="23"/>
  <c r="N14" i="23"/>
  <c r="AB14" i="23"/>
  <c r="AC14" i="23"/>
  <c r="AF14" i="23"/>
  <c r="AG14" i="23"/>
  <c r="N15" i="23"/>
  <c r="AB15" i="23"/>
  <c r="AC15" i="23"/>
  <c r="AF15" i="23"/>
  <c r="AG15" i="23"/>
  <c r="N16" i="23"/>
  <c r="AB16" i="23"/>
  <c r="AC16" i="23"/>
  <c r="AF16" i="23"/>
  <c r="AG16" i="23"/>
  <c r="N17" i="23"/>
  <c r="AB17" i="23"/>
  <c r="AC17" i="23"/>
  <c r="AF17" i="23"/>
  <c r="AG17" i="23"/>
  <c r="N18" i="23"/>
  <c r="AB18" i="23"/>
  <c r="AC18" i="23"/>
  <c r="AF18" i="23"/>
  <c r="AG18" i="23"/>
  <c r="N19" i="23"/>
  <c r="AB19" i="23"/>
  <c r="AC19" i="23"/>
  <c r="AF19" i="23"/>
  <c r="AG19" i="23"/>
  <c r="N20" i="23"/>
  <c r="AB20" i="23"/>
  <c r="AC20" i="23"/>
  <c r="AF20" i="23"/>
  <c r="AG20" i="23"/>
  <c r="N21" i="23"/>
  <c r="AB21" i="23"/>
  <c r="AC21" i="23"/>
  <c r="AF21" i="23"/>
  <c r="AG21" i="23"/>
  <c r="N22" i="23"/>
  <c r="AB22" i="23"/>
  <c r="AC22" i="23"/>
  <c r="AF22" i="23"/>
  <c r="AG22" i="23"/>
  <c r="N23" i="23"/>
  <c r="AB23" i="23"/>
  <c r="AC23" i="23"/>
  <c r="AF23" i="23"/>
  <c r="AG23" i="23"/>
  <c r="N24" i="23"/>
  <c r="AB24" i="23"/>
  <c r="AC24" i="23"/>
  <c r="AF24" i="23"/>
  <c r="AG24" i="23"/>
  <c r="N25" i="23"/>
  <c r="AB25" i="23"/>
  <c r="AC25" i="23"/>
  <c r="AF25" i="23"/>
  <c r="AG25" i="23"/>
  <c r="N26" i="23"/>
  <c r="AB26" i="23"/>
  <c r="AC26" i="23"/>
  <c r="AF26" i="23"/>
  <c r="AG26" i="23"/>
  <c r="N27" i="23"/>
  <c r="AB27" i="23"/>
  <c r="AC27" i="23"/>
  <c r="AF27" i="23"/>
  <c r="AG27" i="23"/>
  <c r="N28" i="23"/>
  <c r="AB28" i="23"/>
  <c r="AC28" i="23"/>
  <c r="AF28" i="23"/>
  <c r="AG28" i="23"/>
  <c r="N29" i="23"/>
  <c r="AB29" i="23"/>
  <c r="AC29" i="23"/>
  <c r="AF29" i="23"/>
  <c r="AG29" i="23"/>
  <c r="N30" i="23"/>
  <c r="AB30" i="23"/>
  <c r="AC30" i="23"/>
  <c r="AF30" i="23"/>
  <c r="AG30" i="23"/>
  <c r="N31" i="23"/>
  <c r="AB31" i="23"/>
  <c r="AC31" i="23"/>
  <c r="AF31" i="23"/>
  <c r="AG31" i="23"/>
  <c r="N32" i="23"/>
  <c r="AB32" i="23"/>
  <c r="AC32" i="23"/>
  <c r="AF32" i="23"/>
  <c r="AG32" i="23"/>
  <c r="N33" i="23"/>
  <c r="AB33" i="23"/>
  <c r="AC33" i="23"/>
  <c r="AF33" i="23"/>
  <c r="AG33" i="23"/>
  <c r="N34" i="23"/>
  <c r="AB34" i="23"/>
  <c r="AC34" i="23"/>
  <c r="AF34" i="23"/>
  <c r="AG34" i="23"/>
  <c r="N35" i="23"/>
  <c r="AB35" i="23"/>
  <c r="AC35" i="23"/>
  <c r="AF35" i="23"/>
  <c r="AG35" i="23"/>
  <c r="N36" i="23"/>
  <c r="AB36" i="23"/>
  <c r="AC36" i="23"/>
  <c r="AF36" i="23"/>
  <c r="AG36" i="23"/>
  <c r="N37" i="23"/>
  <c r="AB37" i="23"/>
  <c r="AC37" i="23"/>
  <c r="AF37" i="23"/>
  <c r="AG37" i="23"/>
  <c r="N38" i="23"/>
  <c r="AB38" i="23"/>
  <c r="AC38" i="23"/>
  <c r="AF38" i="23"/>
  <c r="AG38" i="23"/>
  <c r="N39" i="23"/>
  <c r="AB39" i="23"/>
  <c r="AC39" i="23"/>
  <c r="AF39" i="23"/>
  <c r="AG39" i="23"/>
  <c r="N40" i="23"/>
  <c r="AB40" i="23"/>
  <c r="AC40" i="23"/>
  <c r="AF40" i="23"/>
  <c r="AG40" i="23"/>
  <c r="N41" i="23"/>
  <c r="AB41" i="23"/>
  <c r="AC41" i="23"/>
  <c r="AF41" i="23"/>
  <c r="AG41" i="23"/>
  <c r="N42" i="23"/>
  <c r="AB42" i="23"/>
  <c r="AC42" i="23"/>
  <c r="AF42" i="23"/>
  <c r="AG42" i="23"/>
  <c r="N43" i="23"/>
  <c r="AB43" i="23"/>
  <c r="AC43" i="23"/>
  <c r="AF43" i="23"/>
  <c r="AG43" i="23"/>
  <c r="N44" i="23"/>
  <c r="AB44" i="23"/>
  <c r="AC44" i="23"/>
  <c r="AF44" i="23"/>
  <c r="AG44" i="23"/>
  <c r="N45" i="23"/>
  <c r="AB45" i="23"/>
  <c r="AC45" i="23"/>
  <c r="AF45" i="23"/>
  <c r="AG45" i="23"/>
  <c r="N46" i="23"/>
  <c r="AB46" i="23"/>
  <c r="AC46" i="23"/>
  <c r="AF46" i="23"/>
  <c r="AG46" i="23"/>
  <c r="N47" i="23"/>
  <c r="AB47" i="23"/>
  <c r="AC47" i="23"/>
  <c r="AF47" i="23"/>
  <c r="AG47" i="23"/>
  <c r="N48" i="23"/>
  <c r="AB48" i="23"/>
  <c r="AC48" i="23"/>
  <c r="AF48" i="23"/>
  <c r="AG48" i="23"/>
  <c r="N49" i="23"/>
  <c r="AB49" i="23"/>
  <c r="AC49" i="23"/>
  <c r="AF49" i="23"/>
  <c r="AG49" i="23"/>
  <c r="N50" i="23"/>
  <c r="AB50" i="23"/>
  <c r="AC50" i="23"/>
  <c r="AF50" i="23"/>
  <c r="AG50" i="23"/>
  <c r="N51" i="23"/>
  <c r="AB51" i="23"/>
  <c r="AC51" i="23"/>
  <c r="AF51" i="23"/>
  <c r="AG51" i="23"/>
  <c r="N57" i="23"/>
  <c r="AB57" i="23"/>
  <c r="AC57" i="23"/>
  <c r="AF57" i="23"/>
  <c r="AG57" i="23"/>
  <c r="N58" i="23"/>
  <c r="AB58" i="23"/>
  <c r="AC58" i="23"/>
  <c r="AF58" i="23"/>
  <c r="AG58" i="23"/>
  <c r="N59" i="23"/>
  <c r="AB59" i="23"/>
  <c r="AC59" i="23"/>
  <c r="AF59" i="23"/>
  <c r="AG59" i="23"/>
  <c r="N60" i="23"/>
  <c r="AB60" i="23"/>
  <c r="AC60" i="23"/>
  <c r="AF60" i="23"/>
  <c r="AG60" i="23"/>
  <c r="N61" i="23"/>
  <c r="AB61" i="23"/>
  <c r="AC61" i="23"/>
  <c r="AF61" i="23"/>
  <c r="AG61" i="23"/>
  <c r="N62" i="23"/>
  <c r="AB62" i="23"/>
  <c r="AC62" i="23"/>
  <c r="AF62" i="23"/>
  <c r="AG62" i="23"/>
  <c r="N63" i="23"/>
  <c r="AB63" i="23"/>
  <c r="AC63" i="23"/>
  <c r="AF63" i="23"/>
  <c r="AG63" i="23"/>
  <c r="N64" i="23"/>
  <c r="AB64" i="23"/>
  <c r="AC64" i="23"/>
  <c r="AF64" i="23"/>
  <c r="AG64" i="23"/>
  <c r="N65" i="23"/>
  <c r="AB65" i="23"/>
  <c r="AC65" i="23"/>
  <c r="AF65" i="23"/>
  <c r="AG65" i="23"/>
  <c r="N66" i="23"/>
  <c r="AB66" i="23"/>
  <c r="AC66" i="23"/>
  <c r="AF66" i="23"/>
  <c r="AG66" i="23"/>
  <c r="N67" i="23"/>
  <c r="AB67" i="23"/>
  <c r="AC67" i="23"/>
  <c r="AF67" i="23"/>
  <c r="AG67" i="23"/>
  <c r="N68" i="23"/>
  <c r="AB68" i="23"/>
  <c r="AC68" i="23"/>
  <c r="AF68" i="23"/>
  <c r="AG68" i="23"/>
  <c r="N69" i="23"/>
  <c r="AB69" i="23"/>
  <c r="AC69" i="23"/>
  <c r="AF69" i="23"/>
  <c r="AG69" i="23"/>
  <c r="N70" i="23"/>
  <c r="AB70" i="23"/>
  <c r="AC70" i="23"/>
  <c r="AF70" i="23"/>
  <c r="AG70" i="23"/>
  <c r="N71" i="23"/>
  <c r="AB71" i="23"/>
  <c r="AC71" i="23"/>
  <c r="AF71" i="23"/>
  <c r="AG71" i="23"/>
  <c r="N72" i="23"/>
  <c r="AB72" i="23"/>
  <c r="AC72" i="23"/>
  <c r="AF72" i="23"/>
  <c r="AG72" i="23"/>
  <c r="N73" i="23"/>
  <c r="AB73" i="23"/>
  <c r="AC73" i="23"/>
  <c r="AF73" i="23"/>
  <c r="AG73" i="23"/>
  <c r="N74" i="23"/>
  <c r="AB74" i="23"/>
  <c r="AC74" i="23"/>
  <c r="AF74" i="23"/>
  <c r="AG74" i="23"/>
  <c r="N75" i="23"/>
  <c r="AB75" i="23"/>
  <c r="AC75" i="23"/>
  <c r="AF75" i="23"/>
  <c r="AG75" i="23"/>
  <c r="N76" i="23"/>
  <c r="AB76" i="23"/>
  <c r="AC76" i="23"/>
  <c r="AF76" i="23"/>
  <c r="AG76" i="23"/>
  <c r="N77" i="23"/>
  <c r="AB77" i="23"/>
  <c r="AC77" i="23"/>
  <c r="AF77" i="23"/>
  <c r="AG77" i="23"/>
  <c r="N78" i="23"/>
  <c r="AB78" i="23"/>
  <c r="AC78" i="23"/>
  <c r="AF78" i="23"/>
  <c r="AG78" i="23"/>
  <c r="N79" i="23"/>
  <c r="AB79" i="23"/>
  <c r="AC79" i="23"/>
  <c r="AF79" i="23"/>
  <c r="AG79" i="23"/>
  <c r="N80" i="23"/>
  <c r="AB80" i="23"/>
  <c r="AC80" i="23"/>
  <c r="AF80" i="23"/>
  <c r="AG80" i="23"/>
  <c r="N81" i="23"/>
  <c r="AB81" i="23"/>
  <c r="AC81" i="23"/>
  <c r="AF81" i="23"/>
  <c r="AG81" i="23"/>
  <c r="N82" i="23"/>
  <c r="AB82" i="23"/>
  <c r="AC82" i="23"/>
  <c r="AF82" i="23"/>
  <c r="AG82" i="23"/>
  <c r="N83" i="23"/>
  <c r="AB83" i="23"/>
  <c r="AC83" i="23"/>
  <c r="AF83" i="23"/>
  <c r="AG83" i="23"/>
  <c r="N84" i="23"/>
  <c r="AB84" i="23"/>
  <c r="AC84" i="23"/>
  <c r="AF84" i="23"/>
  <c r="AG84" i="23"/>
  <c r="N85" i="23"/>
  <c r="AB85" i="23"/>
  <c r="AC85" i="23"/>
  <c r="AF85" i="23"/>
  <c r="AG85" i="23"/>
  <c r="N86" i="23"/>
  <c r="AB86" i="23"/>
  <c r="AC86" i="23"/>
  <c r="AF86" i="23"/>
  <c r="AG86" i="23"/>
  <c r="N87" i="23"/>
  <c r="AB87" i="23"/>
  <c r="AC87" i="23"/>
  <c r="AF87" i="23"/>
  <c r="AG87" i="23"/>
  <c r="N88" i="23"/>
  <c r="AB88" i="23"/>
  <c r="AC88" i="23"/>
  <c r="AF88" i="23"/>
  <c r="AG88" i="23"/>
  <c r="N89" i="23"/>
  <c r="AB89" i="23"/>
  <c r="AC89" i="23"/>
  <c r="AF89" i="23"/>
  <c r="AG89" i="23"/>
  <c r="N90" i="23"/>
  <c r="AB90" i="23"/>
  <c r="AC90" i="23"/>
  <c r="AF90" i="23"/>
  <c r="AG90" i="23"/>
  <c r="N91" i="23"/>
  <c r="AB91" i="23"/>
  <c r="AC91" i="23"/>
  <c r="AF91" i="23"/>
  <c r="AG91" i="23"/>
  <c r="N92" i="23"/>
  <c r="AB92" i="23"/>
  <c r="AC92" i="23"/>
  <c r="AF92" i="23"/>
  <c r="AG92" i="23"/>
  <c r="N93" i="23"/>
  <c r="AB93" i="23"/>
  <c r="AC93" i="23"/>
  <c r="AF93" i="23"/>
  <c r="AG93" i="23"/>
  <c r="N94" i="23"/>
  <c r="AB94" i="23"/>
  <c r="AC94" i="23"/>
  <c r="AF94" i="23"/>
  <c r="AG94" i="23"/>
  <c r="N95" i="23"/>
  <c r="AB95" i="23"/>
  <c r="AC95" i="23"/>
  <c r="AF95" i="23"/>
  <c r="AG95" i="23"/>
  <c r="N96" i="23"/>
  <c r="AB96" i="23"/>
  <c r="AC96" i="23"/>
  <c r="AF96" i="23"/>
  <c r="AG96" i="23"/>
  <c r="N97" i="23"/>
  <c r="AB97" i="23"/>
  <c r="AC97" i="23"/>
  <c r="AF97" i="23"/>
  <c r="AG97" i="23"/>
  <c r="N98" i="23"/>
  <c r="AB98" i="23"/>
  <c r="AC98" i="23"/>
  <c r="AF98" i="23"/>
  <c r="AG98" i="23"/>
  <c r="N99" i="23"/>
  <c r="AB99" i="23"/>
  <c r="AC99" i="23"/>
  <c r="AF99" i="23"/>
  <c r="AG99" i="23"/>
  <c r="N100" i="23"/>
  <c r="AB100" i="23"/>
  <c r="AC100" i="23"/>
  <c r="AF100" i="23"/>
  <c r="AG100" i="23"/>
  <c r="N101" i="23"/>
  <c r="AB101" i="23"/>
  <c r="AC101" i="23"/>
  <c r="AF101" i="23"/>
  <c r="AG101" i="23"/>
  <c r="N102" i="23"/>
  <c r="AB102" i="23"/>
  <c r="AC102" i="23"/>
  <c r="AF102" i="23"/>
  <c r="AG102" i="23"/>
  <c r="N103" i="23"/>
  <c r="AB103" i="23"/>
  <c r="AC103" i="23"/>
  <c r="AF103" i="23"/>
  <c r="AG103" i="23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2" i="7"/>
  <c r="T12" i="7"/>
  <c r="AJ12" i="7"/>
  <c r="AK12" i="7"/>
  <c r="AL12" i="7"/>
  <c r="AM12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3" i="7"/>
  <c r="T53" i="7"/>
  <c r="AJ53" i="7"/>
  <c r="AK53" i="7"/>
  <c r="AL53" i="7"/>
  <c r="AM53" i="7"/>
  <c r="N58" i="7"/>
  <c r="AE58" i="7"/>
  <c r="AF58" i="7"/>
  <c r="AJ58" i="7"/>
  <c r="AK58" i="7"/>
  <c r="N5" i="8"/>
  <c r="T5" i="8"/>
  <c r="AE5" i="8"/>
  <c r="AF5" i="8"/>
  <c r="AG5" i="8"/>
  <c r="AJ5" i="8"/>
  <c r="AK5" i="8"/>
  <c r="AL5" i="8"/>
  <c r="AM5" i="8"/>
  <c r="AO5" i="8"/>
  <c r="AP5" i="8"/>
  <c r="N6" i="8"/>
  <c r="T6" i="8"/>
  <c r="AE6" i="8"/>
  <c r="AF6" i="8"/>
  <c r="AG6" i="8"/>
  <c r="AJ6" i="8"/>
  <c r="AK6" i="8"/>
  <c r="AL6" i="8"/>
  <c r="AM6" i="8"/>
  <c r="AO6" i="8"/>
  <c r="AP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E9" i="8"/>
  <c r="AF9" i="8"/>
  <c r="AG9" i="8"/>
  <c r="AJ9" i="8"/>
  <c r="AK9" i="8"/>
  <c r="AL9" i="8"/>
  <c r="AM9" i="8"/>
  <c r="AO9" i="8"/>
  <c r="AP9" i="8"/>
  <c r="N10" i="8"/>
  <c r="T10" i="8"/>
  <c r="AE10" i="8"/>
  <c r="AF10" i="8"/>
  <c r="AG10" i="8"/>
  <c r="AJ10" i="8"/>
  <c r="AK10" i="8"/>
  <c r="AL10" i="8"/>
  <c r="AM10" i="8"/>
  <c r="AO10" i="8"/>
  <c r="AP10" i="8"/>
  <c r="N11" i="8"/>
  <c r="T11" i="8"/>
  <c r="AE11" i="8"/>
  <c r="AF11" i="8"/>
  <c r="AG11" i="8"/>
  <c r="AJ11" i="8"/>
  <c r="AK11" i="8"/>
  <c r="AL11" i="8"/>
  <c r="AM11" i="8"/>
  <c r="AO11" i="8"/>
  <c r="AP11" i="8"/>
  <c r="N12" i="8"/>
  <c r="T12" i="8"/>
  <c r="AE12" i="8"/>
  <c r="AF12" i="8"/>
  <c r="AG12" i="8"/>
  <c r="AJ12" i="8"/>
  <c r="AK12" i="8"/>
  <c r="AL12" i="8"/>
  <c r="AM12" i="8"/>
  <c r="AO12" i="8"/>
  <c r="AP12" i="8"/>
  <c r="N13" i="8"/>
  <c r="T13" i="8"/>
  <c r="AE13" i="8"/>
  <c r="AF13" i="8"/>
  <c r="AG13" i="8"/>
  <c r="AJ13" i="8"/>
  <c r="AK13" i="8"/>
  <c r="AL13" i="8"/>
  <c r="AM13" i="8"/>
  <c r="AO13" i="8"/>
  <c r="AP13" i="8"/>
  <c r="N14" i="8"/>
  <c r="T14" i="8"/>
  <c r="AE14" i="8"/>
  <c r="AF14" i="8"/>
  <c r="AG14" i="8"/>
  <c r="AJ14" i="8"/>
  <c r="AK14" i="8"/>
  <c r="AL14" i="8"/>
  <c r="AM14" i="8"/>
  <c r="AO14" i="8"/>
  <c r="AP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E16" i="8"/>
  <c r="AF16" i="8"/>
  <c r="AG16" i="8"/>
  <c r="AJ16" i="8"/>
  <c r="AK16" i="8"/>
  <c r="AL16" i="8"/>
  <c r="AM16" i="8"/>
  <c r="AO16" i="8"/>
  <c r="AP16" i="8"/>
  <c r="N17" i="8"/>
  <c r="T17" i="8"/>
  <c r="AE17" i="8"/>
  <c r="AF17" i="8"/>
  <c r="AG17" i="8"/>
  <c r="AJ17" i="8"/>
  <c r="AK17" i="8"/>
  <c r="AL17" i="8"/>
  <c r="AM17" i="8"/>
  <c r="AO17" i="8"/>
  <c r="AP17" i="8"/>
  <c r="N18" i="8"/>
  <c r="T18" i="8"/>
  <c r="AE18" i="8"/>
  <c r="AF18" i="8"/>
  <c r="AG18" i="8"/>
  <c r="AJ18" i="8"/>
  <c r="AK18" i="8"/>
  <c r="AL18" i="8"/>
  <c r="AM18" i="8"/>
  <c r="AO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3" i="8"/>
  <c r="T53" i="8"/>
  <c r="AE53" i="8"/>
  <c r="AF53" i="8"/>
  <c r="AG53" i="8"/>
  <c r="AJ53" i="8"/>
  <c r="AK53" i="8"/>
  <c r="AL53" i="8"/>
  <c r="AM53" i="8"/>
  <c r="AO53" i="8"/>
  <c r="AP53" i="8"/>
  <c r="AO55" i="8"/>
  <c r="AP55" i="8"/>
  <c r="AE58" i="8"/>
  <c r="AF58" i="8"/>
  <c r="N5" i="9"/>
  <c r="T5" i="9"/>
  <c r="AE5" i="9"/>
  <c r="AF5" i="9"/>
  <c r="AG5" i="9"/>
  <c r="AJ5" i="9"/>
  <c r="AK5" i="9"/>
  <c r="AL5" i="9"/>
  <c r="AM5" i="9"/>
  <c r="AO5" i="9"/>
  <c r="AP5" i="9"/>
  <c r="N6" i="9"/>
  <c r="T6" i="9"/>
  <c r="AE6" i="9"/>
  <c r="AF6" i="9"/>
  <c r="AG6" i="9"/>
  <c r="AJ6" i="9"/>
  <c r="AK6" i="9"/>
  <c r="AL6" i="9"/>
  <c r="AM6" i="9"/>
  <c r="AO6" i="9"/>
  <c r="AP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E9" i="9"/>
  <c r="AF9" i="9"/>
  <c r="AG9" i="9"/>
  <c r="AJ9" i="9"/>
  <c r="AK9" i="9"/>
  <c r="AL9" i="9"/>
  <c r="AM9" i="9"/>
  <c r="AO9" i="9"/>
  <c r="AP9" i="9"/>
  <c r="N10" i="9"/>
  <c r="T10" i="9"/>
  <c r="AE10" i="9"/>
  <c r="AF10" i="9"/>
  <c r="AG10" i="9"/>
  <c r="AJ10" i="9"/>
  <c r="AK10" i="9"/>
  <c r="AL10" i="9"/>
  <c r="AM10" i="9"/>
  <c r="AO10" i="9"/>
  <c r="AP10" i="9"/>
  <c r="N11" i="9"/>
  <c r="T11" i="9"/>
  <c r="AE11" i="9"/>
  <c r="AF11" i="9"/>
  <c r="AG11" i="9"/>
  <c r="AJ11" i="9"/>
  <c r="AK11" i="9"/>
  <c r="AL11" i="9"/>
  <c r="AM11" i="9"/>
  <c r="AO11" i="9"/>
  <c r="AP11" i="9"/>
  <c r="N12" i="9"/>
  <c r="T12" i="9"/>
  <c r="AE12" i="9"/>
  <c r="AF12" i="9"/>
  <c r="AG12" i="9"/>
  <c r="AJ12" i="9"/>
  <c r="AK12" i="9"/>
  <c r="AL12" i="9"/>
  <c r="AM12" i="9"/>
  <c r="AO12" i="9"/>
  <c r="AP12" i="9"/>
  <c r="N13" i="9"/>
  <c r="T13" i="9"/>
  <c r="AE13" i="9"/>
  <c r="AF13" i="9"/>
  <c r="AG13" i="9"/>
  <c r="AJ13" i="9"/>
  <c r="AK13" i="9"/>
  <c r="AL13" i="9"/>
  <c r="AM13" i="9"/>
  <c r="AO13" i="9"/>
  <c r="AP13" i="9"/>
  <c r="N14" i="9"/>
  <c r="T14" i="9"/>
  <c r="AE14" i="9"/>
  <c r="AF14" i="9"/>
  <c r="AG14" i="9"/>
  <c r="AJ14" i="9"/>
  <c r="AK14" i="9"/>
  <c r="AL14" i="9"/>
  <c r="AM14" i="9"/>
  <c r="AO14" i="9"/>
  <c r="AP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E16" i="9"/>
  <c r="AF16" i="9"/>
  <c r="AG16" i="9"/>
  <c r="AJ16" i="9"/>
  <c r="AK16" i="9"/>
  <c r="AL16" i="9"/>
  <c r="AM16" i="9"/>
  <c r="AO16" i="9"/>
  <c r="AP16" i="9"/>
  <c r="N17" i="9"/>
  <c r="T17" i="9"/>
  <c r="AE17" i="9"/>
  <c r="AF17" i="9"/>
  <c r="AG17" i="9"/>
  <c r="AJ17" i="9"/>
  <c r="AK17" i="9"/>
  <c r="AL17" i="9"/>
  <c r="AM17" i="9"/>
  <c r="AO17" i="9"/>
  <c r="AP17" i="9"/>
  <c r="N18" i="9"/>
  <c r="T18" i="9"/>
  <c r="AE18" i="9"/>
  <c r="AF18" i="9"/>
  <c r="AG18" i="9"/>
  <c r="AJ18" i="9"/>
  <c r="AK18" i="9"/>
  <c r="AL18" i="9"/>
  <c r="AM18" i="9"/>
  <c r="AO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3" i="9"/>
  <c r="T53" i="9"/>
  <c r="AE53" i="9"/>
  <c r="AF53" i="9"/>
  <c r="AG53" i="9"/>
  <c r="AJ53" i="9"/>
  <c r="AK53" i="9"/>
  <c r="AL53" i="9"/>
  <c r="AM53" i="9"/>
  <c r="AO53" i="9"/>
  <c r="AP53" i="9"/>
  <c r="AO55" i="9"/>
  <c r="AP55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21EBB213-C93E-4411-8F5F-0B0525F63CD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1593E1-765E-47FC-AA68-49312E4556C4}" name="Conexão" type="7" refreshedVersion="7" background="1" saveData="1"/>
  <connection id="2" xr16:uid="{D280EA56-47CE-4A55-8033-6DD0EE01D05B}" name="Conexão1" type="7" refreshedVersion="7" background="1" saveData="1"/>
  <connection id="3" xr16:uid="{055EC72C-453A-4824-BEEA-830FB5DF9CF5}" name="Conexão2" type="7" refreshedVersion="7" background="1" saveData="1"/>
</connections>
</file>

<file path=xl/sharedStrings.xml><?xml version="1.0" encoding="utf-8"?>
<sst xmlns="http://schemas.openxmlformats.org/spreadsheetml/2006/main" count="47944" uniqueCount="1321">
  <si>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</si>
  <si>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</si>
  <si>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</si>
  <si>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</si>
  <si>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</si>
  <si>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</si>
  <si>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</si>
  <si>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</si>
  <si>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</si>
  <si>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</si>
  <si>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</si>
  <si>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</si>
  <si>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</si>
  <si>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</si>
  <si>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</si>
  <si>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</si>
  <si>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</si>
  <si>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</si>
  <si>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</si>
  <si>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</si>
  <si>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</si>
  <si>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</si>
  <si>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</si>
  <si>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</si>
  <si>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</si>
  <si>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</si>
  <si>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</si>
  <si>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</si>
  <si>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</si>
  <si>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</si>
  <si>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</si>
  <si>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</si>
  <si>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</si>
  <si>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</si>
  <si>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</si>
  <si>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</si>
  <si>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</si>
  <si>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</si>
  <si>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</si>
  <si>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</si>
  <si>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Verde</t>
  </si>
  <si>
    <t>Comercial</t>
  </si>
  <si>
    <t>Azul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</si>
  <si>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</si>
  <si>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</si>
  <si>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</si>
  <si>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</si>
  <si>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</si>
  <si>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</si>
  <si>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</si>
  <si>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</si>
  <si>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</si>
  <si>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</si>
  <si>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</si>
  <si>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</si>
  <si>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Serviço público de irrigação rural</t>
  </si>
  <si>
    <t>PROJETADO</t>
  </si>
  <si>
    <t>Fonte incentivada</t>
  </si>
  <si>
    <t>LIVRE</t>
  </si>
  <si>
    <t>Geração</t>
  </si>
  <si>
    <t>CACHOEIRA DA ONÇA</t>
  </si>
  <si>
    <t>GERAÇÃO</t>
  </si>
  <si>
    <t>FLP FERRO LIGAS PIRACICABA LTDA</t>
  </si>
  <si>
    <t>SANTA MARIA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</si>
  <si>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</si>
  <si>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</si>
  <si>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</si>
  <si>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</si>
  <si>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</si>
  <si>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</si>
  <si>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</si>
  <si>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</si>
  <si>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</si>
  <si>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</si>
  <si>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</si>
  <si>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</si>
  <si>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</si>
  <si>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</si>
  <si>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</si>
  <si>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</si>
  <si>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</si>
  <si>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</si>
  <si>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</si>
  <si>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</si>
  <si>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</si>
  <si>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</si>
  <si>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</si>
  <si>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APE</t>
  </si>
  <si>
    <t>B</t>
  </si>
  <si>
    <t>TIPO 01</t>
  </si>
  <si>
    <t>TIPO 02</t>
  </si>
  <si>
    <t>EINT</t>
  </si>
  <si>
    <t>Energia convencional</t>
  </si>
  <si>
    <t>Energia convencional pré-pagamento</t>
  </si>
  <si>
    <t>Convencional pré-pagamento</t>
  </si>
  <si>
    <t>Cooperativa de eletrificação rural</t>
  </si>
  <si>
    <t>Iluminação pública – B4b</t>
  </si>
  <si>
    <t>CHAVE TUSD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</si>
  <si>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</si>
  <si>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</si>
  <si>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</si>
  <si>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</si>
  <si>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</si>
  <si>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</si>
  <si>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</si>
  <si>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</si>
  <si>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</si>
  <si>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</si>
  <si>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44743A4AzulNão se aplicaNão se aplicaNão se aplicaNão se aplicaFora ponta</t>
  </si>
  <si>
    <t>44774A4AzulNão se aplicaNão se aplicaNão se aplicaNão se aplicaFora 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</si>
  <si>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</si>
  <si>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</si>
  <si>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</si>
  <si>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</si>
  <si>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</si>
  <si>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</si>
  <si>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</si>
  <si>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</si>
  <si>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</si>
  <si>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</si>
  <si>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44743A4AzulNão se aplicaNão se aplicaNão se aplicaNão se aplicaPonta</t>
  </si>
  <si>
    <t>44774A4AzulNão se aplicaNão se aplicaNão se aplicaNão se aplicaPonta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</si>
  <si>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</si>
  <si>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</si>
  <si>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</si>
  <si>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</si>
  <si>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</si>
  <si>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</si>
  <si>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</si>
  <si>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</si>
  <si>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</si>
  <si>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44713A4AzulNão se aplicaNão se aplicaNão se aplicaNão se aplicaNão se aplica</t>
  </si>
  <si>
    <t>44743A4AzulNão se aplicaNão se aplicaNão se aplicaNão se aplicaNão se aplica</t>
  </si>
  <si>
    <t>44774A4AzulNão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</si>
  <si>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</si>
  <si>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</si>
  <si>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</si>
  <si>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</si>
  <si>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</si>
  <si>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</si>
  <si>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</si>
  <si>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</si>
  <si>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</si>
  <si>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44713A4GeraçãoNão se aplicaNão se aplicaNão se aplicaNão se aplicaNão se aplica</t>
  </si>
  <si>
    <t>44743A4GeraçãoNão se aplicaNão se aplicaNão se aplicaNão se aplicaNão se aplica</t>
  </si>
  <si>
    <t>44774A4GeraçãoNão se aplicaNão se aplicaNão se aplicaNão se aplicaNão se aplica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</si>
  <si>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</si>
  <si>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</si>
  <si>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</si>
  <si>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</si>
  <si>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</si>
  <si>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</si>
  <si>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</si>
  <si>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</si>
  <si>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</si>
  <si>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</si>
  <si>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44743A4VerdeNão se aplicaNão se aplicaNão se aplicaNão se aplicaFora ponta</t>
  </si>
  <si>
    <t>44774A4VerdeNão se aplicaNão se aplicaNão se aplicaNão se aplicaFora ponta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</si>
  <si>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</si>
  <si>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</si>
  <si>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</si>
  <si>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</si>
  <si>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</si>
  <si>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</si>
  <si>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</si>
  <si>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</si>
  <si>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</si>
  <si>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</si>
  <si>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44743A4VerdeNão se aplicaNão se aplicaNão se aplicaNão se aplicaNão se aplica</t>
  </si>
  <si>
    <t>44774A4VerdeNão se aplicaNão se aplicaNão se aplicaNão se aplicaNão se aplica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</si>
  <si>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</si>
  <si>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</si>
  <si>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</si>
  <si>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</si>
  <si>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</si>
  <si>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</si>
  <si>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</si>
  <si>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</si>
  <si>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</si>
  <si>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</si>
  <si>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44743A4VerdeNão se aplicaNão se aplicaNão se aplicaNão se aplicaPonta</t>
  </si>
  <si>
    <t>44774A4VerdeNão se aplicaNão se aplicaNão se aplicaNão se aplicaPonta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</si>
  <si>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</si>
  <si>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</si>
  <si>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</si>
  <si>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</si>
  <si>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</si>
  <si>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</si>
  <si>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</si>
  <si>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</si>
  <si>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</si>
  <si>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</si>
  <si>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44743B1BrancaResidencialResidencialNão se aplicaNão se aplicaFora ponta</t>
  </si>
  <si>
    <t>44774B1BrancaResidencialResidencialNão se aplicaNão se aplicaFora ponta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</si>
  <si>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</si>
  <si>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</si>
  <si>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</si>
  <si>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</si>
  <si>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</si>
  <si>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</si>
  <si>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</si>
  <si>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</si>
  <si>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</si>
  <si>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</si>
  <si>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44743B1BrancaResidencialResidencialNão se aplicaNão se aplicaIntermediário</t>
  </si>
  <si>
    <t>44774B1BrancaResidencialResidencialNão se aplicaNão se aplicaIntermediário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</si>
  <si>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</si>
  <si>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</si>
  <si>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</si>
  <si>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</si>
  <si>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</si>
  <si>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</si>
  <si>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</si>
  <si>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</si>
  <si>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</si>
  <si>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</si>
  <si>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44743B1ConvencionalResidencialResidencialNão se aplicaNão se aplicaNão se aplica</t>
  </si>
  <si>
    <t>44774B1ConvencionalResidencialResidencialNão se aplicaNão se aplicaNão se aplica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</si>
  <si>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</si>
  <si>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</si>
  <si>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</si>
  <si>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</si>
  <si>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</si>
  <si>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</si>
  <si>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</si>
  <si>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</si>
  <si>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</si>
  <si>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</si>
  <si>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44743B1BrancaResidencialResidencialNão se aplicaNão se aplicaPonta</t>
  </si>
  <si>
    <t>44774B1BrancaResidencialResidencialNão se aplicaNão se aplicaPonta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</si>
  <si>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</si>
  <si>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</si>
  <si>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</si>
  <si>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</si>
  <si>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</si>
  <si>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</si>
  <si>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</si>
  <si>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</si>
  <si>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</si>
  <si>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</si>
  <si>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44743B1ConvencionalResidencialResidencial baixa renda – faixa 01Não se aplicaNão se aplicaNão se aplica</t>
  </si>
  <si>
    <t>44774B1ConvencionalResidencialResidencial baixa renda – faixa 01Não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</si>
  <si>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</si>
  <si>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</si>
  <si>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</si>
  <si>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</si>
  <si>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</si>
  <si>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</si>
  <si>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</si>
  <si>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</si>
  <si>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</si>
  <si>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</si>
  <si>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44743B1ConvencionalResidencialResidencial baixa renda – faixa 02Não se aplicaNão se aplicaNão se aplica</t>
  </si>
  <si>
    <t>44774B1ConvencionalResidencialResidencial baixa renda – faixa 02Não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</si>
  <si>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</si>
  <si>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</si>
  <si>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</si>
  <si>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</si>
  <si>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</si>
  <si>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</si>
  <si>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</si>
  <si>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</si>
  <si>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</si>
  <si>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</si>
  <si>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44743B1ConvencionalResidencialResidencial baixa renda – faixa 03Não se aplicaNão se aplicaNão se aplica</t>
  </si>
  <si>
    <t>44774B1ConvencionalResidencialResidencial baixa renda – faixa 03Não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</si>
  <si>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</si>
  <si>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</si>
  <si>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</si>
  <si>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</si>
  <si>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</si>
  <si>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</si>
  <si>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</si>
  <si>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</si>
  <si>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</si>
  <si>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</si>
  <si>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44743B1ConvencionalResidencialResidencial baixa renda – faixa 04Não se aplicaNão se aplicaNão se aplica</t>
  </si>
  <si>
    <t>44774B1ConvencionalResidencialResidencial baixa renda – faixa 04Não se aplicaNão se aplicaNão se aplica</t>
  </si>
  <si>
    <t>44440B2BrancaRuralNão se aplicaNão se aplicaNão se aplicaFora ponta</t>
  </si>
  <si>
    <t>44470B2BrancaRuralNão se aplicaNão se aplicaNão se aplicaFora ponta</t>
  </si>
  <si>
    <t>44501B2BrancaRuralNão se aplicaNão se aplicaNão se aplicaFora ponta</t>
  </si>
  <si>
    <t>44531B2BrancaRuralNão se aplicaNão se aplicaNão se aplicaFora ponta</t>
  </si>
  <si>
    <t>44562B2BrancaRuralNão se aplicaNão se aplicaNão se aplicaFora ponta</t>
  </si>
  <si>
    <t>44593B2BrancaRuralNão se aplicaNão se aplicaNão se aplicaFora ponta</t>
  </si>
  <si>
    <t>44621B2BrancaRuralNão se aplicaNão se aplicaNão se aplicaFora ponta</t>
  </si>
  <si>
    <t>44652B2BrancaRuralNão se aplicaNão se aplicaNão se aplicaFora ponta</t>
  </si>
  <si>
    <t>44682B2BrancaRuralNão se aplicaNão se aplicaNão se aplicaFora ponta</t>
  </si>
  <si>
    <t>44713B2BrancaRuralNão se aplicaNão se aplicaNão se aplicaFora ponta</t>
  </si>
  <si>
    <t>44743B2BrancaRuralNão se aplicaNão se aplicaNão se aplicaFora ponta</t>
  </si>
  <si>
    <t>44774B2BrancaRuralNão se aplicaNão se aplicaNão se aplicaFora ponta</t>
  </si>
  <si>
    <t>44440B2BrancaRuralNão se aplicaNão se aplicaNão se aplicaIntermediário</t>
  </si>
  <si>
    <t>44470B2BrancaRuralNão se aplicaNão se aplicaNão se aplicaIntermediário</t>
  </si>
  <si>
    <t>44501B2BrancaRuralNão se aplicaNão se aplicaNão se aplicaIntermediário</t>
  </si>
  <si>
    <t>44531B2BrancaRuralNão se aplicaNão se aplicaNão se aplicaIntermediário</t>
  </si>
  <si>
    <t>44562B2BrancaRuralNão se aplicaNão se aplicaNão se aplicaIntermediário</t>
  </si>
  <si>
    <t>44593B2BrancaRuralNão se aplicaNão se aplicaNão se aplicaIntermediário</t>
  </si>
  <si>
    <t>44621B2BrancaRuralNão se aplicaNão se aplicaNão se aplicaIntermediário</t>
  </si>
  <si>
    <t>44652B2BrancaRuralNão se aplicaNão se aplicaNão se aplicaIntermediário</t>
  </si>
  <si>
    <t>44682B2BrancaRuralNão se aplicaNão se aplicaNão se aplicaIntermediário</t>
  </si>
  <si>
    <t>44713B2BrancaRuralNão se aplicaNão se aplicaNão se aplicaIntermediário</t>
  </si>
  <si>
    <t>44743B2BrancaRuralNão se aplicaNão se aplicaNão se aplicaIntermediário</t>
  </si>
  <si>
    <t>44774B2BrancaRuralNão se aplicaNão se aplicaNão se aplicaIntermediário</t>
  </si>
  <si>
    <t>44440B2BrancaRuralNão se aplicaNão se aplicaNão se aplicaPonta</t>
  </si>
  <si>
    <t>44470B2BrancaRuralNão se aplicaNão se aplicaNão se aplicaPonta</t>
  </si>
  <si>
    <t>44501B2BrancaRuralNão se aplicaNão se aplicaNão se aplicaPonta</t>
  </si>
  <si>
    <t>44531B2BrancaRuralNão se aplicaNão se aplicaNão se aplicaPonta</t>
  </si>
  <si>
    <t>44562B2BrancaRuralNão se aplicaNão se aplicaNão se aplicaPonta</t>
  </si>
  <si>
    <t>44593B2BrancaRuralNão se aplicaNão se aplicaNão se aplicaPonta</t>
  </si>
  <si>
    <t>44621B2BrancaRuralNão se aplicaNão se aplicaNão se aplicaPonta</t>
  </si>
  <si>
    <t>44652B2BrancaRuralNão se aplicaNão se aplicaNão se aplicaPonta</t>
  </si>
  <si>
    <t>44682B2BrancaRuralNão se aplicaNão se aplicaNão se aplicaPonta</t>
  </si>
  <si>
    <t>44713B2BrancaRuralNão se aplicaNão se aplicaNão se aplicaPonta</t>
  </si>
  <si>
    <t>44743B2BrancaRuralNão se aplicaNão se aplicaNão se aplicaPonta</t>
  </si>
  <si>
    <t>44774B2BrancaRuralNão se aplicaNão se aplicaNão se aplicaPonta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</si>
  <si>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</si>
  <si>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</si>
  <si>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</si>
  <si>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</si>
  <si>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</si>
  <si>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</si>
  <si>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</si>
  <si>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</si>
  <si>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</si>
  <si>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</si>
  <si>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44743B2ConvencionalRuralNão se aplicaNão se aplicaNão se aplicaNão se aplica</t>
  </si>
  <si>
    <t>44774B2ConvencionalRuralNão se aplicaNão se aplicaNão se aplicaNão se aplica</t>
  </si>
  <si>
    <t>44440B2ConvencionalRuralServiço público de irrigação ruralNão se aplicaNão se aplicaNão se aplica</t>
  </si>
  <si>
    <t>44470B2ConvencionalRuralServiço público de irrigação ruralNão se aplicaNão se aplicaNão se aplica</t>
  </si>
  <si>
    <t>44501B2ConvencionalRuralServiço público de irrigação ruralNão se aplicaNão se aplicaNão se aplica</t>
  </si>
  <si>
    <t>44531B2ConvencionalRuralServiço público de irrigação ruralNão se aplicaNão se aplicaNão se aplica</t>
  </si>
  <si>
    <t>44562B2ConvencionalRuralServiço público de irrigação ruralNão se aplicaNão se aplicaNão se aplica</t>
  </si>
  <si>
    <t>44593B2ConvencionalRuralServiço público de irrigação ruralNão se aplicaNão se aplicaNão se aplica</t>
  </si>
  <si>
    <t>44621B2ConvencionalRuralServiço público de irrigação ruralNão se aplicaNão se aplicaNão se aplica</t>
  </si>
  <si>
    <t>44652B2ConvencionalRuralServiço público de irrigação ruralNão se aplicaNão se aplicaNão se aplica</t>
  </si>
  <si>
    <t>44682B2ConvencionalRuralServiço público de irrigação ruralNão se aplicaNão se aplicaNão se aplica</t>
  </si>
  <si>
    <t>44713B2ConvencionalRuralServiço público de irrigação ruralNão se aplicaNão se aplicaNão se aplica</t>
  </si>
  <si>
    <t>44743B2ConvencionalRuralServiço público de irrigação ruralNão se aplicaNão se aplicaNão se aplica</t>
  </si>
  <si>
    <t>44774B2ConvencionalRuralServiço público de irrigação ruralNão se aplicaNão se aplicaNão se aplica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</si>
  <si>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</si>
  <si>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</si>
  <si>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</si>
  <si>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</si>
  <si>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</si>
  <si>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</si>
  <si>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</si>
  <si>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</si>
  <si>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</si>
  <si>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</si>
  <si>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44743B3BrancaNão se aplicaNão se aplicaNão se aplicaNão se aplicaFora ponta</t>
  </si>
  <si>
    <t>44774B3BrancaNão se aplicaNão se aplicaNão se aplicaNão se aplicaFora ponta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</si>
  <si>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</si>
  <si>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</si>
  <si>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</si>
  <si>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</si>
  <si>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</si>
  <si>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</si>
  <si>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</si>
  <si>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</si>
  <si>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</si>
  <si>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</si>
  <si>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44743B3BrancaNão se aplicaNão se aplicaNão se aplicaNão se aplicaIntermediário</t>
  </si>
  <si>
    <t>44774B3BrancaNão se aplicaNão se aplicaNão se aplicaNão se aplicaIntermediário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</si>
  <si>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</si>
  <si>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</si>
  <si>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</si>
  <si>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</si>
  <si>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</si>
  <si>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</si>
  <si>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</si>
  <si>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</si>
  <si>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</si>
  <si>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44743B3ConvencionalNão se aplicaNão se aplicaNão se aplicaNão se aplicaNão se aplica</t>
  </si>
  <si>
    <t>44774B3ConvencionalNão se aplicaNão se aplicaNão se aplicaNão se aplicaNão se aplica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</si>
  <si>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</si>
  <si>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</si>
  <si>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</si>
  <si>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</si>
  <si>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</si>
  <si>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</si>
  <si>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</si>
  <si>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</si>
  <si>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</si>
  <si>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</si>
  <si>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44743B3BrancaNão se aplicaNão se aplicaNão se aplicaNão se aplicaPonta</t>
  </si>
  <si>
    <t>44774B3BrancaNão se aplicaNão se aplicaNão se aplicaNão se aplicaPonta</t>
  </si>
  <si>
    <t>44652B3ConvencionalNão se aplicaNão se aplicaNão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</si>
  <si>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</si>
  <si>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</si>
  <si>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</si>
  <si>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</si>
  <si>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</si>
  <si>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</si>
  <si>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</si>
  <si>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</si>
  <si>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</si>
  <si>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</si>
  <si>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44743B4ConvencionalIluminação públicaIluminação pública – B4aNão se aplicaNão se aplicaNão se aplica</t>
  </si>
  <si>
    <t>44774B4ConvencionalIluminação públicaIluminação pública – B4aNão se aplicaNão se aplicaNão se aplica</t>
  </si>
  <si>
    <t>CHAVE TE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</si>
  <si>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</si>
  <si>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</si>
  <si>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</si>
  <si>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</si>
  <si>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</si>
  <si>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</si>
  <si>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</si>
  <si>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</si>
  <si>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</si>
  <si>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</si>
  <si>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44743A4Energia horáriaNão se aplicaNão se aplicaNão se aplicaNão se aplicaFora ponta</t>
  </si>
  <si>
    <t>44774A4Energia horáriaNão se aplicaNão se aplicaNão se aplicaNão se aplicaFora 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</si>
  <si>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</si>
  <si>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</si>
  <si>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</si>
  <si>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</si>
  <si>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</si>
  <si>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</si>
  <si>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</si>
  <si>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</si>
  <si>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</si>
  <si>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</si>
  <si>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44743A4Energia horáriaNão se aplicaNão se aplicaNão se aplicaNão se aplicaPonta</t>
  </si>
  <si>
    <t>44774A4Energia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</si>
  <si>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</si>
  <si>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</si>
  <si>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</si>
  <si>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</si>
  <si>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</si>
  <si>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</si>
  <si>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</si>
  <si>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</si>
  <si>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</si>
  <si>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</si>
  <si>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</si>
  <si>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</si>
  <si>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</si>
  <si>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</si>
  <si>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44743B1Energia horáriaResidencialResidencialNão se aplicaNão se aplicaFora ponta</t>
  </si>
  <si>
    <t>44774B1Energia horáriaResidencialResidencialNão se aplicaNão se aplicaFora ponta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</si>
  <si>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</si>
  <si>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</si>
  <si>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</si>
  <si>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</si>
  <si>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</si>
  <si>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</si>
  <si>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</si>
  <si>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</si>
  <si>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</si>
  <si>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</si>
  <si>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44743B1Energia horáriaResidencialResidencialNão se aplicaNão se aplicaIntermediário</t>
  </si>
  <si>
    <t>44774B1Energia horáriaResidencialResidencialNão se aplicaNão se aplicaIntermediário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</si>
  <si>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</si>
  <si>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</si>
  <si>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</si>
  <si>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</si>
  <si>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</si>
  <si>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</si>
  <si>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</si>
  <si>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</si>
  <si>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</si>
  <si>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</si>
  <si>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44743B1Energia convencionalResidencialResidencialNão se aplicaNão se aplicaNão se aplica</t>
  </si>
  <si>
    <t>44774B1Energia convencionalResidencialResidencialNão se aplicaNão se aplicaNão se aplica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</si>
  <si>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</si>
  <si>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</si>
  <si>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</si>
  <si>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</si>
  <si>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</si>
  <si>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</si>
  <si>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</si>
  <si>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</si>
  <si>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</si>
  <si>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</si>
  <si>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44743B1Energia horáriaResidencialResidencialNão se aplicaNão se aplicaPonta</t>
  </si>
  <si>
    <t>44774B1Energia horáriaResidencialResidencialNão se aplicaNão se aplicaPonta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</si>
  <si>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</si>
  <si>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</si>
  <si>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</si>
  <si>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</si>
  <si>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</si>
  <si>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</si>
  <si>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</si>
  <si>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</si>
  <si>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</si>
  <si>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</si>
  <si>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44743B1Energia convencionalResidencialResidencial baixa renda – faixa 01Não se aplicaNão se aplicaNão se aplica</t>
  </si>
  <si>
    <t>44774B1Energia convencionalResidencialResidencial baixa renda – faixa 01Não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</si>
  <si>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</si>
  <si>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</si>
  <si>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</si>
  <si>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</si>
  <si>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</si>
  <si>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</si>
  <si>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</si>
  <si>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</si>
  <si>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</si>
  <si>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</si>
  <si>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44743B1Energia convencionalResidencialResidencial baixa renda – faixa 02Não se aplicaNão se aplicaNão se aplica</t>
  </si>
  <si>
    <t>44774B1Energia convencionalResidencialResidencial baixa renda – faixa 02Não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</si>
  <si>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</si>
  <si>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</si>
  <si>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</si>
  <si>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</si>
  <si>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</si>
  <si>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</si>
  <si>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</si>
  <si>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</si>
  <si>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</si>
  <si>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</si>
  <si>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44743B1Energia convencionalResidencialResidencial baixa renda – faixa 03Não se aplicaNão se aplicaNão se aplica</t>
  </si>
  <si>
    <t>44774B1Energia convencionalResidencialResidencial baixa renda – faixa 03Não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</si>
  <si>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</si>
  <si>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</si>
  <si>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</si>
  <si>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</si>
  <si>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</si>
  <si>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</si>
  <si>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</si>
  <si>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</si>
  <si>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</si>
  <si>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</si>
  <si>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44743B1Energia convencionalResidencialResidencial baixa renda – faixa 04Não se aplicaNão se aplicaNão se aplica</t>
  </si>
  <si>
    <t>44774B1Energia convencionalResidencialResidencial baixa renda – faixa 04Não se aplicaNão se aplicaNão se aplica</t>
  </si>
  <si>
    <t>44440B2Energia horáriaRuralNão se aplicaNão se aplicaNão se aplicaFora ponta</t>
  </si>
  <si>
    <t>44470B2Energia horáriaRuralNão se aplicaNão se aplicaNão se aplicaFora ponta</t>
  </si>
  <si>
    <t>44501B2Energia horáriaRuralNão se aplicaNão se aplicaNão se aplicaFora ponta</t>
  </si>
  <si>
    <t>44531B2Energia horáriaRuralNão se aplicaNão se aplicaNão se aplicaFora ponta</t>
  </si>
  <si>
    <t>44562B2Energia horáriaRuralNão se aplicaNão se aplicaNão se aplicaFora ponta</t>
  </si>
  <si>
    <t>44593B2Energia horáriaRuralNão se aplicaNão se aplicaNão se aplicaFora ponta</t>
  </si>
  <si>
    <t>44621B2Energia horáriaRuralNão se aplicaNão se aplicaNão se aplicaFora ponta</t>
  </si>
  <si>
    <t>44652B2Energia horáriaRuralNão se aplicaNão se aplicaNão se aplicaFora ponta</t>
  </si>
  <si>
    <t>44682B2Energia horáriaRuralNão se aplicaNão se aplicaNão se aplicaFora ponta</t>
  </si>
  <si>
    <t>44713B2Energia horáriaRuralNão se aplicaNão se aplicaNão se aplicaFora ponta</t>
  </si>
  <si>
    <t>44743B2Energia horáriaRuralNão se aplicaNão se aplicaNão se aplicaFora ponta</t>
  </si>
  <si>
    <t>44774B2Energia horáriaRuralNão se aplicaNão se aplicaNão se aplicaFora ponta</t>
  </si>
  <si>
    <t>44440B2Energia horáriaRuralNão se aplicaNão se aplicaNão se aplicaIntermediário</t>
  </si>
  <si>
    <t>44470B2Energia horáriaRuralNão se aplicaNão se aplicaNão se aplicaIntermediário</t>
  </si>
  <si>
    <t>44501B2Energia horáriaRuralNão se aplicaNão se aplicaNão se aplicaIntermediário</t>
  </si>
  <si>
    <t>44531B2Energia horáriaRuralNão se aplicaNão se aplicaNão se aplicaIntermediário</t>
  </si>
  <si>
    <t>44562B2Energia horáriaRuralNão se aplicaNão se aplicaNão se aplicaIntermediário</t>
  </si>
  <si>
    <t>44593B2Energia horáriaRuralNão se aplicaNão se aplicaNão se aplicaIntermediário</t>
  </si>
  <si>
    <t>44621B2Energia horáriaRuralNão se aplicaNão se aplicaNão se aplicaIntermediário</t>
  </si>
  <si>
    <t>44652B2Energia horáriaRuralNão se aplicaNão se aplicaNão se aplicaIntermediário</t>
  </si>
  <si>
    <t>44682B2Energia horáriaRuralNão se aplicaNão se aplicaNão se aplicaIntermediário</t>
  </si>
  <si>
    <t>44713B2Energia horáriaRuralNão se aplicaNão se aplicaNão se aplicaIntermediário</t>
  </si>
  <si>
    <t>44743B2Energia horáriaRuralNão se aplicaNão se aplicaNão se aplicaIntermediário</t>
  </si>
  <si>
    <t>44774B2Energia horáriaRuralNão se aplicaNão se aplicaNão se aplicaIntermediário</t>
  </si>
  <si>
    <t>44440B2Energia horáriaRuralNão se aplicaNão se aplicaNão se aplicaPonta</t>
  </si>
  <si>
    <t>44470B2Energia horáriaRuralNão se aplicaNão se aplicaNão se aplicaPonta</t>
  </si>
  <si>
    <t>44501B2Energia horáriaRuralNão se aplicaNão se aplicaNão se aplicaPonta</t>
  </si>
  <si>
    <t>44531B2Energia horáriaRuralNão se aplicaNão se aplicaNão se aplicaPonta</t>
  </si>
  <si>
    <t>44562B2Energia horáriaRuralNão se aplicaNão se aplicaNão se aplicaPonta</t>
  </si>
  <si>
    <t>44593B2Energia horáriaRuralNão se aplicaNão se aplicaNão se aplicaPonta</t>
  </si>
  <si>
    <t>44621B2Energia horáriaRuralNão se aplicaNão se aplicaNão se aplicaPonta</t>
  </si>
  <si>
    <t>44652B2Energia horáriaRuralNão se aplicaNão se aplicaNão se aplicaPonta</t>
  </si>
  <si>
    <t>44682B2Energia horáriaRuralNão se aplicaNão se aplicaNão se aplicaPonta</t>
  </si>
  <si>
    <t>44713B2Energia horáriaRuralNão se aplicaNão se aplicaNão se aplicaPonta</t>
  </si>
  <si>
    <t>44743B2Energia horáriaRuralNão se aplicaNão se aplicaNão se aplicaPonta</t>
  </si>
  <si>
    <t>44774B2Energia horáriaRuralNão se aplicaNão se aplicaNão se aplicaPonta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</si>
  <si>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</si>
  <si>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</si>
  <si>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</si>
  <si>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</si>
  <si>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</si>
  <si>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</si>
  <si>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</si>
  <si>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</si>
  <si>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</si>
  <si>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</si>
  <si>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44743B2Energia convencionalRuralNão se aplicaNão se aplicaNão se aplicaNão se aplica</t>
  </si>
  <si>
    <t>44774B2Energia convencionalRuralNão se aplicaNão se aplicaNão se aplicaNão se aplica</t>
  </si>
  <si>
    <t>44440B2Energia convencionalRuralServiço público de irrigação ruralNão se aplicaNão se aplicaNão se aplica</t>
  </si>
  <si>
    <t>44470B2Energia convencionalRuralServiço público de irrigação ruralNão se aplicaNão se aplicaNão se aplica</t>
  </si>
  <si>
    <t>44501B2Energia convencionalRuralServiço público de irrigação ruralNão se aplicaNão se aplicaNão se aplica</t>
  </si>
  <si>
    <t>44531B2Energia convencionalRuralServiço público de irrigação ruralNão se aplicaNão se aplicaNão se aplica</t>
  </si>
  <si>
    <t>44562B2Energia convencionalRuralServiço público de irrigação ruralNão se aplicaNão se aplicaNão se aplica</t>
  </si>
  <si>
    <t>44593B2Energia convencionalRuralServiço público de irrigação ruralNão se aplicaNão se aplicaNão se aplica</t>
  </si>
  <si>
    <t>44621B2Energia convencionalRuralServiço público de irrigação ruralNão se aplicaNão se aplicaNão se aplica</t>
  </si>
  <si>
    <t>44652B2Energia convencionalRuralServiço público de irrigação ruralNão se aplicaNão se aplicaNão se aplica</t>
  </si>
  <si>
    <t>44682B2Energia convencionalRuralServiço público de irrigação ruralNão se aplicaNão se aplicaNão se aplica</t>
  </si>
  <si>
    <t>44713B2Energia convencionalRuralServiço público de irrigação ruralNão se aplicaNão se aplicaNão se aplica</t>
  </si>
  <si>
    <t>44743B2Energia convencionalRuralServiço público de irrigação ruralNão se aplicaNão se aplicaNão se aplica</t>
  </si>
  <si>
    <t>44774B2Energia convencionalRuralServiço público de irrigação ruralNão se aplicaNão se aplicaNão se aplica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</si>
  <si>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</si>
  <si>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</si>
  <si>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</si>
  <si>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</si>
  <si>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</si>
  <si>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</si>
  <si>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</si>
  <si>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</si>
  <si>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</si>
  <si>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</si>
  <si>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44743B3Energia horáriaNão se aplicaNão se aplicaNão se aplicaNão se aplicaFora ponta</t>
  </si>
  <si>
    <t>44774B3Energia horáriaNão se aplicaNão se aplicaNão se aplicaNão se aplicaFora ponta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</si>
  <si>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</si>
  <si>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</si>
  <si>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</si>
  <si>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</si>
  <si>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</si>
  <si>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</si>
  <si>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</si>
  <si>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</si>
  <si>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</si>
  <si>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</si>
  <si>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44743B3Energia horáriaNão se aplicaNão se aplicaNão se aplicaNão se aplicaIntermediário</t>
  </si>
  <si>
    <t>44774B3Energia horáriaNão se aplicaNão se aplicaNão se aplicaNão se aplicaIntermediário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</si>
  <si>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</si>
  <si>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</si>
  <si>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</si>
  <si>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</si>
  <si>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</si>
  <si>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</si>
  <si>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</si>
  <si>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</si>
  <si>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</si>
  <si>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44743B3Energia convencionalNão se aplicaNão se aplicaNão se aplicaNão se aplicaNão se aplica</t>
  </si>
  <si>
    <t>44774B3Energia convencionalNão se aplicaNão se aplicaNão se aplicaNão se aplicaNão se aplica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</si>
  <si>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</si>
  <si>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</si>
  <si>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</si>
  <si>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</si>
  <si>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</si>
  <si>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</si>
  <si>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</si>
  <si>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</si>
  <si>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</si>
  <si>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</si>
  <si>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44743B3Energia horáriaNão se aplicaNão se aplicaNão se aplicaNão se aplicaPonta</t>
  </si>
  <si>
    <t>44774B3Energia horáriaNão se aplicaNão se aplicaNão se aplicaNão se aplicaPonta</t>
  </si>
  <si>
    <t>44652B3Energia convencionalNão se aplicaNão se aplicaNão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</si>
  <si>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</si>
  <si>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</si>
  <si>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</si>
  <si>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</si>
  <si>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</si>
  <si>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</si>
  <si>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</si>
  <si>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</si>
  <si>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</si>
  <si>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</si>
  <si>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44743B4Energia convencionalIluminação públicaIluminação pública – B4aNão se aplicaNão se aplicaNão se aplica</t>
  </si>
  <si>
    <t>44774B4Energia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</si>
  <si>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</si>
  <si>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</si>
  <si>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</si>
  <si>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</si>
  <si>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</si>
  <si>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</si>
  <si>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</si>
  <si>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</si>
  <si>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</si>
  <si>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</si>
  <si>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</si>
  <si>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</si>
  <si>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</si>
  <si>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</si>
  <si>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</si>
  <si>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</si>
  <si>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</si>
  <si>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</si>
  <si>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</si>
  <si>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</si>
  <si>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</si>
  <si>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</si>
  <si>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</si>
  <si>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</si>
  <si>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</si>
  <si>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</si>
  <si>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</si>
  <si>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</si>
  <si>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</si>
  <si>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</si>
  <si>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</si>
  <si>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</si>
  <si>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</si>
  <si>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</si>
  <si>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</si>
  <si>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</si>
  <si>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</si>
  <si>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</si>
  <si>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</si>
  <si>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</si>
  <si>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</si>
  <si>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</si>
  <si>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</si>
  <si>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</si>
  <si>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</si>
  <si>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</si>
  <si>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</si>
  <si>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</si>
  <si>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</si>
  <si>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</si>
  <si>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</si>
  <si>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</si>
  <si>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</si>
  <si>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</si>
  <si>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</si>
  <si>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</si>
  <si>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</si>
  <si>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</si>
  <si>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</si>
  <si>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</si>
  <si>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</si>
  <si>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</si>
  <si>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</si>
  <si>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</si>
  <si>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</si>
  <si>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</si>
  <si>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</si>
  <si>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</si>
  <si>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</si>
  <si>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</si>
  <si>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</si>
  <si>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</si>
  <si>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</si>
  <si>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</si>
  <si>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</si>
  <si>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</si>
  <si>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</si>
  <si>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</si>
  <si>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</si>
  <si>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</si>
  <si>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</si>
  <si>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</si>
  <si>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</si>
  <si>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</si>
  <si>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</si>
  <si>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</si>
  <si>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</si>
  <si>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</si>
  <si>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</si>
  <si>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</si>
  <si>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</si>
  <si>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</si>
  <si>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</si>
  <si>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</si>
  <si>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</si>
  <si>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</si>
  <si>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</si>
  <si>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</si>
  <si>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</si>
  <si>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</si>
  <si>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</si>
  <si>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2.933, DE 21 DE SETEMBRO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</si>
  <si>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</si>
  <si>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</si>
  <si>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</si>
  <si>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</si>
  <si>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</si>
  <si>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</si>
  <si>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</si>
  <si>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</si>
  <si>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</si>
  <si>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</si>
  <si>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</si>
  <si>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</si>
  <si>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</si>
  <si>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</si>
  <si>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</si>
  <si>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</si>
  <si>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</si>
  <si>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</si>
  <si>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</si>
  <si>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</si>
  <si>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</si>
  <si>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</si>
  <si>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</si>
  <si>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</si>
  <si>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</si>
  <si>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</si>
  <si>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</si>
  <si>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</si>
  <si>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</si>
  <si>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</si>
  <si>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</si>
  <si>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</si>
  <si>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</si>
  <si>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</si>
  <si>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</si>
  <si>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</si>
  <si>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</si>
  <si>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</si>
  <si>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</si>
  <si>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</si>
  <si>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</si>
  <si>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</si>
  <si>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</si>
  <si>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</si>
  <si>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</si>
  <si>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</si>
  <si>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</si>
  <si>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</si>
  <si>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</si>
  <si>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</si>
  <si>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</si>
  <si>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</si>
  <si>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</si>
  <si>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</si>
  <si>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</si>
  <si>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</si>
  <si>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</si>
  <si>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</si>
  <si>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</si>
  <si>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</si>
  <si>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</si>
  <si>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</si>
  <si>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</si>
  <si>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</si>
  <si>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</si>
  <si>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</si>
  <si>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Planilha Custo</t>
  </si>
  <si>
    <t>Planilha CUSTO</t>
  </si>
  <si>
    <t xml:space="preserve">Branca </t>
  </si>
  <si>
    <t xml:space="preserve">Convencional 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</si>
  <si>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</si>
  <si>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</si>
  <si>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</si>
  <si>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</si>
  <si>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</si>
  <si>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</si>
  <si>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</si>
  <si>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</si>
  <si>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</si>
  <si>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</si>
  <si>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</si>
  <si>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</si>
  <si>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</si>
  <si>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</si>
  <si>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</si>
  <si>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</si>
  <si>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</si>
  <si>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</si>
  <si>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</si>
  <si>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</si>
  <si>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</si>
  <si>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</si>
  <si>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</si>
  <si>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</si>
  <si>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</si>
  <si>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</si>
  <si>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</si>
  <si>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</si>
  <si>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</si>
  <si>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</si>
  <si>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</si>
  <si>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RURAL</t>
  </si>
  <si>
    <t>SUBSIDIO ÁGUA, ESGOTO E SANEAMENTO</t>
  </si>
  <si>
    <t>SUBSIDIO GERAÇÃO FONTE INCENTIVADA</t>
  </si>
  <si>
    <t>SUBSIDIO BAIXA RENDA</t>
  </si>
  <si>
    <t>SUBSIDIO IRRIGANTE/AQUICULTOR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</si>
  <si>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</si>
  <si>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</si>
  <si>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</si>
  <si>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</si>
  <si>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</si>
  <si>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</si>
  <si>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</si>
  <si>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</si>
  <si>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</si>
  <si>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</si>
  <si>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</si>
  <si>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Azul1Serviço públicoÁgua, esgoto e saneamentoPlanilha CUSTOA4</t>
  </si>
  <si>
    <t>2021</t>
  </si>
  <si>
    <t>Verde1Serviço públicoÁgua, esgoto e saneamentoPlanilha CUSTOA4</t>
  </si>
  <si>
    <t>Convencional1Serviço públicoÁgua, esgoto e saneamentoPlanilha CUSTOA4</t>
  </si>
  <si>
    <t>Convencional1Serviço públicoÁgua, esgoto e saneamentoPlanilha CUSTOB3</t>
  </si>
  <si>
    <t>Branca 1Serviço públicoÁgua, esgoto e saneamentoPlanilha CUSTOB3</t>
  </si>
  <si>
    <t>Convencional1RuralCooperativa de eletrificação ruralPlanilha CUSTOB2</t>
  </si>
  <si>
    <t>Branca1RuralCooperativa de eletrificação ruralPlanilha CUSTOB2</t>
  </si>
  <si>
    <t>Azul1RuralNão se aplicaPlanilha CustoA4</t>
  </si>
  <si>
    <t>Verde1RuralNão se aplicaPlanilha CustoA4</t>
  </si>
  <si>
    <t>Convencional 1RuralNão se aplicaPlanilha CustoA4</t>
  </si>
  <si>
    <t>Convencional1RuralNão se aplicaRuralB2</t>
  </si>
  <si>
    <t>Branca 1RuralNão se aplicaRuralB2</t>
  </si>
  <si>
    <t>Convencional1RuralServiço público de irrigação ruralPlanilha CUSTOB2</t>
  </si>
  <si>
    <t>Branca1RuralServiço público de irrigação ruralPlanilha CUSTOB2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</si>
  <si>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</si>
  <si>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</si>
  <si>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</si>
  <si>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</si>
  <si>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</si>
  <si>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</si>
  <si>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</si>
  <si>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</si>
  <si>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</si>
  <si>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</si>
  <si>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</si>
  <si>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</si>
  <si>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</si>
  <si>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</si>
  <si>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</si>
  <si>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</si>
  <si>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</si>
  <si>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</si>
  <si>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</si>
  <si>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</si>
  <si>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</si>
  <si>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</si>
  <si>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</si>
  <si>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</si>
  <si>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</si>
  <si>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</si>
  <si>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</si>
  <si>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</si>
  <si>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</si>
  <si>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</si>
  <si>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</si>
  <si>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</si>
  <si>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</si>
  <si>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</si>
  <si>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</si>
  <si>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</si>
  <si>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</si>
  <si>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</si>
  <si>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</si>
  <si>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</si>
  <si>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</si>
  <si>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</si>
  <si>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</si>
  <si>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</si>
  <si>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</si>
  <si>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</si>
  <si>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</si>
  <si>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</si>
  <si>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</si>
  <si>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</si>
  <si>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</si>
  <si>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</si>
  <si>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</si>
  <si>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</si>
  <si>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</si>
  <si>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</si>
  <si>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</si>
  <si>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</si>
  <si>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</si>
  <si>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</si>
  <si>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</si>
  <si>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</si>
  <si>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</si>
  <si>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</si>
  <si>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</si>
  <si>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</si>
  <si>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</si>
  <si>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</si>
  <si>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</si>
  <si>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</si>
  <si>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</si>
  <si>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</si>
  <si>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</si>
  <si>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</si>
  <si>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</si>
  <si>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</si>
  <si>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</si>
  <si>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</si>
  <si>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</si>
  <si>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</si>
  <si>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</si>
  <si>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</si>
  <si>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</si>
  <si>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</si>
  <si>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</si>
  <si>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</si>
  <si>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</si>
  <si>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</si>
  <si>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</si>
  <si>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</si>
  <si>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</si>
  <si>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</si>
  <si>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</si>
  <si>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</si>
  <si>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</si>
  <si>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</si>
  <si>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</si>
  <si>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</si>
  <si>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</si>
  <si>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</si>
  <si>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</si>
  <si>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</si>
  <si>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</si>
  <si>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</si>
  <si>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</si>
  <si>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</si>
  <si>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</si>
  <si>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</si>
  <si>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</si>
  <si>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</si>
  <si>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</si>
  <si>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</si>
  <si>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</si>
  <si>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</si>
  <si>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</si>
  <si>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</si>
  <si>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</si>
  <si>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</si>
  <si>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</si>
  <si>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</si>
  <si>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</si>
  <si>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</si>
  <si>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</si>
  <si>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</si>
  <si>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</si>
  <si>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</si>
  <si>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</si>
  <si>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</si>
  <si>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</si>
  <si>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</si>
  <si>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</si>
  <si>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</si>
  <si>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</si>
  <si>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</si>
  <si>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</si>
  <si>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</si>
  <si>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</si>
  <si>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</si>
  <si>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</si>
  <si>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</si>
  <si>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</si>
  <si>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</si>
  <si>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</si>
  <si>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</si>
  <si>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</si>
  <si>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</si>
  <si>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</si>
  <si>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</si>
  <si>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</si>
  <si>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</si>
  <si>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</si>
  <si>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</si>
  <si>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</si>
  <si>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</si>
  <si>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</si>
  <si>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</si>
  <si>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</si>
  <si>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</si>
  <si>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</si>
  <si>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</si>
  <si>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</si>
  <si>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</si>
  <si>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</si>
  <si>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</si>
  <si>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</si>
  <si>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</si>
  <si>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</si>
  <si>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</si>
  <si>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</si>
  <si>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</si>
  <si>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</si>
  <si>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</si>
  <si>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</si>
  <si>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</si>
  <si>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</si>
  <si>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</si>
  <si>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</si>
  <si>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</si>
  <si>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</si>
  <si>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</si>
  <si>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</si>
  <si>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</si>
  <si>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</si>
  <si>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</si>
  <si>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</si>
  <si>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</si>
  <si>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</si>
  <si>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</si>
  <si>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</si>
  <si>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</si>
  <si>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</si>
  <si>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</si>
  <si>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</si>
  <si>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</si>
  <si>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</si>
  <si>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</si>
  <si>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</si>
  <si>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</si>
  <si>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</si>
  <si>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</si>
  <si>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</si>
  <si>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</si>
  <si>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</si>
  <si>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</si>
  <si>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</si>
  <si>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</si>
  <si>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</si>
  <si>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</si>
  <si>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</si>
  <si>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</si>
  <si>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</si>
  <si>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</si>
  <si>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</si>
  <si>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</si>
  <si>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</si>
  <si>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</si>
  <si>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</si>
  <si>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</si>
  <si>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</si>
  <si>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</si>
  <si>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</si>
  <si>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</si>
  <si>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</si>
  <si>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</si>
  <si>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</si>
  <si>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</si>
  <si>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</si>
  <si>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</si>
  <si>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</si>
  <si>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</si>
  <si>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</si>
  <si>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</si>
  <si>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</si>
  <si>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</si>
  <si>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</si>
  <si>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</si>
  <si>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</si>
  <si>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</si>
  <si>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</si>
  <si>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</si>
  <si>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</si>
  <si>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</si>
  <si>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</si>
  <si>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</si>
  <si>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</si>
  <si>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</si>
  <si>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</si>
  <si>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</si>
  <si>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</si>
  <si>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</si>
  <si>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</si>
  <si>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</si>
  <si>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</si>
  <si>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</si>
  <si>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</si>
  <si>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</si>
  <si>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</si>
  <si>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</si>
  <si>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</si>
  <si>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</si>
  <si>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</si>
  <si>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</si>
  <si>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</si>
  <si>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</si>
  <si>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</si>
  <si>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</si>
  <si>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</si>
  <si>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</si>
  <si>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</si>
  <si>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</si>
  <si>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</si>
  <si>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</si>
  <si>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</si>
  <si>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</si>
  <si>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</si>
  <si>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</si>
  <si>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</si>
  <si>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</si>
  <si>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</si>
  <si>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</si>
  <si>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</si>
  <si>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</si>
  <si>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</si>
  <si>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</si>
  <si>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</si>
  <si>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</si>
  <si>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</si>
  <si>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</si>
  <si>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</si>
  <si>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</si>
  <si>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</si>
  <si>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</si>
  <si>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</si>
  <si>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</si>
  <si>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</si>
  <si>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</si>
  <si>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</si>
  <si>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</si>
  <si>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</si>
  <si>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</si>
  <si>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</si>
  <si>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</si>
  <si>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</si>
  <si>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</si>
  <si>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</si>
  <si>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</si>
  <si>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</si>
  <si>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</si>
  <si>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</si>
  <si>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</si>
  <si>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</si>
  <si>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</si>
  <si>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</si>
  <si>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</si>
  <si>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</si>
  <si>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</si>
  <si>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</si>
  <si>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</si>
  <si>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</si>
  <si>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</si>
  <si>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</si>
  <si>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</si>
  <si>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</si>
  <si>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</si>
  <si>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</si>
  <si>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</si>
  <si>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</si>
  <si>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</si>
  <si>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</si>
  <si>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</si>
  <si>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</si>
  <si>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</si>
  <si>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</si>
  <si>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</si>
  <si>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</si>
  <si>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</si>
  <si>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</si>
  <si>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</si>
  <si>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</si>
  <si>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</si>
  <si>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</si>
  <si>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</si>
  <si>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</si>
  <si>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</si>
  <si>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</si>
  <si>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</si>
  <si>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</si>
  <si>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</si>
  <si>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</si>
  <si>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</si>
  <si>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</si>
  <si>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</si>
  <si>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</si>
  <si>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</si>
  <si>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</si>
  <si>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</si>
  <si>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</si>
  <si>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</si>
  <si>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</si>
  <si>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</si>
  <si>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</si>
  <si>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</si>
  <si>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</si>
  <si>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</si>
  <si>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</si>
  <si>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</si>
  <si>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</si>
  <si>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</si>
  <si>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</si>
  <si>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</si>
  <si>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</si>
  <si>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</si>
  <si>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</si>
  <si>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</si>
  <si>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</si>
  <si>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</si>
  <si>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</si>
  <si>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</si>
  <si>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</si>
  <si>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</si>
  <si>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</si>
  <si>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</si>
  <si>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</si>
  <si>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</si>
  <si>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</si>
  <si>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</si>
  <si>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</si>
  <si>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</si>
  <si>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Sparta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</si>
  <si>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</si>
  <si>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</si>
  <si>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</si>
  <si>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</si>
  <si>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</si>
  <si>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</si>
  <si>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</si>
  <si>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</si>
  <si>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</si>
  <si>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</si>
  <si>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</si>
  <si>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</si>
  <si>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</si>
  <si>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</si>
  <si>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</si>
  <si>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</si>
  <si>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</si>
  <si>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</si>
  <si>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</si>
  <si>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</si>
  <si>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</si>
  <si>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</si>
  <si>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</si>
  <si>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</si>
  <si>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</si>
  <si>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</si>
  <si>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</si>
  <si>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</si>
  <si>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</si>
  <si>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</si>
  <si>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</si>
  <si>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</si>
  <si>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</si>
  <si>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</si>
  <si>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BENEFICIO_L14299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</si>
  <si>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</si>
  <si>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</si>
  <si>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</si>
  <si>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</si>
  <si>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</si>
  <si>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</si>
  <si>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</si>
  <si>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</si>
  <si>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</si>
  <si>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</si>
  <si>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</si>
  <si>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</si>
  <si>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</si>
  <si>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</si>
  <si>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</si>
  <si>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 BENEFICIO_L14299</t>
  </si>
  <si>
    <t>TE_Per_RB</t>
  </si>
  <si>
    <t>Baixa Renda</t>
  </si>
  <si>
    <t>Perdas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</si>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</sst>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;[Red]#,##0.00"/>
  </numFmts>
  <fonts count="1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152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6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40" fontId="1" fillId="2" borderId="0" xfId="0" applyNumberFormat="1" applyFont="1" applyFill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40" fontId="3" fillId="0" borderId="8" xfId="0" applyNumberFormat="1" applyFont="1" applyBorder="1" applyAlignment="1">
      <alignment horizontal="left"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165" fontId="3" fillId="0" borderId="0" xfId="0" applyNumberFormat="1" applyFont="1"/>
    <xf numFmtId="0" fontId="3" fillId="0" borderId="0" xfId="0" applyFont="1" applyAlignment="1">
      <alignment horizontal="center"/>
    </xf>
    <xf numFmtId="164" fontId="3" fillId="0" borderId="0" xfId="1" applyFont="1"/>
    <xf numFmtId="165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 indent="1"/>
    </xf>
    <xf numFmtId="40" fontId="3" fillId="0" borderId="13" xfId="0" quotePrefix="1" applyNumberFormat="1" applyFont="1" applyBorder="1" applyAlignment="1">
      <alignment horizontal="left" vertical="center" indent="1"/>
    </xf>
    <xf numFmtId="0" fontId="3" fillId="0" borderId="13" xfId="0" applyFont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0" fontId="3" fillId="0" borderId="0" xfId="0" applyNumberFormat="1" applyFont="1"/>
    <xf numFmtId="2" fontId="9" fillId="3" borderId="15" xfId="0" applyNumberFormat="1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left" vertical="center" indent="1"/>
    </xf>
    <xf numFmtId="4" fontId="9" fillId="4" borderId="0" xfId="0" applyNumberFormat="1" applyFont="1" applyFill="1" applyAlignment="1">
      <alignment vertical="center"/>
    </xf>
    <xf numFmtId="0" fontId="9" fillId="4" borderId="0" xfId="0" applyFont="1" applyFill="1" applyAlignment="1">
      <alignment horizontal="left" vertical="center" indent="1"/>
    </xf>
    <xf numFmtId="10" fontId="9" fillId="3" borderId="0" xfId="0" applyNumberFormat="1" applyFont="1" applyFill="1" applyAlignment="1">
      <alignment vertical="center"/>
    </xf>
    <xf numFmtId="0" fontId="9" fillId="3" borderId="0" xfId="0" applyFont="1" applyFill="1" applyAlignment="1">
      <alignment horizontal="left" vertical="center" indent="1"/>
    </xf>
    <xf numFmtId="10" fontId="9" fillId="4" borderId="0" xfId="0" applyNumberFormat="1" applyFont="1" applyFill="1" applyAlignment="1">
      <alignment vertical="center"/>
    </xf>
    <xf numFmtId="0" fontId="10" fillId="5" borderId="16" xfId="0" applyFont="1" applyFill="1" applyBorder="1" applyAlignment="1">
      <alignment horizontal="center" vertical="center"/>
    </xf>
    <xf numFmtId="40" fontId="9" fillId="3" borderId="15" xfId="0" applyNumberFormat="1" applyFont="1" applyFill="1" applyBorder="1" applyAlignment="1">
      <alignment horizontal="center" vertical="center"/>
    </xf>
    <xf numFmtId="168" fontId="9" fillId="4" borderId="0" xfId="0" applyNumberFormat="1" applyFont="1" applyFill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6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" fontId="12" fillId="6" borderId="18" xfId="0" applyNumberFormat="1" applyFont="1" applyFill="1" applyBorder="1"/>
    <xf numFmtId="4" fontId="12" fillId="6" borderId="12" xfId="0" applyNumberFormat="1" applyFont="1" applyFill="1" applyBorder="1"/>
    <xf numFmtId="4" fontId="12" fillId="6" borderId="19" xfId="0" applyNumberFormat="1" applyFont="1" applyFill="1" applyBorder="1"/>
    <xf numFmtId="4" fontId="12" fillId="6" borderId="6" xfId="0" applyNumberFormat="1" applyFont="1" applyFill="1" applyBorder="1"/>
    <xf numFmtId="4" fontId="12" fillId="6" borderId="13" xfId="0" applyNumberFormat="1" applyFont="1" applyFill="1" applyBorder="1"/>
    <xf numFmtId="4" fontId="12" fillId="6" borderId="5" xfId="0" applyNumberFormat="1" applyFont="1" applyFill="1" applyBorder="1"/>
    <xf numFmtId="4" fontId="12" fillId="6" borderId="20" xfId="0" applyNumberFormat="1" applyFont="1" applyFill="1" applyBorder="1"/>
    <xf numFmtId="4" fontId="12" fillId="6" borderId="10" xfId="0" applyNumberFormat="1" applyFont="1" applyFill="1" applyBorder="1"/>
    <xf numFmtId="4" fontId="12" fillId="6" borderId="17" xfId="0" applyNumberFormat="1" applyFont="1" applyFill="1" applyBorder="1"/>
    <xf numFmtId="4" fontId="12" fillId="6" borderId="13" xfId="0" applyNumberFormat="1" applyFont="1" applyFill="1" applyBorder="1" applyAlignment="1">
      <alignment horizontal="center"/>
    </xf>
    <xf numFmtId="4" fontId="12" fillId="6" borderId="12" xfId="0" applyNumberFormat="1" applyFont="1" applyFill="1" applyBorder="1" applyAlignment="1">
      <alignment horizontal="center"/>
    </xf>
    <xf numFmtId="4" fontId="12" fillId="6" borderId="19" xfId="0" applyNumberFormat="1" applyFont="1" applyFill="1" applyBorder="1" applyAlignment="1">
      <alignment horizontal="center"/>
    </xf>
    <xf numFmtId="4" fontId="12" fillId="6" borderId="19" xfId="0" applyNumberFormat="1" applyFont="1" applyFill="1" applyBorder="1" applyAlignment="1">
      <alignment horizontal="center"/>
    </xf>
    <xf numFmtId="4" fontId="12" fillId="6" borderId="12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177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2.8691789762152458E-3</c:v>
                </c:pt>
                <c:pt idx="1">
                  <c:v>4.3762275426231572E-4</c:v>
                </c:pt>
                <c:pt idx="2">
                  <c:v>9.6672677045265816E-4</c:v>
                </c:pt>
                <c:pt idx="3">
                  <c:v>0</c:v>
                </c:pt>
                <c:pt idx="4">
                  <c:v>0</c:v>
                </c:pt>
                <c:pt idx="5">
                  <c:v>0.2331724027929013</c:v>
                </c:pt>
                <c:pt idx="6">
                  <c:v>3.8894083858620206E-2</c:v>
                </c:pt>
                <c:pt idx="7">
                  <c:v>0</c:v>
                </c:pt>
                <c:pt idx="8">
                  <c:v>2.28274474001567E-2</c:v>
                </c:pt>
                <c:pt idx="9">
                  <c:v>1.6058575123569095E-3</c:v>
                </c:pt>
                <c:pt idx="10">
                  <c:v>9.3755655919823978E-4</c:v>
                </c:pt>
                <c:pt idx="11">
                  <c:v>0</c:v>
                </c:pt>
                <c:pt idx="12">
                  <c:v>2.6459379970006157E-2</c:v>
                </c:pt>
                <c:pt idx="13">
                  <c:v>0</c:v>
                </c:pt>
                <c:pt idx="14">
                  <c:v>0</c:v>
                </c:pt>
                <c:pt idx="15">
                  <c:v>5.9099977805367562E-2</c:v>
                </c:pt>
                <c:pt idx="16">
                  <c:v>-3.7806516692302262E-2</c:v>
                </c:pt>
                <c:pt idx="17">
                  <c:v>0</c:v>
                </c:pt>
                <c:pt idx="18">
                  <c:v>2.5981714575086887E-2</c:v>
                </c:pt>
                <c:pt idx="19">
                  <c:v>9.637091525720895E-4</c:v>
                </c:pt>
                <c:pt idx="20">
                  <c:v>-7.1323190440632624E-3</c:v>
                </c:pt>
                <c:pt idx="21">
                  <c:v>4.5447348286871669E-4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71-4F2B-91B0-D72E217BC791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2.1108906901626018E-3</c:v>
                </c:pt>
                <c:pt idx="1">
                  <c:v>3.5782572146997408E-4</c:v>
                </c:pt>
                <c:pt idx="2">
                  <c:v>5.6574053331184186E-4</c:v>
                </c:pt>
                <c:pt idx="3">
                  <c:v>0</c:v>
                </c:pt>
                <c:pt idx="4">
                  <c:v>0</c:v>
                </c:pt>
                <c:pt idx="5">
                  <c:v>0.25264934596068989</c:v>
                </c:pt>
                <c:pt idx="6">
                  <c:v>4.8936623508328204E-2</c:v>
                </c:pt>
                <c:pt idx="7">
                  <c:v>0</c:v>
                </c:pt>
                <c:pt idx="8">
                  <c:v>2.1042373465284973E-2</c:v>
                </c:pt>
                <c:pt idx="9">
                  <c:v>1.3579511151684575E-3</c:v>
                </c:pt>
                <c:pt idx="10">
                  <c:v>8.6501517088290007E-4</c:v>
                </c:pt>
                <c:pt idx="11">
                  <c:v>0</c:v>
                </c:pt>
                <c:pt idx="12">
                  <c:v>2.7194256712704985E-2</c:v>
                </c:pt>
                <c:pt idx="13">
                  <c:v>0</c:v>
                </c:pt>
                <c:pt idx="14">
                  <c:v>0</c:v>
                </c:pt>
                <c:pt idx="15">
                  <c:v>4.3233833304583781E-2</c:v>
                </c:pt>
                <c:pt idx="16">
                  <c:v>-3.7466023694704607E-2</c:v>
                </c:pt>
                <c:pt idx="17">
                  <c:v>0</c:v>
                </c:pt>
                <c:pt idx="18">
                  <c:v>1.8363158688205275E-2</c:v>
                </c:pt>
                <c:pt idx="19">
                  <c:v>6.840672980550301E-4</c:v>
                </c:pt>
                <c:pt idx="20">
                  <c:v>-7.3960533861390709E-3</c:v>
                </c:pt>
                <c:pt idx="21">
                  <c:v>4.4487343762810973E-4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71-4F2B-91B0-D72E217BC791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2.1108906901626018E-3</c:v>
                </c:pt>
                <c:pt idx="1">
                  <c:v>3.5782572146997408E-4</c:v>
                </c:pt>
                <c:pt idx="2">
                  <c:v>5.6574053331184186E-4</c:v>
                </c:pt>
                <c:pt idx="3">
                  <c:v>0</c:v>
                </c:pt>
                <c:pt idx="4">
                  <c:v>0</c:v>
                </c:pt>
                <c:pt idx="5">
                  <c:v>0.25264934596068989</c:v>
                </c:pt>
                <c:pt idx="6">
                  <c:v>4.8936623508328204E-2</c:v>
                </c:pt>
                <c:pt idx="7">
                  <c:v>0</c:v>
                </c:pt>
                <c:pt idx="8">
                  <c:v>2.1042373465284973E-2</c:v>
                </c:pt>
                <c:pt idx="9">
                  <c:v>1.3579511151684575E-3</c:v>
                </c:pt>
                <c:pt idx="10">
                  <c:v>8.6501517088290007E-4</c:v>
                </c:pt>
                <c:pt idx="11">
                  <c:v>0</c:v>
                </c:pt>
                <c:pt idx="12">
                  <c:v>2.7194256712704985E-2</c:v>
                </c:pt>
                <c:pt idx="13">
                  <c:v>0</c:v>
                </c:pt>
                <c:pt idx="14">
                  <c:v>0</c:v>
                </c:pt>
                <c:pt idx="15">
                  <c:v>4.3233833304583781E-2</c:v>
                </c:pt>
                <c:pt idx="16">
                  <c:v>-3.7466023694704607E-2</c:v>
                </c:pt>
                <c:pt idx="17">
                  <c:v>0</c:v>
                </c:pt>
                <c:pt idx="18">
                  <c:v>1.8363158688205275E-2</c:v>
                </c:pt>
                <c:pt idx="19">
                  <c:v>6.840672980550301E-4</c:v>
                </c:pt>
                <c:pt idx="20">
                  <c:v>-7.3960533861390709E-3</c:v>
                </c:pt>
                <c:pt idx="21">
                  <c:v>4.4487343762810973E-4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71-4F2B-91B0-D72E217BC791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7071-4F2B-91B0-D72E217BC791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7071-4F2B-91B0-D72E217BC791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7071-4F2B-91B0-D72E217BC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267024"/>
        <c:axId val="1221265712"/>
      </c:radarChart>
      <c:catAx>
        <c:axId val="122126702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221265712"/>
        <c:crosses val="autoZero"/>
        <c:auto val="1"/>
        <c:lblAlgn val="ctr"/>
        <c:lblOffset val="100"/>
        <c:noMultiLvlLbl val="0"/>
      </c:catAx>
      <c:valAx>
        <c:axId val="1221265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1267024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General</c:formatCode>
                <c:ptCount val="11"/>
                <c:pt idx="0">
                  <c:v>1.066678108433655E-3</c:v>
                </c:pt>
                <c:pt idx="1">
                  <c:v>5.3497673037988101E-2</c:v>
                </c:pt>
                <c:pt idx="2">
                  <c:v>0</c:v>
                </c:pt>
                <c:pt idx="3">
                  <c:v>3.7654316662229265E-2</c:v>
                </c:pt>
                <c:pt idx="4">
                  <c:v>-5.4344742931700669E-2</c:v>
                </c:pt>
                <c:pt idx="5">
                  <c:v>2.4047146350150716E-2</c:v>
                </c:pt>
                <c:pt idx="6">
                  <c:v>8.623930024653656E-3</c:v>
                </c:pt>
                <c:pt idx="7">
                  <c:v>2.6757279153712993E-3</c:v>
                </c:pt>
                <c:pt idx="8">
                  <c:v>0</c:v>
                </c:pt>
                <c:pt idx="9">
                  <c:v>-2.9356820426519228E-2</c:v>
                </c:pt>
                <c:pt idx="10">
                  <c:v>4.5145895489147317E-3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4-4A24-8186-EB5B058F1B95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General</c:formatCode>
                <c:ptCount val="11"/>
                <c:pt idx="0">
                  <c:v>8.3539735615790925E-4</c:v>
                </c:pt>
                <c:pt idx="1">
                  <c:v>5.1662115988903481E-2</c:v>
                </c:pt>
                <c:pt idx="2">
                  <c:v>0</c:v>
                </c:pt>
                <c:pt idx="3">
                  <c:v>3.7360237901048261E-2</c:v>
                </c:pt>
                <c:pt idx="4">
                  <c:v>-5.3920312584938186E-2</c:v>
                </c:pt>
                <c:pt idx="5">
                  <c:v>2.9371890074440556E-3</c:v>
                </c:pt>
                <c:pt idx="6">
                  <c:v>8.0917617969260697E-3</c:v>
                </c:pt>
                <c:pt idx="7">
                  <c:v>2.304444257594684E-3</c:v>
                </c:pt>
                <c:pt idx="8">
                  <c:v>0</c:v>
                </c:pt>
                <c:pt idx="9">
                  <c:v>-2.8679159346832819E-2</c:v>
                </c:pt>
                <c:pt idx="10">
                  <c:v>3.9267706361386656E-3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C4-4A24-8186-EB5B058F1B95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General</c:formatCode>
                <c:ptCount val="11"/>
                <c:pt idx="0">
                  <c:v>8.3539735615790925E-4</c:v>
                </c:pt>
                <c:pt idx="1">
                  <c:v>5.1662115988903481E-2</c:v>
                </c:pt>
                <c:pt idx="2">
                  <c:v>0</c:v>
                </c:pt>
                <c:pt idx="3">
                  <c:v>3.7360237901048261E-2</c:v>
                </c:pt>
                <c:pt idx="4">
                  <c:v>-5.3920312584938186E-2</c:v>
                </c:pt>
                <c:pt idx="5">
                  <c:v>2.9371890074440556E-3</c:v>
                </c:pt>
                <c:pt idx="6">
                  <c:v>8.0917617969260697E-3</c:v>
                </c:pt>
                <c:pt idx="7">
                  <c:v>2.304444257594684E-3</c:v>
                </c:pt>
                <c:pt idx="8">
                  <c:v>0</c:v>
                </c:pt>
                <c:pt idx="9">
                  <c:v>-2.8679159346832819E-2</c:v>
                </c:pt>
                <c:pt idx="10">
                  <c:v>3.9267706361386656E-3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C4-4A24-8186-EB5B058F1B95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B6C4-4A24-8186-EB5B058F1B95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B6C4-4A24-8186-EB5B058F1B95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B6C4-4A24-8186-EB5B058F1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504984"/>
        <c:axId val="1056510560"/>
      </c:radarChart>
      <c:catAx>
        <c:axId val="10565049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056510560"/>
        <c:crosses val="autoZero"/>
        <c:auto val="1"/>
        <c:lblAlgn val="ctr"/>
        <c:lblOffset val="100"/>
        <c:noMultiLvlLbl val="0"/>
      </c:catAx>
      <c:valAx>
        <c:axId val="1056510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6504984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16</xdr:row>
      <xdr:rowOff>0</xdr:rowOff>
    </xdr:from>
    <xdr:to>
      <xdr:col>11</xdr:col>
      <xdr:colOff>342901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95A796F-266F-4694-91FB-015296358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16</xdr:row>
      <xdr:rowOff>0</xdr:rowOff>
    </xdr:from>
    <xdr:to>
      <xdr:col>11</xdr:col>
      <xdr:colOff>514351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36A5114-6B47-4AB4-8490-1ABA3F66F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06.661562731482" createdVersion="5" refreshedVersion="7" minRefreshableVersion="3" recordCount="1260" xr:uid="{713BC707-0784-419B-B4D1-AF026AD1D72C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5">
        <s v="Azul"/>
        <s v="Geração"/>
        <s v="Verde"/>
        <s v="Branca"/>
        <s v="Convencional"/>
      </sharedItems>
    </cacheField>
    <cacheField name="Classe" numFmtId="0">
      <sharedItems count="9">
        <s v="Comercial"/>
        <s v="Industrial"/>
        <s v="Poder público"/>
        <s v="Rural"/>
        <s v="Serviço público"/>
        <s v="Não se aplica"/>
        <s v="Consumo próprio"/>
        <s v="Residencial"/>
        <s v="Iluminação pública"/>
      </sharedItems>
    </cacheField>
    <cacheField name="Subclasse" numFmtId="0">
      <sharedItems count="10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Serviço público de irrigação rural"/>
        <s v="Iluminação pública – B4a"/>
      </sharedItems>
    </cacheField>
    <cacheField name="Detalhe" numFmtId="0">
      <sharedItems count="4">
        <s v="Não se aplica"/>
        <s v="Fonte incentivada"/>
        <s v="IRRIG./AQUIC."/>
        <s v="IRRIG./AQUIC. PR"/>
      </sharedItems>
    </cacheField>
    <cacheField name="Agente" numFmtId="0">
      <sharedItems count="4">
        <s v="Não se aplica"/>
        <s v="CACHOEIRA DA ONÇA"/>
        <s v="FLP FERRO LIGAS PIRACICABA LTDA"/>
        <s v="SANTA MARIA"/>
      </sharedItems>
    </cacheField>
    <cacheField name="Posto" numFmtId="0">
      <sharedItems count="4">
        <s v="Fora ponta"/>
        <s v="Ponta"/>
        <s v="Não se aplica"/>
        <s v="Intermediário"/>
      </sharedItems>
    </cacheField>
    <cacheField name="AnoMes" numFmtId="14">
      <sharedItems containsSemiMixedTypes="0" containsNonDate="0" containsDate="1" containsString="0" minDate="2021-09-01T00:00:00" maxDate="2022-08-02T00:00:00" count="12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</sharedItems>
    </cacheField>
    <cacheField name="D" numFmtId="40">
      <sharedItems containsSemiMixedTypes="0" containsString="0" containsNumber="1" containsInteger="1" minValue="-255" maxValue="24481"/>
    </cacheField>
    <cacheField name="Daj" numFmtId="40">
      <sharedItems containsSemiMixedTypes="0" containsString="0" containsNumber="1" minValue="-255" maxValue="15009"/>
    </cacheField>
    <cacheField name="TUSD_E" numFmtId="40">
      <sharedItems containsSemiMixedTypes="0" containsString="0" containsNumber="1" minValue="-109.158" maxValue="11973.48"/>
    </cacheField>
    <cacheField name="TUSD_Eaj" numFmtId="40">
      <sharedItems containsSemiMixedTypes="0" containsString="0" containsNumber="1" minValue="-95.64" maxValue="11973.48"/>
    </cacheField>
    <cacheField name="TE_E" numFmtId="40">
      <sharedItems containsSemiMixedTypes="0" containsString="0" containsNumber="1" minValue="-109.158" maxValue="11973.48"/>
    </cacheField>
    <cacheField name="TE_Eaj" numFmtId="40">
      <sharedItems containsSemiMixedTypes="0" containsString="0" containsNumber="1" minValue="-95.64" maxValue="11973.48"/>
    </cacheField>
    <cacheField name="UC" numFmtId="40">
      <sharedItems containsSemiMixedTypes="0" containsString="0" containsNumber="1" containsInteger="1" minValue="-16" maxValue="61897"/>
    </cacheField>
    <cacheField name="OPÇÃO" numFmtId="0">
      <sharedItems count="3">
        <s v="CATIVO"/>
        <s v="LIVRE"/>
        <s v="GERAÇÃO"/>
      </sharedItems>
    </cacheField>
    <cacheField name="CóD. AUX." numFmtId="0">
      <sharedItems containsString="0" containsBlank="1" containsNumber="1" containsInteger="1" minValue="0" maxValue="27182"/>
    </cacheField>
    <cacheField name="CóD. AUX. TUSD R$/kW" numFmtId="40">
      <sharedItems containsSemiMixedTypes="0" containsString="0" containsNumber="1" containsInteger="1" minValue="0" maxValue="6"/>
    </cacheField>
    <cacheField name="CóD. AUX. TUSD R$/MWh" numFmtId="40">
      <sharedItems containsSemiMixedTypes="0" containsString="0" containsNumber="1" containsInteger="1" minValue="0" maxValue="46"/>
    </cacheField>
    <cacheField name="CóD. AUX. TE R$/MWh" numFmtId="40">
      <sharedItems containsSemiMixedTypes="0" containsString="0" containsNumber="1" containsInteger="1" minValue="0" maxValue="83"/>
    </cacheField>
    <cacheField name="TUSD (R$/kW)" numFmtId="40">
      <sharedItems containsSemiMixedTypes="0" containsString="0" containsNumber="1" minValue="0" maxValue="51.93"/>
    </cacheField>
    <cacheField name="TUSD (R$/MWh)" numFmtId="40">
      <sharedItems containsSemiMixedTypes="0" containsString="0" containsNumber="1" minValue="0" maxValue="1326.39"/>
    </cacheField>
    <cacheField name="TE (R$/MWh)" numFmtId="40">
      <sharedItems containsSemiMixedTypes="0" containsString="0" containsNumber="1" minValue="0" maxValue="492.64"/>
    </cacheField>
    <cacheField name="TUSD (R$/kW) NOVA" numFmtId="40">
      <sharedItems containsString="0" containsBlank="1" containsNumber="1" minValue="12.167967906750091" maxValue="59.261942948611889"/>
    </cacheField>
    <cacheField name="TUSD (R$/MWh) NOVA" numFmtId="40">
      <sharedItems containsString="0" containsBlank="1" containsNumber="1" minValue="104.67518343290003" maxValue="1578.6481033476041"/>
    </cacheField>
    <cacheField name="TE (R$/MWh) NOVA" numFmtId="40">
      <sharedItems containsString="0" containsBlank="1" containsNumber="1" minValue="115.04636092388508" maxValue="499.13928219176387"/>
    </cacheField>
    <cacheField name="RA0 ou RV - TUSD (kW)" numFmtId="40">
      <sharedItems containsSemiMixedTypes="0" containsString="0" containsNumber="1" minValue="-4243.2" maxValue="249749.76000000001"/>
    </cacheField>
    <cacheField name="RA0 ou RV - TUSD (MWh)" numFmtId="40">
      <sharedItems containsSemiMixedTypes="0" containsString="0" containsNumber="1" minValue="-31071.5232" maxValue="3889944.1823999998"/>
    </cacheField>
    <cacheField name="RA0 ou RV - TE (MWh)" numFmtId="40">
      <sharedItems containsSemiMixedTypes="0" containsString="0" containsNumber="1" minValue="-30847.725600000002" maxValue="3861926.2392000002"/>
    </cacheField>
    <cacheField name="RA1 ou RRD - TUSD (kW)" numFmtId="40">
      <sharedItems containsSemiMixedTypes="0" containsString="0" containsNumber="1" minValue="-4826.9946707753916" maxValue="284111.22750457982"/>
    </cacheField>
    <cacheField name="RA1 ou RRD - TUSD (MWh)" numFmtId="40">
      <sharedItems containsSemiMixedTypes="0" containsString="0" containsNumber="1" minValue="-42884.37828464646" maxValue="5368833.6020875014"/>
    </cacheField>
    <cacheField name="RA1 ou RRD - TE (MWh)" numFmtId="40">
      <sharedItems containsSemiMixedTypes="0" containsString="0" containsNumber="1" minValue="-31437.239882172486" maxValue="3935729.4331283416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06.661773032407" createdVersion="5" refreshedVersion="7" minRefreshableVersion="3" recordCount="509" xr:uid="{5E54913F-BB9E-42A5-A3AE-C9CCDBCA46EA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5">
        <s v="Azul"/>
        <s v="Geração"/>
        <s v="Verde"/>
        <s v="Convencional"/>
        <s v="Branca"/>
      </sharedItems>
    </cacheField>
    <cacheField name="Classe" numFmtId="0">
      <sharedItems count="5">
        <s v="Industrial"/>
        <s v="Rural"/>
        <s v="Serviço público"/>
        <s v="Não se aplica"/>
        <s v="Residencial"/>
      </sharedItems>
    </cacheField>
    <cacheField name="Subclasse" numFmtId="0">
      <sharedItems count="9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Serviço público de irrigação rural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4">
        <s v="Não se aplica"/>
        <s v="CACHOEIRA DA ONÇA"/>
        <s v="FLP FERRO LIGAS PIRACICABA LTDA"/>
        <s v="SANTA MARI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9-01T00:00:00" maxDate="2022-08-02T00:00:00" count="12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</sharedItems>
    </cacheField>
    <cacheField name="D" numFmtId="40">
      <sharedItems containsSemiMixedTypes="0" containsString="0" containsNumber="1" containsInteger="1" minValue="-57" maxValue="24481"/>
    </cacheField>
    <cacheField name="Daj" numFmtId="40">
      <sharedItems containsSemiMixedTypes="0" containsString="0" containsNumber="1" minValue="-48.449999999999996" maxValue="9816.8809999999994"/>
    </cacheField>
    <cacheField name="TUSD_E" numFmtId="40">
      <sharedItems containsSemiMixedTypes="0" containsString="0" containsNumber="1" minValue="-109.158" maxValue="10383.521000000001"/>
    </cacheField>
    <cacheField name="TUSD_Eaj" numFmtId="40">
      <sharedItems containsSemiMixedTypes="0" containsString="0" containsNumber="1" minValue="-43.663200000000003" maxValue="10383.521000000001"/>
    </cacheField>
    <cacheField name="TE_E" numFmtId="40">
      <sharedItems containsSemiMixedTypes="0" containsString="0" containsNumber="1" minValue="-109.158" maxValue="10383.521000000001"/>
    </cacheField>
    <cacheField name="TE_Eaj" numFmtId="40">
      <sharedItems containsSemiMixedTypes="0" containsString="0" containsNumber="1" minValue="-43.663200000000003" maxValue="10383.521000000001"/>
    </cacheField>
    <cacheField name="UC" numFmtId="40">
      <sharedItems containsSemiMixedTypes="0" containsString="0" containsNumber="1" containsInteger="1" minValue="-16" maxValue="61897"/>
    </cacheField>
    <cacheField name="OPÇÃO" numFmtId="0">
      <sharedItems/>
    </cacheField>
    <cacheField name="CóD. AUX." numFmtId="0">
      <sharedItems containsString="0" containsBlank="1" containsNumber="1" containsInteger="1" minValue="0" maxValue="27182"/>
    </cacheField>
    <cacheField name="CóD. AUX. TUSD R$/kW" numFmtId="0">
      <sharedItems containsSemiMixedTypes="0" containsString="0" containsNumber="1" containsInteger="1" minValue="0" maxValue="6"/>
    </cacheField>
    <cacheField name="CóD. AUX. TUSD R$/MWh" numFmtId="0">
      <sharedItems containsSemiMixedTypes="0" containsString="0" containsNumber="1" containsInteger="1" minValue="0" maxValue="44"/>
    </cacheField>
    <cacheField name="CóD. AUX. TE R$/MWh" numFmtId="0">
      <sharedItems containsSemiMixedTypes="0" containsString="0" containsNumber="1" containsInteger="1" minValue="0" maxValue="81"/>
    </cacheField>
    <cacheField name="TUSD (R$/kW)" numFmtId="40">
      <sharedItems containsSemiMixedTypes="0" containsString="0" containsNumber="1" minValue="0" maxValue="51.93"/>
    </cacheField>
    <cacheField name="TUSD (R$/MWh)" numFmtId="40">
      <sharedItems containsSemiMixedTypes="0" containsString="0" containsNumber="1" minValue="0" maxValue="1326.39"/>
    </cacheField>
    <cacheField name="TE (R$/MWh)" numFmtId="40">
      <sharedItems containsSemiMixedTypes="0" containsString="0" containsNumber="1" minValue="0" maxValue="492.64"/>
    </cacheField>
    <cacheField name="TUSD (R$/kW) NOVA" numFmtId="40">
      <sharedItems containsString="0" containsBlank="1" containsNumber="1" minValue="12.167967906750091" maxValue="59.261942948611889"/>
    </cacheField>
    <cacheField name="TUSD (R$/MWh) NOVA" numFmtId="40">
      <sharedItems containsString="0" containsBlank="1" containsNumber="1" minValue="104.67518343290003" maxValue="1578.6481033476041"/>
    </cacheField>
    <cacheField name="TE (R$/MWh) NOVA" numFmtId="40">
      <sharedItems containsString="0" containsBlank="1" containsNumber="1" minValue="115.04636092388508" maxValue="499.13928219176387"/>
    </cacheField>
    <cacheField name="SUBSIDIO kW - TV" numFmtId="40">
      <sharedItems containsSemiMixedTypes="0" containsString="0" containsNumber="1" minValue="-428.42250000000001" maxValue="244010.94016000003"/>
    </cacheField>
    <cacheField name="SUBSIDIO MWh - TV" numFmtId="40">
      <sharedItems containsSemiMixedTypes="0" containsString="0" containsNumber="1" minValue="-45794.837424000012" maxValue="4833748.3593994025"/>
    </cacheField>
    <cacheField name="SUBSIDIO kW - TN" numFmtId="40">
      <sharedItems containsSemiMixedTypes="0" containsString="0" containsNumber="1" minValue="-488.91102932604809" maxValue="277582.84025339672"/>
    </cacheField>
    <cacheField name="SUBSIDIO MWh - TN" numFmtId="40">
      <sharedItems containsSemiMixedTypes="0" containsString="0" containsNumber="1" minValue="-52931.688605318494" maxValue="5678661.3185087182"/>
    </cacheField>
    <cacheField name="TIPO" numFmtId="0">
      <sharedItems containsBlank="1" count="7">
        <s v="SUBSIDIO CARGA FONTE INCENTIVADA"/>
        <s v="SUBSIDIO RURAL"/>
        <s v="SUBSIDIO ÁGUA, ESGOTO E SANEAMENTO"/>
        <s v="SUBSIDIO GERAÇÃO FONTE INCENTIVADA"/>
        <m/>
        <s v="SUBSIDIO BAIXA RENDA"/>
        <s v="SUBSIDIO IRRIGANTE/AQUICULTOR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0">
  <r>
    <s v="Regular"/>
    <x v="0"/>
    <x v="0"/>
    <x v="0"/>
    <x v="0"/>
    <x v="0"/>
    <x v="0"/>
    <x v="0"/>
    <x v="0"/>
    <n v="424"/>
    <n v="424"/>
    <n v="116.837"/>
    <n v="116.837"/>
    <n v="116.837"/>
    <n v="116.837"/>
    <n v="0"/>
    <x v="0"/>
    <n v="0"/>
    <n v="2"/>
    <n v="3"/>
    <n v="49"/>
    <n v="16.64"/>
    <n v="76.75"/>
    <n v="307.08"/>
    <n v="18.929390865785848"/>
    <n v="152.59031948759403"/>
    <n v="313.20976164142951"/>
    <n v="7055.3600000000006"/>
    <n v="8967.2397500000006"/>
    <n v="35878.305959999998"/>
    <n v="8026.0617270931998"/>
    <n v="17828.195157972023"/>
    <n v="36594.488920899697"/>
  </r>
  <r>
    <s v="Sistema de Compensação"/>
    <x v="0"/>
    <x v="0"/>
    <x v="0"/>
    <x v="0"/>
    <x v="0"/>
    <x v="0"/>
    <x v="0"/>
    <x v="0"/>
    <n v="38"/>
    <n v="38"/>
    <n v="5.8490000000000002"/>
    <n v="5.8490000000000002"/>
    <n v="5.8490000000000002"/>
    <n v="5.8490000000000002"/>
    <n v="0"/>
    <x v="0"/>
    <n v="0"/>
    <n v="2"/>
    <n v="3"/>
    <n v="49"/>
    <n v="16.64"/>
    <n v="76.75"/>
    <n v="307.08"/>
    <n v="18.929390865785848"/>
    <n v="152.59031948759403"/>
    <n v="313.20976164142951"/>
    <n v="632.32000000000005"/>
    <n v="448.91075000000001"/>
    <n v="1796.1109200000001"/>
    <n v="719.31685289986217"/>
    <n v="892.50077868293749"/>
    <n v="1831.9638958407213"/>
  </r>
  <r>
    <s v="Regular"/>
    <x v="0"/>
    <x v="0"/>
    <x v="0"/>
    <x v="0"/>
    <x v="0"/>
    <x v="0"/>
    <x v="0"/>
    <x v="1"/>
    <n v="439"/>
    <n v="439"/>
    <n v="141.21700000000001"/>
    <n v="141.21700000000001"/>
    <n v="141.21700000000001"/>
    <n v="141.21700000000001"/>
    <n v="0"/>
    <x v="0"/>
    <n v="0"/>
    <n v="2"/>
    <n v="3"/>
    <n v="49"/>
    <n v="16.64"/>
    <n v="76.75"/>
    <n v="307.08"/>
    <n v="18.929390865785848"/>
    <n v="152.59031948759403"/>
    <n v="313.20976164142951"/>
    <n v="7304.96"/>
    <n v="10838.404750000002"/>
    <n v="43364.916360000003"/>
    <n v="8310.0025900799865"/>
    <n v="21548.347147079567"/>
    <n v="44230.542909717755"/>
  </r>
  <r>
    <s v="Sistema de Compensação"/>
    <x v="0"/>
    <x v="0"/>
    <x v="0"/>
    <x v="0"/>
    <x v="0"/>
    <x v="0"/>
    <x v="0"/>
    <x v="1"/>
    <n v="38"/>
    <n v="38"/>
    <n v="6.657"/>
    <n v="6.657"/>
    <n v="6.657"/>
    <n v="6.657"/>
    <n v="0"/>
    <x v="0"/>
    <n v="0"/>
    <n v="2"/>
    <n v="3"/>
    <n v="49"/>
    <n v="16.64"/>
    <n v="76.75"/>
    <n v="307.08"/>
    <n v="18.929390865785848"/>
    <n v="152.59031948759403"/>
    <n v="313.20976164142951"/>
    <n v="632.32000000000005"/>
    <n v="510.92475000000002"/>
    <n v="2044.2315599999999"/>
    <n v="719.31685289986217"/>
    <n v="1015.7937568289135"/>
    <n v="2085.0373832469963"/>
  </r>
  <r>
    <s v="Regular"/>
    <x v="0"/>
    <x v="0"/>
    <x v="0"/>
    <x v="0"/>
    <x v="0"/>
    <x v="0"/>
    <x v="0"/>
    <x v="2"/>
    <n v="478"/>
    <n v="478"/>
    <n v="145.85300000000001"/>
    <n v="145.85300000000001"/>
    <n v="145.85300000000001"/>
    <n v="145.85300000000001"/>
    <n v="0"/>
    <x v="0"/>
    <n v="0"/>
    <n v="2"/>
    <n v="3"/>
    <n v="49"/>
    <n v="16.64"/>
    <n v="76.75"/>
    <n v="307.08"/>
    <n v="18.929390865785848"/>
    <n v="152.59031948759403"/>
    <n v="313.20976164142951"/>
    <n v="7953.92"/>
    <n v="11194.21775"/>
    <n v="44788.539239999998"/>
    <n v="9048.2488338456351"/>
    <n v="22255.755868224052"/>
    <n v="45682.583364687423"/>
  </r>
  <r>
    <s v="Sistema de Compensação"/>
    <x v="0"/>
    <x v="0"/>
    <x v="0"/>
    <x v="0"/>
    <x v="0"/>
    <x v="0"/>
    <x v="0"/>
    <x v="2"/>
    <n v="38"/>
    <n v="38"/>
    <n v="5.758"/>
    <n v="5.758"/>
    <n v="5.758"/>
    <n v="5.758"/>
    <n v="0"/>
    <x v="0"/>
    <n v="0"/>
    <n v="2"/>
    <n v="3"/>
    <n v="49"/>
    <n v="16.64"/>
    <n v="76.75"/>
    <n v="307.08"/>
    <n v="18.929390865785848"/>
    <n v="152.59031948759403"/>
    <n v="313.20976164142951"/>
    <n v="632.32000000000005"/>
    <n v="441.92649999999998"/>
    <n v="1768.1666399999999"/>
    <n v="719.31685289986217"/>
    <n v="878.6150596095664"/>
    <n v="1803.461807531351"/>
  </r>
  <r>
    <s v="Regular"/>
    <x v="0"/>
    <x v="0"/>
    <x v="0"/>
    <x v="0"/>
    <x v="0"/>
    <x v="0"/>
    <x v="0"/>
    <x v="3"/>
    <n v="452"/>
    <n v="452"/>
    <n v="136.70400000000001"/>
    <n v="136.70400000000001"/>
    <n v="136.70400000000001"/>
    <n v="136.70400000000001"/>
    <n v="0"/>
    <x v="0"/>
    <n v="0"/>
    <n v="2"/>
    <n v="3"/>
    <n v="49"/>
    <n v="16.64"/>
    <n v="76.75"/>
    <n v="307.08"/>
    <n v="18.929390865785848"/>
    <n v="152.59031948759403"/>
    <n v="313.20976164142951"/>
    <n v="7521.2800000000007"/>
    <n v="10492.032000000001"/>
    <n v="41979.064319999998"/>
    <n v="8556.0846713352039"/>
    <n v="20859.707035232055"/>
    <n v="42817.027255429981"/>
  </r>
  <r>
    <s v="Sistema de Compensação"/>
    <x v="0"/>
    <x v="0"/>
    <x v="0"/>
    <x v="0"/>
    <x v="0"/>
    <x v="0"/>
    <x v="0"/>
    <x v="3"/>
    <n v="38"/>
    <n v="38"/>
    <n v="6.64"/>
    <n v="6.64"/>
    <n v="6.64"/>
    <n v="6.64"/>
    <n v="0"/>
    <x v="0"/>
    <n v="0"/>
    <n v="2"/>
    <n v="3"/>
    <n v="49"/>
    <n v="16.64"/>
    <n v="76.75"/>
    <n v="307.08"/>
    <n v="18.929390865785848"/>
    <n v="152.59031948759403"/>
    <n v="313.20976164142951"/>
    <n v="632.32000000000005"/>
    <n v="509.61999999999995"/>
    <n v="2039.0111999999997"/>
    <n v="719.31685289986217"/>
    <n v="1013.1997213976243"/>
    <n v="2079.712817299092"/>
  </r>
  <r>
    <s v="Regular"/>
    <x v="0"/>
    <x v="0"/>
    <x v="0"/>
    <x v="0"/>
    <x v="0"/>
    <x v="0"/>
    <x v="0"/>
    <x v="4"/>
    <n v="469"/>
    <n v="469"/>
    <n v="150.32599999999999"/>
    <n v="150.32599999999999"/>
    <n v="150.32599999999999"/>
    <n v="150.32599999999999"/>
    <n v="0"/>
    <x v="0"/>
    <n v="0"/>
    <n v="2"/>
    <n v="3"/>
    <n v="49"/>
    <n v="16.64"/>
    <n v="76.75"/>
    <n v="307.08"/>
    <n v="18.929390865785848"/>
    <n v="152.59031948759403"/>
    <n v="313.20976164142951"/>
    <n v="7804.16"/>
    <n v="11537.520499999999"/>
    <n v="46162.108079999998"/>
    <n v="8877.8843160535635"/>
    <n v="22938.292367292059"/>
    <n v="47083.570628509529"/>
  </r>
  <r>
    <s v="Sistema de Compensação"/>
    <x v="0"/>
    <x v="0"/>
    <x v="0"/>
    <x v="0"/>
    <x v="0"/>
    <x v="0"/>
    <x v="0"/>
    <x v="4"/>
    <n v="38"/>
    <n v="38"/>
    <n v="6.16"/>
    <n v="6.16"/>
    <n v="6.16"/>
    <n v="6.16"/>
    <n v="0"/>
    <x v="0"/>
    <n v="0"/>
    <n v="2"/>
    <n v="3"/>
    <n v="49"/>
    <n v="16.64"/>
    <n v="76.75"/>
    <n v="307.08"/>
    <n v="18.929390865785848"/>
    <n v="152.59031948759403"/>
    <n v="313.20976164142951"/>
    <n v="632.32000000000005"/>
    <n v="472.78000000000003"/>
    <n v="1891.6127999999999"/>
    <n v="719.31685289986217"/>
    <n v="939.95636804357923"/>
    <n v="1929.3721317112058"/>
  </r>
  <r>
    <s v="Regular"/>
    <x v="0"/>
    <x v="0"/>
    <x v="0"/>
    <x v="0"/>
    <x v="0"/>
    <x v="0"/>
    <x v="0"/>
    <x v="5"/>
    <n v="497"/>
    <n v="497"/>
    <n v="141.53299999999999"/>
    <n v="141.53299999999999"/>
    <n v="141.53299999999999"/>
    <n v="141.53299999999999"/>
    <n v="0"/>
    <x v="0"/>
    <n v="0"/>
    <n v="2"/>
    <n v="3"/>
    <n v="49"/>
    <n v="16.64"/>
    <n v="76.75"/>
    <n v="307.08"/>
    <n v="18.929390865785848"/>
    <n v="152.59031948759403"/>
    <n v="313.20976164142951"/>
    <n v="8270.08"/>
    <n v="10862.657749999998"/>
    <n v="43461.953639999992"/>
    <n v="9407.9072602955657"/>
    <n v="21596.565688037645"/>
    <n v="44329.517194396438"/>
  </r>
  <r>
    <s v="Sistema de Compensação"/>
    <x v="0"/>
    <x v="0"/>
    <x v="0"/>
    <x v="0"/>
    <x v="0"/>
    <x v="0"/>
    <x v="0"/>
    <x v="5"/>
    <n v="38"/>
    <n v="38"/>
    <n v="6.1369999999999996"/>
    <n v="6.1369999999999996"/>
    <n v="6.1369999999999996"/>
    <n v="6.1369999999999996"/>
    <n v="0"/>
    <x v="0"/>
    <n v="0"/>
    <n v="2"/>
    <n v="3"/>
    <n v="49"/>
    <n v="16.64"/>
    <n v="76.75"/>
    <n v="307.08"/>
    <n v="18.929390865785848"/>
    <n v="152.59031948759403"/>
    <n v="313.20976164142951"/>
    <n v="632.32000000000005"/>
    <n v="471.01474999999999"/>
    <n v="1884.5499599999998"/>
    <n v="719.31685289986217"/>
    <n v="936.44679069536448"/>
    <n v="1922.1683071934528"/>
  </r>
  <r>
    <s v="Regular"/>
    <x v="0"/>
    <x v="0"/>
    <x v="0"/>
    <x v="0"/>
    <x v="0"/>
    <x v="0"/>
    <x v="0"/>
    <x v="6"/>
    <n v="420"/>
    <n v="420"/>
    <n v="134.22800000000001"/>
    <n v="134.22800000000001"/>
    <n v="134.22800000000001"/>
    <n v="134.22800000000001"/>
    <n v="0"/>
    <x v="0"/>
    <n v="0"/>
    <n v="2"/>
    <n v="3"/>
    <n v="49"/>
    <n v="16.64"/>
    <n v="76.75"/>
    <n v="307.08"/>
    <n v="18.929390865785848"/>
    <n v="152.59031948759403"/>
    <n v="313.20976164142951"/>
    <n v="6988.8"/>
    <n v="10301.999"/>
    <n v="41218.734239999998"/>
    <n v="7950.3441636300558"/>
    <n v="20481.893404180773"/>
    <n v="42041.519885605805"/>
  </r>
  <r>
    <s v="Sistema de Compensação"/>
    <x v="0"/>
    <x v="0"/>
    <x v="0"/>
    <x v="0"/>
    <x v="0"/>
    <x v="0"/>
    <x v="0"/>
    <x v="6"/>
    <n v="38"/>
    <n v="38"/>
    <n v="6.1369999999999996"/>
    <n v="6.1369999999999996"/>
    <n v="6.1369999999999996"/>
    <n v="6.1369999999999996"/>
    <n v="0"/>
    <x v="0"/>
    <n v="0"/>
    <n v="2"/>
    <n v="3"/>
    <n v="49"/>
    <n v="16.64"/>
    <n v="76.75"/>
    <n v="307.08"/>
    <n v="18.929390865785848"/>
    <n v="152.59031948759403"/>
    <n v="313.20976164142951"/>
    <n v="632.32000000000005"/>
    <n v="471.01474999999999"/>
    <n v="1884.5499599999998"/>
    <n v="719.31685289986217"/>
    <n v="936.44679069536448"/>
    <n v="1922.1683071934528"/>
  </r>
  <r>
    <s v="Regular"/>
    <x v="0"/>
    <x v="0"/>
    <x v="0"/>
    <x v="0"/>
    <x v="0"/>
    <x v="0"/>
    <x v="0"/>
    <x v="7"/>
    <n v="406"/>
    <n v="406"/>
    <n v="122.193"/>
    <n v="122.193"/>
    <n v="122.193"/>
    <n v="122.193"/>
    <n v="0"/>
    <x v="0"/>
    <n v="0"/>
    <n v="2"/>
    <n v="3"/>
    <n v="49"/>
    <n v="16.64"/>
    <n v="76.75"/>
    <n v="307.08"/>
    <n v="18.929390865785848"/>
    <n v="152.59031948759403"/>
    <n v="313.20976164142951"/>
    <n v="6755.84"/>
    <n v="9378.3127499999991"/>
    <n v="37523.026439999994"/>
    <n v="7685.3326915090547"/>
    <n v="18645.468909147578"/>
    <n v="38272.040404251195"/>
  </r>
  <r>
    <s v="Sistema de Compensação"/>
    <x v="0"/>
    <x v="0"/>
    <x v="0"/>
    <x v="0"/>
    <x v="0"/>
    <x v="0"/>
    <x v="0"/>
    <x v="7"/>
    <n v="38"/>
    <n v="38"/>
    <n v="5.8639999999999999"/>
    <n v="5.8639999999999999"/>
    <n v="5.8639999999999999"/>
    <n v="5.8639999999999999"/>
    <n v="0"/>
    <x v="0"/>
    <n v="0"/>
    <n v="2"/>
    <n v="3"/>
    <n v="49"/>
    <n v="16.64"/>
    <n v="76.75"/>
    <n v="307.08"/>
    <n v="18.929390865785848"/>
    <n v="152.59031948759403"/>
    <n v="313.20976164142951"/>
    <n v="632.32000000000005"/>
    <n v="450.06200000000001"/>
    <n v="1800.7171199999998"/>
    <n v="719.31685289986217"/>
    <n v="894.78963347525132"/>
    <n v="1836.6620422653425"/>
  </r>
  <r>
    <s v="Regular"/>
    <x v="0"/>
    <x v="0"/>
    <x v="0"/>
    <x v="0"/>
    <x v="0"/>
    <x v="0"/>
    <x v="0"/>
    <x v="8"/>
    <n v="432"/>
    <n v="432"/>
    <n v="107.605"/>
    <n v="107.605"/>
    <n v="107.605"/>
    <n v="107.605"/>
    <n v="0"/>
    <x v="0"/>
    <n v="0"/>
    <n v="2"/>
    <n v="3"/>
    <n v="49"/>
    <n v="16.64"/>
    <n v="76.75"/>
    <n v="307.08"/>
    <n v="18.929390865785848"/>
    <n v="152.59031948759403"/>
    <n v="313.20976164142951"/>
    <n v="7188.4800000000005"/>
    <n v="8258.6837500000001"/>
    <n v="33043.343399999998"/>
    <n v="8177.4968540194859"/>
    <n v="16419.481328462556"/>
    <n v="33702.936401426021"/>
  </r>
  <r>
    <s v="Sistema de Compensação"/>
    <x v="0"/>
    <x v="0"/>
    <x v="0"/>
    <x v="0"/>
    <x v="0"/>
    <x v="0"/>
    <x v="0"/>
    <x v="8"/>
    <n v="38"/>
    <n v="38"/>
    <n v="5.6070000000000002"/>
    <n v="5.6070000000000002"/>
    <n v="5.6070000000000002"/>
    <n v="5.6070000000000002"/>
    <n v="0"/>
    <x v="0"/>
    <n v="0"/>
    <n v="2"/>
    <n v="3"/>
    <n v="49"/>
    <n v="16.64"/>
    <n v="76.75"/>
    <n v="307.08"/>
    <n v="18.929390865785848"/>
    <n v="152.59031948759403"/>
    <n v="313.20976164142951"/>
    <n v="632.32000000000005"/>
    <n v="430.33725000000004"/>
    <n v="1721.79756"/>
    <n v="719.31685289986217"/>
    <n v="855.57392136693977"/>
    <n v="1756.1671335234953"/>
  </r>
  <r>
    <s v="Regular"/>
    <x v="0"/>
    <x v="0"/>
    <x v="0"/>
    <x v="0"/>
    <x v="0"/>
    <x v="0"/>
    <x v="0"/>
    <x v="9"/>
    <n v="400"/>
    <n v="400"/>
    <n v="104.86"/>
    <n v="104.86"/>
    <n v="104.86"/>
    <n v="104.86"/>
    <n v="0"/>
    <x v="0"/>
    <n v="0"/>
    <n v="2"/>
    <n v="3"/>
    <n v="49"/>
    <n v="16.64"/>
    <n v="76.75"/>
    <n v="307.08"/>
    <n v="18.929390865785848"/>
    <n v="152.59031948759403"/>
    <n v="313.20976164142951"/>
    <n v="6656"/>
    <n v="8048.0050000000001"/>
    <n v="32200.408799999997"/>
    <n v="7571.7563463143397"/>
    <n v="16000.62090146911"/>
    <n v="32843.175605720295"/>
  </r>
  <r>
    <s v="Sistema de Compensação"/>
    <x v="0"/>
    <x v="0"/>
    <x v="0"/>
    <x v="0"/>
    <x v="0"/>
    <x v="0"/>
    <x v="0"/>
    <x v="9"/>
    <n v="38"/>
    <n v="38"/>
    <n v="5.0999999999999996"/>
    <n v="5.0999999999999996"/>
    <n v="5.0999999999999996"/>
    <n v="5.0999999999999996"/>
    <n v="0"/>
    <x v="0"/>
    <n v="0"/>
    <n v="2"/>
    <n v="3"/>
    <n v="49"/>
    <n v="16.64"/>
    <n v="76.75"/>
    <n v="307.08"/>
    <n v="18.929390865785848"/>
    <n v="152.59031948759403"/>
    <n v="313.20976164142951"/>
    <n v="632.32000000000005"/>
    <n v="391.42499999999995"/>
    <n v="1566.1079999999997"/>
    <n v="719.31685289986217"/>
    <n v="778.21062938672947"/>
    <n v="1597.3697843712903"/>
  </r>
  <r>
    <s v="Regular"/>
    <x v="0"/>
    <x v="0"/>
    <x v="0"/>
    <x v="0"/>
    <x v="0"/>
    <x v="0"/>
    <x v="0"/>
    <x v="10"/>
    <n v="406"/>
    <n v="406"/>
    <n v="105.598"/>
    <n v="105.598"/>
    <n v="105.598"/>
    <n v="105.598"/>
    <n v="0"/>
    <x v="0"/>
    <n v="0"/>
    <n v="2"/>
    <n v="3"/>
    <n v="49"/>
    <n v="16.64"/>
    <n v="76.75"/>
    <n v="307.08"/>
    <n v="18.929390865785848"/>
    <n v="152.59031948759403"/>
    <n v="313.20976164142951"/>
    <n v="6755.84"/>
    <n v="8104.6464999999998"/>
    <n v="32427.033839999996"/>
    <n v="7685.3326915090547"/>
    <n v="16113.232557250954"/>
    <n v="33074.32440981167"/>
  </r>
  <r>
    <s v="Sistema de Compensação"/>
    <x v="0"/>
    <x v="0"/>
    <x v="0"/>
    <x v="0"/>
    <x v="0"/>
    <x v="0"/>
    <x v="0"/>
    <x v="10"/>
    <n v="38"/>
    <n v="38"/>
    <n v="5.359"/>
    <n v="5.359"/>
    <n v="5.359"/>
    <n v="5.359"/>
    <n v="0"/>
    <x v="0"/>
    <n v="0"/>
    <n v="2"/>
    <n v="3"/>
    <n v="49"/>
    <n v="16.64"/>
    <n v="76.75"/>
    <n v="307.08"/>
    <n v="18.929390865785848"/>
    <n v="152.59031948759403"/>
    <n v="313.20976164142951"/>
    <n v="632.32000000000005"/>
    <n v="411.30324999999999"/>
    <n v="1645.6417199999999"/>
    <n v="719.31685289986217"/>
    <n v="817.73152213401636"/>
    <n v="1678.4911126364207"/>
  </r>
  <r>
    <s v="PROJETADO"/>
    <x v="0"/>
    <x v="0"/>
    <x v="0"/>
    <x v="0"/>
    <x v="0"/>
    <x v="0"/>
    <x v="0"/>
    <x v="11"/>
    <n v="406"/>
    <n v="406"/>
    <n v="105.598"/>
    <n v="105.598"/>
    <n v="105.598"/>
    <n v="105.598"/>
    <n v="0"/>
    <x v="0"/>
    <n v="0"/>
    <n v="2"/>
    <n v="3"/>
    <n v="49"/>
    <n v="16.64"/>
    <n v="76.75"/>
    <n v="307.08"/>
    <n v="18.929390865785848"/>
    <n v="152.59031948759403"/>
    <n v="313.20976164142951"/>
    <n v="6755.84"/>
    <n v="8104.6464999999998"/>
    <n v="32427.033839999996"/>
    <n v="7685.3326915090547"/>
    <n v="16113.232557250954"/>
    <n v="33074.32440981167"/>
  </r>
  <r>
    <s v="PROJETADO"/>
    <x v="0"/>
    <x v="0"/>
    <x v="0"/>
    <x v="0"/>
    <x v="0"/>
    <x v="0"/>
    <x v="0"/>
    <x v="11"/>
    <n v="38"/>
    <n v="38"/>
    <n v="5.359"/>
    <n v="5.359"/>
    <n v="5.359"/>
    <n v="5.359"/>
    <n v="0"/>
    <x v="0"/>
    <n v="0"/>
    <n v="2"/>
    <n v="3"/>
    <n v="49"/>
    <n v="16.64"/>
    <n v="76.75"/>
    <n v="307.08"/>
    <n v="18.929390865785848"/>
    <n v="152.59031948759403"/>
    <n v="313.20976164142951"/>
    <n v="632.32000000000005"/>
    <n v="411.30324999999999"/>
    <n v="1645.6417199999999"/>
    <n v="719.31685289986217"/>
    <n v="817.73152213401636"/>
    <n v="1678.4911126364207"/>
  </r>
  <r>
    <s v="Regular"/>
    <x v="0"/>
    <x v="0"/>
    <x v="0"/>
    <x v="0"/>
    <x v="0"/>
    <x v="0"/>
    <x v="1"/>
    <x v="0"/>
    <n v="322"/>
    <n v="322"/>
    <n v="10.805"/>
    <n v="10.805"/>
    <n v="10.805"/>
    <n v="10.805"/>
    <n v="0"/>
    <x v="0"/>
    <n v="0"/>
    <n v="1"/>
    <n v="3"/>
    <n v="48"/>
    <n v="51.93"/>
    <n v="76.75"/>
    <n v="492.64"/>
    <n v="59.261942948611889"/>
    <n v="152.59031948759403"/>
    <n v="499.13928219176387"/>
    <n v="16721.46"/>
    <n v="829.28374999999994"/>
    <n v="5322.9751999999999"/>
    <n v="19082.34562945303"/>
    <n v="1648.7384020634533"/>
    <n v="5393.1999440820082"/>
  </r>
  <r>
    <s v="Sistema de Compensação"/>
    <x v="0"/>
    <x v="0"/>
    <x v="0"/>
    <x v="0"/>
    <x v="0"/>
    <x v="0"/>
    <x v="1"/>
    <x v="0"/>
    <n v="38"/>
    <n v="38"/>
    <n v="0.81599999999999995"/>
    <n v="0.81599999999999995"/>
    <n v="0.81599999999999995"/>
    <n v="0.81599999999999995"/>
    <n v="0"/>
    <x v="0"/>
    <n v="0"/>
    <n v="1"/>
    <n v="3"/>
    <n v="48"/>
    <n v="51.93"/>
    <n v="76.75"/>
    <n v="492.64"/>
    <n v="59.261942948611889"/>
    <n v="152.59031948759403"/>
    <n v="499.13928219176387"/>
    <n v="1973.34"/>
    <n v="62.627999999999993"/>
    <n v="401.99423999999999"/>
    <n v="2251.9538320472516"/>
    <n v="124.51370070187672"/>
    <n v="407.29765426847928"/>
  </r>
  <r>
    <s v="Regular"/>
    <x v="0"/>
    <x v="0"/>
    <x v="0"/>
    <x v="0"/>
    <x v="0"/>
    <x v="0"/>
    <x v="1"/>
    <x v="1"/>
    <n v="339"/>
    <n v="339"/>
    <n v="12.157999999999999"/>
    <n v="12.157999999999999"/>
    <n v="12.157999999999999"/>
    <n v="12.157999999999999"/>
    <n v="0"/>
    <x v="0"/>
    <n v="0"/>
    <n v="1"/>
    <n v="3"/>
    <n v="48"/>
    <n v="51.93"/>
    <n v="76.75"/>
    <n v="492.64"/>
    <n v="59.261942948611889"/>
    <n v="152.59031948759403"/>
    <n v="499.13928219176387"/>
    <n v="17604.27"/>
    <n v="933.12649999999996"/>
    <n v="5989.5171199999995"/>
    <n v="20089.798659579432"/>
    <n v="1855.1931043301681"/>
    <n v="6068.5353928874647"/>
  </r>
  <r>
    <s v="Sistema de Compensação"/>
    <x v="0"/>
    <x v="0"/>
    <x v="0"/>
    <x v="0"/>
    <x v="0"/>
    <x v="0"/>
    <x v="1"/>
    <x v="1"/>
    <n v="38"/>
    <n v="38"/>
    <n v="0.80400000000000005"/>
    <n v="0.80400000000000005"/>
    <n v="0.80400000000000005"/>
    <n v="0.80400000000000005"/>
    <n v="0"/>
    <x v="0"/>
    <n v="0"/>
    <n v="1"/>
    <n v="3"/>
    <n v="48"/>
    <n v="51.93"/>
    <n v="76.75"/>
    <n v="492.64"/>
    <n v="59.261942948611889"/>
    <n v="152.59031948759403"/>
    <n v="499.13928219176387"/>
    <n v="1973.34"/>
    <n v="61.707000000000001"/>
    <n v="396.08256"/>
    <n v="2251.9538320472516"/>
    <n v="122.6826168680256"/>
    <n v="401.30798288217818"/>
  </r>
  <r>
    <s v="Regular"/>
    <x v="0"/>
    <x v="0"/>
    <x v="0"/>
    <x v="0"/>
    <x v="0"/>
    <x v="0"/>
    <x v="1"/>
    <x v="2"/>
    <n v="378"/>
    <n v="378"/>
    <n v="12.619"/>
    <n v="12.619"/>
    <n v="12.619"/>
    <n v="12.619"/>
    <n v="0"/>
    <x v="0"/>
    <n v="0"/>
    <n v="1"/>
    <n v="3"/>
    <n v="48"/>
    <n v="51.93"/>
    <n v="76.75"/>
    <n v="492.64"/>
    <n v="59.261942948611889"/>
    <n v="152.59031948759403"/>
    <n v="499.13928219176387"/>
    <n v="19629.54"/>
    <n v="968.50824999999998"/>
    <n v="6216.6241599999994"/>
    <n v="22401.014434575292"/>
    <n v="1925.5372416139489"/>
    <n v="6298.6386019778683"/>
  </r>
  <r>
    <s v="Sistema de Compensação"/>
    <x v="0"/>
    <x v="0"/>
    <x v="0"/>
    <x v="0"/>
    <x v="0"/>
    <x v="0"/>
    <x v="1"/>
    <x v="2"/>
    <n v="38"/>
    <n v="38"/>
    <n v="0.71499999999999997"/>
    <n v="0.71499999999999997"/>
    <n v="0.71499999999999997"/>
    <n v="0.71499999999999997"/>
    <n v="0"/>
    <x v="0"/>
    <n v="0"/>
    <n v="1"/>
    <n v="3"/>
    <n v="48"/>
    <n v="51.93"/>
    <n v="76.75"/>
    <n v="492.64"/>
    <n v="59.261942948611889"/>
    <n v="152.59031948759403"/>
    <n v="499.13928219176387"/>
    <n v="1973.34"/>
    <n v="54.876249999999999"/>
    <n v="352.23759999999999"/>
    <n v="2251.9538320472516"/>
    <n v="109.10207843362973"/>
    <n v="356.88458676711116"/>
  </r>
  <r>
    <s v="Regular"/>
    <x v="0"/>
    <x v="0"/>
    <x v="0"/>
    <x v="0"/>
    <x v="0"/>
    <x v="0"/>
    <x v="1"/>
    <x v="3"/>
    <n v="379"/>
    <n v="379"/>
    <n v="12.819000000000001"/>
    <n v="12.819000000000001"/>
    <n v="12.819000000000001"/>
    <n v="12.819000000000001"/>
    <n v="0"/>
    <x v="0"/>
    <n v="0"/>
    <n v="1"/>
    <n v="3"/>
    <n v="48"/>
    <n v="51.93"/>
    <n v="76.75"/>
    <n v="492.64"/>
    <n v="59.261942948611889"/>
    <n v="152.59031948759403"/>
    <n v="499.13928219176387"/>
    <n v="19681.47"/>
    <n v="983.85825000000011"/>
    <n v="6315.1521600000005"/>
    <n v="22460.276377523907"/>
    <n v="1956.0553055114681"/>
    <n v="6398.466458416221"/>
  </r>
  <r>
    <s v="Sistema de Compensação"/>
    <x v="0"/>
    <x v="0"/>
    <x v="0"/>
    <x v="0"/>
    <x v="0"/>
    <x v="0"/>
    <x v="1"/>
    <x v="3"/>
    <n v="38"/>
    <n v="38"/>
    <n v="0.96399999999999997"/>
    <n v="0.96399999999999997"/>
    <n v="0.96399999999999997"/>
    <n v="0.96399999999999997"/>
    <n v="0"/>
    <x v="0"/>
    <n v="0"/>
    <n v="1"/>
    <n v="3"/>
    <n v="48"/>
    <n v="51.93"/>
    <n v="76.75"/>
    <n v="492.64"/>
    <n v="59.261942948611889"/>
    <n v="152.59031948759403"/>
    <n v="499.13928219176387"/>
    <n v="1973.34"/>
    <n v="73.986999999999995"/>
    <n v="474.90495999999996"/>
    <n v="2251.9538320472516"/>
    <n v="147.09706798604063"/>
    <n v="481.17026803286035"/>
  </r>
  <r>
    <s v="Regular"/>
    <x v="0"/>
    <x v="0"/>
    <x v="0"/>
    <x v="0"/>
    <x v="0"/>
    <x v="0"/>
    <x v="1"/>
    <x v="4"/>
    <n v="386"/>
    <n v="386"/>
    <n v="12.451000000000001"/>
    <n v="12.451000000000001"/>
    <n v="12.451000000000001"/>
    <n v="12.451000000000001"/>
    <n v="0"/>
    <x v="0"/>
    <n v="0"/>
    <n v="1"/>
    <n v="3"/>
    <n v="48"/>
    <n v="51.93"/>
    <n v="76.75"/>
    <n v="492.64"/>
    <n v="59.261942948611889"/>
    <n v="152.59031948759403"/>
    <n v="499.13928219176387"/>
    <n v="20044.98"/>
    <n v="955.61425000000008"/>
    <n v="6133.8606399999999"/>
    <n v="22875.10997816419"/>
    <n v="1899.9020679400332"/>
    <n v="6214.7832025696525"/>
  </r>
  <r>
    <s v="Sistema de Compensação"/>
    <x v="0"/>
    <x v="0"/>
    <x v="0"/>
    <x v="0"/>
    <x v="0"/>
    <x v="0"/>
    <x v="1"/>
    <x v="4"/>
    <n v="38"/>
    <n v="38"/>
    <n v="0.88800000000000001"/>
    <n v="0.88800000000000001"/>
    <n v="0.88800000000000001"/>
    <n v="0.88800000000000001"/>
    <n v="0"/>
    <x v="0"/>
    <n v="0"/>
    <n v="1"/>
    <n v="3"/>
    <n v="48"/>
    <n v="51.93"/>
    <n v="76.75"/>
    <n v="492.64"/>
    <n v="59.261942948611889"/>
    <n v="152.59031948759403"/>
    <n v="499.13928219176387"/>
    <n v="1973.34"/>
    <n v="68.153999999999996"/>
    <n v="437.46431999999999"/>
    <n v="2251.9538320472516"/>
    <n v="135.50020370498351"/>
    <n v="443.23568258628632"/>
  </r>
  <r>
    <s v="Regular"/>
    <x v="0"/>
    <x v="0"/>
    <x v="0"/>
    <x v="0"/>
    <x v="0"/>
    <x v="0"/>
    <x v="1"/>
    <x v="5"/>
    <n v="364"/>
    <n v="364"/>
    <n v="11.98"/>
    <n v="11.98"/>
    <n v="11.98"/>
    <n v="11.98"/>
    <n v="0"/>
    <x v="0"/>
    <n v="0"/>
    <n v="1"/>
    <n v="3"/>
    <n v="48"/>
    <n v="51.93"/>
    <n v="76.75"/>
    <n v="492.64"/>
    <n v="59.261942948611889"/>
    <n v="152.59031948759403"/>
    <n v="499.13928219176387"/>
    <n v="18902.52"/>
    <n v="919.46500000000003"/>
    <n v="5901.8271999999997"/>
    <n v="21571.347233294728"/>
    <n v="1828.0320274613766"/>
    <n v="5979.6886006573313"/>
  </r>
  <r>
    <s v="Sistema de Compensação"/>
    <x v="0"/>
    <x v="0"/>
    <x v="0"/>
    <x v="0"/>
    <x v="0"/>
    <x v="0"/>
    <x v="1"/>
    <x v="5"/>
    <n v="38"/>
    <n v="38"/>
    <n v="0.88400000000000001"/>
    <n v="0.88400000000000001"/>
    <n v="0.88400000000000001"/>
    <n v="0.88400000000000001"/>
    <n v="0"/>
    <x v="0"/>
    <n v="0"/>
    <n v="1"/>
    <n v="3"/>
    <n v="48"/>
    <n v="51.93"/>
    <n v="76.75"/>
    <n v="492.64"/>
    <n v="59.261942948611889"/>
    <n v="152.59031948759403"/>
    <n v="499.13928219176387"/>
    <n v="1973.34"/>
    <n v="67.846999999999994"/>
    <n v="435.49376000000001"/>
    <n v="2251.9538320472516"/>
    <n v="134.88984242703313"/>
    <n v="441.23912545751926"/>
  </r>
  <r>
    <s v="Regular"/>
    <x v="0"/>
    <x v="0"/>
    <x v="0"/>
    <x v="0"/>
    <x v="0"/>
    <x v="0"/>
    <x v="1"/>
    <x v="6"/>
    <n v="337"/>
    <n v="337"/>
    <n v="12.975"/>
    <n v="12.975"/>
    <n v="12.975"/>
    <n v="12.975"/>
    <n v="0"/>
    <x v="0"/>
    <n v="0"/>
    <n v="1"/>
    <n v="3"/>
    <n v="48"/>
    <n v="51.93"/>
    <n v="76.75"/>
    <n v="492.64"/>
    <n v="59.261942948611889"/>
    <n v="152.59031948759403"/>
    <n v="499.13928219176387"/>
    <n v="17500.41"/>
    <n v="995.83124999999995"/>
    <n v="6392.0039999999999"/>
    <n v="19971.274773682206"/>
    <n v="1979.8593953515324"/>
    <n v="6476.332186438136"/>
  </r>
  <r>
    <s v="Sistema de Compensação"/>
    <x v="0"/>
    <x v="0"/>
    <x v="0"/>
    <x v="0"/>
    <x v="0"/>
    <x v="0"/>
    <x v="1"/>
    <x v="6"/>
    <n v="38"/>
    <n v="38"/>
    <n v="0.95"/>
    <n v="0.95"/>
    <n v="0.95"/>
    <n v="0.95"/>
    <n v="0"/>
    <x v="0"/>
    <n v="0"/>
    <n v="1"/>
    <n v="3"/>
    <n v="48"/>
    <n v="51.93"/>
    <n v="76.75"/>
    <n v="492.64"/>
    <n v="59.261942948611889"/>
    <n v="152.59031948759403"/>
    <n v="499.13928219176387"/>
    <n v="1973.34"/>
    <n v="72.912499999999994"/>
    <n v="468.00799999999998"/>
    <n v="2251.9538320472516"/>
    <n v="144.96080351321433"/>
    <n v="474.18231808217564"/>
  </r>
  <r>
    <s v="Regular"/>
    <x v="0"/>
    <x v="0"/>
    <x v="0"/>
    <x v="0"/>
    <x v="0"/>
    <x v="0"/>
    <x v="1"/>
    <x v="7"/>
    <n v="328"/>
    <n v="328"/>
    <n v="12.076000000000001"/>
    <n v="12.076000000000001"/>
    <n v="12.076000000000001"/>
    <n v="12.076000000000001"/>
    <n v="0"/>
    <x v="0"/>
    <n v="0"/>
    <n v="1"/>
    <n v="3"/>
    <n v="48"/>
    <n v="51.93"/>
    <n v="76.75"/>
    <n v="492.64"/>
    <n v="59.261942948611889"/>
    <n v="152.59031948759403"/>
    <n v="499.13928219176387"/>
    <n v="17033.04"/>
    <n v="926.83300000000008"/>
    <n v="5949.1206400000001"/>
    <n v="19437.917287144701"/>
    <n v="1842.6806981321856"/>
    <n v="6027.605971747741"/>
  </r>
  <r>
    <s v="Sistema de Compensação"/>
    <x v="0"/>
    <x v="0"/>
    <x v="0"/>
    <x v="0"/>
    <x v="0"/>
    <x v="0"/>
    <x v="1"/>
    <x v="7"/>
    <n v="38"/>
    <n v="38"/>
    <n v="0.84299999999999997"/>
    <n v="0.84299999999999997"/>
    <n v="0.84299999999999997"/>
    <n v="0.84299999999999997"/>
    <n v="0"/>
    <x v="0"/>
    <n v="0"/>
    <n v="1"/>
    <n v="3"/>
    <n v="48"/>
    <n v="51.93"/>
    <n v="76.75"/>
    <n v="492.64"/>
    <n v="59.261942948611889"/>
    <n v="152.59031948759403"/>
    <n v="499.13928219176387"/>
    <n v="1973.34"/>
    <n v="64.700249999999997"/>
    <n v="415.29551999999995"/>
    <n v="2251.9538320472516"/>
    <n v="128.63363932804177"/>
    <n v="420.77441488765692"/>
  </r>
  <r>
    <s v="Regular"/>
    <x v="0"/>
    <x v="0"/>
    <x v="0"/>
    <x v="0"/>
    <x v="0"/>
    <x v="0"/>
    <x v="1"/>
    <x v="8"/>
    <n v="320"/>
    <n v="320"/>
    <n v="9.9960000000000004"/>
    <n v="9.9960000000000004"/>
    <n v="9.9960000000000004"/>
    <n v="9.9960000000000004"/>
    <n v="0"/>
    <x v="0"/>
    <n v="0"/>
    <n v="1"/>
    <n v="3"/>
    <n v="48"/>
    <n v="51.93"/>
    <n v="76.75"/>
    <n v="492.64"/>
    <n v="59.261942948611889"/>
    <n v="152.59031948759403"/>
    <n v="499.13928219176387"/>
    <n v="16617.599999999999"/>
    <n v="767.19299999999998"/>
    <n v="4924.4294399999999"/>
    <n v="18963.821743555804"/>
    <n v="1525.29283359799"/>
    <n v="4989.396264788872"/>
  </r>
  <r>
    <s v="Sistema de Compensação"/>
    <x v="0"/>
    <x v="0"/>
    <x v="0"/>
    <x v="0"/>
    <x v="0"/>
    <x v="0"/>
    <x v="1"/>
    <x v="8"/>
    <n v="38"/>
    <n v="38"/>
    <n v="0.67300000000000004"/>
    <n v="0.67300000000000004"/>
    <n v="0.67300000000000004"/>
    <n v="0.67300000000000004"/>
    <n v="0"/>
    <x v="0"/>
    <n v="0"/>
    <n v="1"/>
    <n v="3"/>
    <n v="48"/>
    <n v="51.93"/>
    <n v="76.75"/>
    <n v="492.64"/>
    <n v="59.261942948611889"/>
    <n v="152.59031948759403"/>
    <n v="499.13928219176387"/>
    <n v="1973.34"/>
    <n v="51.652750000000005"/>
    <n v="331.54671999999999"/>
    <n v="2251.9538320472516"/>
    <n v="102.69328501515079"/>
    <n v="335.92073691505709"/>
  </r>
  <r>
    <s v="Regular"/>
    <x v="0"/>
    <x v="0"/>
    <x v="0"/>
    <x v="0"/>
    <x v="0"/>
    <x v="0"/>
    <x v="1"/>
    <x v="9"/>
    <n v="320"/>
    <n v="320"/>
    <n v="10.569000000000001"/>
    <n v="10.569000000000001"/>
    <n v="10.569000000000001"/>
    <n v="10.569000000000001"/>
    <n v="0"/>
    <x v="0"/>
    <n v="0"/>
    <n v="1"/>
    <n v="3"/>
    <n v="48"/>
    <n v="51.93"/>
    <n v="76.75"/>
    <n v="492.64"/>
    <n v="59.261942948611889"/>
    <n v="152.59031948759403"/>
    <n v="499.13928219176387"/>
    <n v="16617.599999999999"/>
    <n v="811.17075000000011"/>
    <n v="5206.71216"/>
    <n v="18963.821743555804"/>
    <n v="1612.7270866643814"/>
    <n v="5275.4030734847529"/>
  </r>
  <r>
    <s v="Sistema de Compensação"/>
    <x v="0"/>
    <x v="0"/>
    <x v="0"/>
    <x v="0"/>
    <x v="0"/>
    <x v="0"/>
    <x v="1"/>
    <x v="9"/>
    <n v="38"/>
    <n v="38"/>
    <n v="0.66600000000000004"/>
    <n v="0.66600000000000004"/>
    <n v="0.66600000000000004"/>
    <n v="0.66600000000000004"/>
    <n v="0"/>
    <x v="0"/>
    <n v="0"/>
    <n v="1"/>
    <n v="3"/>
    <n v="48"/>
    <n v="51.93"/>
    <n v="76.75"/>
    <n v="492.64"/>
    <n v="59.261942948611889"/>
    <n v="152.59031948759403"/>
    <n v="499.13928219176387"/>
    <n v="1973.34"/>
    <n v="51.115500000000004"/>
    <n v="328.09824000000003"/>
    <n v="2251.9538320472516"/>
    <n v="101.62515277873763"/>
    <n v="332.42676193971477"/>
  </r>
  <r>
    <s v="Regular"/>
    <x v="0"/>
    <x v="0"/>
    <x v="0"/>
    <x v="0"/>
    <x v="0"/>
    <x v="0"/>
    <x v="1"/>
    <x v="10"/>
    <n v="320"/>
    <n v="320"/>
    <n v="10.477"/>
    <n v="10.477"/>
    <n v="10.477"/>
    <n v="10.477"/>
    <n v="0"/>
    <x v="0"/>
    <n v="0"/>
    <n v="1"/>
    <n v="3"/>
    <n v="48"/>
    <n v="51.93"/>
    <n v="76.75"/>
    <n v="492.64"/>
    <n v="59.261942948611889"/>
    <n v="152.59031948759403"/>
    <n v="499.13928219176387"/>
    <n v="16617.599999999999"/>
    <n v="804.10975000000008"/>
    <n v="5161.3892800000003"/>
    <n v="18963.821743555804"/>
    <n v="1598.6887772715227"/>
    <n v="5229.4822595231099"/>
  </r>
  <r>
    <s v="Sistema de Compensação"/>
    <x v="0"/>
    <x v="0"/>
    <x v="0"/>
    <x v="0"/>
    <x v="0"/>
    <x v="0"/>
    <x v="1"/>
    <x v="10"/>
    <n v="38"/>
    <n v="38"/>
    <n v="0.67800000000000005"/>
    <n v="0.67800000000000005"/>
    <n v="0.67800000000000005"/>
    <n v="0.67800000000000005"/>
    <n v="0"/>
    <x v="0"/>
    <n v="0"/>
    <n v="1"/>
    <n v="3"/>
    <n v="48"/>
    <n v="51.93"/>
    <n v="76.75"/>
    <n v="492.64"/>
    <n v="59.261942948611889"/>
    <n v="152.59031948759403"/>
    <n v="499.13928219176387"/>
    <n v="1973.34"/>
    <n v="52.036500000000004"/>
    <n v="334.00992000000002"/>
    <n v="2251.9538320472516"/>
    <n v="103.45623661258875"/>
    <n v="338.41643332601592"/>
  </r>
  <r>
    <s v="PROJETADO"/>
    <x v="0"/>
    <x v="0"/>
    <x v="0"/>
    <x v="0"/>
    <x v="0"/>
    <x v="0"/>
    <x v="1"/>
    <x v="11"/>
    <n v="320"/>
    <n v="320"/>
    <n v="10.477"/>
    <n v="10.477"/>
    <n v="10.477"/>
    <n v="10.477"/>
    <n v="0"/>
    <x v="0"/>
    <n v="0"/>
    <n v="1"/>
    <n v="3"/>
    <n v="48"/>
    <n v="51.93"/>
    <n v="76.75"/>
    <n v="492.64"/>
    <n v="59.261942948611889"/>
    <n v="152.59031948759403"/>
    <n v="499.13928219176387"/>
    <n v="16617.599999999999"/>
    <n v="804.10975000000008"/>
    <n v="5161.3892800000003"/>
    <n v="18963.821743555804"/>
    <n v="1598.6887772715227"/>
    <n v="5229.4822595231099"/>
  </r>
  <r>
    <s v="PROJETADO"/>
    <x v="0"/>
    <x v="0"/>
    <x v="0"/>
    <x v="0"/>
    <x v="0"/>
    <x v="0"/>
    <x v="1"/>
    <x v="11"/>
    <n v="38"/>
    <n v="38"/>
    <n v="0.67800000000000005"/>
    <n v="0.67800000000000005"/>
    <n v="0.67800000000000005"/>
    <n v="0.67800000000000005"/>
    <n v="0"/>
    <x v="0"/>
    <n v="0"/>
    <n v="1"/>
    <n v="3"/>
    <n v="48"/>
    <n v="51.93"/>
    <n v="76.75"/>
    <n v="492.64"/>
    <n v="59.261942948611889"/>
    <n v="152.59031948759403"/>
    <n v="499.13928219176387"/>
    <n v="1973.34"/>
    <n v="52.036500000000004"/>
    <n v="334.00992000000002"/>
    <n v="2251.9538320472516"/>
    <n v="103.45623661258875"/>
    <n v="338.41643332601592"/>
  </r>
  <r>
    <s v="Regular"/>
    <x v="0"/>
    <x v="0"/>
    <x v="1"/>
    <x v="0"/>
    <x v="1"/>
    <x v="0"/>
    <x v="0"/>
    <x v="0"/>
    <n v="3080"/>
    <n v="1540"/>
    <n v="0"/>
    <n v="0"/>
    <n v="0"/>
    <n v="0"/>
    <n v="0"/>
    <x v="1"/>
    <n v="0"/>
    <n v="2"/>
    <n v="0"/>
    <n v="0"/>
    <n v="16.64"/>
    <n v="0"/>
    <n v="0"/>
    <n v="18.929390865785848"/>
    <n v="152.59031948759403"/>
    <m/>
    <n v="25625.600000000002"/>
    <n v="0"/>
    <n v="0"/>
    <n v="29151.261933310205"/>
    <n v="0"/>
    <n v="0"/>
  </r>
  <r>
    <s v="Regular"/>
    <x v="0"/>
    <x v="0"/>
    <x v="1"/>
    <x v="0"/>
    <x v="1"/>
    <x v="0"/>
    <x v="0"/>
    <x v="1"/>
    <n v="3080"/>
    <n v="1544.62"/>
    <n v="0"/>
    <n v="0"/>
    <n v="0"/>
    <n v="0"/>
    <n v="0"/>
    <x v="1"/>
    <n v="0"/>
    <n v="2"/>
    <n v="0"/>
    <n v="0"/>
    <n v="16.64"/>
    <n v="0"/>
    <n v="0"/>
    <n v="18.929390865785848"/>
    <n v="152.59031948759403"/>
    <m/>
    <n v="25702.4768"/>
    <n v="0"/>
    <n v="0"/>
    <n v="29238.715719110136"/>
    <n v="0"/>
    <n v="0"/>
  </r>
  <r>
    <s v="Regular"/>
    <x v="0"/>
    <x v="0"/>
    <x v="1"/>
    <x v="0"/>
    <x v="1"/>
    <x v="0"/>
    <x v="0"/>
    <x v="2"/>
    <n v="3232"/>
    <n v="1618.9087999999999"/>
    <n v="0"/>
    <n v="0"/>
    <n v="0"/>
    <n v="0"/>
    <n v="0"/>
    <x v="1"/>
    <n v="0"/>
    <n v="2"/>
    <n v="0"/>
    <n v="0"/>
    <n v="16.64"/>
    <n v="0"/>
    <n v="0"/>
    <n v="18.929390865785848"/>
    <n v="152.59031948759403"/>
    <m/>
    <n v="26938.642432000001"/>
    <n v="0"/>
    <n v="0"/>
    <n v="30644.957451260329"/>
    <n v="0"/>
    <n v="0"/>
  </r>
  <r>
    <s v="Regular"/>
    <x v="0"/>
    <x v="0"/>
    <x v="1"/>
    <x v="0"/>
    <x v="1"/>
    <x v="0"/>
    <x v="0"/>
    <x v="3"/>
    <n v="3080"/>
    <n v="1549.24"/>
    <n v="0"/>
    <n v="0"/>
    <n v="0"/>
    <n v="0"/>
    <n v="0"/>
    <x v="1"/>
    <n v="0"/>
    <n v="2"/>
    <n v="0"/>
    <n v="0"/>
    <n v="16.64"/>
    <n v="0"/>
    <n v="0"/>
    <n v="18.929390865785848"/>
    <n v="152.59031948759403"/>
    <m/>
    <n v="25779.353600000002"/>
    <n v="0"/>
    <n v="0"/>
    <n v="29326.169504910067"/>
    <n v="0"/>
    <n v="0"/>
  </r>
  <r>
    <s v="Regular"/>
    <x v="0"/>
    <x v="0"/>
    <x v="1"/>
    <x v="0"/>
    <x v="1"/>
    <x v="0"/>
    <x v="0"/>
    <x v="4"/>
    <n v="3216"/>
    <n v="1612.5024000000001"/>
    <n v="0"/>
    <n v="0"/>
    <n v="0"/>
    <n v="0"/>
    <n v="0"/>
    <x v="1"/>
    <n v="0"/>
    <n v="2"/>
    <n v="0"/>
    <n v="0"/>
    <n v="16.64"/>
    <n v="0"/>
    <n v="0"/>
    <n v="18.929390865785848"/>
    <n v="152.59031948759403"/>
    <m/>
    <n v="26832.039936000001"/>
    <n v="0"/>
    <n v="0"/>
    <n v="30523.688201617759"/>
    <n v="0"/>
    <n v="0"/>
  </r>
  <r>
    <s v="Regular"/>
    <x v="0"/>
    <x v="0"/>
    <x v="1"/>
    <x v="0"/>
    <x v="1"/>
    <x v="0"/>
    <x v="0"/>
    <x v="5"/>
    <n v="3097"/>
    <n v="1555.6231"/>
    <n v="0"/>
    <n v="0"/>
    <n v="0"/>
    <n v="0"/>
    <n v="0"/>
    <x v="1"/>
    <n v="0"/>
    <n v="2"/>
    <n v="0"/>
    <n v="0"/>
    <n v="16.64"/>
    <n v="0"/>
    <n v="0"/>
    <n v="18.929390865785848"/>
    <n v="152.59031948759403"/>
    <m/>
    <n v="25885.568384000002"/>
    <n v="0"/>
    <n v="0"/>
    <n v="29446.997699745465"/>
    <n v="0"/>
    <n v="0"/>
  </r>
  <r>
    <s v="Regular"/>
    <x v="0"/>
    <x v="0"/>
    <x v="1"/>
    <x v="0"/>
    <x v="1"/>
    <x v="0"/>
    <x v="0"/>
    <x v="6"/>
    <n v="3232"/>
    <n v="1619.5552"/>
    <n v="0"/>
    <n v="0"/>
    <n v="0"/>
    <n v="0"/>
    <n v="0"/>
    <x v="1"/>
    <n v="0"/>
    <n v="2"/>
    <n v="0"/>
    <n v="0"/>
    <n v="16.64"/>
    <n v="0"/>
    <n v="0"/>
    <n v="18.929390865785848"/>
    <n v="152.59031948759403"/>
    <m/>
    <n v="26949.398528000002"/>
    <n v="0"/>
    <n v="0"/>
    <n v="30657.193409515974"/>
    <n v="0"/>
    <n v="0"/>
  </r>
  <r>
    <s v="Regular"/>
    <x v="0"/>
    <x v="0"/>
    <x v="1"/>
    <x v="0"/>
    <x v="1"/>
    <x v="0"/>
    <x v="0"/>
    <x v="7"/>
    <n v="3296"/>
    <n v="1662.5024000000001"/>
    <n v="0"/>
    <n v="0"/>
    <n v="0"/>
    <n v="0"/>
    <n v="0"/>
    <x v="1"/>
    <n v="0"/>
    <n v="2"/>
    <n v="0"/>
    <n v="0"/>
    <n v="16.64"/>
    <n v="0"/>
    <n v="0"/>
    <n v="18.929390865785848"/>
    <n v="152.59031948759403"/>
    <m/>
    <n v="27664.039936000001"/>
    <n v="0"/>
    <n v="0"/>
    <n v="31470.15774490705"/>
    <n v="0"/>
    <n v="0"/>
  </r>
  <r>
    <s v="Regular"/>
    <x v="0"/>
    <x v="0"/>
    <x v="1"/>
    <x v="0"/>
    <x v="1"/>
    <x v="0"/>
    <x v="0"/>
    <x v="8"/>
    <n v="3378"/>
    <n v="1695.4182000000001"/>
    <n v="0"/>
    <n v="0"/>
    <n v="0"/>
    <n v="0"/>
    <n v="0"/>
    <x v="1"/>
    <n v="0"/>
    <n v="2"/>
    <n v="0"/>
    <n v="0"/>
    <n v="16.64"/>
    <n v="0"/>
    <n v="0"/>
    <n v="18.929390865785848"/>
    <n v="152.59031948759403"/>
    <m/>
    <n v="28211.758848000001"/>
    <n v="0"/>
    <n v="0"/>
    <n v="32093.233788767084"/>
    <n v="0"/>
    <n v="0"/>
  </r>
  <r>
    <s v="Regular"/>
    <x v="0"/>
    <x v="0"/>
    <x v="1"/>
    <x v="0"/>
    <x v="1"/>
    <x v="0"/>
    <x v="0"/>
    <x v="9"/>
    <n v="3302"/>
    <n v="1653.9718"/>
    <n v="0"/>
    <n v="0"/>
    <n v="0"/>
    <n v="0"/>
    <n v="0"/>
    <x v="1"/>
    <n v="0"/>
    <n v="2"/>
    <n v="0"/>
    <n v="0"/>
    <n v="16.64"/>
    <n v="0"/>
    <n v="0"/>
    <n v="18.929390865785848"/>
    <n v="152.59031948759403"/>
    <m/>
    <n v="27522.090752"/>
    <n v="0"/>
    <n v="0"/>
    <n v="31308.67868318738"/>
    <n v="0"/>
    <n v="0"/>
  </r>
  <r>
    <s v="Regular"/>
    <x v="0"/>
    <x v="0"/>
    <x v="1"/>
    <x v="0"/>
    <x v="1"/>
    <x v="0"/>
    <x v="0"/>
    <x v="10"/>
    <n v="3300"/>
    <n v="1663.2"/>
    <n v="0"/>
    <n v="0"/>
    <n v="0"/>
    <n v="0"/>
    <n v="0"/>
    <x v="1"/>
    <n v="0"/>
    <n v="2"/>
    <n v="0"/>
    <n v="0"/>
    <n v="16.64"/>
    <n v="0"/>
    <n v="0"/>
    <n v="18.929390865785848"/>
    <n v="152.59031948759403"/>
    <m/>
    <n v="27675.648000000001"/>
    <n v="0"/>
    <n v="0"/>
    <n v="31483.362887975025"/>
    <n v="0"/>
    <n v="0"/>
  </r>
  <r>
    <s v="PROJETADO"/>
    <x v="0"/>
    <x v="0"/>
    <x v="1"/>
    <x v="0"/>
    <x v="1"/>
    <x v="0"/>
    <x v="0"/>
    <x v="11"/>
    <n v="3300"/>
    <n v="1663.2"/>
    <n v="0"/>
    <n v="0"/>
    <n v="0"/>
    <n v="0"/>
    <n v="0"/>
    <x v="1"/>
    <n v="0"/>
    <n v="2"/>
    <n v="0"/>
    <n v="0"/>
    <n v="16.64"/>
    <n v="0"/>
    <n v="0"/>
    <n v="18.929390865785848"/>
    <n v="152.59031948759403"/>
    <m/>
    <n v="27675.648000000001"/>
    <n v="0"/>
    <n v="0"/>
    <n v="31483.362887975025"/>
    <n v="0"/>
    <n v="0"/>
  </r>
  <r>
    <s v="Regular"/>
    <x v="0"/>
    <x v="0"/>
    <x v="1"/>
    <x v="0"/>
    <x v="1"/>
    <x v="0"/>
    <x v="2"/>
    <x v="0"/>
    <n v="0"/>
    <n v="0"/>
    <n v="1381.643"/>
    <n v="1381.643"/>
    <n v="0"/>
    <n v="0"/>
    <n v="1"/>
    <x v="1"/>
    <n v="0"/>
    <n v="0"/>
    <n v="3"/>
    <n v="0"/>
    <n v="0"/>
    <n v="76.75"/>
    <n v="0"/>
    <m/>
    <n v="152.59031948759403"/>
    <m/>
    <n v="0"/>
    <n v="106041.10025"/>
    <n v="0"/>
    <n v="0"/>
    <n v="210825.34678779787"/>
    <n v="0"/>
  </r>
  <r>
    <s v="Regular"/>
    <x v="0"/>
    <x v="0"/>
    <x v="1"/>
    <x v="0"/>
    <x v="1"/>
    <x v="0"/>
    <x v="2"/>
    <x v="1"/>
    <n v="0"/>
    <n v="0"/>
    <n v="1397.3150000000001"/>
    <n v="1397.3150000000001"/>
    <n v="0"/>
    <n v="0"/>
    <n v="1"/>
    <x v="1"/>
    <n v="0"/>
    <n v="0"/>
    <n v="3"/>
    <n v="0"/>
    <n v="0"/>
    <n v="76.75"/>
    <n v="0"/>
    <m/>
    <n v="152.59031948759403"/>
    <m/>
    <n v="0"/>
    <n v="107243.92625"/>
    <n v="0"/>
    <n v="0"/>
    <n v="213216.74227480745"/>
    <n v="0"/>
  </r>
  <r>
    <s v="Regular"/>
    <x v="0"/>
    <x v="0"/>
    <x v="1"/>
    <x v="0"/>
    <x v="1"/>
    <x v="0"/>
    <x v="2"/>
    <x v="2"/>
    <n v="0"/>
    <n v="0"/>
    <n v="1422.104"/>
    <n v="1422.104"/>
    <n v="0"/>
    <n v="0"/>
    <n v="1"/>
    <x v="1"/>
    <n v="0"/>
    <n v="0"/>
    <n v="3"/>
    <n v="0"/>
    <n v="0"/>
    <n v="76.75"/>
    <n v="0"/>
    <m/>
    <n v="152.59031948759403"/>
    <m/>
    <n v="0"/>
    <n v="109146.482"/>
    <n v="0"/>
    <n v="0"/>
    <n v="216999.30370458541"/>
    <n v="0"/>
  </r>
  <r>
    <s v="Regular"/>
    <x v="0"/>
    <x v="0"/>
    <x v="1"/>
    <x v="0"/>
    <x v="1"/>
    <x v="0"/>
    <x v="2"/>
    <x v="3"/>
    <n v="0"/>
    <n v="0"/>
    <n v="1390.7560000000001"/>
    <n v="1390.7560000000001"/>
    <n v="0"/>
    <n v="0"/>
    <n v="1"/>
    <x v="1"/>
    <n v="0"/>
    <n v="0"/>
    <n v="3"/>
    <n v="0"/>
    <n v="0"/>
    <n v="76.75"/>
    <n v="0"/>
    <m/>
    <n v="152.59031948759403"/>
    <m/>
    <n v="0"/>
    <n v="106740.523"/>
    <n v="0"/>
    <n v="0"/>
    <n v="212215.90236928835"/>
    <n v="0"/>
  </r>
  <r>
    <s v="Regular"/>
    <x v="0"/>
    <x v="0"/>
    <x v="1"/>
    <x v="0"/>
    <x v="1"/>
    <x v="0"/>
    <x v="2"/>
    <x v="4"/>
    <n v="0"/>
    <n v="0"/>
    <n v="1568.508"/>
    <n v="1568.508"/>
    <n v="0"/>
    <n v="0"/>
    <n v="1"/>
    <x v="1"/>
    <n v="0"/>
    <n v="0"/>
    <n v="3"/>
    <n v="0"/>
    <n v="0"/>
    <n v="76.75"/>
    <n v="0"/>
    <m/>
    <n v="152.59031948759403"/>
    <m/>
    <n v="0"/>
    <n v="120382.989"/>
    <n v="0"/>
    <n v="0"/>
    <n v="239339.13683884713"/>
    <n v="0"/>
  </r>
  <r>
    <s v="Regular"/>
    <x v="0"/>
    <x v="0"/>
    <x v="1"/>
    <x v="0"/>
    <x v="1"/>
    <x v="0"/>
    <x v="2"/>
    <x v="5"/>
    <n v="0"/>
    <n v="0"/>
    <n v="1495.627"/>
    <n v="1495.627"/>
    <n v="0"/>
    <n v="0"/>
    <n v="1"/>
    <x v="1"/>
    <n v="0"/>
    <n v="0"/>
    <n v="3"/>
    <n v="0"/>
    <n v="0"/>
    <n v="76.75"/>
    <n v="0"/>
    <m/>
    <n v="152.59031948759403"/>
    <m/>
    <n v="0"/>
    <n v="114789.37225"/>
    <n v="0"/>
    <n v="0"/>
    <n v="228218.2017642718"/>
    <n v="0"/>
  </r>
  <r>
    <s v="Regular"/>
    <x v="0"/>
    <x v="0"/>
    <x v="1"/>
    <x v="0"/>
    <x v="1"/>
    <x v="0"/>
    <x v="2"/>
    <x v="6"/>
    <n v="0"/>
    <n v="0"/>
    <n v="1423.7270000000001"/>
    <n v="1423.7270000000001"/>
    <n v="0"/>
    <n v="0"/>
    <n v="1"/>
    <x v="1"/>
    <n v="0"/>
    <n v="0"/>
    <n v="3"/>
    <n v="0"/>
    <n v="0"/>
    <n v="76.75"/>
    <n v="0"/>
    <m/>
    <n v="152.59031948759403"/>
    <m/>
    <n v="0"/>
    <n v="109271.04725"/>
    <n v="0"/>
    <n v="0"/>
    <n v="217246.9577931138"/>
    <n v="0"/>
  </r>
  <r>
    <s v="Regular"/>
    <x v="0"/>
    <x v="0"/>
    <x v="1"/>
    <x v="0"/>
    <x v="1"/>
    <x v="0"/>
    <x v="2"/>
    <x v="7"/>
    <n v="0"/>
    <n v="0"/>
    <n v="1682.0219999999999"/>
    <n v="1682.0219999999999"/>
    <n v="0"/>
    <n v="0"/>
    <n v="1"/>
    <x v="1"/>
    <n v="0"/>
    <n v="0"/>
    <n v="3"/>
    <n v="0"/>
    <n v="0"/>
    <n v="76.75"/>
    <n v="0"/>
    <m/>
    <n v="152.59031948759403"/>
    <m/>
    <n v="0"/>
    <n v="129095.18849999999"/>
    <n v="0"/>
    <n v="0"/>
    <n v="256660.27436516187"/>
    <n v="0"/>
  </r>
  <r>
    <s v="Regular"/>
    <x v="0"/>
    <x v="0"/>
    <x v="1"/>
    <x v="0"/>
    <x v="1"/>
    <x v="0"/>
    <x v="2"/>
    <x v="8"/>
    <n v="0"/>
    <n v="0"/>
    <n v="1448.614"/>
    <n v="1448.614"/>
    <n v="0"/>
    <n v="0"/>
    <n v="1"/>
    <x v="1"/>
    <n v="0"/>
    <n v="0"/>
    <n v="3"/>
    <n v="0"/>
    <n v="0"/>
    <n v="76.75"/>
    <n v="0"/>
    <m/>
    <n v="152.59031948759403"/>
    <m/>
    <n v="0"/>
    <n v="111181.12450000001"/>
    <n v="0"/>
    <n v="0"/>
    <n v="221044.47307420155"/>
    <n v="0"/>
  </r>
  <r>
    <s v="Regular"/>
    <x v="0"/>
    <x v="0"/>
    <x v="1"/>
    <x v="0"/>
    <x v="1"/>
    <x v="0"/>
    <x v="2"/>
    <x v="9"/>
    <n v="0"/>
    <n v="0"/>
    <n v="1654.537"/>
    <n v="1654.537"/>
    <n v="0"/>
    <n v="0"/>
    <n v="1"/>
    <x v="1"/>
    <n v="0"/>
    <n v="0"/>
    <n v="3"/>
    <n v="0"/>
    <n v="0"/>
    <n v="76.75"/>
    <n v="0"/>
    <m/>
    <n v="152.59031948759403"/>
    <m/>
    <n v="0"/>
    <n v="126985.71475"/>
    <n v="0"/>
    <n v="0"/>
    <n v="252466.32943404536"/>
    <n v="0"/>
  </r>
  <r>
    <s v="Regular"/>
    <x v="0"/>
    <x v="0"/>
    <x v="1"/>
    <x v="0"/>
    <x v="1"/>
    <x v="0"/>
    <x v="2"/>
    <x v="10"/>
    <n v="0"/>
    <n v="0"/>
    <n v="1529.9929999999999"/>
    <n v="1529.9929999999999"/>
    <n v="0"/>
    <n v="0"/>
    <n v="1"/>
    <x v="1"/>
    <n v="0"/>
    <n v="0"/>
    <n v="3"/>
    <n v="0"/>
    <n v="0"/>
    <n v="76.75"/>
    <n v="0"/>
    <m/>
    <n v="152.59031948759403"/>
    <m/>
    <n v="0"/>
    <n v="117426.96274999999"/>
    <n v="0"/>
    <n v="0"/>
    <n v="233462.12068378244"/>
    <n v="0"/>
  </r>
  <r>
    <s v="PROJETADO"/>
    <x v="0"/>
    <x v="0"/>
    <x v="1"/>
    <x v="0"/>
    <x v="1"/>
    <x v="0"/>
    <x v="2"/>
    <x v="11"/>
    <n v="0"/>
    <n v="0"/>
    <n v="1529.9929999999999"/>
    <n v="1529.9929999999999"/>
    <n v="0"/>
    <n v="0"/>
    <n v="1"/>
    <x v="1"/>
    <n v="0"/>
    <n v="0"/>
    <n v="3"/>
    <n v="0"/>
    <n v="0"/>
    <n v="76.75"/>
    <n v="0"/>
    <m/>
    <n v="152.59031948759403"/>
    <m/>
    <n v="0"/>
    <n v="117426.96274999999"/>
    <n v="0"/>
    <n v="0"/>
    <n v="233462.12068378244"/>
    <n v="0"/>
  </r>
  <r>
    <s v="Regular"/>
    <x v="0"/>
    <x v="0"/>
    <x v="1"/>
    <x v="0"/>
    <x v="1"/>
    <x v="0"/>
    <x v="1"/>
    <x v="0"/>
    <n v="2805"/>
    <n v="1402.5"/>
    <n v="0"/>
    <n v="0"/>
    <n v="0"/>
    <n v="0"/>
    <n v="0"/>
    <x v="1"/>
    <n v="0"/>
    <n v="1"/>
    <n v="0"/>
    <n v="0"/>
    <n v="51.93"/>
    <n v="0"/>
    <n v="0"/>
    <n v="59.261942948611889"/>
    <n v="152.59031948759403"/>
    <m/>
    <n v="72831.824999999997"/>
    <n v="0"/>
    <n v="0"/>
    <n v="83114.874985428178"/>
    <n v="0"/>
    <n v="0"/>
  </r>
  <r>
    <s v="Regular"/>
    <x v="0"/>
    <x v="0"/>
    <x v="1"/>
    <x v="0"/>
    <x v="1"/>
    <x v="0"/>
    <x v="1"/>
    <x v="1"/>
    <n v="2805"/>
    <n v="1406.7075"/>
    <n v="0"/>
    <n v="0"/>
    <n v="0"/>
    <n v="0"/>
    <n v="0"/>
    <x v="1"/>
    <n v="0"/>
    <n v="1"/>
    <n v="0"/>
    <n v="0"/>
    <n v="51.93"/>
    <n v="0"/>
    <n v="0"/>
    <n v="59.261942948611889"/>
    <n v="152.59031948759403"/>
    <m/>
    <n v="73050.320475"/>
    <n v="0"/>
    <n v="0"/>
    <n v="83364.219610384462"/>
    <n v="0"/>
    <n v="0"/>
  </r>
  <r>
    <s v="Regular"/>
    <x v="0"/>
    <x v="0"/>
    <x v="1"/>
    <x v="0"/>
    <x v="1"/>
    <x v="0"/>
    <x v="1"/>
    <x v="2"/>
    <n v="2805"/>
    <n v="1405.0245"/>
    <n v="0"/>
    <n v="0"/>
    <n v="0"/>
    <n v="0"/>
    <n v="0"/>
    <x v="1"/>
    <n v="0"/>
    <n v="1"/>
    <n v="0"/>
    <n v="0"/>
    <n v="51.93"/>
    <n v="0"/>
    <n v="0"/>
    <n v="59.261942948611889"/>
    <n v="152.59031948759403"/>
    <m/>
    <n v="72962.922284999993"/>
    <n v="0"/>
    <n v="0"/>
    <n v="83264.481760401948"/>
    <n v="0"/>
    <n v="0"/>
  </r>
  <r>
    <s v="Regular"/>
    <x v="0"/>
    <x v="0"/>
    <x v="1"/>
    <x v="0"/>
    <x v="1"/>
    <x v="0"/>
    <x v="1"/>
    <x v="3"/>
    <n v="2805"/>
    <n v="1410.915"/>
    <n v="0"/>
    <n v="0"/>
    <n v="0"/>
    <n v="0"/>
    <n v="0"/>
    <x v="1"/>
    <n v="0"/>
    <n v="1"/>
    <n v="0"/>
    <n v="0"/>
    <n v="51.93"/>
    <n v="0"/>
    <n v="0"/>
    <n v="59.261942948611889"/>
    <n v="152.59031948759403"/>
    <m/>
    <n v="73268.815950000004"/>
    <n v="0"/>
    <n v="0"/>
    <n v="83613.564235340746"/>
    <n v="0"/>
    <n v="0"/>
  </r>
  <r>
    <s v="Regular"/>
    <x v="0"/>
    <x v="0"/>
    <x v="1"/>
    <x v="0"/>
    <x v="1"/>
    <x v="0"/>
    <x v="1"/>
    <x v="4"/>
    <n v="2805"/>
    <n v="1406.4269999999999"/>
    <n v="0"/>
    <n v="0"/>
    <n v="0"/>
    <n v="0"/>
    <n v="0"/>
    <x v="1"/>
    <n v="0"/>
    <n v="1"/>
    <n v="0"/>
    <n v="0"/>
    <n v="51.93"/>
    <n v="0"/>
    <n v="0"/>
    <n v="59.261942948611889"/>
    <n v="152.59031948759403"/>
    <m/>
    <n v="73035.754109999994"/>
    <n v="0"/>
    <n v="0"/>
    <n v="83347.596635387366"/>
    <n v="0"/>
    <n v="0"/>
  </r>
  <r>
    <s v="Regular"/>
    <x v="0"/>
    <x v="0"/>
    <x v="1"/>
    <x v="0"/>
    <x v="1"/>
    <x v="0"/>
    <x v="1"/>
    <x v="5"/>
    <n v="2870"/>
    <n v="1441.6010000000001"/>
    <n v="0"/>
    <n v="0"/>
    <n v="0"/>
    <n v="0"/>
    <n v="0"/>
    <x v="1"/>
    <n v="0"/>
    <n v="1"/>
    <n v="0"/>
    <n v="0"/>
    <n v="51.93"/>
    <n v="0"/>
    <n v="0"/>
    <n v="59.261942948611889"/>
    <n v="152.59031948759403"/>
    <m/>
    <n v="74862.339930000002"/>
    <n v="0"/>
    <n v="0"/>
    <n v="85432.076216661852"/>
    <n v="0"/>
    <n v="0"/>
  </r>
  <r>
    <s v="Regular"/>
    <x v="0"/>
    <x v="0"/>
    <x v="1"/>
    <x v="0"/>
    <x v="1"/>
    <x v="0"/>
    <x v="1"/>
    <x v="6"/>
    <n v="2805"/>
    <n v="1405.5854999999999"/>
    <n v="0"/>
    <n v="0"/>
    <n v="0"/>
    <n v="0"/>
    <n v="0"/>
    <x v="1"/>
    <n v="0"/>
    <n v="1"/>
    <n v="0"/>
    <n v="0"/>
    <n v="51.93"/>
    <n v="0"/>
    <n v="0"/>
    <n v="59.261942948611889"/>
    <n v="152.59031948759403"/>
    <m/>
    <n v="72992.055014999991"/>
    <n v="0"/>
    <n v="0"/>
    <n v="83297.72771039611"/>
    <n v="0"/>
    <n v="0"/>
  </r>
  <r>
    <s v="Regular"/>
    <x v="0"/>
    <x v="0"/>
    <x v="1"/>
    <x v="0"/>
    <x v="1"/>
    <x v="0"/>
    <x v="1"/>
    <x v="7"/>
    <n v="2865"/>
    <n v="1445.106"/>
    <n v="0"/>
    <n v="0"/>
    <n v="0"/>
    <n v="0"/>
    <n v="0"/>
    <x v="1"/>
    <n v="0"/>
    <n v="1"/>
    <n v="0"/>
    <n v="0"/>
    <n v="51.93"/>
    <n v="0"/>
    <n v="0"/>
    <n v="59.261942948611889"/>
    <n v="152.59031948759403"/>
    <m/>
    <n v="75044.354579999999"/>
    <n v="0"/>
    <n v="0"/>
    <n v="85639.789326696729"/>
    <n v="0"/>
    <n v="0"/>
  </r>
  <r>
    <s v="Regular"/>
    <x v="0"/>
    <x v="0"/>
    <x v="1"/>
    <x v="0"/>
    <x v="1"/>
    <x v="0"/>
    <x v="1"/>
    <x v="8"/>
    <n v="2966"/>
    <n v="1488.6353999999999"/>
    <n v="0"/>
    <n v="0"/>
    <n v="0"/>
    <n v="0"/>
    <n v="0"/>
    <x v="1"/>
    <n v="0"/>
    <n v="1"/>
    <n v="0"/>
    <n v="0"/>
    <n v="51.93"/>
    <n v="0"/>
    <n v="0"/>
    <n v="59.261942948611889"/>
    <n v="152.59031948759403"/>
    <m/>
    <n v="77304.836321999988"/>
    <n v="0"/>
    <n v="0"/>
    <n v="88219.426146084035"/>
    <n v="0"/>
    <n v="0"/>
  </r>
  <r>
    <s v="Regular"/>
    <x v="0"/>
    <x v="0"/>
    <x v="1"/>
    <x v="0"/>
    <x v="1"/>
    <x v="0"/>
    <x v="1"/>
    <x v="9"/>
    <n v="2900"/>
    <n v="1452.61"/>
    <n v="0"/>
    <n v="0"/>
    <n v="0"/>
    <n v="0"/>
    <n v="0"/>
    <x v="1"/>
    <n v="0"/>
    <n v="1"/>
    <n v="0"/>
    <n v="0"/>
    <n v="51.93"/>
    <n v="0"/>
    <n v="0"/>
    <n v="59.261942948611889"/>
    <n v="152.59031948759403"/>
    <m/>
    <n v="75434.037299999996"/>
    <n v="0"/>
    <n v="0"/>
    <n v="86084.490946583115"/>
    <n v="0"/>
    <n v="0"/>
  </r>
  <r>
    <s v="Regular"/>
    <x v="0"/>
    <x v="0"/>
    <x v="1"/>
    <x v="0"/>
    <x v="1"/>
    <x v="0"/>
    <x v="1"/>
    <x v="10"/>
    <n v="2900"/>
    <n v="1461.6"/>
    <n v="0"/>
    <n v="0"/>
    <n v="0"/>
    <n v="0"/>
    <n v="0"/>
    <x v="1"/>
    <n v="0"/>
    <n v="1"/>
    <n v="0"/>
    <n v="0"/>
    <n v="51.93"/>
    <n v="0"/>
    <n v="0"/>
    <n v="59.261942948611889"/>
    <n v="152.59031948759403"/>
    <m/>
    <n v="75900.887999999992"/>
    <n v="0"/>
    <n v="0"/>
    <n v="86617.255813691125"/>
    <n v="0"/>
    <n v="0"/>
  </r>
  <r>
    <s v="PROJETADO"/>
    <x v="0"/>
    <x v="0"/>
    <x v="1"/>
    <x v="0"/>
    <x v="1"/>
    <x v="0"/>
    <x v="1"/>
    <x v="11"/>
    <n v="2900"/>
    <n v="1461.6"/>
    <n v="0"/>
    <n v="0"/>
    <n v="0"/>
    <n v="0"/>
    <n v="0"/>
    <x v="1"/>
    <n v="0"/>
    <n v="1"/>
    <n v="0"/>
    <n v="0"/>
    <n v="51.93"/>
    <n v="0"/>
    <n v="0"/>
    <n v="59.261942948611889"/>
    <n v="152.59031948759403"/>
    <m/>
    <n v="75900.887999999992"/>
    <n v="0"/>
    <n v="0"/>
    <n v="86617.255813691125"/>
    <n v="0"/>
    <n v="0"/>
  </r>
  <r>
    <s v="Regular"/>
    <x v="0"/>
    <x v="0"/>
    <x v="2"/>
    <x v="0"/>
    <x v="0"/>
    <x v="0"/>
    <x v="0"/>
    <x v="0"/>
    <n v="219"/>
    <n v="219"/>
    <n v="56.886000000000003"/>
    <n v="56.886000000000003"/>
    <n v="56.886000000000003"/>
    <n v="56.886000000000003"/>
    <n v="0"/>
    <x v="0"/>
    <n v="0"/>
    <n v="2"/>
    <n v="3"/>
    <n v="49"/>
    <n v="16.64"/>
    <n v="76.75"/>
    <n v="307.08"/>
    <n v="18.929390865785848"/>
    <n v="152.59031948759403"/>
    <n v="313.20976164142951"/>
    <n v="3644.1600000000003"/>
    <n v="4366.0005000000001"/>
    <n v="17468.552879999999"/>
    <n v="4145.5365996071005"/>
    <n v="8680.2529143712745"/>
    <n v="17817.250500734361"/>
  </r>
  <r>
    <s v="Sistema de Compensação"/>
    <x v="0"/>
    <x v="0"/>
    <x v="2"/>
    <x v="0"/>
    <x v="0"/>
    <x v="0"/>
    <x v="0"/>
    <x v="0"/>
    <n v="79"/>
    <n v="79"/>
    <n v="7.5"/>
    <n v="7.5"/>
    <n v="7.5"/>
    <n v="7.5"/>
    <n v="0"/>
    <x v="0"/>
    <n v="0"/>
    <n v="2"/>
    <n v="3"/>
    <n v="49"/>
    <n v="16.64"/>
    <n v="76.75"/>
    <n v="307.08"/>
    <n v="18.929390865785848"/>
    <n v="152.59031948759403"/>
    <n v="313.20976164142951"/>
    <n v="1314.56"/>
    <n v="575.625"/>
    <n v="2303.1"/>
    <n v="1495.4218783970821"/>
    <n v="1144.4273961569552"/>
    <n v="2349.0732123107214"/>
  </r>
  <r>
    <s v="Regular"/>
    <x v="0"/>
    <x v="0"/>
    <x v="2"/>
    <x v="0"/>
    <x v="0"/>
    <x v="0"/>
    <x v="0"/>
    <x v="1"/>
    <n v="225"/>
    <n v="225"/>
    <n v="61.927"/>
    <n v="61.927"/>
    <n v="61.927"/>
    <n v="61.927"/>
    <n v="0"/>
    <x v="0"/>
    <n v="0"/>
    <n v="2"/>
    <n v="3"/>
    <n v="49"/>
    <n v="16.64"/>
    <n v="76.75"/>
    <n v="307.08"/>
    <n v="18.929390865785848"/>
    <n v="152.59031948759403"/>
    <n v="313.20976164142951"/>
    <n v="3744"/>
    <n v="4752.89725"/>
    <n v="19016.543159999997"/>
    <n v="4259.1129448018155"/>
    <n v="9449.4607149082349"/>
    <n v="19396.140909168804"/>
  </r>
  <r>
    <s v="Sistema de Compensação"/>
    <x v="0"/>
    <x v="0"/>
    <x v="2"/>
    <x v="0"/>
    <x v="0"/>
    <x v="0"/>
    <x v="0"/>
    <x v="1"/>
    <n v="138"/>
    <n v="138"/>
    <n v="17.484999999999999"/>
    <n v="17.484999999999999"/>
    <n v="17.484999999999999"/>
    <n v="17.484999999999999"/>
    <n v="0"/>
    <x v="0"/>
    <n v="0"/>
    <n v="2"/>
    <n v="3"/>
    <n v="49"/>
    <n v="16.64"/>
    <n v="76.75"/>
    <n v="307.08"/>
    <n v="18.929390865785848"/>
    <n v="152.59031948759403"/>
    <n v="313.20976164142951"/>
    <n v="2296.3200000000002"/>
    <n v="1341.9737499999999"/>
    <n v="5369.2937999999995"/>
    <n v="2612.2559394784471"/>
    <n v="2668.0417362405815"/>
    <n v="5476.4726823003948"/>
  </r>
  <r>
    <s v="Regular"/>
    <x v="0"/>
    <x v="0"/>
    <x v="2"/>
    <x v="0"/>
    <x v="0"/>
    <x v="0"/>
    <x v="0"/>
    <x v="2"/>
    <n v="208"/>
    <n v="208"/>
    <n v="56.749000000000002"/>
    <n v="56.749000000000002"/>
    <n v="56.749000000000002"/>
    <n v="56.749000000000002"/>
    <n v="0"/>
    <x v="0"/>
    <n v="0"/>
    <n v="2"/>
    <n v="3"/>
    <n v="49"/>
    <n v="16.64"/>
    <n v="76.75"/>
    <n v="307.08"/>
    <n v="18.929390865785848"/>
    <n v="152.59031948759403"/>
    <n v="313.20976164142951"/>
    <n v="3461.12"/>
    <n v="4355.4857499999998"/>
    <n v="17426.482919999999"/>
    <n v="3937.3133000834564"/>
    <n v="8659.3480406014733"/>
    <n v="17774.340763389482"/>
  </r>
  <r>
    <s v="Sistema de Compensação"/>
    <x v="0"/>
    <x v="0"/>
    <x v="2"/>
    <x v="0"/>
    <x v="0"/>
    <x v="0"/>
    <x v="0"/>
    <x v="2"/>
    <n v="157"/>
    <n v="157"/>
    <n v="16.108000000000001"/>
    <n v="16.108000000000001"/>
    <n v="16.108000000000001"/>
    <n v="16.108000000000001"/>
    <n v="0"/>
    <x v="0"/>
    <n v="0"/>
    <n v="2"/>
    <n v="3"/>
    <n v="49"/>
    <n v="16.64"/>
    <n v="76.75"/>
    <n v="307.08"/>
    <n v="18.929390865785848"/>
    <n v="152.59031948759403"/>
    <n v="313.20976164142951"/>
    <n v="2612.48"/>
    <n v="1236.289"/>
    <n v="4946.4446399999997"/>
    <n v="2971.9143659283782"/>
    <n v="2457.9248663061649"/>
    <n v="5045.1828405201468"/>
  </r>
  <r>
    <s v="Regular"/>
    <x v="0"/>
    <x v="0"/>
    <x v="2"/>
    <x v="0"/>
    <x v="0"/>
    <x v="0"/>
    <x v="0"/>
    <x v="3"/>
    <n v="211"/>
    <n v="211"/>
    <n v="61.174999999999997"/>
    <n v="61.174999999999997"/>
    <n v="61.174999999999997"/>
    <n v="61.174999999999997"/>
    <n v="0"/>
    <x v="0"/>
    <n v="0"/>
    <n v="2"/>
    <n v="3"/>
    <n v="49"/>
    <n v="16.64"/>
    <n v="76.75"/>
    <n v="307.08"/>
    <n v="18.929390865785848"/>
    <n v="152.59031948759403"/>
    <n v="313.20976164142951"/>
    <n v="3511.04"/>
    <n v="4695.1812499999996"/>
    <n v="18785.618999999999"/>
    <n v="3994.1014726808139"/>
    <n v="9334.7127946535638"/>
    <n v="19160.607168414448"/>
  </r>
  <r>
    <s v="Sistema de Compensação"/>
    <x v="0"/>
    <x v="0"/>
    <x v="2"/>
    <x v="0"/>
    <x v="0"/>
    <x v="0"/>
    <x v="0"/>
    <x v="3"/>
    <n v="165"/>
    <n v="165"/>
    <n v="14.747"/>
    <n v="14.747"/>
    <n v="14.747"/>
    <n v="14.747"/>
    <n v="0"/>
    <x v="0"/>
    <n v="0"/>
    <n v="2"/>
    <n v="3"/>
    <n v="49"/>
    <n v="16.64"/>
    <n v="76.75"/>
    <n v="307.08"/>
    <n v="18.929390865785848"/>
    <n v="152.59031948759403"/>
    <n v="313.20976164142951"/>
    <n v="2745.6"/>
    <n v="1131.8322499999999"/>
    <n v="4528.5087599999997"/>
    <n v="3123.3494928546647"/>
    <n v="2250.2494414835492"/>
    <n v="4618.9043549261605"/>
  </r>
  <r>
    <s v="Regular"/>
    <x v="0"/>
    <x v="0"/>
    <x v="2"/>
    <x v="0"/>
    <x v="0"/>
    <x v="0"/>
    <x v="0"/>
    <x v="4"/>
    <n v="212"/>
    <n v="212"/>
    <n v="59.747999999999998"/>
    <n v="59.747999999999998"/>
    <n v="59.747999999999998"/>
    <n v="59.747999999999998"/>
    <n v="0"/>
    <x v="0"/>
    <n v="0"/>
    <n v="2"/>
    <n v="3"/>
    <n v="49"/>
    <n v="16.64"/>
    <n v="76.75"/>
    <n v="307.08"/>
    <n v="18.929390865785848"/>
    <n v="152.59031948759403"/>
    <n v="313.20976164142951"/>
    <n v="3527.6800000000003"/>
    <n v="4585.6589999999997"/>
    <n v="18347.415839999998"/>
    <n v="4013.0308635465999"/>
    <n v="9116.9664087447673"/>
    <n v="18713.656838552128"/>
  </r>
  <r>
    <s v="Sistema de Compensação"/>
    <x v="0"/>
    <x v="0"/>
    <x v="2"/>
    <x v="0"/>
    <x v="0"/>
    <x v="0"/>
    <x v="0"/>
    <x v="4"/>
    <n v="56"/>
    <n v="56"/>
    <n v="2.44"/>
    <n v="2.44"/>
    <n v="2.44"/>
    <n v="2.44"/>
    <n v="0"/>
    <x v="0"/>
    <n v="0"/>
    <n v="2"/>
    <n v="3"/>
    <n v="49"/>
    <n v="16.64"/>
    <n v="76.75"/>
    <n v="307.08"/>
    <n v="18.929390865785848"/>
    <n v="152.59031948759403"/>
    <n v="313.20976164142951"/>
    <n v="931.84"/>
    <n v="187.26999999999998"/>
    <n v="749.27519999999993"/>
    <n v="1060.0458884840075"/>
    <n v="372.32037954972941"/>
    <n v="764.23181840508801"/>
  </r>
  <r>
    <s v="Regular"/>
    <x v="0"/>
    <x v="0"/>
    <x v="2"/>
    <x v="0"/>
    <x v="0"/>
    <x v="0"/>
    <x v="0"/>
    <x v="5"/>
    <n v="224"/>
    <n v="224"/>
    <n v="62.795000000000002"/>
    <n v="62.795000000000002"/>
    <n v="62.795000000000002"/>
    <n v="62.795000000000002"/>
    <n v="0"/>
    <x v="0"/>
    <n v="0"/>
    <n v="2"/>
    <n v="3"/>
    <n v="49"/>
    <n v="16.64"/>
    <n v="76.75"/>
    <n v="307.08"/>
    <n v="18.929390865785848"/>
    <n v="152.59031948759403"/>
    <n v="313.20976164142951"/>
    <n v="3727.36"/>
    <n v="4819.5162500000006"/>
    <n v="19283.088599999999"/>
    <n v="4240.18355393603"/>
    <n v="9581.9091122234677"/>
    <n v="19668.006982273568"/>
  </r>
  <r>
    <s v="Sistema de Compensação"/>
    <x v="0"/>
    <x v="0"/>
    <x v="2"/>
    <x v="0"/>
    <x v="0"/>
    <x v="0"/>
    <x v="0"/>
    <x v="5"/>
    <n v="144"/>
    <n v="144"/>
    <n v="19.504000000000001"/>
    <n v="19.504000000000001"/>
    <n v="19.504000000000001"/>
    <n v="19.504000000000001"/>
    <n v="0"/>
    <x v="0"/>
    <n v="0"/>
    <n v="2"/>
    <n v="3"/>
    <n v="49"/>
    <n v="16.64"/>
    <n v="76.75"/>
    <n v="307.08"/>
    <n v="18.929390865785848"/>
    <n v="152.59031948759403"/>
    <n v="313.20976164142951"/>
    <n v="2396.16"/>
    <n v="1496.932"/>
    <n v="5989.2883199999997"/>
    <n v="2725.8322846731621"/>
    <n v="2976.1215912860343"/>
    <n v="6108.8431910544414"/>
  </r>
  <r>
    <s v="Regular"/>
    <x v="0"/>
    <x v="0"/>
    <x v="2"/>
    <x v="0"/>
    <x v="0"/>
    <x v="0"/>
    <x v="0"/>
    <x v="6"/>
    <n v="222"/>
    <n v="222"/>
    <n v="74.301000000000002"/>
    <n v="74.301000000000002"/>
    <n v="74.301000000000002"/>
    <n v="74.301000000000002"/>
    <n v="0"/>
    <x v="0"/>
    <n v="0"/>
    <n v="2"/>
    <n v="3"/>
    <n v="49"/>
    <n v="16.64"/>
    <n v="76.75"/>
    <n v="307.08"/>
    <n v="18.929390865785848"/>
    <n v="152.59031948759403"/>
    <n v="313.20976164142951"/>
    <n v="3694.08"/>
    <n v="5702.6017499999998"/>
    <n v="22816.35108"/>
    <n v="4202.324772204458"/>
    <n v="11337.613328247724"/>
    <n v="23271.798499719855"/>
  </r>
  <r>
    <s v="Sistema de Compensação"/>
    <x v="0"/>
    <x v="0"/>
    <x v="2"/>
    <x v="0"/>
    <x v="0"/>
    <x v="0"/>
    <x v="0"/>
    <x v="6"/>
    <n v="181"/>
    <n v="181"/>
    <n v="27.297000000000001"/>
    <n v="27.297000000000001"/>
    <n v="27.297000000000001"/>
    <n v="27.297000000000001"/>
    <n v="0"/>
    <x v="0"/>
    <n v="0"/>
    <n v="2"/>
    <n v="3"/>
    <n v="49"/>
    <n v="16.64"/>
    <n v="76.75"/>
    <n v="307.08"/>
    <n v="18.929390865785848"/>
    <n v="152.59031948759403"/>
    <n v="313.20976164142951"/>
    <n v="3011.84"/>
    <n v="2095.04475"/>
    <n v="8382.36276"/>
    <n v="3426.2197467072383"/>
    <n v="4165.257951052854"/>
    <n v="8549.6868635261017"/>
  </r>
  <r>
    <s v="Regular"/>
    <x v="0"/>
    <x v="0"/>
    <x v="2"/>
    <x v="0"/>
    <x v="0"/>
    <x v="0"/>
    <x v="0"/>
    <x v="7"/>
    <n v="227"/>
    <n v="227"/>
    <n v="68.061000000000007"/>
    <n v="68.061000000000007"/>
    <n v="68.061000000000007"/>
    <n v="68.061000000000007"/>
    <n v="0"/>
    <x v="0"/>
    <n v="0"/>
    <n v="2"/>
    <n v="3"/>
    <n v="49"/>
    <n v="16.64"/>
    <n v="76.75"/>
    <n v="307.08"/>
    <n v="18.929390865785848"/>
    <n v="152.59031948759403"/>
    <n v="313.20976164142951"/>
    <n v="3777.28"/>
    <n v="5223.6817500000006"/>
    <n v="20900.171880000002"/>
    <n v="4296.9717265333875"/>
    <n v="10385.449734645139"/>
    <n v="21317.369587077337"/>
  </r>
  <r>
    <s v="Sistema de Compensação"/>
    <x v="0"/>
    <x v="0"/>
    <x v="2"/>
    <x v="0"/>
    <x v="0"/>
    <x v="0"/>
    <x v="0"/>
    <x v="7"/>
    <n v="189"/>
    <n v="189"/>
    <n v="25.547000000000001"/>
    <n v="25.547000000000001"/>
    <n v="25.547000000000001"/>
    <n v="25.547000000000001"/>
    <n v="0"/>
    <x v="0"/>
    <n v="0"/>
    <n v="2"/>
    <n v="3"/>
    <n v="49"/>
    <n v="16.64"/>
    <n v="76.75"/>
    <n v="307.08"/>
    <n v="18.929390865785848"/>
    <n v="152.59031948759403"/>
    <n v="313.20976164142951"/>
    <n v="3144.96"/>
    <n v="1960.73225"/>
    <n v="7844.9727599999997"/>
    <n v="3577.6548736335253"/>
    <n v="3898.2248919495646"/>
    <n v="8001.5697806536"/>
  </r>
  <r>
    <s v="Regular"/>
    <x v="0"/>
    <x v="0"/>
    <x v="2"/>
    <x v="0"/>
    <x v="0"/>
    <x v="0"/>
    <x v="0"/>
    <x v="8"/>
    <n v="213"/>
    <n v="213"/>
    <n v="50.048999999999999"/>
    <n v="50.048999999999999"/>
    <n v="50.048999999999999"/>
    <n v="50.048999999999999"/>
    <n v="0"/>
    <x v="0"/>
    <n v="0"/>
    <n v="2"/>
    <n v="3"/>
    <n v="49"/>
    <n v="16.64"/>
    <n v="76.75"/>
    <n v="307.08"/>
    <n v="18.929390865785848"/>
    <n v="152.59031948759403"/>
    <n v="313.20976164142951"/>
    <n v="3544.32"/>
    <n v="3841.2607499999999"/>
    <n v="15369.046919999999"/>
    <n v="4031.9602544123854"/>
    <n v="7636.9929000345937"/>
    <n v="15675.835360391906"/>
  </r>
  <r>
    <s v="Sistema de Compensação"/>
    <x v="0"/>
    <x v="0"/>
    <x v="2"/>
    <x v="0"/>
    <x v="0"/>
    <x v="0"/>
    <x v="0"/>
    <x v="8"/>
    <n v="184"/>
    <n v="184"/>
    <n v="20.768000000000001"/>
    <n v="20.768000000000001"/>
    <n v="20.768000000000001"/>
    <n v="20.768000000000001"/>
    <n v="0"/>
    <x v="0"/>
    <n v="0"/>
    <n v="2"/>
    <n v="3"/>
    <n v="49"/>
    <n v="16.64"/>
    <n v="76.75"/>
    <n v="307.08"/>
    <n v="18.929390865785848"/>
    <n v="152.59031948759403"/>
    <n v="313.20976164142951"/>
    <n v="3061.76"/>
    <n v="1593.944"/>
    <n v="6377.4374399999997"/>
    <n v="3483.0079193045958"/>
    <n v="3168.9957551183529"/>
    <n v="6504.7403297692081"/>
  </r>
  <r>
    <s v="Regular"/>
    <x v="0"/>
    <x v="0"/>
    <x v="2"/>
    <x v="0"/>
    <x v="0"/>
    <x v="0"/>
    <x v="0"/>
    <x v="9"/>
    <n v="180"/>
    <n v="180"/>
    <n v="37.116999999999997"/>
    <n v="37.116999999999997"/>
    <n v="37.116999999999997"/>
    <n v="37.116999999999997"/>
    <n v="0"/>
    <x v="0"/>
    <n v="0"/>
    <n v="2"/>
    <n v="3"/>
    <n v="49"/>
    <n v="16.64"/>
    <n v="76.75"/>
    <n v="307.08"/>
    <n v="18.929390865785848"/>
    <n v="152.59031948759403"/>
    <n v="313.20976164142951"/>
    <n v="2995.2000000000003"/>
    <n v="2848.72975"/>
    <n v="11397.888359999999"/>
    <n v="3407.2903558414528"/>
    <n v="5663.6948884210269"/>
    <n v="11625.406722844938"/>
  </r>
  <r>
    <s v="Sistema de Compensação"/>
    <x v="0"/>
    <x v="0"/>
    <x v="2"/>
    <x v="0"/>
    <x v="0"/>
    <x v="0"/>
    <x v="0"/>
    <x v="9"/>
    <n v="160"/>
    <n v="160"/>
    <n v="12.603"/>
    <n v="12.603"/>
    <n v="12.603"/>
    <n v="12.603"/>
    <n v="0"/>
    <x v="0"/>
    <n v="0"/>
    <n v="2"/>
    <n v="3"/>
    <n v="49"/>
    <n v="16.64"/>
    <n v="76.75"/>
    <n v="307.08"/>
    <n v="18.929390865785848"/>
    <n v="152.59031948759403"/>
    <n v="313.20976164142951"/>
    <n v="2662.4"/>
    <n v="967.28025000000002"/>
    <n v="3870.1292399999998"/>
    <n v="3028.7025385257357"/>
    <n v="1923.0957965021476"/>
    <n v="3947.3826259669358"/>
  </r>
  <r>
    <s v="Regular"/>
    <x v="0"/>
    <x v="0"/>
    <x v="2"/>
    <x v="0"/>
    <x v="0"/>
    <x v="0"/>
    <x v="0"/>
    <x v="10"/>
    <n v="181"/>
    <n v="181"/>
    <n v="40.564"/>
    <n v="40.564"/>
    <n v="40.564"/>
    <n v="40.564"/>
    <n v="0"/>
    <x v="0"/>
    <n v="0"/>
    <n v="2"/>
    <n v="3"/>
    <n v="49"/>
    <n v="16.64"/>
    <n v="76.75"/>
    <n v="307.08"/>
    <n v="18.929390865785848"/>
    <n v="152.59031948759403"/>
    <n v="313.20976164142951"/>
    <n v="3011.84"/>
    <n v="3113.2869999999998"/>
    <n v="12456.393119999999"/>
    <n v="3426.2197467072383"/>
    <n v="6189.6737196947643"/>
    <n v="12705.040771222946"/>
  </r>
  <r>
    <s v="Sistema de Compensação"/>
    <x v="0"/>
    <x v="0"/>
    <x v="2"/>
    <x v="0"/>
    <x v="0"/>
    <x v="0"/>
    <x v="0"/>
    <x v="10"/>
    <n v="160"/>
    <n v="160"/>
    <n v="7.3109999999999999"/>
    <n v="7.3109999999999999"/>
    <n v="7.3109999999999999"/>
    <n v="7.3109999999999999"/>
    <n v="0"/>
    <x v="0"/>
    <n v="0"/>
    <n v="2"/>
    <n v="3"/>
    <n v="49"/>
    <n v="16.64"/>
    <n v="76.75"/>
    <n v="307.08"/>
    <n v="18.929390865785848"/>
    <n v="152.59031948759403"/>
    <n v="313.20976164142951"/>
    <n v="2662.4"/>
    <n v="561.11924999999997"/>
    <n v="2245.0618799999997"/>
    <n v="3028.7025385257357"/>
    <n v="1115.5878257738"/>
    <n v="2289.8765673604912"/>
  </r>
  <r>
    <s v="PROJETADO"/>
    <x v="0"/>
    <x v="0"/>
    <x v="2"/>
    <x v="0"/>
    <x v="0"/>
    <x v="0"/>
    <x v="0"/>
    <x v="11"/>
    <n v="181"/>
    <n v="181"/>
    <n v="40.564"/>
    <n v="40.564"/>
    <n v="40.564"/>
    <n v="40.564"/>
    <n v="0"/>
    <x v="0"/>
    <n v="0"/>
    <n v="2"/>
    <n v="3"/>
    <n v="49"/>
    <n v="16.64"/>
    <n v="76.75"/>
    <n v="307.08"/>
    <n v="18.929390865785848"/>
    <n v="152.59031948759403"/>
    <n v="313.20976164142951"/>
    <n v="3011.84"/>
    <n v="3113.2869999999998"/>
    <n v="12456.393119999999"/>
    <n v="3426.2197467072383"/>
    <n v="6189.6737196947643"/>
    <n v="12705.040771222946"/>
  </r>
  <r>
    <s v="PROJETADO"/>
    <x v="0"/>
    <x v="0"/>
    <x v="2"/>
    <x v="0"/>
    <x v="0"/>
    <x v="0"/>
    <x v="0"/>
    <x v="11"/>
    <n v="160"/>
    <n v="160"/>
    <n v="7.3109999999999999"/>
    <n v="7.3109999999999999"/>
    <n v="7.3109999999999999"/>
    <n v="7.3109999999999999"/>
    <n v="0"/>
    <x v="0"/>
    <n v="0"/>
    <n v="2"/>
    <n v="3"/>
    <n v="49"/>
    <n v="16.64"/>
    <n v="76.75"/>
    <n v="307.08"/>
    <n v="18.929390865785848"/>
    <n v="152.59031948759403"/>
    <n v="313.20976164142951"/>
    <n v="2662.4"/>
    <n v="561.11924999999997"/>
    <n v="2245.0618799999997"/>
    <n v="3028.7025385257357"/>
    <n v="1115.5878257738"/>
    <n v="2289.8765673604912"/>
  </r>
  <r>
    <s v="Regular"/>
    <x v="0"/>
    <x v="0"/>
    <x v="2"/>
    <x v="0"/>
    <x v="0"/>
    <x v="0"/>
    <x v="1"/>
    <x v="0"/>
    <n v="216"/>
    <n v="216"/>
    <n v="6.6310000000000002"/>
    <n v="6.6310000000000002"/>
    <n v="6.6310000000000002"/>
    <n v="6.6310000000000002"/>
    <n v="0"/>
    <x v="0"/>
    <n v="0"/>
    <n v="1"/>
    <n v="3"/>
    <n v="48"/>
    <n v="51.93"/>
    <n v="76.75"/>
    <n v="492.64"/>
    <n v="59.261942948611889"/>
    <n v="152.59031948759403"/>
    <n v="499.13928219176387"/>
    <n v="11216.88"/>
    <n v="508.92925000000002"/>
    <n v="3266.6958399999999"/>
    <n v="12800.579676900168"/>
    <n v="1011.8264085222361"/>
    <n v="3309.7925802135865"/>
  </r>
  <r>
    <s v="Sistema de Compensação"/>
    <x v="0"/>
    <x v="0"/>
    <x v="2"/>
    <x v="0"/>
    <x v="0"/>
    <x v="0"/>
    <x v="1"/>
    <x v="0"/>
    <n v="81"/>
    <n v="81"/>
    <n v="2.5110000000000001"/>
    <n v="2.5110000000000001"/>
    <n v="2.5110000000000001"/>
    <n v="2.5110000000000001"/>
    <n v="0"/>
    <x v="0"/>
    <n v="0"/>
    <n v="1"/>
    <n v="3"/>
    <n v="48"/>
    <n v="51.93"/>
    <n v="76.75"/>
    <n v="492.64"/>
    <n v="59.261942948611889"/>
    <n v="152.59031948759403"/>
    <n v="499.13928219176387"/>
    <n v="4206.33"/>
    <n v="192.71925000000002"/>
    <n v="1237.0190400000001"/>
    <n v="4800.217378837563"/>
    <n v="383.15429223334866"/>
    <n v="1253.3387375835191"/>
  </r>
  <r>
    <s v="Regular"/>
    <x v="0"/>
    <x v="0"/>
    <x v="2"/>
    <x v="0"/>
    <x v="0"/>
    <x v="0"/>
    <x v="1"/>
    <x v="1"/>
    <n v="207"/>
    <n v="207"/>
    <n v="6.633"/>
    <n v="6.633"/>
    <n v="6.633"/>
    <n v="6.633"/>
    <n v="0"/>
    <x v="0"/>
    <n v="0"/>
    <n v="1"/>
    <n v="3"/>
    <n v="48"/>
    <n v="51.93"/>
    <n v="76.75"/>
    <n v="492.64"/>
    <n v="59.261942948611889"/>
    <n v="152.59031948759403"/>
    <n v="499.13928219176387"/>
    <n v="10749.51"/>
    <n v="509.08274999999998"/>
    <n v="3267.6811199999997"/>
    <n v="12267.222190362661"/>
    <n v="1012.1315891612112"/>
    <n v="3310.7908587779698"/>
  </r>
  <r>
    <s v="Sistema de Compensação"/>
    <x v="0"/>
    <x v="0"/>
    <x v="2"/>
    <x v="0"/>
    <x v="0"/>
    <x v="0"/>
    <x v="1"/>
    <x v="1"/>
    <n v="110"/>
    <n v="110"/>
    <n v="3.2629999999999999"/>
    <n v="3.2629999999999999"/>
    <n v="3.2629999999999999"/>
    <n v="3.2629999999999999"/>
    <n v="0"/>
    <x v="0"/>
    <n v="0"/>
    <n v="1"/>
    <n v="3"/>
    <n v="48"/>
    <n v="51.93"/>
    <n v="76.75"/>
    <n v="492.64"/>
    <n v="59.261942948611889"/>
    <n v="152.59031948759403"/>
    <n v="499.13928219176387"/>
    <n v="5712.3"/>
    <n v="250.43525"/>
    <n v="1607.4843199999998"/>
    <n v="6518.8137243473075"/>
    <n v="497.9022124880193"/>
    <n v="1628.6914777917254"/>
  </r>
  <r>
    <s v="Regular"/>
    <x v="0"/>
    <x v="0"/>
    <x v="2"/>
    <x v="0"/>
    <x v="0"/>
    <x v="0"/>
    <x v="1"/>
    <x v="2"/>
    <n v="188"/>
    <n v="188"/>
    <n v="5.9749999999999996"/>
    <n v="5.9749999999999996"/>
    <n v="5.9749999999999996"/>
    <n v="5.9749999999999996"/>
    <n v="0"/>
    <x v="0"/>
    <n v="0"/>
    <n v="1"/>
    <n v="3"/>
    <n v="48"/>
    <n v="51.93"/>
    <n v="76.75"/>
    <n v="492.64"/>
    <n v="59.261942948611889"/>
    <n v="152.59031948759403"/>
    <n v="499.13928219176387"/>
    <n v="9762.84"/>
    <n v="458.58124999999995"/>
    <n v="2943.5239999999999"/>
    <n v="11141.245274339035"/>
    <n v="911.72715893837426"/>
    <n v="2982.3572110957889"/>
  </r>
  <r>
    <s v="Sistema de Compensação"/>
    <x v="0"/>
    <x v="0"/>
    <x v="2"/>
    <x v="0"/>
    <x v="0"/>
    <x v="0"/>
    <x v="1"/>
    <x v="2"/>
    <n v="103"/>
    <n v="103"/>
    <n v="3.3439999999999999"/>
    <n v="3.3439999999999999"/>
    <n v="3.3439999999999999"/>
    <n v="3.3439999999999999"/>
    <n v="0"/>
    <x v="0"/>
    <n v="0"/>
    <n v="1"/>
    <n v="3"/>
    <n v="48"/>
    <n v="51.93"/>
    <n v="76.75"/>
    <n v="492.64"/>
    <n v="59.261942948611889"/>
    <n v="152.59031948759403"/>
    <n v="499.13928219176387"/>
    <n v="5348.79"/>
    <n v="256.65199999999999"/>
    <n v="1647.38816"/>
    <n v="6103.9801237070242"/>
    <n v="510.26202836651441"/>
    <n v="1669.1217596492584"/>
  </r>
  <r>
    <s v="Regular"/>
    <x v="0"/>
    <x v="0"/>
    <x v="2"/>
    <x v="0"/>
    <x v="0"/>
    <x v="0"/>
    <x v="1"/>
    <x v="3"/>
    <n v="192"/>
    <n v="192"/>
    <n v="7.1040000000000001"/>
    <n v="7.1040000000000001"/>
    <n v="7.1040000000000001"/>
    <n v="7.1040000000000001"/>
    <n v="0"/>
    <x v="0"/>
    <n v="0"/>
    <n v="1"/>
    <n v="3"/>
    <n v="48"/>
    <n v="51.93"/>
    <n v="76.75"/>
    <n v="492.64"/>
    <n v="59.261942948611889"/>
    <n v="152.59031948759403"/>
    <n v="499.13928219176387"/>
    <n v="9970.56"/>
    <n v="545.23199999999997"/>
    <n v="3499.7145599999999"/>
    <n v="11378.293046133484"/>
    <n v="1084.001629639868"/>
    <n v="3545.8854606902905"/>
  </r>
  <r>
    <s v="Sistema de Compensação"/>
    <x v="0"/>
    <x v="0"/>
    <x v="2"/>
    <x v="0"/>
    <x v="0"/>
    <x v="0"/>
    <x v="1"/>
    <x v="3"/>
    <n v="112"/>
    <n v="112"/>
    <n v="3.496"/>
    <n v="3.496"/>
    <n v="3.496"/>
    <n v="3.496"/>
    <n v="0"/>
    <x v="0"/>
    <n v="0"/>
    <n v="1"/>
    <n v="3"/>
    <n v="48"/>
    <n v="51.93"/>
    <n v="76.75"/>
    <n v="492.64"/>
    <n v="59.261942948611889"/>
    <n v="152.59031948759403"/>
    <n v="499.13928219176387"/>
    <n v="5816.16"/>
    <n v="268.31799999999998"/>
    <n v="1722.26944"/>
    <n v="6637.3376102445318"/>
    <n v="533.45575692862872"/>
    <n v="1744.9909305424064"/>
  </r>
  <r>
    <s v="Regular"/>
    <x v="0"/>
    <x v="0"/>
    <x v="2"/>
    <x v="0"/>
    <x v="0"/>
    <x v="0"/>
    <x v="1"/>
    <x v="4"/>
    <n v="196"/>
    <n v="196"/>
    <n v="6.194"/>
    <n v="6.194"/>
    <n v="6.194"/>
    <n v="6.194"/>
    <n v="0"/>
    <x v="0"/>
    <n v="0"/>
    <n v="1"/>
    <n v="3"/>
    <n v="48"/>
    <n v="51.93"/>
    <n v="76.75"/>
    <n v="492.64"/>
    <n v="59.261942948611889"/>
    <n v="152.59031948759403"/>
    <n v="499.13928219176387"/>
    <n v="10178.280000000001"/>
    <n v="475.3895"/>
    <n v="3051.4121599999999"/>
    <n v="11615.34081792793"/>
    <n v="945.14443890615746"/>
    <n v="3091.6687138957855"/>
  </r>
  <r>
    <s v="Sistema de Compensação"/>
    <x v="0"/>
    <x v="0"/>
    <x v="2"/>
    <x v="0"/>
    <x v="0"/>
    <x v="0"/>
    <x v="1"/>
    <x v="4"/>
    <n v="46"/>
    <n v="46"/>
    <n v="1.45"/>
    <n v="1.45"/>
    <n v="1.45"/>
    <n v="1.45"/>
    <n v="0"/>
    <x v="0"/>
    <n v="0"/>
    <n v="1"/>
    <n v="3"/>
    <n v="48"/>
    <n v="51.93"/>
    <n v="76.75"/>
    <n v="492.64"/>
    <n v="59.261942948611889"/>
    <n v="152.59031948759403"/>
    <n v="499.13928219176387"/>
    <n v="2388.7800000000002"/>
    <n v="111.28749999999999"/>
    <n v="714.32799999999997"/>
    <n v="2726.049375636147"/>
    <n v="221.25596325701133"/>
    <n v="723.75195917805763"/>
  </r>
  <r>
    <s v="Regular"/>
    <x v="0"/>
    <x v="0"/>
    <x v="2"/>
    <x v="0"/>
    <x v="0"/>
    <x v="0"/>
    <x v="1"/>
    <x v="5"/>
    <n v="200"/>
    <n v="200"/>
    <n v="7.3529999999999998"/>
    <n v="7.3529999999999998"/>
    <n v="7.3529999999999998"/>
    <n v="7.3529999999999998"/>
    <n v="0"/>
    <x v="0"/>
    <n v="0"/>
    <n v="1"/>
    <n v="3"/>
    <n v="48"/>
    <n v="51.93"/>
    <n v="76.75"/>
    <n v="492.64"/>
    <n v="59.261942948611889"/>
    <n v="152.59031948759403"/>
    <n v="499.13928219176387"/>
    <n v="10386"/>
    <n v="564.34275000000002"/>
    <n v="3622.3819199999998"/>
    <n v="11852.388589722377"/>
    <n v="1121.9966191922788"/>
    <n v="3670.1711419560397"/>
  </r>
  <r>
    <s v="Sistema de Compensação"/>
    <x v="0"/>
    <x v="0"/>
    <x v="2"/>
    <x v="0"/>
    <x v="0"/>
    <x v="0"/>
    <x v="1"/>
    <x v="5"/>
    <n v="98"/>
    <n v="98"/>
    <n v="3.3929999999999998"/>
    <n v="3.3929999999999998"/>
    <n v="3.3929999999999998"/>
    <n v="3.3929999999999998"/>
    <n v="0"/>
    <x v="0"/>
    <n v="0"/>
    <n v="1"/>
    <n v="3"/>
    <n v="48"/>
    <n v="51.93"/>
    <n v="76.75"/>
    <n v="492.64"/>
    <n v="59.261942948611889"/>
    <n v="152.59031948759403"/>
    <n v="499.13928219176387"/>
    <n v="5089.1400000000003"/>
    <n v="260.41274999999996"/>
    <n v="1671.5275199999999"/>
    <n v="5807.6704089639652"/>
    <n v="517.73895402140647"/>
    <n v="1693.5795844766546"/>
  </r>
  <r>
    <s v="Regular"/>
    <x v="0"/>
    <x v="0"/>
    <x v="2"/>
    <x v="0"/>
    <x v="0"/>
    <x v="0"/>
    <x v="1"/>
    <x v="6"/>
    <n v="206"/>
    <n v="206"/>
    <n v="8.798"/>
    <n v="8.798"/>
    <n v="8.798"/>
    <n v="8.798"/>
    <n v="0"/>
    <x v="0"/>
    <n v="0"/>
    <n v="1"/>
    <n v="3"/>
    <n v="48"/>
    <n v="51.93"/>
    <n v="76.75"/>
    <n v="492.64"/>
    <n v="59.261942948611889"/>
    <n v="152.59031948759403"/>
    <n v="499.13928219176387"/>
    <n v="10697.58"/>
    <n v="675.24649999999997"/>
    <n v="4334.2467200000001"/>
    <n v="12207.960247414048"/>
    <n v="1342.4896308518523"/>
    <n v="4391.4274047231384"/>
  </r>
  <r>
    <s v="Sistema de Compensação"/>
    <x v="0"/>
    <x v="0"/>
    <x v="2"/>
    <x v="0"/>
    <x v="0"/>
    <x v="0"/>
    <x v="1"/>
    <x v="6"/>
    <n v="137"/>
    <n v="137"/>
    <n v="5.3719999999999999"/>
    <n v="5.3719999999999999"/>
    <n v="5.3719999999999999"/>
    <n v="5.3719999999999999"/>
    <n v="0"/>
    <x v="0"/>
    <n v="0"/>
    <n v="1"/>
    <n v="3"/>
    <n v="48"/>
    <n v="51.93"/>
    <n v="76.75"/>
    <n v="492.64"/>
    <n v="59.261942948611889"/>
    <n v="152.59031948759403"/>
    <n v="499.13928219176387"/>
    <n v="7114.41"/>
    <n v="412.30099999999999"/>
    <n v="2646.4620799999998"/>
    <n v="8118.8861839598285"/>
    <n v="819.71519628735507"/>
    <n v="2681.3762239341554"/>
  </r>
  <r>
    <s v="Regular"/>
    <x v="0"/>
    <x v="0"/>
    <x v="2"/>
    <x v="0"/>
    <x v="0"/>
    <x v="0"/>
    <x v="1"/>
    <x v="7"/>
    <n v="207"/>
    <n v="207"/>
    <n v="8.1839999999999993"/>
    <n v="8.1839999999999993"/>
    <n v="8.1839999999999993"/>
    <n v="8.1839999999999993"/>
    <n v="0"/>
    <x v="0"/>
    <n v="0"/>
    <n v="1"/>
    <n v="3"/>
    <n v="48"/>
    <n v="51.93"/>
    <n v="76.75"/>
    <n v="492.64"/>
    <n v="59.261942948611889"/>
    <n v="152.59031948759403"/>
    <n v="499.13928219176387"/>
    <n v="10749.51"/>
    <n v="628.12199999999996"/>
    <n v="4031.7657599999993"/>
    <n v="12267.222190362661"/>
    <n v="1248.7991746864695"/>
    <n v="4084.9558854573952"/>
  </r>
  <r>
    <s v="Sistema de Compensação"/>
    <x v="0"/>
    <x v="0"/>
    <x v="2"/>
    <x v="0"/>
    <x v="0"/>
    <x v="0"/>
    <x v="1"/>
    <x v="7"/>
    <n v="130"/>
    <n v="130"/>
    <n v="4.6459999999999999"/>
    <n v="4.6459999999999999"/>
    <n v="4.6459999999999999"/>
    <n v="4.6459999999999999"/>
    <n v="0"/>
    <x v="0"/>
    <n v="0"/>
    <n v="1"/>
    <n v="3"/>
    <n v="48"/>
    <n v="51.93"/>
    <n v="76.75"/>
    <n v="492.64"/>
    <n v="59.261942948611889"/>
    <n v="152.59031948759403"/>
    <n v="499.13928219176387"/>
    <n v="6750.9"/>
    <n v="356.58049999999997"/>
    <n v="2288.8054400000001"/>
    <n v="7704.0525833195452"/>
    <n v="708.9346243393619"/>
    <n v="2319.001105062935"/>
  </r>
  <r>
    <s v="Regular"/>
    <x v="0"/>
    <x v="0"/>
    <x v="2"/>
    <x v="0"/>
    <x v="0"/>
    <x v="0"/>
    <x v="1"/>
    <x v="8"/>
    <n v="191"/>
    <n v="191"/>
    <n v="6.0069999999999997"/>
    <n v="6.0069999999999997"/>
    <n v="6.0069999999999997"/>
    <n v="6.0069999999999997"/>
    <n v="0"/>
    <x v="0"/>
    <n v="0"/>
    <n v="1"/>
    <n v="3"/>
    <n v="48"/>
    <n v="51.93"/>
    <n v="76.75"/>
    <n v="492.64"/>
    <n v="59.261942948611889"/>
    <n v="152.59031948759403"/>
    <n v="499.13928219176387"/>
    <n v="9918.6299999999992"/>
    <n v="461.03724999999997"/>
    <n v="2959.2884799999997"/>
    <n v="11319.031103184871"/>
    <n v="916.61004916197726"/>
    <n v="2998.3296681259253"/>
  </r>
  <r>
    <s v="Sistema de Compensação"/>
    <x v="0"/>
    <x v="0"/>
    <x v="2"/>
    <x v="0"/>
    <x v="0"/>
    <x v="0"/>
    <x v="1"/>
    <x v="8"/>
    <n v="110"/>
    <n v="110"/>
    <n v="3.8519999999999999"/>
    <n v="3.8519999999999999"/>
    <n v="3.8519999999999999"/>
    <n v="3.8519999999999999"/>
    <n v="0"/>
    <x v="0"/>
    <n v="0"/>
    <n v="1"/>
    <n v="3"/>
    <n v="48"/>
    <n v="51.93"/>
    <n v="76.75"/>
    <n v="492.64"/>
    <n v="59.261942948611889"/>
    <n v="152.59031948759403"/>
    <n v="499.13928219176387"/>
    <n v="5712.3"/>
    <n v="295.64099999999996"/>
    <n v="1897.6492799999999"/>
    <n v="6518.8137243473075"/>
    <n v="587.77791066621216"/>
    <n v="1922.6845150026743"/>
  </r>
  <r>
    <s v="Regular"/>
    <x v="0"/>
    <x v="0"/>
    <x v="2"/>
    <x v="0"/>
    <x v="0"/>
    <x v="0"/>
    <x v="1"/>
    <x v="9"/>
    <n v="180"/>
    <n v="180"/>
    <n v="4.9050000000000002"/>
    <n v="4.9050000000000002"/>
    <n v="4.9050000000000002"/>
    <n v="4.9050000000000002"/>
    <n v="0"/>
    <x v="0"/>
    <n v="0"/>
    <n v="1"/>
    <n v="3"/>
    <n v="48"/>
    <n v="51.93"/>
    <n v="76.75"/>
    <n v="492.64"/>
    <n v="59.261942948611889"/>
    <n v="152.59031948759403"/>
    <n v="499.13928219176387"/>
    <n v="9347.4"/>
    <n v="376.45875000000001"/>
    <n v="2416.3991999999998"/>
    <n v="10667.149730750139"/>
    <n v="748.4555170866488"/>
    <n v="2448.2781791506018"/>
  </r>
  <r>
    <s v="Sistema de Compensação"/>
    <x v="0"/>
    <x v="0"/>
    <x v="2"/>
    <x v="0"/>
    <x v="0"/>
    <x v="0"/>
    <x v="1"/>
    <x v="9"/>
    <n v="110"/>
    <n v="110"/>
    <n v="3.16"/>
    <n v="3.16"/>
    <n v="3.16"/>
    <n v="3.16"/>
    <n v="0"/>
    <x v="0"/>
    <n v="0"/>
    <n v="1"/>
    <n v="3"/>
    <n v="48"/>
    <n v="51.93"/>
    <n v="76.75"/>
    <n v="492.64"/>
    <n v="59.261942948611889"/>
    <n v="152.59031948759403"/>
    <n v="499.13928219176387"/>
    <n v="5712.3"/>
    <n v="242.53"/>
    <n v="1556.7424000000001"/>
    <n v="6518.8137243473075"/>
    <n v="482.18540958079717"/>
    <n v="1577.2801317259739"/>
  </r>
  <r>
    <s v="Regular"/>
    <x v="0"/>
    <x v="0"/>
    <x v="2"/>
    <x v="0"/>
    <x v="0"/>
    <x v="0"/>
    <x v="1"/>
    <x v="10"/>
    <n v="180"/>
    <n v="180"/>
    <n v="5.2530000000000001"/>
    <n v="5.2530000000000001"/>
    <n v="5.2530000000000001"/>
    <n v="5.2530000000000001"/>
    <n v="0"/>
    <x v="0"/>
    <n v="0"/>
    <n v="1"/>
    <n v="3"/>
    <n v="48"/>
    <n v="51.93"/>
    <n v="76.75"/>
    <n v="492.64"/>
    <n v="59.261942948611889"/>
    <n v="152.59031948759403"/>
    <n v="499.13928219176387"/>
    <n v="9347.4"/>
    <n v="403.16775000000001"/>
    <n v="2587.8379199999999"/>
    <n v="10667.149730750139"/>
    <n v="801.55694826833144"/>
    <n v="2621.9786493533356"/>
  </r>
  <r>
    <s v="Sistema de Compensação"/>
    <x v="0"/>
    <x v="0"/>
    <x v="2"/>
    <x v="0"/>
    <x v="0"/>
    <x v="0"/>
    <x v="1"/>
    <x v="10"/>
    <n v="110"/>
    <n v="110"/>
    <n v="2.242"/>
    <n v="2.242"/>
    <n v="2.242"/>
    <n v="2.242"/>
    <n v="0"/>
    <x v="0"/>
    <n v="0"/>
    <n v="1"/>
    <n v="3"/>
    <n v="48"/>
    <n v="51.93"/>
    <n v="76.75"/>
    <n v="492.64"/>
    <n v="59.261942948611889"/>
    <n v="152.59031948759403"/>
    <n v="499.13928219176387"/>
    <n v="5712.3"/>
    <n v="172.0735"/>
    <n v="1104.4988799999999"/>
    <n v="6518.8137243473075"/>
    <n v="342.10749629118584"/>
    <n v="1119.0702706739346"/>
  </r>
  <r>
    <s v="PROJETADO"/>
    <x v="0"/>
    <x v="0"/>
    <x v="2"/>
    <x v="0"/>
    <x v="0"/>
    <x v="0"/>
    <x v="1"/>
    <x v="11"/>
    <n v="180"/>
    <n v="180"/>
    <n v="5.2530000000000001"/>
    <n v="5.2530000000000001"/>
    <n v="5.2530000000000001"/>
    <n v="5.2530000000000001"/>
    <n v="0"/>
    <x v="0"/>
    <n v="0"/>
    <n v="1"/>
    <n v="3"/>
    <n v="48"/>
    <n v="51.93"/>
    <n v="76.75"/>
    <n v="492.64"/>
    <n v="59.261942948611889"/>
    <n v="152.59031948759403"/>
    <n v="499.13928219176387"/>
    <n v="9347.4"/>
    <n v="403.16775000000001"/>
    <n v="2587.8379199999999"/>
    <n v="10667.149730750139"/>
    <n v="801.55694826833144"/>
    <n v="2621.9786493533356"/>
  </r>
  <r>
    <s v="PROJETADO"/>
    <x v="0"/>
    <x v="0"/>
    <x v="2"/>
    <x v="0"/>
    <x v="0"/>
    <x v="0"/>
    <x v="1"/>
    <x v="11"/>
    <n v="110"/>
    <n v="110"/>
    <n v="2.242"/>
    <n v="2.242"/>
    <n v="2.242"/>
    <n v="2.242"/>
    <n v="0"/>
    <x v="0"/>
    <n v="0"/>
    <n v="1"/>
    <n v="3"/>
    <n v="48"/>
    <n v="51.93"/>
    <n v="76.75"/>
    <n v="492.64"/>
    <n v="59.261942948611889"/>
    <n v="152.59031948759403"/>
    <n v="499.13928219176387"/>
    <n v="5712.3"/>
    <n v="172.0735"/>
    <n v="1104.4988799999999"/>
    <n v="6518.8137243473075"/>
    <n v="342.10749629118584"/>
    <n v="1119.0702706739346"/>
  </r>
  <r>
    <s v="Regular"/>
    <x v="0"/>
    <x v="0"/>
    <x v="3"/>
    <x v="0"/>
    <x v="0"/>
    <x v="0"/>
    <x v="0"/>
    <x v="0"/>
    <n v="243"/>
    <n v="233.28"/>
    <n v="77.897999999999996"/>
    <n v="74.782079999999993"/>
    <n v="77.897999999999996"/>
    <n v="74.782079999999993"/>
    <n v="0"/>
    <x v="0"/>
    <n v="0"/>
    <n v="2"/>
    <n v="3"/>
    <n v="49"/>
    <n v="16.64"/>
    <n v="76.75"/>
    <n v="307.08"/>
    <n v="18.929390865785848"/>
    <n v="152.59031948759403"/>
    <n v="313.20976164142951"/>
    <n v="3881.7791999999999"/>
    <n v="5739.5246399999996"/>
    <n v="22964.081126399997"/>
    <n v="4415.848301170523"/>
    <n v="11411.021479146815"/>
    <n v="23422.477451850311"/>
  </r>
  <r>
    <s v="Regular"/>
    <x v="0"/>
    <x v="0"/>
    <x v="3"/>
    <x v="0"/>
    <x v="0"/>
    <x v="0"/>
    <x v="0"/>
    <x v="1"/>
    <n v="327"/>
    <n v="313.92"/>
    <n v="97.45"/>
    <n v="93.552000000000007"/>
    <n v="97.45"/>
    <n v="93.552000000000007"/>
    <n v="0"/>
    <x v="0"/>
    <n v="0"/>
    <n v="2"/>
    <n v="3"/>
    <n v="49"/>
    <n v="16.64"/>
    <n v="76.75"/>
    <n v="307.08"/>
    <n v="18.929390865785848"/>
    <n v="152.59031948759403"/>
    <n v="313.20976164142951"/>
    <n v="5223.6288000000004"/>
    <n v="7180.1160000000009"/>
    <n v="28727.94816"/>
    <n v="5942.3143805874934"/>
    <n v="14275.129568703398"/>
    <n v="29301.399621079014"/>
  </r>
  <r>
    <s v="Regular"/>
    <x v="0"/>
    <x v="0"/>
    <x v="3"/>
    <x v="0"/>
    <x v="0"/>
    <x v="0"/>
    <x v="0"/>
    <x v="2"/>
    <n v="375"/>
    <n v="360"/>
    <n v="99.433000000000007"/>
    <n v="95.455680000000001"/>
    <n v="99.433000000000007"/>
    <n v="95.455680000000001"/>
    <n v="0"/>
    <x v="0"/>
    <n v="0"/>
    <n v="2"/>
    <n v="3"/>
    <n v="49"/>
    <n v="16.64"/>
    <n v="76.75"/>
    <n v="307.08"/>
    <n v="18.929390865785848"/>
    <n v="152.59031948759403"/>
    <n v="313.20976164142951"/>
    <n v="5990.4000000000005"/>
    <n v="7326.2234399999998"/>
    <n v="29312.530214399998"/>
    <n v="6814.5807116829055"/>
    <n v="14565.61270810554"/>
    <n v="29897.65078012057"/>
  </r>
  <r>
    <s v="Regular"/>
    <x v="0"/>
    <x v="0"/>
    <x v="3"/>
    <x v="0"/>
    <x v="0"/>
    <x v="0"/>
    <x v="0"/>
    <x v="3"/>
    <n v="372"/>
    <n v="357.12"/>
    <n v="105.24"/>
    <n v="101.0304"/>
    <n v="105.24"/>
    <n v="101.0304"/>
    <n v="0"/>
    <x v="0"/>
    <n v="0"/>
    <n v="2"/>
    <n v="3"/>
    <n v="49"/>
    <n v="16.64"/>
    <n v="76.75"/>
    <n v="307.08"/>
    <n v="18.929390865785848"/>
    <n v="152.59031948759403"/>
    <n v="313.20976164142951"/>
    <n v="5942.4768000000004"/>
    <n v="7754.0832"/>
    <n v="31024.415231999999"/>
    <n v="6760.0640659894425"/>
    <n v="15416.26101395942"/>
    <n v="31643.70750253828"/>
  </r>
  <r>
    <s v="Regular"/>
    <x v="0"/>
    <x v="0"/>
    <x v="3"/>
    <x v="0"/>
    <x v="0"/>
    <x v="0"/>
    <x v="0"/>
    <x v="4"/>
    <n v="428"/>
    <n v="410.88"/>
    <n v="94.23"/>
    <n v="90.460800000000006"/>
    <n v="94.23"/>
    <n v="90.460800000000006"/>
    <n v="0"/>
    <x v="0"/>
    <n v="0"/>
    <n v="2"/>
    <n v="3"/>
    <n v="49"/>
    <n v="16.64"/>
    <n v="76.75"/>
    <n v="307.08"/>
    <n v="18.929390865785848"/>
    <n v="152.59031948759403"/>
    <n v="313.20976164142951"/>
    <n v="6837.0432000000001"/>
    <n v="6942.8664000000008"/>
    <n v="27778.702464000002"/>
    <n v="7777.7081189340888"/>
    <n v="13803.442373103348"/>
    <n v="28333.205605893028"/>
  </r>
  <r>
    <s v="Regular"/>
    <x v="0"/>
    <x v="0"/>
    <x v="3"/>
    <x v="0"/>
    <x v="0"/>
    <x v="0"/>
    <x v="0"/>
    <x v="5"/>
    <n v="476"/>
    <n v="456.96"/>
    <n v="110.241"/>
    <n v="105.83136"/>
    <n v="110.241"/>
    <n v="105.83136"/>
    <n v="0"/>
    <x v="0"/>
    <n v="0"/>
    <n v="2"/>
    <n v="3"/>
    <n v="49"/>
    <n v="16.64"/>
    <n v="76.75"/>
    <n v="307.08"/>
    <n v="18.929390865785848"/>
    <n v="152.59031948759403"/>
    <n v="313.20976164142951"/>
    <n v="7603.8144000000002"/>
    <n v="8122.5568800000001"/>
    <n v="32498.694028800001"/>
    <n v="8649.9744500295001"/>
    <n v="16148.84103420658"/>
    <n v="33147.41503978832"/>
  </r>
  <r>
    <s v="Regular"/>
    <x v="0"/>
    <x v="0"/>
    <x v="3"/>
    <x v="0"/>
    <x v="0"/>
    <x v="0"/>
    <x v="0"/>
    <x v="6"/>
    <n v="538"/>
    <n v="516.48"/>
    <n v="126.678"/>
    <n v="121.61087999999999"/>
    <n v="126.678"/>
    <n v="121.61087999999999"/>
    <n v="0"/>
    <x v="0"/>
    <n v="0"/>
    <n v="2"/>
    <n v="3"/>
    <n v="49"/>
    <n v="16.64"/>
    <n v="76.75"/>
    <n v="307.08"/>
    <n v="18.929390865785848"/>
    <n v="152.59031948759403"/>
    <n v="313.20976164142951"/>
    <n v="8594.2272000000012"/>
    <n v="9333.6350399999992"/>
    <n v="37344.269030399999"/>
    <n v="9776.6517943610743"/>
    <n v="18556.643032367458"/>
    <n v="38089.714737804483"/>
  </r>
  <r>
    <s v="Regular"/>
    <x v="0"/>
    <x v="0"/>
    <x v="3"/>
    <x v="0"/>
    <x v="0"/>
    <x v="0"/>
    <x v="0"/>
    <x v="7"/>
    <n v="614"/>
    <n v="589.44000000000005"/>
    <n v="132.88300000000001"/>
    <n v="127.56768"/>
    <n v="132.88300000000001"/>
    <n v="127.56768"/>
    <n v="0"/>
    <x v="0"/>
    <n v="0"/>
    <n v="2"/>
    <n v="3"/>
    <n v="49"/>
    <n v="16.64"/>
    <n v="76.75"/>
    <n v="307.08"/>
    <n v="18.929390865785848"/>
    <n v="152.59031948759403"/>
    <n v="313.20976164142951"/>
    <n v="9808.2816000000021"/>
    <n v="9790.8194399999993"/>
    <n v="39173.483174399997"/>
    <n v="11157.740151928811"/>
    <n v="19465.593047491158"/>
    <n v="39955.442645950156"/>
  </r>
  <r>
    <s v="Regular"/>
    <x v="0"/>
    <x v="0"/>
    <x v="3"/>
    <x v="0"/>
    <x v="0"/>
    <x v="0"/>
    <x v="0"/>
    <x v="8"/>
    <n v="544"/>
    <n v="522.24"/>
    <n v="131.101"/>
    <n v="125.85696"/>
    <n v="131.101"/>
    <n v="125.85696"/>
    <n v="0"/>
    <x v="0"/>
    <n v="0"/>
    <n v="2"/>
    <n v="3"/>
    <n v="49"/>
    <n v="16.64"/>
    <n v="76.75"/>
    <n v="307.08"/>
    <n v="18.929390865785848"/>
    <n v="152.59031948759403"/>
    <n v="313.20976164142951"/>
    <n v="8690.0735999999997"/>
    <n v="9659.5216799999998"/>
    <n v="38648.155276799996"/>
    <n v="9885.6850857480022"/>
    <n v="19204.553736137343"/>
    <n v="39419.628442514928"/>
  </r>
  <r>
    <s v="Regular"/>
    <x v="0"/>
    <x v="0"/>
    <x v="3"/>
    <x v="0"/>
    <x v="0"/>
    <x v="0"/>
    <x v="0"/>
    <x v="9"/>
    <n v="419"/>
    <n v="402.24"/>
    <n v="106.90300000000001"/>
    <n v="102.62688"/>
    <n v="106.90300000000001"/>
    <n v="102.62688"/>
    <n v="0"/>
    <x v="0"/>
    <n v="0"/>
    <n v="2"/>
    <n v="3"/>
    <n v="49"/>
    <n v="16.64"/>
    <n v="76.75"/>
    <n v="307.08"/>
    <n v="18.929390865785848"/>
    <n v="152.59031948759403"/>
    <n v="313.20976164142951"/>
    <n v="6693.2736000000004"/>
    <n v="7876.6130400000002"/>
    <n v="31514.662310399999"/>
    <n v="7614.1581818536997"/>
    <n v="15659.868407214974"/>
    <n v="32143.740622803591"/>
  </r>
  <r>
    <s v="Regular"/>
    <x v="0"/>
    <x v="0"/>
    <x v="3"/>
    <x v="0"/>
    <x v="0"/>
    <x v="0"/>
    <x v="0"/>
    <x v="10"/>
    <n v="394"/>
    <n v="378.24"/>
    <n v="110.07299999999999"/>
    <n v="105.67008"/>
    <n v="110.07299999999999"/>
    <n v="105.67008"/>
    <n v="0"/>
    <x v="0"/>
    <n v="0"/>
    <n v="2"/>
    <n v="3"/>
    <n v="49"/>
    <n v="16.64"/>
    <n v="76.75"/>
    <n v="307.08"/>
    <n v="18.929390865785848"/>
    <n v="152.59031948759403"/>
    <n v="313.20976164142951"/>
    <n v="6293.9136000000008"/>
    <n v="8110.1786400000001"/>
    <n v="32449.168166399999"/>
    <n v="7159.8528010748396"/>
    <n v="16124.231267479619"/>
    <n v="33096.900569430785"/>
  </r>
  <r>
    <s v="PROJETADO"/>
    <x v="0"/>
    <x v="0"/>
    <x v="3"/>
    <x v="0"/>
    <x v="0"/>
    <x v="0"/>
    <x v="0"/>
    <x v="11"/>
    <n v="394"/>
    <n v="378.24"/>
    <n v="110.07299999999999"/>
    <n v="105.67008"/>
    <n v="110.07299999999999"/>
    <n v="105.67008"/>
    <n v="0"/>
    <x v="0"/>
    <n v="0"/>
    <n v="2"/>
    <n v="3"/>
    <n v="49"/>
    <n v="16.64"/>
    <n v="76.75"/>
    <n v="307.08"/>
    <n v="18.929390865785848"/>
    <n v="152.59031948759403"/>
    <n v="313.20976164142951"/>
    <n v="6293.9136000000008"/>
    <n v="8110.1786400000001"/>
    <n v="32449.168166399999"/>
    <n v="7159.8528010748396"/>
    <n v="16124.231267479619"/>
    <n v="33096.900569430785"/>
  </r>
  <r>
    <s v="Regular"/>
    <x v="0"/>
    <x v="0"/>
    <x v="3"/>
    <x v="0"/>
    <x v="0"/>
    <x v="0"/>
    <x v="1"/>
    <x v="0"/>
    <n v="158"/>
    <n v="151.68"/>
    <n v="7.8620000000000001"/>
    <n v="7.5475199999999996"/>
    <n v="7.8620000000000001"/>
    <n v="7.5475199999999996"/>
    <n v="0"/>
    <x v="0"/>
    <n v="0"/>
    <n v="1"/>
    <n v="3"/>
    <n v="48"/>
    <n v="51.93"/>
    <n v="76.75"/>
    <n v="492.64"/>
    <n v="59.261942948611889"/>
    <n v="152.59031948759403"/>
    <n v="499.13928219176387"/>
    <n v="7876.7424000000001"/>
    <n v="579.27215999999999"/>
    <n v="3718.2102527999996"/>
    <n v="8988.8515064454514"/>
    <n v="1151.6784881390056"/>
    <n v="3767.2637151279814"/>
  </r>
  <r>
    <s v="Regular"/>
    <x v="0"/>
    <x v="0"/>
    <x v="3"/>
    <x v="0"/>
    <x v="0"/>
    <x v="0"/>
    <x v="1"/>
    <x v="1"/>
    <n v="217"/>
    <n v="208.32"/>
    <n v="10.103999999999999"/>
    <n v="9.69984"/>
    <n v="10.103999999999999"/>
    <n v="9.69984"/>
    <n v="0"/>
    <x v="0"/>
    <n v="0"/>
    <n v="1"/>
    <n v="3"/>
    <n v="48"/>
    <n v="51.93"/>
    <n v="76.75"/>
    <n v="492.64"/>
    <n v="59.261942948611889"/>
    <n v="152.59031948759403"/>
    <n v="499.13928219176387"/>
    <n v="10818.0576"/>
    <n v="744.46271999999999"/>
    <n v="4778.5291775999995"/>
    <n v="12345.447955054828"/>
    <n v="1480.1016845785441"/>
    <n v="4841.5711749749589"/>
  </r>
  <r>
    <s v="Regular"/>
    <x v="0"/>
    <x v="0"/>
    <x v="3"/>
    <x v="0"/>
    <x v="0"/>
    <x v="0"/>
    <x v="1"/>
    <x v="2"/>
    <n v="245"/>
    <n v="235.2"/>
    <n v="9.9130000000000003"/>
    <n v="9.5164799999999996"/>
    <n v="9.9130000000000003"/>
    <n v="9.5164799999999996"/>
    <n v="0"/>
    <x v="0"/>
    <n v="0"/>
    <n v="1"/>
    <n v="3"/>
    <n v="48"/>
    <n v="51.93"/>
    <n v="76.75"/>
    <n v="492.64"/>
    <n v="59.261942948611889"/>
    <n v="152.59031948759403"/>
    <n v="499.13928219176387"/>
    <n v="12213.936"/>
    <n v="730.38983999999994"/>
    <n v="4688.1987071999993"/>
    <n v="13938.408981513516"/>
    <n v="1452.1227235972988"/>
    <n v="4750.0489961922767"/>
  </r>
  <r>
    <s v="Regular"/>
    <x v="0"/>
    <x v="0"/>
    <x v="3"/>
    <x v="0"/>
    <x v="0"/>
    <x v="0"/>
    <x v="1"/>
    <x v="3"/>
    <n v="229"/>
    <n v="219.84"/>
    <n v="11.015000000000001"/>
    <n v="10.574400000000001"/>
    <n v="11.015000000000001"/>
    <n v="10.574400000000001"/>
    <n v="0"/>
    <x v="0"/>
    <n v="0"/>
    <n v="1"/>
    <n v="3"/>
    <n v="48"/>
    <n v="51.93"/>
    <n v="76.75"/>
    <n v="492.64"/>
    <n v="59.261942948611889"/>
    <n v="152.59031948759403"/>
    <n v="499.13928219176387"/>
    <n v="11416.2912"/>
    <n v="811.5852000000001"/>
    <n v="5209.3724160000002"/>
    <n v="13028.145537822838"/>
    <n v="1613.5510743896143"/>
    <n v="5278.0984256085885"/>
  </r>
  <r>
    <s v="Regular"/>
    <x v="0"/>
    <x v="0"/>
    <x v="3"/>
    <x v="0"/>
    <x v="0"/>
    <x v="0"/>
    <x v="1"/>
    <x v="4"/>
    <n v="239"/>
    <n v="229.44"/>
    <n v="8.8510000000000009"/>
    <n v="8.4969599999999996"/>
    <n v="8.8510000000000009"/>
    <n v="8.4969599999999996"/>
    <n v="0"/>
    <x v="0"/>
    <n v="0"/>
    <n v="1"/>
    <n v="3"/>
    <n v="48"/>
    <n v="51.93"/>
    <n v="76.75"/>
    <n v="492.64"/>
    <n v="59.261942948611889"/>
    <n v="152.59031948759403"/>
    <n v="499.13928219176387"/>
    <n v="11914.8192"/>
    <n v="652.14167999999995"/>
    <n v="4185.9423743999996"/>
    <n v="13597.060190129512"/>
    <n v="1296.553841073307"/>
    <n v="4241.1665152121295"/>
  </r>
  <r>
    <s v="Regular"/>
    <x v="0"/>
    <x v="0"/>
    <x v="3"/>
    <x v="0"/>
    <x v="0"/>
    <x v="0"/>
    <x v="1"/>
    <x v="5"/>
    <n v="251"/>
    <n v="240.96"/>
    <n v="10.644"/>
    <n v="10.21824"/>
    <n v="10.644"/>
    <n v="10.21824"/>
    <n v="0"/>
    <x v="0"/>
    <n v="0"/>
    <n v="1"/>
    <n v="3"/>
    <n v="48"/>
    <n v="51.93"/>
    <n v="76.75"/>
    <n v="492.64"/>
    <n v="59.261942948611889"/>
    <n v="152.59031948759403"/>
    <n v="499.13928219176387"/>
    <n v="12513.052799999999"/>
    <n v="784.24991999999997"/>
    <n v="5033.9137535999998"/>
    <n v="14279.757772897521"/>
    <n v="1559.2045062009129"/>
    <n v="5100.3249788631692"/>
  </r>
  <r>
    <s v="Regular"/>
    <x v="0"/>
    <x v="0"/>
    <x v="3"/>
    <x v="0"/>
    <x v="0"/>
    <x v="0"/>
    <x v="1"/>
    <x v="6"/>
    <n v="318"/>
    <n v="305.27999999999997"/>
    <n v="12.198"/>
    <n v="11.71008"/>
    <n v="12.198"/>
    <n v="11.71008"/>
    <n v="0"/>
    <x v="0"/>
    <n v="0"/>
    <n v="1"/>
    <n v="3"/>
    <n v="48"/>
    <n v="51.93"/>
    <n v="76.75"/>
    <n v="492.64"/>
    <n v="59.261942948611889"/>
    <n v="152.59031948759403"/>
    <n v="499.13928219176387"/>
    <n v="15853.190399999998"/>
    <n v="898.74864000000002"/>
    <n v="5768.8538111999997"/>
    <n v="18091.485943352236"/>
    <n v="1786.8448484252851"/>
    <n v="5844.9609256081303"/>
  </r>
  <r>
    <s v="Regular"/>
    <x v="0"/>
    <x v="0"/>
    <x v="3"/>
    <x v="0"/>
    <x v="0"/>
    <x v="0"/>
    <x v="1"/>
    <x v="7"/>
    <n v="344"/>
    <n v="330.24"/>
    <n v="13.52"/>
    <n v="12.979200000000001"/>
    <n v="13.52"/>
    <n v="12.979200000000001"/>
    <n v="0"/>
    <x v="0"/>
    <n v="0"/>
    <n v="1"/>
    <n v="3"/>
    <n v="48"/>
    <n v="51.93"/>
    <n v="76.75"/>
    <n v="492.64"/>
    <n v="59.261942948611889"/>
    <n v="152.59031948759403"/>
    <n v="499.13928219176387"/>
    <n v="17149.3632"/>
    <n v="996.15359999999998"/>
    <n v="6394.0730880000001"/>
    <n v="19570.664039349591"/>
    <n v="1980.5002746933806"/>
    <n v="6478.428571423342"/>
  </r>
  <r>
    <s v="Regular"/>
    <x v="0"/>
    <x v="0"/>
    <x v="3"/>
    <x v="0"/>
    <x v="0"/>
    <x v="0"/>
    <x v="1"/>
    <x v="8"/>
    <n v="342"/>
    <n v="328.32"/>
    <n v="14.01"/>
    <n v="13.4496"/>
    <n v="14.01"/>
    <n v="13.4496"/>
    <n v="0"/>
    <x v="0"/>
    <n v="0"/>
    <n v="1"/>
    <n v="3"/>
    <n v="48"/>
    <n v="51.93"/>
    <n v="76.75"/>
    <n v="492.64"/>
    <n v="59.261942948611889"/>
    <n v="152.59031948759403"/>
    <n v="499.13928219176387"/>
    <n v="17049.657599999999"/>
    <n v="1032.2568000000001"/>
    <n v="6625.8109439999998"/>
    <n v="19456.881108888254"/>
    <n v="2052.2787609803445"/>
    <n v="6713.2236897663479"/>
  </r>
  <r>
    <s v="Regular"/>
    <x v="0"/>
    <x v="0"/>
    <x v="3"/>
    <x v="0"/>
    <x v="0"/>
    <x v="0"/>
    <x v="1"/>
    <x v="9"/>
    <n v="276"/>
    <n v="264.95999999999998"/>
    <n v="12.08"/>
    <n v="11.5968"/>
    <n v="12.08"/>
    <n v="11.5968"/>
    <n v="0"/>
    <x v="0"/>
    <n v="0"/>
    <n v="1"/>
    <n v="3"/>
    <n v="48"/>
    <n v="51.93"/>
    <n v="76.75"/>
    <n v="492.64"/>
    <n v="59.261942948611889"/>
    <n v="152.59031948759403"/>
    <n v="499.13928219176387"/>
    <n v="13759.372799999999"/>
    <n v="890.05439999999999"/>
    <n v="5713.047552"/>
    <n v="15702.044403664206"/>
    <n v="1769.5594170337304"/>
    <n v="5788.4184277214472"/>
  </r>
  <r>
    <s v="Regular"/>
    <x v="0"/>
    <x v="0"/>
    <x v="3"/>
    <x v="0"/>
    <x v="0"/>
    <x v="0"/>
    <x v="1"/>
    <x v="10"/>
    <n v="272"/>
    <n v="261.12"/>
    <n v="12.196999999999999"/>
    <n v="11.70912"/>
    <n v="12.196999999999999"/>
    <n v="11.70912"/>
    <n v="0"/>
    <x v="0"/>
    <n v="0"/>
    <n v="1"/>
    <n v="3"/>
    <n v="48"/>
    <n v="51.93"/>
    <n v="76.75"/>
    <n v="492.64"/>
    <n v="59.261942948611889"/>
    <n v="152.59031948759403"/>
    <n v="499.13928219176387"/>
    <n v="13559.961600000001"/>
    <n v="898.67496000000006"/>
    <n v="5768.3808767999999"/>
    <n v="15474.478542741537"/>
    <n v="1786.698361718577"/>
    <n v="5844.4817518972268"/>
  </r>
  <r>
    <s v="PROJETADO"/>
    <x v="0"/>
    <x v="0"/>
    <x v="3"/>
    <x v="0"/>
    <x v="0"/>
    <x v="0"/>
    <x v="1"/>
    <x v="11"/>
    <n v="272"/>
    <n v="261.12"/>
    <n v="12.196999999999999"/>
    <n v="11.70912"/>
    <n v="12.196999999999999"/>
    <n v="11.70912"/>
    <n v="0"/>
    <x v="0"/>
    <n v="0"/>
    <n v="1"/>
    <n v="3"/>
    <n v="48"/>
    <n v="51.93"/>
    <n v="76.75"/>
    <n v="492.64"/>
    <n v="59.261942948611889"/>
    <n v="152.59031948759403"/>
    <n v="499.13928219176387"/>
    <n v="13559.961600000001"/>
    <n v="898.67496000000006"/>
    <n v="5768.3808767999999"/>
    <n v="15474.478542741537"/>
    <n v="1786.698361718577"/>
    <n v="5844.4817518972268"/>
  </r>
  <r>
    <s v="Regular"/>
    <x v="0"/>
    <x v="0"/>
    <x v="4"/>
    <x v="1"/>
    <x v="0"/>
    <x v="0"/>
    <x v="0"/>
    <x v="0"/>
    <n v="1520"/>
    <n v="1292"/>
    <n v="614.70299999999997"/>
    <n v="577.82082000000003"/>
    <n v="614.70299999999997"/>
    <n v="577.82082000000003"/>
    <n v="0"/>
    <x v="0"/>
    <n v="0"/>
    <n v="2"/>
    <n v="3"/>
    <n v="49"/>
    <n v="16.64"/>
    <n v="76.75"/>
    <n v="307.08"/>
    <n v="18.929390865785848"/>
    <n v="152.59031948759403"/>
    <n v="313.20976164142951"/>
    <n v="21498.880000000001"/>
    <n v="44347.747934999999"/>
    <n v="177437.21740560001"/>
    <n v="24456.772998595316"/>
    <n v="88169.863530383562"/>
    <n v="180979.12130365535"/>
  </r>
  <r>
    <s v="Regular"/>
    <x v="0"/>
    <x v="0"/>
    <x v="4"/>
    <x v="1"/>
    <x v="0"/>
    <x v="0"/>
    <x v="0"/>
    <x v="1"/>
    <n v="1534"/>
    <n v="1303.8999999999999"/>
    <n v="632.85599999999999"/>
    <n v="594.88463999999999"/>
    <n v="632.85599999999999"/>
    <n v="594.88463999999999"/>
    <n v="0"/>
    <x v="0"/>
    <n v="0"/>
    <n v="2"/>
    <n v="3"/>
    <n v="49"/>
    <n v="16.64"/>
    <n v="76.75"/>
    <n v="307.08"/>
    <n v="18.929390865785848"/>
    <n v="152.59031948759403"/>
    <n v="313.20976164142951"/>
    <n v="21696.895999999997"/>
    <n v="45657.396119999998"/>
    <n v="182677.17525119998"/>
    <n v="24682.032749898164"/>
    <n v="90773.637275862362"/>
    <n v="186323.67629854759"/>
  </r>
  <r>
    <s v="Regular"/>
    <x v="0"/>
    <x v="0"/>
    <x v="4"/>
    <x v="1"/>
    <x v="0"/>
    <x v="0"/>
    <x v="0"/>
    <x v="2"/>
    <n v="1504"/>
    <n v="1278.3999999999999"/>
    <n v="579.31700000000001"/>
    <n v="544.55798000000004"/>
    <n v="579.31700000000001"/>
    <n v="544.55798000000004"/>
    <n v="0"/>
    <x v="0"/>
    <n v="0"/>
    <n v="2"/>
    <n v="3"/>
    <n v="49"/>
    <n v="16.64"/>
    <n v="76.75"/>
    <n v="307.08"/>
    <n v="18.929390865785848"/>
    <n v="152.59031948759403"/>
    <n v="313.20976164142951"/>
    <n v="21272.575999999997"/>
    <n v="41794.824965"/>
    <n v="167222.86449840001"/>
    <n v="24199.333282820626"/>
    <n v="83094.276147718847"/>
    <n v="170560.87511573834"/>
  </r>
  <r>
    <s v="Refaturamento - Regular"/>
    <x v="0"/>
    <x v="0"/>
    <x v="4"/>
    <x v="1"/>
    <x v="0"/>
    <x v="0"/>
    <x v="0"/>
    <x v="2"/>
    <n v="-57"/>
    <n v="-48.449999999999996"/>
    <n v="-28.565000000000001"/>
    <n v="-26.851099999999999"/>
    <n v="-28.565000000000001"/>
    <n v="-26.851099999999999"/>
    <n v="0"/>
    <x v="0"/>
    <n v="0"/>
    <n v="2"/>
    <n v="3"/>
    <n v="49"/>
    <n v="16.64"/>
    <n v="76.75"/>
    <n v="307.08"/>
    <n v="18.929390865785848"/>
    <n v="152.59031948759403"/>
    <n v="313.20976164142951"/>
    <n v="-806.20799999999997"/>
    <n v="-2060.8219249999997"/>
    <n v="-8245.4357879999989"/>
    <n v="-917.12898744732422"/>
    <n v="-4097.2179275933358"/>
    <n v="-8410.0266308101873"/>
  </r>
  <r>
    <s v="Regular"/>
    <x v="0"/>
    <x v="0"/>
    <x v="4"/>
    <x v="1"/>
    <x v="0"/>
    <x v="0"/>
    <x v="0"/>
    <x v="3"/>
    <n v="1473"/>
    <n v="1252.05"/>
    <n v="585.63499999999999"/>
    <n v="550.49689999999998"/>
    <n v="585.63499999999999"/>
    <n v="550.49689999999998"/>
    <n v="0"/>
    <x v="0"/>
    <n v="0"/>
    <n v="2"/>
    <n v="3"/>
    <n v="49"/>
    <n v="16.64"/>
    <n v="76.75"/>
    <n v="307.08"/>
    <n v="18.929390865785848"/>
    <n v="152.59031948759403"/>
    <n v="313.20976164142951"/>
    <n v="20834.112000000001"/>
    <n v="42250.637074999999"/>
    <n v="169046.58805199998"/>
    <n v="23700.54383350717"/>
    <n v="84000.497847930106"/>
    <n v="172421.00283334585"/>
  </r>
  <r>
    <s v="Regular"/>
    <x v="0"/>
    <x v="0"/>
    <x v="4"/>
    <x v="1"/>
    <x v="0"/>
    <x v="0"/>
    <x v="0"/>
    <x v="4"/>
    <n v="1504"/>
    <n v="1278.3999999999999"/>
    <n v="606.64"/>
    <n v="570.24159999999995"/>
    <n v="606.64"/>
    <n v="570.24159999999995"/>
    <n v="0"/>
    <x v="0"/>
    <n v="0"/>
    <n v="2"/>
    <n v="3"/>
    <n v="49"/>
    <n v="16.64"/>
    <n v="76.75"/>
    <n v="307.08"/>
    <n v="18.929390865785848"/>
    <n v="152.59031948759403"/>
    <n v="313.20976164142951"/>
    <n v="21272.575999999997"/>
    <n v="43766.042799999996"/>
    <n v="175109.79052799998"/>
    <n v="24199.333282820626"/>
    <n v="87013.34792911679"/>
    <n v="178605.23561402736"/>
  </r>
  <r>
    <s v="Regular"/>
    <x v="0"/>
    <x v="0"/>
    <x v="4"/>
    <x v="1"/>
    <x v="0"/>
    <x v="0"/>
    <x v="0"/>
    <x v="5"/>
    <n v="1489"/>
    <n v="1265.6499999999999"/>
    <n v="549.12300000000005"/>
    <n v="516.17561999999998"/>
    <n v="549.12300000000005"/>
    <n v="516.17561999999998"/>
    <n v="0"/>
    <x v="0"/>
    <n v="0"/>
    <n v="2"/>
    <n v="3"/>
    <n v="49"/>
    <n v="16.64"/>
    <n v="76.75"/>
    <n v="307.08"/>
    <n v="18.929390865785848"/>
    <n v="152.59031948759403"/>
    <n v="313.20976164142951"/>
    <n v="21060.415999999997"/>
    <n v="39616.478835000002"/>
    <n v="158507.20938959997"/>
    <n v="23957.983549281857"/>
    <n v="78763.402767506923"/>
    <n v="161671.24290531708"/>
  </r>
  <r>
    <s v="Regular"/>
    <x v="0"/>
    <x v="0"/>
    <x v="4"/>
    <x v="1"/>
    <x v="0"/>
    <x v="0"/>
    <x v="0"/>
    <x v="6"/>
    <n v="1539"/>
    <n v="1308.1499999999999"/>
    <n v="638.077"/>
    <n v="599.79237999999998"/>
    <n v="638.077"/>
    <n v="599.79237999999998"/>
    <n v="0"/>
    <x v="0"/>
    <n v="0"/>
    <n v="2"/>
    <n v="3"/>
    <n v="49"/>
    <n v="16.64"/>
    <n v="76.75"/>
    <n v="307.08"/>
    <n v="18.929390865785848"/>
    <n v="152.59031948759403"/>
    <n v="313.20976164142951"/>
    <n v="21767.615999999998"/>
    <n v="46034.065165"/>
    <n v="184184.24405039998"/>
    <n v="24762.482661077756"/>
    <n v="91522.510890424397"/>
    <n v="187860.8283741457"/>
  </r>
  <r>
    <s v="Regular"/>
    <x v="0"/>
    <x v="0"/>
    <x v="4"/>
    <x v="1"/>
    <x v="0"/>
    <x v="0"/>
    <x v="0"/>
    <x v="7"/>
    <n v="1530"/>
    <n v="1300.5"/>
    <n v="609.19799999999998"/>
    <n v="572.64612"/>
    <n v="609.19799999999998"/>
    <n v="572.64612"/>
    <n v="0"/>
    <x v="0"/>
    <n v="0"/>
    <n v="2"/>
    <n v="3"/>
    <n v="49"/>
    <n v="16.64"/>
    <n v="76.75"/>
    <n v="307.08"/>
    <n v="18.929390865785848"/>
    <n v="152.59031948759403"/>
    <n v="313.20976164142951"/>
    <n v="21640.32"/>
    <n v="43950.58971"/>
    <n v="175848.1705296"/>
    <n v="24617.672820954496"/>
    <n v="87380.254404131105"/>
    <n v="179358.35475008943"/>
  </r>
  <r>
    <s v="Regular"/>
    <x v="0"/>
    <x v="0"/>
    <x v="4"/>
    <x v="1"/>
    <x v="0"/>
    <x v="0"/>
    <x v="0"/>
    <x v="8"/>
    <n v="1512"/>
    <n v="1285.2"/>
    <n v="633.83399999999995"/>
    <n v="595.80395999999996"/>
    <n v="633.83399999999995"/>
    <n v="595.80395999999996"/>
    <n v="0"/>
    <x v="0"/>
    <n v="0"/>
    <n v="2"/>
    <n v="3"/>
    <n v="49"/>
    <n v="16.64"/>
    <n v="76.75"/>
    <n v="307.08"/>
    <n v="18.929390865785848"/>
    <n v="152.59031948759403"/>
    <n v="313.20976164142951"/>
    <n v="21385.728000000003"/>
    <n v="45727.953929999996"/>
    <n v="182959.48003679997"/>
    <n v="24328.053140707972"/>
    <n v="90913.916608373693"/>
    <n v="186611.61629661979"/>
  </r>
  <r>
    <s v="Regular"/>
    <x v="0"/>
    <x v="0"/>
    <x v="4"/>
    <x v="1"/>
    <x v="0"/>
    <x v="0"/>
    <x v="0"/>
    <x v="9"/>
    <n v="1525"/>
    <n v="1296.25"/>
    <n v="599.97"/>
    <n v="563.97180000000003"/>
    <n v="599.97"/>
    <n v="563.97180000000003"/>
    <n v="0"/>
    <x v="0"/>
    <n v="0"/>
    <n v="2"/>
    <n v="3"/>
    <n v="49"/>
    <n v="16.64"/>
    <n v="76.75"/>
    <n v="307.08"/>
    <n v="18.929390865785848"/>
    <n v="152.59031948759403"/>
    <n v="313.20976164142951"/>
    <n v="21569.600000000002"/>
    <n v="43284.835650000001"/>
    <n v="173184.46034399999"/>
    <n v="24537.222909774904"/>
    <n v="86056.637143993488"/>
    <n v="176641.47305048796"/>
  </r>
  <r>
    <s v="Regular"/>
    <x v="0"/>
    <x v="0"/>
    <x v="4"/>
    <x v="1"/>
    <x v="0"/>
    <x v="0"/>
    <x v="0"/>
    <x v="10"/>
    <n v="1532"/>
    <n v="1302.2"/>
    <n v="638.24699999999996"/>
    <n v="599.95218"/>
    <n v="638.24699999999996"/>
    <n v="599.95218"/>
    <n v="0"/>
    <x v="0"/>
    <n v="0"/>
    <n v="2"/>
    <n v="3"/>
    <n v="49"/>
    <n v="16.64"/>
    <n v="76.75"/>
    <n v="307.08"/>
    <n v="18.929390865785848"/>
    <n v="152.59031948759403"/>
    <n v="313.20976164142951"/>
    <n v="21668.608"/>
    <n v="46046.329814999997"/>
    <n v="184233.31543439999"/>
    <n v="24649.852785426334"/>
    <n v="91546.89482347852"/>
    <n v="187910.87929405601"/>
  </r>
  <r>
    <s v="PROJETADO"/>
    <x v="0"/>
    <x v="0"/>
    <x v="4"/>
    <x v="1"/>
    <x v="0"/>
    <x v="0"/>
    <x v="0"/>
    <x v="11"/>
    <n v="1532"/>
    <n v="1302.2"/>
    <n v="638.24699999999996"/>
    <n v="599.95218"/>
    <n v="638.24699999999996"/>
    <n v="599.95218"/>
    <n v="0"/>
    <x v="0"/>
    <n v="0"/>
    <n v="2"/>
    <n v="3"/>
    <n v="49"/>
    <n v="16.64"/>
    <n v="76.75"/>
    <n v="307.08"/>
    <n v="18.929390865785848"/>
    <n v="152.59031948759403"/>
    <n v="313.20976164142951"/>
    <n v="21668.608"/>
    <n v="46046.329814999997"/>
    <n v="184233.31543439999"/>
    <n v="24649.852785426334"/>
    <n v="91546.89482347852"/>
    <n v="187910.87929405601"/>
  </r>
  <r>
    <s v="Regular"/>
    <x v="0"/>
    <x v="0"/>
    <x v="4"/>
    <x v="1"/>
    <x v="0"/>
    <x v="0"/>
    <x v="1"/>
    <x v="0"/>
    <n v="1506"/>
    <n v="1280.0999999999999"/>
    <n v="75.120999999999995"/>
    <n v="70.613740000000007"/>
    <n v="75.120999999999995"/>
    <n v="70.613740000000007"/>
    <n v="0"/>
    <x v="0"/>
    <n v="0"/>
    <n v="1"/>
    <n v="3"/>
    <n v="48"/>
    <n v="51.93"/>
    <n v="76.75"/>
    <n v="492.64"/>
    <n v="59.261942948611889"/>
    <n v="152.59031948759403"/>
    <n v="499.13928219176387"/>
    <n v="66475.592999999993"/>
    <n v="5419.6045450000001"/>
    <n v="34787.152873600004"/>
    <n v="75861.213168518079"/>
    <n v="10774.9731468139"/>
    <n v="35246.091496475849"/>
  </r>
  <r>
    <s v="Regular"/>
    <x v="0"/>
    <x v="0"/>
    <x v="4"/>
    <x v="1"/>
    <x v="0"/>
    <x v="0"/>
    <x v="1"/>
    <x v="1"/>
    <n v="1525"/>
    <n v="1296.25"/>
    <n v="74.183999999999997"/>
    <n v="69.732960000000006"/>
    <n v="74.183999999999997"/>
    <n v="69.732960000000006"/>
    <n v="0"/>
    <x v="0"/>
    <n v="0"/>
    <n v="1"/>
    <n v="3"/>
    <n v="48"/>
    <n v="51.93"/>
    <n v="76.75"/>
    <n v="492.64"/>
    <n v="59.261942948611889"/>
    <n v="152.59031948759403"/>
    <n v="499.13928219176387"/>
    <n v="67314.262499999997"/>
    <n v="5352.00468"/>
    <n v="34353.2454144"/>
    <n v="76818.293547138164"/>
    <n v="10640.574645215616"/>
    <n v="34806.459599506983"/>
  </r>
  <r>
    <s v="Regular"/>
    <x v="0"/>
    <x v="0"/>
    <x v="4"/>
    <x v="1"/>
    <x v="0"/>
    <x v="0"/>
    <x v="1"/>
    <x v="2"/>
    <n v="1461"/>
    <n v="1241.8499999999999"/>
    <n v="62.348999999999997"/>
    <n v="58.608060000000002"/>
    <n v="62.348999999999997"/>
    <n v="58.608060000000002"/>
    <n v="0"/>
    <x v="0"/>
    <n v="0"/>
    <n v="1"/>
    <n v="3"/>
    <n v="48"/>
    <n v="51.93"/>
    <n v="76.75"/>
    <n v="492.64"/>
    <n v="59.261942948611889"/>
    <n v="152.59031948759403"/>
    <n v="499.13928219176387"/>
    <n v="64489.270499999991"/>
    <n v="4498.1686049999998"/>
    <n v="28872.674678399999"/>
    <n v="73594.443850733674"/>
    <n v="8943.0225999480808"/>
    <n v="29253.584999051829"/>
  </r>
  <r>
    <s v="Refaturamento - Regular"/>
    <x v="0"/>
    <x v="0"/>
    <x v="4"/>
    <x v="1"/>
    <x v="0"/>
    <x v="0"/>
    <x v="1"/>
    <x v="2"/>
    <n v="-55"/>
    <n v="-46.75"/>
    <n v="-3.3559999999999999"/>
    <n v="-3.1546400000000001"/>
    <n v="-3.3559999999999999"/>
    <n v="-3.1546400000000001"/>
    <n v="0"/>
    <x v="0"/>
    <n v="0"/>
    <n v="1"/>
    <n v="3"/>
    <n v="48"/>
    <n v="51.93"/>
    <n v="76.75"/>
    <n v="492.64"/>
    <n v="59.261942948611889"/>
    <n v="152.59031948759403"/>
    <n v="499.13928219176387"/>
    <n v="-2427.7275"/>
    <n v="-242.11862000000002"/>
    <n v="-1554.1018495999999"/>
    <n v="-2770.4958328476059"/>
    <n v="-481.36752546834367"/>
    <n v="-1574.604745173426"/>
  </r>
  <r>
    <s v="Regular"/>
    <x v="0"/>
    <x v="0"/>
    <x v="4"/>
    <x v="1"/>
    <x v="0"/>
    <x v="0"/>
    <x v="1"/>
    <x v="3"/>
    <n v="1432"/>
    <n v="1217.2"/>
    <n v="75.16"/>
    <n v="70.650400000000005"/>
    <n v="75.16"/>
    <n v="70.650400000000005"/>
    <n v="0"/>
    <x v="0"/>
    <n v="0"/>
    <n v="1"/>
    <n v="3"/>
    <n v="48"/>
    <n v="51.93"/>
    <n v="76.75"/>
    <n v="492.64"/>
    <n v="59.261942948611889"/>
    <n v="152.59031948759403"/>
    <n v="499.13928219176387"/>
    <n v="63209.196000000004"/>
    <n v="5422.4182000000001"/>
    <n v="34805.213056000001"/>
    <n v="72133.636957050388"/>
    <n v="10780.567107926314"/>
    <n v="35264.389942561"/>
  </r>
  <r>
    <s v="Regular"/>
    <x v="0"/>
    <x v="0"/>
    <x v="4"/>
    <x v="1"/>
    <x v="0"/>
    <x v="0"/>
    <x v="1"/>
    <x v="4"/>
    <n v="1480"/>
    <n v="1258"/>
    <n v="71.073999999999998"/>
    <n v="66.809560000000005"/>
    <n v="71.073999999999998"/>
    <n v="66.809560000000005"/>
    <n v="0"/>
    <x v="0"/>
    <n v="0"/>
    <n v="1"/>
    <n v="3"/>
    <n v="48"/>
    <n v="51.93"/>
    <n v="76.75"/>
    <n v="492.64"/>
    <n v="59.261942948611889"/>
    <n v="152.59031948759403"/>
    <n v="499.13928219176387"/>
    <n v="65327.94"/>
    <n v="5127.6337300000005"/>
    <n v="32913.061638400002"/>
    <n v="74551.524229353759"/>
    <n v="10194.492105225583"/>
    <n v="33347.27582194758"/>
  </r>
  <r>
    <s v="Regular"/>
    <x v="0"/>
    <x v="0"/>
    <x v="4"/>
    <x v="1"/>
    <x v="0"/>
    <x v="0"/>
    <x v="1"/>
    <x v="5"/>
    <n v="1440"/>
    <n v="1224"/>
    <n v="67.515000000000001"/>
    <n v="63.464100000000002"/>
    <n v="67.515000000000001"/>
    <n v="63.464100000000002"/>
    <n v="0"/>
    <x v="0"/>
    <n v="0"/>
    <n v="1"/>
    <n v="3"/>
    <n v="48"/>
    <n v="51.93"/>
    <n v="76.75"/>
    <n v="492.64"/>
    <n v="59.261942948611889"/>
    <n v="152.59031948759403"/>
    <n v="499.13928219176387"/>
    <n v="63562.32"/>
    <n v="4870.8696749999999"/>
    <n v="31264.954224000001"/>
    <n v="72536.618169100955"/>
    <n v="9684.0072949926162"/>
    <n v="31677.425318946323"/>
  </r>
  <r>
    <s v="Regular"/>
    <x v="0"/>
    <x v="0"/>
    <x v="4"/>
    <x v="1"/>
    <x v="0"/>
    <x v="0"/>
    <x v="1"/>
    <x v="6"/>
    <n v="1483"/>
    <n v="1260.55"/>
    <n v="80.646000000000001"/>
    <n v="75.807239999999993"/>
    <n v="80.646000000000001"/>
    <n v="75.807239999999993"/>
    <n v="0"/>
    <x v="0"/>
    <n v="0"/>
    <n v="1"/>
    <n v="3"/>
    <n v="48"/>
    <n v="51.93"/>
    <n v="76.75"/>
    <n v="492.64"/>
    <n v="59.261942948611889"/>
    <n v="152.59031948759403"/>
    <n v="499.13928219176387"/>
    <n v="65460.361499999999"/>
    <n v="5818.2056699999994"/>
    <n v="37345.678713599998"/>
    <n v="74702.642183872711"/>
    <n v="11567.450971072716"/>
    <n v="37838.371358538767"/>
  </r>
  <r>
    <s v="Regular"/>
    <x v="0"/>
    <x v="0"/>
    <x v="4"/>
    <x v="1"/>
    <x v="0"/>
    <x v="0"/>
    <x v="1"/>
    <x v="7"/>
    <n v="1463"/>
    <n v="1243.55"/>
    <n v="75.522999999999996"/>
    <n v="70.991619999999998"/>
    <n v="75.522999999999996"/>
    <n v="70.991619999999998"/>
    <n v="0"/>
    <x v="0"/>
    <n v="0"/>
    <n v="1"/>
    <n v="3"/>
    <n v="48"/>
    <n v="51.93"/>
    <n v="76.75"/>
    <n v="492.64"/>
    <n v="59.261942948611889"/>
    <n v="152.59031948759403"/>
    <n v="499.13928219176387"/>
    <n v="64577.551499999994"/>
    <n v="5448.6068349999996"/>
    <n v="34973.311676799996"/>
    <n v="73695.189153746309"/>
    <n v="10832.63397674187"/>
    <n v="35434.70624843047"/>
  </r>
  <r>
    <s v="Regular"/>
    <x v="0"/>
    <x v="0"/>
    <x v="4"/>
    <x v="1"/>
    <x v="0"/>
    <x v="0"/>
    <x v="1"/>
    <x v="8"/>
    <n v="1460"/>
    <n v="1241"/>
    <n v="72.590999999999994"/>
    <n v="68.23554"/>
    <n v="72.590999999999994"/>
    <n v="68.23554"/>
    <n v="0"/>
    <x v="0"/>
    <n v="0"/>
    <n v="1"/>
    <n v="3"/>
    <n v="48"/>
    <n v="51.93"/>
    <n v="76.75"/>
    <n v="492.64"/>
    <n v="59.261942948611889"/>
    <n v="152.59031948759403"/>
    <n v="499.13928219176387"/>
    <n v="64445.13"/>
    <n v="5237.0776949999999"/>
    <n v="33615.5564256"/>
    <n v="73544.071199227357"/>
    <n v="10412.082849008502"/>
    <n v="34059.038455567388"/>
  </r>
  <r>
    <s v="Regular"/>
    <x v="0"/>
    <x v="0"/>
    <x v="4"/>
    <x v="1"/>
    <x v="0"/>
    <x v="0"/>
    <x v="1"/>
    <x v="9"/>
    <n v="1439"/>
    <n v="1223.1499999999999"/>
    <n v="75.111000000000004"/>
    <n v="70.604339999999993"/>
    <n v="75.111000000000004"/>
    <n v="70.604339999999993"/>
    <n v="0"/>
    <x v="0"/>
    <n v="0"/>
    <n v="1"/>
    <n v="3"/>
    <n v="48"/>
    <n v="51.93"/>
    <n v="76.75"/>
    <n v="492.64"/>
    <n v="59.261942948611889"/>
    <n v="152.59031948759403"/>
    <n v="499.13928219176387"/>
    <n v="63518.179499999991"/>
    <n v="5418.8830949999992"/>
    <n v="34782.522057599999"/>
    <n v="72486.245517594623"/>
    <n v="10773.538797810714"/>
    <n v="35241.399587223241"/>
  </r>
  <r>
    <s v="Regular"/>
    <x v="0"/>
    <x v="0"/>
    <x v="4"/>
    <x v="1"/>
    <x v="0"/>
    <x v="0"/>
    <x v="1"/>
    <x v="10"/>
    <n v="1469"/>
    <n v="1248.6499999999999"/>
    <n v="76.551000000000002"/>
    <n v="71.957939999999994"/>
    <n v="76.551000000000002"/>
    <n v="71.957939999999994"/>
    <n v="0"/>
    <x v="0"/>
    <n v="0"/>
    <n v="1"/>
    <n v="3"/>
    <n v="48"/>
    <n v="51.93"/>
    <n v="76.75"/>
    <n v="492.64"/>
    <n v="59.261942948611889"/>
    <n v="152.59031948759403"/>
    <n v="499.13928219176387"/>
    <n v="64842.394499999995"/>
    <n v="5522.7718949999999"/>
    <n v="35449.359561599995"/>
    <n v="73997.425062784227"/>
    <n v="10980.085054269121"/>
    <n v="35917.034519598012"/>
  </r>
  <r>
    <s v="PROJETADO"/>
    <x v="0"/>
    <x v="0"/>
    <x v="4"/>
    <x v="1"/>
    <x v="0"/>
    <x v="0"/>
    <x v="1"/>
    <x v="11"/>
    <n v="1469"/>
    <n v="1248.6499999999999"/>
    <n v="76.551000000000002"/>
    <n v="71.957939999999994"/>
    <n v="76.551000000000002"/>
    <n v="71.957939999999994"/>
    <n v="0"/>
    <x v="0"/>
    <n v="0"/>
    <n v="1"/>
    <n v="3"/>
    <n v="48"/>
    <n v="51.93"/>
    <n v="76.75"/>
    <n v="492.64"/>
    <n v="59.261942948611889"/>
    <n v="152.59031948759403"/>
    <n v="499.13928219176387"/>
    <n v="64842.394499999995"/>
    <n v="5522.7718949999999"/>
    <n v="35449.359561599995"/>
    <n v="73997.425062784227"/>
    <n v="10980.085054269121"/>
    <n v="35917.034519598012"/>
  </r>
  <r>
    <s v="Regular"/>
    <x v="0"/>
    <x v="1"/>
    <x v="5"/>
    <x v="0"/>
    <x v="0"/>
    <x v="1"/>
    <x v="2"/>
    <x v="0"/>
    <n v="900"/>
    <n v="450"/>
    <n v="0"/>
    <n v="0"/>
    <n v="0"/>
    <n v="0"/>
    <n v="0"/>
    <x v="2"/>
    <m/>
    <n v="5"/>
    <n v="0"/>
    <n v="0"/>
    <n v="11.13"/>
    <n v="0"/>
    <n v="0"/>
    <n v="12.167967906750091"/>
    <m/>
    <m/>
    <n v="5008.5"/>
    <n v="0"/>
    <n v="0"/>
    <n v="5475.585558037541"/>
    <n v="0"/>
    <n v="0"/>
  </r>
  <r>
    <s v="Regular"/>
    <x v="0"/>
    <x v="1"/>
    <x v="5"/>
    <x v="0"/>
    <x v="0"/>
    <x v="2"/>
    <x v="2"/>
    <x v="0"/>
    <n v="206"/>
    <n v="103"/>
    <n v="0"/>
    <n v="0"/>
    <n v="0"/>
    <n v="0"/>
    <n v="0"/>
    <x v="2"/>
    <n v="491"/>
    <n v="5"/>
    <n v="0"/>
    <n v="0"/>
    <n v="11.13"/>
    <n v="0"/>
    <n v="0"/>
    <n v="12.167967906750091"/>
    <m/>
    <m/>
    <n v="1146.3900000000001"/>
    <n v="0"/>
    <n v="0"/>
    <n v="1253.3006943952594"/>
    <n v="0"/>
    <n v="0"/>
  </r>
  <r>
    <s v="Regular"/>
    <x v="0"/>
    <x v="1"/>
    <x v="5"/>
    <x v="0"/>
    <x v="0"/>
    <x v="3"/>
    <x v="2"/>
    <x v="0"/>
    <n v="240"/>
    <n v="120"/>
    <n v="0"/>
    <n v="0"/>
    <n v="0"/>
    <n v="0"/>
    <n v="0"/>
    <x v="2"/>
    <n v="27182"/>
    <n v="5"/>
    <n v="0"/>
    <n v="0"/>
    <n v="11.13"/>
    <n v="0"/>
    <n v="0"/>
    <n v="12.167967906750091"/>
    <m/>
    <m/>
    <n v="1335.6000000000001"/>
    <n v="0"/>
    <n v="0"/>
    <n v="1460.156148810011"/>
    <n v="0"/>
    <n v="0"/>
  </r>
  <r>
    <s v="Regular"/>
    <x v="0"/>
    <x v="1"/>
    <x v="5"/>
    <x v="0"/>
    <x v="0"/>
    <x v="1"/>
    <x v="2"/>
    <x v="1"/>
    <n v="900"/>
    <n v="450"/>
    <n v="0"/>
    <n v="0"/>
    <n v="0"/>
    <n v="0"/>
    <n v="0"/>
    <x v="2"/>
    <m/>
    <n v="5"/>
    <n v="0"/>
    <n v="0"/>
    <n v="11.13"/>
    <n v="0"/>
    <n v="0"/>
    <n v="12.167967906750091"/>
    <m/>
    <m/>
    <n v="5008.5"/>
    <n v="0"/>
    <n v="0"/>
    <n v="5475.585558037541"/>
    <n v="0"/>
    <n v="0"/>
  </r>
  <r>
    <s v="Regular"/>
    <x v="0"/>
    <x v="1"/>
    <x v="5"/>
    <x v="0"/>
    <x v="0"/>
    <x v="2"/>
    <x v="2"/>
    <x v="1"/>
    <n v="206"/>
    <n v="103"/>
    <n v="0"/>
    <n v="0"/>
    <n v="0"/>
    <n v="0"/>
    <n v="0"/>
    <x v="2"/>
    <n v="491"/>
    <n v="5"/>
    <n v="0"/>
    <n v="0"/>
    <n v="11.13"/>
    <n v="0"/>
    <n v="0"/>
    <n v="12.167967906750091"/>
    <m/>
    <m/>
    <n v="1146.3900000000001"/>
    <n v="0"/>
    <n v="0"/>
    <n v="1253.3006943952594"/>
    <n v="0"/>
    <n v="0"/>
  </r>
  <r>
    <s v="Regular"/>
    <x v="0"/>
    <x v="1"/>
    <x v="5"/>
    <x v="0"/>
    <x v="0"/>
    <x v="3"/>
    <x v="2"/>
    <x v="1"/>
    <n v="240"/>
    <n v="120"/>
    <n v="0"/>
    <n v="0"/>
    <n v="0"/>
    <n v="0"/>
    <n v="0"/>
    <x v="2"/>
    <n v="27182"/>
    <n v="5"/>
    <n v="0"/>
    <n v="0"/>
    <n v="11.13"/>
    <n v="0"/>
    <n v="0"/>
    <n v="12.167967906750091"/>
    <m/>
    <m/>
    <n v="1335.6000000000001"/>
    <n v="0"/>
    <n v="0"/>
    <n v="1460.156148810011"/>
    <n v="0"/>
    <n v="0"/>
  </r>
  <r>
    <s v="Regular"/>
    <x v="0"/>
    <x v="1"/>
    <x v="5"/>
    <x v="0"/>
    <x v="0"/>
    <x v="1"/>
    <x v="2"/>
    <x v="2"/>
    <n v="900"/>
    <n v="450"/>
    <n v="0"/>
    <n v="0"/>
    <n v="0"/>
    <n v="0"/>
    <n v="0"/>
    <x v="2"/>
    <m/>
    <n v="5"/>
    <n v="0"/>
    <n v="0"/>
    <n v="11.13"/>
    <n v="0"/>
    <n v="0"/>
    <n v="12.167967906750091"/>
    <m/>
    <m/>
    <n v="5008.5"/>
    <n v="0"/>
    <n v="0"/>
    <n v="5475.585558037541"/>
    <n v="0"/>
    <n v="0"/>
  </r>
  <r>
    <s v="Regular"/>
    <x v="0"/>
    <x v="1"/>
    <x v="5"/>
    <x v="0"/>
    <x v="0"/>
    <x v="2"/>
    <x v="2"/>
    <x v="2"/>
    <n v="206"/>
    <n v="103"/>
    <n v="0"/>
    <n v="0"/>
    <n v="0"/>
    <n v="0"/>
    <n v="0"/>
    <x v="2"/>
    <n v="491"/>
    <n v="5"/>
    <n v="0"/>
    <n v="0"/>
    <n v="11.13"/>
    <n v="0"/>
    <n v="0"/>
    <n v="12.167967906750091"/>
    <m/>
    <m/>
    <n v="1146.3900000000001"/>
    <n v="0"/>
    <n v="0"/>
    <n v="1253.3006943952594"/>
    <n v="0"/>
    <n v="0"/>
  </r>
  <r>
    <s v="Regular"/>
    <x v="0"/>
    <x v="1"/>
    <x v="5"/>
    <x v="0"/>
    <x v="0"/>
    <x v="3"/>
    <x v="2"/>
    <x v="2"/>
    <n v="240"/>
    <n v="120"/>
    <n v="0"/>
    <n v="0"/>
    <n v="0"/>
    <n v="0"/>
    <n v="0"/>
    <x v="2"/>
    <n v="27182"/>
    <n v="5"/>
    <n v="0"/>
    <n v="0"/>
    <n v="11.13"/>
    <n v="0"/>
    <n v="0"/>
    <n v="12.167967906750091"/>
    <m/>
    <m/>
    <n v="1335.6000000000001"/>
    <n v="0"/>
    <n v="0"/>
    <n v="1460.156148810011"/>
    <n v="0"/>
    <n v="0"/>
  </r>
  <r>
    <s v="Regular"/>
    <x v="0"/>
    <x v="1"/>
    <x v="5"/>
    <x v="0"/>
    <x v="0"/>
    <x v="1"/>
    <x v="2"/>
    <x v="3"/>
    <n v="900"/>
    <n v="450"/>
    <n v="0"/>
    <n v="0"/>
    <n v="0"/>
    <n v="0"/>
    <n v="0"/>
    <x v="2"/>
    <m/>
    <n v="5"/>
    <n v="0"/>
    <n v="0"/>
    <n v="11.13"/>
    <n v="0"/>
    <n v="0"/>
    <n v="12.167967906750091"/>
    <m/>
    <m/>
    <n v="5008.5"/>
    <n v="0"/>
    <n v="0"/>
    <n v="5475.585558037541"/>
    <n v="0"/>
    <n v="0"/>
  </r>
  <r>
    <s v="Regular"/>
    <x v="0"/>
    <x v="1"/>
    <x v="5"/>
    <x v="0"/>
    <x v="0"/>
    <x v="2"/>
    <x v="2"/>
    <x v="3"/>
    <n v="206"/>
    <n v="103"/>
    <n v="0"/>
    <n v="0"/>
    <n v="0"/>
    <n v="0"/>
    <n v="0"/>
    <x v="2"/>
    <n v="491"/>
    <n v="5"/>
    <n v="0"/>
    <n v="0"/>
    <n v="11.13"/>
    <n v="0"/>
    <n v="0"/>
    <n v="12.167967906750091"/>
    <m/>
    <m/>
    <n v="1146.3900000000001"/>
    <n v="0"/>
    <n v="0"/>
    <n v="1253.3006943952594"/>
    <n v="0"/>
    <n v="0"/>
  </r>
  <r>
    <s v="Regular"/>
    <x v="0"/>
    <x v="1"/>
    <x v="5"/>
    <x v="0"/>
    <x v="0"/>
    <x v="3"/>
    <x v="2"/>
    <x v="3"/>
    <n v="240"/>
    <n v="120"/>
    <n v="0"/>
    <n v="0"/>
    <n v="0"/>
    <n v="0"/>
    <n v="0"/>
    <x v="2"/>
    <n v="27182"/>
    <n v="5"/>
    <n v="0"/>
    <n v="0"/>
    <n v="11.13"/>
    <n v="0"/>
    <n v="0"/>
    <n v="12.167967906750091"/>
    <m/>
    <m/>
    <n v="1335.6000000000001"/>
    <n v="0"/>
    <n v="0"/>
    <n v="1460.156148810011"/>
    <n v="0"/>
    <n v="0"/>
  </r>
  <r>
    <s v="Regular"/>
    <x v="0"/>
    <x v="1"/>
    <x v="5"/>
    <x v="0"/>
    <x v="0"/>
    <x v="1"/>
    <x v="2"/>
    <x v="4"/>
    <n v="900"/>
    <n v="450"/>
    <n v="0"/>
    <n v="0"/>
    <n v="0"/>
    <n v="0"/>
    <n v="0"/>
    <x v="2"/>
    <m/>
    <n v="5"/>
    <n v="0"/>
    <n v="0"/>
    <n v="11.13"/>
    <n v="0"/>
    <n v="0"/>
    <n v="12.167967906750091"/>
    <m/>
    <m/>
    <n v="5008.5"/>
    <n v="0"/>
    <n v="0"/>
    <n v="5475.585558037541"/>
    <n v="0"/>
    <n v="0"/>
  </r>
  <r>
    <s v="Regular"/>
    <x v="0"/>
    <x v="1"/>
    <x v="5"/>
    <x v="0"/>
    <x v="0"/>
    <x v="2"/>
    <x v="2"/>
    <x v="4"/>
    <n v="206"/>
    <n v="103"/>
    <n v="0"/>
    <n v="0"/>
    <n v="0"/>
    <n v="0"/>
    <n v="0"/>
    <x v="2"/>
    <n v="491"/>
    <n v="5"/>
    <n v="0"/>
    <n v="0"/>
    <n v="11.13"/>
    <n v="0"/>
    <n v="0"/>
    <n v="12.167967906750091"/>
    <m/>
    <m/>
    <n v="1146.3900000000001"/>
    <n v="0"/>
    <n v="0"/>
    <n v="1253.3006943952594"/>
    <n v="0"/>
    <n v="0"/>
  </r>
  <r>
    <s v="Regular"/>
    <x v="0"/>
    <x v="1"/>
    <x v="5"/>
    <x v="0"/>
    <x v="0"/>
    <x v="3"/>
    <x v="2"/>
    <x v="4"/>
    <n v="240"/>
    <n v="120"/>
    <n v="0"/>
    <n v="0"/>
    <n v="0"/>
    <n v="0"/>
    <n v="0"/>
    <x v="2"/>
    <n v="27182"/>
    <n v="5"/>
    <n v="0"/>
    <n v="0"/>
    <n v="11.13"/>
    <n v="0"/>
    <n v="0"/>
    <n v="12.167967906750091"/>
    <m/>
    <m/>
    <n v="1335.6000000000001"/>
    <n v="0"/>
    <n v="0"/>
    <n v="1460.156148810011"/>
    <n v="0"/>
    <n v="0"/>
  </r>
  <r>
    <s v="Regular"/>
    <x v="0"/>
    <x v="1"/>
    <x v="5"/>
    <x v="0"/>
    <x v="0"/>
    <x v="1"/>
    <x v="2"/>
    <x v="5"/>
    <n v="900"/>
    <n v="450"/>
    <n v="0"/>
    <n v="0"/>
    <n v="0"/>
    <n v="0"/>
    <n v="0"/>
    <x v="2"/>
    <m/>
    <n v="5"/>
    <n v="0"/>
    <n v="0"/>
    <n v="11.13"/>
    <n v="0"/>
    <n v="0"/>
    <n v="12.167967906750091"/>
    <m/>
    <m/>
    <n v="5008.5"/>
    <n v="0"/>
    <n v="0"/>
    <n v="5475.585558037541"/>
    <n v="0"/>
    <n v="0"/>
  </r>
  <r>
    <s v="Regular"/>
    <x v="0"/>
    <x v="1"/>
    <x v="5"/>
    <x v="0"/>
    <x v="0"/>
    <x v="2"/>
    <x v="2"/>
    <x v="5"/>
    <n v="206"/>
    <n v="103"/>
    <n v="0"/>
    <n v="0"/>
    <n v="0"/>
    <n v="0"/>
    <n v="0"/>
    <x v="2"/>
    <n v="491"/>
    <n v="5"/>
    <n v="0"/>
    <n v="0"/>
    <n v="11.13"/>
    <n v="0"/>
    <n v="0"/>
    <n v="12.167967906750091"/>
    <m/>
    <m/>
    <n v="1146.3900000000001"/>
    <n v="0"/>
    <n v="0"/>
    <n v="1253.3006943952594"/>
    <n v="0"/>
    <n v="0"/>
  </r>
  <r>
    <s v="Regular"/>
    <x v="0"/>
    <x v="1"/>
    <x v="5"/>
    <x v="0"/>
    <x v="0"/>
    <x v="3"/>
    <x v="2"/>
    <x v="5"/>
    <n v="240"/>
    <n v="120"/>
    <n v="0"/>
    <n v="0"/>
    <n v="0"/>
    <n v="0"/>
    <n v="0"/>
    <x v="2"/>
    <n v="27182"/>
    <n v="5"/>
    <n v="0"/>
    <n v="0"/>
    <n v="11.13"/>
    <n v="0"/>
    <n v="0"/>
    <n v="12.167967906750091"/>
    <m/>
    <m/>
    <n v="1335.6000000000001"/>
    <n v="0"/>
    <n v="0"/>
    <n v="1460.156148810011"/>
    <n v="0"/>
    <n v="0"/>
  </r>
  <r>
    <s v="Regular"/>
    <x v="0"/>
    <x v="1"/>
    <x v="5"/>
    <x v="0"/>
    <x v="0"/>
    <x v="1"/>
    <x v="2"/>
    <x v="6"/>
    <n v="900"/>
    <n v="450"/>
    <n v="0"/>
    <n v="0"/>
    <n v="0"/>
    <n v="0"/>
    <n v="0"/>
    <x v="2"/>
    <m/>
    <n v="5"/>
    <n v="0"/>
    <n v="0"/>
    <n v="11.13"/>
    <n v="0"/>
    <n v="0"/>
    <n v="12.167967906750091"/>
    <m/>
    <m/>
    <n v="5008.5"/>
    <n v="0"/>
    <n v="0"/>
    <n v="5475.585558037541"/>
    <n v="0"/>
    <n v="0"/>
  </r>
  <r>
    <s v="Regular"/>
    <x v="0"/>
    <x v="1"/>
    <x v="5"/>
    <x v="0"/>
    <x v="0"/>
    <x v="2"/>
    <x v="2"/>
    <x v="6"/>
    <n v="206"/>
    <n v="103"/>
    <n v="0"/>
    <n v="0"/>
    <n v="0"/>
    <n v="0"/>
    <n v="0"/>
    <x v="2"/>
    <n v="491"/>
    <n v="5"/>
    <n v="0"/>
    <n v="0"/>
    <n v="11.13"/>
    <n v="0"/>
    <n v="0"/>
    <n v="12.167967906750091"/>
    <m/>
    <m/>
    <n v="1146.3900000000001"/>
    <n v="0"/>
    <n v="0"/>
    <n v="1253.3006943952594"/>
    <n v="0"/>
    <n v="0"/>
  </r>
  <r>
    <s v="Regular"/>
    <x v="0"/>
    <x v="1"/>
    <x v="5"/>
    <x v="0"/>
    <x v="0"/>
    <x v="3"/>
    <x v="2"/>
    <x v="6"/>
    <n v="240"/>
    <n v="120"/>
    <n v="0"/>
    <n v="0"/>
    <n v="0"/>
    <n v="0"/>
    <n v="0"/>
    <x v="2"/>
    <n v="27182"/>
    <n v="5"/>
    <n v="0"/>
    <n v="0"/>
    <n v="11.13"/>
    <n v="0"/>
    <n v="0"/>
    <n v="12.167967906750091"/>
    <m/>
    <m/>
    <n v="1335.6000000000001"/>
    <n v="0"/>
    <n v="0"/>
    <n v="1460.156148810011"/>
    <n v="0"/>
    <n v="0"/>
  </r>
  <r>
    <s v="Regular"/>
    <x v="0"/>
    <x v="1"/>
    <x v="5"/>
    <x v="0"/>
    <x v="0"/>
    <x v="1"/>
    <x v="2"/>
    <x v="7"/>
    <n v="900"/>
    <n v="450"/>
    <n v="0"/>
    <n v="0"/>
    <n v="0"/>
    <n v="0"/>
    <n v="0"/>
    <x v="2"/>
    <m/>
    <n v="5"/>
    <n v="0"/>
    <n v="0"/>
    <n v="11.13"/>
    <n v="0"/>
    <n v="0"/>
    <n v="12.167967906750091"/>
    <m/>
    <m/>
    <n v="5008.5"/>
    <n v="0"/>
    <n v="0"/>
    <n v="5475.585558037541"/>
    <n v="0"/>
    <n v="0"/>
  </r>
  <r>
    <s v="Regular"/>
    <x v="0"/>
    <x v="1"/>
    <x v="5"/>
    <x v="0"/>
    <x v="0"/>
    <x v="2"/>
    <x v="2"/>
    <x v="7"/>
    <n v="206"/>
    <n v="103"/>
    <n v="0"/>
    <n v="0"/>
    <n v="0"/>
    <n v="0"/>
    <n v="0"/>
    <x v="2"/>
    <n v="491"/>
    <n v="5"/>
    <n v="0"/>
    <n v="0"/>
    <n v="11.13"/>
    <n v="0"/>
    <n v="0"/>
    <n v="12.167967906750091"/>
    <m/>
    <m/>
    <n v="1146.3900000000001"/>
    <n v="0"/>
    <n v="0"/>
    <n v="1253.3006943952594"/>
    <n v="0"/>
    <n v="0"/>
  </r>
  <r>
    <s v="Regular"/>
    <x v="0"/>
    <x v="1"/>
    <x v="5"/>
    <x v="0"/>
    <x v="0"/>
    <x v="3"/>
    <x v="2"/>
    <x v="7"/>
    <n v="240"/>
    <n v="120"/>
    <n v="0"/>
    <n v="0"/>
    <n v="0"/>
    <n v="0"/>
    <n v="0"/>
    <x v="2"/>
    <n v="27182"/>
    <n v="5"/>
    <n v="0"/>
    <n v="0"/>
    <n v="11.13"/>
    <n v="0"/>
    <n v="0"/>
    <n v="12.167967906750091"/>
    <m/>
    <m/>
    <n v="1335.6000000000001"/>
    <n v="0"/>
    <n v="0"/>
    <n v="1460.156148810011"/>
    <n v="0"/>
    <n v="0"/>
  </r>
  <r>
    <s v="Regular"/>
    <x v="0"/>
    <x v="1"/>
    <x v="5"/>
    <x v="0"/>
    <x v="0"/>
    <x v="1"/>
    <x v="2"/>
    <x v="8"/>
    <n v="900"/>
    <n v="450"/>
    <n v="0"/>
    <n v="0"/>
    <n v="0"/>
    <n v="0"/>
    <n v="0"/>
    <x v="2"/>
    <m/>
    <n v="5"/>
    <n v="0"/>
    <n v="0"/>
    <n v="11.13"/>
    <n v="0"/>
    <n v="0"/>
    <n v="12.167967906750091"/>
    <m/>
    <m/>
    <n v="5008.5"/>
    <n v="0"/>
    <n v="0"/>
    <n v="5475.585558037541"/>
    <n v="0"/>
    <n v="0"/>
  </r>
  <r>
    <s v="Regular"/>
    <x v="0"/>
    <x v="1"/>
    <x v="5"/>
    <x v="0"/>
    <x v="0"/>
    <x v="2"/>
    <x v="2"/>
    <x v="8"/>
    <n v="206"/>
    <n v="103"/>
    <n v="0"/>
    <n v="0"/>
    <n v="0"/>
    <n v="0"/>
    <n v="0"/>
    <x v="2"/>
    <n v="491"/>
    <n v="5"/>
    <n v="0"/>
    <n v="0"/>
    <n v="11.13"/>
    <n v="0"/>
    <n v="0"/>
    <n v="12.167967906750091"/>
    <m/>
    <m/>
    <n v="1146.3900000000001"/>
    <n v="0"/>
    <n v="0"/>
    <n v="1253.3006943952594"/>
    <n v="0"/>
    <n v="0"/>
  </r>
  <r>
    <s v="Regular"/>
    <x v="0"/>
    <x v="1"/>
    <x v="5"/>
    <x v="0"/>
    <x v="0"/>
    <x v="3"/>
    <x v="2"/>
    <x v="8"/>
    <n v="240"/>
    <n v="120"/>
    <n v="0"/>
    <n v="0"/>
    <n v="0"/>
    <n v="0"/>
    <n v="0"/>
    <x v="2"/>
    <n v="27182"/>
    <n v="5"/>
    <n v="0"/>
    <n v="0"/>
    <n v="11.13"/>
    <n v="0"/>
    <n v="0"/>
    <n v="12.167967906750091"/>
    <m/>
    <m/>
    <n v="1335.6000000000001"/>
    <n v="0"/>
    <n v="0"/>
    <n v="1460.156148810011"/>
    <n v="0"/>
    <n v="0"/>
  </r>
  <r>
    <s v="Regular"/>
    <x v="0"/>
    <x v="1"/>
    <x v="5"/>
    <x v="0"/>
    <x v="0"/>
    <x v="1"/>
    <x v="2"/>
    <x v="9"/>
    <n v="900"/>
    <n v="450"/>
    <n v="0"/>
    <n v="0"/>
    <n v="0"/>
    <n v="0"/>
    <n v="0"/>
    <x v="2"/>
    <m/>
    <n v="5"/>
    <n v="0"/>
    <n v="0"/>
    <n v="11.13"/>
    <n v="0"/>
    <n v="0"/>
    <n v="12.167967906750091"/>
    <m/>
    <m/>
    <n v="5008.5"/>
    <n v="0"/>
    <n v="0"/>
    <n v="5475.585558037541"/>
    <n v="0"/>
    <n v="0"/>
  </r>
  <r>
    <s v="Regular"/>
    <x v="0"/>
    <x v="1"/>
    <x v="5"/>
    <x v="0"/>
    <x v="0"/>
    <x v="2"/>
    <x v="2"/>
    <x v="9"/>
    <n v="206"/>
    <n v="103"/>
    <n v="0"/>
    <n v="0"/>
    <n v="0"/>
    <n v="0"/>
    <n v="0"/>
    <x v="2"/>
    <n v="491"/>
    <n v="5"/>
    <n v="0"/>
    <n v="0"/>
    <n v="11.13"/>
    <n v="0"/>
    <n v="0"/>
    <n v="12.167967906750091"/>
    <m/>
    <m/>
    <n v="1146.3900000000001"/>
    <n v="0"/>
    <n v="0"/>
    <n v="1253.3006943952594"/>
    <n v="0"/>
    <n v="0"/>
  </r>
  <r>
    <s v="Regular"/>
    <x v="0"/>
    <x v="1"/>
    <x v="5"/>
    <x v="0"/>
    <x v="0"/>
    <x v="3"/>
    <x v="2"/>
    <x v="9"/>
    <n v="240"/>
    <n v="120"/>
    <n v="0"/>
    <n v="0"/>
    <n v="0"/>
    <n v="0"/>
    <n v="0"/>
    <x v="2"/>
    <n v="27182"/>
    <n v="5"/>
    <n v="0"/>
    <n v="0"/>
    <n v="11.13"/>
    <n v="0"/>
    <n v="0"/>
    <n v="12.167967906750091"/>
    <m/>
    <m/>
    <n v="1335.6000000000001"/>
    <n v="0"/>
    <n v="0"/>
    <n v="1460.156148810011"/>
    <n v="0"/>
    <n v="0"/>
  </r>
  <r>
    <s v="Regular"/>
    <x v="0"/>
    <x v="1"/>
    <x v="5"/>
    <x v="0"/>
    <x v="0"/>
    <x v="1"/>
    <x v="2"/>
    <x v="10"/>
    <n v="900"/>
    <n v="450"/>
    <n v="0"/>
    <n v="0"/>
    <n v="0"/>
    <n v="0"/>
    <n v="0"/>
    <x v="2"/>
    <m/>
    <n v="5"/>
    <n v="0"/>
    <n v="0"/>
    <n v="11.13"/>
    <n v="0"/>
    <n v="0"/>
    <n v="12.167967906750091"/>
    <m/>
    <m/>
    <n v="5008.5"/>
    <n v="0"/>
    <n v="0"/>
    <n v="5475.585558037541"/>
    <n v="0"/>
    <n v="0"/>
  </r>
  <r>
    <s v="Regular"/>
    <x v="0"/>
    <x v="1"/>
    <x v="5"/>
    <x v="0"/>
    <x v="0"/>
    <x v="2"/>
    <x v="2"/>
    <x v="10"/>
    <n v="206"/>
    <n v="103"/>
    <n v="0"/>
    <n v="0"/>
    <n v="0"/>
    <n v="0"/>
    <n v="0"/>
    <x v="2"/>
    <n v="491"/>
    <n v="5"/>
    <n v="0"/>
    <n v="0"/>
    <n v="11.13"/>
    <n v="0"/>
    <n v="0"/>
    <n v="12.167967906750091"/>
    <m/>
    <m/>
    <n v="1146.3900000000001"/>
    <n v="0"/>
    <n v="0"/>
    <n v="1253.3006943952594"/>
    <n v="0"/>
    <n v="0"/>
  </r>
  <r>
    <s v="Regular"/>
    <x v="0"/>
    <x v="1"/>
    <x v="5"/>
    <x v="0"/>
    <x v="0"/>
    <x v="3"/>
    <x v="2"/>
    <x v="10"/>
    <n v="240"/>
    <n v="120"/>
    <n v="0"/>
    <n v="0"/>
    <n v="0"/>
    <n v="0"/>
    <n v="0"/>
    <x v="2"/>
    <n v="27182"/>
    <n v="5"/>
    <n v="0"/>
    <n v="0"/>
    <n v="11.13"/>
    <n v="0"/>
    <n v="0"/>
    <n v="12.167967906750091"/>
    <m/>
    <m/>
    <n v="1335.6000000000001"/>
    <n v="0"/>
    <n v="0"/>
    <n v="1460.156148810011"/>
    <n v="0"/>
    <n v="0"/>
  </r>
  <r>
    <s v="PROJETADO"/>
    <x v="0"/>
    <x v="1"/>
    <x v="5"/>
    <x v="0"/>
    <x v="0"/>
    <x v="1"/>
    <x v="2"/>
    <x v="11"/>
    <n v="900"/>
    <n v="450"/>
    <n v="0"/>
    <n v="0"/>
    <n v="0"/>
    <n v="0"/>
    <n v="0"/>
    <x v="2"/>
    <m/>
    <n v="5"/>
    <n v="0"/>
    <n v="0"/>
    <n v="11.13"/>
    <n v="0"/>
    <n v="0"/>
    <n v="12.167967906750091"/>
    <m/>
    <m/>
    <n v="5008.5"/>
    <n v="0"/>
    <n v="0"/>
    <n v="5475.585558037541"/>
    <n v="0"/>
    <n v="0"/>
  </r>
  <r>
    <s v="PROJETADO"/>
    <x v="0"/>
    <x v="1"/>
    <x v="5"/>
    <x v="0"/>
    <x v="0"/>
    <x v="2"/>
    <x v="2"/>
    <x v="11"/>
    <n v="206"/>
    <n v="103"/>
    <n v="0"/>
    <n v="0"/>
    <n v="0"/>
    <n v="0"/>
    <n v="0"/>
    <x v="2"/>
    <n v="491"/>
    <n v="5"/>
    <n v="0"/>
    <n v="0"/>
    <n v="11.13"/>
    <n v="0"/>
    <n v="0"/>
    <n v="12.167967906750091"/>
    <m/>
    <m/>
    <n v="1146.3900000000001"/>
    <n v="0"/>
    <n v="0"/>
    <n v="1253.3006943952594"/>
    <n v="0"/>
    <n v="0"/>
  </r>
  <r>
    <s v="PROJETADO"/>
    <x v="0"/>
    <x v="1"/>
    <x v="5"/>
    <x v="0"/>
    <x v="0"/>
    <x v="3"/>
    <x v="2"/>
    <x v="11"/>
    <n v="240"/>
    <n v="120"/>
    <n v="0"/>
    <n v="0"/>
    <n v="0"/>
    <n v="0"/>
    <n v="0"/>
    <x v="2"/>
    <n v="27182"/>
    <n v="5"/>
    <n v="0"/>
    <n v="0"/>
    <n v="11.13"/>
    <n v="0"/>
    <n v="0"/>
    <n v="12.167967906750091"/>
    <m/>
    <m/>
    <n v="1335.6000000000001"/>
    <n v="0"/>
    <n v="0"/>
    <n v="1460.156148810011"/>
    <n v="0"/>
    <n v="0"/>
  </r>
  <r>
    <s v="Regular"/>
    <x v="0"/>
    <x v="2"/>
    <x v="0"/>
    <x v="0"/>
    <x v="0"/>
    <x v="0"/>
    <x v="0"/>
    <x v="0"/>
    <n v="0"/>
    <n v="0"/>
    <n v="1283.0419999999999"/>
    <n v="1283.0419999999999"/>
    <n v="1283.0419999999999"/>
    <n v="1283.0419999999999"/>
    <n v="0"/>
    <x v="0"/>
    <n v="0"/>
    <n v="0"/>
    <n v="8"/>
    <n v="49"/>
    <n v="0"/>
    <n v="76.75"/>
    <n v="307.08"/>
    <m/>
    <n v="152.59031948759403"/>
    <n v="313.20976164142951"/>
    <n v="0"/>
    <n v="98473.473499999993"/>
    <n v="393996.53735999996"/>
    <n v="0"/>
    <n v="195779.7886960016"/>
    <n v="401861.27899594296"/>
  </r>
  <r>
    <s v="Sistema de Compensação"/>
    <x v="0"/>
    <x v="2"/>
    <x v="0"/>
    <x v="0"/>
    <x v="0"/>
    <x v="0"/>
    <x v="0"/>
    <x v="0"/>
    <n v="0"/>
    <n v="0"/>
    <n v="15.526999999999999"/>
    <n v="15.526999999999999"/>
    <n v="15.526999999999999"/>
    <n v="15.526999999999999"/>
    <n v="0"/>
    <x v="0"/>
    <n v="0"/>
    <n v="0"/>
    <n v="8"/>
    <n v="49"/>
    <n v="0"/>
    <n v="76.75"/>
    <n v="307.08"/>
    <m/>
    <n v="152.59031948759403"/>
    <n v="313.20976164142951"/>
    <n v="0"/>
    <n v="1191.6972499999999"/>
    <n v="4768.0311599999995"/>
    <n v="0"/>
    <n v="2369.2698906838723"/>
    <n v="4863.2079690064757"/>
  </r>
  <r>
    <s v="Regular"/>
    <x v="0"/>
    <x v="2"/>
    <x v="0"/>
    <x v="0"/>
    <x v="0"/>
    <x v="0"/>
    <x v="0"/>
    <x v="1"/>
    <n v="0"/>
    <n v="0"/>
    <n v="1383.0350000000001"/>
    <n v="1383.0350000000001"/>
    <n v="1383.0350000000001"/>
    <n v="1383.0350000000001"/>
    <n v="0"/>
    <x v="0"/>
    <n v="0"/>
    <n v="0"/>
    <n v="8"/>
    <n v="49"/>
    <n v="0"/>
    <n v="76.75"/>
    <n v="307.08"/>
    <m/>
    <n v="152.59031948759403"/>
    <n v="313.20976164142951"/>
    <n v="0"/>
    <n v="106147.93625000001"/>
    <n v="424702.38780000003"/>
    <n v="0"/>
    <n v="211037.75251252463"/>
    <n v="433180.06269175449"/>
  </r>
  <r>
    <s v="Sistema de Compensação"/>
    <x v="0"/>
    <x v="2"/>
    <x v="0"/>
    <x v="0"/>
    <x v="0"/>
    <x v="0"/>
    <x v="0"/>
    <x v="1"/>
    <n v="0"/>
    <n v="0"/>
    <n v="11.242000000000001"/>
    <n v="11.242000000000001"/>
    <n v="11.242000000000001"/>
    <n v="11.242000000000001"/>
    <n v="0"/>
    <x v="0"/>
    <n v="0"/>
    <n v="0"/>
    <n v="8"/>
    <n v="49"/>
    <n v="0"/>
    <n v="76.75"/>
    <n v="307.08"/>
    <m/>
    <n v="152.59031948759403"/>
    <n v="313.20976164142951"/>
    <n v="0"/>
    <n v="862.82350000000008"/>
    <n v="3452.1933600000002"/>
    <n v="0"/>
    <n v="1715.4203716795323"/>
    <n v="3521.104140372951"/>
  </r>
  <r>
    <s v="Regular"/>
    <x v="0"/>
    <x v="2"/>
    <x v="0"/>
    <x v="0"/>
    <x v="0"/>
    <x v="0"/>
    <x v="0"/>
    <x v="2"/>
    <n v="0"/>
    <n v="0"/>
    <n v="1254.095"/>
    <n v="1254.095"/>
    <n v="1254.095"/>
    <n v="1254.095"/>
    <n v="0"/>
    <x v="0"/>
    <n v="0"/>
    <n v="0"/>
    <n v="8"/>
    <n v="49"/>
    <n v="0"/>
    <n v="76.75"/>
    <n v="307.08"/>
    <m/>
    <n v="152.59031948759403"/>
    <n v="313.20976164142951"/>
    <n v="0"/>
    <n v="96251.791250000009"/>
    <n v="385107.4926"/>
    <n v="0"/>
    <n v="191362.75671779423"/>
    <n v="392794.79602570855"/>
  </r>
  <r>
    <s v="Sistema de Compensação"/>
    <x v="0"/>
    <x v="2"/>
    <x v="0"/>
    <x v="0"/>
    <x v="0"/>
    <x v="0"/>
    <x v="0"/>
    <x v="2"/>
    <n v="0"/>
    <n v="0"/>
    <n v="7.03"/>
    <n v="7.03"/>
    <n v="7.03"/>
    <n v="7.03"/>
    <n v="0"/>
    <x v="0"/>
    <n v="0"/>
    <n v="0"/>
    <n v="8"/>
    <n v="49"/>
    <n v="0"/>
    <n v="76.75"/>
    <n v="307.08"/>
    <m/>
    <n v="152.59031948759403"/>
    <n v="313.20976164142951"/>
    <n v="0"/>
    <n v="539.55250000000001"/>
    <n v="2158.7723999999998"/>
    <n v="0"/>
    <n v="1072.709945997786"/>
    <n v="2201.8646243392495"/>
  </r>
  <r>
    <s v="Regular"/>
    <x v="0"/>
    <x v="2"/>
    <x v="0"/>
    <x v="0"/>
    <x v="0"/>
    <x v="0"/>
    <x v="0"/>
    <x v="3"/>
    <n v="0"/>
    <n v="0"/>
    <n v="1338.4469999999999"/>
    <n v="1338.4469999999999"/>
    <n v="1338.4469999999999"/>
    <n v="1338.4469999999999"/>
    <n v="0"/>
    <x v="0"/>
    <n v="0"/>
    <n v="0"/>
    <n v="8"/>
    <n v="49"/>
    <n v="0"/>
    <n v="76.75"/>
    <n v="307.08"/>
    <m/>
    <n v="152.59031948759403"/>
    <n v="313.20976164142951"/>
    <n v="0"/>
    <n v="102725.80725"/>
    <n v="411010.30475999997"/>
    <n v="0"/>
    <n v="204234.05534721175"/>
    <n v="419214.66583968635"/>
  </r>
  <r>
    <s v="Sistema de Compensação"/>
    <x v="0"/>
    <x v="2"/>
    <x v="0"/>
    <x v="0"/>
    <x v="0"/>
    <x v="0"/>
    <x v="0"/>
    <x v="3"/>
    <n v="0"/>
    <n v="0"/>
    <n v="8.9849999999999994"/>
    <n v="8.9849999999999994"/>
    <n v="8.9849999999999994"/>
    <n v="8.9849999999999994"/>
    <n v="0"/>
    <x v="0"/>
    <n v="0"/>
    <n v="0"/>
    <n v="8"/>
    <n v="49"/>
    <n v="0"/>
    <n v="76.75"/>
    <n v="307.08"/>
    <m/>
    <n v="152.59031948759403"/>
    <n v="313.20976164142951"/>
    <n v="0"/>
    <n v="689.59875"/>
    <n v="2759.1137999999996"/>
    <n v="0"/>
    <n v="1371.0240205960322"/>
    <n v="2814.189708348244"/>
  </r>
  <r>
    <s v="Regular"/>
    <x v="0"/>
    <x v="2"/>
    <x v="0"/>
    <x v="0"/>
    <x v="0"/>
    <x v="0"/>
    <x v="0"/>
    <x v="4"/>
    <n v="0"/>
    <n v="0"/>
    <n v="1364.8019999999999"/>
    <n v="1364.8019999999999"/>
    <n v="1364.8019999999999"/>
    <n v="1364.8019999999999"/>
    <n v="0"/>
    <x v="0"/>
    <n v="0"/>
    <n v="0"/>
    <n v="8"/>
    <n v="49"/>
    <n v="0"/>
    <n v="76.75"/>
    <n v="307.08"/>
    <m/>
    <n v="152.59031948759403"/>
    <n v="313.20976164142951"/>
    <n v="0"/>
    <n v="104748.55349999999"/>
    <n v="419103.39815999992"/>
    <n v="0"/>
    <n v="208255.5732173073"/>
    <n v="427469.30910774623"/>
  </r>
  <r>
    <s v="Sistema de Compensação"/>
    <x v="0"/>
    <x v="2"/>
    <x v="0"/>
    <x v="0"/>
    <x v="0"/>
    <x v="0"/>
    <x v="0"/>
    <x v="4"/>
    <n v="0"/>
    <n v="0"/>
    <n v="4.3630000000000004"/>
    <n v="4.3630000000000004"/>
    <n v="4.3630000000000004"/>
    <n v="4.3630000000000004"/>
    <n v="0"/>
    <x v="0"/>
    <n v="0"/>
    <n v="0"/>
    <n v="8"/>
    <n v="49"/>
    <n v="0"/>
    <n v="76.75"/>
    <n v="307.08"/>
    <m/>
    <n v="152.59031948759403"/>
    <n v="313.20976164142951"/>
    <n v="0"/>
    <n v="334.86025000000001"/>
    <n v="1339.7900400000001"/>
    <n v="0"/>
    <n v="665.75156392437282"/>
    <n v="1366.5341900415572"/>
  </r>
  <r>
    <s v="Regular"/>
    <x v="0"/>
    <x v="2"/>
    <x v="0"/>
    <x v="0"/>
    <x v="0"/>
    <x v="0"/>
    <x v="0"/>
    <x v="5"/>
    <n v="0"/>
    <n v="0"/>
    <n v="1402.0909999999999"/>
    <n v="1402.0909999999999"/>
    <n v="1402.0909999999999"/>
    <n v="1402.0909999999999"/>
    <n v="0"/>
    <x v="0"/>
    <n v="0"/>
    <n v="0"/>
    <n v="8"/>
    <n v="49"/>
    <n v="0"/>
    <n v="76.75"/>
    <n v="307.08"/>
    <m/>
    <n v="152.59031948759403"/>
    <n v="313.20976164142951"/>
    <n v="0"/>
    <n v="107610.48424999999"/>
    <n v="430554.10427999997"/>
    <n v="0"/>
    <n v="213945.51364068018"/>
    <n v="439148.58790959348"/>
  </r>
  <r>
    <s v="Sistema de Compensação"/>
    <x v="0"/>
    <x v="2"/>
    <x v="0"/>
    <x v="0"/>
    <x v="0"/>
    <x v="0"/>
    <x v="0"/>
    <x v="5"/>
    <n v="0"/>
    <n v="0"/>
    <n v="1.393"/>
    <n v="1.393"/>
    <n v="1.393"/>
    <n v="1.393"/>
    <n v="0"/>
    <x v="0"/>
    <n v="0"/>
    <n v="0"/>
    <n v="8"/>
    <n v="49"/>
    <n v="0"/>
    <n v="76.75"/>
    <n v="307.08"/>
    <m/>
    <n v="152.59031948759403"/>
    <n v="313.20976164142951"/>
    <n v="0"/>
    <n v="106.91275"/>
    <n v="427.76243999999997"/>
    <n v="0"/>
    <n v="212.5583150462185"/>
    <n v="436.30119796651132"/>
  </r>
  <r>
    <s v="Regular"/>
    <x v="0"/>
    <x v="2"/>
    <x v="0"/>
    <x v="0"/>
    <x v="0"/>
    <x v="0"/>
    <x v="0"/>
    <x v="6"/>
    <n v="0"/>
    <n v="0"/>
    <n v="1503.116"/>
    <n v="1503.116"/>
    <n v="1503.116"/>
    <n v="1503.116"/>
    <n v="0"/>
    <x v="0"/>
    <n v="0"/>
    <n v="0"/>
    <n v="8"/>
    <n v="49"/>
    <n v="0"/>
    <n v="76.75"/>
    <n v="307.08"/>
    <m/>
    <n v="152.59031948759403"/>
    <n v="313.20976164142951"/>
    <n v="0"/>
    <n v="115364.15300000001"/>
    <n v="461576.86127999995"/>
    <n v="0"/>
    <n v="229360.95066691437"/>
    <n v="470790.60407941893"/>
  </r>
  <r>
    <s v="Sistema de Compensação"/>
    <x v="0"/>
    <x v="2"/>
    <x v="0"/>
    <x v="0"/>
    <x v="0"/>
    <x v="0"/>
    <x v="0"/>
    <x v="6"/>
    <n v="0"/>
    <n v="0"/>
    <n v="3.0670000000000002"/>
    <n v="3.0670000000000002"/>
    <n v="3.0670000000000002"/>
    <n v="3.0670000000000002"/>
    <n v="0"/>
    <x v="0"/>
    <n v="0"/>
    <n v="0"/>
    <n v="8"/>
    <n v="49"/>
    <n v="0"/>
    <n v="76.75"/>
    <n v="307.08"/>
    <m/>
    <n v="152.59031948759403"/>
    <n v="313.20976164142951"/>
    <n v="0"/>
    <n v="235.39225000000002"/>
    <n v="941.81435999999997"/>
    <n v="0"/>
    <n v="467.9945098684509"/>
    <n v="960.61433895426433"/>
  </r>
  <r>
    <s v="Regular"/>
    <x v="0"/>
    <x v="2"/>
    <x v="0"/>
    <x v="0"/>
    <x v="0"/>
    <x v="0"/>
    <x v="0"/>
    <x v="7"/>
    <n v="0"/>
    <n v="0"/>
    <n v="1332.9480000000001"/>
    <n v="1332.9480000000001"/>
    <n v="1332.9480000000001"/>
    <n v="1332.9480000000001"/>
    <n v="0"/>
    <x v="0"/>
    <n v="0"/>
    <n v="0"/>
    <n v="8"/>
    <n v="49"/>
    <n v="0"/>
    <n v="76.75"/>
    <n v="307.08"/>
    <m/>
    <n v="152.59031948759403"/>
    <n v="313.20976164142951"/>
    <n v="0"/>
    <n v="102303.75900000001"/>
    <n v="409321.67184000002"/>
    <n v="0"/>
    <n v="203394.96118034949"/>
    <n v="417492.32536042022"/>
  </r>
  <r>
    <s v="Sistema de Compensação"/>
    <x v="0"/>
    <x v="2"/>
    <x v="0"/>
    <x v="0"/>
    <x v="0"/>
    <x v="0"/>
    <x v="0"/>
    <x v="7"/>
    <n v="0"/>
    <n v="0"/>
    <n v="8.24"/>
    <n v="8.24"/>
    <n v="8.24"/>
    <n v="8.24"/>
    <n v="0"/>
    <x v="0"/>
    <n v="0"/>
    <n v="0"/>
    <n v="8"/>
    <n v="49"/>
    <n v="0"/>
    <n v="76.75"/>
    <n v="307.08"/>
    <m/>
    <n v="152.59031948759403"/>
    <n v="313.20976164142951"/>
    <n v="0"/>
    <n v="632.42000000000007"/>
    <n v="2530.3391999999999"/>
    <n v="0"/>
    <n v="1257.3442325777748"/>
    <n v="2580.8484359253794"/>
  </r>
  <r>
    <s v="Regular"/>
    <x v="0"/>
    <x v="2"/>
    <x v="0"/>
    <x v="0"/>
    <x v="0"/>
    <x v="0"/>
    <x v="0"/>
    <x v="8"/>
    <n v="0"/>
    <n v="0"/>
    <n v="1192.0219999999999"/>
    <n v="1192.0219999999999"/>
    <n v="1192.0219999999999"/>
    <n v="1192.0219999999999"/>
    <n v="0"/>
    <x v="0"/>
    <n v="0"/>
    <n v="0"/>
    <n v="8"/>
    <n v="49"/>
    <n v="0"/>
    <n v="76.75"/>
    <n v="307.08"/>
    <m/>
    <n v="152.59031948759403"/>
    <n v="313.20976164142951"/>
    <n v="0"/>
    <n v="91487.688499999989"/>
    <n v="366046.11575999996"/>
    <n v="0"/>
    <n v="181891.01781624081"/>
    <n v="373352.92649134004"/>
  </r>
  <r>
    <s v="Sistema de Compensação"/>
    <x v="0"/>
    <x v="2"/>
    <x v="0"/>
    <x v="0"/>
    <x v="0"/>
    <x v="0"/>
    <x v="0"/>
    <x v="8"/>
    <n v="0"/>
    <n v="0"/>
    <n v="9.298"/>
    <n v="9.298"/>
    <n v="9.298"/>
    <n v="9.298"/>
    <n v="0"/>
    <x v="0"/>
    <n v="0"/>
    <n v="0"/>
    <n v="8"/>
    <n v="49"/>
    <n v="0"/>
    <n v="76.75"/>
    <n v="307.08"/>
    <m/>
    <n v="152.59031948759403"/>
    <n v="313.20976164142951"/>
    <n v="0"/>
    <n v="713.62149999999997"/>
    <n v="2855.22984"/>
    <n v="0"/>
    <n v="1418.7847905956494"/>
    <n v="2912.2243637420115"/>
  </r>
  <r>
    <s v="Regular"/>
    <x v="0"/>
    <x v="2"/>
    <x v="0"/>
    <x v="0"/>
    <x v="0"/>
    <x v="0"/>
    <x v="0"/>
    <x v="9"/>
    <n v="0"/>
    <n v="0"/>
    <n v="1102.452"/>
    <n v="1102.452"/>
    <n v="1102.452"/>
    <n v="1102.452"/>
    <n v="0"/>
    <x v="0"/>
    <n v="0"/>
    <n v="0"/>
    <n v="8"/>
    <n v="49"/>
    <n v="0"/>
    <n v="76.75"/>
    <n v="307.08"/>
    <m/>
    <n v="152.59031948759403"/>
    <n v="313.20976164142951"/>
    <n v="0"/>
    <n v="84613.191000000006"/>
    <n v="338540.96015999996"/>
    <n v="0"/>
    <n v="168223.50289973701"/>
    <n v="345298.72814111726"/>
  </r>
  <r>
    <s v="Sistema de Compensação"/>
    <x v="0"/>
    <x v="2"/>
    <x v="0"/>
    <x v="0"/>
    <x v="0"/>
    <x v="0"/>
    <x v="0"/>
    <x v="9"/>
    <n v="0"/>
    <n v="0"/>
    <n v="8.8559999999999999"/>
    <n v="8.8559999999999999"/>
    <n v="8.8559999999999999"/>
    <n v="8.8559999999999999"/>
    <n v="0"/>
    <x v="0"/>
    <n v="0"/>
    <n v="0"/>
    <n v="8"/>
    <n v="49"/>
    <n v="0"/>
    <n v="76.75"/>
    <n v="307.08"/>
    <m/>
    <n v="152.59031948759403"/>
    <n v="313.20976164142951"/>
    <n v="0"/>
    <n v="679.69799999999998"/>
    <n v="2719.5004799999997"/>
    <n v="0"/>
    <n v="1351.3398693821327"/>
    <n v="2773.7856490964996"/>
  </r>
  <r>
    <s v="Regular"/>
    <x v="0"/>
    <x v="2"/>
    <x v="0"/>
    <x v="0"/>
    <x v="0"/>
    <x v="0"/>
    <x v="0"/>
    <x v="10"/>
    <n v="0"/>
    <n v="0"/>
    <n v="1062.107"/>
    <n v="1062.107"/>
    <n v="1062.107"/>
    <n v="1062.107"/>
    <n v="0"/>
    <x v="0"/>
    <n v="0"/>
    <n v="0"/>
    <n v="8"/>
    <n v="49"/>
    <n v="0"/>
    <n v="76.75"/>
    <n v="307.08"/>
    <m/>
    <n v="152.59031948759403"/>
    <n v="313.20976164142951"/>
    <n v="0"/>
    <n v="81516.712249999997"/>
    <n v="326151.81756"/>
    <n v="0"/>
    <n v="162067.24646001004"/>
    <n v="332662.28030769376"/>
  </r>
  <r>
    <s v="Sistema de Compensação"/>
    <x v="0"/>
    <x v="2"/>
    <x v="0"/>
    <x v="0"/>
    <x v="0"/>
    <x v="0"/>
    <x v="0"/>
    <x v="10"/>
    <n v="0"/>
    <n v="0"/>
    <n v="10.065"/>
    <n v="10.065"/>
    <n v="10.065"/>
    <n v="10.065"/>
    <n v="0"/>
    <x v="0"/>
    <n v="0"/>
    <n v="0"/>
    <n v="8"/>
    <n v="49"/>
    <n v="0"/>
    <n v="76.75"/>
    <n v="307.08"/>
    <m/>
    <n v="152.59031948759403"/>
    <n v="313.20976164142951"/>
    <n v="0"/>
    <n v="772.48874999999998"/>
    <n v="3090.7601999999997"/>
    <n v="0"/>
    <n v="1535.8215656426339"/>
    <n v="3152.4562509209877"/>
  </r>
  <r>
    <s v="PROJETADO"/>
    <x v="0"/>
    <x v="2"/>
    <x v="0"/>
    <x v="0"/>
    <x v="0"/>
    <x v="0"/>
    <x v="0"/>
    <x v="11"/>
    <n v="0"/>
    <n v="0"/>
    <n v="1062.107"/>
    <n v="1062.107"/>
    <n v="1062.107"/>
    <n v="1062.107"/>
    <n v="0"/>
    <x v="0"/>
    <n v="0"/>
    <n v="0"/>
    <n v="8"/>
    <n v="49"/>
    <n v="0"/>
    <n v="76.75"/>
    <n v="307.08"/>
    <m/>
    <n v="152.59031948759403"/>
    <n v="313.20976164142951"/>
    <n v="0"/>
    <n v="81516.712249999997"/>
    <n v="326151.81756"/>
    <n v="0"/>
    <n v="162067.24646001004"/>
    <n v="332662.28030769376"/>
  </r>
  <r>
    <s v="PROJETADO"/>
    <x v="0"/>
    <x v="2"/>
    <x v="0"/>
    <x v="0"/>
    <x v="0"/>
    <x v="0"/>
    <x v="0"/>
    <x v="11"/>
    <n v="0"/>
    <n v="0"/>
    <n v="10.065"/>
    <n v="10.065"/>
    <n v="10.065"/>
    <n v="10.065"/>
    <n v="0"/>
    <x v="0"/>
    <n v="0"/>
    <n v="0"/>
    <n v="8"/>
    <n v="49"/>
    <n v="0"/>
    <n v="76.75"/>
    <n v="307.08"/>
    <m/>
    <n v="152.59031948759403"/>
    <n v="313.20976164142951"/>
    <n v="0"/>
    <n v="772.48874999999998"/>
    <n v="3090.7601999999997"/>
    <n v="0"/>
    <n v="1535.8215656426339"/>
    <n v="3152.4562509209877"/>
  </r>
  <r>
    <s v="Regular"/>
    <x v="0"/>
    <x v="2"/>
    <x v="0"/>
    <x v="0"/>
    <x v="0"/>
    <x v="0"/>
    <x v="2"/>
    <x v="0"/>
    <n v="6411"/>
    <n v="6411"/>
    <n v="0"/>
    <n v="0"/>
    <n v="0"/>
    <n v="0"/>
    <n v="52"/>
    <x v="0"/>
    <n v="0"/>
    <n v="6"/>
    <n v="0"/>
    <n v="0"/>
    <n v="16.64"/>
    <n v="0"/>
    <n v="0"/>
    <n v="18.929390865785848"/>
    <m/>
    <m/>
    <n v="106679.04000000001"/>
    <n v="0"/>
    <n v="0"/>
    <n v="121356.32484055308"/>
    <n v="0"/>
    <n v="0"/>
  </r>
  <r>
    <s v="Sistema de Compensação"/>
    <x v="0"/>
    <x v="2"/>
    <x v="0"/>
    <x v="0"/>
    <x v="0"/>
    <x v="0"/>
    <x v="2"/>
    <x v="0"/>
    <n v="334"/>
    <n v="334"/>
    <n v="0"/>
    <n v="0"/>
    <n v="0"/>
    <n v="0"/>
    <n v="3"/>
    <x v="0"/>
    <n v="0"/>
    <n v="6"/>
    <n v="0"/>
    <n v="0"/>
    <n v="16.64"/>
    <n v="0"/>
    <n v="0"/>
    <n v="18.929390865785848"/>
    <m/>
    <m/>
    <n v="5557.76"/>
    <n v="0"/>
    <n v="0"/>
    <n v="6322.4165491724734"/>
    <n v="0"/>
    <n v="0"/>
  </r>
  <r>
    <s v="Regular"/>
    <x v="0"/>
    <x v="2"/>
    <x v="0"/>
    <x v="0"/>
    <x v="0"/>
    <x v="0"/>
    <x v="2"/>
    <x v="1"/>
    <n v="6611"/>
    <n v="6611"/>
    <n v="0"/>
    <n v="0"/>
    <n v="0"/>
    <n v="0"/>
    <n v="52"/>
    <x v="0"/>
    <n v="0"/>
    <n v="6"/>
    <n v="0"/>
    <n v="0"/>
    <n v="16.64"/>
    <n v="0"/>
    <n v="0"/>
    <n v="18.929390865785848"/>
    <m/>
    <m/>
    <n v="110007.04000000001"/>
    <n v="0"/>
    <n v="0"/>
    <n v="125142.20301371024"/>
    <n v="0"/>
    <n v="0"/>
  </r>
  <r>
    <s v="Refaturamento - Regular"/>
    <x v="0"/>
    <x v="2"/>
    <x v="0"/>
    <x v="0"/>
    <x v="0"/>
    <x v="0"/>
    <x v="2"/>
    <x v="1"/>
    <n v="-255"/>
    <n v="-255"/>
    <n v="0"/>
    <n v="0"/>
    <n v="0"/>
    <n v="0"/>
    <n v="0"/>
    <x v="0"/>
    <n v="0"/>
    <n v="6"/>
    <n v="0"/>
    <n v="0"/>
    <n v="16.64"/>
    <n v="0"/>
    <n v="0"/>
    <n v="18.929390865785848"/>
    <m/>
    <m/>
    <n v="-4243.2"/>
    <n v="0"/>
    <n v="0"/>
    <n v="-4826.9946707753916"/>
    <n v="0"/>
    <n v="0"/>
  </r>
  <r>
    <s v="Sistema de Compensação"/>
    <x v="0"/>
    <x v="2"/>
    <x v="0"/>
    <x v="0"/>
    <x v="0"/>
    <x v="0"/>
    <x v="2"/>
    <x v="1"/>
    <n v="315"/>
    <n v="315"/>
    <n v="0"/>
    <n v="0"/>
    <n v="0"/>
    <n v="0"/>
    <n v="3"/>
    <x v="0"/>
    <n v="0"/>
    <n v="6"/>
    <n v="0"/>
    <n v="0"/>
    <n v="16.64"/>
    <n v="0"/>
    <n v="0"/>
    <n v="18.929390865785848"/>
    <m/>
    <m/>
    <n v="5241.6000000000004"/>
    <n v="0"/>
    <n v="0"/>
    <n v="5962.7581227225419"/>
    <n v="0"/>
    <n v="0"/>
  </r>
  <r>
    <s v="Regular"/>
    <x v="0"/>
    <x v="2"/>
    <x v="0"/>
    <x v="0"/>
    <x v="0"/>
    <x v="0"/>
    <x v="2"/>
    <x v="2"/>
    <n v="6437"/>
    <n v="6437"/>
    <n v="0"/>
    <n v="0"/>
    <n v="0"/>
    <n v="0"/>
    <n v="52"/>
    <x v="0"/>
    <n v="0"/>
    <n v="6"/>
    <n v="0"/>
    <n v="0"/>
    <n v="16.64"/>
    <n v="0"/>
    <n v="0"/>
    <n v="18.929390865785848"/>
    <m/>
    <m/>
    <n v="107111.68000000001"/>
    <n v="0"/>
    <n v="0"/>
    <n v="121848.4890030635"/>
    <n v="0"/>
    <n v="0"/>
  </r>
  <r>
    <s v="Refaturamento - Regular"/>
    <x v="0"/>
    <x v="2"/>
    <x v="0"/>
    <x v="0"/>
    <x v="0"/>
    <x v="0"/>
    <x v="2"/>
    <x v="2"/>
    <n v="-20"/>
    <n v="-20"/>
    <n v="0"/>
    <n v="0"/>
    <n v="0"/>
    <n v="0"/>
    <n v="0"/>
    <x v="0"/>
    <n v="0"/>
    <n v="6"/>
    <n v="0"/>
    <n v="0"/>
    <n v="16.64"/>
    <n v="0"/>
    <n v="0"/>
    <n v="18.929390865785848"/>
    <m/>
    <m/>
    <n v="-332.8"/>
    <n v="0"/>
    <n v="0"/>
    <n v="-378.58781731571696"/>
    <n v="0"/>
    <n v="0"/>
  </r>
  <r>
    <s v="Sistema de Compensação"/>
    <x v="0"/>
    <x v="2"/>
    <x v="0"/>
    <x v="0"/>
    <x v="0"/>
    <x v="0"/>
    <x v="2"/>
    <x v="2"/>
    <n v="330"/>
    <n v="330"/>
    <n v="0"/>
    <n v="0"/>
    <n v="0"/>
    <n v="0"/>
    <n v="3"/>
    <x v="0"/>
    <n v="0"/>
    <n v="6"/>
    <n v="0"/>
    <n v="0"/>
    <n v="16.64"/>
    <n v="0"/>
    <n v="0"/>
    <n v="18.929390865785848"/>
    <m/>
    <m/>
    <n v="5491.2"/>
    <n v="0"/>
    <n v="0"/>
    <n v="6246.6989857093295"/>
    <n v="0"/>
    <n v="0"/>
  </r>
  <r>
    <s v="Regular"/>
    <x v="0"/>
    <x v="2"/>
    <x v="0"/>
    <x v="0"/>
    <x v="0"/>
    <x v="0"/>
    <x v="2"/>
    <x v="3"/>
    <n v="6615"/>
    <n v="6615"/>
    <n v="0"/>
    <n v="0"/>
    <n v="0"/>
    <n v="0"/>
    <n v="52"/>
    <x v="0"/>
    <n v="0"/>
    <n v="6"/>
    <n v="0"/>
    <n v="0"/>
    <n v="16.64"/>
    <n v="0"/>
    <n v="0"/>
    <n v="18.929390865785848"/>
    <m/>
    <m/>
    <n v="110073.60000000001"/>
    <n v="0"/>
    <n v="0"/>
    <n v="125217.92057717338"/>
    <n v="0"/>
    <n v="0"/>
  </r>
  <r>
    <s v="Sistema de Compensação"/>
    <x v="0"/>
    <x v="2"/>
    <x v="0"/>
    <x v="0"/>
    <x v="0"/>
    <x v="0"/>
    <x v="2"/>
    <x v="3"/>
    <n v="330"/>
    <n v="330"/>
    <n v="0"/>
    <n v="0"/>
    <n v="0"/>
    <n v="0"/>
    <n v="3"/>
    <x v="0"/>
    <n v="0"/>
    <n v="6"/>
    <n v="0"/>
    <n v="0"/>
    <n v="16.64"/>
    <n v="0"/>
    <n v="0"/>
    <n v="18.929390865785848"/>
    <m/>
    <m/>
    <n v="5491.2"/>
    <n v="0"/>
    <n v="0"/>
    <n v="6246.6989857093295"/>
    <n v="0"/>
    <n v="0"/>
  </r>
  <r>
    <s v="Regular"/>
    <x v="0"/>
    <x v="2"/>
    <x v="0"/>
    <x v="0"/>
    <x v="0"/>
    <x v="0"/>
    <x v="2"/>
    <x v="4"/>
    <n v="6484"/>
    <n v="6484"/>
    <n v="0"/>
    <n v="0"/>
    <n v="0"/>
    <n v="0"/>
    <n v="53"/>
    <x v="0"/>
    <n v="0"/>
    <n v="6"/>
    <n v="0"/>
    <n v="0"/>
    <n v="16.64"/>
    <n v="0"/>
    <n v="0"/>
    <n v="18.929390865785848"/>
    <m/>
    <m/>
    <n v="107893.76000000001"/>
    <n v="0"/>
    <n v="0"/>
    <n v="122738.17037375543"/>
    <n v="0"/>
    <n v="0"/>
  </r>
  <r>
    <s v="Sistema de Compensação"/>
    <x v="0"/>
    <x v="2"/>
    <x v="0"/>
    <x v="0"/>
    <x v="0"/>
    <x v="0"/>
    <x v="2"/>
    <x v="4"/>
    <n v="338"/>
    <n v="338"/>
    <n v="0"/>
    <n v="0"/>
    <n v="0"/>
    <n v="0"/>
    <n v="3"/>
    <x v="0"/>
    <n v="0"/>
    <n v="6"/>
    <n v="0"/>
    <n v="0"/>
    <n v="16.64"/>
    <n v="0"/>
    <n v="0"/>
    <n v="18.929390865785848"/>
    <m/>
    <m/>
    <n v="5624.3200000000006"/>
    <n v="0"/>
    <n v="0"/>
    <n v="6398.1341126356165"/>
    <n v="0"/>
    <n v="0"/>
  </r>
  <r>
    <s v="Regular"/>
    <x v="0"/>
    <x v="2"/>
    <x v="0"/>
    <x v="0"/>
    <x v="0"/>
    <x v="0"/>
    <x v="2"/>
    <x v="5"/>
    <n v="6696"/>
    <n v="6696"/>
    <n v="0"/>
    <n v="0"/>
    <n v="0"/>
    <n v="0"/>
    <n v="54"/>
    <x v="0"/>
    <n v="0"/>
    <n v="6"/>
    <n v="0"/>
    <n v="0"/>
    <n v="16.64"/>
    <n v="0"/>
    <n v="0"/>
    <n v="18.929390865785848"/>
    <m/>
    <m/>
    <n v="111421.44"/>
    <n v="0"/>
    <n v="0"/>
    <n v="126751.20123730204"/>
    <n v="0"/>
    <n v="0"/>
  </r>
  <r>
    <s v="Sistema de Compensação"/>
    <x v="0"/>
    <x v="2"/>
    <x v="0"/>
    <x v="0"/>
    <x v="0"/>
    <x v="0"/>
    <x v="2"/>
    <x v="5"/>
    <n v="330"/>
    <n v="330"/>
    <n v="0"/>
    <n v="0"/>
    <n v="0"/>
    <n v="0"/>
    <n v="3"/>
    <x v="0"/>
    <n v="0"/>
    <n v="6"/>
    <n v="0"/>
    <n v="0"/>
    <n v="16.64"/>
    <n v="0"/>
    <n v="0"/>
    <n v="18.929390865785848"/>
    <m/>
    <m/>
    <n v="5491.2"/>
    <n v="0"/>
    <n v="0"/>
    <n v="6246.6989857093295"/>
    <n v="0"/>
    <n v="0"/>
  </r>
  <r>
    <s v="Regular"/>
    <x v="0"/>
    <x v="2"/>
    <x v="0"/>
    <x v="0"/>
    <x v="0"/>
    <x v="0"/>
    <x v="2"/>
    <x v="6"/>
    <n v="6600"/>
    <n v="6600"/>
    <n v="0"/>
    <n v="0"/>
    <n v="0"/>
    <n v="0"/>
    <n v="52"/>
    <x v="0"/>
    <n v="0"/>
    <n v="6"/>
    <n v="0"/>
    <n v="0"/>
    <n v="16.64"/>
    <n v="0"/>
    <n v="0"/>
    <n v="18.929390865785848"/>
    <m/>
    <m/>
    <n v="109824"/>
    <n v="0"/>
    <n v="0"/>
    <n v="124933.9797141866"/>
    <n v="0"/>
    <n v="0"/>
  </r>
  <r>
    <s v="Sistema de Compensação"/>
    <x v="0"/>
    <x v="2"/>
    <x v="0"/>
    <x v="0"/>
    <x v="0"/>
    <x v="0"/>
    <x v="2"/>
    <x v="6"/>
    <n v="330"/>
    <n v="330"/>
    <n v="0"/>
    <n v="0"/>
    <n v="0"/>
    <n v="0"/>
    <n v="3"/>
    <x v="0"/>
    <n v="0"/>
    <n v="6"/>
    <n v="0"/>
    <n v="0"/>
    <n v="16.64"/>
    <n v="0"/>
    <n v="0"/>
    <n v="18.929390865785848"/>
    <m/>
    <m/>
    <n v="5491.2"/>
    <n v="0"/>
    <n v="0"/>
    <n v="6246.6989857093295"/>
    <n v="0"/>
    <n v="0"/>
  </r>
  <r>
    <s v="Regular"/>
    <x v="0"/>
    <x v="2"/>
    <x v="0"/>
    <x v="0"/>
    <x v="0"/>
    <x v="0"/>
    <x v="2"/>
    <x v="7"/>
    <n v="6317"/>
    <n v="6317"/>
    <n v="0"/>
    <n v="0"/>
    <n v="0"/>
    <n v="0"/>
    <n v="50"/>
    <x v="0"/>
    <n v="0"/>
    <n v="6"/>
    <n v="0"/>
    <n v="0"/>
    <n v="16.64"/>
    <n v="0"/>
    <n v="0"/>
    <n v="18.929390865785848"/>
    <m/>
    <m/>
    <n v="105114.88"/>
    <n v="0"/>
    <n v="0"/>
    <n v="119576.96209916921"/>
    <n v="0"/>
    <n v="0"/>
  </r>
  <r>
    <s v="Refaturamento - Regular"/>
    <x v="0"/>
    <x v="2"/>
    <x v="0"/>
    <x v="0"/>
    <x v="0"/>
    <x v="0"/>
    <x v="2"/>
    <x v="7"/>
    <n v="40"/>
    <n v="40"/>
    <n v="0"/>
    <n v="0"/>
    <n v="0"/>
    <n v="0"/>
    <n v="0"/>
    <x v="0"/>
    <n v="0"/>
    <n v="6"/>
    <n v="0"/>
    <n v="0"/>
    <n v="16.64"/>
    <n v="0"/>
    <n v="0"/>
    <n v="18.929390865785848"/>
    <m/>
    <m/>
    <n v="665.6"/>
    <n v="0"/>
    <n v="0"/>
    <n v="757.17563463143392"/>
    <n v="0"/>
    <n v="0"/>
  </r>
  <r>
    <s v="Sistema de Compensação"/>
    <x v="0"/>
    <x v="2"/>
    <x v="0"/>
    <x v="0"/>
    <x v="0"/>
    <x v="0"/>
    <x v="2"/>
    <x v="7"/>
    <n v="341"/>
    <n v="341"/>
    <n v="0"/>
    <n v="0"/>
    <n v="0"/>
    <n v="0"/>
    <n v="3"/>
    <x v="0"/>
    <n v="0"/>
    <n v="6"/>
    <n v="0"/>
    <n v="0"/>
    <n v="16.64"/>
    <n v="0"/>
    <n v="0"/>
    <n v="18.929390865785848"/>
    <m/>
    <m/>
    <n v="5674.24"/>
    <n v="0"/>
    <n v="0"/>
    <n v="6454.922285232974"/>
    <n v="0"/>
    <n v="0"/>
  </r>
  <r>
    <s v="Regular"/>
    <x v="0"/>
    <x v="2"/>
    <x v="0"/>
    <x v="0"/>
    <x v="0"/>
    <x v="0"/>
    <x v="2"/>
    <x v="8"/>
    <n v="6239"/>
    <n v="6239"/>
    <n v="0"/>
    <n v="0"/>
    <n v="0"/>
    <n v="0"/>
    <n v="53"/>
    <x v="0"/>
    <n v="0"/>
    <n v="6"/>
    <n v="0"/>
    <n v="0"/>
    <n v="16.64"/>
    <n v="0"/>
    <n v="0"/>
    <n v="18.929390865785848"/>
    <m/>
    <m/>
    <n v="103816.96000000001"/>
    <n v="0"/>
    <n v="0"/>
    <n v="118100.46961163791"/>
    <n v="0"/>
    <n v="0"/>
  </r>
  <r>
    <s v="Sistema de Compensação"/>
    <x v="0"/>
    <x v="2"/>
    <x v="0"/>
    <x v="0"/>
    <x v="0"/>
    <x v="0"/>
    <x v="2"/>
    <x v="8"/>
    <n v="331"/>
    <n v="331"/>
    <n v="0"/>
    <n v="0"/>
    <n v="0"/>
    <n v="0"/>
    <n v="3"/>
    <x v="0"/>
    <n v="0"/>
    <n v="6"/>
    <n v="0"/>
    <n v="0"/>
    <n v="16.64"/>
    <n v="0"/>
    <n v="0"/>
    <n v="18.929390865785848"/>
    <m/>
    <m/>
    <n v="5507.84"/>
    <n v="0"/>
    <n v="0"/>
    <n v="6265.6283765751159"/>
    <n v="0"/>
    <n v="0"/>
  </r>
  <r>
    <s v="Regular"/>
    <x v="0"/>
    <x v="2"/>
    <x v="0"/>
    <x v="0"/>
    <x v="0"/>
    <x v="0"/>
    <x v="2"/>
    <x v="9"/>
    <n v="6268"/>
    <n v="6268"/>
    <n v="0"/>
    <n v="0"/>
    <n v="0"/>
    <n v="0"/>
    <n v="53"/>
    <x v="0"/>
    <n v="0"/>
    <n v="6"/>
    <n v="0"/>
    <n v="0"/>
    <n v="16.64"/>
    <n v="0"/>
    <n v="0"/>
    <n v="18.929390865785848"/>
    <m/>
    <m/>
    <n v="104299.52"/>
    <n v="0"/>
    <n v="0"/>
    <n v="118649.4219467457"/>
    <n v="0"/>
    <n v="0"/>
  </r>
  <r>
    <s v="Sistema de Compensação"/>
    <x v="0"/>
    <x v="2"/>
    <x v="0"/>
    <x v="0"/>
    <x v="0"/>
    <x v="0"/>
    <x v="2"/>
    <x v="9"/>
    <n v="330"/>
    <n v="330"/>
    <n v="0"/>
    <n v="0"/>
    <n v="0"/>
    <n v="0"/>
    <n v="3"/>
    <x v="0"/>
    <n v="0"/>
    <n v="6"/>
    <n v="0"/>
    <n v="0"/>
    <n v="16.64"/>
    <n v="0"/>
    <n v="0"/>
    <n v="18.929390865785848"/>
    <m/>
    <m/>
    <n v="5491.2"/>
    <n v="0"/>
    <n v="0"/>
    <n v="6246.6989857093295"/>
    <n v="0"/>
    <n v="0"/>
  </r>
  <r>
    <s v="Regular"/>
    <x v="0"/>
    <x v="2"/>
    <x v="0"/>
    <x v="0"/>
    <x v="0"/>
    <x v="0"/>
    <x v="2"/>
    <x v="10"/>
    <n v="6073"/>
    <n v="6073"/>
    <n v="0"/>
    <n v="0"/>
    <n v="0"/>
    <n v="0"/>
    <n v="52"/>
    <x v="0"/>
    <n v="0"/>
    <n v="6"/>
    <n v="0"/>
    <n v="0"/>
    <n v="16.64"/>
    <n v="0"/>
    <n v="0"/>
    <n v="18.929390865785848"/>
    <m/>
    <m/>
    <n v="101054.72"/>
    <n v="0"/>
    <n v="0"/>
    <n v="114958.19072791745"/>
    <n v="0"/>
    <n v="0"/>
  </r>
  <r>
    <s v="Sistema de Compensação"/>
    <x v="0"/>
    <x v="2"/>
    <x v="0"/>
    <x v="0"/>
    <x v="0"/>
    <x v="0"/>
    <x v="2"/>
    <x v="10"/>
    <n v="353"/>
    <n v="353"/>
    <n v="0"/>
    <n v="0"/>
    <n v="0"/>
    <n v="0"/>
    <n v="3"/>
    <x v="0"/>
    <n v="0"/>
    <n v="6"/>
    <n v="0"/>
    <n v="0"/>
    <n v="16.64"/>
    <n v="0"/>
    <n v="0"/>
    <n v="18.929390865785848"/>
    <m/>
    <m/>
    <n v="5873.92"/>
    <n v="0"/>
    <n v="0"/>
    <n v="6682.0749756224041"/>
    <n v="0"/>
    <n v="0"/>
  </r>
  <r>
    <s v="PROJETADO"/>
    <x v="0"/>
    <x v="2"/>
    <x v="0"/>
    <x v="0"/>
    <x v="0"/>
    <x v="0"/>
    <x v="2"/>
    <x v="11"/>
    <n v="6073"/>
    <n v="6073"/>
    <n v="0"/>
    <n v="0"/>
    <n v="0"/>
    <n v="0"/>
    <n v="52"/>
    <x v="0"/>
    <n v="0"/>
    <n v="6"/>
    <n v="0"/>
    <n v="0"/>
    <n v="16.64"/>
    <n v="0"/>
    <n v="0"/>
    <n v="18.929390865785848"/>
    <m/>
    <m/>
    <n v="101054.72"/>
    <n v="0"/>
    <n v="0"/>
    <n v="114958.19072791745"/>
    <n v="0"/>
    <n v="0"/>
  </r>
  <r>
    <s v="PROJETADO"/>
    <x v="0"/>
    <x v="2"/>
    <x v="0"/>
    <x v="0"/>
    <x v="0"/>
    <x v="0"/>
    <x v="2"/>
    <x v="11"/>
    <n v="353"/>
    <n v="353"/>
    <n v="0"/>
    <n v="0"/>
    <n v="0"/>
    <n v="0"/>
    <n v="3"/>
    <x v="0"/>
    <n v="0"/>
    <n v="6"/>
    <n v="0"/>
    <n v="0"/>
    <n v="16.64"/>
    <n v="0"/>
    <n v="0"/>
    <n v="18.929390865785848"/>
    <m/>
    <m/>
    <n v="5873.92"/>
    <n v="0"/>
    <n v="0"/>
    <n v="6682.0749756224041"/>
    <n v="0"/>
    <n v="0"/>
  </r>
  <r>
    <s v="Regular"/>
    <x v="0"/>
    <x v="2"/>
    <x v="0"/>
    <x v="0"/>
    <x v="0"/>
    <x v="0"/>
    <x v="1"/>
    <x v="0"/>
    <n v="0"/>
    <n v="0"/>
    <n v="51.628999999999998"/>
    <n v="51.628999999999998"/>
    <n v="51.628999999999998"/>
    <n v="51.628999999999998"/>
    <n v="0"/>
    <x v="0"/>
    <n v="0"/>
    <n v="0"/>
    <n v="7"/>
    <n v="48"/>
    <n v="0"/>
    <n v="1326.39"/>
    <n v="492.64"/>
    <m/>
    <n v="1578.6481033476041"/>
    <n v="499.13928219176387"/>
    <n v="0"/>
    <n v="68480.189310000002"/>
    <n v="25434.510559999999"/>
    <n v="0"/>
    <n v="81504.022927733444"/>
    <n v="25770.062000278576"/>
  </r>
  <r>
    <s v="Sistema de Compensação"/>
    <x v="0"/>
    <x v="2"/>
    <x v="0"/>
    <x v="0"/>
    <x v="0"/>
    <x v="0"/>
    <x v="1"/>
    <x v="0"/>
    <n v="0"/>
    <n v="0"/>
    <n v="3.55"/>
    <n v="3.55"/>
    <n v="3.55"/>
    <n v="3.55"/>
    <n v="0"/>
    <x v="0"/>
    <n v="0"/>
    <n v="0"/>
    <n v="7"/>
    <n v="48"/>
    <n v="0"/>
    <n v="1326.39"/>
    <n v="492.64"/>
    <m/>
    <n v="1578.6481033476041"/>
    <n v="499.13928219176387"/>
    <n v="0"/>
    <n v="4708.6845000000003"/>
    <n v="1748.8719999999998"/>
    <n v="0"/>
    <n v="5604.2007668839942"/>
    <n v="1771.9444517807617"/>
  </r>
  <r>
    <s v="Regular"/>
    <x v="0"/>
    <x v="2"/>
    <x v="0"/>
    <x v="0"/>
    <x v="0"/>
    <x v="0"/>
    <x v="1"/>
    <x v="1"/>
    <n v="0"/>
    <n v="0"/>
    <n v="55.1"/>
    <n v="55.1"/>
    <n v="55.1"/>
    <n v="55.1"/>
    <n v="0"/>
    <x v="0"/>
    <n v="0"/>
    <n v="0"/>
    <n v="7"/>
    <n v="48"/>
    <n v="0"/>
    <n v="1326.39"/>
    <n v="492.64"/>
    <m/>
    <n v="1578.6481033476041"/>
    <n v="499.13928219176387"/>
    <n v="0"/>
    <n v="73084.089000000007"/>
    <n v="27144.464"/>
    <n v="0"/>
    <n v="86983.510494452988"/>
    <n v="27502.57444876619"/>
  </r>
  <r>
    <s v="Sistema de Compensação"/>
    <x v="0"/>
    <x v="2"/>
    <x v="0"/>
    <x v="0"/>
    <x v="0"/>
    <x v="0"/>
    <x v="1"/>
    <x v="1"/>
    <n v="0"/>
    <n v="0"/>
    <n v="2.2250000000000001"/>
    <n v="2.2250000000000001"/>
    <n v="2.2250000000000001"/>
    <n v="2.2250000000000001"/>
    <n v="0"/>
    <x v="0"/>
    <n v="0"/>
    <n v="0"/>
    <n v="7"/>
    <n v="48"/>
    <n v="0"/>
    <n v="1326.39"/>
    <n v="492.64"/>
    <m/>
    <n v="1578.6481033476041"/>
    <n v="499.13928219176387"/>
    <n v="0"/>
    <n v="2951.2177500000003"/>
    <n v="1096.124"/>
    <n v="0"/>
    <n v="3512.4920299484193"/>
    <n v="1110.5849028766747"/>
  </r>
  <r>
    <s v="Regular"/>
    <x v="0"/>
    <x v="2"/>
    <x v="0"/>
    <x v="0"/>
    <x v="0"/>
    <x v="0"/>
    <x v="1"/>
    <x v="2"/>
    <n v="0"/>
    <n v="0"/>
    <n v="46.735999999999997"/>
    <n v="46.735999999999997"/>
    <n v="46.735999999999997"/>
    <n v="46.735999999999997"/>
    <n v="0"/>
    <x v="0"/>
    <n v="0"/>
    <n v="0"/>
    <n v="7"/>
    <n v="48"/>
    <n v="0"/>
    <n v="1326.39"/>
    <n v="492.64"/>
    <m/>
    <n v="1578.6481033476041"/>
    <n v="499.13928219176387"/>
    <n v="0"/>
    <n v="61990.163039999999"/>
    <n v="23024.023039999996"/>
    <n v="0"/>
    <n v="73779.697758053619"/>
    <n v="23327.773492514276"/>
  </r>
  <r>
    <s v="Sistema de Compensação"/>
    <x v="0"/>
    <x v="2"/>
    <x v="0"/>
    <x v="0"/>
    <x v="0"/>
    <x v="0"/>
    <x v="1"/>
    <x v="2"/>
    <n v="0"/>
    <n v="0"/>
    <n v="1.6439999999999999"/>
    <n v="1.6439999999999999"/>
    <n v="1.6439999999999999"/>
    <n v="1.6439999999999999"/>
    <n v="0"/>
    <x v="0"/>
    <n v="0"/>
    <n v="0"/>
    <n v="7"/>
    <n v="48"/>
    <n v="0"/>
    <n v="1326.39"/>
    <n v="492.64"/>
    <m/>
    <n v="1578.6481033476041"/>
    <n v="499.13928219176387"/>
    <n v="0"/>
    <n v="2180.5851600000001"/>
    <n v="809.90015999999991"/>
    <n v="0"/>
    <n v="2595.2974819034612"/>
    <n v="820.58497992325977"/>
  </r>
  <r>
    <s v="Regular"/>
    <x v="0"/>
    <x v="2"/>
    <x v="0"/>
    <x v="0"/>
    <x v="0"/>
    <x v="0"/>
    <x v="1"/>
    <x v="3"/>
    <n v="0"/>
    <n v="0"/>
    <n v="52.856999999999999"/>
    <n v="52.856999999999999"/>
    <n v="52.856999999999999"/>
    <n v="52.856999999999999"/>
    <n v="0"/>
    <x v="0"/>
    <n v="0"/>
    <n v="0"/>
    <n v="7"/>
    <n v="48"/>
    <n v="0"/>
    <n v="1326.39"/>
    <n v="492.64"/>
    <m/>
    <n v="1578.6481033476041"/>
    <n v="499.13928219176387"/>
    <n v="0"/>
    <n v="70108.996230000004"/>
    <n v="26039.47248"/>
    <n v="0"/>
    <n v="83442.602798644308"/>
    <n v="26383.005038810061"/>
  </r>
  <r>
    <s v="Sistema de Compensação"/>
    <x v="0"/>
    <x v="2"/>
    <x v="0"/>
    <x v="0"/>
    <x v="0"/>
    <x v="0"/>
    <x v="1"/>
    <x v="3"/>
    <n v="0"/>
    <n v="0"/>
    <n v="2.1280000000000001"/>
    <n v="2.1280000000000001"/>
    <n v="2.1280000000000001"/>
    <n v="2.1280000000000001"/>
    <n v="0"/>
    <x v="0"/>
    <n v="0"/>
    <n v="0"/>
    <n v="7"/>
    <n v="48"/>
    <n v="0"/>
    <n v="1326.39"/>
    <n v="492.64"/>
    <m/>
    <n v="1578.6481033476041"/>
    <n v="499.13928219176387"/>
    <n v="0"/>
    <n v="2822.5579200000002"/>
    <n v="1048.3379199999999"/>
    <n v="0"/>
    <n v="3359.3631639237019"/>
    <n v="1062.1683925040736"/>
  </r>
  <r>
    <s v="Regular"/>
    <x v="0"/>
    <x v="2"/>
    <x v="0"/>
    <x v="0"/>
    <x v="0"/>
    <x v="0"/>
    <x v="1"/>
    <x v="4"/>
    <n v="0"/>
    <n v="0"/>
    <n v="45.36"/>
    <n v="45.36"/>
    <n v="45.36"/>
    <n v="45.36"/>
    <n v="0"/>
    <x v="0"/>
    <n v="0"/>
    <n v="0"/>
    <n v="7"/>
    <n v="48"/>
    <n v="0"/>
    <n v="1326.39"/>
    <n v="492.64"/>
    <m/>
    <n v="1578.6481033476041"/>
    <n v="499.13928219176387"/>
    <n v="0"/>
    <n v="60165.050400000007"/>
    <n v="22346.150399999999"/>
    <n v="0"/>
    <n v="71607.477967847328"/>
    <n v="22640.957840218409"/>
  </r>
  <r>
    <s v="Sistema de Compensação"/>
    <x v="0"/>
    <x v="2"/>
    <x v="0"/>
    <x v="0"/>
    <x v="0"/>
    <x v="0"/>
    <x v="1"/>
    <x v="4"/>
    <n v="0"/>
    <n v="0"/>
    <n v="1.5409999999999999"/>
    <n v="1.5409999999999999"/>
    <n v="1.5409999999999999"/>
    <n v="1.5409999999999999"/>
    <n v="0"/>
    <x v="0"/>
    <n v="0"/>
    <n v="0"/>
    <n v="7"/>
    <n v="48"/>
    <n v="0"/>
    <n v="1326.39"/>
    <n v="492.64"/>
    <m/>
    <n v="1578.6481033476041"/>
    <n v="499.13928219176387"/>
    <n v="0"/>
    <n v="2043.9669900000001"/>
    <n v="759.15823999999998"/>
    <n v="0"/>
    <n v="2432.6967272586576"/>
    <n v="769.17363385750809"/>
  </r>
  <r>
    <s v="Regular"/>
    <x v="0"/>
    <x v="2"/>
    <x v="0"/>
    <x v="0"/>
    <x v="0"/>
    <x v="0"/>
    <x v="1"/>
    <x v="5"/>
    <n v="0"/>
    <n v="0"/>
    <n v="60.969000000000001"/>
    <n v="60.969000000000001"/>
    <n v="60.969000000000001"/>
    <n v="60.969000000000001"/>
    <n v="0"/>
    <x v="0"/>
    <n v="0"/>
    <n v="0"/>
    <n v="7"/>
    <n v="48"/>
    <n v="0"/>
    <n v="1326.39"/>
    <n v="492.64"/>
    <m/>
    <n v="1578.6481033476041"/>
    <n v="499.13928219176387"/>
    <n v="0"/>
    <n v="80868.671910000005"/>
    <n v="30035.76816"/>
    <n v="0"/>
    <n v="96248.59621300007"/>
    <n v="30432.022895949653"/>
  </r>
  <r>
    <s v="Sistema de Compensação"/>
    <x v="0"/>
    <x v="2"/>
    <x v="0"/>
    <x v="0"/>
    <x v="0"/>
    <x v="0"/>
    <x v="1"/>
    <x v="5"/>
    <n v="0"/>
    <n v="0"/>
    <n v="0.95899999999999996"/>
    <n v="0.95899999999999996"/>
    <n v="0.95899999999999996"/>
    <n v="0.95899999999999996"/>
    <n v="0"/>
    <x v="0"/>
    <n v="0"/>
    <n v="0"/>
    <n v="7"/>
    <n v="48"/>
    <n v="0"/>
    <n v="1326.39"/>
    <n v="492.64"/>
    <m/>
    <n v="1578.6481033476041"/>
    <n v="499.13928219176387"/>
    <n v="0"/>
    <n v="1272.00801"/>
    <n v="472.44175999999999"/>
    <n v="0"/>
    <n v="1513.9235311103523"/>
    <n v="478.67457162190152"/>
  </r>
  <r>
    <s v="Regular"/>
    <x v="0"/>
    <x v="2"/>
    <x v="0"/>
    <x v="0"/>
    <x v="0"/>
    <x v="0"/>
    <x v="1"/>
    <x v="6"/>
    <n v="0"/>
    <n v="0"/>
    <n v="71.149000000000001"/>
    <n v="71.149000000000001"/>
    <n v="71.149000000000001"/>
    <n v="71.149000000000001"/>
    <n v="0"/>
    <x v="0"/>
    <n v="0"/>
    <n v="0"/>
    <n v="7"/>
    <n v="48"/>
    <n v="0"/>
    <n v="1326.39"/>
    <n v="492.64"/>
    <m/>
    <n v="1578.6481033476041"/>
    <n v="499.13928219176387"/>
    <n v="0"/>
    <n v="94371.322110000008"/>
    <n v="35050.843359999999"/>
    <n v="0"/>
    <n v="112319.23390507868"/>
    <n v="35513.260788661806"/>
  </r>
  <r>
    <s v="Sistema de Compensação"/>
    <x v="0"/>
    <x v="2"/>
    <x v="0"/>
    <x v="0"/>
    <x v="0"/>
    <x v="0"/>
    <x v="1"/>
    <x v="6"/>
    <n v="0"/>
    <n v="0"/>
    <n v="1.4330000000000001"/>
    <n v="1.4330000000000001"/>
    <n v="1.4330000000000001"/>
    <n v="1.4330000000000001"/>
    <n v="0"/>
    <x v="0"/>
    <n v="0"/>
    <n v="0"/>
    <n v="7"/>
    <n v="48"/>
    <n v="0"/>
    <n v="1326.39"/>
    <n v="492.64"/>
    <m/>
    <n v="1578.6481033476041"/>
    <n v="499.13928219176387"/>
    <n v="0"/>
    <n v="1900.7168700000002"/>
    <n v="705.95312000000001"/>
    <n v="0"/>
    <n v="2262.202732097117"/>
    <n v="715.26659138079765"/>
  </r>
  <r>
    <s v="Regular"/>
    <x v="0"/>
    <x v="2"/>
    <x v="0"/>
    <x v="0"/>
    <x v="0"/>
    <x v="0"/>
    <x v="1"/>
    <x v="7"/>
    <n v="0"/>
    <n v="0"/>
    <n v="64.92"/>
    <n v="64.92"/>
    <n v="64.92"/>
    <n v="64.92"/>
    <n v="0"/>
    <x v="0"/>
    <n v="0"/>
    <n v="0"/>
    <n v="7"/>
    <n v="48"/>
    <n v="0"/>
    <n v="1326.39"/>
    <n v="492.64"/>
    <m/>
    <n v="1578.6481033476041"/>
    <n v="499.13928219176387"/>
    <n v="0"/>
    <n v="86109.238800000006"/>
    <n v="31982.1888"/>
    <n v="0"/>
    <n v="102485.83486932646"/>
    <n v="32404.122199889312"/>
  </r>
  <r>
    <s v="Sistema de Compensação"/>
    <x v="0"/>
    <x v="2"/>
    <x v="0"/>
    <x v="0"/>
    <x v="0"/>
    <x v="0"/>
    <x v="1"/>
    <x v="7"/>
    <n v="0"/>
    <n v="0"/>
    <n v="1.919"/>
    <n v="1.919"/>
    <n v="1.919"/>
    <n v="1.919"/>
    <n v="0"/>
    <x v="0"/>
    <n v="0"/>
    <n v="0"/>
    <n v="7"/>
    <n v="48"/>
    <n v="0"/>
    <n v="1326.39"/>
    <n v="492.64"/>
    <m/>
    <n v="1578.6481033476041"/>
    <n v="499.13928219176387"/>
    <n v="0"/>
    <n v="2545.3424100000002"/>
    <n v="945.37616000000003"/>
    <n v="0"/>
    <n v="3029.4257103240525"/>
    <n v="957.84828252599493"/>
  </r>
  <r>
    <s v="Regular"/>
    <x v="0"/>
    <x v="2"/>
    <x v="0"/>
    <x v="0"/>
    <x v="0"/>
    <x v="0"/>
    <x v="1"/>
    <x v="8"/>
    <n v="0"/>
    <n v="0"/>
    <n v="46.058999999999997"/>
    <n v="46.058999999999997"/>
    <n v="46.058999999999997"/>
    <n v="46.058999999999997"/>
    <n v="0"/>
    <x v="0"/>
    <n v="0"/>
    <n v="0"/>
    <n v="7"/>
    <n v="48"/>
    <n v="0"/>
    <n v="1326.39"/>
    <n v="492.64"/>
    <m/>
    <n v="1578.6481033476041"/>
    <n v="499.13928219176387"/>
    <n v="0"/>
    <n v="61092.197010000004"/>
    <n v="22690.505759999996"/>
    <n v="0"/>
    <n v="72710.952992087288"/>
    <n v="22989.85619847045"/>
  </r>
  <r>
    <s v="Sistema de Compensação"/>
    <x v="0"/>
    <x v="2"/>
    <x v="0"/>
    <x v="0"/>
    <x v="0"/>
    <x v="0"/>
    <x v="1"/>
    <x v="8"/>
    <n v="0"/>
    <n v="0"/>
    <n v="1.7290000000000001"/>
    <n v="1.7290000000000001"/>
    <n v="1.7290000000000001"/>
    <n v="1.7290000000000001"/>
    <n v="0"/>
    <x v="0"/>
    <n v="0"/>
    <n v="0"/>
    <n v="7"/>
    <n v="48"/>
    <n v="0"/>
    <n v="1326.39"/>
    <n v="492.64"/>
    <m/>
    <n v="1578.6481033476041"/>
    <n v="499.13928219176387"/>
    <n v="0"/>
    <n v="2293.3283100000003"/>
    <n v="851.77456000000006"/>
    <n v="0"/>
    <n v="2729.4825706880074"/>
    <n v="863.01181890955979"/>
  </r>
  <r>
    <s v="Regular"/>
    <x v="0"/>
    <x v="2"/>
    <x v="0"/>
    <x v="0"/>
    <x v="0"/>
    <x v="0"/>
    <x v="1"/>
    <x v="9"/>
    <n v="0"/>
    <n v="0"/>
    <n v="49.101999999999997"/>
    <n v="49.101999999999997"/>
    <n v="49.101999999999997"/>
    <n v="49.101999999999997"/>
    <n v="0"/>
    <x v="0"/>
    <n v="0"/>
    <n v="0"/>
    <n v="7"/>
    <n v="48"/>
    <n v="0"/>
    <n v="1326.39"/>
    <n v="492.64"/>
    <m/>
    <n v="1578.6481033476041"/>
    <n v="499.13928219176387"/>
    <n v="0"/>
    <n v="65128.40178"/>
    <n v="24189.609279999997"/>
    <n v="0"/>
    <n v="77514.779170574053"/>
    <n v="24508.737034179987"/>
  </r>
  <r>
    <s v="Sistema de Compensação"/>
    <x v="0"/>
    <x v="2"/>
    <x v="0"/>
    <x v="0"/>
    <x v="0"/>
    <x v="0"/>
    <x v="1"/>
    <x v="9"/>
    <n v="0"/>
    <n v="0"/>
    <n v="1.7809999999999999"/>
    <n v="1.7809999999999999"/>
    <n v="1.7809999999999999"/>
    <n v="1.7809999999999999"/>
    <n v="0"/>
    <x v="0"/>
    <n v="0"/>
    <n v="0"/>
    <n v="7"/>
    <n v="48"/>
    <n v="0"/>
    <n v="1326.39"/>
    <n v="492.64"/>
    <m/>
    <n v="1578.6481033476041"/>
    <n v="499.13928219176387"/>
    <n v="0"/>
    <n v="2362.3005900000003"/>
    <n v="877.39183999999989"/>
    <n v="0"/>
    <n v="2811.5722720620829"/>
    <n v="888.9670615835314"/>
  </r>
  <r>
    <s v="Regular"/>
    <x v="0"/>
    <x v="2"/>
    <x v="0"/>
    <x v="0"/>
    <x v="0"/>
    <x v="0"/>
    <x v="1"/>
    <x v="10"/>
    <n v="0"/>
    <n v="0"/>
    <n v="42.006"/>
    <n v="42.006"/>
    <n v="42.006"/>
    <n v="42.006"/>
    <n v="0"/>
    <x v="0"/>
    <n v="0"/>
    <n v="0"/>
    <n v="7"/>
    <n v="48"/>
    <n v="0"/>
    <n v="1326.39"/>
    <n v="492.64"/>
    <m/>
    <n v="1578.6481033476041"/>
    <n v="499.13928219176387"/>
    <n v="0"/>
    <n v="55716.338340000002"/>
    <n v="20693.83584"/>
    <n v="0"/>
    <n v="66312.692229219465"/>
    <n v="20966.844687747234"/>
  </r>
  <r>
    <s v="Sistema de Compensação"/>
    <x v="0"/>
    <x v="2"/>
    <x v="0"/>
    <x v="0"/>
    <x v="0"/>
    <x v="0"/>
    <x v="1"/>
    <x v="10"/>
    <n v="0"/>
    <n v="0"/>
    <n v="1.744"/>
    <n v="1.744"/>
    <n v="1.744"/>
    <n v="1.744"/>
    <n v="0"/>
    <x v="0"/>
    <n v="0"/>
    <n v="0"/>
    <n v="7"/>
    <n v="48"/>
    <n v="0"/>
    <n v="1326.39"/>
    <n v="492.64"/>
    <m/>
    <n v="1578.6481033476041"/>
    <n v="499.13928219176387"/>
    <n v="0"/>
    <n v="2313.2241600000002"/>
    <n v="859.16415999999992"/>
    <n v="0"/>
    <n v="2753.1622922382217"/>
    <n v="870.49890814243622"/>
  </r>
  <r>
    <s v="PROJETADO"/>
    <x v="0"/>
    <x v="2"/>
    <x v="0"/>
    <x v="0"/>
    <x v="0"/>
    <x v="0"/>
    <x v="1"/>
    <x v="11"/>
    <n v="0"/>
    <n v="0"/>
    <n v="42.006"/>
    <n v="42.006"/>
    <n v="42.006"/>
    <n v="42.006"/>
    <n v="0"/>
    <x v="0"/>
    <n v="0"/>
    <n v="0"/>
    <n v="7"/>
    <n v="48"/>
    <n v="0"/>
    <n v="1326.39"/>
    <n v="492.64"/>
    <m/>
    <n v="1578.6481033476041"/>
    <n v="499.13928219176387"/>
    <n v="0"/>
    <n v="55716.338340000002"/>
    <n v="20693.83584"/>
    <n v="0"/>
    <n v="66312.692229219465"/>
    <n v="20966.844687747234"/>
  </r>
  <r>
    <s v="PROJETADO"/>
    <x v="0"/>
    <x v="2"/>
    <x v="0"/>
    <x v="0"/>
    <x v="0"/>
    <x v="0"/>
    <x v="1"/>
    <x v="11"/>
    <n v="0"/>
    <n v="0"/>
    <n v="1.744"/>
    <n v="1.744"/>
    <n v="1.744"/>
    <n v="1.744"/>
    <n v="0"/>
    <x v="0"/>
    <n v="0"/>
    <n v="0"/>
    <n v="7"/>
    <n v="48"/>
    <n v="0"/>
    <n v="1326.39"/>
    <n v="492.64"/>
    <m/>
    <n v="1578.6481033476041"/>
    <n v="499.13928219176387"/>
    <n v="0"/>
    <n v="2313.2241600000002"/>
    <n v="859.16415999999992"/>
    <n v="0"/>
    <n v="2753.1622922382217"/>
    <n v="870.49890814243622"/>
  </r>
  <r>
    <s v="Regular"/>
    <x v="0"/>
    <x v="2"/>
    <x v="6"/>
    <x v="0"/>
    <x v="0"/>
    <x v="0"/>
    <x v="0"/>
    <x v="0"/>
    <n v="0"/>
    <n v="0"/>
    <n v="12.88"/>
    <n v="12.88"/>
    <n v="12.88"/>
    <n v="12.88"/>
    <n v="0"/>
    <x v="0"/>
    <n v="0"/>
    <n v="0"/>
    <n v="8"/>
    <n v="49"/>
    <n v="0"/>
    <n v="76.75"/>
    <n v="307.08"/>
    <m/>
    <n v="152.59031948759403"/>
    <n v="313.20976164142951"/>
    <n v="0"/>
    <n v="988.54000000000008"/>
    <n v="3955.1904"/>
    <n v="0"/>
    <n v="1965.3633150002113"/>
    <n v="4034.1417299416125"/>
  </r>
  <r>
    <s v="Regular"/>
    <x v="0"/>
    <x v="2"/>
    <x v="6"/>
    <x v="0"/>
    <x v="0"/>
    <x v="0"/>
    <x v="0"/>
    <x v="1"/>
    <n v="0"/>
    <n v="0"/>
    <n v="13.372"/>
    <n v="13.372"/>
    <n v="13.372"/>
    <n v="13.372"/>
    <n v="0"/>
    <x v="0"/>
    <n v="0"/>
    <n v="0"/>
    <n v="8"/>
    <n v="49"/>
    <n v="0"/>
    <n v="76.75"/>
    <n v="307.08"/>
    <m/>
    <n v="152.59031948759403"/>
    <n v="313.20976164142951"/>
    <n v="0"/>
    <n v="1026.3009999999999"/>
    <n v="4106.27376"/>
    <n v="0"/>
    <n v="2040.4377521881074"/>
    <n v="4188.240932669195"/>
  </r>
  <r>
    <s v="Regular"/>
    <x v="0"/>
    <x v="2"/>
    <x v="6"/>
    <x v="0"/>
    <x v="0"/>
    <x v="0"/>
    <x v="0"/>
    <x v="2"/>
    <n v="0"/>
    <n v="0"/>
    <n v="12.840999999999999"/>
    <n v="12.840999999999999"/>
    <n v="12.840999999999999"/>
    <n v="12.840999999999999"/>
    <n v="0"/>
    <x v="0"/>
    <n v="0"/>
    <n v="0"/>
    <n v="8"/>
    <n v="49"/>
    <n v="0"/>
    <n v="76.75"/>
    <n v="307.08"/>
    <m/>
    <n v="152.59031948759403"/>
    <n v="313.20976164142951"/>
    <n v="0"/>
    <n v="985.54674999999997"/>
    <n v="3943.2142799999997"/>
    <n v="0"/>
    <n v="1959.4122925401948"/>
    <n v="4021.9265492375962"/>
  </r>
  <r>
    <s v="Regular"/>
    <x v="0"/>
    <x v="2"/>
    <x v="6"/>
    <x v="0"/>
    <x v="0"/>
    <x v="0"/>
    <x v="0"/>
    <x v="3"/>
    <n v="0"/>
    <n v="0"/>
    <n v="16.071999999999999"/>
    <n v="16.071999999999999"/>
    <n v="16.071999999999999"/>
    <n v="16.071999999999999"/>
    <n v="0"/>
    <x v="0"/>
    <n v="0"/>
    <n v="0"/>
    <n v="8"/>
    <n v="49"/>
    <n v="0"/>
    <n v="76.75"/>
    <n v="307.08"/>
    <m/>
    <n v="152.59031948759403"/>
    <n v="313.20976164142951"/>
    <n v="0"/>
    <n v="1233.5259999999998"/>
    <n v="4935.3897599999991"/>
    <n v="0"/>
    <n v="2452.4316148046109"/>
    <n v="5033.9072891010546"/>
  </r>
  <r>
    <s v="Regular"/>
    <x v="0"/>
    <x v="2"/>
    <x v="6"/>
    <x v="0"/>
    <x v="0"/>
    <x v="0"/>
    <x v="0"/>
    <x v="4"/>
    <n v="0"/>
    <n v="0"/>
    <n v="17.821000000000002"/>
    <n v="17.821000000000002"/>
    <n v="17.821000000000002"/>
    <n v="17.821000000000002"/>
    <n v="0"/>
    <x v="0"/>
    <n v="0"/>
    <n v="0"/>
    <n v="8"/>
    <n v="49"/>
    <n v="0"/>
    <n v="76.75"/>
    <n v="307.08"/>
    <m/>
    <n v="152.59031948759403"/>
    <n v="313.20976164142951"/>
    <n v="0"/>
    <n v="1367.7617500000001"/>
    <n v="5472.4726799999999"/>
    <n v="0"/>
    <n v="2719.3120835884133"/>
    <n v="5581.7111622119155"/>
  </r>
  <r>
    <s v="Regular"/>
    <x v="0"/>
    <x v="2"/>
    <x v="6"/>
    <x v="0"/>
    <x v="0"/>
    <x v="0"/>
    <x v="0"/>
    <x v="5"/>
    <n v="0"/>
    <n v="0"/>
    <n v="17.015999999999998"/>
    <n v="17.015999999999998"/>
    <n v="17.015999999999998"/>
    <n v="17.015999999999998"/>
    <n v="0"/>
    <x v="0"/>
    <n v="0"/>
    <n v="0"/>
    <n v="8"/>
    <n v="49"/>
    <n v="0"/>
    <n v="76.75"/>
    <n v="307.08"/>
    <m/>
    <n v="152.59031948759403"/>
    <n v="313.20976164142951"/>
    <n v="0"/>
    <n v="1305.9779999999998"/>
    <n v="5225.2732799999994"/>
    <n v="0"/>
    <n v="2596.4768764008995"/>
    <n v="5329.5773040905642"/>
  </r>
  <r>
    <s v="Regular"/>
    <x v="0"/>
    <x v="2"/>
    <x v="6"/>
    <x v="0"/>
    <x v="0"/>
    <x v="0"/>
    <x v="0"/>
    <x v="6"/>
    <n v="0"/>
    <n v="0"/>
    <n v="19.343"/>
    <n v="19.343"/>
    <n v="19.343"/>
    <n v="19.343"/>
    <n v="0"/>
    <x v="0"/>
    <n v="0"/>
    <n v="0"/>
    <n v="8"/>
    <n v="49"/>
    <n v="0"/>
    <n v="76.75"/>
    <n v="307.08"/>
    <m/>
    <n v="152.59031948759403"/>
    <n v="313.20976164142951"/>
    <n v="0"/>
    <n v="1484.5752500000001"/>
    <n v="5939.8484399999998"/>
    <n v="0"/>
    <n v="2951.5545498485312"/>
    <n v="6058.4164194301711"/>
  </r>
  <r>
    <s v="Regular"/>
    <x v="0"/>
    <x v="2"/>
    <x v="6"/>
    <x v="0"/>
    <x v="0"/>
    <x v="0"/>
    <x v="0"/>
    <x v="7"/>
    <n v="0"/>
    <n v="0"/>
    <n v="16.646000000000001"/>
    <n v="16.646000000000001"/>
    <n v="16.646000000000001"/>
    <n v="16.646000000000001"/>
    <n v="0"/>
    <x v="0"/>
    <n v="0"/>
    <n v="0"/>
    <n v="8"/>
    <n v="49"/>
    <n v="0"/>
    <n v="76.75"/>
    <n v="307.08"/>
    <m/>
    <n v="152.59031948759403"/>
    <n v="313.20976164142951"/>
    <n v="0"/>
    <n v="1277.5805"/>
    <n v="5111.6536800000003"/>
    <n v="0"/>
    <n v="2540.0184581904905"/>
    <n v="5213.6896922832357"/>
  </r>
  <r>
    <s v="Regular"/>
    <x v="0"/>
    <x v="2"/>
    <x v="6"/>
    <x v="0"/>
    <x v="0"/>
    <x v="0"/>
    <x v="0"/>
    <x v="8"/>
    <n v="0"/>
    <n v="0"/>
    <n v="13.250999999999999"/>
    <n v="13.250999999999999"/>
    <n v="13.250999999999999"/>
    <n v="13.250999999999999"/>
    <n v="0"/>
    <x v="0"/>
    <n v="0"/>
    <n v="0"/>
    <n v="8"/>
    <n v="49"/>
    <n v="0"/>
    <n v="76.75"/>
    <n v="307.08"/>
    <m/>
    <n v="152.59031948759403"/>
    <n v="313.20976164142951"/>
    <n v="0"/>
    <n v="1017.0142499999999"/>
    <n v="4069.1170799999995"/>
    <n v="0"/>
    <n v="2021.9743235301084"/>
    <n v="4150.3425515105819"/>
  </r>
  <r>
    <s v="Regular"/>
    <x v="0"/>
    <x v="2"/>
    <x v="6"/>
    <x v="0"/>
    <x v="0"/>
    <x v="0"/>
    <x v="0"/>
    <x v="9"/>
    <n v="0"/>
    <n v="0"/>
    <n v="10.648"/>
    <n v="10.648"/>
    <n v="10.648"/>
    <n v="10.648"/>
    <n v="0"/>
    <x v="0"/>
    <n v="0"/>
    <n v="0"/>
    <n v="8"/>
    <n v="49"/>
    <n v="0"/>
    <n v="76.75"/>
    <n v="307.08"/>
    <m/>
    <n v="152.59031948759403"/>
    <n v="313.20976164142951"/>
    <n v="0"/>
    <n v="817.23399999999992"/>
    <n v="3269.78784"/>
    <n v="0"/>
    <n v="1624.7817219039011"/>
    <n v="3335.0575419579413"/>
  </r>
  <r>
    <s v="Regular"/>
    <x v="0"/>
    <x v="2"/>
    <x v="6"/>
    <x v="0"/>
    <x v="0"/>
    <x v="0"/>
    <x v="0"/>
    <x v="10"/>
    <n v="0"/>
    <n v="0"/>
    <n v="11.458"/>
    <n v="11.458"/>
    <n v="11.458"/>
    <n v="11.458"/>
    <n v="0"/>
    <x v="0"/>
    <n v="0"/>
    <n v="0"/>
    <n v="8"/>
    <n v="49"/>
    <n v="0"/>
    <n v="76.75"/>
    <n v="307.08"/>
    <m/>
    <n v="152.59031948759403"/>
    <n v="313.20976164142951"/>
    <n v="0"/>
    <n v="879.40150000000006"/>
    <n v="3518.5226399999997"/>
    <n v="0"/>
    <n v="1748.3798806888524"/>
    <n v="3588.7574488874993"/>
  </r>
  <r>
    <s v="PROJETADO"/>
    <x v="0"/>
    <x v="2"/>
    <x v="6"/>
    <x v="0"/>
    <x v="0"/>
    <x v="0"/>
    <x v="0"/>
    <x v="11"/>
    <n v="0"/>
    <n v="0"/>
    <n v="11.458"/>
    <n v="11.458"/>
    <n v="11.458"/>
    <n v="11.458"/>
    <n v="0"/>
    <x v="0"/>
    <n v="0"/>
    <n v="0"/>
    <n v="8"/>
    <n v="49"/>
    <n v="0"/>
    <n v="76.75"/>
    <n v="307.08"/>
    <m/>
    <n v="152.59031948759403"/>
    <n v="313.20976164142951"/>
    <n v="0"/>
    <n v="879.40150000000006"/>
    <n v="3518.5226399999997"/>
    <n v="0"/>
    <n v="1748.3798806888524"/>
    <n v="3588.7574488874993"/>
  </r>
  <r>
    <s v="Regular"/>
    <x v="0"/>
    <x v="2"/>
    <x v="6"/>
    <x v="0"/>
    <x v="0"/>
    <x v="0"/>
    <x v="2"/>
    <x v="0"/>
    <n v="72"/>
    <n v="72"/>
    <n v="0"/>
    <n v="0"/>
    <n v="0"/>
    <n v="0"/>
    <n v="1"/>
    <x v="0"/>
    <n v="0"/>
    <n v="6"/>
    <n v="0"/>
    <n v="0"/>
    <n v="16.64"/>
    <n v="0"/>
    <n v="0"/>
    <n v="18.929390865785848"/>
    <m/>
    <m/>
    <n v="1198.08"/>
    <n v="0"/>
    <n v="0"/>
    <n v="1362.9161423365811"/>
    <n v="0"/>
    <n v="0"/>
  </r>
  <r>
    <s v="Regular"/>
    <x v="0"/>
    <x v="2"/>
    <x v="6"/>
    <x v="0"/>
    <x v="0"/>
    <x v="0"/>
    <x v="2"/>
    <x v="1"/>
    <n v="73"/>
    <n v="73"/>
    <n v="0"/>
    <n v="0"/>
    <n v="0"/>
    <n v="0"/>
    <n v="1"/>
    <x v="0"/>
    <n v="0"/>
    <n v="6"/>
    <n v="0"/>
    <n v="0"/>
    <n v="16.64"/>
    <n v="0"/>
    <n v="0"/>
    <n v="18.929390865785848"/>
    <m/>
    <m/>
    <n v="1214.72"/>
    <n v="0"/>
    <n v="0"/>
    <n v="1381.8455332023668"/>
    <n v="0"/>
    <n v="0"/>
  </r>
  <r>
    <s v="Regular"/>
    <x v="0"/>
    <x v="2"/>
    <x v="6"/>
    <x v="0"/>
    <x v="0"/>
    <x v="0"/>
    <x v="2"/>
    <x v="2"/>
    <n v="75"/>
    <n v="75"/>
    <n v="0"/>
    <n v="0"/>
    <n v="0"/>
    <n v="0"/>
    <n v="1"/>
    <x v="0"/>
    <n v="0"/>
    <n v="6"/>
    <n v="0"/>
    <n v="0"/>
    <n v="16.64"/>
    <n v="0"/>
    <n v="0"/>
    <n v="18.929390865785848"/>
    <m/>
    <m/>
    <n v="1248"/>
    <n v="0"/>
    <n v="0"/>
    <n v="1419.7043149339386"/>
    <n v="0"/>
    <n v="0"/>
  </r>
  <r>
    <s v="Regular"/>
    <x v="0"/>
    <x v="2"/>
    <x v="6"/>
    <x v="0"/>
    <x v="0"/>
    <x v="0"/>
    <x v="2"/>
    <x v="3"/>
    <n v="80"/>
    <n v="80"/>
    <n v="0"/>
    <n v="0"/>
    <n v="0"/>
    <n v="0"/>
    <n v="1"/>
    <x v="0"/>
    <n v="0"/>
    <n v="6"/>
    <n v="0"/>
    <n v="0"/>
    <n v="16.64"/>
    <n v="0"/>
    <n v="0"/>
    <n v="18.929390865785848"/>
    <m/>
    <m/>
    <n v="1331.2"/>
    <n v="0"/>
    <n v="0"/>
    <n v="1514.3512692628678"/>
    <n v="0"/>
    <n v="0"/>
  </r>
  <r>
    <s v="Regular"/>
    <x v="0"/>
    <x v="2"/>
    <x v="6"/>
    <x v="0"/>
    <x v="0"/>
    <x v="0"/>
    <x v="2"/>
    <x v="4"/>
    <n v="80"/>
    <n v="80"/>
    <n v="0"/>
    <n v="0"/>
    <n v="0"/>
    <n v="0"/>
    <n v="1"/>
    <x v="0"/>
    <n v="0"/>
    <n v="6"/>
    <n v="0"/>
    <n v="0"/>
    <n v="16.64"/>
    <n v="0"/>
    <n v="0"/>
    <n v="18.929390865785848"/>
    <m/>
    <m/>
    <n v="1331.2"/>
    <n v="0"/>
    <n v="0"/>
    <n v="1514.3512692628678"/>
    <n v="0"/>
    <n v="0"/>
  </r>
  <r>
    <s v="Regular"/>
    <x v="0"/>
    <x v="2"/>
    <x v="6"/>
    <x v="0"/>
    <x v="0"/>
    <x v="0"/>
    <x v="2"/>
    <x v="5"/>
    <n v="96"/>
    <n v="96"/>
    <n v="0"/>
    <n v="0"/>
    <n v="0"/>
    <n v="0"/>
    <n v="1"/>
    <x v="0"/>
    <n v="0"/>
    <n v="6"/>
    <n v="0"/>
    <n v="0"/>
    <n v="16.64"/>
    <n v="0"/>
    <n v="0"/>
    <n v="18.929390865785848"/>
    <m/>
    <m/>
    <n v="1597.44"/>
    <n v="0"/>
    <n v="0"/>
    <n v="1817.2215231154414"/>
    <n v="0"/>
    <n v="0"/>
  </r>
  <r>
    <s v="Regular"/>
    <x v="0"/>
    <x v="2"/>
    <x v="6"/>
    <x v="0"/>
    <x v="0"/>
    <x v="0"/>
    <x v="2"/>
    <x v="6"/>
    <n v="88"/>
    <n v="88"/>
    <n v="0"/>
    <n v="0"/>
    <n v="0"/>
    <n v="0"/>
    <n v="1"/>
    <x v="0"/>
    <n v="0"/>
    <n v="6"/>
    <n v="0"/>
    <n v="0"/>
    <n v="16.64"/>
    <n v="0"/>
    <n v="0"/>
    <n v="18.929390865785848"/>
    <m/>
    <m/>
    <n v="1464.3200000000002"/>
    <n v="0"/>
    <n v="0"/>
    <n v="1665.7863961891546"/>
    <n v="0"/>
    <n v="0"/>
  </r>
  <r>
    <s v="Regular"/>
    <x v="0"/>
    <x v="2"/>
    <x v="6"/>
    <x v="0"/>
    <x v="0"/>
    <x v="0"/>
    <x v="2"/>
    <x v="7"/>
    <n v="85"/>
    <n v="85"/>
    <n v="0"/>
    <n v="0"/>
    <n v="0"/>
    <n v="0"/>
    <n v="1"/>
    <x v="0"/>
    <n v="0"/>
    <n v="6"/>
    <n v="0"/>
    <n v="0"/>
    <n v="16.64"/>
    <n v="0"/>
    <n v="0"/>
    <n v="18.929390865785848"/>
    <m/>
    <m/>
    <n v="1414.4"/>
    <n v="0"/>
    <n v="0"/>
    <n v="1608.9982235917971"/>
    <n v="0"/>
    <n v="0"/>
  </r>
  <r>
    <s v="Regular"/>
    <x v="0"/>
    <x v="2"/>
    <x v="6"/>
    <x v="0"/>
    <x v="0"/>
    <x v="0"/>
    <x v="2"/>
    <x v="8"/>
    <n v="72"/>
    <n v="72"/>
    <n v="0"/>
    <n v="0"/>
    <n v="0"/>
    <n v="0"/>
    <n v="1"/>
    <x v="0"/>
    <n v="0"/>
    <n v="6"/>
    <n v="0"/>
    <n v="0"/>
    <n v="16.64"/>
    <n v="0"/>
    <n v="0"/>
    <n v="18.929390865785848"/>
    <m/>
    <m/>
    <n v="1198.08"/>
    <n v="0"/>
    <n v="0"/>
    <n v="1362.9161423365811"/>
    <n v="0"/>
    <n v="0"/>
  </r>
  <r>
    <s v="Regular"/>
    <x v="0"/>
    <x v="2"/>
    <x v="6"/>
    <x v="0"/>
    <x v="0"/>
    <x v="0"/>
    <x v="2"/>
    <x v="9"/>
    <n v="60"/>
    <n v="60"/>
    <n v="0"/>
    <n v="0"/>
    <n v="0"/>
    <n v="0"/>
    <n v="1"/>
    <x v="0"/>
    <n v="0"/>
    <n v="6"/>
    <n v="0"/>
    <n v="0"/>
    <n v="16.64"/>
    <n v="0"/>
    <n v="0"/>
    <n v="18.929390865785848"/>
    <m/>
    <m/>
    <n v="998.40000000000009"/>
    <n v="0"/>
    <n v="0"/>
    <n v="1135.7634519471508"/>
    <n v="0"/>
    <n v="0"/>
  </r>
  <r>
    <s v="Regular"/>
    <x v="0"/>
    <x v="2"/>
    <x v="6"/>
    <x v="0"/>
    <x v="0"/>
    <x v="0"/>
    <x v="2"/>
    <x v="10"/>
    <n v="60"/>
    <n v="60"/>
    <n v="0"/>
    <n v="0"/>
    <n v="0"/>
    <n v="0"/>
    <n v="1"/>
    <x v="0"/>
    <n v="0"/>
    <n v="6"/>
    <n v="0"/>
    <n v="0"/>
    <n v="16.64"/>
    <n v="0"/>
    <n v="0"/>
    <n v="18.929390865785848"/>
    <m/>
    <m/>
    <n v="998.40000000000009"/>
    <n v="0"/>
    <n v="0"/>
    <n v="1135.7634519471508"/>
    <n v="0"/>
    <n v="0"/>
  </r>
  <r>
    <s v="PROJETADO"/>
    <x v="0"/>
    <x v="2"/>
    <x v="6"/>
    <x v="0"/>
    <x v="0"/>
    <x v="0"/>
    <x v="2"/>
    <x v="11"/>
    <n v="60"/>
    <n v="60"/>
    <n v="0"/>
    <n v="0"/>
    <n v="0"/>
    <n v="0"/>
    <n v="1"/>
    <x v="0"/>
    <n v="0"/>
    <n v="6"/>
    <n v="0"/>
    <n v="0"/>
    <n v="16.64"/>
    <n v="0"/>
    <n v="0"/>
    <n v="18.929390865785848"/>
    <m/>
    <m/>
    <n v="998.40000000000009"/>
    <n v="0"/>
    <n v="0"/>
    <n v="1135.7634519471508"/>
    <n v="0"/>
    <n v="0"/>
  </r>
  <r>
    <s v="Regular"/>
    <x v="0"/>
    <x v="2"/>
    <x v="6"/>
    <x v="0"/>
    <x v="0"/>
    <x v="0"/>
    <x v="1"/>
    <x v="0"/>
    <n v="0"/>
    <n v="0"/>
    <n v="0.71299999999999997"/>
    <n v="0.71299999999999997"/>
    <n v="0.71299999999999997"/>
    <n v="0.71299999999999997"/>
    <n v="0"/>
    <x v="0"/>
    <n v="0"/>
    <n v="0"/>
    <n v="7"/>
    <n v="48"/>
    <n v="0"/>
    <n v="1326.39"/>
    <n v="492.64"/>
    <m/>
    <n v="1578.6481033476041"/>
    <n v="499.13928219176387"/>
    <n v="0"/>
    <n v="945.71607000000006"/>
    <n v="351.25232"/>
    <n v="0"/>
    <n v="1125.5760976868416"/>
    <n v="355.88630820272761"/>
  </r>
  <r>
    <s v="Regular"/>
    <x v="0"/>
    <x v="2"/>
    <x v="6"/>
    <x v="0"/>
    <x v="0"/>
    <x v="0"/>
    <x v="1"/>
    <x v="1"/>
    <n v="0"/>
    <n v="0"/>
    <n v="0.69499999999999995"/>
    <n v="0.69499999999999995"/>
    <n v="0.69499999999999995"/>
    <n v="0.69499999999999995"/>
    <n v="0"/>
    <x v="0"/>
    <n v="0"/>
    <n v="0"/>
    <n v="7"/>
    <n v="48"/>
    <n v="0"/>
    <n v="1326.39"/>
    <n v="492.64"/>
    <m/>
    <n v="1578.6481033476041"/>
    <n v="499.13928219176387"/>
    <n v="0"/>
    <n v="921.84105"/>
    <n v="342.38479999999998"/>
    <n v="0"/>
    <n v="1097.1604318265847"/>
    <n v="346.90180112327585"/>
  </r>
  <r>
    <s v="Regular"/>
    <x v="0"/>
    <x v="2"/>
    <x v="6"/>
    <x v="0"/>
    <x v="0"/>
    <x v="0"/>
    <x v="1"/>
    <x v="2"/>
    <n v="0"/>
    <n v="0"/>
    <n v="0.63800000000000001"/>
    <n v="0.63800000000000001"/>
    <n v="0.63800000000000001"/>
    <n v="0.63800000000000001"/>
    <n v="0"/>
    <x v="0"/>
    <n v="0"/>
    <n v="0"/>
    <n v="7"/>
    <n v="48"/>
    <n v="0"/>
    <n v="1326.39"/>
    <n v="492.64"/>
    <m/>
    <n v="1578.6481033476041"/>
    <n v="499.13928219176387"/>
    <n v="0"/>
    <n v="846.23682000000008"/>
    <n v="314.30432000000002"/>
    <n v="0"/>
    <n v="1007.1774899357714"/>
    <n v="318.45086203834535"/>
  </r>
  <r>
    <s v="Regular"/>
    <x v="0"/>
    <x v="2"/>
    <x v="6"/>
    <x v="0"/>
    <x v="0"/>
    <x v="0"/>
    <x v="1"/>
    <x v="3"/>
    <n v="0"/>
    <n v="0"/>
    <n v="0.81799999999999995"/>
    <n v="0.81799999999999995"/>
    <n v="0.81799999999999995"/>
    <n v="0.81799999999999995"/>
    <n v="0"/>
    <x v="0"/>
    <n v="0"/>
    <n v="0"/>
    <n v="7"/>
    <n v="48"/>
    <n v="0"/>
    <n v="1326.39"/>
    <n v="492.64"/>
    <m/>
    <n v="1578.6481033476041"/>
    <n v="499.13928219176387"/>
    <n v="0"/>
    <n v="1084.98702"/>
    <n v="402.97951999999998"/>
    <n v="0"/>
    <n v="1291.3341485383401"/>
    <n v="408.29593283286283"/>
  </r>
  <r>
    <s v="Regular"/>
    <x v="0"/>
    <x v="2"/>
    <x v="6"/>
    <x v="0"/>
    <x v="0"/>
    <x v="0"/>
    <x v="1"/>
    <x v="4"/>
    <n v="0"/>
    <n v="0"/>
    <n v="0.84299999999999997"/>
    <n v="0.84299999999999997"/>
    <n v="0.84299999999999997"/>
    <n v="0.84299999999999997"/>
    <n v="0"/>
    <x v="0"/>
    <n v="0"/>
    <n v="0"/>
    <n v="7"/>
    <n v="48"/>
    <n v="0"/>
    <n v="1326.39"/>
    <n v="492.64"/>
    <m/>
    <n v="1578.6481033476041"/>
    <n v="499.13928219176387"/>
    <n v="0"/>
    <n v="1118.1467700000001"/>
    <n v="415.29551999999995"/>
    <n v="0"/>
    <n v="1330.8003511220302"/>
    <n v="420.77441488765692"/>
  </r>
  <r>
    <s v="Regular"/>
    <x v="0"/>
    <x v="2"/>
    <x v="6"/>
    <x v="0"/>
    <x v="0"/>
    <x v="0"/>
    <x v="1"/>
    <x v="5"/>
    <n v="0"/>
    <n v="0"/>
    <n v="0.84499999999999997"/>
    <n v="0.84499999999999997"/>
    <n v="0.84499999999999997"/>
    <n v="0.84499999999999997"/>
    <n v="0"/>
    <x v="0"/>
    <n v="0"/>
    <n v="0"/>
    <n v="7"/>
    <n v="48"/>
    <n v="0"/>
    <n v="1326.39"/>
    <n v="492.64"/>
    <m/>
    <n v="1578.6481033476041"/>
    <n v="499.13928219176387"/>
    <n v="0"/>
    <n v="1120.79955"/>
    <n v="416.2808"/>
    <n v="0"/>
    <n v="1333.9576473287254"/>
    <n v="421.77269345204047"/>
  </r>
  <r>
    <s v="Regular"/>
    <x v="0"/>
    <x v="2"/>
    <x v="6"/>
    <x v="0"/>
    <x v="0"/>
    <x v="0"/>
    <x v="1"/>
    <x v="6"/>
    <n v="0"/>
    <n v="0"/>
    <n v="0.94599999999999995"/>
    <n v="0.94599999999999995"/>
    <n v="0.94599999999999995"/>
    <n v="0.94599999999999995"/>
    <n v="0"/>
    <x v="0"/>
    <n v="0"/>
    <n v="0"/>
    <n v="7"/>
    <n v="48"/>
    <n v="0"/>
    <n v="1326.39"/>
    <n v="492.64"/>
    <m/>
    <n v="1578.6481033476041"/>
    <n v="499.13928219176387"/>
    <n v="0"/>
    <n v="1254.76494"/>
    <n v="466.03743999999995"/>
    <n v="0"/>
    <n v="1493.4011057668333"/>
    <n v="472.18576095340859"/>
  </r>
  <r>
    <s v="Regular"/>
    <x v="0"/>
    <x v="2"/>
    <x v="6"/>
    <x v="0"/>
    <x v="0"/>
    <x v="0"/>
    <x v="1"/>
    <x v="7"/>
    <n v="0"/>
    <n v="0"/>
    <n v="0.86799999999999999"/>
    <n v="0.86799999999999999"/>
    <n v="0.86799999999999999"/>
    <n v="0.86799999999999999"/>
    <n v="0"/>
    <x v="0"/>
    <n v="0"/>
    <n v="0"/>
    <n v="7"/>
    <n v="48"/>
    <n v="0"/>
    <n v="1326.39"/>
    <n v="492.64"/>
    <m/>
    <n v="1578.6481033476041"/>
    <n v="499.13928219176387"/>
    <n v="0"/>
    <n v="1151.3065200000001"/>
    <n v="427.61151999999998"/>
    <n v="0"/>
    <n v="1370.2665537057203"/>
    <n v="433.25289694245106"/>
  </r>
  <r>
    <s v="Regular"/>
    <x v="0"/>
    <x v="2"/>
    <x v="6"/>
    <x v="0"/>
    <x v="0"/>
    <x v="0"/>
    <x v="1"/>
    <x v="8"/>
    <n v="0"/>
    <n v="0"/>
    <n v="0.752"/>
    <n v="0.752"/>
    <n v="0.752"/>
    <n v="0.752"/>
    <n v="0"/>
    <x v="0"/>
    <n v="0"/>
    <n v="0"/>
    <n v="7"/>
    <n v="48"/>
    <n v="0"/>
    <n v="1326.39"/>
    <n v="492.64"/>
    <m/>
    <n v="1578.6481033476041"/>
    <n v="499.13928219176387"/>
    <n v="0"/>
    <n v="997.44528000000003"/>
    <n v="370.46528000000001"/>
    <n v="0"/>
    <n v="1187.1433737173984"/>
    <n v="375.35274020820646"/>
  </r>
  <r>
    <s v="Regular"/>
    <x v="0"/>
    <x v="2"/>
    <x v="6"/>
    <x v="0"/>
    <x v="0"/>
    <x v="0"/>
    <x v="1"/>
    <x v="9"/>
    <n v="0"/>
    <n v="0"/>
    <n v="0.69799999999999995"/>
    <n v="0.69799999999999995"/>
    <n v="0.69799999999999995"/>
    <n v="0.69799999999999995"/>
    <n v="0"/>
    <x v="0"/>
    <n v="0"/>
    <n v="0"/>
    <n v="7"/>
    <n v="48"/>
    <n v="0"/>
    <n v="1326.39"/>
    <n v="492.64"/>
    <m/>
    <n v="1578.6481033476041"/>
    <n v="499.13928219176387"/>
    <n v="0"/>
    <n v="925.82022000000006"/>
    <n v="343.86271999999997"/>
    <n v="0"/>
    <n v="1101.8963761366276"/>
    <n v="348.39921896985118"/>
  </r>
  <r>
    <s v="Regular"/>
    <x v="0"/>
    <x v="2"/>
    <x v="6"/>
    <x v="0"/>
    <x v="0"/>
    <x v="0"/>
    <x v="1"/>
    <x v="10"/>
    <n v="0"/>
    <n v="0"/>
    <n v="0.68600000000000005"/>
    <n v="0.68600000000000005"/>
    <n v="0.68600000000000005"/>
    <n v="0.68600000000000005"/>
    <n v="0"/>
    <x v="0"/>
    <n v="0"/>
    <n v="0"/>
    <n v="7"/>
    <n v="48"/>
    <n v="0"/>
    <n v="1326.39"/>
    <n v="492.64"/>
    <m/>
    <n v="1578.6481033476041"/>
    <n v="499.13928219176387"/>
    <n v="0"/>
    <n v="909.90354000000013"/>
    <n v="337.95104000000003"/>
    <n v="0"/>
    <n v="1082.9525988964565"/>
    <n v="342.40954758355002"/>
  </r>
  <r>
    <s v="PROJETADO"/>
    <x v="0"/>
    <x v="2"/>
    <x v="6"/>
    <x v="0"/>
    <x v="0"/>
    <x v="0"/>
    <x v="1"/>
    <x v="11"/>
    <n v="0"/>
    <n v="0"/>
    <n v="0.68600000000000005"/>
    <n v="0.68600000000000005"/>
    <n v="0.68600000000000005"/>
    <n v="0.68600000000000005"/>
    <n v="0"/>
    <x v="0"/>
    <n v="0"/>
    <n v="0"/>
    <n v="7"/>
    <n v="48"/>
    <n v="0"/>
    <n v="1326.39"/>
    <n v="492.64"/>
    <m/>
    <n v="1578.6481033476041"/>
    <n v="499.13928219176387"/>
    <n v="0"/>
    <n v="909.90354000000013"/>
    <n v="337.95104000000003"/>
    <n v="0"/>
    <n v="1082.9525988964565"/>
    <n v="342.40954758355002"/>
  </r>
  <r>
    <s v="Regular"/>
    <x v="0"/>
    <x v="2"/>
    <x v="1"/>
    <x v="0"/>
    <x v="1"/>
    <x v="0"/>
    <x v="0"/>
    <x v="0"/>
    <n v="0"/>
    <n v="0"/>
    <n v="4917.8190000000004"/>
    <n v="4917.8190000000004"/>
    <n v="0"/>
    <n v="0"/>
    <n v="0"/>
    <x v="1"/>
    <n v="0"/>
    <n v="0"/>
    <n v="8"/>
    <n v="0"/>
    <n v="0"/>
    <n v="76.75"/>
    <n v="0"/>
    <m/>
    <n v="152.59031948759403"/>
    <m/>
    <n v="0"/>
    <n v="377442.60825000005"/>
    <n v="0"/>
    <n v="0"/>
    <n v="750411.57239216031"/>
    <n v="0"/>
  </r>
  <r>
    <s v="Regular"/>
    <x v="0"/>
    <x v="2"/>
    <x v="1"/>
    <x v="0"/>
    <x v="1"/>
    <x v="0"/>
    <x v="0"/>
    <x v="1"/>
    <n v="0"/>
    <n v="0"/>
    <n v="4294.4759999999997"/>
    <n v="4294.4759999999997"/>
    <n v="0"/>
    <n v="0"/>
    <n v="0"/>
    <x v="1"/>
    <n v="0"/>
    <n v="0"/>
    <n v="8"/>
    <n v="0"/>
    <n v="0"/>
    <n v="76.75"/>
    <n v="0"/>
    <m/>
    <n v="152.59031948759403"/>
    <m/>
    <n v="0"/>
    <n v="329601.033"/>
    <n v="0"/>
    <n v="0"/>
    <n v="655295.46487180481"/>
    <n v="0"/>
  </r>
  <r>
    <s v="Regular"/>
    <x v="0"/>
    <x v="2"/>
    <x v="1"/>
    <x v="0"/>
    <x v="1"/>
    <x v="0"/>
    <x v="0"/>
    <x v="2"/>
    <n v="0"/>
    <n v="0"/>
    <n v="5014.2629999999999"/>
    <n v="5014.2629999999999"/>
    <n v="0"/>
    <n v="0"/>
    <n v="0"/>
    <x v="1"/>
    <n v="0"/>
    <n v="0"/>
    <n v="8"/>
    <n v="0"/>
    <n v="0"/>
    <n v="76.75"/>
    <n v="0"/>
    <m/>
    <n v="152.59031948759403"/>
    <m/>
    <n v="0"/>
    <n v="384844.68524999998"/>
    <n v="0"/>
    <n v="0"/>
    <n v="765127.99316482164"/>
    <n v="0"/>
  </r>
  <r>
    <s v="Regular"/>
    <x v="0"/>
    <x v="2"/>
    <x v="1"/>
    <x v="0"/>
    <x v="1"/>
    <x v="0"/>
    <x v="0"/>
    <x v="3"/>
    <n v="0"/>
    <n v="0"/>
    <n v="4730.07"/>
    <n v="4730.07"/>
    <n v="0"/>
    <n v="0"/>
    <n v="0"/>
    <x v="1"/>
    <n v="0"/>
    <n v="0"/>
    <n v="8"/>
    <n v="0"/>
    <n v="0"/>
    <n v="76.75"/>
    <n v="0"/>
    <m/>
    <n v="152.59031948759403"/>
    <m/>
    <n v="0"/>
    <n v="363032.8725"/>
    <n v="0"/>
    <n v="0"/>
    <n v="721762.89249868388"/>
    <n v="0"/>
  </r>
  <r>
    <s v="Regular"/>
    <x v="0"/>
    <x v="2"/>
    <x v="1"/>
    <x v="0"/>
    <x v="1"/>
    <x v="0"/>
    <x v="0"/>
    <x v="4"/>
    <n v="0"/>
    <n v="0"/>
    <n v="3935.3119999999999"/>
    <n v="3935.3119999999999"/>
    <n v="0"/>
    <n v="0"/>
    <n v="0"/>
    <x v="1"/>
    <n v="0"/>
    <n v="0"/>
    <n v="8"/>
    <n v="0"/>
    <n v="0"/>
    <n v="76.75"/>
    <n v="0"/>
    <m/>
    <n v="152.59031948759403"/>
    <m/>
    <n v="0"/>
    <n v="302035.196"/>
    <n v="0"/>
    <n v="0"/>
    <n v="600490.51536336262"/>
    <n v="0"/>
  </r>
  <r>
    <s v="Regular"/>
    <x v="0"/>
    <x v="2"/>
    <x v="1"/>
    <x v="0"/>
    <x v="1"/>
    <x v="0"/>
    <x v="0"/>
    <x v="5"/>
    <n v="0"/>
    <n v="0"/>
    <n v="4947.4979999999996"/>
    <n v="4947.4979999999996"/>
    <n v="0"/>
    <n v="0"/>
    <n v="0"/>
    <x v="1"/>
    <n v="0"/>
    <n v="0"/>
    <n v="8"/>
    <n v="0"/>
    <n v="0"/>
    <n v="76.75"/>
    <n v="0"/>
    <m/>
    <n v="152.59031948759403"/>
    <m/>
    <n v="0"/>
    <n v="379720.47149999999"/>
    <n v="0"/>
    <n v="0"/>
    <n v="754940.30048423237"/>
    <n v="0"/>
  </r>
  <r>
    <s v="Regular"/>
    <x v="0"/>
    <x v="2"/>
    <x v="1"/>
    <x v="0"/>
    <x v="1"/>
    <x v="0"/>
    <x v="0"/>
    <x v="6"/>
    <n v="0"/>
    <n v="0"/>
    <n v="4743.59"/>
    <n v="4743.59"/>
    <n v="0"/>
    <n v="0"/>
    <n v="0"/>
    <x v="1"/>
    <n v="0"/>
    <n v="0"/>
    <n v="8"/>
    <n v="0"/>
    <n v="0"/>
    <n v="76.75"/>
    <n v="0"/>
    <m/>
    <n v="152.59031948759403"/>
    <m/>
    <n v="0"/>
    <n v="364070.53250000003"/>
    <n v="0"/>
    <n v="0"/>
    <n v="723825.91361815622"/>
    <n v="0"/>
  </r>
  <r>
    <s v="Regular"/>
    <x v="0"/>
    <x v="2"/>
    <x v="1"/>
    <x v="0"/>
    <x v="1"/>
    <x v="0"/>
    <x v="0"/>
    <x v="7"/>
    <n v="0"/>
    <n v="0"/>
    <n v="5303.4009999999998"/>
    <n v="5303.4009999999998"/>
    <n v="0"/>
    <n v="0"/>
    <n v="0"/>
    <x v="1"/>
    <n v="0"/>
    <n v="0"/>
    <n v="8"/>
    <n v="0"/>
    <n v="0"/>
    <n v="76.75"/>
    <n v="0"/>
    <m/>
    <n v="152.59031948759403"/>
    <m/>
    <n v="0"/>
    <n v="407036.02674999996"/>
    <n v="0"/>
    <n v="0"/>
    <n v="809247.6529608256"/>
    <n v="0"/>
  </r>
  <r>
    <s v="Regular"/>
    <x v="0"/>
    <x v="2"/>
    <x v="1"/>
    <x v="0"/>
    <x v="1"/>
    <x v="0"/>
    <x v="0"/>
    <x v="8"/>
    <n v="0"/>
    <n v="0"/>
    <n v="5072.4949999999999"/>
    <n v="5072.4949999999999"/>
    <n v="0"/>
    <n v="0"/>
    <n v="0"/>
    <x v="1"/>
    <n v="0"/>
    <n v="0"/>
    <n v="8"/>
    <n v="0"/>
    <n v="0"/>
    <n v="76.75"/>
    <n v="0"/>
    <m/>
    <n v="152.59031948759403"/>
    <m/>
    <n v="0"/>
    <n v="389313.99124999996"/>
    <n v="0"/>
    <n v="0"/>
    <n v="774013.63264922332"/>
    <n v="0"/>
  </r>
  <r>
    <s v="Regular"/>
    <x v="0"/>
    <x v="2"/>
    <x v="1"/>
    <x v="0"/>
    <x v="1"/>
    <x v="0"/>
    <x v="0"/>
    <x v="9"/>
    <n v="0"/>
    <n v="0"/>
    <n v="5200.8019999999997"/>
    <n v="5200.8019999999997"/>
    <n v="0"/>
    <n v="0"/>
    <n v="0"/>
    <x v="1"/>
    <n v="0"/>
    <n v="0"/>
    <n v="8"/>
    <n v="0"/>
    <n v="0"/>
    <n v="76.75"/>
    <n v="0"/>
    <m/>
    <n v="152.59031948759403"/>
    <m/>
    <n v="0"/>
    <n v="399161.55349999998"/>
    <n v="0"/>
    <n v="0"/>
    <n v="793592.03877171793"/>
    <n v="0"/>
  </r>
  <r>
    <s v="Regular"/>
    <x v="0"/>
    <x v="2"/>
    <x v="1"/>
    <x v="0"/>
    <x v="1"/>
    <x v="0"/>
    <x v="0"/>
    <x v="10"/>
    <n v="0"/>
    <n v="0"/>
    <n v="5294.7"/>
    <n v="5294.7"/>
    <n v="0"/>
    <n v="0"/>
    <n v="0"/>
    <x v="1"/>
    <n v="0"/>
    <n v="0"/>
    <n v="8"/>
    <n v="0"/>
    <n v="0"/>
    <n v="76.75"/>
    <n v="0"/>
    <m/>
    <n v="152.59031948759403"/>
    <m/>
    <n v="0"/>
    <n v="406368.22499999998"/>
    <n v="0"/>
    <n v="0"/>
    <n v="807919.96459096414"/>
    <n v="0"/>
  </r>
  <r>
    <s v="PROJETADO"/>
    <x v="0"/>
    <x v="2"/>
    <x v="1"/>
    <x v="0"/>
    <x v="1"/>
    <x v="0"/>
    <x v="0"/>
    <x v="11"/>
    <n v="0"/>
    <n v="0"/>
    <n v="5294.7"/>
    <n v="5294.7"/>
    <n v="0"/>
    <n v="0"/>
    <n v="0"/>
    <x v="1"/>
    <n v="0"/>
    <n v="0"/>
    <n v="8"/>
    <n v="0"/>
    <n v="0"/>
    <n v="76.75"/>
    <n v="0"/>
    <m/>
    <n v="152.59031948759403"/>
    <m/>
    <n v="0"/>
    <n v="406368.22499999998"/>
    <n v="0"/>
    <n v="0"/>
    <n v="807919.96459096414"/>
    <n v="0"/>
  </r>
  <r>
    <s v="Regular"/>
    <x v="0"/>
    <x v="2"/>
    <x v="1"/>
    <x v="0"/>
    <x v="1"/>
    <x v="0"/>
    <x v="2"/>
    <x v="0"/>
    <n v="20320"/>
    <n v="7782.56"/>
    <n v="0"/>
    <n v="0"/>
    <n v="0"/>
    <n v="0"/>
    <n v="40"/>
    <x v="1"/>
    <n v="0"/>
    <n v="6"/>
    <n v="0"/>
    <n v="0"/>
    <n v="16.64"/>
    <n v="0"/>
    <n v="0"/>
    <n v="18.929390865785848"/>
    <m/>
    <m/>
    <n v="129501.79840000001"/>
    <n v="0"/>
    <n v="0"/>
    <n v="147319.12017643033"/>
    <n v="0"/>
    <n v="0"/>
  </r>
  <r>
    <s v="Regular"/>
    <x v="0"/>
    <x v="2"/>
    <x v="1"/>
    <x v="0"/>
    <x v="1"/>
    <x v="0"/>
    <x v="2"/>
    <x v="1"/>
    <n v="20701"/>
    <n v="7669.7205000000004"/>
    <n v="0"/>
    <n v="0"/>
    <n v="0"/>
    <n v="0"/>
    <n v="40"/>
    <x v="1"/>
    <n v="0"/>
    <n v="6"/>
    <n v="0"/>
    <n v="0"/>
    <n v="16.64"/>
    <n v="0"/>
    <n v="0"/>
    <n v="18.929390865785848"/>
    <m/>
    <m/>
    <n v="127624.14912000002"/>
    <n v="0"/>
    <n v="0"/>
    <n v="145183.13717583049"/>
    <n v="0"/>
    <n v="0"/>
  </r>
  <r>
    <s v="Regular"/>
    <x v="0"/>
    <x v="2"/>
    <x v="1"/>
    <x v="0"/>
    <x v="1"/>
    <x v="0"/>
    <x v="2"/>
    <x v="2"/>
    <n v="20629"/>
    <n v="7564.6543000000001"/>
    <n v="0"/>
    <n v="0"/>
    <n v="0"/>
    <n v="0"/>
    <n v="40"/>
    <x v="1"/>
    <n v="0"/>
    <n v="6"/>
    <n v="0"/>
    <n v="0"/>
    <n v="16.64"/>
    <n v="0"/>
    <n v="0"/>
    <n v="18.929390865785848"/>
    <m/>
    <m/>
    <n v="125875.84755200001"/>
    <n v="0"/>
    <n v="0"/>
    <n v="143194.29800924764"/>
    <n v="0"/>
    <n v="0"/>
  </r>
  <r>
    <s v="Regular"/>
    <x v="0"/>
    <x v="2"/>
    <x v="1"/>
    <x v="0"/>
    <x v="1"/>
    <x v="0"/>
    <x v="2"/>
    <x v="3"/>
    <n v="20795"/>
    <n v="7914.5770000000002"/>
    <n v="0"/>
    <n v="0"/>
    <n v="0"/>
    <n v="0"/>
    <n v="40"/>
    <x v="1"/>
    <n v="0"/>
    <n v="6"/>
    <n v="0"/>
    <n v="0"/>
    <n v="16.64"/>
    <n v="0"/>
    <n v="0"/>
    <n v="18.929390865785848"/>
    <m/>
    <m/>
    <n v="131698.56127999999"/>
    <n v="0"/>
    <n v="0"/>
    <n v="149818.12157035875"/>
    <n v="0"/>
    <n v="0"/>
  </r>
  <r>
    <s v="Regular"/>
    <x v="0"/>
    <x v="2"/>
    <x v="1"/>
    <x v="0"/>
    <x v="1"/>
    <x v="0"/>
    <x v="2"/>
    <x v="4"/>
    <n v="20826"/>
    <n v="7630.6463999999996"/>
    <n v="0"/>
    <n v="0"/>
    <n v="0"/>
    <n v="0"/>
    <n v="40"/>
    <x v="1"/>
    <n v="0"/>
    <n v="6"/>
    <n v="0"/>
    <n v="0"/>
    <n v="16.64"/>
    <n v="0"/>
    <n v="0"/>
    <n v="18.929390865785848"/>
    <m/>
    <m/>
    <n v="126973.95609599999"/>
    <n v="0"/>
    <n v="0"/>
    <n v="144443.48826420165"/>
    <n v="0"/>
    <n v="0"/>
  </r>
  <r>
    <s v="Regular"/>
    <x v="0"/>
    <x v="2"/>
    <x v="1"/>
    <x v="0"/>
    <x v="1"/>
    <x v="0"/>
    <x v="2"/>
    <x v="5"/>
    <n v="22009"/>
    <n v="9045.6990000000005"/>
    <n v="0"/>
    <n v="0"/>
    <n v="0"/>
    <n v="0"/>
    <n v="41"/>
    <x v="1"/>
    <n v="0"/>
    <n v="6"/>
    <n v="0"/>
    <n v="0"/>
    <n v="16.64"/>
    <n v="0"/>
    <n v="0"/>
    <n v="18.929390865785848"/>
    <m/>
    <m/>
    <n v="150520.43136000002"/>
    <n v="0"/>
    <n v="0"/>
    <n v="171229.5720252482"/>
    <n v="0"/>
    <n v="0"/>
  </r>
  <r>
    <s v="Regular"/>
    <x v="0"/>
    <x v="2"/>
    <x v="1"/>
    <x v="0"/>
    <x v="1"/>
    <x v="0"/>
    <x v="2"/>
    <x v="6"/>
    <n v="21866"/>
    <n v="8818.5578000000005"/>
    <n v="0"/>
    <n v="0"/>
    <n v="0"/>
    <n v="0"/>
    <n v="41"/>
    <x v="1"/>
    <n v="0"/>
    <n v="6"/>
    <n v="0"/>
    <n v="0"/>
    <n v="16.64"/>
    <n v="0"/>
    <n v="0"/>
    <n v="18.929390865785848"/>
    <m/>
    <m/>
    <n v="146740.80179200001"/>
    <n v="0"/>
    <n v="0"/>
    <n v="166929.92746872455"/>
    <n v="0"/>
    <n v="0"/>
  </r>
  <r>
    <s v="Regular"/>
    <x v="0"/>
    <x v="2"/>
    <x v="1"/>
    <x v="0"/>
    <x v="1"/>
    <x v="0"/>
    <x v="2"/>
    <x v="7"/>
    <n v="21377"/>
    <n v="8888.5565999999999"/>
    <n v="0"/>
    <n v="0"/>
    <n v="0"/>
    <n v="0"/>
    <n v="40"/>
    <x v="1"/>
    <n v="0"/>
    <n v="6"/>
    <n v="0"/>
    <n v="0"/>
    <n v="16.64"/>
    <n v="0"/>
    <n v="0"/>
    <n v="18.929390865785848"/>
    <m/>
    <m/>
    <n v="147905.58182399999"/>
    <n v="0"/>
    <n v="0"/>
    <n v="168254.9621140605"/>
    <n v="0"/>
    <n v="0"/>
  </r>
  <r>
    <s v="Regular"/>
    <x v="0"/>
    <x v="2"/>
    <x v="1"/>
    <x v="0"/>
    <x v="1"/>
    <x v="0"/>
    <x v="2"/>
    <x v="8"/>
    <n v="22872"/>
    <n v="9201.4056"/>
    <n v="0"/>
    <n v="0"/>
    <n v="0"/>
    <n v="0"/>
    <n v="42"/>
    <x v="1"/>
    <n v="0"/>
    <n v="6"/>
    <n v="0"/>
    <n v="0"/>
    <n v="16.64"/>
    <n v="0"/>
    <n v="0"/>
    <n v="18.929390865785848"/>
    <m/>
    <m/>
    <n v="153111.389184"/>
    <n v="0"/>
    <n v="0"/>
    <n v="174177.00311703075"/>
    <n v="0"/>
    <n v="0"/>
  </r>
  <r>
    <s v="Regular"/>
    <x v="0"/>
    <x v="2"/>
    <x v="1"/>
    <x v="0"/>
    <x v="1"/>
    <x v="0"/>
    <x v="2"/>
    <x v="10"/>
    <n v="24481"/>
    <n v="9816.8809999999994"/>
    <n v="0"/>
    <n v="0"/>
    <n v="0"/>
    <n v="0"/>
    <n v="41"/>
    <x v="1"/>
    <n v="0"/>
    <n v="6"/>
    <n v="0"/>
    <n v="0"/>
    <n v="16.64"/>
    <n v="0"/>
    <n v="0"/>
    <n v="18.929390865785848"/>
    <m/>
    <m/>
    <n v="163352.89984"/>
    <n v="0"/>
    <n v="0"/>
    <n v="185827.57753190663"/>
    <n v="0"/>
    <n v="0"/>
  </r>
  <r>
    <s v="PROJETADO"/>
    <x v="0"/>
    <x v="2"/>
    <x v="1"/>
    <x v="0"/>
    <x v="1"/>
    <x v="0"/>
    <x v="2"/>
    <x v="11"/>
    <n v="24481"/>
    <n v="9816.8809999999994"/>
    <n v="0"/>
    <n v="0"/>
    <n v="0"/>
    <n v="0"/>
    <n v="41"/>
    <x v="1"/>
    <n v="0"/>
    <n v="6"/>
    <n v="0"/>
    <n v="0"/>
    <n v="16.64"/>
    <n v="0"/>
    <n v="0"/>
    <n v="18.929390865785848"/>
    <m/>
    <m/>
    <n v="163352.89984"/>
    <n v="0"/>
    <n v="0"/>
    <n v="185827.57753190663"/>
    <n v="0"/>
    <n v="0"/>
  </r>
  <r>
    <s v="Regular"/>
    <x v="0"/>
    <x v="2"/>
    <x v="1"/>
    <x v="0"/>
    <x v="1"/>
    <x v="0"/>
    <x v="1"/>
    <x v="0"/>
    <n v="0"/>
    <n v="0"/>
    <n v="460.154"/>
    <n v="187.65080119999999"/>
    <n v="0"/>
    <n v="0"/>
    <n v="0"/>
    <x v="1"/>
    <n v="0"/>
    <n v="0"/>
    <n v="7"/>
    <n v="0"/>
    <n v="0"/>
    <n v="1326.39"/>
    <n v="0"/>
    <m/>
    <n v="1578.6481033476041"/>
    <m/>
    <n v="0"/>
    <n v="248898.146203668"/>
    <n v="0"/>
    <n v="0"/>
    <n v="296234.58140603831"/>
    <n v="0"/>
  </r>
  <r>
    <s v="Regular"/>
    <x v="0"/>
    <x v="2"/>
    <x v="1"/>
    <x v="0"/>
    <x v="1"/>
    <x v="0"/>
    <x v="1"/>
    <x v="1"/>
    <n v="0"/>
    <n v="0"/>
    <n v="375.12299999999999"/>
    <n v="146.14792080000001"/>
    <n v="0"/>
    <n v="0"/>
    <n v="0"/>
    <x v="1"/>
    <n v="0"/>
    <n v="0"/>
    <n v="7"/>
    <n v="0"/>
    <n v="0"/>
    <n v="1326.39"/>
    <n v="0"/>
    <m/>
    <n v="1578.6481033476041"/>
    <m/>
    <n v="0"/>
    <n v="193849.14066991201"/>
    <n v="0"/>
    <n v="0"/>
    <n v="230716.13797911588"/>
    <n v="0"/>
  </r>
  <r>
    <s v="Regular"/>
    <x v="0"/>
    <x v="2"/>
    <x v="1"/>
    <x v="0"/>
    <x v="1"/>
    <x v="0"/>
    <x v="1"/>
    <x v="2"/>
    <n v="0"/>
    <n v="0"/>
    <n v="456.67399999999998"/>
    <n v="186.59699639999999"/>
    <n v="0"/>
    <n v="0"/>
    <n v="0"/>
    <x v="1"/>
    <n v="0"/>
    <n v="0"/>
    <n v="7"/>
    <n v="0"/>
    <n v="0"/>
    <n v="1326.39"/>
    <n v="0"/>
    <m/>
    <n v="1578.6481033476041"/>
    <m/>
    <n v="0"/>
    <n v="247500.39005499601"/>
    <n v="0"/>
    <n v="0"/>
    <n v="294570.99445721973"/>
    <n v="0"/>
  </r>
  <r>
    <s v="Regular"/>
    <x v="0"/>
    <x v="2"/>
    <x v="1"/>
    <x v="0"/>
    <x v="1"/>
    <x v="0"/>
    <x v="1"/>
    <x v="3"/>
    <n v="0"/>
    <n v="0"/>
    <n v="427.88099999999997"/>
    <n v="174.74660040000001"/>
    <n v="0"/>
    <n v="0"/>
    <n v="0"/>
    <x v="1"/>
    <n v="0"/>
    <n v="0"/>
    <n v="7"/>
    <n v="0"/>
    <n v="0"/>
    <n v="1326.39"/>
    <n v="0"/>
    <m/>
    <n v="1578.6481033476041"/>
    <m/>
    <n v="0"/>
    <n v="231782.14330455603"/>
    <n v="0"/>
    <n v="0"/>
    <n v="275863.38928790169"/>
    <n v="0"/>
  </r>
  <r>
    <s v="Regular"/>
    <x v="0"/>
    <x v="2"/>
    <x v="1"/>
    <x v="0"/>
    <x v="1"/>
    <x v="0"/>
    <x v="1"/>
    <x v="4"/>
    <n v="0"/>
    <n v="0"/>
    <n v="399.09100000000001"/>
    <n v="154.448217"/>
    <n v="0"/>
    <n v="0"/>
    <n v="0"/>
    <x v="1"/>
    <n v="0"/>
    <n v="0"/>
    <n v="7"/>
    <n v="0"/>
    <n v="0"/>
    <n v="1326.39"/>
    <n v="0"/>
    <m/>
    <n v="1578.6481033476041"/>
    <m/>
    <n v="0"/>
    <n v="204858.57054663001"/>
    <n v="0"/>
    <n v="0"/>
    <n v="243819.38483246919"/>
    <n v="0"/>
  </r>
  <r>
    <s v="Regular"/>
    <x v="0"/>
    <x v="2"/>
    <x v="1"/>
    <x v="0"/>
    <x v="1"/>
    <x v="0"/>
    <x v="1"/>
    <x v="5"/>
    <n v="0"/>
    <n v="0"/>
    <n v="441.58"/>
    <n v="182.81412"/>
    <n v="0"/>
    <n v="0"/>
    <n v="0"/>
    <x v="1"/>
    <n v="0"/>
    <n v="0"/>
    <n v="7"/>
    <n v="0"/>
    <n v="0"/>
    <n v="1326.39"/>
    <n v="0"/>
    <m/>
    <n v="1578.6481033476041"/>
    <m/>
    <n v="0"/>
    <n v="242482.82062680004"/>
    <n v="0"/>
    <n v="0"/>
    <n v="288599.1638031613"/>
    <n v="0"/>
  </r>
  <r>
    <s v="Regular"/>
    <x v="0"/>
    <x v="2"/>
    <x v="1"/>
    <x v="0"/>
    <x v="1"/>
    <x v="0"/>
    <x v="1"/>
    <x v="6"/>
    <n v="0"/>
    <n v="0"/>
    <n v="445.60199999999998"/>
    <n v="183.2315424"/>
    <n v="0"/>
    <n v="0"/>
    <n v="0"/>
    <x v="1"/>
    <n v="0"/>
    <n v="0"/>
    <n v="7"/>
    <n v="0"/>
    <n v="0"/>
    <n v="1326.39"/>
    <n v="0"/>
    <m/>
    <n v="1578.6481033476041"/>
    <m/>
    <n v="0"/>
    <n v="243036.48552393602"/>
    <n v="0"/>
    <n v="0"/>
    <n v="289258.12688321609"/>
    <n v="0"/>
  </r>
  <r>
    <s v="Regular"/>
    <x v="0"/>
    <x v="2"/>
    <x v="1"/>
    <x v="0"/>
    <x v="1"/>
    <x v="0"/>
    <x v="1"/>
    <x v="7"/>
    <n v="0"/>
    <n v="0"/>
    <n v="489.24099999999999"/>
    <n v="225.58902509999999"/>
    <n v="0"/>
    <n v="0"/>
    <n v="0"/>
    <x v="1"/>
    <n v="0"/>
    <n v="0"/>
    <n v="7"/>
    <n v="0"/>
    <n v="0"/>
    <n v="1326.39"/>
    <n v="0"/>
    <m/>
    <n v="1578.6481033476041"/>
    <m/>
    <n v="0"/>
    <n v="299219.02700238902"/>
    <n v="0"/>
    <n v="0"/>
    <n v="356125.68661015003"/>
    <n v="0"/>
  </r>
  <r>
    <s v="Regular"/>
    <x v="0"/>
    <x v="2"/>
    <x v="1"/>
    <x v="0"/>
    <x v="1"/>
    <x v="0"/>
    <x v="1"/>
    <x v="8"/>
    <n v="0"/>
    <n v="0"/>
    <n v="424.39800000000002"/>
    <n v="192.84645119999999"/>
    <n v="0"/>
    <n v="0"/>
    <n v="0"/>
    <x v="1"/>
    <n v="0"/>
    <n v="0"/>
    <n v="7"/>
    <n v="0"/>
    <n v="0"/>
    <n v="1326.39"/>
    <n v="0"/>
    <m/>
    <n v="1578.6481033476041"/>
    <m/>
    <n v="0"/>
    <n v="255789.60440716799"/>
    <n v="0"/>
    <n v="0"/>
    <n v="304436.68442419625"/>
    <n v="0"/>
  </r>
  <r>
    <s v="Regular"/>
    <x v="0"/>
    <x v="2"/>
    <x v="1"/>
    <x v="0"/>
    <x v="1"/>
    <x v="0"/>
    <x v="1"/>
    <x v="9"/>
    <n v="0"/>
    <n v="0"/>
    <n v="448.86900000000003"/>
    <n v="200.19557399999999"/>
    <n v="0"/>
    <n v="0"/>
    <n v="0"/>
    <x v="1"/>
    <n v="0"/>
    <n v="0"/>
    <n v="7"/>
    <n v="0"/>
    <n v="0"/>
    <n v="1326.39"/>
    <n v="0"/>
    <m/>
    <n v="1578.6481033476041"/>
    <m/>
    <n v="0"/>
    <n v="265537.40739786002"/>
    <n v="0"/>
    <n v="0"/>
    <n v="316038.3631936849"/>
    <n v="0"/>
  </r>
  <r>
    <s v="Regular"/>
    <x v="0"/>
    <x v="2"/>
    <x v="1"/>
    <x v="0"/>
    <x v="1"/>
    <x v="0"/>
    <x v="1"/>
    <x v="10"/>
    <n v="0"/>
    <n v="0"/>
    <n v="455.94499999999999"/>
    <n v="195.87397200000001"/>
    <n v="0"/>
    <n v="0"/>
    <n v="0"/>
    <x v="1"/>
    <n v="0"/>
    <n v="0"/>
    <n v="7"/>
    <n v="0"/>
    <n v="0"/>
    <n v="1326.39"/>
    <n v="0"/>
    <m/>
    <n v="1578.6481033476041"/>
    <m/>
    <n v="0"/>
    <n v="259805.27772108003"/>
    <n v="0"/>
    <n v="0"/>
    <n v="309216.07439296175"/>
    <n v="0"/>
  </r>
  <r>
    <s v="PROJETADO"/>
    <x v="0"/>
    <x v="2"/>
    <x v="1"/>
    <x v="0"/>
    <x v="1"/>
    <x v="0"/>
    <x v="1"/>
    <x v="11"/>
    <n v="0"/>
    <n v="0"/>
    <n v="455.94499999999999"/>
    <n v="195.87397200000001"/>
    <n v="0"/>
    <n v="0"/>
    <n v="0"/>
    <x v="1"/>
    <n v="0"/>
    <n v="0"/>
    <n v="7"/>
    <n v="0"/>
    <n v="0"/>
    <n v="1326.39"/>
    <n v="0"/>
    <m/>
    <n v="1578.6481033476041"/>
    <m/>
    <n v="0"/>
    <n v="259805.27772108003"/>
    <n v="0"/>
    <n v="0"/>
    <n v="309216.07439296175"/>
    <n v="0"/>
  </r>
  <r>
    <s v="Regular"/>
    <x v="0"/>
    <x v="2"/>
    <x v="1"/>
    <x v="0"/>
    <x v="0"/>
    <x v="0"/>
    <x v="0"/>
    <x v="0"/>
    <n v="0"/>
    <n v="0"/>
    <n v="2479.4299999999998"/>
    <n v="2479.4299999999998"/>
    <n v="2479.4299999999998"/>
    <n v="2479.4299999999998"/>
    <n v="0"/>
    <x v="0"/>
    <n v="0"/>
    <n v="0"/>
    <n v="8"/>
    <n v="49"/>
    <n v="0"/>
    <n v="76.75"/>
    <n v="307.08"/>
    <m/>
    <n v="152.59031948759403"/>
    <n v="313.20976164142951"/>
    <n v="0"/>
    <n v="190296.25249999997"/>
    <n v="761383.36439999996"/>
    <n v="0"/>
    <n v="378337.01584712527"/>
    <n v="776581.67930660956"/>
  </r>
  <r>
    <s v="Sistema de Compensação"/>
    <x v="0"/>
    <x v="2"/>
    <x v="1"/>
    <x v="0"/>
    <x v="0"/>
    <x v="0"/>
    <x v="0"/>
    <x v="0"/>
    <n v="0"/>
    <n v="0"/>
    <n v="128.191"/>
    <n v="128.191"/>
    <n v="128.191"/>
    <n v="128.191"/>
    <n v="0"/>
    <x v="0"/>
    <n v="0"/>
    <n v="0"/>
    <n v="8"/>
    <n v="49"/>
    <n v="0"/>
    <n v="76.75"/>
    <n v="307.08"/>
    <m/>
    <n v="152.59031948759403"/>
    <n v="313.20976164142951"/>
    <n v="0"/>
    <n v="9838.6592500000006"/>
    <n v="39364.89228"/>
    <n v="0"/>
    <n v="19560.705645434165"/>
    <n v="40150.672554576493"/>
  </r>
  <r>
    <s v="Regular"/>
    <x v="0"/>
    <x v="2"/>
    <x v="1"/>
    <x v="0"/>
    <x v="0"/>
    <x v="0"/>
    <x v="0"/>
    <x v="1"/>
    <n v="0"/>
    <n v="0"/>
    <n v="2581.2829999999999"/>
    <n v="2581.2829999999999"/>
    <n v="2581.2829999999999"/>
    <n v="2581.2829999999999"/>
    <n v="0"/>
    <x v="0"/>
    <n v="0"/>
    <n v="0"/>
    <n v="8"/>
    <n v="49"/>
    <n v="0"/>
    <n v="76.75"/>
    <n v="307.08"/>
    <m/>
    <n v="152.59031948759403"/>
    <n v="313.20976164142951"/>
    <n v="0"/>
    <n v="198113.47024999998"/>
    <n v="792660.3836399999"/>
    <n v="0"/>
    <n v="393878.79765789519"/>
    <n v="808483.03315907402"/>
  </r>
  <r>
    <s v="Sistema de Compensação"/>
    <x v="0"/>
    <x v="2"/>
    <x v="1"/>
    <x v="0"/>
    <x v="0"/>
    <x v="0"/>
    <x v="0"/>
    <x v="1"/>
    <n v="0"/>
    <n v="0"/>
    <n v="150.245"/>
    <n v="150.245"/>
    <n v="150.245"/>
    <n v="150.245"/>
    <n v="0"/>
    <x v="0"/>
    <n v="0"/>
    <n v="0"/>
    <n v="8"/>
    <n v="49"/>
    <n v="0"/>
    <n v="76.75"/>
    <n v="307.08"/>
    <m/>
    <n v="152.59031948759403"/>
    <n v="313.20976164142951"/>
    <n v="0"/>
    <n v="11531.303750000001"/>
    <n v="46137.234599999996"/>
    <n v="0"/>
    <n v="22925.932551413567"/>
    <n v="47058.200637816575"/>
  </r>
  <r>
    <s v="Regular"/>
    <x v="0"/>
    <x v="2"/>
    <x v="1"/>
    <x v="0"/>
    <x v="0"/>
    <x v="0"/>
    <x v="0"/>
    <x v="2"/>
    <n v="0"/>
    <n v="0"/>
    <n v="2309.0369999999998"/>
    <n v="2309.0369999999998"/>
    <n v="2309.0369999999998"/>
    <n v="2309.0369999999998"/>
    <n v="0"/>
    <x v="0"/>
    <n v="0"/>
    <n v="0"/>
    <n v="8"/>
    <n v="49"/>
    <n v="0"/>
    <n v="76.75"/>
    <n v="307.08"/>
    <m/>
    <n v="152.59031948759403"/>
    <n v="313.20976164142951"/>
    <n v="0"/>
    <n v="177218.58974999998"/>
    <n v="709059.08195999986"/>
    <n v="0"/>
    <n v="352336.69353867561"/>
    <n v="723212.92839124135"/>
  </r>
  <r>
    <s v="Refaturamento - Regular"/>
    <x v="0"/>
    <x v="2"/>
    <x v="1"/>
    <x v="0"/>
    <x v="0"/>
    <x v="0"/>
    <x v="0"/>
    <x v="2"/>
    <n v="0"/>
    <n v="0"/>
    <n v="2.669"/>
    <n v="2.669"/>
    <n v="2.669"/>
    <n v="2.669"/>
    <n v="0"/>
    <x v="0"/>
    <n v="0"/>
    <n v="0"/>
    <n v="8"/>
    <n v="49"/>
    <n v="0"/>
    <n v="76.75"/>
    <n v="307.08"/>
    <m/>
    <n v="152.59031948759403"/>
    <n v="313.20976164142951"/>
    <n v="0"/>
    <n v="204.84575000000001"/>
    <n v="819.59651999999994"/>
    <n v="0"/>
    <n v="407.26356271238848"/>
    <n v="835.95685382097543"/>
  </r>
  <r>
    <s v="Sistema de Compensação"/>
    <x v="0"/>
    <x v="2"/>
    <x v="1"/>
    <x v="0"/>
    <x v="0"/>
    <x v="0"/>
    <x v="0"/>
    <x v="2"/>
    <n v="0"/>
    <n v="0"/>
    <n v="105.377"/>
    <n v="105.377"/>
    <n v="105.377"/>
    <n v="105.377"/>
    <n v="0"/>
    <x v="0"/>
    <n v="0"/>
    <n v="0"/>
    <n v="8"/>
    <n v="49"/>
    <n v="0"/>
    <n v="76.75"/>
    <n v="307.08"/>
    <m/>
    <n v="152.59031948759403"/>
    <n v="313.20976164142951"/>
    <n v="0"/>
    <n v="8087.6847499999994"/>
    <n v="32359.169159999998"/>
    <n v="0"/>
    <n v="16079.510096644195"/>
    <n v="33005.105052488914"/>
  </r>
  <r>
    <s v="Regular"/>
    <x v="0"/>
    <x v="2"/>
    <x v="1"/>
    <x v="0"/>
    <x v="0"/>
    <x v="0"/>
    <x v="0"/>
    <x v="3"/>
    <n v="0"/>
    <n v="0"/>
    <n v="2175.4059999999999"/>
    <n v="2175.4059999999999"/>
    <n v="2175.4059999999999"/>
    <n v="2175.4059999999999"/>
    <n v="0"/>
    <x v="0"/>
    <n v="0"/>
    <n v="0"/>
    <n v="8"/>
    <n v="49"/>
    <n v="0"/>
    <n v="76.75"/>
    <n v="307.08"/>
    <m/>
    <n v="152.59031948759403"/>
    <n v="313.20976164142951"/>
    <n v="0"/>
    <n v="166962.4105"/>
    <n v="668023.67447999993"/>
    <n v="0"/>
    <n v="331945.89655522897"/>
    <n v="681358.39473333559"/>
  </r>
  <r>
    <s v="Sistema de Compensação"/>
    <x v="0"/>
    <x v="2"/>
    <x v="1"/>
    <x v="0"/>
    <x v="0"/>
    <x v="0"/>
    <x v="0"/>
    <x v="3"/>
    <n v="0"/>
    <n v="0"/>
    <n v="71.927999999999997"/>
    <n v="71.927999999999997"/>
    <n v="71.927999999999997"/>
    <n v="71.927999999999997"/>
    <n v="0"/>
    <x v="0"/>
    <n v="0"/>
    <n v="0"/>
    <n v="8"/>
    <n v="49"/>
    <n v="0"/>
    <n v="76.75"/>
    <n v="307.08"/>
    <m/>
    <n v="152.59031948759403"/>
    <n v="313.20976164142951"/>
    <n v="0"/>
    <n v="5520.4740000000002"/>
    <n v="22087.650239999999"/>
    <n v="0"/>
    <n v="10975.516500103662"/>
    <n v="22528.551735344739"/>
  </r>
  <r>
    <s v="Regular"/>
    <x v="0"/>
    <x v="2"/>
    <x v="1"/>
    <x v="0"/>
    <x v="0"/>
    <x v="0"/>
    <x v="0"/>
    <x v="4"/>
    <n v="0"/>
    <n v="0"/>
    <n v="1627.6369999999999"/>
    <n v="1627.6369999999999"/>
    <n v="1627.6369999999999"/>
    <n v="1627.6369999999999"/>
    <n v="0"/>
    <x v="0"/>
    <n v="0"/>
    <n v="0"/>
    <n v="8"/>
    <n v="49"/>
    <n v="0"/>
    <n v="76.75"/>
    <n v="307.08"/>
    <m/>
    <n v="152.59031948759403"/>
    <n v="313.20976164142951"/>
    <n v="0"/>
    <n v="124921.13975"/>
    <n v="499814.76995999995"/>
    <n v="0"/>
    <n v="248361.64983982907"/>
    <n v="509791.79680877138"/>
  </r>
  <r>
    <s v="Sistema de Compensação"/>
    <x v="0"/>
    <x v="2"/>
    <x v="1"/>
    <x v="0"/>
    <x v="0"/>
    <x v="0"/>
    <x v="0"/>
    <x v="4"/>
    <n v="0"/>
    <n v="0"/>
    <n v="45.121000000000002"/>
    <n v="45.121000000000002"/>
    <n v="45.121000000000002"/>
    <n v="45.121000000000002"/>
    <n v="0"/>
    <x v="0"/>
    <n v="0"/>
    <n v="0"/>
    <n v="8"/>
    <n v="49"/>
    <n v="0"/>
    <n v="76.75"/>
    <n v="307.08"/>
    <m/>
    <n v="152.59031948759403"/>
    <n v="313.20976164142951"/>
    <n v="0"/>
    <n v="3463.0367500000002"/>
    <n v="13855.75668"/>
    <n v="0"/>
    <n v="6885.0278055997305"/>
    <n v="14132.337655022942"/>
  </r>
  <r>
    <s v="Regular"/>
    <x v="0"/>
    <x v="2"/>
    <x v="1"/>
    <x v="0"/>
    <x v="0"/>
    <x v="0"/>
    <x v="0"/>
    <x v="5"/>
    <n v="0"/>
    <n v="0"/>
    <n v="1798.4849999999999"/>
    <n v="1798.4849999999999"/>
    <n v="1798.4849999999999"/>
    <n v="1798.4849999999999"/>
    <n v="0"/>
    <x v="0"/>
    <n v="0"/>
    <n v="0"/>
    <n v="8"/>
    <n v="49"/>
    <n v="0"/>
    <n v="76.75"/>
    <n v="307.08"/>
    <m/>
    <n v="152.59031948759403"/>
    <n v="313.20976164142951"/>
    <n v="0"/>
    <n v="138033.72375"/>
    <n v="552278.77379999997"/>
    <n v="0"/>
    <n v="274431.40074364556"/>
    <n v="563303.05816568632"/>
  </r>
  <r>
    <s v="Sistema de Compensação"/>
    <x v="0"/>
    <x v="2"/>
    <x v="1"/>
    <x v="0"/>
    <x v="0"/>
    <x v="0"/>
    <x v="0"/>
    <x v="5"/>
    <n v="0"/>
    <n v="0"/>
    <n v="75.774000000000001"/>
    <n v="75.774000000000001"/>
    <n v="75.774000000000001"/>
    <n v="75.774000000000001"/>
    <n v="0"/>
    <x v="0"/>
    <n v="0"/>
    <n v="0"/>
    <n v="8"/>
    <n v="49"/>
    <n v="0"/>
    <n v="76.75"/>
    <n v="307.08"/>
    <m/>
    <n v="152.59031948759403"/>
    <n v="313.20976164142951"/>
    <n v="0"/>
    <n v="5815.6544999999996"/>
    <n v="23268.679919999999"/>
    <n v="0"/>
    <n v="11562.378868852949"/>
    <n v="23733.156478617679"/>
  </r>
  <r>
    <s v="Regular"/>
    <x v="0"/>
    <x v="2"/>
    <x v="1"/>
    <x v="0"/>
    <x v="0"/>
    <x v="0"/>
    <x v="0"/>
    <x v="6"/>
    <n v="0"/>
    <n v="0"/>
    <n v="1948.6479999999999"/>
    <n v="1948.6479999999999"/>
    <n v="1948.6479999999999"/>
    <n v="1948.6479999999999"/>
    <n v="0"/>
    <x v="0"/>
    <n v="0"/>
    <n v="0"/>
    <n v="8"/>
    <n v="49"/>
    <n v="0"/>
    <n v="76.75"/>
    <n v="307.08"/>
    <m/>
    <n v="152.59031948759403"/>
    <n v="313.20976164142951"/>
    <n v="0"/>
    <n v="149558.734"/>
    <n v="598390.82783999993"/>
    <n v="0"/>
    <n v="297344.82088886114"/>
    <n v="610335.57560304832"/>
  </r>
  <r>
    <s v="Refaturamento - Regular"/>
    <x v="0"/>
    <x v="2"/>
    <x v="1"/>
    <x v="0"/>
    <x v="0"/>
    <x v="0"/>
    <x v="0"/>
    <x v="6"/>
    <n v="0"/>
    <n v="0"/>
    <n v="-7.5839999999999996"/>
    <n v="-7.5839999999999996"/>
    <n v="-7.5839999999999996"/>
    <n v="-7.5839999999999996"/>
    <n v="0"/>
    <x v="0"/>
    <n v="0"/>
    <n v="0"/>
    <n v="8"/>
    <n v="49"/>
    <n v="0"/>
    <n v="76.75"/>
    <n v="307.08"/>
    <m/>
    <n v="152.59031948759403"/>
    <n v="313.20976164142951"/>
    <n v="0"/>
    <n v="-582.072"/>
    <n v="-2328.8947199999998"/>
    <n v="0"/>
    <n v="-1157.244982993913"/>
    <n v="-2375.3828322886011"/>
  </r>
  <r>
    <s v="Sistema de Compensação"/>
    <x v="0"/>
    <x v="2"/>
    <x v="1"/>
    <x v="0"/>
    <x v="0"/>
    <x v="0"/>
    <x v="0"/>
    <x v="6"/>
    <n v="0"/>
    <n v="0"/>
    <n v="78.519000000000005"/>
    <n v="78.519000000000005"/>
    <n v="78.519000000000005"/>
    <n v="78.519000000000005"/>
    <n v="0"/>
    <x v="0"/>
    <n v="0"/>
    <n v="0"/>
    <n v="8"/>
    <n v="49"/>
    <n v="0"/>
    <n v="76.75"/>
    <n v="307.08"/>
    <m/>
    <n v="152.59031948759403"/>
    <n v="313.20976164142951"/>
    <n v="0"/>
    <n v="6026.3332500000006"/>
    <n v="24111.614519999999"/>
    <n v="0"/>
    <n v="11981.239295846397"/>
    <n v="24592.917274323405"/>
  </r>
  <r>
    <s v="Sistema de Compensação"/>
    <x v="0"/>
    <x v="2"/>
    <x v="1"/>
    <x v="0"/>
    <x v="0"/>
    <x v="0"/>
    <x v="0"/>
    <x v="6"/>
    <n v="0"/>
    <n v="0"/>
    <n v="6.6619999999999999"/>
    <n v="6.6619999999999999"/>
    <n v="6.6619999999999999"/>
    <n v="6.6619999999999999"/>
    <n v="0"/>
    <x v="0"/>
    <n v="0"/>
    <n v="0"/>
    <n v="8"/>
    <n v="49"/>
    <n v="0"/>
    <n v="76.75"/>
    <n v="307.08"/>
    <m/>
    <n v="152.59031948759403"/>
    <n v="313.20976164142951"/>
    <n v="0"/>
    <n v="511.30849999999998"/>
    <n v="2045.7669599999999"/>
    <n v="0"/>
    <n v="1016.5567084263514"/>
    <n v="2086.6034320552035"/>
  </r>
  <r>
    <s v="Regular"/>
    <x v="0"/>
    <x v="2"/>
    <x v="1"/>
    <x v="0"/>
    <x v="0"/>
    <x v="0"/>
    <x v="0"/>
    <x v="7"/>
    <n v="0"/>
    <n v="0"/>
    <n v="1770.5450000000001"/>
    <n v="1770.5450000000001"/>
    <n v="1770.5450000000001"/>
    <n v="1770.5450000000001"/>
    <n v="0"/>
    <x v="0"/>
    <n v="0"/>
    <n v="0"/>
    <n v="8"/>
    <n v="49"/>
    <n v="0"/>
    <n v="76.75"/>
    <n v="307.08"/>
    <m/>
    <n v="152.59031948759403"/>
    <n v="313.20976164142951"/>
    <n v="0"/>
    <n v="135889.32875000002"/>
    <n v="543698.95860000001"/>
    <n v="0"/>
    <n v="270168.02721716219"/>
    <n v="554551.97742542485"/>
  </r>
  <r>
    <s v="Sistema de Compensação"/>
    <x v="0"/>
    <x v="2"/>
    <x v="1"/>
    <x v="0"/>
    <x v="0"/>
    <x v="0"/>
    <x v="0"/>
    <x v="7"/>
    <n v="0"/>
    <n v="0"/>
    <n v="73.103999999999999"/>
    <n v="73.103999999999999"/>
    <n v="73.103999999999999"/>
    <n v="73.103999999999999"/>
    <n v="0"/>
    <x v="0"/>
    <n v="0"/>
    <n v="0"/>
    <n v="8"/>
    <n v="49"/>
    <n v="0"/>
    <n v="76.75"/>
    <n v="307.08"/>
    <m/>
    <n v="152.59031948759403"/>
    <n v="313.20976164142951"/>
    <n v="0"/>
    <n v="5610.732"/>
    <n v="22448.776319999997"/>
    <n v="0"/>
    <n v="11154.962715821073"/>
    <n v="22896.886415035064"/>
  </r>
  <r>
    <s v="Regular"/>
    <x v="0"/>
    <x v="2"/>
    <x v="1"/>
    <x v="0"/>
    <x v="0"/>
    <x v="0"/>
    <x v="0"/>
    <x v="8"/>
    <n v="0"/>
    <n v="0"/>
    <n v="1763.63"/>
    <n v="1763.63"/>
    <n v="1763.63"/>
    <n v="1763.63"/>
    <n v="0"/>
    <x v="0"/>
    <n v="0"/>
    <n v="0"/>
    <n v="8"/>
    <n v="49"/>
    <n v="0"/>
    <n v="76.75"/>
    <n v="307.08"/>
    <m/>
    <n v="152.59031948759403"/>
    <n v="313.20976164142951"/>
    <n v="0"/>
    <n v="135358.60250000001"/>
    <n v="541575.50040000002"/>
    <n v="0"/>
    <n v="269112.8651579055"/>
    <n v="552386.13192367437"/>
  </r>
  <r>
    <s v="Sistema de Compensação"/>
    <x v="0"/>
    <x v="2"/>
    <x v="1"/>
    <x v="0"/>
    <x v="0"/>
    <x v="0"/>
    <x v="0"/>
    <x v="8"/>
    <n v="0"/>
    <n v="0"/>
    <n v="136.54"/>
    <n v="136.54"/>
    <n v="136.54"/>
    <n v="136.54"/>
    <n v="0"/>
    <x v="0"/>
    <n v="0"/>
    <n v="0"/>
    <n v="8"/>
    <n v="49"/>
    <n v="0"/>
    <n v="76.75"/>
    <n v="307.08"/>
    <m/>
    <n v="152.59031948759403"/>
    <n v="313.20976164142951"/>
    <n v="0"/>
    <n v="10479.445"/>
    <n v="41928.703199999996"/>
    <n v="0"/>
    <n v="20834.682222836087"/>
    <n v="42765.660854520786"/>
  </r>
  <r>
    <s v="Sistema de Compensação"/>
    <x v="0"/>
    <x v="2"/>
    <x v="1"/>
    <x v="0"/>
    <x v="0"/>
    <x v="0"/>
    <x v="0"/>
    <x v="8"/>
    <n v="0"/>
    <n v="0"/>
    <n v="13.336"/>
    <n v="13.336"/>
    <n v="13.336"/>
    <n v="13.336"/>
    <n v="0"/>
    <x v="0"/>
    <n v="0"/>
    <n v="0"/>
    <n v="8"/>
    <n v="49"/>
    <n v="0"/>
    <n v="76.75"/>
    <n v="307.08"/>
    <m/>
    <n v="152.59031948759403"/>
    <n v="313.20976164142951"/>
    <n v="0"/>
    <n v="1023.538"/>
    <n v="4095.2188799999999"/>
    <n v="0"/>
    <n v="2034.944500686554"/>
    <n v="4176.9653812501037"/>
  </r>
  <r>
    <s v="Regular"/>
    <x v="0"/>
    <x v="2"/>
    <x v="1"/>
    <x v="0"/>
    <x v="0"/>
    <x v="0"/>
    <x v="0"/>
    <x v="9"/>
    <n v="0"/>
    <n v="0"/>
    <n v="1518.097"/>
    <n v="1518.097"/>
    <n v="1518.097"/>
    <n v="1518.097"/>
    <n v="0"/>
    <x v="0"/>
    <n v="0"/>
    <n v="0"/>
    <n v="8"/>
    <n v="49"/>
    <n v="0"/>
    <n v="76.75"/>
    <n v="307.08"/>
    <m/>
    <n v="152.59031948759403"/>
    <n v="313.20976164142951"/>
    <n v="0"/>
    <n v="116513.94475"/>
    <n v="466177.22675999999"/>
    <n v="0"/>
    <n v="231646.90624315804"/>
    <n v="475482.7995185692"/>
  </r>
  <r>
    <s v="Sistema de Compensação"/>
    <x v="0"/>
    <x v="2"/>
    <x v="1"/>
    <x v="0"/>
    <x v="0"/>
    <x v="0"/>
    <x v="0"/>
    <x v="9"/>
    <n v="0"/>
    <n v="0"/>
    <n v="123.39"/>
    <n v="123.39"/>
    <n v="123.39"/>
    <n v="123.39"/>
    <n v="0"/>
    <x v="0"/>
    <n v="0"/>
    <n v="0"/>
    <n v="8"/>
    <n v="49"/>
    <n v="0"/>
    <n v="76.75"/>
    <n v="307.08"/>
    <m/>
    <n v="152.59031948759403"/>
    <n v="313.20976164142951"/>
    <n v="0"/>
    <n v="9470.1825000000008"/>
    <n v="37890.601199999997"/>
    <n v="0"/>
    <n v="18828.119521574226"/>
    <n v="38646.952488935989"/>
  </r>
  <r>
    <s v="Sistema de Compensação"/>
    <x v="0"/>
    <x v="2"/>
    <x v="1"/>
    <x v="0"/>
    <x v="0"/>
    <x v="0"/>
    <x v="0"/>
    <x v="9"/>
    <n v="0"/>
    <n v="0"/>
    <n v="6.4939999999999998"/>
    <n v="6.4939999999999998"/>
    <n v="6.4939999999999998"/>
    <n v="6.4939999999999998"/>
    <n v="0"/>
    <x v="0"/>
    <n v="0"/>
    <n v="0"/>
    <n v="8"/>
    <n v="49"/>
    <n v="0"/>
    <n v="76.75"/>
    <n v="307.08"/>
    <m/>
    <n v="152.59031948759403"/>
    <n v="313.20976164142951"/>
    <n v="0"/>
    <n v="498.41449999999998"/>
    <n v="1994.1775199999997"/>
    <n v="0"/>
    <n v="990.9215347524356"/>
    <n v="2033.9841920994431"/>
  </r>
  <r>
    <s v="Regular"/>
    <x v="0"/>
    <x v="2"/>
    <x v="1"/>
    <x v="0"/>
    <x v="0"/>
    <x v="0"/>
    <x v="0"/>
    <x v="10"/>
    <n v="0"/>
    <n v="0"/>
    <n v="1607.875"/>
    <n v="1607.875"/>
    <n v="1607.875"/>
    <n v="1607.875"/>
    <n v="0"/>
    <x v="0"/>
    <n v="0"/>
    <n v="0"/>
    <n v="8"/>
    <n v="49"/>
    <n v="0"/>
    <n v="76.75"/>
    <n v="307.08"/>
    <m/>
    <n v="152.59031948759403"/>
    <n v="313.20976164142951"/>
    <n v="0"/>
    <n v="123404.40625"/>
    <n v="493746.25499999995"/>
    <n v="0"/>
    <n v="245346.15994611525"/>
    <n v="503602.14549921348"/>
  </r>
  <r>
    <s v="Sistema de Compensação"/>
    <x v="0"/>
    <x v="2"/>
    <x v="1"/>
    <x v="0"/>
    <x v="0"/>
    <x v="0"/>
    <x v="0"/>
    <x v="10"/>
    <n v="0"/>
    <n v="0"/>
    <n v="126.953"/>
    <n v="126.953"/>
    <n v="126.953"/>
    <n v="126.953"/>
    <n v="0"/>
    <x v="0"/>
    <n v="0"/>
    <n v="0"/>
    <n v="8"/>
    <n v="49"/>
    <n v="0"/>
    <n v="76.75"/>
    <n v="307.08"/>
    <m/>
    <n v="152.59031948759403"/>
    <n v="313.20976164142951"/>
    <n v="0"/>
    <n v="9743.6427500000009"/>
    <n v="38984.72724"/>
    <n v="0"/>
    <n v="19371.798829908526"/>
    <n v="39762.918869664398"/>
  </r>
  <r>
    <s v="PROJETADO"/>
    <x v="0"/>
    <x v="2"/>
    <x v="1"/>
    <x v="0"/>
    <x v="0"/>
    <x v="0"/>
    <x v="0"/>
    <x v="11"/>
    <n v="0"/>
    <n v="0"/>
    <n v="1607.875"/>
    <n v="1607.875"/>
    <n v="1607.875"/>
    <n v="1607.875"/>
    <n v="0"/>
    <x v="0"/>
    <n v="0"/>
    <n v="0"/>
    <n v="8"/>
    <n v="49"/>
    <n v="0"/>
    <n v="76.75"/>
    <n v="307.08"/>
    <m/>
    <n v="152.59031948759403"/>
    <n v="313.20976164142951"/>
    <n v="0"/>
    <n v="123404.40625"/>
    <n v="493746.25499999995"/>
    <n v="0"/>
    <n v="245346.15994611525"/>
    <n v="503602.14549921348"/>
  </r>
  <r>
    <s v="PROJETADO"/>
    <x v="0"/>
    <x v="2"/>
    <x v="1"/>
    <x v="0"/>
    <x v="0"/>
    <x v="0"/>
    <x v="0"/>
    <x v="11"/>
    <n v="0"/>
    <n v="0"/>
    <n v="126.953"/>
    <n v="126.953"/>
    <n v="126.953"/>
    <n v="126.953"/>
    <n v="0"/>
    <x v="0"/>
    <n v="0"/>
    <n v="0"/>
    <n v="8"/>
    <n v="49"/>
    <n v="0"/>
    <n v="76.75"/>
    <n v="307.08"/>
    <m/>
    <n v="152.59031948759403"/>
    <n v="313.20976164142951"/>
    <n v="0"/>
    <n v="9743.6427500000009"/>
    <n v="38984.72724"/>
    <n v="0"/>
    <n v="19371.798829908526"/>
    <n v="39762.918869664398"/>
  </r>
  <r>
    <s v="Regular"/>
    <x v="0"/>
    <x v="2"/>
    <x v="1"/>
    <x v="0"/>
    <x v="0"/>
    <x v="0"/>
    <x v="2"/>
    <x v="0"/>
    <n v="14600"/>
    <n v="14600"/>
    <n v="0"/>
    <n v="0"/>
    <n v="0"/>
    <n v="0"/>
    <n v="75"/>
    <x v="0"/>
    <n v="0"/>
    <n v="6"/>
    <n v="0"/>
    <n v="0"/>
    <n v="16.64"/>
    <n v="0"/>
    <n v="0"/>
    <n v="18.929390865785848"/>
    <m/>
    <m/>
    <n v="242944"/>
    <n v="0"/>
    <n v="0"/>
    <n v="276369.10664047336"/>
    <n v="0"/>
    <n v="0"/>
  </r>
  <r>
    <s v="Sistema de Compensação"/>
    <x v="0"/>
    <x v="2"/>
    <x v="1"/>
    <x v="0"/>
    <x v="0"/>
    <x v="0"/>
    <x v="2"/>
    <x v="0"/>
    <n v="2180"/>
    <n v="2180"/>
    <n v="0"/>
    <n v="0"/>
    <n v="0"/>
    <n v="0"/>
    <n v="14"/>
    <x v="0"/>
    <n v="0"/>
    <n v="6"/>
    <n v="0"/>
    <n v="0"/>
    <n v="16.64"/>
    <n v="0"/>
    <n v="0"/>
    <n v="18.929390865785848"/>
    <m/>
    <m/>
    <n v="36275.200000000004"/>
    <n v="0"/>
    <n v="0"/>
    <n v="41266.072087413151"/>
    <n v="0"/>
    <n v="0"/>
  </r>
  <r>
    <s v="Regular"/>
    <x v="0"/>
    <x v="2"/>
    <x v="1"/>
    <x v="0"/>
    <x v="0"/>
    <x v="0"/>
    <x v="2"/>
    <x v="1"/>
    <n v="14797"/>
    <n v="14797"/>
    <n v="0"/>
    <n v="0"/>
    <n v="0"/>
    <n v="0"/>
    <n v="76"/>
    <x v="0"/>
    <n v="0"/>
    <n v="6"/>
    <n v="0"/>
    <n v="0"/>
    <n v="16.64"/>
    <n v="0"/>
    <n v="0"/>
    <n v="18.929390865785848"/>
    <m/>
    <m/>
    <n v="246222.08000000002"/>
    <n v="0"/>
    <n v="0"/>
    <n v="280098.19664103317"/>
    <n v="0"/>
    <n v="0"/>
  </r>
  <r>
    <s v="Sistema de Compensação"/>
    <x v="0"/>
    <x v="2"/>
    <x v="1"/>
    <x v="0"/>
    <x v="0"/>
    <x v="0"/>
    <x v="2"/>
    <x v="1"/>
    <n v="2175"/>
    <n v="2175"/>
    <n v="0"/>
    <n v="0"/>
    <n v="0"/>
    <n v="0"/>
    <n v="14"/>
    <x v="0"/>
    <n v="0"/>
    <n v="6"/>
    <n v="0"/>
    <n v="0"/>
    <n v="16.64"/>
    <n v="0"/>
    <n v="0"/>
    <n v="18.929390865785848"/>
    <m/>
    <m/>
    <n v="36192"/>
    <n v="0"/>
    <n v="0"/>
    <n v="41171.425133084216"/>
    <n v="0"/>
    <n v="0"/>
  </r>
  <r>
    <s v="Regular"/>
    <x v="0"/>
    <x v="2"/>
    <x v="1"/>
    <x v="0"/>
    <x v="0"/>
    <x v="0"/>
    <x v="2"/>
    <x v="2"/>
    <n v="14966"/>
    <n v="14966"/>
    <n v="0"/>
    <n v="0"/>
    <n v="0"/>
    <n v="0"/>
    <n v="77"/>
    <x v="0"/>
    <n v="0"/>
    <n v="6"/>
    <n v="0"/>
    <n v="0"/>
    <n v="16.64"/>
    <n v="0"/>
    <n v="0"/>
    <n v="18.929390865785848"/>
    <m/>
    <m/>
    <n v="249034.24000000002"/>
    <n v="0"/>
    <n v="0"/>
    <n v="283297.26369735098"/>
    <n v="0"/>
    <n v="0"/>
  </r>
  <r>
    <s v="Refaturamento - Regular"/>
    <x v="0"/>
    <x v="2"/>
    <x v="1"/>
    <x v="0"/>
    <x v="0"/>
    <x v="0"/>
    <x v="2"/>
    <x v="2"/>
    <n v="30"/>
    <n v="30"/>
    <n v="0"/>
    <n v="0"/>
    <n v="0"/>
    <n v="0"/>
    <n v="1"/>
    <x v="0"/>
    <n v="0"/>
    <n v="6"/>
    <n v="0"/>
    <n v="0"/>
    <n v="16.64"/>
    <n v="0"/>
    <n v="0"/>
    <n v="18.929390865785848"/>
    <m/>
    <m/>
    <n v="499.20000000000005"/>
    <n v="0"/>
    <n v="0"/>
    <n v="567.88172597357539"/>
    <n v="0"/>
    <n v="0"/>
  </r>
  <r>
    <s v="Sistema de Compensação"/>
    <x v="0"/>
    <x v="2"/>
    <x v="1"/>
    <x v="0"/>
    <x v="0"/>
    <x v="0"/>
    <x v="2"/>
    <x v="2"/>
    <n v="2181"/>
    <n v="2181"/>
    <n v="0"/>
    <n v="0"/>
    <n v="0"/>
    <n v="0"/>
    <n v="14"/>
    <x v="0"/>
    <n v="0"/>
    <n v="6"/>
    <n v="0"/>
    <n v="0"/>
    <n v="16.64"/>
    <n v="0"/>
    <n v="0"/>
    <n v="18.929390865785848"/>
    <m/>
    <m/>
    <n v="36291.840000000004"/>
    <n v="0"/>
    <n v="0"/>
    <n v="41285.001478278937"/>
    <n v="0"/>
    <n v="0"/>
  </r>
  <r>
    <s v="Regular"/>
    <x v="0"/>
    <x v="2"/>
    <x v="1"/>
    <x v="0"/>
    <x v="0"/>
    <x v="0"/>
    <x v="2"/>
    <x v="3"/>
    <n v="15009"/>
    <n v="15009"/>
    <n v="0"/>
    <n v="0"/>
    <n v="0"/>
    <n v="0"/>
    <n v="76"/>
    <x v="0"/>
    <n v="0"/>
    <n v="6"/>
    <n v="0"/>
    <n v="0"/>
    <n v="16.64"/>
    <n v="0"/>
    <n v="0"/>
    <n v="18.929390865785848"/>
    <m/>
    <m/>
    <n v="249749.76000000001"/>
    <n v="0"/>
    <n v="0"/>
    <n v="284111.22750457982"/>
    <n v="0"/>
    <n v="0"/>
  </r>
  <r>
    <s v="Sistema de Compensação"/>
    <x v="0"/>
    <x v="2"/>
    <x v="1"/>
    <x v="0"/>
    <x v="0"/>
    <x v="0"/>
    <x v="2"/>
    <x v="3"/>
    <n v="2178"/>
    <n v="2178"/>
    <n v="0"/>
    <n v="0"/>
    <n v="0"/>
    <n v="0"/>
    <n v="14"/>
    <x v="0"/>
    <n v="0"/>
    <n v="6"/>
    <n v="0"/>
    <n v="0"/>
    <n v="16.64"/>
    <n v="0"/>
    <n v="0"/>
    <n v="18.929390865785848"/>
    <m/>
    <m/>
    <n v="36241.919999999998"/>
    <n v="0"/>
    <n v="0"/>
    <n v="41228.21330568158"/>
    <n v="0"/>
    <n v="0"/>
  </r>
  <r>
    <s v="Regular"/>
    <x v="0"/>
    <x v="2"/>
    <x v="1"/>
    <x v="0"/>
    <x v="0"/>
    <x v="0"/>
    <x v="2"/>
    <x v="4"/>
    <n v="13438"/>
    <n v="13438"/>
    <n v="0"/>
    <n v="0"/>
    <n v="0"/>
    <n v="0"/>
    <n v="74"/>
    <x v="0"/>
    <n v="0"/>
    <n v="6"/>
    <n v="0"/>
    <n v="0"/>
    <n v="16.64"/>
    <n v="0"/>
    <n v="0"/>
    <n v="18.929390865785848"/>
    <m/>
    <m/>
    <n v="223608.32000000001"/>
    <n v="0"/>
    <n v="0"/>
    <n v="254373.15445443022"/>
    <n v="0"/>
    <n v="0"/>
  </r>
  <r>
    <s v="Sistema de Compensação"/>
    <x v="0"/>
    <x v="2"/>
    <x v="1"/>
    <x v="0"/>
    <x v="0"/>
    <x v="0"/>
    <x v="2"/>
    <x v="4"/>
    <n v="2176"/>
    <n v="2176"/>
    <n v="0"/>
    <n v="0"/>
    <n v="0"/>
    <n v="0"/>
    <n v="14"/>
    <x v="0"/>
    <n v="0"/>
    <n v="6"/>
    <n v="0"/>
    <n v="0"/>
    <n v="16.64"/>
    <n v="0"/>
    <n v="0"/>
    <n v="18.929390865785848"/>
    <m/>
    <m/>
    <n v="36208.639999999999"/>
    <n v="0"/>
    <n v="0"/>
    <n v="41190.354523950009"/>
    <n v="0"/>
    <n v="0"/>
  </r>
  <r>
    <s v="Regular"/>
    <x v="0"/>
    <x v="2"/>
    <x v="1"/>
    <x v="0"/>
    <x v="0"/>
    <x v="0"/>
    <x v="2"/>
    <x v="5"/>
    <n v="13704"/>
    <n v="13704"/>
    <n v="0"/>
    <n v="0"/>
    <n v="0"/>
    <n v="0"/>
    <n v="76"/>
    <x v="0"/>
    <n v="0"/>
    <n v="6"/>
    <n v="0"/>
    <n v="0"/>
    <n v="16.64"/>
    <n v="0"/>
    <n v="0"/>
    <n v="18.929390865785848"/>
    <m/>
    <m/>
    <n v="228034.56"/>
    <n v="0"/>
    <n v="0"/>
    <n v="259408.37242472926"/>
    <n v="0"/>
    <n v="0"/>
  </r>
  <r>
    <s v="Sistema de Compensação"/>
    <x v="0"/>
    <x v="2"/>
    <x v="1"/>
    <x v="0"/>
    <x v="0"/>
    <x v="0"/>
    <x v="2"/>
    <x v="5"/>
    <n v="2127"/>
    <n v="2127"/>
    <n v="0"/>
    <n v="0"/>
    <n v="0"/>
    <n v="0"/>
    <n v="13"/>
    <x v="0"/>
    <n v="0"/>
    <n v="6"/>
    <n v="0"/>
    <n v="0"/>
    <n v="16.64"/>
    <n v="0"/>
    <n v="0"/>
    <n v="18.929390865785848"/>
    <m/>
    <m/>
    <n v="35393.279999999999"/>
    <n v="0"/>
    <n v="0"/>
    <n v="40262.814371526496"/>
    <n v="0"/>
    <n v="0"/>
  </r>
  <r>
    <s v="Regular"/>
    <x v="0"/>
    <x v="2"/>
    <x v="1"/>
    <x v="0"/>
    <x v="0"/>
    <x v="0"/>
    <x v="2"/>
    <x v="6"/>
    <n v="13472"/>
    <n v="13472"/>
    <n v="0"/>
    <n v="0"/>
    <n v="0"/>
    <n v="0"/>
    <n v="73"/>
    <x v="0"/>
    <n v="0"/>
    <n v="6"/>
    <n v="0"/>
    <n v="0"/>
    <n v="16.64"/>
    <n v="0"/>
    <n v="0"/>
    <n v="18.929390865785848"/>
    <m/>
    <m/>
    <n v="224174.08000000002"/>
    <n v="0"/>
    <n v="0"/>
    <n v="255016.75374386695"/>
    <n v="0"/>
    <n v="0"/>
  </r>
  <r>
    <s v="Refaturamento - Regular"/>
    <x v="0"/>
    <x v="2"/>
    <x v="1"/>
    <x v="0"/>
    <x v="0"/>
    <x v="0"/>
    <x v="2"/>
    <x v="6"/>
    <n v="-45"/>
    <n v="-45"/>
    <n v="0"/>
    <n v="0"/>
    <n v="0"/>
    <n v="0"/>
    <n v="-1"/>
    <x v="0"/>
    <n v="0"/>
    <n v="6"/>
    <n v="0"/>
    <n v="0"/>
    <n v="16.64"/>
    <n v="0"/>
    <n v="0"/>
    <n v="18.929390865785848"/>
    <m/>
    <m/>
    <n v="-748.80000000000007"/>
    <n v="0"/>
    <n v="0"/>
    <n v="-851.82258896036319"/>
    <n v="0"/>
    <n v="0"/>
  </r>
  <r>
    <s v="Sistema de Compensação"/>
    <x v="0"/>
    <x v="2"/>
    <x v="1"/>
    <x v="0"/>
    <x v="0"/>
    <x v="0"/>
    <x v="2"/>
    <x v="6"/>
    <n v="2177"/>
    <n v="2177"/>
    <n v="0"/>
    <n v="0"/>
    <n v="0"/>
    <n v="0"/>
    <n v="14"/>
    <x v="0"/>
    <n v="0"/>
    <n v="6"/>
    <n v="0"/>
    <n v="0"/>
    <n v="16.64"/>
    <n v="0"/>
    <n v="0"/>
    <n v="18.929390865785848"/>
    <m/>
    <m/>
    <n v="36225.279999999999"/>
    <n v="0"/>
    <n v="0"/>
    <n v="41209.283914815795"/>
    <n v="0"/>
    <n v="0"/>
  </r>
  <r>
    <s v="Sistema de Compensação"/>
    <x v="0"/>
    <x v="2"/>
    <x v="1"/>
    <x v="0"/>
    <x v="0"/>
    <x v="0"/>
    <x v="2"/>
    <x v="6"/>
    <n v="45"/>
    <n v="45"/>
    <n v="0"/>
    <n v="0"/>
    <n v="0"/>
    <n v="0"/>
    <n v="1"/>
    <x v="0"/>
    <n v="0"/>
    <n v="6"/>
    <n v="0"/>
    <n v="0"/>
    <n v="16.64"/>
    <n v="0"/>
    <n v="0"/>
    <n v="18.929390865785848"/>
    <m/>
    <m/>
    <n v="748.80000000000007"/>
    <n v="0"/>
    <n v="0"/>
    <n v="851.82258896036319"/>
    <n v="0"/>
    <n v="0"/>
  </r>
  <r>
    <s v="Regular"/>
    <x v="0"/>
    <x v="2"/>
    <x v="1"/>
    <x v="0"/>
    <x v="0"/>
    <x v="0"/>
    <x v="2"/>
    <x v="7"/>
    <n v="13438"/>
    <n v="13438"/>
    <n v="0"/>
    <n v="0"/>
    <n v="0"/>
    <n v="0"/>
    <n v="73"/>
    <x v="0"/>
    <n v="0"/>
    <n v="6"/>
    <n v="0"/>
    <n v="0"/>
    <n v="16.64"/>
    <n v="0"/>
    <n v="0"/>
    <n v="18.929390865785848"/>
    <m/>
    <m/>
    <n v="223608.32000000001"/>
    <n v="0"/>
    <n v="0"/>
    <n v="254373.15445443022"/>
    <n v="0"/>
    <n v="0"/>
  </r>
  <r>
    <s v="Sistema de Compensação"/>
    <x v="0"/>
    <x v="2"/>
    <x v="1"/>
    <x v="0"/>
    <x v="0"/>
    <x v="0"/>
    <x v="2"/>
    <x v="7"/>
    <n v="2171"/>
    <n v="2171"/>
    <n v="0"/>
    <n v="0"/>
    <n v="0"/>
    <n v="0"/>
    <n v="14"/>
    <x v="0"/>
    <n v="0"/>
    <n v="6"/>
    <n v="0"/>
    <n v="0"/>
    <n v="16.64"/>
    <n v="0"/>
    <n v="0"/>
    <n v="18.929390865785848"/>
    <m/>
    <m/>
    <n v="36125.440000000002"/>
    <n v="0"/>
    <n v="0"/>
    <n v="41095.707569621074"/>
    <n v="0"/>
    <n v="0"/>
  </r>
  <r>
    <s v="Regular"/>
    <x v="0"/>
    <x v="2"/>
    <x v="1"/>
    <x v="0"/>
    <x v="0"/>
    <x v="0"/>
    <x v="2"/>
    <x v="8"/>
    <n v="12992"/>
    <n v="12992"/>
    <n v="0"/>
    <n v="0"/>
    <n v="0"/>
    <n v="0"/>
    <n v="71"/>
    <x v="0"/>
    <n v="0"/>
    <n v="6"/>
    <n v="0"/>
    <n v="0"/>
    <n v="16.64"/>
    <n v="0"/>
    <n v="0"/>
    <n v="18.929390865785848"/>
    <m/>
    <m/>
    <n v="216186.88"/>
    <n v="0"/>
    <n v="0"/>
    <n v="245930.64612828975"/>
    <n v="0"/>
    <n v="0"/>
  </r>
  <r>
    <s v="Sistema de Compensação"/>
    <x v="0"/>
    <x v="2"/>
    <x v="1"/>
    <x v="0"/>
    <x v="0"/>
    <x v="0"/>
    <x v="2"/>
    <x v="8"/>
    <n v="2171"/>
    <n v="2171"/>
    <n v="0"/>
    <n v="0"/>
    <n v="0"/>
    <n v="0"/>
    <n v="14"/>
    <x v="0"/>
    <n v="0"/>
    <n v="6"/>
    <n v="0"/>
    <n v="0"/>
    <n v="16.64"/>
    <n v="0"/>
    <n v="0"/>
    <n v="18.929390865785848"/>
    <m/>
    <m/>
    <n v="36125.440000000002"/>
    <n v="0"/>
    <n v="0"/>
    <n v="41095.707569621074"/>
    <n v="0"/>
    <n v="0"/>
  </r>
  <r>
    <s v="Regular"/>
    <x v="0"/>
    <x v="2"/>
    <x v="1"/>
    <x v="0"/>
    <x v="0"/>
    <x v="0"/>
    <x v="2"/>
    <x v="9"/>
    <n v="12240"/>
    <n v="12240"/>
    <n v="0"/>
    <n v="0"/>
    <n v="0"/>
    <n v="0"/>
    <n v="69"/>
    <x v="0"/>
    <n v="0"/>
    <n v="6"/>
    <n v="0"/>
    <n v="0"/>
    <n v="16.64"/>
    <n v="0"/>
    <n v="0"/>
    <n v="18.929390865785848"/>
    <m/>
    <m/>
    <n v="203673.60000000001"/>
    <n v="0"/>
    <n v="0"/>
    <n v="231695.74419721877"/>
    <n v="0"/>
    <n v="0"/>
  </r>
  <r>
    <s v="Sistema de Compensação"/>
    <x v="0"/>
    <x v="2"/>
    <x v="1"/>
    <x v="0"/>
    <x v="0"/>
    <x v="0"/>
    <x v="2"/>
    <x v="9"/>
    <n v="2270"/>
    <n v="2270"/>
    <n v="0"/>
    <n v="0"/>
    <n v="0"/>
    <n v="0"/>
    <n v="16"/>
    <x v="0"/>
    <n v="0"/>
    <n v="6"/>
    <n v="0"/>
    <n v="0"/>
    <n v="16.64"/>
    <n v="0"/>
    <n v="0"/>
    <n v="18.929390865785848"/>
    <m/>
    <m/>
    <n v="37772.800000000003"/>
    <n v="0"/>
    <n v="0"/>
    <n v="42969.717265333878"/>
    <n v="0"/>
    <n v="0"/>
  </r>
  <r>
    <s v="Regular"/>
    <x v="0"/>
    <x v="2"/>
    <x v="1"/>
    <x v="0"/>
    <x v="0"/>
    <x v="0"/>
    <x v="2"/>
    <x v="10"/>
    <n v="12377"/>
    <n v="12377"/>
    <n v="0"/>
    <n v="0"/>
    <n v="0"/>
    <n v="0"/>
    <n v="70"/>
    <x v="0"/>
    <n v="0"/>
    <n v="6"/>
    <n v="0"/>
    <n v="0"/>
    <n v="16.64"/>
    <n v="0"/>
    <n v="0"/>
    <n v="18.929390865785848"/>
    <m/>
    <m/>
    <n v="205953.28"/>
    <n v="0"/>
    <n v="0"/>
    <n v="234289.07074583144"/>
    <n v="0"/>
    <n v="0"/>
  </r>
  <r>
    <s v="Sistema de Compensação"/>
    <x v="0"/>
    <x v="2"/>
    <x v="1"/>
    <x v="0"/>
    <x v="0"/>
    <x v="0"/>
    <x v="2"/>
    <x v="10"/>
    <n v="2230"/>
    <n v="2230"/>
    <n v="0"/>
    <n v="0"/>
    <n v="0"/>
    <n v="0"/>
    <n v="15"/>
    <x v="0"/>
    <n v="0"/>
    <n v="6"/>
    <n v="0"/>
    <n v="0"/>
    <n v="16.64"/>
    <n v="0"/>
    <n v="0"/>
    <n v="18.929390865785848"/>
    <m/>
    <m/>
    <n v="37107.200000000004"/>
    <n v="0"/>
    <n v="0"/>
    <n v="42212.541630702442"/>
    <n v="0"/>
    <n v="0"/>
  </r>
  <r>
    <s v="PROJETADO"/>
    <x v="0"/>
    <x v="2"/>
    <x v="1"/>
    <x v="0"/>
    <x v="0"/>
    <x v="0"/>
    <x v="2"/>
    <x v="11"/>
    <n v="12377"/>
    <n v="12377"/>
    <n v="0"/>
    <n v="0"/>
    <n v="0"/>
    <n v="0"/>
    <n v="70"/>
    <x v="0"/>
    <n v="0"/>
    <n v="6"/>
    <n v="0"/>
    <n v="0"/>
    <n v="16.64"/>
    <n v="0"/>
    <n v="0"/>
    <n v="18.929390865785848"/>
    <m/>
    <m/>
    <n v="205953.28"/>
    <n v="0"/>
    <n v="0"/>
    <n v="234289.07074583144"/>
    <n v="0"/>
    <n v="0"/>
  </r>
  <r>
    <s v="PROJETADO"/>
    <x v="0"/>
    <x v="2"/>
    <x v="1"/>
    <x v="0"/>
    <x v="0"/>
    <x v="0"/>
    <x v="2"/>
    <x v="11"/>
    <n v="2230"/>
    <n v="2230"/>
    <n v="0"/>
    <n v="0"/>
    <n v="0"/>
    <n v="0"/>
    <n v="15"/>
    <x v="0"/>
    <n v="0"/>
    <n v="6"/>
    <n v="0"/>
    <n v="0"/>
    <n v="16.64"/>
    <n v="0"/>
    <n v="0"/>
    <n v="18.929390865785848"/>
    <m/>
    <m/>
    <n v="37107.200000000004"/>
    <n v="0"/>
    <n v="0"/>
    <n v="42212.541630702442"/>
    <n v="0"/>
    <n v="0"/>
  </r>
  <r>
    <s v="Regular"/>
    <x v="0"/>
    <x v="2"/>
    <x v="1"/>
    <x v="0"/>
    <x v="0"/>
    <x v="0"/>
    <x v="1"/>
    <x v="0"/>
    <n v="0"/>
    <n v="0"/>
    <n v="53.472000000000001"/>
    <n v="53.472000000000001"/>
    <n v="53.472000000000001"/>
    <n v="53.472000000000001"/>
    <n v="0"/>
    <x v="0"/>
    <n v="0"/>
    <n v="0"/>
    <n v="7"/>
    <n v="48"/>
    <n v="0"/>
    <n v="1326.39"/>
    <n v="492.64"/>
    <m/>
    <n v="1578.6481033476041"/>
    <n v="499.13928219176387"/>
    <n v="0"/>
    <n v="70924.726080000008"/>
    <n v="26342.446080000002"/>
    <n v="0"/>
    <n v="84413.47138220309"/>
    <n v="26689.975697357997"/>
  </r>
  <r>
    <s v="Sistema de Compensação"/>
    <x v="0"/>
    <x v="2"/>
    <x v="1"/>
    <x v="0"/>
    <x v="0"/>
    <x v="0"/>
    <x v="1"/>
    <x v="0"/>
    <n v="0"/>
    <n v="0"/>
    <n v="6.4509999999999996"/>
    <n v="6.4509999999999996"/>
    <n v="6.4509999999999996"/>
    <n v="6.4509999999999996"/>
    <n v="0"/>
    <x v="0"/>
    <n v="0"/>
    <n v="0"/>
    <n v="7"/>
    <n v="48"/>
    <n v="0"/>
    <n v="1326.39"/>
    <n v="492.64"/>
    <m/>
    <n v="1578.6481033476041"/>
    <n v="499.13928219176387"/>
    <n v="0"/>
    <n v="8556.5418900000004"/>
    <n v="3178.0206399999997"/>
    <n v="0"/>
    <n v="10183.858914695393"/>
    <n v="3219.9475094190684"/>
  </r>
  <r>
    <s v="Regular"/>
    <x v="0"/>
    <x v="2"/>
    <x v="1"/>
    <x v="0"/>
    <x v="0"/>
    <x v="0"/>
    <x v="1"/>
    <x v="1"/>
    <n v="0"/>
    <n v="0"/>
    <n v="58.872"/>
    <n v="58.872"/>
    <n v="58.872"/>
    <n v="58.872"/>
    <n v="0"/>
    <x v="0"/>
    <n v="0"/>
    <n v="0"/>
    <n v="7"/>
    <n v="48"/>
    <n v="0"/>
    <n v="1326.39"/>
    <n v="492.64"/>
    <m/>
    <n v="1578.6481033476041"/>
    <n v="499.13928219176387"/>
    <n v="0"/>
    <n v="78087.232080000002"/>
    <n v="29002.702079999999"/>
    <n v="0"/>
    <n v="92938.171140280145"/>
    <n v="29385.327821193521"/>
  </r>
  <r>
    <s v="Sistema de Compensação"/>
    <x v="0"/>
    <x v="2"/>
    <x v="1"/>
    <x v="0"/>
    <x v="0"/>
    <x v="0"/>
    <x v="1"/>
    <x v="1"/>
    <n v="0"/>
    <n v="0"/>
    <n v="6.0810000000000004"/>
    <n v="6.0810000000000004"/>
    <n v="6.0810000000000004"/>
    <n v="6.0810000000000004"/>
    <n v="0"/>
    <x v="0"/>
    <n v="0"/>
    <n v="0"/>
    <n v="7"/>
    <n v="48"/>
    <n v="0"/>
    <n v="1326.39"/>
    <n v="492.64"/>
    <m/>
    <n v="1578.6481033476041"/>
    <n v="499.13928219176387"/>
    <n v="0"/>
    <n v="8065.7775900000015"/>
    <n v="2995.7438400000001"/>
    <n v="0"/>
    <n v="9599.7591164567802"/>
    <n v="3035.2659750081161"/>
  </r>
  <r>
    <s v="Regular"/>
    <x v="0"/>
    <x v="2"/>
    <x v="1"/>
    <x v="0"/>
    <x v="0"/>
    <x v="0"/>
    <x v="1"/>
    <x v="2"/>
    <n v="0"/>
    <n v="0"/>
    <n v="62.362000000000002"/>
    <n v="62.362000000000002"/>
    <n v="62.362000000000002"/>
    <n v="62.362000000000002"/>
    <n v="0"/>
    <x v="0"/>
    <n v="0"/>
    <n v="0"/>
    <n v="7"/>
    <n v="48"/>
    <n v="0"/>
    <n v="1326.39"/>
    <n v="492.64"/>
    <m/>
    <n v="1578.6481033476041"/>
    <n v="499.13928219176387"/>
    <n v="0"/>
    <n v="82716.333180000016"/>
    <n v="30722.01568"/>
    <n v="0"/>
    <n v="98447.653020963291"/>
    <n v="31127.32391604278"/>
  </r>
  <r>
    <s v="Refaturamento - Regular"/>
    <x v="0"/>
    <x v="2"/>
    <x v="1"/>
    <x v="0"/>
    <x v="0"/>
    <x v="0"/>
    <x v="1"/>
    <x v="2"/>
    <n v="0"/>
    <n v="0"/>
    <n v="0.42599999999999999"/>
    <n v="0.42599999999999999"/>
    <n v="0.42599999999999999"/>
    <n v="0.42599999999999999"/>
    <n v="0"/>
    <x v="0"/>
    <n v="0"/>
    <n v="0"/>
    <n v="7"/>
    <n v="48"/>
    <n v="0"/>
    <n v="1326.39"/>
    <n v="492.64"/>
    <m/>
    <n v="1578.6481033476041"/>
    <n v="499.13928219176387"/>
    <n v="0"/>
    <n v="565.04214000000002"/>
    <n v="209.86463999999998"/>
    <n v="0"/>
    <n v="672.50409202607932"/>
    <n v="212.6333342136914"/>
  </r>
  <r>
    <s v="Sistema de Compensação"/>
    <x v="0"/>
    <x v="2"/>
    <x v="1"/>
    <x v="0"/>
    <x v="0"/>
    <x v="0"/>
    <x v="1"/>
    <x v="2"/>
    <n v="0"/>
    <n v="0"/>
    <n v="5.2359999999999998"/>
    <n v="5.2359999999999998"/>
    <n v="5.2359999999999998"/>
    <n v="5.2359999999999998"/>
    <n v="0"/>
    <x v="0"/>
    <n v="0"/>
    <n v="0"/>
    <n v="7"/>
    <n v="48"/>
    <n v="0"/>
    <n v="1326.39"/>
    <n v="492.64"/>
    <m/>
    <n v="1578.6481033476041"/>
    <n v="499.13928219176387"/>
    <n v="0"/>
    <n v="6944.97804"/>
    <n v="2579.4630399999996"/>
    <n v="0"/>
    <n v="8265.801469128055"/>
    <n v="2613.4932815560755"/>
  </r>
  <r>
    <s v="Regular"/>
    <x v="0"/>
    <x v="2"/>
    <x v="1"/>
    <x v="0"/>
    <x v="0"/>
    <x v="0"/>
    <x v="1"/>
    <x v="3"/>
    <n v="0"/>
    <n v="0"/>
    <n v="54.695"/>
    <n v="54.695"/>
    <n v="54.695"/>
    <n v="54.695"/>
    <n v="0"/>
    <x v="0"/>
    <n v="0"/>
    <n v="0"/>
    <n v="7"/>
    <n v="48"/>
    <n v="0"/>
    <n v="1326.39"/>
    <n v="492.64"/>
    <m/>
    <n v="1578.6481033476041"/>
    <n v="499.13928219176387"/>
    <n v="0"/>
    <n v="72546.90105"/>
    <n v="26944.944800000001"/>
    <n v="0"/>
    <n v="86344.15801259721"/>
    <n v="27300.423039478526"/>
  </r>
  <r>
    <s v="Sistema de Compensação"/>
    <x v="0"/>
    <x v="2"/>
    <x v="1"/>
    <x v="0"/>
    <x v="0"/>
    <x v="0"/>
    <x v="1"/>
    <x v="3"/>
    <n v="0"/>
    <n v="0"/>
    <n v="4.7629999999999999"/>
    <n v="4.7629999999999999"/>
    <n v="4.7629999999999999"/>
    <n v="4.7629999999999999"/>
    <n v="0"/>
    <x v="0"/>
    <n v="0"/>
    <n v="0"/>
    <n v="7"/>
    <n v="48"/>
    <n v="0"/>
    <n v="1326.39"/>
    <n v="492.64"/>
    <m/>
    <n v="1578.6481033476041"/>
    <n v="499.13928219176387"/>
    <n v="0"/>
    <n v="6317.5955700000004"/>
    <n v="2346.4443200000001"/>
    <n v="0"/>
    <n v="7519.100916244638"/>
    <n v="2377.4004010793715"/>
  </r>
  <r>
    <s v="Regular"/>
    <x v="0"/>
    <x v="2"/>
    <x v="1"/>
    <x v="0"/>
    <x v="0"/>
    <x v="0"/>
    <x v="1"/>
    <x v="4"/>
    <n v="0"/>
    <n v="0"/>
    <n v="37.732999999999997"/>
    <n v="37.732999999999997"/>
    <n v="37.732999999999997"/>
    <n v="37.732999999999997"/>
    <n v="0"/>
    <x v="0"/>
    <n v="0"/>
    <n v="0"/>
    <n v="7"/>
    <n v="48"/>
    <n v="0"/>
    <n v="1326.39"/>
    <n v="492.64"/>
    <m/>
    <n v="1578.6481033476041"/>
    <n v="499.13928219176387"/>
    <n v="0"/>
    <n v="50048.673869999999"/>
    <n v="18588.785119999997"/>
    <n v="0"/>
    <n v="59567.128883615143"/>
    <n v="18834.022534941825"/>
  </r>
  <r>
    <s v="Sistema de Compensação"/>
    <x v="0"/>
    <x v="2"/>
    <x v="1"/>
    <x v="0"/>
    <x v="0"/>
    <x v="0"/>
    <x v="1"/>
    <x v="4"/>
    <n v="0"/>
    <n v="0"/>
    <n v="3.992"/>
    <n v="3.992"/>
    <n v="3.992"/>
    <n v="3.992"/>
    <n v="0"/>
    <x v="0"/>
    <n v="0"/>
    <n v="0"/>
    <n v="7"/>
    <n v="48"/>
    <n v="0"/>
    <n v="1326.39"/>
    <n v="492.64"/>
    <m/>
    <n v="1578.6481033476041"/>
    <n v="499.13928219176387"/>
    <n v="0"/>
    <n v="5294.9488800000008"/>
    <n v="1966.61888"/>
    <n v="0"/>
    <n v="6301.9632285636353"/>
    <n v="1992.5640145095213"/>
  </r>
  <r>
    <s v="Regular"/>
    <x v="0"/>
    <x v="2"/>
    <x v="1"/>
    <x v="0"/>
    <x v="0"/>
    <x v="0"/>
    <x v="1"/>
    <x v="5"/>
    <n v="0"/>
    <n v="0"/>
    <n v="43.128"/>
    <n v="43.128"/>
    <n v="43.128"/>
    <n v="43.128"/>
    <n v="0"/>
    <x v="0"/>
    <n v="0"/>
    <n v="0"/>
    <n v="7"/>
    <n v="48"/>
    <n v="0"/>
    <n v="1326.39"/>
    <n v="492.64"/>
    <m/>
    <n v="1578.6481033476041"/>
    <n v="499.13928219176387"/>
    <n v="0"/>
    <n v="57204.547920000005"/>
    <n v="21246.57792"/>
    <n v="0"/>
    <n v="68083.935401175477"/>
    <n v="21526.878962366391"/>
  </r>
  <r>
    <s v="Sistema de Compensação"/>
    <x v="0"/>
    <x v="2"/>
    <x v="1"/>
    <x v="0"/>
    <x v="0"/>
    <x v="0"/>
    <x v="1"/>
    <x v="5"/>
    <n v="0"/>
    <n v="0"/>
    <n v="4.3330000000000002"/>
    <n v="4.3330000000000002"/>
    <n v="4.3330000000000002"/>
    <n v="4.3330000000000002"/>
    <n v="0"/>
    <x v="0"/>
    <n v="0"/>
    <n v="0"/>
    <n v="7"/>
    <n v="48"/>
    <n v="0"/>
    <n v="1326.39"/>
    <n v="492.64"/>
    <m/>
    <n v="1578.6481033476041"/>
    <n v="499.13928219176387"/>
    <n v="0"/>
    <n v="5747.2478700000011"/>
    <n v="2134.6091200000001"/>
    <n v="0"/>
    <n v="6840.2822318051685"/>
    <n v="2162.770509736913"/>
  </r>
  <r>
    <s v="Regular"/>
    <x v="0"/>
    <x v="2"/>
    <x v="1"/>
    <x v="0"/>
    <x v="0"/>
    <x v="0"/>
    <x v="1"/>
    <x v="6"/>
    <n v="0"/>
    <n v="0"/>
    <n v="54.853000000000002"/>
    <n v="54.853000000000002"/>
    <n v="54.853000000000002"/>
    <n v="54.853000000000002"/>
    <n v="0"/>
    <x v="0"/>
    <n v="0"/>
    <n v="0"/>
    <n v="7"/>
    <n v="48"/>
    <n v="0"/>
    <n v="1326.39"/>
    <n v="492.64"/>
    <m/>
    <n v="1578.6481033476041"/>
    <n v="499.13928219176387"/>
    <n v="0"/>
    <n v="72756.47067000001"/>
    <n v="27022.781920000001"/>
    <n v="0"/>
    <n v="86593.584412926124"/>
    <n v="27379.287046064823"/>
  </r>
  <r>
    <s v="Refaturamento - Regular"/>
    <x v="0"/>
    <x v="2"/>
    <x v="1"/>
    <x v="0"/>
    <x v="0"/>
    <x v="0"/>
    <x v="1"/>
    <x v="6"/>
    <n v="0"/>
    <n v="0"/>
    <n v="-0.41499999999999998"/>
    <n v="-0.41499999999999998"/>
    <n v="-0.41499999999999998"/>
    <n v="-0.41499999999999998"/>
    <n v="0"/>
    <x v="0"/>
    <n v="0"/>
    <n v="0"/>
    <n v="7"/>
    <n v="48"/>
    <n v="0"/>
    <n v="1326.39"/>
    <n v="492.64"/>
    <m/>
    <n v="1578.6481033476041"/>
    <n v="499.13928219176387"/>
    <n v="0"/>
    <n v="-550.45185000000004"/>
    <n v="-204.44559999999998"/>
    <n v="0"/>
    <n v="-655.13896288925571"/>
    <n v="-207.14280210958199"/>
  </r>
  <r>
    <s v="Sistema de Compensação"/>
    <x v="0"/>
    <x v="2"/>
    <x v="1"/>
    <x v="0"/>
    <x v="0"/>
    <x v="0"/>
    <x v="1"/>
    <x v="6"/>
    <n v="0"/>
    <n v="0"/>
    <n v="5.673"/>
    <n v="5.673"/>
    <n v="5.673"/>
    <n v="5.673"/>
    <n v="0"/>
    <x v="0"/>
    <n v="0"/>
    <n v="0"/>
    <n v="7"/>
    <n v="48"/>
    <n v="0"/>
    <n v="1326.39"/>
    <n v="492.64"/>
    <m/>
    <n v="1578.6481033476041"/>
    <n v="499.13928219176387"/>
    <n v="0"/>
    <n v="7524.6104700000005"/>
    <n v="2794.7467200000001"/>
    <n v="0"/>
    <n v="8955.6706902909573"/>
    <n v="2831.6171478738765"/>
  </r>
  <r>
    <s v="Sistema de Compensação"/>
    <x v="0"/>
    <x v="2"/>
    <x v="1"/>
    <x v="0"/>
    <x v="0"/>
    <x v="0"/>
    <x v="1"/>
    <x v="6"/>
    <n v="0"/>
    <n v="0"/>
    <n v="0.41499999999999998"/>
    <n v="0.41499999999999998"/>
    <n v="0.41499999999999998"/>
    <n v="0.41499999999999998"/>
    <n v="0"/>
    <x v="0"/>
    <n v="0"/>
    <n v="0"/>
    <n v="7"/>
    <n v="48"/>
    <n v="0"/>
    <n v="1326.39"/>
    <n v="492.64"/>
    <m/>
    <n v="1578.6481033476041"/>
    <n v="499.13928219176387"/>
    <n v="0"/>
    <n v="550.45185000000004"/>
    <n v="204.44559999999998"/>
    <n v="0"/>
    <n v="655.13896288925571"/>
    <n v="207.14280210958199"/>
  </r>
  <r>
    <s v="Regular"/>
    <x v="0"/>
    <x v="2"/>
    <x v="1"/>
    <x v="0"/>
    <x v="0"/>
    <x v="0"/>
    <x v="1"/>
    <x v="7"/>
    <n v="0"/>
    <n v="0"/>
    <n v="45.302"/>
    <n v="45.302"/>
    <n v="45.302"/>
    <n v="45.302"/>
    <n v="0"/>
    <x v="0"/>
    <n v="0"/>
    <n v="0"/>
    <n v="7"/>
    <n v="48"/>
    <n v="0"/>
    <n v="1326.39"/>
    <n v="492.64"/>
    <m/>
    <n v="1578.6481033476041"/>
    <n v="499.13928219176387"/>
    <n v="0"/>
    <n v="60088.119780000001"/>
    <n v="22317.577279999998"/>
    <n v="0"/>
    <n v="71515.916377853166"/>
    <n v="22612.007761851288"/>
  </r>
  <r>
    <s v="Sistema de Compensação"/>
    <x v="0"/>
    <x v="2"/>
    <x v="1"/>
    <x v="0"/>
    <x v="0"/>
    <x v="0"/>
    <x v="1"/>
    <x v="7"/>
    <n v="0"/>
    <n v="0"/>
    <n v="4.8499999999999996"/>
    <n v="4.8499999999999996"/>
    <n v="4.8499999999999996"/>
    <n v="4.8499999999999996"/>
    <n v="0"/>
    <x v="0"/>
    <n v="0"/>
    <n v="0"/>
    <n v="7"/>
    <n v="48"/>
    <n v="0"/>
    <n v="1326.39"/>
    <n v="492.64"/>
    <m/>
    <n v="1578.6481033476041"/>
    <n v="499.13928219176387"/>
    <n v="0"/>
    <n v="6432.9915000000001"/>
    <n v="2389.3039999999996"/>
    <n v="0"/>
    <n v="7656.4433012358795"/>
    <n v="2420.8255186300544"/>
  </r>
  <r>
    <s v="Regular"/>
    <x v="0"/>
    <x v="2"/>
    <x v="1"/>
    <x v="0"/>
    <x v="0"/>
    <x v="0"/>
    <x v="1"/>
    <x v="8"/>
    <n v="0"/>
    <n v="0"/>
    <n v="45.627000000000002"/>
    <n v="45.627000000000002"/>
    <n v="45.627000000000002"/>
    <n v="45.627000000000002"/>
    <n v="0"/>
    <x v="0"/>
    <n v="0"/>
    <n v="0"/>
    <n v="7"/>
    <n v="48"/>
    <n v="0"/>
    <n v="1326.39"/>
    <n v="492.64"/>
    <m/>
    <n v="1578.6481033476041"/>
    <n v="499.13928219176387"/>
    <n v="0"/>
    <n v="60519.196530000008"/>
    <n v="22477.685280000002"/>
    <n v="0"/>
    <n v="72028.977011441137"/>
    <n v="22774.228028563612"/>
  </r>
  <r>
    <s v="Sistema de Compensação"/>
    <x v="0"/>
    <x v="2"/>
    <x v="1"/>
    <x v="0"/>
    <x v="0"/>
    <x v="0"/>
    <x v="1"/>
    <x v="8"/>
    <n v="0"/>
    <n v="0"/>
    <n v="5.3680000000000003"/>
    <n v="5.3680000000000003"/>
    <n v="5.3680000000000003"/>
    <n v="5.3680000000000003"/>
    <n v="0"/>
    <x v="0"/>
    <n v="0"/>
    <n v="0"/>
    <n v="7"/>
    <n v="48"/>
    <n v="0"/>
    <n v="1326.39"/>
    <n v="492.64"/>
    <m/>
    <n v="1578.6481033476041"/>
    <n v="499.13928219176387"/>
    <n v="0"/>
    <n v="7120.0615200000011"/>
    <n v="2644.49152"/>
    <n v="0"/>
    <n v="8474.1830187699397"/>
    <n v="2679.3796668053888"/>
  </r>
  <r>
    <s v="Sistema de Compensação"/>
    <x v="0"/>
    <x v="2"/>
    <x v="1"/>
    <x v="0"/>
    <x v="0"/>
    <x v="0"/>
    <x v="1"/>
    <x v="8"/>
    <n v="0"/>
    <n v="0"/>
    <n v="1.766"/>
    <n v="1.766"/>
    <n v="1.766"/>
    <n v="1.766"/>
    <n v="0"/>
    <x v="0"/>
    <n v="0"/>
    <n v="0"/>
    <n v="7"/>
    <n v="48"/>
    <n v="0"/>
    <n v="1326.39"/>
    <n v="492.64"/>
    <m/>
    <n v="1578.6481033476041"/>
    <n v="499.13928219176387"/>
    <n v="0"/>
    <n v="2342.4047400000004"/>
    <n v="870.00224000000003"/>
    <n v="0"/>
    <n v="2787.8925505118686"/>
    <n v="881.47997235065498"/>
  </r>
  <r>
    <s v="Regular"/>
    <x v="0"/>
    <x v="2"/>
    <x v="1"/>
    <x v="0"/>
    <x v="0"/>
    <x v="0"/>
    <x v="1"/>
    <x v="9"/>
    <n v="0"/>
    <n v="0"/>
    <n v="39.863"/>
    <n v="39.863"/>
    <n v="39.863"/>
    <n v="39.863"/>
    <n v="0"/>
    <x v="0"/>
    <n v="0"/>
    <n v="0"/>
    <n v="7"/>
    <n v="48"/>
    <n v="0"/>
    <n v="1326.39"/>
    <n v="492.64"/>
    <m/>
    <n v="1578.6481033476041"/>
    <n v="499.13928219176387"/>
    <n v="0"/>
    <n v="52873.884570000002"/>
    <n v="19638.108319999999"/>
    <n v="0"/>
    <n v="62929.649343745543"/>
    <n v="19897.189206010284"/>
  </r>
  <r>
    <s v="Sistema de Compensação"/>
    <x v="0"/>
    <x v="2"/>
    <x v="1"/>
    <x v="0"/>
    <x v="0"/>
    <x v="0"/>
    <x v="1"/>
    <x v="9"/>
    <n v="0"/>
    <n v="0"/>
    <n v="4.7789999999999999"/>
    <n v="4.7789999999999999"/>
    <n v="4.7789999999999999"/>
    <n v="4.7789999999999999"/>
    <n v="0"/>
    <x v="0"/>
    <n v="0"/>
    <n v="0"/>
    <n v="7"/>
    <n v="48"/>
    <n v="0"/>
    <n v="1326.39"/>
    <n v="492.64"/>
    <m/>
    <n v="1578.6481033476041"/>
    <n v="499.13928219176387"/>
    <n v="0"/>
    <n v="6338.8178100000005"/>
    <n v="2354.32656"/>
    <n v="0"/>
    <n v="7544.3592858982001"/>
    <n v="2385.3866295944395"/>
  </r>
  <r>
    <s v="Sistema de Compensação"/>
    <x v="0"/>
    <x v="2"/>
    <x v="1"/>
    <x v="0"/>
    <x v="0"/>
    <x v="0"/>
    <x v="1"/>
    <x v="9"/>
    <n v="0"/>
    <n v="0"/>
    <n v="0.81799999999999995"/>
    <n v="0.81799999999999995"/>
    <n v="0.81799999999999995"/>
    <n v="0.81799999999999995"/>
    <n v="0"/>
    <x v="0"/>
    <n v="0"/>
    <n v="0"/>
    <n v="7"/>
    <n v="48"/>
    <n v="0"/>
    <n v="1326.39"/>
    <n v="492.64"/>
    <m/>
    <n v="1578.6481033476041"/>
    <n v="499.13928219176387"/>
    <n v="0"/>
    <n v="1084.98702"/>
    <n v="402.97951999999998"/>
    <n v="0"/>
    <n v="1291.3341485383401"/>
    <n v="408.29593283286283"/>
  </r>
  <r>
    <s v="Regular"/>
    <x v="0"/>
    <x v="2"/>
    <x v="1"/>
    <x v="0"/>
    <x v="0"/>
    <x v="0"/>
    <x v="1"/>
    <x v="10"/>
    <n v="0"/>
    <n v="0"/>
    <n v="39.978000000000002"/>
    <n v="39.978000000000002"/>
    <n v="39.978000000000002"/>
    <n v="39.978000000000002"/>
    <n v="0"/>
    <x v="0"/>
    <n v="0"/>
    <n v="0"/>
    <n v="7"/>
    <n v="48"/>
    <n v="0"/>
    <n v="1326.39"/>
    <n v="492.64"/>
    <m/>
    <n v="1578.6481033476041"/>
    <n v="499.13928219176387"/>
    <n v="0"/>
    <n v="53026.419420000006"/>
    <n v="19694.761920000001"/>
    <n v="0"/>
    <n v="63111.193875630517"/>
    <n v="19954.590223462335"/>
  </r>
  <r>
    <s v="Sistema de Compensação"/>
    <x v="0"/>
    <x v="2"/>
    <x v="1"/>
    <x v="0"/>
    <x v="0"/>
    <x v="0"/>
    <x v="1"/>
    <x v="10"/>
    <n v="0"/>
    <n v="0"/>
    <n v="4.5270000000000001"/>
    <n v="4.5270000000000001"/>
    <n v="4.5270000000000001"/>
    <n v="4.5270000000000001"/>
    <n v="0"/>
    <x v="0"/>
    <n v="0"/>
    <n v="0"/>
    <n v="7"/>
    <n v="48"/>
    <n v="0"/>
    <n v="1326.39"/>
    <n v="492.64"/>
    <m/>
    <n v="1578.6481033476041"/>
    <n v="499.13928219176387"/>
    <n v="0"/>
    <n v="6004.5675300000003"/>
    <n v="2230.1812799999998"/>
    <n v="0"/>
    <n v="7146.5399638546041"/>
    <n v="2259.6035304821153"/>
  </r>
  <r>
    <s v="PROJETADO"/>
    <x v="0"/>
    <x v="2"/>
    <x v="1"/>
    <x v="0"/>
    <x v="0"/>
    <x v="0"/>
    <x v="1"/>
    <x v="11"/>
    <n v="0"/>
    <n v="0"/>
    <n v="39.978000000000002"/>
    <n v="39.978000000000002"/>
    <n v="39.978000000000002"/>
    <n v="39.978000000000002"/>
    <n v="0"/>
    <x v="0"/>
    <n v="0"/>
    <n v="0"/>
    <n v="7"/>
    <n v="48"/>
    <n v="0"/>
    <n v="1326.39"/>
    <n v="492.64"/>
    <m/>
    <n v="1578.6481033476041"/>
    <n v="499.13928219176387"/>
    <n v="0"/>
    <n v="53026.419420000006"/>
    <n v="19694.761920000001"/>
    <n v="0"/>
    <n v="63111.193875630517"/>
    <n v="19954.590223462335"/>
  </r>
  <r>
    <s v="PROJETADO"/>
    <x v="0"/>
    <x v="2"/>
    <x v="1"/>
    <x v="0"/>
    <x v="0"/>
    <x v="0"/>
    <x v="1"/>
    <x v="11"/>
    <n v="0"/>
    <n v="0"/>
    <n v="4.5270000000000001"/>
    <n v="4.5270000000000001"/>
    <n v="4.5270000000000001"/>
    <n v="4.5270000000000001"/>
    <n v="0"/>
    <x v="0"/>
    <n v="0"/>
    <n v="0"/>
    <n v="7"/>
    <n v="48"/>
    <n v="0"/>
    <n v="1326.39"/>
    <n v="492.64"/>
    <m/>
    <n v="1578.6481033476041"/>
    <n v="499.13928219176387"/>
    <n v="0"/>
    <n v="6004.5675300000003"/>
    <n v="2230.1812799999998"/>
    <n v="0"/>
    <n v="7146.5399638546041"/>
    <n v="2259.6035304821153"/>
  </r>
  <r>
    <s v="Regular"/>
    <x v="0"/>
    <x v="2"/>
    <x v="2"/>
    <x v="0"/>
    <x v="0"/>
    <x v="0"/>
    <x v="0"/>
    <x v="0"/>
    <n v="0"/>
    <n v="0"/>
    <n v="299.15699999999998"/>
    <n v="299.15699999999998"/>
    <n v="299.15699999999998"/>
    <n v="299.15699999999998"/>
    <n v="0"/>
    <x v="0"/>
    <n v="0"/>
    <n v="0"/>
    <n v="8"/>
    <n v="49"/>
    <n v="0"/>
    <n v="76.75"/>
    <n v="307.08"/>
    <m/>
    <n v="152.59031948759403"/>
    <n v="313.20976164142951"/>
    <n v="0"/>
    <n v="22960.299749999998"/>
    <n v="91865.131559999994"/>
    <n v="0"/>
    <n v="45648.462206950164"/>
    <n v="93698.892663365128"/>
  </r>
  <r>
    <s v="Regular"/>
    <x v="0"/>
    <x v="2"/>
    <x v="2"/>
    <x v="0"/>
    <x v="0"/>
    <x v="0"/>
    <x v="0"/>
    <x v="1"/>
    <n v="0"/>
    <n v="0"/>
    <n v="321.245"/>
    <n v="321.245"/>
    <n v="321.245"/>
    <n v="321.245"/>
    <n v="0"/>
    <x v="0"/>
    <n v="0"/>
    <n v="0"/>
    <n v="8"/>
    <n v="49"/>
    <n v="0"/>
    <n v="76.75"/>
    <n v="307.08"/>
    <m/>
    <n v="152.59031948759403"/>
    <n v="313.20976164142951"/>
    <n v="0"/>
    <n v="24655.553749999999"/>
    <n v="98647.914599999989"/>
    <n v="0"/>
    <n v="49018.877183792145"/>
    <n v="100617.06987850102"/>
  </r>
  <r>
    <s v="Regular"/>
    <x v="0"/>
    <x v="2"/>
    <x v="2"/>
    <x v="0"/>
    <x v="0"/>
    <x v="0"/>
    <x v="0"/>
    <x v="2"/>
    <n v="0"/>
    <n v="0"/>
    <n v="297.63600000000002"/>
    <n v="297.63600000000002"/>
    <n v="297.63600000000002"/>
    <n v="297.63600000000002"/>
    <n v="0"/>
    <x v="0"/>
    <n v="0"/>
    <n v="0"/>
    <n v="8"/>
    <n v="49"/>
    <n v="0"/>
    <n v="76.75"/>
    <n v="307.08"/>
    <m/>
    <n v="152.59031948759403"/>
    <n v="313.20976164142951"/>
    <n v="0"/>
    <n v="22843.563000000002"/>
    <n v="91398.062879999998"/>
    <n v="0"/>
    <n v="45416.372331009537"/>
    <n v="93222.500615908517"/>
  </r>
  <r>
    <s v="Regular"/>
    <x v="0"/>
    <x v="2"/>
    <x v="2"/>
    <x v="0"/>
    <x v="0"/>
    <x v="0"/>
    <x v="0"/>
    <x v="3"/>
    <n v="0"/>
    <n v="0"/>
    <n v="307.07600000000002"/>
    <n v="307.07600000000002"/>
    <n v="307.07600000000002"/>
    <n v="307.07600000000002"/>
    <n v="0"/>
    <x v="0"/>
    <n v="0"/>
    <n v="0"/>
    <n v="8"/>
    <n v="49"/>
    <n v="0"/>
    <n v="76.75"/>
    <n v="307.08"/>
    <m/>
    <n v="152.59031948759403"/>
    <n v="313.20976164142951"/>
    <n v="0"/>
    <n v="23568.083000000002"/>
    <n v="94296.898079999999"/>
    <n v="0"/>
    <n v="46856.824946972425"/>
    <n v="96179.200765803616"/>
  </r>
  <r>
    <s v="Regular"/>
    <x v="0"/>
    <x v="2"/>
    <x v="2"/>
    <x v="0"/>
    <x v="0"/>
    <x v="0"/>
    <x v="0"/>
    <x v="4"/>
    <n v="0"/>
    <n v="0"/>
    <n v="326.90100000000001"/>
    <n v="326.90100000000001"/>
    <n v="326.90100000000001"/>
    <n v="326.90100000000001"/>
    <n v="0"/>
    <x v="0"/>
    <n v="0"/>
    <n v="0"/>
    <n v="8"/>
    <n v="49"/>
    <n v="0"/>
    <n v="76.75"/>
    <n v="307.08"/>
    <m/>
    <n v="152.59031948759403"/>
    <n v="313.20976164142951"/>
    <n v="0"/>
    <n v="25089.651750000001"/>
    <n v="100384.75908"/>
    <n v="0"/>
    <n v="49881.928030813979"/>
    <n v="102388.58429034495"/>
  </r>
  <r>
    <s v="Regular"/>
    <x v="0"/>
    <x v="2"/>
    <x v="2"/>
    <x v="0"/>
    <x v="0"/>
    <x v="0"/>
    <x v="0"/>
    <x v="5"/>
    <n v="0"/>
    <n v="0"/>
    <n v="340.65499999999997"/>
    <n v="340.65499999999997"/>
    <n v="340.65499999999997"/>
    <n v="340.65499999999997"/>
    <n v="0"/>
    <x v="0"/>
    <n v="0"/>
    <n v="0"/>
    <n v="8"/>
    <n v="49"/>
    <n v="0"/>
    <n v="76.75"/>
    <n v="307.08"/>
    <m/>
    <n v="152.59031948759403"/>
    <n v="313.20976164142951"/>
    <n v="0"/>
    <n v="26145.271249999998"/>
    <n v="104608.33739999999"/>
    <n v="0"/>
    <n v="51980.655285046341"/>
    <n v="106696.47135196115"/>
  </r>
  <r>
    <s v="Regular"/>
    <x v="0"/>
    <x v="2"/>
    <x v="2"/>
    <x v="0"/>
    <x v="0"/>
    <x v="0"/>
    <x v="0"/>
    <x v="6"/>
    <n v="0"/>
    <n v="0"/>
    <n v="377.77600000000001"/>
    <n v="377.77600000000001"/>
    <n v="377.77600000000001"/>
    <n v="377.77600000000001"/>
    <n v="0"/>
    <x v="0"/>
    <n v="0"/>
    <n v="0"/>
    <n v="8"/>
    <n v="49"/>
    <n v="0"/>
    <n v="76.75"/>
    <n v="307.08"/>
    <m/>
    <n v="152.59031948759403"/>
    <n v="313.20976164142951"/>
    <n v="0"/>
    <n v="28994.308000000001"/>
    <n v="116007.45408"/>
    <n v="0"/>
    <n v="57644.960534745325"/>
    <n v="118323.13091385267"/>
  </r>
  <r>
    <s v="Regular"/>
    <x v="0"/>
    <x v="2"/>
    <x v="2"/>
    <x v="0"/>
    <x v="0"/>
    <x v="0"/>
    <x v="0"/>
    <x v="7"/>
    <n v="0"/>
    <n v="0"/>
    <n v="343.73500000000001"/>
    <n v="343.73500000000001"/>
    <n v="343.73500000000001"/>
    <n v="343.73500000000001"/>
    <n v="0"/>
    <x v="0"/>
    <n v="0"/>
    <n v="0"/>
    <n v="8"/>
    <n v="49"/>
    <n v="0"/>
    <n v="76.75"/>
    <n v="307.08"/>
    <m/>
    <n v="152.59031948759403"/>
    <n v="313.20976164142951"/>
    <n v="0"/>
    <n v="26381.661250000001"/>
    <n v="105554.14380000001"/>
    <n v="0"/>
    <n v="52450.633469068132"/>
    <n v="107661.15741781678"/>
  </r>
  <r>
    <s v="Regular"/>
    <x v="0"/>
    <x v="2"/>
    <x v="2"/>
    <x v="0"/>
    <x v="0"/>
    <x v="0"/>
    <x v="0"/>
    <x v="8"/>
    <n v="0"/>
    <n v="0"/>
    <n v="279.10199999999998"/>
    <n v="279.10199999999998"/>
    <n v="279.10199999999998"/>
    <n v="279.10199999999998"/>
    <n v="0"/>
    <x v="0"/>
    <n v="0"/>
    <n v="0"/>
    <n v="8"/>
    <n v="49"/>
    <n v="0"/>
    <n v="76.75"/>
    <n v="307.08"/>
    <m/>
    <n v="152.59031948759403"/>
    <n v="313.20976164142951"/>
    <n v="0"/>
    <n v="21421.0785"/>
    <n v="85706.642159999989"/>
    <n v="0"/>
    <n v="42588.263349626468"/>
    <n v="87417.470893646256"/>
  </r>
  <r>
    <s v="Regular"/>
    <x v="0"/>
    <x v="2"/>
    <x v="2"/>
    <x v="0"/>
    <x v="0"/>
    <x v="0"/>
    <x v="0"/>
    <x v="9"/>
    <n v="0"/>
    <n v="0"/>
    <n v="224.708"/>
    <n v="224.708"/>
    <n v="224.708"/>
    <n v="224.708"/>
    <n v="0"/>
    <x v="0"/>
    <n v="0"/>
    <n v="0"/>
    <n v="8"/>
    <n v="49"/>
    <n v="0"/>
    <n v="76.75"/>
    <n v="307.08"/>
    <m/>
    <n v="152.59031948759403"/>
    <n v="313.20976164142951"/>
    <n v="0"/>
    <n v="17246.339"/>
    <n v="69003.332639999993"/>
    <n v="0"/>
    <n v="34288.265511418278"/>
    <n v="70380.739118922342"/>
  </r>
  <r>
    <s v="Regular"/>
    <x v="0"/>
    <x v="2"/>
    <x v="2"/>
    <x v="0"/>
    <x v="0"/>
    <x v="0"/>
    <x v="0"/>
    <x v="10"/>
    <n v="0"/>
    <n v="0"/>
    <n v="231.44399999999999"/>
    <n v="231.44399999999999"/>
    <n v="231.44399999999999"/>
    <n v="231.44399999999999"/>
    <n v="0"/>
    <x v="0"/>
    <n v="0"/>
    <n v="0"/>
    <n v="8"/>
    <n v="49"/>
    <n v="0"/>
    <n v="76.75"/>
    <n v="307.08"/>
    <m/>
    <n v="152.59031948759403"/>
    <n v="313.20976164142951"/>
    <n v="0"/>
    <n v="17763.326999999997"/>
    <n v="71071.823519999991"/>
    <n v="0"/>
    <n v="35316.113903486708"/>
    <n v="72490.520073339008"/>
  </r>
  <r>
    <s v="PROJETADO"/>
    <x v="0"/>
    <x v="2"/>
    <x v="2"/>
    <x v="0"/>
    <x v="0"/>
    <x v="0"/>
    <x v="0"/>
    <x v="11"/>
    <n v="0"/>
    <n v="0"/>
    <n v="231.44399999999999"/>
    <n v="231.44399999999999"/>
    <n v="231.44399999999999"/>
    <n v="231.44399999999999"/>
    <n v="0"/>
    <x v="0"/>
    <n v="0"/>
    <n v="0"/>
    <n v="8"/>
    <n v="49"/>
    <n v="0"/>
    <n v="76.75"/>
    <n v="307.08"/>
    <m/>
    <n v="152.59031948759403"/>
    <n v="313.20976164142951"/>
    <n v="0"/>
    <n v="17763.326999999997"/>
    <n v="71071.823519999991"/>
    <n v="0"/>
    <n v="35316.113903486708"/>
    <n v="72490.520073339008"/>
  </r>
  <r>
    <s v="Regular"/>
    <x v="0"/>
    <x v="2"/>
    <x v="2"/>
    <x v="0"/>
    <x v="0"/>
    <x v="0"/>
    <x v="2"/>
    <x v="0"/>
    <n v="1709"/>
    <n v="1709"/>
    <n v="0"/>
    <n v="0"/>
    <n v="0"/>
    <n v="0"/>
    <n v="16"/>
    <x v="0"/>
    <n v="0"/>
    <n v="6"/>
    <n v="0"/>
    <n v="0"/>
    <n v="16.64"/>
    <n v="0"/>
    <n v="0"/>
    <n v="18.929390865785848"/>
    <m/>
    <m/>
    <n v="28437.760000000002"/>
    <n v="0"/>
    <n v="0"/>
    <n v="32350.328989628015"/>
    <n v="0"/>
    <n v="0"/>
  </r>
  <r>
    <s v="Sistema de Compensação"/>
    <x v="0"/>
    <x v="2"/>
    <x v="2"/>
    <x v="0"/>
    <x v="0"/>
    <x v="0"/>
    <x v="2"/>
    <x v="0"/>
    <n v="110"/>
    <n v="110"/>
    <n v="0"/>
    <n v="0"/>
    <n v="0"/>
    <n v="0"/>
    <n v="1"/>
    <x v="0"/>
    <n v="0"/>
    <n v="6"/>
    <n v="0"/>
    <n v="0"/>
    <n v="16.64"/>
    <n v="0"/>
    <n v="0"/>
    <n v="18.929390865785848"/>
    <m/>
    <m/>
    <n v="1830.4"/>
    <n v="0"/>
    <n v="0"/>
    <n v="2082.2329952364435"/>
    <n v="0"/>
    <n v="0"/>
  </r>
  <r>
    <s v="Regular"/>
    <x v="0"/>
    <x v="2"/>
    <x v="2"/>
    <x v="0"/>
    <x v="0"/>
    <x v="0"/>
    <x v="2"/>
    <x v="1"/>
    <n v="1611"/>
    <n v="1611"/>
    <n v="0"/>
    <n v="0"/>
    <n v="0"/>
    <n v="0"/>
    <n v="16"/>
    <x v="0"/>
    <n v="0"/>
    <n v="6"/>
    <n v="0"/>
    <n v="0"/>
    <n v="16.64"/>
    <n v="0"/>
    <n v="0"/>
    <n v="18.929390865785848"/>
    <m/>
    <m/>
    <n v="26807.040000000001"/>
    <n v="0"/>
    <n v="0"/>
    <n v="30495.248684781"/>
    <n v="0"/>
    <n v="0"/>
  </r>
  <r>
    <s v="Sistema de Compensação"/>
    <x v="0"/>
    <x v="2"/>
    <x v="2"/>
    <x v="0"/>
    <x v="0"/>
    <x v="0"/>
    <x v="2"/>
    <x v="1"/>
    <n v="110"/>
    <n v="110"/>
    <n v="0"/>
    <n v="0"/>
    <n v="0"/>
    <n v="0"/>
    <n v="1"/>
    <x v="0"/>
    <n v="0"/>
    <n v="6"/>
    <n v="0"/>
    <n v="0"/>
    <n v="16.64"/>
    <n v="0"/>
    <n v="0"/>
    <n v="18.929390865785848"/>
    <m/>
    <m/>
    <n v="1830.4"/>
    <n v="0"/>
    <n v="0"/>
    <n v="2082.2329952364435"/>
    <n v="0"/>
    <n v="0"/>
  </r>
  <r>
    <s v="Regular"/>
    <x v="0"/>
    <x v="2"/>
    <x v="2"/>
    <x v="0"/>
    <x v="0"/>
    <x v="0"/>
    <x v="2"/>
    <x v="2"/>
    <n v="1577"/>
    <n v="1577"/>
    <n v="0"/>
    <n v="0"/>
    <n v="0"/>
    <n v="0"/>
    <n v="16"/>
    <x v="0"/>
    <n v="0"/>
    <n v="6"/>
    <n v="0"/>
    <n v="0"/>
    <n v="16.64"/>
    <n v="0"/>
    <n v="0"/>
    <n v="18.929390865785848"/>
    <m/>
    <m/>
    <n v="26241.280000000002"/>
    <n v="0"/>
    <n v="0"/>
    <n v="29851.649395344284"/>
    <n v="0"/>
    <n v="0"/>
  </r>
  <r>
    <s v="Sistema de Compensação"/>
    <x v="0"/>
    <x v="2"/>
    <x v="2"/>
    <x v="0"/>
    <x v="0"/>
    <x v="0"/>
    <x v="2"/>
    <x v="2"/>
    <n v="110"/>
    <n v="110"/>
    <n v="0"/>
    <n v="0"/>
    <n v="0"/>
    <n v="0"/>
    <n v="1"/>
    <x v="0"/>
    <n v="0"/>
    <n v="6"/>
    <n v="0"/>
    <n v="0"/>
    <n v="16.64"/>
    <n v="0"/>
    <n v="0"/>
    <n v="18.929390865785848"/>
    <m/>
    <m/>
    <n v="1830.4"/>
    <n v="0"/>
    <n v="0"/>
    <n v="2082.2329952364435"/>
    <n v="0"/>
    <n v="0"/>
  </r>
  <r>
    <s v="Regular"/>
    <x v="0"/>
    <x v="2"/>
    <x v="2"/>
    <x v="0"/>
    <x v="0"/>
    <x v="0"/>
    <x v="2"/>
    <x v="3"/>
    <n v="1604"/>
    <n v="1604"/>
    <n v="0"/>
    <n v="0"/>
    <n v="0"/>
    <n v="0"/>
    <n v="16"/>
    <x v="0"/>
    <n v="0"/>
    <n v="6"/>
    <n v="0"/>
    <n v="0"/>
    <n v="16.64"/>
    <n v="0"/>
    <n v="0"/>
    <n v="18.929390865785848"/>
    <m/>
    <m/>
    <n v="26690.560000000001"/>
    <n v="0"/>
    <n v="0"/>
    <n v="30362.742948720501"/>
    <n v="0"/>
    <n v="0"/>
  </r>
  <r>
    <s v="Sistema de Compensação"/>
    <x v="0"/>
    <x v="2"/>
    <x v="2"/>
    <x v="0"/>
    <x v="0"/>
    <x v="0"/>
    <x v="2"/>
    <x v="3"/>
    <n v="110"/>
    <n v="110"/>
    <n v="0"/>
    <n v="0"/>
    <n v="0"/>
    <n v="0"/>
    <n v="1"/>
    <x v="0"/>
    <n v="0"/>
    <n v="6"/>
    <n v="0"/>
    <n v="0"/>
    <n v="16.64"/>
    <n v="0"/>
    <n v="0"/>
    <n v="18.929390865785848"/>
    <m/>
    <m/>
    <n v="1830.4"/>
    <n v="0"/>
    <n v="0"/>
    <n v="2082.2329952364435"/>
    <n v="0"/>
    <n v="0"/>
  </r>
  <r>
    <s v="Regular"/>
    <x v="0"/>
    <x v="2"/>
    <x v="2"/>
    <x v="0"/>
    <x v="0"/>
    <x v="0"/>
    <x v="2"/>
    <x v="4"/>
    <n v="1603"/>
    <n v="1603"/>
    <n v="0"/>
    <n v="0"/>
    <n v="0"/>
    <n v="0"/>
    <n v="16"/>
    <x v="0"/>
    <n v="0"/>
    <n v="6"/>
    <n v="0"/>
    <n v="0"/>
    <n v="16.64"/>
    <n v="0"/>
    <n v="0"/>
    <n v="18.929390865785848"/>
    <m/>
    <m/>
    <n v="26673.920000000002"/>
    <n v="0"/>
    <n v="0"/>
    <n v="30343.813557854715"/>
    <n v="0"/>
    <n v="0"/>
  </r>
  <r>
    <s v="Sistema de Compensação"/>
    <x v="0"/>
    <x v="2"/>
    <x v="2"/>
    <x v="0"/>
    <x v="0"/>
    <x v="0"/>
    <x v="2"/>
    <x v="4"/>
    <n v="110"/>
    <n v="110"/>
    <n v="0"/>
    <n v="0"/>
    <n v="0"/>
    <n v="0"/>
    <n v="1"/>
    <x v="0"/>
    <n v="0"/>
    <n v="6"/>
    <n v="0"/>
    <n v="0"/>
    <n v="16.64"/>
    <n v="0"/>
    <n v="0"/>
    <n v="18.929390865785848"/>
    <m/>
    <m/>
    <n v="1830.4"/>
    <n v="0"/>
    <n v="0"/>
    <n v="2082.2329952364435"/>
    <n v="0"/>
    <n v="0"/>
  </r>
  <r>
    <s v="Regular"/>
    <x v="0"/>
    <x v="2"/>
    <x v="2"/>
    <x v="0"/>
    <x v="0"/>
    <x v="0"/>
    <x v="2"/>
    <x v="5"/>
    <n v="1642"/>
    <n v="1642"/>
    <n v="0"/>
    <n v="0"/>
    <n v="0"/>
    <n v="0"/>
    <n v="16"/>
    <x v="0"/>
    <n v="0"/>
    <n v="6"/>
    <n v="0"/>
    <n v="0"/>
    <n v="16.64"/>
    <n v="0"/>
    <n v="0"/>
    <n v="18.929390865785848"/>
    <m/>
    <m/>
    <n v="27322.880000000001"/>
    <n v="0"/>
    <n v="0"/>
    <n v="31082.059801620362"/>
    <n v="0"/>
    <n v="0"/>
  </r>
  <r>
    <s v="Sistema de Compensação"/>
    <x v="0"/>
    <x v="2"/>
    <x v="2"/>
    <x v="0"/>
    <x v="0"/>
    <x v="0"/>
    <x v="2"/>
    <x v="5"/>
    <n v="110"/>
    <n v="110"/>
    <n v="0"/>
    <n v="0"/>
    <n v="0"/>
    <n v="0"/>
    <n v="1"/>
    <x v="0"/>
    <n v="0"/>
    <n v="6"/>
    <n v="0"/>
    <n v="0"/>
    <n v="16.64"/>
    <n v="0"/>
    <n v="0"/>
    <n v="18.929390865785848"/>
    <m/>
    <m/>
    <n v="1830.4"/>
    <n v="0"/>
    <n v="0"/>
    <n v="2082.2329952364435"/>
    <n v="0"/>
    <n v="0"/>
  </r>
  <r>
    <s v="Regular"/>
    <x v="0"/>
    <x v="2"/>
    <x v="2"/>
    <x v="0"/>
    <x v="0"/>
    <x v="0"/>
    <x v="2"/>
    <x v="6"/>
    <n v="1664"/>
    <n v="1664"/>
    <n v="0"/>
    <n v="0"/>
    <n v="0"/>
    <n v="0"/>
    <n v="16"/>
    <x v="0"/>
    <n v="0"/>
    <n v="6"/>
    <n v="0"/>
    <n v="0"/>
    <n v="16.64"/>
    <n v="0"/>
    <n v="0"/>
    <n v="18.929390865785848"/>
    <m/>
    <m/>
    <n v="27688.959999999999"/>
    <n v="0"/>
    <n v="0"/>
    <n v="31498.506400667651"/>
    <n v="0"/>
    <n v="0"/>
  </r>
  <r>
    <s v="Sistema de Compensação"/>
    <x v="0"/>
    <x v="2"/>
    <x v="2"/>
    <x v="0"/>
    <x v="0"/>
    <x v="0"/>
    <x v="2"/>
    <x v="6"/>
    <n v="110"/>
    <n v="110"/>
    <n v="0"/>
    <n v="0"/>
    <n v="0"/>
    <n v="0"/>
    <n v="1"/>
    <x v="0"/>
    <n v="0"/>
    <n v="6"/>
    <n v="0"/>
    <n v="0"/>
    <n v="16.64"/>
    <n v="0"/>
    <n v="0"/>
    <n v="18.929390865785848"/>
    <m/>
    <m/>
    <n v="1830.4"/>
    <n v="0"/>
    <n v="0"/>
    <n v="2082.2329952364435"/>
    <n v="0"/>
    <n v="0"/>
  </r>
  <r>
    <s v="Regular"/>
    <x v="0"/>
    <x v="2"/>
    <x v="2"/>
    <x v="0"/>
    <x v="0"/>
    <x v="0"/>
    <x v="2"/>
    <x v="7"/>
    <n v="1630"/>
    <n v="1630"/>
    <n v="0"/>
    <n v="0"/>
    <n v="0"/>
    <n v="0"/>
    <n v="16"/>
    <x v="0"/>
    <n v="0"/>
    <n v="6"/>
    <n v="0"/>
    <n v="0"/>
    <n v="16.64"/>
    <n v="0"/>
    <n v="0"/>
    <n v="18.929390865785848"/>
    <m/>
    <m/>
    <n v="27123.200000000001"/>
    <n v="0"/>
    <n v="0"/>
    <n v="30854.907111230932"/>
    <n v="0"/>
    <n v="0"/>
  </r>
  <r>
    <s v="Sistema de Compensação"/>
    <x v="0"/>
    <x v="2"/>
    <x v="2"/>
    <x v="0"/>
    <x v="0"/>
    <x v="0"/>
    <x v="2"/>
    <x v="7"/>
    <n v="110"/>
    <n v="110"/>
    <n v="0"/>
    <n v="0"/>
    <n v="0"/>
    <n v="0"/>
    <n v="1"/>
    <x v="0"/>
    <n v="0"/>
    <n v="6"/>
    <n v="0"/>
    <n v="0"/>
    <n v="16.64"/>
    <n v="0"/>
    <n v="0"/>
    <n v="18.929390865785848"/>
    <m/>
    <m/>
    <n v="1830.4"/>
    <n v="0"/>
    <n v="0"/>
    <n v="2082.2329952364435"/>
    <n v="0"/>
    <n v="0"/>
  </r>
  <r>
    <s v="Regular"/>
    <x v="0"/>
    <x v="2"/>
    <x v="2"/>
    <x v="0"/>
    <x v="0"/>
    <x v="0"/>
    <x v="2"/>
    <x v="8"/>
    <n v="1584"/>
    <n v="1584"/>
    <n v="0"/>
    <n v="0"/>
    <n v="0"/>
    <n v="0"/>
    <n v="16"/>
    <x v="0"/>
    <n v="0"/>
    <n v="6"/>
    <n v="0"/>
    <n v="0"/>
    <n v="16.64"/>
    <n v="0"/>
    <n v="0"/>
    <n v="18.929390865785848"/>
    <m/>
    <m/>
    <n v="26357.760000000002"/>
    <n v="0"/>
    <n v="0"/>
    <n v="29984.155131404783"/>
    <n v="0"/>
    <n v="0"/>
  </r>
  <r>
    <s v="Sistema de Compensação"/>
    <x v="0"/>
    <x v="2"/>
    <x v="2"/>
    <x v="0"/>
    <x v="0"/>
    <x v="0"/>
    <x v="2"/>
    <x v="8"/>
    <n v="110"/>
    <n v="110"/>
    <n v="0"/>
    <n v="0"/>
    <n v="0"/>
    <n v="0"/>
    <n v="1"/>
    <x v="0"/>
    <n v="0"/>
    <n v="6"/>
    <n v="0"/>
    <n v="0"/>
    <n v="16.64"/>
    <n v="0"/>
    <n v="0"/>
    <n v="18.929390865785848"/>
    <m/>
    <m/>
    <n v="1830.4"/>
    <n v="0"/>
    <n v="0"/>
    <n v="2082.2329952364435"/>
    <n v="0"/>
    <n v="0"/>
  </r>
  <r>
    <s v="Regular"/>
    <x v="0"/>
    <x v="2"/>
    <x v="2"/>
    <x v="0"/>
    <x v="0"/>
    <x v="0"/>
    <x v="2"/>
    <x v="9"/>
    <n v="1526"/>
    <n v="1526"/>
    <n v="0"/>
    <n v="0"/>
    <n v="0"/>
    <n v="0"/>
    <n v="16"/>
    <x v="0"/>
    <n v="0"/>
    <n v="6"/>
    <n v="0"/>
    <n v="0"/>
    <n v="16.64"/>
    <n v="0"/>
    <n v="0"/>
    <n v="18.929390865785848"/>
    <m/>
    <m/>
    <n v="25392.639999999999"/>
    <n v="0"/>
    <n v="0"/>
    <n v="28886.250461189204"/>
    <n v="0"/>
    <n v="0"/>
  </r>
  <r>
    <s v="Sistema de Compensação"/>
    <x v="0"/>
    <x v="2"/>
    <x v="2"/>
    <x v="0"/>
    <x v="0"/>
    <x v="0"/>
    <x v="2"/>
    <x v="9"/>
    <n v="110"/>
    <n v="110"/>
    <n v="0"/>
    <n v="0"/>
    <n v="0"/>
    <n v="0"/>
    <n v="1"/>
    <x v="0"/>
    <n v="0"/>
    <n v="6"/>
    <n v="0"/>
    <n v="0"/>
    <n v="16.64"/>
    <n v="0"/>
    <n v="0"/>
    <n v="18.929390865785848"/>
    <m/>
    <m/>
    <n v="1830.4"/>
    <n v="0"/>
    <n v="0"/>
    <n v="2082.2329952364435"/>
    <n v="0"/>
    <n v="0"/>
  </r>
  <r>
    <s v="Regular"/>
    <x v="0"/>
    <x v="2"/>
    <x v="2"/>
    <x v="0"/>
    <x v="0"/>
    <x v="0"/>
    <x v="2"/>
    <x v="10"/>
    <n v="1523"/>
    <n v="1523"/>
    <n v="0"/>
    <n v="0"/>
    <n v="0"/>
    <n v="0"/>
    <n v="16"/>
    <x v="0"/>
    <n v="0"/>
    <n v="6"/>
    <n v="0"/>
    <n v="0"/>
    <n v="16.64"/>
    <n v="0"/>
    <n v="0"/>
    <n v="18.929390865785848"/>
    <m/>
    <m/>
    <n v="25342.720000000001"/>
    <n v="0"/>
    <n v="0"/>
    <n v="28829.462288591847"/>
    <n v="0"/>
    <n v="0"/>
  </r>
  <r>
    <s v="Sistema de Compensação"/>
    <x v="0"/>
    <x v="2"/>
    <x v="2"/>
    <x v="0"/>
    <x v="0"/>
    <x v="0"/>
    <x v="2"/>
    <x v="10"/>
    <n v="110"/>
    <n v="110"/>
    <n v="0"/>
    <n v="0"/>
    <n v="0"/>
    <n v="0"/>
    <n v="1"/>
    <x v="0"/>
    <n v="0"/>
    <n v="6"/>
    <n v="0"/>
    <n v="0"/>
    <n v="16.64"/>
    <n v="0"/>
    <n v="0"/>
    <n v="18.929390865785848"/>
    <m/>
    <m/>
    <n v="1830.4"/>
    <n v="0"/>
    <n v="0"/>
    <n v="2082.2329952364435"/>
    <n v="0"/>
    <n v="0"/>
  </r>
  <r>
    <s v="PROJETADO"/>
    <x v="0"/>
    <x v="2"/>
    <x v="2"/>
    <x v="0"/>
    <x v="0"/>
    <x v="0"/>
    <x v="2"/>
    <x v="11"/>
    <n v="1523"/>
    <n v="1523"/>
    <n v="0"/>
    <n v="0"/>
    <n v="0"/>
    <n v="0"/>
    <n v="16"/>
    <x v="0"/>
    <n v="0"/>
    <n v="6"/>
    <n v="0"/>
    <n v="0"/>
    <n v="16.64"/>
    <n v="0"/>
    <n v="0"/>
    <n v="18.929390865785848"/>
    <m/>
    <m/>
    <n v="25342.720000000001"/>
    <n v="0"/>
    <n v="0"/>
    <n v="28829.462288591847"/>
    <n v="0"/>
    <n v="0"/>
  </r>
  <r>
    <s v="PROJETADO"/>
    <x v="0"/>
    <x v="2"/>
    <x v="2"/>
    <x v="0"/>
    <x v="0"/>
    <x v="0"/>
    <x v="2"/>
    <x v="11"/>
    <n v="110"/>
    <n v="110"/>
    <n v="0"/>
    <n v="0"/>
    <n v="0"/>
    <n v="0"/>
    <n v="1"/>
    <x v="0"/>
    <n v="0"/>
    <n v="6"/>
    <n v="0"/>
    <n v="0"/>
    <n v="16.64"/>
    <n v="0"/>
    <n v="0"/>
    <n v="18.929390865785848"/>
    <m/>
    <m/>
    <n v="1830.4"/>
    <n v="0"/>
    <n v="0"/>
    <n v="2082.2329952364435"/>
    <n v="0"/>
    <n v="0"/>
  </r>
  <r>
    <s v="Regular"/>
    <x v="0"/>
    <x v="2"/>
    <x v="2"/>
    <x v="0"/>
    <x v="0"/>
    <x v="0"/>
    <x v="1"/>
    <x v="0"/>
    <n v="0"/>
    <n v="0"/>
    <n v="29.747"/>
    <n v="29.747"/>
    <n v="29.747"/>
    <n v="29.747"/>
    <n v="0"/>
    <x v="0"/>
    <n v="0"/>
    <n v="0"/>
    <n v="7"/>
    <n v="48"/>
    <n v="0"/>
    <n v="1326.39"/>
    <n v="492.64"/>
    <m/>
    <n v="1578.6481033476041"/>
    <n v="499.13928219176387"/>
    <n v="0"/>
    <n v="39456.123330000002"/>
    <n v="14654.56208"/>
    <n v="0"/>
    <n v="46960.045130281178"/>
    <n v="14847.8962273584"/>
  </r>
  <r>
    <s v="Regular"/>
    <x v="0"/>
    <x v="2"/>
    <x v="2"/>
    <x v="0"/>
    <x v="0"/>
    <x v="0"/>
    <x v="1"/>
    <x v="1"/>
    <n v="0"/>
    <n v="0"/>
    <n v="31.172999999999998"/>
    <n v="31.172999999999998"/>
    <n v="31.172999999999998"/>
    <n v="31.172999999999998"/>
    <n v="0"/>
    <x v="0"/>
    <n v="0"/>
    <n v="0"/>
    <n v="7"/>
    <n v="48"/>
    <n v="0"/>
    <n v="1326.39"/>
    <n v="492.64"/>
    <m/>
    <n v="1578.6481033476041"/>
    <n v="499.13928219176387"/>
    <n v="0"/>
    <n v="41347.555469999999"/>
    <n v="15357.066719999999"/>
    <n v="0"/>
    <n v="49211.197325654859"/>
    <n v="15559.668843763855"/>
  </r>
  <r>
    <s v="Regular"/>
    <x v="0"/>
    <x v="2"/>
    <x v="2"/>
    <x v="0"/>
    <x v="0"/>
    <x v="0"/>
    <x v="1"/>
    <x v="2"/>
    <n v="0"/>
    <n v="0"/>
    <n v="27.193000000000001"/>
    <n v="27.193000000000001"/>
    <n v="27.193000000000001"/>
    <n v="27.193000000000001"/>
    <n v="0"/>
    <x v="0"/>
    <n v="0"/>
    <n v="0"/>
    <n v="7"/>
    <n v="48"/>
    <n v="0"/>
    <n v="1326.39"/>
    <n v="492.64"/>
    <m/>
    <n v="1578.6481033476041"/>
    <n v="499.13928219176387"/>
    <n v="0"/>
    <n v="36068.523270000005"/>
    <n v="13396.35952"/>
    <n v="0"/>
    <n v="42928.177874331399"/>
    <n v="13573.094500640636"/>
  </r>
  <r>
    <s v="Regular"/>
    <x v="0"/>
    <x v="2"/>
    <x v="2"/>
    <x v="0"/>
    <x v="0"/>
    <x v="0"/>
    <x v="1"/>
    <x v="3"/>
    <n v="0"/>
    <n v="0"/>
    <n v="30.817"/>
    <n v="30.817"/>
    <n v="30.817"/>
    <n v="30.817"/>
    <n v="0"/>
    <x v="0"/>
    <n v="0"/>
    <n v="0"/>
    <n v="7"/>
    <n v="48"/>
    <n v="0"/>
    <n v="1326.39"/>
    <n v="492.64"/>
    <m/>
    <n v="1578.6481033476041"/>
    <n v="499.13928219176387"/>
    <n v="0"/>
    <n v="40875.360630000003"/>
    <n v="15181.686879999999"/>
    <n v="0"/>
    <n v="48649.198600863114"/>
    <n v="15381.975259303586"/>
  </r>
  <r>
    <s v="Regular"/>
    <x v="0"/>
    <x v="2"/>
    <x v="2"/>
    <x v="0"/>
    <x v="0"/>
    <x v="0"/>
    <x v="1"/>
    <x v="4"/>
    <n v="0"/>
    <n v="0"/>
    <n v="31.513000000000002"/>
    <n v="31.513000000000002"/>
    <n v="31.513000000000002"/>
    <n v="31.513000000000002"/>
    <n v="0"/>
    <x v="0"/>
    <n v="0"/>
    <n v="0"/>
    <n v="7"/>
    <n v="48"/>
    <n v="0"/>
    <n v="1326.39"/>
    <n v="492.64"/>
    <m/>
    <n v="1578.6481033476041"/>
    <n v="499.13928219176387"/>
    <n v="0"/>
    <n v="41798.528070000008"/>
    <n v="15524.564319999999"/>
    <n v="0"/>
    <n v="49747.937680793053"/>
    <n v="15729.376199709055"/>
  </r>
  <r>
    <s v="Regular"/>
    <x v="0"/>
    <x v="2"/>
    <x v="2"/>
    <x v="0"/>
    <x v="0"/>
    <x v="0"/>
    <x v="1"/>
    <x v="5"/>
    <n v="0"/>
    <n v="0"/>
    <n v="32.475999999999999"/>
    <n v="32.475999999999999"/>
    <n v="32.475999999999999"/>
    <n v="32.475999999999999"/>
    <n v="0"/>
    <x v="0"/>
    <n v="0"/>
    <n v="0"/>
    <n v="7"/>
    <n v="48"/>
    <n v="0"/>
    <n v="1326.39"/>
    <n v="492.64"/>
    <m/>
    <n v="1578.6481033476041"/>
    <n v="499.13928219176387"/>
    <n v="0"/>
    <n v="43075.841639999999"/>
    <n v="15998.976639999999"/>
    <n v="0"/>
    <n v="51268.175804316787"/>
    <n v="16210.047328459723"/>
  </r>
  <r>
    <s v="Regular"/>
    <x v="0"/>
    <x v="2"/>
    <x v="2"/>
    <x v="0"/>
    <x v="0"/>
    <x v="0"/>
    <x v="1"/>
    <x v="6"/>
    <n v="0"/>
    <n v="0"/>
    <n v="37.331000000000003"/>
    <n v="37.331000000000003"/>
    <n v="37.331000000000003"/>
    <n v="37.331000000000003"/>
    <n v="0"/>
    <x v="0"/>
    <n v="0"/>
    <n v="0"/>
    <n v="7"/>
    <n v="48"/>
    <n v="0"/>
    <n v="1326.39"/>
    <n v="492.64"/>
    <m/>
    <n v="1578.6481033476041"/>
    <n v="499.13928219176387"/>
    <n v="0"/>
    <n v="49515.465090000005"/>
    <n v="18390.743840000003"/>
    <n v="0"/>
    <n v="58932.512346069416"/>
    <n v="18633.368543500739"/>
  </r>
  <r>
    <s v="Regular"/>
    <x v="0"/>
    <x v="2"/>
    <x v="2"/>
    <x v="0"/>
    <x v="0"/>
    <x v="0"/>
    <x v="1"/>
    <x v="7"/>
    <n v="0"/>
    <n v="0"/>
    <n v="33.877000000000002"/>
    <n v="33.877000000000002"/>
    <n v="33.877000000000002"/>
    <n v="33.877000000000002"/>
    <n v="0"/>
    <x v="0"/>
    <n v="0"/>
    <n v="0"/>
    <n v="7"/>
    <n v="48"/>
    <n v="0"/>
    <n v="1326.39"/>
    <n v="492.64"/>
    <m/>
    <n v="1578.6481033476041"/>
    <n v="499.13928219176387"/>
    <n v="0"/>
    <n v="44934.114030000004"/>
    <n v="16689.165280000001"/>
    <n v="0"/>
    <n v="53479.861797106787"/>
    <n v="16909.341462810386"/>
  </r>
  <r>
    <s v="Regular"/>
    <x v="0"/>
    <x v="2"/>
    <x v="2"/>
    <x v="0"/>
    <x v="0"/>
    <x v="0"/>
    <x v="1"/>
    <x v="8"/>
    <n v="0"/>
    <n v="0"/>
    <n v="25.931999999999999"/>
    <n v="25.931999999999999"/>
    <n v="25.931999999999999"/>
    <n v="25.931999999999999"/>
    <n v="0"/>
    <x v="0"/>
    <n v="0"/>
    <n v="0"/>
    <n v="7"/>
    <n v="48"/>
    <n v="0"/>
    <n v="1326.39"/>
    <n v="492.64"/>
    <m/>
    <n v="1578.6481033476041"/>
    <n v="499.13928219176387"/>
    <n v="0"/>
    <n v="34395.945480000002"/>
    <n v="12775.140479999998"/>
    <n v="0"/>
    <n v="40937.502616010068"/>
    <n v="12943.679865796819"/>
  </r>
  <r>
    <s v="Regular"/>
    <x v="0"/>
    <x v="2"/>
    <x v="2"/>
    <x v="0"/>
    <x v="0"/>
    <x v="0"/>
    <x v="1"/>
    <x v="9"/>
    <n v="0"/>
    <n v="0"/>
    <n v="23.073"/>
    <n v="23.073"/>
    <n v="23.073"/>
    <n v="23.073"/>
    <n v="0"/>
    <x v="0"/>
    <n v="0"/>
    <n v="0"/>
    <n v="7"/>
    <n v="48"/>
    <n v="0"/>
    <n v="1326.39"/>
    <n v="492.64"/>
    <m/>
    <n v="1578.6481033476041"/>
    <n v="499.13928219176387"/>
    <n v="0"/>
    <n v="30603.796470000001"/>
    <n v="11366.682720000001"/>
    <n v="0"/>
    <n v="36424.147688539269"/>
    <n v="11516.640658010569"/>
  </r>
  <r>
    <s v="Regular"/>
    <x v="0"/>
    <x v="2"/>
    <x v="2"/>
    <x v="0"/>
    <x v="0"/>
    <x v="0"/>
    <x v="1"/>
    <x v="10"/>
    <n v="0"/>
    <n v="0"/>
    <n v="22.210999999999999"/>
    <n v="22.210999999999999"/>
    <n v="22.210999999999999"/>
    <n v="22.210999999999999"/>
    <n v="0"/>
    <x v="0"/>
    <n v="0"/>
    <n v="0"/>
    <n v="7"/>
    <n v="48"/>
    <n v="0"/>
    <n v="1326.39"/>
    <n v="492.64"/>
    <m/>
    <n v="1578.6481033476041"/>
    <n v="499.13928219176387"/>
    <n v="0"/>
    <n v="29460.44829"/>
    <n v="10942.027039999999"/>
    <n v="0"/>
    <n v="35063.35302345363"/>
    <n v="11086.382596761267"/>
  </r>
  <r>
    <s v="PROJETADO"/>
    <x v="0"/>
    <x v="2"/>
    <x v="2"/>
    <x v="0"/>
    <x v="0"/>
    <x v="0"/>
    <x v="1"/>
    <x v="11"/>
    <n v="0"/>
    <n v="0"/>
    <n v="22.210999999999999"/>
    <n v="22.210999999999999"/>
    <n v="22.210999999999999"/>
    <n v="22.210999999999999"/>
    <n v="0"/>
    <x v="0"/>
    <n v="0"/>
    <n v="0"/>
    <n v="7"/>
    <n v="48"/>
    <n v="0"/>
    <n v="1326.39"/>
    <n v="492.64"/>
    <m/>
    <n v="1578.6481033476041"/>
    <n v="499.13928219176387"/>
    <n v="0"/>
    <n v="29460.44829"/>
    <n v="10942.027039999999"/>
    <n v="0"/>
    <n v="35063.35302345363"/>
    <n v="11086.382596761267"/>
  </r>
  <r>
    <s v="Regular"/>
    <x v="0"/>
    <x v="2"/>
    <x v="4"/>
    <x v="1"/>
    <x v="0"/>
    <x v="0"/>
    <x v="0"/>
    <x v="0"/>
    <n v="0"/>
    <n v="0"/>
    <n v="110.005"/>
    <n v="103.40470000000001"/>
    <n v="110.005"/>
    <n v="103.40470000000001"/>
    <n v="0"/>
    <x v="0"/>
    <n v="0"/>
    <n v="0"/>
    <n v="8"/>
    <n v="49"/>
    <n v="0"/>
    <n v="76.75"/>
    <n v="307.08"/>
    <m/>
    <n v="152.59031948759403"/>
    <n v="313.20976164142951"/>
    <n v="0"/>
    <n v="7936.3107250000003"/>
    <n v="31753.515275999998"/>
    <n v="0"/>
    <n v="15778.556209518816"/>
    <n v="32387.361439603526"/>
  </r>
  <r>
    <s v="Regular"/>
    <x v="0"/>
    <x v="2"/>
    <x v="4"/>
    <x v="1"/>
    <x v="0"/>
    <x v="0"/>
    <x v="0"/>
    <x v="1"/>
    <n v="0"/>
    <n v="0"/>
    <n v="110.5"/>
    <n v="103.87"/>
    <n v="110.5"/>
    <n v="103.87"/>
    <n v="0"/>
    <x v="0"/>
    <n v="0"/>
    <n v="0"/>
    <n v="8"/>
    <n v="49"/>
    <n v="0"/>
    <n v="76.75"/>
    <n v="307.08"/>
    <m/>
    <n v="152.59031948759403"/>
    <n v="313.20976164142951"/>
    <n v="0"/>
    <n v="7972.0225"/>
    <n v="31896.399600000001"/>
    <n v="0"/>
    <n v="15849.556485176392"/>
    <n v="32533.097941695283"/>
  </r>
  <r>
    <s v="Regular"/>
    <x v="0"/>
    <x v="2"/>
    <x v="4"/>
    <x v="1"/>
    <x v="0"/>
    <x v="0"/>
    <x v="0"/>
    <x v="2"/>
    <n v="0"/>
    <n v="0"/>
    <n v="134.03100000000001"/>
    <n v="125.98914000000001"/>
    <n v="134.03100000000001"/>
    <n v="125.98914000000001"/>
    <n v="0"/>
    <x v="0"/>
    <n v="0"/>
    <n v="0"/>
    <n v="8"/>
    <n v="49"/>
    <n v="0"/>
    <n v="76.75"/>
    <n v="307.08"/>
    <m/>
    <n v="152.59031948759403"/>
    <n v="313.20976164142951"/>
    <n v="0"/>
    <n v="9669.6664950000013"/>
    <n v="38688.745111199998"/>
    <n v="0"/>
    <n v="19224.723124567212"/>
    <n v="39461.028508808697"/>
  </r>
  <r>
    <s v="Refaturamento - Regular"/>
    <x v="0"/>
    <x v="2"/>
    <x v="4"/>
    <x v="1"/>
    <x v="0"/>
    <x v="0"/>
    <x v="0"/>
    <x v="2"/>
    <n v="0"/>
    <n v="0"/>
    <n v="28.565000000000001"/>
    <n v="26.851099999999999"/>
    <n v="28.565000000000001"/>
    <n v="26.851099999999999"/>
    <n v="0"/>
    <x v="0"/>
    <n v="0"/>
    <n v="0"/>
    <n v="8"/>
    <n v="49"/>
    <n v="0"/>
    <n v="76.75"/>
    <n v="307.08"/>
    <m/>
    <n v="152.59031948759403"/>
    <n v="313.20976164142951"/>
    <n v="0"/>
    <n v="2060.8219249999997"/>
    <n v="8245.4357879999989"/>
    <n v="0"/>
    <n v="4097.2179275933358"/>
    <n v="8410.0266308101873"/>
  </r>
  <r>
    <s v="Regular"/>
    <x v="0"/>
    <x v="2"/>
    <x v="4"/>
    <x v="1"/>
    <x v="0"/>
    <x v="0"/>
    <x v="0"/>
    <x v="3"/>
    <n v="0"/>
    <n v="0"/>
    <n v="134.548"/>
    <n v="126.47512"/>
    <n v="134.548"/>
    <n v="126.47512"/>
    <n v="0"/>
    <x v="0"/>
    <n v="0"/>
    <n v="0"/>
    <n v="8"/>
    <n v="49"/>
    <n v="0"/>
    <n v="76.75"/>
    <n v="307.08"/>
    <m/>
    <n v="152.59031948759403"/>
    <n v="313.20976164142951"/>
    <n v="0"/>
    <n v="9706.9654599999994"/>
    <n v="38837.9798496"/>
    <n v="0"/>
    <n v="19298.878968031793"/>
    <n v="39613.242188771197"/>
  </r>
  <r>
    <s v="Regular"/>
    <x v="0"/>
    <x v="2"/>
    <x v="4"/>
    <x v="1"/>
    <x v="0"/>
    <x v="0"/>
    <x v="0"/>
    <x v="4"/>
    <n v="0"/>
    <n v="0"/>
    <n v="145.012"/>
    <n v="136.31128000000001"/>
    <n v="145.012"/>
    <n v="136.31128000000001"/>
    <n v="0"/>
    <x v="0"/>
    <n v="0"/>
    <n v="0"/>
    <n v="8"/>
    <n v="49"/>
    <n v="0"/>
    <n v="76.75"/>
    <n v="307.08"/>
    <m/>
    <n v="152.59031948759403"/>
    <n v="313.20976164142951"/>
    <n v="0"/>
    <n v="10461.890740000001"/>
    <n v="41858.467862400001"/>
    <n v="0"/>
    <n v="20799.781764962889"/>
    <n v="42694.023517838163"/>
  </r>
  <r>
    <s v="Regular"/>
    <x v="0"/>
    <x v="2"/>
    <x v="4"/>
    <x v="1"/>
    <x v="0"/>
    <x v="0"/>
    <x v="0"/>
    <x v="5"/>
    <n v="0"/>
    <n v="0"/>
    <n v="136.35"/>
    <n v="128.16900000000001"/>
    <n v="136.35"/>
    <n v="128.16900000000001"/>
    <n v="0"/>
    <x v="0"/>
    <n v="0"/>
    <n v="0"/>
    <n v="8"/>
    <n v="49"/>
    <n v="0"/>
    <n v="76.75"/>
    <n v="307.08"/>
    <m/>
    <n v="152.59031948759403"/>
    <n v="313.20976164142951"/>
    <n v="0"/>
    <n v="9836.9707500000004"/>
    <n v="39358.13652"/>
    <n v="0"/>
    <n v="19557.348658405441"/>
    <n v="40143.781939820379"/>
  </r>
  <r>
    <s v="Regular"/>
    <x v="0"/>
    <x v="2"/>
    <x v="4"/>
    <x v="1"/>
    <x v="0"/>
    <x v="0"/>
    <x v="0"/>
    <x v="6"/>
    <n v="0"/>
    <n v="0"/>
    <n v="141.87299999999999"/>
    <n v="133.36062000000001"/>
    <n v="141.87299999999999"/>
    <n v="133.36062000000001"/>
    <n v="0"/>
    <x v="0"/>
    <n v="0"/>
    <n v="0"/>
    <n v="8"/>
    <n v="49"/>
    <n v="0"/>
    <n v="76.75"/>
    <n v="307.08"/>
    <m/>
    <n v="152.59031948759403"/>
    <n v="313.20976164142951"/>
    <n v="0"/>
    <n v="10235.427585000001"/>
    <n v="40952.379189600004"/>
    <n v="0"/>
    <n v="20349.539612863624"/>
    <n v="41769.848002553263"/>
  </r>
  <r>
    <s v="Regular"/>
    <x v="0"/>
    <x v="2"/>
    <x v="4"/>
    <x v="1"/>
    <x v="0"/>
    <x v="0"/>
    <x v="0"/>
    <x v="7"/>
    <n v="0"/>
    <n v="0"/>
    <n v="138.80799999999999"/>
    <n v="130.47952000000001"/>
    <n v="138.80799999999999"/>
    <n v="130.47952000000001"/>
    <n v="0"/>
    <x v="0"/>
    <n v="0"/>
    <n v="0"/>
    <n v="8"/>
    <n v="49"/>
    <n v="0"/>
    <n v="76.75"/>
    <n v="307.08"/>
    <m/>
    <n v="152.59031948759403"/>
    <n v="313.20976164142951"/>
    <n v="0"/>
    <n v="10014.303160000001"/>
    <n v="40067.651001600003"/>
    <n v="0"/>
    <n v="19909.911643387917"/>
    <n v="40867.459358288135"/>
  </r>
  <r>
    <s v="Regular"/>
    <x v="0"/>
    <x v="2"/>
    <x v="4"/>
    <x v="1"/>
    <x v="0"/>
    <x v="0"/>
    <x v="0"/>
    <x v="8"/>
    <n v="0"/>
    <n v="0"/>
    <n v="134.70400000000001"/>
    <n v="126.62175999999999"/>
    <n v="134.70400000000001"/>
    <n v="126.62175999999999"/>
    <n v="0"/>
    <x v="0"/>
    <n v="0"/>
    <n v="0"/>
    <n v="8"/>
    <n v="49"/>
    <n v="0"/>
    <n v="76.75"/>
    <n v="307.08"/>
    <m/>
    <n v="152.59031948759403"/>
    <n v="313.20976164142951"/>
    <n v="0"/>
    <n v="9718.2200799999991"/>
    <n v="38883.010060799999"/>
    <n v="0"/>
    <n v="19321.254812481453"/>
    <n v="39659.171268218292"/>
  </r>
  <r>
    <s v="Regular"/>
    <x v="0"/>
    <x v="2"/>
    <x v="4"/>
    <x v="1"/>
    <x v="0"/>
    <x v="0"/>
    <x v="0"/>
    <x v="9"/>
    <n v="0"/>
    <n v="0"/>
    <n v="123.182"/>
    <n v="115.79107999999999"/>
    <n v="123.182"/>
    <n v="115.79107999999999"/>
    <n v="0"/>
    <x v="0"/>
    <n v="0"/>
    <n v="0"/>
    <n v="8"/>
    <n v="49"/>
    <n v="0"/>
    <n v="76.75"/>
    <n v="307.08"/>
    <m/>
    <n v="152.59031948759403"/>
    <n v="313.20976164142951"/>
    <n v="0"/>
    <n v="8886.9653899999994"/>
    <n v="35557.124846399995"/>
    <n v="0"/>
    <n v="17668.59789101356"/>
    <n v="36266.896567003692"/>
  </r>
  <r>
    <s v="Regular"/>
    <x v="0"/>
    <x v="2"/>
    <x v="4"/>
    <x v="1"/>
    <x v="0"/>
    <x v="0"/>
    <x v="0"/>
    <x v="10"/>
    <n v="0"/>
    <n v="0"/>
    <n v="125.96"/>
    <n v="118.4024"/>
    <n v="125.96"/>
    <n v="118.4024"/>
    <n v="0"/>
    <x v="0"/>
    <n v="0"/>
    <n v="0"/>
    <n v="8"/>
    <n v="49"/>
    <n v="0"/>
    <n v="76.75"/>
    <n v="307.08"/>
    <m/>
    <n v="152.59031948759403"/>
    <n v="313.20976164142951"/>
    <n v="0"/>
    <n v="9087.3842000000004"/>
    <n v="36359.008991999995"/>
    <n v="0"/>
    <n v="18067.060044097903"/>
    <n v="37084.787481773194"/>
  </r>
  <r>
    <s v="PROJETADO"/>
    <x v="0"/>
    <x v="2"/>
    <x v="4"/>
    <x v="1"/>
    <x v="0"/>
    <x v="0"/>
    <x v="0"/>
    <x v="11"/>
    <n v="0"/>
    <n v="0"/>
    <n v="125.96"/>
    <n v="118.4024"/>
    <n v="125.96"/>
    <n v="118.4024"/>
    <n v="0"/>
    <x v="0"/>
    <n v="0"/>
    <n v="0"/>
    <n v="8"/>
    <n v="49"/>
    <n v="0"/>
    <n v="76.75"/>
    <n v="307.08"/>
    <m/>
    <n v="152.59031948759403"/>
    <n v="313.20976164142951"/>
    <n v="0"/>
    <n v="9087.3842000000004"/>
    <n v="36359.008991999995"/>
    <n v="0"/>
    <n v="18067.060044097903"/>
    <n v="37084.787481773194"/>
  </r>
  <r>
    <s v="Regular"/>
    <x v="0"/>
    <x v="2"/>
    <x v="4"/>
    <x v="1"/>
    <x v="0"/>
    <x v="0"/>
    <x v="2"/>
    <x v="0"/>
    <n v="536"/>
    <n v="455.59999999999997"/>
    <n v="0"/>
    <n v="0"/>
    <n v="0"/>
    <n v="0"/>
    <n v="12"/>
    <x v="0"/>
    <n v="0"/>
    <n v="6"/>
    <n v="0"/>
    <n v="0"/>
    <n v="16.64"/>
    <n v="0"/>
    <n v="0"/>
    <n v="18.929390865785848"/>
    <m/>
    <m/>
    <n v="7581.1839999999993"/>
    <n v="0"/>
    <n v="0"/>
    <n v="8624.2304784520311"/>
    <n v="0"/>
    <n v="0"/>
  </r>
  <r>
    <s v="Regular"/>
    <x v="0"/>
    <x v="2"/>
    <x v="4"/>
    <x v="1"/>
    <x v="0"/>
    <x v="0"/>
    <x v="2"/>
    <x v="1"/>
    <n v="537"/>
    <n v="456.45"/>
    <n v="0"/>
    <n v="0"/>
    <n v="0"/>
    <n v="0"/>
    <n v="12"/>
    <x v="0"/>
    <n v="0"/>
    <n v="6"/>
    <n v="0"/>
    <n v="0"/>
    <n v="16.64"/>
    <n v="0"/>
    <n v="0"/>
    <n v="18.929390865785848"/>
    <m/>
    <m/>
    <n v="7595.3280000000004"/>
    <n v="0"/>
    <n v="0"/>
    <n v="8640.3204606879499"/>
    <n v="0"/>
    <n v="0"/>
  </r>
  <r>
    <s v="Regular"/>
    <x v="0"/>
    <x v="2"/>
    <x v="4"/>
    <x v="1"/>
    <x v="0"/>
    <x v="0"/>
    <x v="2"/>
    <x v="2"/>
    <n v="591"/>
    <n v="502.34999999999997"/>
    <n v="0"/>
    <n v="0"/>
    <n v="0"/>
    <n v="0"/>
    <n v="13"/>
    <x v="0"/>
    <n v="0"/>
    <n v="6"/>
    <n v="0"/>
    <n v="0"/>
    <n v="16.64"/>
    <n v="0"/>
    <n v="0"/>
    <n v="18.929390865785848"/>
    <m/>
    <m/>
    <n v="8359.1039999999994"/>
    <n v="0"/>
    <n v="0"/>
    <n v="9509.1795014275194"/>
    <n v="0"/>
    <n v="0"/>
  </r>
  <r>
    <s v="Refaturamento - Regular"/>
    <x v="0"/>
    <x v="2"/>
    <x v="4"/>
    <x v="1"/>
    <x v="0"/>
    <x v="0"/>
    <x v="2"/>
    <x v="2"/>
    <n v="57"/>
    <n v="48.449999999999996"/>
    <n v="0"/>
    <n v="0"/>
    <n v="0"/>
    <n v="0"/>
    <n v="1"/>
    <x v="0"/>
    <n v="0"/>
    <n v="6"/>
    <n v="0"/>
    <n v="0"/>
    <n v="16.64"/>
    <n v="0"/>
    <n v="0"/>
    <n v="18.929390865785848"/>
    <m/>
    <m/>
    <n v="806.20799999999997"/>
    <n v="0"/>
    <n v="0"/>
    <n v="917.12898744732422"/>
    <n v="0"/>
    <n v="0"/>
  </r>
  <r>
    <s v="Regular"/>
    <x v="0"/>
    <x v="2"/>
    <x v="4"/>
    <x v="1"/>
    <x v="0"/>
    <x v="0"/>
    <x v="2"/>
    <x v="3"/>
    <n v="601"/>
    <n v="510.84999999999997"/>
    <n v="0"/>
    <n v="0"/>
    <n v="0"/>
    <n v="0"/>
    <n v="13"/>
    <x v="0"/>
    <n v="0"/>
    <n v="6"/>
    <n v="0"/>
    <n v="0"/>
    <n v="16.64"/>
    <n v="0"/>
    <n v="0"/>
    <n v="18.929390865785848"/>
    <m/>
    <m/>
    <n v="8500.5439999999999"/>
    <n v="0"/>
    <n v="0"/>
    <n v="9670.0793237867001"/>
    <n v="0"/>
    <n v="0"/>
  </r>
  <r>
    <s v="Regular"/>
    <x v="0"/>
    <x v="2"/>
    <x v="4"/>
    <x v="1"/>
    <x v="0"/>
    <x v="0"/>
    <x v="2"/>
    <x v="4"/>
    <n v="591"/>
    <n v="502.34999999999997"/>
    <n v="0"/>
    <n v="0"/>
    <n v="0"/>
    <n v="0"/>
    <n v="13"/>
    <x v="0"/>
    <n v="0"/>
    <n v="6"/>
    <n v="0"/>
    <n v="0"/>
    <n v="16.64"/>
    <n v="0"/>
    <n v="0"/>
    <n v="18.929390865785848"/>
    <m/>
    <m/>
    <n v="8359.1039999999994"/>
    <n v="0"/>
    <n v="0"/>
    <n v="9509.1795014275194"/>
    <n v="0"/>
    <n v="0"/>
  </r>
  <r>
    <s v="Regular"/>
    <x v="0"/>
    <x v="2"/>
    <x v="4"/>
    <x v="1"/>
    <x v="0"/>
    <x v="0"/>
    <x v="2"/>
    <x v="5"/>
    <n v="595"/>
    <n v="505.75"/>
    <n v="0"/>
    <n v="0"/>
    <n v="0"/>
    <n v="0"/>
    <n v="13"/>
    <x v="0"/>
    <n v="0"/>
    <n v="6"/>
    <n v="0"/>
    <n v="0"/>
    <n v="16.64"/>
    <n v="0"/>
    <n v="0"/>
    <n v="18.929390865785848"/>
    <m/>
    <m/>
    <n v="8415.68"/>
    <n v="0"/>
    <n v="0"/>
    <n v="9573.5394303711928"/>
    <n v="0"/>
    <n v="0"/>
  </r>
  <r>
    <s v="Regular"/>
    <x v="0"/>
    <x v="2"/>
    <x v="4"/>
    <x v="1"/>
    <x v="0"/>
    <x v="0"/>
    <x v="2"/>
    <x v="6"/>
    <n v="593"/>
    <n v="504.05"/>
    <n v="0"/>
    <n v="0"/>
    <n v="0"/>
    <n v="0"/>
    <n v="13"/>
    <x v="0"/>
    <n v="0"/>
    <n v="6"/>
    <n v="0"/>
    <n v="0"/>
    <n v="16.64"/>
    <n v="0"/>
    <n v="0"/>
    <n v="18.929390865785848"/>
    <m/>
    <m/>
    <n v="8387.3919999999998"/>
    <n v="0"/>
    <n v="0"/>
    <n v="9541.359465899357"/>
    <n v="0"/>
    <n v="0"/>
  </r>
  <r>
    <s v="Regular"/>
    <x v="0"/>
    <x v="2"/>
    <x v="4"/>
    <x v="1"/>
    <x v="0"/>
    <x v="0"/>
    <x v="2"/>
    <x v="7"/>
    <n v="592"/>
    <n v="503.2"/>
    <n v="0"/>
    <n v="0"/>
    <n v="0"/>
    <n v="0"/>
    <n v="13"/>
    <x v="0"/>
    <n v="0"/>
    <n v="6"/>
    <n v="0"/>
    <n v="0"/>
    <n v="16.64"/>
    <n v="0"/>
    <n v="0"/>
    <n v="18.929390865785848"/>
    <m/>
    <m/>
    <n v="8373.2479999999996"/>
    <n v="0"/>
    <n v="0"/>
    <n v="9525.2694836634382"/>
    <n v="0"/>
    <n v="0"/>
  </r>
  <r>
    <s v="Regular"/>
    <x v="0"/>
    <x v="2"/>
    <x v="4"/>
    <x v="1"/>
    <x v="0"/>
    <x v="0"/>
    <x v="2"/>
    <x v="8"/>
    <n v="591"/>
    <n v="502.34999999999997"/>
    <n v="0"/>
    <n v="0"/>
    <n v="0"/>
    <n v="0"/>
    <n v="13"/>
    <x v="0"/>
    <n v="0"/>
    <n v="6"/>
    <n v="0"/>
    <n v="0"/>
    <n v="16.64"/>
    <n v="0"/>
    <n v="0"/>
    <n v="18.929390865785848"/>
    <m/>
    <m/>
    <n v="8359.1039999999994"/>
    <n v="0"/>
    <n v="0"/>
    <n v="9509.1795014275194"/>
    <n v="0"/>
    <n v="0"/>
  </r>
  <r>
    <s v="Regular"/>
    <x v="0"/>
    <x v="2"/>
    <x v="4"/>
    <x v="1"/>
    <x v="0"/>
    <x v="0"/>
    <x v="2"/>
    <x v="9"/>
    <n v="597"/>
    <n v="507.45"/>
    <n v="0"/>
    <n v="0"/>
    <n v="0"/>
    <n v="0"/>
    <n v="13"/>
    <x v="0"/>
    <n v="0"/>
    <n v="6"/>
    <n v="0"/>
    <n v="0"/>
    <n v="16.64"/>
    <n v="0"/>
    <n v="0"/>
    <n v="18.929390865785848"/>
    <m/>
    <m/>
    <n v="8443.9680000000008"/>
    <n v="0"/>
    <n v="0"/>
    <n v="9605.7193948430286"/>
    <n v="0"/>
    <n v="0"/>
  </r>
  <r>
    <s v="Regular"/>
    <x v="0"/>
    <x v="2"/>
    <x v="4"/>
    <x v="1"/>
    <x v="0"/>
    <x v="0"/>
    <x v="2"/>
    <x v="10"/>
    <n v="588"/>
    <n v="499.8"/>
    <n v="0"/>
    <n v="0"/>
    <n v="0"/>
    <n v="0"/>
    <n v="13"/>
    <x v="0"/>
    <n v="0"/>
    <n v="6"/>
    <n v="0"/>
    <n v="0"/>
    <n v="16.64"/>
    <n v="0"/>
    <n v="0"/>
    <n v="18.929390865785848"/>
    <m/>
    <m/>
    <n v="8316.6720000000005"/>
    <n v="0"/>
    <n v="0"/>
    <n v="9460.9095547197667"/>
    <n v="0"/>
    <n v="0"/>
  </r>
  <r>
    <s v="PROJETADO"/>
    <x v="0"/>
    <x v="2"/>
    <x v="4"/>
    <x v="1"/>
    <x v="0"/>
    <x v="0"/>
    <x v="2"/>
    <x v="11"/>
    <n v="588"/>
    <n v="499.8"/>
    <n v="0"/>
    <n v="0"/>
    <n v="0"/>
    <n v="0"/>
    <n v="13"/>
    <x v="0"/>
    <n v="0"/>
    <n v="6"/>
    <n v="0"/>
    <n v="0"/>
    <n v="16.64"/>
    <n v="0"/>
    <n v="0"/>
    <n v="18.929390865785848"/>
    <m/>
    <m/>
    <n v="8316.6720000000005"/>
    <n v="0"/>
    <n v="0"/>
    <n v="9460.9095547197667"/>
    <n v="0"/>
    <n v="0"/>
  </r>
  <r>
    <s v="Regular"/>
    <x v="0"/>
    <x v="2"/>
    <x v="4"/>
    <x v="1"/>
    <x v="0"/>
    <x v="0"/>
    <x v="1"/>
    <x v="0"/>
    <n v="0"/>
    <n v="0"/>
    <n v="15.111000000000001"/>
    <n v="14.20434"/>
    <n v="15.111000000000001"/>
    <n v="14.20434"/>
    <n v="0"/>
    <x v="0"/>
    <n v="0"/>
    <n v="0"/>
    <n v="7"/>
    <n v="48"/>
    <n v="0"/>
    <n v="1326.39"/>
    <n v="492.64"/>
    <m/>
    <n v="1578.6481033476041"/>
    <n v="499.13928219176387"/>
    <n v="0"/>
    <n v="18840.494532600002"/>
    <n v="6997.6260575999995"/>
    <n v="0"/>
    <n v="22423.654400304506"/>
    <n v="7089.9440716077597"/>
  </r>
  <r>
    <s v="Regular"/>
    <x v="0"/>
    <x v="2"/>
    <x v="4"/>
    <x v="1"/>
    <x v="0"/>
    <x v="0"/>
    <x v="1"/>
    <x v="1"/>
    <n v="0"/>
    <n v="0"/>
    <n v="14.802"/>
    <n v="13.913880000000001"/>
    <n v="14.802"/>
    <n v="13.913880000000001"/>
    <n v="0"/>
    <x v="0"/>
    <n v="0"/>
    <n v="0"/>
    <n v="7"/>
    <n v="48"/>
    <n v="0"/>
    <n v="1326.39"/>
    <n v="492.64"/>
    <m/>
    <n v="1578.6481033476041"/>
    <n v="499.13928219176387"/>
    <n v="0"/>
    <n v="18455.231293200002"/>
    <n v="6854.5338431999999"/>
    <n v="0"/>
    <n v="21965.120272206164"/>
    <n v="6944.9640757023399"/>
  </r>
  <r>
    <s v="Regular"/>
    <x v="0"/>
    <x v="2"/>
    <x v="4"/>
    <x v="1"/>
    <x v="0"/>
    <x v="0"/>
    <x v="1"/>
    <x v="2"/>
    <n v="0"/>
    <n v="0"/>
    <n v="16.186"/>
    <n v="15.214840000000001"/>
    <n v="16.186"/>
    <n v="15.214840000000001"/>
    <n v="0"/>
    <x v="0"/>
    <n v="0"/>
    <n v="0"/>
    <n v="7"/>
    <n v="48"/>
    <n v="0"/>
    <n v="1326.39"/>
    <n v="492.64"/>
    <m/>
    <n v="1578.6481033476041"/>
    <n v="499.13928219176387"/>
    <n v="0"/>
    <n v="20180.811627600004"/>
    <n v="7495.4387776000003"/>
    <n v="0"/>
    <n v="24018.878308737261"/>
    <n v="7594.3243162625367"/>
  </r>
  <r>
    <s v="Refaturamento - Regular"/>
    <x v="0"/>
    <x v="2"/>
    <x v="4"/>
    <x v="1"/>
    <x v="0"/>
    <x v="0"/>
    <x v="1"/>
    <x v="2"/>
    <n v="0"/>
    <n v="0"/>
    <n v="3.3559999999999999"/>
    <n v="3.1546400000000001"/>
    <n v="3.3559999999999999"/>
    <n v="3.1546400000000001"/>
    <n v="0"/>
    <x v="0"/>
    <n v="0"/>
    <n v="0"/>
    <n v="7"/>
    <n v="48"/>
    <n v="0"/>
    <n v="1326.39"/>
    <n v="492.64"/>
    <m/>
    <n v="1578.6481033476041"/>
    <n v="499.13928219176387"/>
    <n v="0"/>
    <n v="4184.2829496000004"/>
    <n v="1554.1018495999999"/>
    <n v="0"/>
    <n v="4980.066452744486"/>
    <n v="1574.604745173426"/>
  </r>
  <r>
    <s v="Regular"/>
    <x v="0"/>
    <x v="2"/>
    <x v="4"/>
    <x v="1"/>
    <x v="0"/>
    <x v="0"/>
    <x v="1"/>
    <x v="3"/>
    <n v="0"/>
    <n v="0"/>
    <n v="18.338999999999999"/>
    <n v="17.238659999999999"/>
    <n v="18.338999999999999"/>
    <n v="17.238659999999999"/>
    <n v="0"/>
    <x v="0"/>
    <n v="0"/>
    <n v="0"/>
    <n v="7"/>
    <n v="48"/>
    <n v="0"/>
    <n v="1326.39"/>
    <n v="492.64"/>
    <m/>
    <n v="1578.6481033476041"/>
    <n v="499.13928219176387"/>
    <n v="0"/>
    <n v="22865.186237400001"/>
    <n v="8492.4534623999989"/>
    <n v="0"/>
    <n v="27213.777913254209"/>
    <n v="8604.4923783478716"/>
  </r>
  <r>
    <s v="Regular"/>
    <x v="0"/>
    <x v="2"/>
    <x v="4"/>
    <x v="1"/>
    <x v="0"/>
    <x v="0"/>
    <x v="1"/>
    <x v="4"/>
    <n v="0"/>
    <n v="0"/>
    <n v="18.408000000000001"/>
    <n v="17.303519999999999"/>
    <n v="18.408000000000001"/>
    <n v="17.303519999999999"/>
    <n v="0"/>
    <x v="0"/>
    <n v="0"/>
    <n v="0"/>
    <n v="7"/>
    <n v="48"/>
    <n v="0"/>
    <n v="1326.39"/>
    <n v="492.64"/>
    <m/>
    <n v="1578.6481033476041"/>
    <n v="499.13928219176387"/>
    <n v="0"/>
    <n v="22951.215892799999"/>
    <n v="8524.4060927999999"/>
    <n v="0"/>
    <n v="27316.169029237331"/>
    <n v="8636.8665521908297"/>
  </r>
  <r>
    <s v="Regular"/>
    <x v="0"/>
    <x v="2"/>
    <x v="4"/>
    <x v="1"/>
    <x v="0"/>
    <x v="0"/>
    <x v="1"/>
    <x v="5"/>
    <n v="0"/>
    <n v="0"/>
    <n v="17.873000000000001"/>
    <n v="16.800619999999999"/>
    <n v="17.873000000000001"/>
    <n v="16.800619999999999"/>
    <n v="0"/>
    <x v="0"/>
    <n v="0"/>
    <n v="0"/>
    <n v="7"/>
    <n v="48"/>
    <n v="0"/>
    <n v="1326.39"/>
    <n v="492.64"/>
    <m/>
    <n v="1578.6481033476041"/>
    <n v="499.13928219176387"/>
    <n v="0"/>
    <n v="22284.1743618"/>
    <n v="8276.6574367999983"/>
    <n v="0"/>
    <n v="26522.266898063823"/>
    <n v="8385.8494071765908"/>
  </r>
  <r>
    <s v="Regular"/>
    <x v="0"/>
    <x v="2"/>
    <x v="4"/>
    <x v="1"/>
    <x v="0"/>
    <x v="0"/>
    <x v="1"/>
    <x v="6"/>
    <n v="0"/>
    <n v="0"/>
    <n v="19.698"/>
    <n v="18.516120000000001"/>
    <n v="19.698"/>
    <n v="18.516120000000001"/>
    <n v="0"/>
    <x v="0"/>
    <n v="0"/>
    <n v="0"/>
    <n v="7"/>
    <n v="48"/>
    <n v="0"/>
    <n v="1326.39"/>
    <n v="492.64"/>
    <m/>
    <n v="1578.6481033476041"/>
    <n v="499.13928219176387"/>
    <n v="0"/>
    <n v="24559.596406800003"/>
    <n v="9121.7813568000001"/>
    <n v="0"/>
    <n v="29230.43771935664"/>
    <n v="9242.1228457765628"/>
  </r>
  <r>
    <s v="Regular"/>
    <x v="0"/>
    <x v="2"/>
    <x v="4"/>
    <x v="1"/>
    <x v="0"/>
    <x v="0"/>
    <x v="1"/>
    <x v="7"/>
    <n v="0"/>
    <n v="0"/>
    <n v="19.228000000000002"/>
    <n v="18.07432"/>
    <n v="19.228000000000002"/>
    <n v="18.07432"/>
    <n v="0"/>
    <x v="0"/>
    <n v="0"/>
    <n v="0"/>
    <n v="7"/>
    <n v="48"/>
    <n v="0"/>
    <n v="1326.39"/>
    <n v="492.64"/>
    <m/>
    <n v="1578.6481033476041"/>
    <n v="499.13928219176387"/>
    <n v="0"/>
    <n v="23973.597304800001"/>
    <n v="8904.1330048"/>
    <n v="0"/>
    <n v="28532.990987297668"/>
    <n v="9021.6031109042415"/>
  </r>
  <r>
    <s v="Regular"/>
    <x v="0"/>
    <x v="2"/>
    <x v="4"/>
    <x v="1"/>
    <x v="0"/>
    <x v="0"/>
    <x v="1"/>
    <x v="8"/>
    <n v="0"/>
    <n v="0"/>
    <n v="17.064"/>
    <n v="16.04016"/>
    <n v="17.064"/>
    <n v="16.04016"/>
    <n v="0"/>
    <x v="0"/>
    <n v="0"/>
    <n v="0"/>
    <n v="7"/>
    <n v="48"/>
    <n v="0"/>
    <n v="1326.39"/>
    <n v="492.64"/>
    <m/>
    <n v="1578.6481033476041"/>
    <n v="499.13928219176387"/>
    <n v="0"/>
    <n v="21275.507822400003"/>
    <n v="7902.0244223999998"/>
    <n v="0"/>
    <n v="25321.768161392105"/>
    <n v="8006.2739486410428"/>
  </r>
  <r>
    <s v="Regular"/>
    <x v="0"/>
    <x v="2"/>
    <x v="4"/>
    <x v="1"/>
    <x v="0"/>
    <x v="0"/>
    <x v="1"/>
    <x v="9"/>
    <n v="0"/>
    <n v="0"/>
    <n v="16.731000000000002"/>
    <n v="15.72714"/>
    <n v="16.731000000000002"/>
    <n v="15.72714"/>
    <n v="0"/>
    <x v="0"/>
    <n v="0"/>
    <n v="0"/>
    <n v="7"/>
    <n v="48"/>
    <n v="0"/>
    <n v="1326.39"/>
    <n v="492.64"/>
    <m/>
    <n v="1578.6481033476041"/>
    <n v="499.13928219176387"/>
    <n v="0"/>
    <n v="20860.3212246"/>
    <n v="7747.8182495999999"/>
    <n v="0"/>
    <n v="24827.619732082239"/>
    <n v="7850.033370529377"/>
  </r>
  <r>
    <s v="Regular"/>
    <x v="0"/>
    <x v="2"/>
    <x v="4"/>
    <x v="1"/>
    <x v="0"/>
    <x v="0"/>
    <x v="1"/>
    <x v="10"/>
    <n v="0"/>
    <n v="0"/>
    <n v="16.405000000000001"/>
    <n v="15.4207"/>
    <n v="16.405000000000001"/>
    <n v="15.4207"/>
    <n v="0"/>
    <x v="0"/>
    <n v="0"/>
    <n v="0"/>
    <n v="7"/>
    <n v="48"/>
    <n v="0"/>
    <n v="1326.39"/>
    <n v="492.64"/>
    <m/>
    <n v="1578.6481033476041"/>
    <n v="499.13928219176387"/>
    <n v="0"/>
    <n v="20453.862273000002"/>
    <n v="7596.8536480000002"/>
    <n v="0"/>
    <n v="24343.858807292399"/>
    <n v="7697.0771288945334"/>
  </r>
  <r>
    <s v="PROJETADO"/>
    <x v="0"/>
    <x v="2"/>
    <x v="4"/>
    <x v="1"/>
    <x v="0"/>
    <x v="0"/>
    <x v="1"/>
    <x v="11"/>
    <n v="0"/>
    <n v="0"/>
    <n v="16.405000000000001"/>
    <n v="15.4207"/>
    <n v="16.405000000000001"/>
    <n v="15.4207"/>
    <n v="0"/>
    <x v="0"/>
    <n v="0"/>
    <n v="0"/>
    <n v="7"/>
    <n v="48"/>
    <n v="0"/>
    <n v="1326.39"/>
    <n v="492.64"/>
    <m/>
    <n v="1578.6481033476041"/>
    <n v="499.13928219176387"/>
    <n v="0"/>
    <n v="20453.862273000002"/>
    <n v="7596.8536480000002"/>
    <n v="0"/>
    <n v="24343.858807292399"/>
    <n v="7697.0771288945334"/>
  </r>
  <r>
    <s v="Regular"/>
    <x v="1"/>
    <x v="3"/>
    <x v="7"/>
    <x v="2"/>
    <x v="0"/>
    <x v="0"/>
    <x v="0"/>
    <x v="0"/>
    <n v="0"/>
    <n v="0"/>
    <n v="9.4320000000000004"/>
    <n v="9.4320000000000004"/>
    <n v="9.4320000000000004"/>
    <n v="9.4320000000000004"/>
    <n v="0"/>
    <x v="0"/>
    <n v="0"/>
    <n v="0"/>
    <n v="15"/>
    <n v="52"/>
    <n v="0"/>
    <n v="241.1"/>
    <n v="307.08"/>
    <m/>
    <n v="353.40259462860246"/>
    <n v="313.20976164142951"/>
    <n v="0"/>
    <n v="2274.0552000000002"/>
    <n v="2896.3785600000001"/>
    <n v="0"/>
    <n v="3333.2932725369783"/>
    <n v="2954.1944718019631"/>
  </r>
  <r>
    <s v="Regular"/>
    <x v="1"/>
    <x v="3"/>
    <x v="7"/>
    <x v="2"/>
    <x v="0"/>
    <x v="0"/>
    <x v="0"/>
    <x v="1"/>
    <n v="0"/>
    <n v="0"/>
    <n v="10.689"/>
    <n v="10.689"/>
    <n v="10.689"/>
    <n v="10.689"/>
    <n v="0"/>
    <x v="0"/>
    <n v="0"/>
    <n v="0"/>
    <n v="15"/>
    <n v="52"/>
    <n v="0"/>
    <n v="241.1"/>
    <n v="307.08"/>
    <m/>
    <n v="353.40259462860246"/>
    <n v="313.20976164142951"/>
    <n v="0"/>
    <n v="2577.1178999999997"/>
    <n v="3282.3781199999999"/>
    <n v="0"/>
    <n v="3777.5203339851319"/>
    <n v="3347.8991421852402"/>
  </r>
  <r>
    <s v="Regular"/>
    <x v="1"/>
    <x v="3"/>
    <x v="7"/>
    <x v="2"/>
    <x v="0"/>
    <x v="0"/>
    <x v="0"/>
    <x v="2"/>
    <n v="0"/>
    <n v="0"/>
    <n v="9.8710000000000004"/>
    <n v="9.8710000000000004"/>
    <n v="9.8710000000000004"/>
    <n v="9.8710000000000004"/>
    <n v="0"/>
    <x v="0"/>
    <n v="0"/>
    <n v="0"/>
    <n v="15"/>
    <n v="52"/>
    <n v="0"/>
    <n v="241.1"/>
    <n v="307.08"/>
    <m/>
    <n v="353.40259462860246"/>
    <n v="313.20976164142951"/>
    <n v="0"/>
    <n v="2379.8980999999999"/>
    <n v="3031.1866799999998"/>
    <n v="0"/>
    <n v="3488.4370115789352"/>
    <n v="3091.6935571625509"/>
  </r>
  <r>
    <s v="Regular"/>
    <x v="1"/>
    <x v="3"/>
    <x v="7"/>
    <x v="2"/>
    <x v="0"/>
    <x v="0"/>
    <x v="0"/>
    <x v="3"/>
    <n v="0"/>
    <n v="0"/>
    <n v="11.031000000000001"/>
    <n v="11.031000000000001"/>
    <n v="11.031000000000001"/>
    <n v="11.031000000000001"/>
    <n v="0"/>
    <x v="0"/>
    <n v="0"/>
    <n v="0"/>
    <n v="15"/>
    <n v="52"/>
    <n v="0"/>
    <n v="241.1"/>
    <n v="307.08"/>
    <m/>
    <n v="353.40259462860246"/>
    <n v="313.20976164142951"/>
    <n v="0"/>
    <n v="2659.5741000000003"/>
    <n v="3387.39948"/>
    <n v="0"/>
    <n v="3898.3840213481139"/>
    <n v="3455.0168806666093"/>
  </r>
  <r>
    <s v="Regular"/>
    <x v="1"/>
    <x v="3"/>
    <x v="7"/>
    <x v="2"/>
    <x v="0"/>
    <x v="0"/>
    <x v="0"/>
    <x v="4"/>
    <n v="0"/>
    <n v="0"/>
    <n v="11.08"/>
    <n v="11.08"/>
    <n v="11.08"/>
    <n v="11.08"/>
    <n v="0"/>
    <x v="0"/>
    <n v="0"/>
    <n v="0"/>
    <n v="15"/>
    <n v="52"/>
    <n v="0"/>
    <n v="241.1"/>
    <n v="307.08"/>
    <m/>
    <n v="353.40259462860246"/>
    <n v="313.20976164142951"/>
    <n v="0"/>
    <n v="2671.3879999999999"/>
    <n v="3402.4463999999998"/>
    <n v="0"/>
    <n v="3915.700748484915"/>
    <n v="3470.364158987039"/>
  </r>
  <r>
    <s v="Regular"/>
    <x v="1"/>
    <x v="3"/>
    <x v="7"/>
    <x v="2"/>
    <x v="0"/>
    <x v="0"/>
    <x v="0"/>
    <x v="5"/>
    <n v="0"/>
    <n v="0"/>
    <n v="13.28"/>
    <n v="13.28"/>
    <n v="13.28"/>
    <n v="13.28"/>
    <n v="0"/>
    <x v="0"/>
    <n v="0"/>
    <n v="0"/>
    <n v="15"/>
    <n v="52"/>
    <n v="0"/>
    <n v="241.1"/>
    <n v="307.08"/>
    <m/>
    <n v="353.40259462860246"/>
    <n v="313.20976164142951"/>
    <n v="0"/>
    <n v="3201.808"/>
    <n v="4078.0223999999994"/>
    <n v="0"/>
    <n v="4693.1864566678405"/>
    <n v="4159.4256345981839"/>
  </r>
  <r>
    <s v="Regular"/>
    <x v="1"/>
    <x v="3"/>
    <x v="7"/>
    <x v="2"/>
    <x v="0"/>
    <x v="0"/>
    <x v="0"/>
    <x v="6"/>
    <n v="0"/>
    <n v="0"/>
    <n v="12.452999999999999"/>
    <n v="12.452999999999999"/>
    <n v="12.452999999999999"/>
    <n v="12.452999999999999"/>
    <n v="0"/>
    <x v="0"/>
    <n v="0"/>
    <n v="0"/>
    <n v="15"/>
    <n v="52"/>
    <n v="0"/>
    <n v="241.1"/>
    <n v="307.08"/>
    <m/>
    <n v="353.40259462860246"/>
    <n v="313.20976164142951"/>
    <n v="0"/>
    <n v="3002.4182999999998"/>
    <n v="3824.0672399999994"/>
    <n v="0"/>
    <n v="4400.9225109099862"/>
    <n v="3900.4011617207216"/>
  </r>
  <r>
    <s v="Regular"/>
    <x v="1"/>
    <x v="3"/>
    <x v="7"/>
    <x v="2"/>
    <x v="0"/>
    <x v="0"/>
    <x v="0"/>
    <x v="7"/>
    <n v="0"/>
    <n v="0"/>
    <n v="12.731999999999999"/>
    <n v="12.731999999999999"/>
    <n v="12.731999999999999"/>
    <n v="12.731999999999999"/>
    <n v="0"/>
    <x v="0"/>
    <n v="0"/>
    <n v="0"/>
    <n v="15"/>
    <n v="52"/>
    <n v="0"/>
    <n v="241.1"/>
    <n v="307.08"/>
    <m/>
    <n v="353.40259462860246"/>
    <n v="313.20976164142951"/>
    <n v="0"/>
    <n v="3069.6851999999999"/>
    <n v="3909.7425599999997"/>
    <n v="0"/>
    <n v="4499.5218348113658"/>
    <n v="3987.7866852186803"/>
  </r>
  <r>
    <s v="Sistema de Compensação"/>
    <x v="1"/>
    <x v="3"/>
    <x v="7"/>
    <x v="2"/>
    <x v="0"/>
    <x v="0"/>
    <x v="0"/>
    <x v="7"/>
    <n v="0"/>
    <n v="0"/>
    <n v="0.14000000000000001"/>
    <n v="0.14000000000000001"/>
    <n v="0.14000000000000001"/>
    <n v="0.14000000000000001"/>
    <n v="0"/>
    <x v="0"/>
    <n v="0"/>
    <n v="0"/>
    <n v="15"/>
    <n v="52"/>
    <n v="0"/>
    <n v="241.1"/>
    <n v="307.08"/>
    <m/>
    <n v="353.40259462860246"/>
    <n v="313.20976164142951"/>
    <n v="0"/>
    <n v="33.754000000000005"/>
    <n v="42.991199999999999"/>
    <n v="0"/>
    <n v="49.476363248004347"/>
    <n v="43.849366629800137"/>
  </r>
  <r>
    <s v="Regular"/>
    <x v="1"/>
    <x v="3"/>
    <x v="7"/>
    <x v="2"/>
    <x v="0"/>
    <x v="0"/>
    <x v="0"/>
    <x v="8"/>
    <n v="0"/>
    <n v="0"/>
    <n v="9.3740000000000006"/>
    <n v="9.3740000000000006"/>
    <n v="9.3740000000000006"/>
    <n v="9.3740000000000006"/>
    <n v="0"/>
    <x v="0"/>
    <n v="0"/>
    <n v="0"/>
    <n v="15"/>
    <n v="52"/>
    <n v="0"/>
    <n v="241.1"/>
    <n v="307.08"/>
    <m/>
    <n v="353.40259462860246"/>
    <n v="313.20976164142951"/>
    <n v="0"/>
    <n v="2260.0714000000003"/>
    <n v="2878.56792"/>
    <n v="0"/>
    <n v="3312.7959220485195"/>
    <n v="2936.0283056267604"/>
  </r>
  <r>
    <s v="Refaturamento - Regular"/>
    <x v="1"/>
    <x v="3"/>
    <x v="7"/>
    <x v="2"/>
    <x v="0"/>
    <x v="0"/>
    <x v="0"/>
    <x v="8"/>
    <n v="0"/>
    <n v="0"/>
    <n v="5.8999999999999997E-2"/>
    <n v="5.8999999999999997E-2"/>
    <n v="5.8999999999999997E-2"/>
    <n v="5.8999999999999997E-2"/>
    <n v="0"/>
    <x v="0"/>
    <n v="0"/>
    <n v="0"/>
    <n v="15"/>
    <n v="52"/>
    <n v="0"/>
    <n v="241.1"/>
    <n v="307.08"/>
    <m/>
    <n v="353.40259462860246"/>
    <n v="313.20976164142951"/>
    <n v="0"/>
    <n v="14.224899999999998"/>
    <n v="18.117719999999998"/>
    <n v="0"/>
    <n v="20.850753083087543"/>
    <n v="18.479375936844342"/>
  </r>
  <r>
    <s v="Regular"/>
    <x v="1"/>
    <x v="3"/>
    <x v="7"/>
    <x v="2"/>
    <x v="0"/>
    <x v="0"/>
    <x v="0"/>
    <x v="9"/>
    <n v="0"/>
    <n v="0"/>
    <n v="6.7210000000000001"/>
    <n v="6.7210000000000001"/>
    <n v="6.7210000000000001"/>
    <n v="6.7210000000000001"/>
    <n v="0"/>
    <x v="0"/>
    <n v="0"/>
    <n v="0"/>
    <n v="15"/>
    <n v="52"/>
    <n v="0"/>
    <n v="241.1"/>
    <n v="307.08"/>
    <m/>
    <n v="353.40259462860246"/>
    <n v="313.20976164142951"/>
    <n v="0"/>
    <n v="1620.4331"/>
    <n v="2063.8846800000001"/>
    <n v="0"/>
    <n v="2375.2188384988372"/>
    <n v="2105.0828079920479"/>
  </r>
  <r>
    <s v="Regular"/>
    <x v="1"/>
    <x v="3"/>
    <x v="7"/>
    <x v="2"/>
    <x v="0"/>
    <x v="0"/>
    <x v="0"/>
    <x v="10"/>
    <n v="0"/>
    <n v="0"/>
    <n v="6.5010000000000003"/>
    <n v="6.5010000000000003"/>
    <n v="6.5010000000000003"/>
    <n v="6.5010000000000003"/>
    <n v="0"/>
    <x v="0"/>
    <n v="0"/>
    <n v="0"/>
    <n v="15"/>
    <n v="52"/>
    <n v="0"/>
    <n v="241.1"/>
    <n v="307.08"/>
    <m/>
    <n v="353.40259462860246"/>
    <n v="313.20976164142951"/>
    <n v="0"/>
    <n v="1567.3911000000001"/>
    <n v="1996.32708"/>
    <n v="0"/>
    <n v="2297.4702676805446"/>
    <n v="2036.1766604309335"/>
  </r>
  <r>
    <s v="Sistema de Compensação"/>
    <x v="1"/>
    <x v="3"/>
    <x v="7"/>
    <x v="2"/>
    <x v="0"/>
    <x v="0"/>
    <x v="0"/>
    <x v="10"/>
    <n v="0"/>
    <n v="0"/>
    <n v="0.159"/>
    <n v="0.159"/>
    <n v="0.159"/>
    <n v="0.159"/>
    <n v="0"/>
    <x v="0"/>
    <n v="0"/>
    <n v="0"/>
    <n v="15"/>
    <n v="52"/>
    <n v="0"/>
    <n v="241.1"/>
    <n v="307.08"/>
    <m/>
    <n v="353.40259462860246"/>
    <n v="313.20976164142951"/>
    <n v="0"/>
    <n v="38.334899999999998"/>
    <n v="48.825719999999997"/>
    <n v="0"/>
    <n v="56.191012545947792"/>
    <n v="49.80035210098729"/>
  </r>
  <r>
    <s v="PROJETADO"/>
    <x v="1"/>
    <x v="3"/>
    <x v="7"/>
    <x v="2"/>
    <x v="0"/>
    <x v="0"/>
    <x v="0"/>
    <x v="11"/>
    <n v="0"/>
    <n v="0"/>
    <n v="6.5010000000000003"/>
    <n v="6.5010000000000003"/>
    <n v="6.5010000000000003"/>
    <n v="6.5010000000000003"/>
    <n v="0"/>
    <x v="0"/>
    <n v="0"/>
    <n v="0"/>
    <n v="15"/>
    <n v="52"/>
    <n v="0"/>
    <n v="241.1"/>
    <n v="307.08"/>
    <m/>
    <n v="353.40259462860246"/>
    <n v="313.20976164142951"/>
    <n v="0"/>
    <n v="1567.3911000000001"/>
    <n v="1996.32708"/>
    <n v="0"/>
    <n v="2297.4702676805446"/>
    <n v="2036.1766604309335"/>
  </r>
  <r>
    <s v="PROJETADO"/>
    <x v="1"/>
    <x v="3"/>
    <x v="7"/>
    <x v="2"/>
    <x v="0"/>
    <x v="0"/>
    <x v="0"/>
    <x v="11"/>
    <n v="0"/>
    <n v="0"/>
    <n v="0.159"/>
    <n v="0.159"/>
    <n v="0.159"/>
    <n v="0.159"/>
    <n v="0"/>
    <x v="0"/>
    <n v="0"/>
    <n v="0"/>
    <n v="15"/>
    <n v="52"/>
    <n v="0"/>
    <n v="241.1"/>
    <n v="307.08"/>
    <m/>
    <n v="353.40259462860246"/>
    <n v="313.20976164142951"/>
    <n v="0"/>
    <n v="38.334899999999998"/>
    <n v="48.825719999999997"/>
    <n v="0"/>
    <n v="56.191012545947792"/>
    <n v="49.80035210098729"/>
  </r>
  <r>
    <s v="Regular"/>
    <x v="1"/>
    <x v="3"/>
    <x v="7"/>
    <x v="2"/>
    <x v="0"/>
    <x v="0"/>
    <x v="3"/>
    <x v="0"/>
    <n v="0"/>
    <n v="0"/>
    <n v="0.56000000000000005"/>
    <n v="0.56000000000000005"/>
    <n v="0.56000000000000005"/>
    <n v="0.56000000000000005"/>
    <n v="0"/>
    <x v="0"/>
    <n v="0"/>
    <n v="0"/>
    <n v="14"/>
    <n v="51"/>
    <n v="0"/>
    <n v="526.41"/>
    <n v="307.08"/>
    <m/>
    <n v="676.88544300554565"/>
    <n v="313.20976164142951"/>
    <n v="0"/>
    <n v="294.78960000000001"/>
    <n v="171.9648"/>
    <n v="0"/>
    <n v="379.05584808310562"/>
    <n v="175.39746651920055"/>
  </r>
  <r>
    <s v="Regular"/>
    <x v="1"/>
    <x v="3"/>
    <x v="7"/>
    <x v="2"/>
    <x v="0"/>
    <x v="0"/>
    <x v="3"/>
    <x v="1"/>
    <n v="0"/>
    <n v="0"/>
    <n v="0.63200000000000001"/>
    <n v="0.63200000000000001"/>
    <n v="0.63200000000000001"/>
    <n v="0.63200000000000001"/>
    <n v="0"/>
    <x v="0"/>
    <n v="0"/>
    <n v="0"/>
    <n v="14"/>
    <n v="51"/>
    <n v="0"/>
    <n v="526.41"/>
    <n v="307.08"/>
    <m/>
    <n v="676.88544300554565"/>
    <n v="313.20976164142951"/>
    <n v="0"/>
    <n v="332.69111999999996"/>
    <n v="194.07455999999999"/>
    <n v="0"/>
    <n v="427.79159997950484"/>
    <n v="197.94856935738346"/>
  </r>
  <r>
    <s v="Regular"/>
    <x v="1"/>
    <x v="3"/>
    <x v="7"/>
    <x v="2"/>
    <x v="0"/>
    <x v="0"/>
    <x v="3"/>
    <x v="2"/>
    <n v="0"/>
    <n v="0"/>
    <n v="0.57899999999999996"/>
    <n v="0.57899999999999996"/>
    <n v="0.57899999999999996"/>
    <n v="0.57899999999999996"/>
    <n v="0"/>
    <x v="0"/>
    <n v="0"/>
    <n v="0"/>
    <n v="14"/>
    <n v="51"/>
    <n v="0"/>
    <n v="526.41"/>
    <n v="307.08"/>
    <m/>
    <n v="676.88544300554565"/>
    <n v="313.20976164142951"/>
    <n v="0"/>
    <n v="304.79138999999998"/>
    <n v="177.79931999999997"/>
    <n v="0"/>
    <n v="391.9166715002109"/>
    <n v="181.34845199038767"/>
  </r>
  <r>
    <s v="Regular"/>
    <x v="1"/>
    <x v="3"/>
    <x v="7"/>
    <x v="2"/>
    <x v="0"/>
    <x v="0"/>
    <x v="3"/>
    <x v="3"/>
    <n v="0"/>
    <n v="0"/>
    <n v="0.73499999999999999"/>
    <n v="0.73499999999999999"/>
    <n v="0.73499999999999999"/>
    <n v="0.73499999999999999"/>
    <n v="0"/>
    <x v="0"/>
    <n v="0"/>
    <n v="0"/>
    <n v="14"/>
    <n v="51"/>
    <n v="0"/>
    <n v="526.41"/>
    <n v="307.08"/>
    <m/>
    <n v="676.88544300554565"/>
    <n v="313.20976164142951"/>
    <n v="0"/>
    <n v="386.91134999999997"/>
    <n v="225.70379999999997"/>
    <n v="0"/>
    <n v="497.51080060907606"/>
    <n v="230.20917480645068"/>
  </r>
  <r>
    <s v="Regular"/>
    <x v="1"/>
    <x v="3"/>
    <x v="7"/>
    <x v="2"/>
    <x v="0"/>
    <x v="0"/>
    <x v="3"/>
    <x v="4"/>
    <n v="0"/>
    <n v="0"/>
    <n v="0.621"/>
    <n v="0.621"/>
    <n v="0.621"/>
    <n v="0.621"/>
    <n v="0"/>
    <x v="0"/>
    <n v="0"/>
    <n v="0"/>
    <n v="14"/>
    <n v="51"/>
    <n v="0"/>
    <n v="526.41"/>
    <n v="307.08"/>
    <m/>
    <n v="676.88544300554565"/>
    <n v="313.20976164142951"/>
    <n v="0"/>
    <n v="326.90060999999997"/>
    <n v="190.69667999999999"/>
    <n v="0"/>
    <n v="420.34586010644387"/>
    <n v="194.50326197932773"/>
  </r>
  <r>
    <s v="Regular"/>
    <x v="1"/>
    <x v="3"/>
    <x v="7"/>
    <x v="2"/>
    <x v="0"/>
    <x v="0"/>
    <x v="3"/>
    <x v="5"/>
    <n v="0"/>
    <n v="0"/>
    <n v="0.72"/>
    <n v="0.72"/>
    <n v="0.72"/>
    <n v="0.72"/>
    <n v="0"/>
    <x v="0"/>
    <n v="0"/>
    <n v="0"/>
    <n v="14"/>
    <n v="51"/>
    <n v="0"/>
    <n v="526.41"/>
    <n v="307.08"/>
    <m/>
    <n v="676.88544300554565"/>
    <n v="313.20976164142951"/>
    <n v="0"/>
    <n v="379.01519999999994"/>
    <n v="221.09759999999997"/>
    <n v="0"/>
    <n v="487.35751896399285"/>
    <n v="225.51102838182925"/>
  </r>
  <r>
    <s v="Regular"/>
    <x v="1"/>
    <x v="3"/>
    <x v="7"/>
    <x v="2"/>
    <x v="0"/>
    <x v="0"/>
    <x v="3"/>
    <x v="6"/>
    <n v="0"/>
    <n v="0"/>
    <n v="0.69599999999999995"/>
    <n v="0.69599999999999995"/>
    <n v="0.69599999999999995"/>
    <n v="0.69599999999999995"/>
    <n v="0"/>
    <x v="0"/>
    <n v="0"/>
    <n v="0"/>
    <n v="14"/>
    <n v="51"/>
    <n v="0"/>
    <n v="526.41"/>
    <n v="307.08"/>
    <m/>
    <n v="676.88544300554565"/>
    <n v="313.20976164142951"/>
    <n v="0"/>
    <n v="366.38135999999997"/>
    <n v="213.72767999999996"/>
    <n v="0"/>
    <n v="471.11226833185975"/>
    <n v="217.99399410243493"/>
  </r>
  <r>
    <s v="Regular"/>
    <x v="1"/>
    <x v="3"/>
    <x v="7"/>
    <x v="2"/>
    <x v="0"/>
    <x v="0"/>
    <x v="3"/>
    <x v="7"/>
    <n v="0"/>
    <n v="0"/>
    <n v="0.69"/>
    <n v="0.69"/>
    <n v="0.69"/>
    <n v="0.69"/>
    <n v="0"/>
    <x v="0"/>
    <n v="0"/>
    <n v="0"/>
    <n v="14"/>
    <n v="51"/>
    <n v="0"/>
    <n v="526.41"/>
    <n v="307.08"/>
    <m/>
    <n v="676.88544300554565"/>
    <n v="313.20976164142951"/>
    <n v="0"/>
    <n v="363.22289999999992"/>
    <n v="211.88519999999997"/>
    <n v="0"/>
    <n v="467.05095567382648"/>
    <n v="216.11473553258634"/>
  </r>
  <r>
    <s v="Sistema de Compensação"/>
    <x v="1"/>
    <x v="3"/>
    <x v="7"/>
    <x v="2"/>
    <x v="0"/>
    <x v="0"/>
    <x v="3"/>
    <x v="7"/>
    <n v="0"/>
    <n v="0"/>
    <n v="3.3000000000000002E-2"/>
    <n v="3.3000000000000002E-2"/>
    <n v="3.3000000000000002E-2"/>
    <n v="3.3000000000000002E-2"/>
    <n v="0"/>
    <x v="0"/>
    <n v="0"/>
    <n v="0"/>
    <n v="14"/>
    <n v="51"/>
    <n v="0"/>
    <n v="526.41"/>
    <n v="307.08"/>
    <m/>
    <n v="676.88544300554565"/>
    <n v="313.20976164142951"/>
    <n v="0"/>
    <n v="17.37153"/>
    <n v="10.13364"/>
    <n v="0"/>
    <n v="22.337219619183006"/>
    <n v="10.335922134167173"/>
  </r>
  <r>
    <s v="Regular"/>
    <x v="1"/>
    <x v="3"/>
    <x v="7"/>
    <x v="2"/>
    <x v="0"/>
    <x v="0"/>
    <x v="3"/>
    <x v="8"/>
    <n v="0"/>
    <n v="0"/>
    <n v="0.55500000000000005"/>
    <n v="0.55500000000000005"/>
    <n v="0.55500000000000005"/>
    <n v="0.55500000000000005"/>
    <n v="0"/>
    <x v="0"/>
    <n v="0"/>
    <n v="0"/>
    <n v="14"/>
    <n v="51"/>
    <n v="0"/>
    <n v="526.41"/>
    <n v="307.08"/>
    <m/>
    <n v="676.88544300554565"/>
    <n v="313.20976164142951"/>
    <n v="0"/>
    <n v="292.15755000000001"/>
    <n v="170.42940000000002"/>
    <n v="0"/>
    <n v="375.67142086807786"/>
    <n v="173.83141771099341"/>
  </r>
  <r>
    <s v="Refaturamento - Regular"/>
    <x v="1"/>
    <x v="3"/>
    <x v="7"/>
    <x v="2"/>
    <x v="0"/>
    <x v="0"/>
    <x v="3"/>
    <x v="8"/>
    <n v="0"/>
    <n v="0"/>
    <n v="7.0000000000000001E-3"/>
    <n v="7.0000000000000001E-3"/>
    <n v="7.0000000000000001E-3"/>
    <n v="7.0000000000000001E-3"/>
    <n v="0"/>
    <x v="0"/>
    <n v="0"/>
    <n v="0"/>
    <n v="14"/>
    <n v="51"/>
    <n v="0"/>
    <n v="526.41"/>
    <n v="307.08"/>
    <m/>
    <n v="676.88544300554565"/>
    <n v="313.20976164142951"/>
    <n v="0"/>
    <n v="3.6848699999999996"/>
    <n v="2.1495600000000001"/>
    <n v="0"/>
    <n v="4.7381981010388197"/>
    <n v="2.1924683314900064"/>
  </r>
  <r>
    <s v="Regular"/>
    <x v="1"/>
    <x v="3"/>
    <x v="7"/>
    <x v="2"/>
    <x v="0"/>
    <x v="0"/>
    <x v="3"/>
    <x v="9"/>
    <n v="0"/>
    <n v="0"/>
    <n v="0.496"/>
    <n v="0.496"/>
    <n v="0.496"/>
    <n v="0.496"/>
    <n v="0"/>
    <x v="0"/>
    <n v="0"/>
    <n v="0"/>
    <n v="14"/>
    <n v="51"/>
    <n v="0"/>
    <n v="526.41"/>
    <n v="307.08"/>
    <m/>
    <n v="676.88544300554565"/>
    <n v="313.20976164142951"/>
    <n v="0"/>
    <n v="261.09935999999999"/>
    <n v="152.31168"/>
    <n v="0"/>
    <n v="335.73517973075064"/>
    <n v="155.35204177414903"/>
  </r>
  <r>
    <s v="Regular"/>
    <x v="1"/>
    <x v="3"/>
    <x v="7"/>
    <x v="2"/>
    <x v="0"/>
    <x v="0"/>
    <x v="3"/>
    <x v="10"/>
    <n v="0"/>
    <n v="0"/>
    <n v="0.502"/>
    <n v="0.502"/>
    <n v="0.502"/>
    <n v="0.502"/>
    <n v="0"/>
    <x v="0"/>
    <n v="0"/>
    <n v="0"/>
    <n v="14"/>
    <n v="51"/>
    <n v="0"/>
    <n v="526.41"/>
    <n v="307.08"/>
    <m/>
    <n v="676.88544300554565"/>
    <n v="313.20976164142951"/>
    <n v="0"/>
    <n v="264.25781999999998"/>
    <n v="154.15415999999999"/>
    <n v="0"/>
    <n v="339.79649238878392"/>
    <n v="157.23130034399762"/>
  </r>
  <r>
    <s v="Sistema de Compensação"/>
    <x v="1"/>
    <x v="3"/>
    <x v="7"/>
    <x v="2"/>
    <x v="0"/>
    <x v="0"/>
    <x v="3"/>
    <x v="10"/>
    <n v="0"/>
    <n v="0"/>
    <n v="8.0000000000000002E-3"/>
    <n v="8.0000000000000002E-3"/>
    <n v="8.0000000000000002E-3"/>
    <n v="8.0000000000000002E-3"/>
    <n v="0"/>
    <x v="0"/>
    <n v="0"/>
    <n v="0"/>
    <n v="14"/>
    <n v="51"/>
    <n v="0"/>
    <n v="526.41"/>
    <n v="307.08"/>
    <m/>
    <n v="676.88544300554565"/>
    <n v="313.20976164142951"/>
    <n v="0"/>
    <n v="4.2112799999999995"/>
    <n v="2.4566399999999997"/>
    <n v="0"/>
    <n v="5.4150835440443652"/>
    <n v="2.505678093131436"/>
  </r>
  <r>
    <s v="PROJETADO"/>
    <x v="1"/>
    <x v="3"/>
    <x v="7"/>
    <x v="2"/>
    <x v="0"/>
    <x v="0"/>
    <x v="3"/>
    <x v="11"/>
    <n v="0"/>
    <n v="0"/>
    <n v="0.502"/>
    <n v="0.502"/>
    <n v="0.502"/>
    <n v="0.502"/>
    <n v="0"/>
    <x v="0"/>
    <n v="0"/>
    <n v="0"/>
    <n v="14"/>
    <n v="51"/>
    <n v="0"/>
    <n v="526.41"/>
    <n v="307.08"/>
    <m/>
    <n v="676.88544300554565"/>
    <n v="313.20976164142951"/>
    <n v="0"/>
    <n v="264.25781999999998"/>
    <n v="154.15415999999999"/>
    <n v="0"/>
    <n v="339.79649238878392"/>
    <n v="157.23130034399762"/>
  </r>
  <r>
    <s v="PROJETADO"/>
    <x v="1"/>
    <x v="3"/>
    <x v="7"/>
    <x v="2"/>
    <x v="0"/>
    <x v="0"/>
    <x v="3"/>
    <x v="11"/>
    <n v="0"/>
    <n v="0"/>
    <n v="8.0000000000000002E-3"/>
    <n v="8.0000000000000002E-3"/>
    <n v="8.0000000000000002E-3"/>
    <n v="8.0000000000000002E-3"/>
    <n v="0"/>
    <x v="0"/>
    <n v="0"/>
    <n v="0"/>
    <n v="14"/>
    <n v="51"/>
    <n v="0"/>
    <n v="526.41"/>
    <n v="307.08"/>
    <m/>
    <n v="676.88544300554565"/>
    <n v="313.20976164142951"/>
    <n v="0"/>
    <n v="4.2112799999999995"/>
    <n v="2.4566399999999997"/>
    <n v="0"/>
    <n v="5.4150835440443652"/>
    <n v="2.505678093131436"/>
  </r>
  <r>
    <s v="Regular"/>
    <x v="1"/>
    <x v="3"/>
    <x v="7"/>
    <x v="2"/>
    <x v="0"/>
    <x v="0"/>
    <x v="2"/>
    <x v="0"/>
    <n v="0"/>
    <n v="0"/>
    <n v="0.1"/>
    <n v="0.1"/>
    <n v="0.1"/>
    <n v="0.1"/>
    <n v="32"/>
    <x v="0"/>
    <n v="0"/>
    <n v="0"/>
    <n v="16"/>
    <n v="53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Sistema de Compensação"/>
    <x v="1"/>
    <x v="3"/>
    <x v="7"/>
    <x v="2"/>
    <x v="0"/>
    <x v="0"/>
    <x v="2"/>
    <x v="0"/>
    <n v="0"/>
    <n v="0"/>
    <n v="0.23"/>
    <n v="0.23"/>
    <n v="0.23"/>
    <n v="0.23"/>
    <n v="3"/>
    <x v="0"/>
    <n v="0"/>
    <n v="0"/>
    <n v="16"/>
    <n v="53"/>
    <n v="0"/>
    <n v="324.88"/>
    <n v="322.54000000000002"/>
    <m/>
    <n v="448.39375036225908"/>
    <n v="328.70388835395738"/>
    <n v="0"/>
    <n v="74.722400000000007"/>
    <n v="74.184200000000004"/>
    <n v="0"/>
    <n v="103.13056258331959"/>
    <n v="75.601894321410199"/>
  </r>
  <r>
    <s v="Regular"/>
    <x v="1"/>
    <x v="3"/>
    <x v="7"/>
    <x v="2"/>
    <x v="0"/>
    <x v="0"/>
    <x v="2"/>
    <x v="1"/>
    <n v="0"/>
    <n v="0"/>
    <n v="0.08"/>
    <n v="0.08"/>
    <n v="0.08"/>
    <n v="0.08"/>
    <n v="33"/>
    <x v="0"/>
    <n v="0"/>
    <n v="0"/>
    <n v="16"/>
    <n v="53"/>
    <n v="0"/>
    <n v="324.88"/>
    <n v="322.54000000000002"/>
    <m/>
    <n v="448.39375036225908"/>
    <n v="328.70388835395738"/>
    <n v="0"/>
    <n v="25.990400000000001"/>
    <n v="25.803200000000004"/>
    <n v="0"/>
    <n v="35.871500028980726"/>
    <n v="26.296311068316591"/>
  </r>
  <r>
    <s v="Sistema de Compensação"/>
    <x v="1"/>
    <x v="3"/>
    <x v="7"/>
    <x v="2"/>
    <x v="0"/>
    <x v="0"/>
    <x v="2"/>
    <x v="1"/>
    <n v="0"/>
    <n v="0"/>
    <n v="0.2"/>
    <n v="0.2"/>
    <n v="0.2"/>
    <n v="0.2"/>
    <n v="2"/>
    <x v="0"/>
    <n v="0"/>
    <n v="0"/>
    <n v="16"/>
    <n v="53"/>
    <n v="0"/>
    <n v="324.88"/>
    <n v="322.54000000000002"/>
    <m/>
    <n v="448.39375036225908"/>
    <n v="328.70388835395738"/>
    <n v="0"/>
    <n v="64.975999999999999"/>
    <n v="64.50800000000001"/>
    <n v="0"/>
    <n v="89.67875007245182"/>
    <n v="65.740777670791473"/>
  </r>
  <r>
    <s v="Regular"/>
    <x v="1"/>
    <x v="3"/>
    <x v="7"/>
    <x v="2"/>
    <x v="0"/>
    <x v="0"/>
    <x v="2"/>
    <x v="2"/>
    <n v="0"/>
    <n v="0"/>
    <n v="0.13"/>
    <n v="0.13"/>
    <n v="0.13"/>
    <n v="0.13"/>
    <n v="33"/>
    <x v="0"/>
    <n v="0"/>
    <n v="0"/>
    <n v="16"/>
    <n v="53"/>
    <n v="0"/>
    <n v="324.88"/>
    <n v="322.54000000000002"/>
    <m/>
    <n v="448.39375036225908"/>
    <n v="328.70388835395738"/>
    <n v="0"/>
    <n v="42.234400000000001"/>
    <n v="41.930200000000006"/>
    <n v="0"/>
    <n v="58.291187547093685"/>
    <n v="42.731505486014463"/>
  </r>
  <r>
    <s v="Sistema de Compensação"/>
    <x v="1"/>
    <x v="3"/>
    <x v="7"/>
    <x v="2"/>
    <x v="0"/>
    <x v="0"/>
    <x v="2"/>
    <x v="2"/>
    <n v="0"/>
    <n v="0"/>
    <n v="0.2"/>
    <n v="0.2"/>
    <n v="0.2"/>
    <n v="0.2"/>
    <n v="2"/>
    <x v="0"/>
    <n v="0"/>
    <n v="0"/>
    <n v="16"/>
    <n v="53"/>
    <n v="0"/>
    <n v="324.88"/>
    <n v="322.54000000000002"/>
    <m/>
    <n v="448.39375036225908"/>
    <n v="328.70388835395738"/>
    <n v="0"/>
    <n v="64.975999999999999"/>
    <n v="64.50800000000001"/>
    <n v="0"/>
    <n v="89.67875007245182"/>
    <n v="65.740777670791473"/>
  </r>
  <r>
    <s v="Regular"/>
    <x v="1"/>
    <x v="3"/>
    <x v="7"/>
    <x v="2"/>
    <x v="0"/>
    <x v="0"/>
    <x v="2"/>
    <x v="3"/>
    <n v="0"/>
    <n v="0"/>
    <n v="0.05"/>
    <n v="0.05"/>
    <n v="0.05"/>
    <n v="0.05"/>
    <n v="32"/>
    <x v="0"/>
    <n v="0"/>
    <n v="0"/>
    <n v="16"/>
    <n v="53"/>
    <n v="0"/>
    <n v="324.88"/>
    <n v="322.54000000000002"/>
    <m/>
    <n v="448.39375036225908"/>
    <n v="328.70388835395738"/>
    <n v="0"/>
    <n v="16.244"/>
    <n v="16.127000000000002"/>
    <n v="0"/>
    <n v="22.419687518112955"/>
    <n v="16.435194417697868"/>
  </r>
  <r>
    <s v="Sistema de Compensação"/>
    <x v="1"/>
    <x v="3"/>
    <x v="7"/>
    <x v="2"/>
    <x v="0"/>
    <x v="0"/>
    <x v="2"/>
    <x v="3"/>
    <n v="0"/>
    <n v="0"/>
    <n v="0.2"/>
    <n v="0.2"/>
    <n v="0.2"/>
    <n v="0.2"/>
    <n v="2"/>
    <x v="0"/>
    <n v="0"/>
    <n v="0"/>
    <n v="16"/>
    <n v="53"/>
    <n v="0"/>
    <n v="324.88"/>
    <n v="322.54000000000002"/>
    <m/>
    <n v="448.39375036225908"/>
    <n v="328.70388835395738"/>
    <n v="0"/>
    <n v="64.975999999999999"/>
    <n v="64.50800000000001"/>
    <n v="0"/>
    <n v="89.67875007245182"/>
    <n v="65.740777670791473"/>
  </r>
  <r>
    <s v="Regular"/>
    <x v="1"/>
    <x v="3"/>
    <x v="7"/>
    <x v="2"/>
    <x v="0"/>
    <x v="0"/>
    <x v="2"/>
    <x v="4"/>
    <n v="0"/>
    <n v="0"/>
    <n v="0.05"/>
    <n v="0.05"/>
    <n v="0.05"/>
    <n v="0.05"/>
    <n v="32"/>
    <x v="0"/>
    <n v="0"/>
    <n v="0"/>
    <n v="16"/>
    <n v="53"/>
    <n v="0"/>
    <n v="324.88"/>
    <n v="322.54000000000002"/>
    <m/>
    <n v="448.39375036225908"/>
    <n v="328.70388835395738"/>
    <n v="0"/>
    <n v="16.244"/>
    <n v="16.127000000000002"/>
    <n v="0"/>
    <n v="22.419687518112955"/>
    <n v="16.435194417697868"/>
  </r>
  <r>
    <s v="Sistema de Compensação"/>
    <x v="1"/>
    <x v="3"/>
    <x v="7"/>
    <x v="2"/>
    <x v="0"/>
    <x v="0"/>
    <x v="2"/>
    <x v="4"/>
    <n v="0"/>
    <n v="0"/>
    <n v="0.2"/>
    <n v="0.2"/>
    <n v="0.2"/>
    <n v="0.2"/>
    <n v="2"/>
    <x v="0"/>
    <n v="0"/>
    <n v="0"/>
    <n v="16"/>
    <n v="53"/>
    <n v="0"/>
    <n v="324.88"/>
    <n v="322.54000000000002"/>
    <m/>
    <n v="448.39375036225908"/>
    <n v="328.70388835395738"/>
    <n v="0"/>
    <n v="64.975999999999999"/>
    <n v="64.50800000000001"/>
    <n v="0"/>
    <n v="89.67875007245182"/>
    <n v="65.740777670791473"/>
  </r>
  <r>
    <s v="Regular"/>
    <x v="1"/>
    <x v="3"/>
    <x v="7"/>
    <x v="2"/>
    <x v="0"/>
    <x v="0"/>
    <x v="2"/>
    <x v="5"/>
    <n v="0"/>
    <n v="0"/>
    <n v="0.05"/>
    <n v="0.05"/>
    <n v="0.05"/>
    <n v="0.05"/>
    <n v="32"/>
    <x v="0"/>
    <n v="0"/>
    <n v="0"/>
    <n v="16"/>
    <n v="53"/>
    <n v="0"/>
    <n v="324.88"/>
    <n v="322.54000000000002"/>
    <m/>
    <n v="448.39375036225908"/>
    <n v="328.70388835395738"/>
    <n v="0"/>
    <n v="16.244"/>
    <n v="16.127000000000002"/>
    <n v="0"/>
    <n v="22.419687518112955"/>
    <n v="16.435194417697868"/>
  </r>
  <r>
    <s v="Sistema de Compensação"/>
    <x v="1"/>
    <x v="3"/>
    <x v="7"/>
    <x v="2"/>
    <x v="0"/>
    <x v="0"/>
    <x v="2"/>
    <x v="5"/>
    <n v="0"/>
    <n v="0"/>
    <n v="0.2"/>
    <n v="0.2"/>
    <n v="0.2"/>
    <n v="0.2"/>
    <n v="2"/>
    <x v="0"/>
    <n v="0"/>
    <n v="0"/>
    <n v="16"/>
    <n v="53"/>
    <n v="0"/>
    <n v="324.88"/>
    <n v="322.54000000000002"/>
    <m/>
    <n v="448.39375036225908"/>
    <n v="328.70388835395738"/>
    <n v="0"/>
    <n v="64.975999999999999"/>
    <n v="64.50800000000001"/>
    <n v="0"/>
    <n v="89.67875007245182"/>
    <n v="65.740777670791473"/>
  </r>
  <r>
    <s v="Regular"/>
    <x v="1"/>
    <x v="3"/>
    <x v="7"/>
    <x v="2"/>
    <x v="0"/>
    <x v="0"/>
    <x v="2"/>
    <x v="6"/>
    <n v="0"/>
    <n v="0"/>
    <n v="0.05"/>
    <n v="0.05"/>
    <n v="0.05"/>
    <n v="0.05"/>
    <n v="32"/>
    <x v="0"/>
    <n v="0"/>
    <n v="0"/>
    <n v="16"/>
    <n v="53"/>
    <n v="0"/>
    <n v="324.88"/>
    <n v="322.54000000000002"/>
    <m/>
    <n v="448.39375036225908"/>
    <n v="328.70388835395738"/>
    <n v="0"/>
    <n v="16.244"/>
    <n v="16.127000000000002"/>
    <n v="0"/>
    <n v="22.419687518112955"/>
    <n v="16.435194417697868"/>
  </r>
  <r>
    <s v="Sistema de Compensação"/>
    <x v="1"/>
    <x v="3"/>
    <x v="7"/>
    <x v="2"/>
    <x v="0"/>
    <x v="0"/>
    <x v="2"/>
    <x v="6"/>
    <n v="0"/>
    <n v="0"/>
    <n v="0.2"/>
    <n v="0.2"/>
    <n v="0.2"/>
    <n v="0.2"/>
    <n v="2"/>
    <x v="0"/>
    <n v="0"/>
    <n v="0"/>
    <n v="16"/>
    <n v="53"/>
    <n v="0"/>
    <n v="324.88"/>
    <n v="322.54000000000002"/>
    <m/>
    <n v="448.39375036225908"/>
    <n v="328.70388835395738"/>
    <n v="0"/>
    <n v="64.975999999999999"/>
    <n v="64.50800000000001"/>
    <n v="0"/>
    <n v="89.67875007245182"/>
    <n v="65.740777670791473"/>
  </r>
  <r>
    <s v="Regular"/>
    <x v="1"/>
    <x v="3"/>
    <x v="7"/>
    <x v="2"/>
    <x v="0"/>
    <x v="0"/>
    <x v="2"/>
    <x v="7"/>
    <n v="0"/>
    <n v="0"/>
    <n v="0.05"/>
    <n v="0.05"/>
    <n v="0.05"/>
    <n v="0.05"/>
    <n v="31"/>
    <x v="0"/>
    <n v="0"/>
    <n v="0"/>
    <n v="16"/>
    <n v="53"/>
    <n v="0"/>
    <n v="324.88"/>
    <n v="322.54000000000002"/>
    <m/>
    <n v="448.39375036225908"/>
    <n v="328.70388835395738"/>
    <n v="0"/>
    <n v="16.244"/>
    <n v="16.127000000000002"/>
    <n v="0"/>
    <n v="22.419687518112955"/>
    <n v="16.435194417697868"/>
  </r>
  <r>
    <s v="Sistema de Compensação"/>
    <x v="1"/>
    <x v="3"/>
    <x v="7"/>
    <x v="2"/>
    <x v="0"/>
    <x v="0"/>
    <x v="2"/>
    <x v="7"/>
    <n v="0"/>
    <n v="0"/>
    <n v="0.2"/>
    <n v="0.2"/>
    <n v="0.2"/>
    <n v="0.2"/>
    <n v="3"/>
    <x v="0"/>
    <n v="0"/>
    <n v="0"/>
    <n v="16"/>
    <n v="53"/>
    <n v="0"/>
    <n v="324.88"/>
    <n v="322.54000000000002"/>
    <m/>
    <n v="448.39375036225908"/>
    <n v="328.70388835395738"/>
    <n v="0"/>
    <n v="64.975999999999999"/>
    <n v="64.50800000000001"/>
    <n v="0"/>
    <n v="89.67875007245182"/>
    <n v="65.740777670791473"/>
  </r>
  <r>
    <s v="Regular"/>
    <x v="1"/>
    <x v="3"/>
    <x v="7"/>
    <x v="2"/>
    <x v="0"/>
    <x v="0"/>
    <x v="2"/>
    <x v="8"/>
    <n v="0"/>
    <n v="0"/>
    <n v="0.05"/>
    <n v="0.05"/>
    <n v="0.05"/>
    <n v="0.05"/>
    <n v="29"/>
    <x v="0"/>
    <n v="0"/>
    <n v="0"/>
    <n v="16"/>
    <n v="53"/>
    <n v="0"/>
    <n v="324.88"/>
    <n v="322.54000000000002"/>
    <m/>
    <n v="448.39375036225908"/>
    <n v="328.70388835395738"/>
    <n v="0"/>
    <n v="16.244"/>
    <n v="16.127000000000002"/>
    <n v="0"/>
    <n v="22.419687518112955"/>
    <n v="16.435194417697868"/>
  </r>
  <r>
    <s v="Sistema de Compensação"/>
    <x v="1"/>
    <x v="3"/>
    <x v="7"/>
    <x v="2"/>
    <x v="0"/>
    <x v="0"/>
    <x v="2"/>
    <x v="8"/>
    <n v="0"/>
    <n v="0"/>
    <n v="0.3"/>
    <n v="0.3"/>
    <n v="0.3"/>
    <n v="0.3"/>
    <n v="3"/>
    <x v="0"/>
    <n v="0"/>
    <n v="0"/>
    <n v="16"/>
    <n v="53"/>
    <n v="0"/>
    <n v="324.88"/>
    <n v="322.54000000000002"/>
    <m/>
    <n v="448.39375036225908"/>
    <n v="328.70388835395738"/>
    <n v="0"/>
    <n v="97.463999999999999"/>
    <n v="96.762"/>
    <n v="0"/>
    <n v="134.51812510867771"/>
    <n v="98.611166506187217"/>
  </r>
  <r>
    <s v="Regular"/>
    <x v="1"/>
    <x v="3"/>
    <x v="7"/>
    <x v="2"/>
    <x v="0"/>
    <x v="0"/>
    <x v="2"/>
    <x v="9"/>
    <n v="0"/>
    <n v="0"/>
    <n v="0.05"/>
    <n v="0.05"/>
    <n v="0.05"/>
    <n v="0.05"/>
    <n v="28"/>
    <x v="0"/>
    <n v="0"/>
    <n v="0"/>
    <n v="16"/>
    <n v="53"/>
    <n v="0"/>
    <n v="324.88"/>
    <n v="322.54000000000002"/>
    <m/>
    <n v="448.39375036225908"/>
    <n v="328.70388835395738"/>
    <n v="0"/>
    <n v="16.244"/>
    <n v="16.127000000000002"/>
    <n v="0"/>
    <n v="22.419687518112955"/>
    <n v="16.435194417697868"/>
  </r>
  <r>
    <s v="Sistema de Compensação"/>
    <x v="1"/>
    <x v="3"/>
    <x v="7"/>
    <x v="2"/>
    <x v="0"/>
    <x v="0"/>
    <x v="2"/>
    <x v="9"/>
    <n v="0"/>
    <n v="0"/>
    <n v="0.4"/>
    <n v="0.4"/>
    <n v="0.4"/>
    <n v="0.4"/>
    <n v="4"/>
    <x v="0"/>
    <n v="0"/>
    <n v="0"/>
    <n v="16"/>
    <n v="53"/>
    <n v="0"/>
    <n v="324.88"/>
    <n v="322.54000000000002"/>
    <m/>
    <n v="448.39375036225908"/>
    <n v="328.70388835395738"/>
    <n v="0"/>
    <n v="129.952"/>
    <n v="129.01600000000002"/>
    <n v="0"/>
    <n v="179.35750014490364"/>
    <n v="131.48155534158295"/>
  </r>
  <r>
    <s v="Regular"/>
    <x v="1"/>
    <x v="3"/>
    <x v="7"/>
    <x v="2"/>
    <x v="0"/>
    <x v="0"/>
    <x v="2"/>
    <x v="10"/>
    <n v="0"/>
    <n v="0"/>
    <n v="0.1"/>
    <n v="0.1"/>
    <n v="0.1"/>
    <n v="0.1"/>
    <n v="28"/>
    <x v="0"/>
    <n v="0"/>
    <n v="0"/>
    <n v="16"/>
    <n v="53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Sistema de Compensação"/>
    <x v="1"/>
    <x v="3"/>
    <x v="7"/>
    <x v="2"/>
    <x v="0"/>
    <x v="0"/>
    <x v="2"/>
    <x v="10"/>
    <n v="0"/>
    <n v="0"/>
    <n v="0.3"/>
    <n v="0.3"/>
    <n v="0.3"/>
    <n v="0.3"/>
    <n v="4"/>
    <x v="0"/>
    <n v="0"/>
    <n v="0"/>
    <n v="16"/>
    <n v="53"/>
    <n v="0"/>
    <n v="324.88"/>
    <n v="322.54000000000002"/>
    <m/>
    <n v="448.39375036225908"/>
    <n v="328.70388835395738"/>
    <n v="0"/>
    <n v="97.463999999999999"/>
    <n v="96.762"/>
    <n v="0"/>
    <n v="134.51812510867771"/>
    <n v="98.611166506187217"/>
  </r>
  <r>
    <s v="PROJETADO"/>
    <x v="1"/>
    <x v="3"/>
    <x v="7"/>
    <x v="2"/>
    <x v="0"/>
    <x v="0"/>
    <x v="2"/>
    <x v="11"/>
    <n v="0"/>
    <n v="0"/>
    <n v="0.1"/>
    <n v="0.1"/>
    <n v="0.1"/>
    <n v="0.1"/>
    <n v="28"/>
    <x v="0"/>
    <n v="0"/>
    <n v="0"/>
    <n v="16"/>
    <n v="53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PROJETADO"/>
    <x v="1"/>
    <x v="3"/>
    <x v="7"/>
    <x v="2"/>
    <x v="0"/>
    <x v="0"/>
    <x v="2"/>
    <x v="11"/>
    <n v="0"/>
    <n v="0"/>
    <n v="0.3"/>
    <n v="0.3"/>
    <n v="0.3"/>
    <n v="0.3"/>
    <n v="4"/>
    <x v="0"/>
    <n v="0"/>
    <n v="0"/>
    <n v="16"/>
    <n v="53"/>
    <n v="0"/>
    <n v="324.88"/>
    <n v="322.54000000000002"/>
    <m/>
    <n v="448.39375036225908"/>
    <n v="328.70388835395738"/>
    <n v="0"/>
    <n v="97.463999999999999"/>
    <n v="96.762"/>
    <n v="0"/>
    <n v="134.51812510867771"/>
    <n v="98.611166506187217"/>
  </r>
  <r>
    <s v="Regular"/>
    <x v="1"/>
    <x v="3"/>
    <x v="7"/>
    <x v="2"/>
    <x v="0"/>
    <x v="0"/>
    <x v="1"/>
    <x v="0"/>
    <n v="0"/>
    <n v="0"/>
    <n v="1.484"/>
    <n v="1.484"/>
    <n v="1.484"/>
    <n v="1.484"/>
    <n v="0"/>
    <x v="0"/>
    <n v="0"/>
    <n v="0"/>
    <n v="13"/>
    <n v="50"/>
    <n v="0"/>
    <n v="811.72"/>
    <n v="492.64"/>
    <m/>
    <n v="1000.3687874773418"/>
    <n v="499.13928219176387"/>
    <n v="0"/>
    <n v="1204.59248"/>
    <n v="731.07776000000001"/>
    <n v="0"/>
    <n v="1484.5472806163752"/>
    <n v="740.7226947725776"/>
  </r>
  <r>
    <s v="Regular"/>
    <x v="1"/>
    <x v="3"/>
    <x v="7"/>
    <x v="2"/>
    <x v="0"/>
    <x v="0"/>
    <x v="1"/>
    <x v="1"/>
    <n v="0"/>
    <n v="0"/>
    <n v="1.653"/>
    <n v="1.653"/>
    <n v="1.653"/>
    <n v="1.653"/>
    <n v="0"/>
    <x v="0"/>
    <n v="0"/>
    <n v="0"/>
    <n v="13"/>
    <n v="50"/>
    <n v="0"/>
    <n v="811.72"/>
    <n v="492.64"/>
    <m/>
    <n v="1000.3687874773418"/>
    <n v="499.13928219176387"/>
    <n v="0"/>
    <n v="1341.77316"/>
    <n v="814.33392000000003"/>
    <n v="0"/>
    <n v="1653.6096057000461"/>
    <n v="825.07723346298565"/>
  </r>
  <r>
    <s v="Regular"/>
    <x v="1"/>
    <x v="3"/>
    <x v="7"/>
    <x v="2"/>
    <x v="0"/>
    <x v="0"/>
    <x v="1"/>
    <x v="2"/>
    <n v="0"/>
    <n v="0"/>
    <n v="1.482"/>
    <n v="1.482"/>
    <n v="1.482"/>
    <n v="1.482"/>
    <n v="0"/>
    <x v="0"/>
    <n v="0"/>
    <n v="0"/>
    <n v="13"/>
    <n v="50"/>
    <n v="0"/>
    <n v="811.72"/>
    <n v="492.64"/>
    <m/>
    <n v="1000.3687874773418"/>
    <n v="499.13928219176387"/>
    <n v="0"/>
    <n v="1202.9690399999999"/>
    <n v="730.09248000000002"/>
    <n v="0"/>
    <n v="1482.5465430414206"/>
    <n v="739.72441620819404"/>
  </r>
  <r>
    <s v="Regular"/>
    <x v="1"/>
    <x v="3"/>
    <x v="7"/>
    <x v="2"/>
    <x v="0"/>
    <x v="0"/>
    <x v="1"/>
    <x v="3"/>
    <n v="0"/>
    <n v="0"/>
    <n v="1.6040000000000001"/>
    <n v="1.6040000000000001"/>
    <n v="1.6040000000000001"/>
    <n v="1.6040000000000001"/>
    <n v="0"/>
    <x v="0"/>
    <n v="0"/>
    <n v="0"/>
    <n v="13"/>
    <n v="50"/>
    <n v="0"/>
    <n v="811.72"/>
    <n v="492.64"/>
    <m/>
    <n v="1000.3687874773418"/>
    <n v="499.13928219176387"/>
    <n v="0"/>
    <n v="1301.9988800000001"/>
    <n v="790.19456000000002"/>
    <n v="0"/>
    <n v="1604.5915351136564"/>
    <n v="800.61940863558925"/>
  </r>
  <r>
    <s v="Regular"/>
    <x v="1"/>
    <x v="3"/>
    <x v="7"/>
    <x v="2"/>
    <x v="0"/>
    <x v="0"/>
    <x v="1"/>
    <x v="4"/>
    <n v="0"/>
    <n v="0"/>
    <n v="1.5620000000000001"/>
    <n v="1.5620000000000001"/>
    <n v="1.5620000000000001"/>
    <n v="1.5620000000000001"/>
    <n v="0"/>
    <x v="0"/>
    <n v="0"/>
    <n v="0"/>
    <n v="13"/>
    <n v="50"/>
    <n v="0"/>
    <n v="811.72"/>
    <n v="492.64"/>
    <m/>
    <n v="1000.3687874773418"/>
    <n v="499.13928219176387"/>
    <n v="0"/>
    <n v="1267.9066400000002"/>
    <n v="769.50368000000003"/>
    <n v="0"/>
    <n v="1562.5760460396079"/>
    <n v="779.65555878353518"/>
  </r>
  <r>
    <s v="Regular"/>
    <x v="1"/>
    <x v="3"/>
    <x v="7"/>
    <x v="2"/>
    <x v="0"/>
    <x v="0"/>
    <x v="1"/>
    <x v="5"/>
    <n v="0"/>
    <n v="0"/>
    <n v="1.6719999999999999"/>
    <n v="1.6719999999999999"/>
    <n v="1.6719999999999999"/>
    <n v="1.6719999999999999"/>
    <n v="0"/>
    <x v="0"/>
    <n v="0"/>
    <n v="0"/>
    <n v="13"/>
    <n v="50"/>
    <n v="0"/>
    <n v="811.72"/>
    <n v="492.64"/>
    <m/>
    <n v="1000.3687874773418"/>
    <n v="499.13928219176387"/>
    <n v="0"/>
    <n v="1357.1958400000001"/>
    <n v="823.69407999999999"/>
    <n v="0"/>
    <n v="1672.6166126621154"/>
    <n v="834.56087982462918"/>
  </r>
  <r>
    <s v="Regular"/>
    <x v="1"/>
    <x v="3"/>
    <x v="7"/>
    <x v="2"/>
    <x v="0"/>
    <x v="0"/>
    <x v="1"/>
    <x v="6"/>
    <n v="0"/>
    <n v="0"/>
    <n v="1.627"/>
    <n v="1.627"/>
    <n v="1.627"/>
    <n v="1.627"/>
    <n v="0"/>
    <x v="0"/>
    <n v="0"/>
    <n v="0"/>
    <n v="13"/>
    <n v="50"/>
    <n v="0"/>
    <n v="811.72"/>
    <n v="492.64"/>
    <m/>
    <n v="1000.3687874773418"/>
    <n v="499.13928219176387"/>
    <n v="0"/>
    <n v="1320.6684400000001"/>
    <n v="801.52527999999995"/>
    <n v="0"/>
    <n v="1627.6000172256352"/>
    <n v="812.09961212599978"/>
  </r>
  <r>
    <s v="Regular"/>
    <x v="1"/>
    <x v="3"/>
    <x v="7"/>
    <x v="2"/>
    <x v="0"/>
    <x v="0"/>
    <x v="1"/>
    <x v="7"/>
    <n v="0"/>
    <n v="0"/>
    <n v="1.679"/>
    <n v="1.679"/>
    <n v="1.679"/>
    <n v="1.679"/>
    <n v="0"/>
    <x v="0"/>
    <n v="0"/>
    <n v="0"/>
    <n v="13"/>
    <n v="50"/>
    <n v="0"/>
    <n v="811.72"/>
    <n v="492.64"/>
    <m/>
    <n v="1000.3687874773418"/>
    <n v="499.13928219176387"/>
    <n v="0"/>
    <n v="1362.87788"/>
    <n v="827.14256"/>
    <n v="0"/>
    <n v="1679.6191941744569"/>
    <n v="838.05485479997151"/>
  </r>
  <r>
    <s v="Sistema de Compensação"/>
    <x v="1"/>
    <x v="3"/>
    <x v="7"/>
    <x v="2"/>
    <x v="0"/>
    <x v="0"/>
    <x v="1"/>
    <x v="7"/>
    <n v="0"/>
    <n v="0"/>
    <n v="4.1000000000000002E-2"/>
    <n v="4.1000000000000002E-2"/>
    <n v="4.1000000000000002E-2"/>
    <n v="4.1000000000000002E-2"/>
    <n v="0"/>
    <x v="0"/>
    <n v="0"/>
    <n v="0"/>
    <n v="13"/>
    <n v="50"/>
    <n v="0"/>
    <n v="811.72"/>
    <n v="492.64"/>
    <m/>
    <n v="1000.3687874773418"/>
    <n v="499.13928219176387"/>
    <n v="0"/>
    <n v="33.280520000000003"/>
    <n v="20.198240000000002"/>
    <n v="0"/>
    <n v="41.015120286571019"/>
    <n v="20.464710569862319"/>
  </r>
  <r>
    <s v="Regular"/>
    <x v="1"/>
    <x v="3"/>
    <x v="7"/>
    <x v="2"/>
    <x v="0"/>
    <x v="0"/>
    <x v="1"/>
    <x v="8"/>
    <n v="0"/>
    <n v="0"/>
    <n v="1.272"/>
    <n v="1.272"/>
    <n v="1.272"/>
    <n v="1.272"/>
    <n v="0"/>
    <x v="0"/>
    <n v="0"/>
    <n v="0"/>
    <n v="13"/>
    <n v="50"/>
    <n v="0"/>
    <n v="811.72"/>
    <n v="492.64"/>
    <m/>
    <n v="1000.3687874773418"/>
    <n v="499.13928219176387"/>
    <n v="0"/>
    <n v="1032.50784"/>
    <n v="626.63807999999995"/>
    <n v="0"/>
    <n v="1272.4690976711788"/>
    <n v="634.9051669479237"/>
  </r>
  <r>
    <s v="Refaturamento - Regular"/>
    <x v="1"/>
    <x v="3"/>
    <x v="7"/>
    <x v="2"/>
    <x v="0"/>
    <x v="0"/>
    <x v="1"/>
    <x v="8"/>
    <n v="0"/>
    <n v="0"/>
    <n v="8.9999999999999993E-3"/>
    <n v="8.9999999999999993E-3"/>
    <n v="8.9999999999999993E-3"/>
    <n v="8.9999999999999993E-3"/>
    <n v="0"/>
    <x v="0"/>
    <n v="0"/>
    <n v="0"/>
    <n v="13"/>
    <n v="50"/>
    <n v="0"/>
    <n v="811.72"/>
    <n v="492.64"/>
    <m/>
    <n v="1000.3687874773418"/>
    <n v="499.13928219176387"/>
    <n v="0"/>
    <n v="7.3054799999999993"/>
    <n v="4.4337599999999995"/>
    <n v="0"/>
    <n v="9.0033190872960756"/>
    <n v="4.4922535397258745"/>
  </r>
  <r>
    <s v="Regular"/>
    <x v="1"/>
    <x v="3"/>
    <x v="7"/>
    <x v="2"/>
    <x v="0"/>
    <x v="0"/>
    <x v="1"/>
    <x v="9"/>
    <n v="0"/>
    <n v="0"/>
    <n v="1.111"/>
    <n v="1.111"/>
    <n v="1.111"/>
    <n v="1.111"/>
    <n v="0"/>
    <x v="0"/>
    <n v="0"/>
    <n v="0"/>
    <n v="13"/>
    <n v="50"/>
    <n v="0"/>
    <n v="811.72"/>
    <n v="492.64"/>
    <m/>
    <n v="1000.3687874773418"/>
    <n v="499.13928219176387"/>
    <n v="0"/>
    <n v="901.82092"/>
    <n v="547.32303999999999"/>
    <n v="0"/>
    <n v="1111.4097228873268"/>
    <n v="554.54374251504964"/>
  </r>
  <r>
    <s v="Regular"/>
    <x v="1"/>
    <x v="3"/>
    <x v="7"/>
    <x v="2"/>
    <x v="0"/>
    <x v="0"/>
    <x v="1"/>
    <x v="10"/>
    <n v="0"/>
    <n v="0"/>
    <n v="1.1599999999999999"/>
    <n v="1.1599999999999999"/>
    <n v="1.1599999999999999"/>
    <n v="1.1599999999999999"/>
    <n v="0"/>
    <x v="0"/>
    <n v="0"/>
    <n v="0"/>
    <n v="13"/>
    <n v="50"/>
    <n v="0"/>
    <n v="811.72"/>
    <n v="492.64"/>
    <m/>
    <n v="1000.3687874773418"/>
    <n v="499.13928219176387"/>
    <n v="0"/>
    <n v="941.59519999999998"/>
    <n v="571.46239999999989"/>
    <n v="0"/>
    <n v="1160.4277934737165"/>
    <n v="579.00156734244604"/>
  </r>
  <r>
    <s v="Sistema de Compensação"/>
    <x v="1"/>
    <x v="3"/>
    <x v="7"/>
    <x v="2"/>
    <x v="0"/>
    <x v="0"/>
    <x v="1"/>
    <x v="10"/>
    <n v="0"/>
    <n v="0"/>
    <n v="4.5999999999999999E-2"/>
    <n v="4.5999999999999999E-2"/>
    <n v="4.5999999999999999E-2"/>
    <n v="4.5999999999999999E-2"/>
    <n v="0"/>
    <x v="0"/>
    <n v="0"/>
    <n v="0"/>
    <n v="13"/>
    <n v="50"/>
    <n v="0"/>
    <n v="811.72"/>
    <n v="492.64"/>
    <m/>
    <n v="1000.3687874773418"/>
    <n v="499.13928219176387"/>
    <n v="0"/>
    <n v="37.339120000000001"/>
    <n v="22.661439999999999"/>
    <n v="0"/>
    <n v="46.016964223957721"/>
    <n v="22.960406980821137"/>
  </r>
  <r>
    <s v="PROJETADO"/>
    <x v="1"/>
    <x v="3"/>
    <x v="7"/>
    <x v="2"/>
    <x v="0"/>
    <x v="0"/>
    <x v="1"/>
    <x v="11"/>
    <n v="0"/>
    <n v="0"/>
    <n v="1.1599999999999999"/>
    <n v="1.1599999999999999"/>
    <n v="1.1599999999999999"/>
    <n v="1.1599999999999999"/>
    <n v="0"/>
    <x v="0"/>
    <n v="0"/>
    <n v="0"/>
    <n v="13"/>
    <n v="50"/>
    <n v="0"/>
    <n v="811.72"/>
    <n v="492.64"/>
    <m/>
    <n v="1000.3687874773418"/>
    <n v="499.13928219176387"/>
    <n v="0"/>
    <n v="941.59519999999998"/>
    <n v="571.46239999999989"/>
    <n v="0"/>
    <n v="1160.4277934737165"/>
    <n v="579.00156734244604"/>
  </r>
  <r>
    <s v="PROJETADO"/>
    <x v="1"/>
    <x v="3"/>
    <x v="7"/>
    <x v="2"/>
    <x v="0"/>
    <x v="0"/>
    <x v="1"/>
    <x v="11"/>
    <n v="0"/>
    <n v="0"/>
    <n v="4.5999999999999999E-2"/>
    <n v="4.5999999999999999E-2"/>
    <n v="4.5999999999999999E-2"/>
    <n v="4.5999999999999999E-2"/>
    <n v="0"/>
    <x v="0"/>
    <n v="0"/>
    <n v="0"/>
    <n v="13"/>
    <n v="50"/>
    <n v="0"/>
    <n v="811.72"/>
    <n v="492.64"/>
    <m/>
    <n v="1000.3687874773418"/>
    <n v="499.13928219176387"/>
    <n v="0"/>
    <n v="37.339120000000001"/>
    <n v="22.661439999999999"/>
    <n v="0"/>
    <n v="46.016964223957721"/>
    <n v="22.960406980821137"/>
  </r>
  <r>
    <s v="Regular"/>
    <x v="1"/>
    <x v="4"/>
    <x v="7"/>
    <x v="2"/>
    <x v="0"/>
    <x v="0"/>
    <x v="2"/>
    <x v="0"/>
    <n v="0"/>
    <n v="0"/>
    <n v="10121.222"/>
    <n v="10121.222"/>
    <n v="10121.222"/>
    <n v="10121.222"/>
    <n v="61897"/>
    <x v="0"/>
    <n v="0"/>
    <n v="0"/>
    <n v="16"/>
    <n v="53"/>
    <n v="0"/>
    <n v="324.88"/>
    <n v="322.54000000000002"/>
    <m/>
    <n v="448.39375036225908"/>
    <n v="328.70388835395738"/>
    <n v="0"/>
    <n v="3288182.6033600001"/>
    <n v="3264498.9438800002"/>
    <n v="0"/>
    <n v="4538292.6908290042"/>
    <n v="3326885.0262936172"/>
  </r>
  <r>
    <s v="Refaturamento - Regular"/>
    <x v="1"/>
    <x v="4"/>
    <x v="7"/>
    <x v="2"/>
    <x v="0"/>
    <x v="0"/>
    <x v="2"/>
    <x v="0"/>
    <n v="0"/>
    <n v="0"/>
    <n v="-3.2029999999999998"/>
    <n v="-3.2029999999999998"/>
    <n v="-3.2029999999999998"/>
    <n v="-3.2029999999999998"/>
    <n v="1"/>
    <x v="0"/>
    <n v="0"/>
    <n v="0"/>
    <n v="16"/>
    <n v="53"/>
    <n v="0"/>
    <n v="324.88"/>
    <n v="322.54000000000002"/>
    <m/>
    <n v="448.39375036225908"/>
    <n v="328.70388835395738"/>
    <n v="0"/>
    <n v="-1040.5906399999999"/>
    <n v="-1033.0956200000001"/>
    <n v="0"/>
    <n v="-1436.2051824103157"/>
    <n v="-1052.8385543977254"/>
  </r>
  <r>
    <s v="Sistema de Compensação"/>
    <x v="1"/>
    <x v="4"/>
    <x v="7"/>
    <x v="2"/>
    <x v="0"/>
    <x v="0"/>
    <x v="2"/>
    <x v="0"/>
    <n v="0"/>
    <n v="0"/>
    <n v="108.348"/>
    <n v="108.348"/>
    <n v="108.348"/>
    <n v="108.348"/>
    <n v="933"/>
    <x v="0"/>
    <n v="0"/>
    <n v="0"/>
    <n v="16"/>
    <n v="53"/>
    <n v="0"/>
    <n v="324.88"/>
    <n v="322.54000000000002"/>
    <m/>
    <n v="448.39375036225908"/>
    <n v="328.70388835395738"/>
    <n v="0"/>
    <n v="35200.098239999999"/>
    <n v="34946.563920000001"/>
    <n v="0"/>
    <n v="48582.566064250044"/>
    <n v="35614.408895374574"/>
  </r>
  <r>
    <s v="Sistema de Compensação"/>
    <x v="1"/>
    <x v="4"/>
    <x v="7"/>
    <x v="2"/>
    <x v="0"/>
    <x v="0"/>
    <x v="2"/>
    <x v="0"/>
    <n v="0"/>
    <n v="0"/>
    <n v="0.15"/>
    <n v="0.15"/>
    <n v="0.15"/>
    <n v="0.15"/>
    <n v="2"/>
    <x v="0"/>
    <n v="0"/>
    <n v="0"/>
    <n v="16"/>
    <n v="53"/>
    <n v="0"/>
    <n v="324.88"/>
    <n v="322.54000000000002"/>
    <m/>
    <n v="448.39375036225908"/>
    <n v="328.70388835395738"/>
    <n v="0"/>
    <n v="48.731999999999999"/>
    <n v="48.381"/>
    <n v="0"/>
    <n v="67.259062554338854"/>
    <n v="49.305583253093609"/>
  </r>
  <r>
    <s v="Regular"/>
    <x v="1"/>
    <x v="4"/>
    <x v="7"/>
    <x v="2"/>
    <x v="0"/>
    <x v="0"/>
    <x v="2"/>
    <x v="1"/>
    <n v="0"/>
    <n v="0"/>
    <n v="10660.375"/>
    <n v="10660.375"/>
    <n v="10660.375"/>
    <n v="10660.375"/>
    <n v="61799"/>
    <x v="0"/>
    <n v="0"/>
    <n v="0"/>
    <n v="16"/>
    <n v="53"/>
    <n v="0"/>
    <n v="324.88"/>
    <n v="322.54000000000002"/>
    <m/>
    <n v="448.39375036225908"/>
    <n v="328.70388835395738"/>
    <n v="0"/>
    <n v="3463342.63"/>
    <n v="3438397.3525"/>
    <n v="0"/>
    <n v="4780045.5265180673"/>
    <n v="3504106.7138113184"/>
  </r>
  <r>
    <s v="Refaturamento - Regular"/>
    <x v="1"/>
    <x v="4"/>
    <x v="7"/>
    <x v="2"/>
    <x v="0"/>
    <x v="0"/>
    <x v="2"/>
    <x v="1"/>
    <n v="0"/>
    <n v="0"/>
    <n v="-0.61499999999999999"/>
    <n v="-0.61499999999999999"/>
    <n v="-0.61499999999999999"/>
    <n v="-0.61499999999999999"/>
    <n v="-4"/>
    <x v="0"/>
    <n v="0"/>
    <n v="0"/>
    <n v="16"/>
    <n v="53"/>
    <n v="0"/>
    <n v="324.88"/>
    <n v="322.54000000000002"/>
    <m/>
    <n v="448.39375036225908"/>
    <n v="328.70388835395738"/>
    <n v="0"/>
    <n v="-199.80119999999999"/>
    <n v="-198.3621"/>
    <n v="0"/>
    <n v="-275.76215647278934"/>
    <n v="-202.1528913376838"/>
  </r>
  <r>
    <s v="Sistema de Compensação"/>
    <x v="1"/>
    <x v="4"/>
    <x v="7"/>
    <x v="2"/>
    <x v="0"/>
    <x v="0"/>
    <x v="2"/>
    <x v="1"/>
    <n v="0"/>
    <n v="0"/>
    <n v="140.95500000000001"/>
    <n v="140.95500000000001"/>
    <n v="140.95500000000001"/>
    <n v="140.95500000000001"/>
    <n v="971"/>
    <x v="0"/>
    <n v="0"/>
    <n v="0"/>
    <n v="16"/>
    <n v="53"/>
    <n v="0"/>
    <n v="324.88"/>
    <n v="322.54000000000002"/>
    <m/>
    <n v="448.39375036225908"/>
    <n v="328.70388835395738"/>
    <n v="0"/>
    <n v="45793.460400000004"/>
    <n v="45463.625700000004"/>
    <n v="0"/>
    <n v="63203.341082312232"/>
    <n v="46332.456582932064"/>
  </r>
  <r>
    <s v="Sistema de Compensação"/>
    <x v="1"/>
    <x v="4"/>
    <x v="7"/>
    <x v="2"/>
    <x v="0"/>
    <x v="0"/>
    <x v="2"/>
    <x v="1"/>
    <n v="0"/>
    <n v="0"/>
    <n v="0.92600000000000005"/>
    <n v="0.92600000000000005"/>
    <n v="0.92600000000000005"/>
    <n v="0.92600000000000005"/>
    <n v="1"/>
    <x v="0"/>
    <n v="0"/>
    <n v="0"/>
    <n v="16"/>
    <n v="53"/>
    <n v="0"/>
    <n v="324.88"/>
    <n v="322.54000000000002"/>
    <m/>
    <n v="448.39375036225908"/>
    <n v="328.70388835395738"/>
    <n v="0"/>
    <n v="300.83888000000002"/>
    <n v="298.67204000000004"/>
    <n v="0"/>
    <n v="415.21261283545192"/>
    <n v="304.37980061576457"/>
  </r>
  <r>
    <s v="Regular"/>
    <x v="1"/>
    <x v="4"/>
    <x v="7"/>
    <x v="2"/>
    <x v="0"/>
    <x v="0"/>
    <x v="2"/>
    <x v="2"/>
    <n v="0"/>
    <n v="0"/>
    <n v="10268.814"/>
    <n v="10268.814"/>
    <n v="10268.814"/>
    <n v="10268.814"/>
    <n v="61586"/>
    <x v="0"/>
    <n v="0"/>
    <n v="0"/>
    <n v="16"/>
    <n v="53"/>
    <n v="0"/>
    <n v="324.88"/>
    <n v="322.54000000000002"/>
    <m/>
    <n v="448.39375036225908"/>
    <n v="328.70388835395738"/>
    <n v="0"/>
    <n v="3336132.29232"/>
    <n v="3312103.2675600005"/>
    <n v="0"/>
    <n v="4604472.0212324709"/>
    <n v="3375399.0905835545"/>
  </r>
  <r>
    <s v="Refaturamento - Regular"/>
    <x v="1"/>
    <x v="4"/>
    <x v="7"/>
    <x v="2"/>
    <x v="0"/>
    <x v="0"/>
    <x v="2"/>
    <x v="2"/>
    <n v="0"/>
    <n v="0"/>
    <n v="-1.3440000000000001"/>
    <n v="-1.3440000000000001"/>
    <n v="-1.3440000000000001"/>
    <n v="-1.3440000000000001"/>
    <n v="5"/>
    <x v="0"/>
    <n v="0"/>
    <n v="0"/>
    <n v="16"/>
    <n v="53"/>
    <n v="0"/>
    <n v="324.88"/>
    <n v="322.54000000000002"/>
    <m/>
    <n v="448.39375036225908"/>
    <n v="328.70388835395738"/>
    <n v="0"/>
    <n v="-436.63872000000003"/>
    <n v="-433.49376000000007"/>
    <n v="0"/>
    <n v="-602.6412004868763"/>
    <n v="-441.77802594771873"/>
  </r>
  <r>
    <s v="Sistema de Compensação"/>
    <x v="1"/>
    <x v="4"/>
    <x v="7"/>
    <x v="2"/>
    <x v="0"/>
    <x v="0"/>
    <x v="2"/>
    <x v="2"/>
    <n v="0"/>
    <n v="0"/>
    <n v="123.248"/>
    <n v="123.248"/>
    <n v="123.248"/>
    <n v="123.248"/>
    <n v="997"/>
    <x v="0"/>
    <n v="0"/>
    <n v="0"/>
    <n v="16"/>
    <n v="53"/>
    <n v="0"/>
    <n v="324.88"/>
    <n v="322.54000000000002"/>
    <m/>
    <n v="448.39375036225908"/>
    <n v="328.70388835395738"/>
    <n v="0"/>
    <n v="40040.810239999999"/>
    <n v="39752.409920000006"/>
    <n v="0"/>
    <n v="55263.63294464771"/>
    <n v="40512.096831848539"/>
  </r>
  <r>
    <s v="Sistema de Compensação"/>
    <x v="1"/>
    <x v="4"/>
    <x v="7"/>
    <x v="2"/>
    <x v="0"/>
    <x v="0"/>
    <x v="2"/>
    <x v="2"/>
    <n v="0"/>
    <n v="0"/>
    <n v="0.7"/>
    <n v="0.7"/>
    <n v="0.7"/>
    <n v="0.7"/>
    <n v="2"/>
    <x v="0"/>
    <n v="0"/>
    <n v="0"/>
    <n v="16"/>
    <n v="53"/>
    <n v="0"/>
    <n v="324.88"/>
    <n v="322.54000000000002"/>
    <m/>
    <n v="448.39375036225908"/>
    <n v="328.70388835395738"/>
    <n v="0"/>
    <n v="227.41599999999997"/>
    <n v="225.77799999999999"/>
    <n v="0"/>
    <n v="313.87562525358135"/>
    <n v="230.09272184777015"/>
  </r>
  <r>
    <s v="Regular"/>
    <x v="1"/>
    <x v="4"/>
    <x v="7"/>
    <x v="2"/>
    <x v="0"/>
    <x v="0"/>
    <x v="2"/>
    <x v="3"/>
    <n v="0"/>
    <n v="0"/>
    <n v="10602.251"/>
    <n v="10602.251"/>
    <n v="10602.251"/>
    <n v="10602.251"/>
    <n v="61350"/>
    <x v="0"/>
    <n v="0"/>
    <n v="0"/>
    <n v="16"/>
    <n v="53"/>
    <n v="0"/>
    <n v="324.88"/>
    <n v="322.54000000000002"/>
    <m/>
    <n v="448.39375036225908"/>
    <n v="328.70388835395738"/>
    <n v="0"/>
    <n v="3444459.3048800002"/>
    <n v="3419650.0375400004"/>
    <n v="0"/>
    <n v="4753983.088172012"/>
    <n v="3485001.1290046331"/>
  </r>
  <r>
    <s v="Refaturamento - Regular"/>
    <x v="1"/>
    <x v="4"/>
    <x v="7"/>
    <x v="2"/>
    <x v="0"/>
    <x v="0"/>
    <x v="2"/>
    <x v="3"/>
    <n v="0"/>
    <n v="0"/>
    <n v="-0.3"/>
    <n v="-0.3"/>
    <n v="-0.3"/>
    <n v="-0.3"/>
    <n v="17"/>
    <x v="0"/>
    <n v="0"/>
    <n v="0"/>
    <n v="16"/>
    <n v="53"/>
    <n v="0"/>
    <n v="324.88"/>
    <n v="322.54000000000002"/>
    <m/>
    <n v="448.39375036225908"/>
    <n v="328.70388835395738"/>
    <n v="0"/>
    <n v="-97.463999999999999"/>
    <n v="-96.762"/>
    <n v="0"/>
    <n v="-134.51812510867771"/>
    <n v="-98.611166506187217"/>
  </r>
  <r>
    <s v="Sistema de Compensação"/>
    <x v="1"/>
    <x v="4"/>
    <x v="7"/>
    <x v="2"/>
    <x v="0"/>
    <x v="0"/>
    <x v="2"/>
    <x v="3"/>
    <n v="0"/>
    <n v="0"/>
    <n v="144.768"/>
    <n v="144.768"/>
    <n v="144.768"/>
    <n v="144.768"/>
    <n v="1073"/>
    <x v="0"/>
    <n v="0"/>
    <n v="0"/>
    <n v="16"/>
    <n v="53"/>
    <n v="0"/>
    <n v="324.88"/>
    <n v="322.54000000000002"/>
    <m/>
    <n v="448.39375036225908"/>
    <n v="328.70388835395738"/>
    <n v="0"/>
    <n v="47032.22784"/>
    <n v="46693.470720000005"/>
    <n v="0"/>
    <n v="64913.066452443527"/>
    <n v="47585.804509225702"/>
  </r>
  <r>
    <s v="Sistema de Compensação"/>
    <x v="1"/>
    <x v="4"/>
    <x v="7"/>
    <x v="2"/>
    <x v="0"/>
    <x v="0"/>
    <x v="2"/>
    <x v="3"/>
    <n v="0"/>
    <n v="0"/>
    <n v="0.11899999999999999"/>
    <n v="0.11899999999999999"/>
    <n v="0.11899999999999999"/>
    <n v="0.11899999999999999"/>
    <n v="1"/>
    <x v="0"/>
    <n v="0"/>
    <n v="0"/>
    <n v="16"/>
    <n v="53"/>
    <n v="0"/>
    <n v="324.88"/>
    <n v="322.54000000000002"/>
    <m/>
    <n v="448.39375036225908"/>
    <n v="328.70388835395738"/>
    <n v="0"/>
    <n v="38.660719999999998"/>
    <n v="38.382260000000002"/>
    <n v="0"/>
    <n v="53.358856293108829"/>
    <n v="39.115762714120926"/>
  </r>
  <r>
    <s v="Regular"/>
    <x v="1"/>
    <x v="4"/>
    <x v="7"/>
    <x v="2"/>
    <x v="0"/>
    <x v="0"/>
    <x v="2"/>
    <x v="4"/>
    <n v="0"/>
    <n v="0"/>
    <n v="10986.397999999999"/>
    <n v="10986.397999999999"/>
    <n v="10986.397999999999"/>
    <n v="10986.397999999999"/>
    <n v="61192"/>
    <x v="0"/>
    <n v="0"/>
    <n v="0"/>
    <n v="16"/>
    <n v="53"/>
    <n v="0"/>
    <n v="324.88"/>
    <n v="322.54000000000002"/>
    <m/>
    <n v="448.39375036225908"/>
    <n v="328.70388835395738"/>
    <n v="0"/>
    <n v="3569260.9822399998"/>
    <n v="3543552.8109200001"/>
    <n v="0"/>
    <n v="4926232.202192422"/>
    <n v="3611271.7416041405"/>
  </r>
  <r>
    <s v="Refaturamento - Regular"/>
    <x v="1"/>
    <x v="4"/>
    <x v="7"/>
    <x v="2"/>
    <x v="0"/>
    <x v="0"/>
    <x v="2"/>
    <x v="4"/>
    <n v="0"/>
    <n v="0"/>
    <n v="-0.89800000000000002"/>
    <n v="-0.89800000000000002"/>
    <n v="-0.89800000000000002"/>
    <n v="-0.89800000000000002"/>
    <n v="25"/>
    <x v="0"/>
    <n v="0"/>
    <n v="0"/>
    <n v="16"/>
    <n v="53"/>
    <n v="0"/>
    <n v="324.88"/>
    <n v="322.54000000000002"/>
    <m/>
    <n v="448.39375036225908"/>
    <n v="328.70388835395738"/>
    <n v="0"/>
    <n v="-291.74223999999998"/>
    <n v="-289.64092000000005"/>
    <n v="0"/>
    <n v="-402.65758782530867"/>
    <n v="-295.17609174185372"/>
  </r>
  <r>
    <s v="Sistema de Compensação"/>
    <x v="1"/>
    <x v="4"/>
    <x v="7"/>
    <x v="2"/>
    <x v="0"/>
    <x v="0"/>
    <x v="2"/>
    <x v="4"/>
    <n v="0"/>
    <n v="0"/>
    <n v="136.268"/>
    <n v="136.268"/>
    <n v="136.268"/>
    <n v="136.268"/>
    <n v="1111"/>
    <x v="0"/>
    <n v="0"/>
    <n v="0"/>
    <n v="16"/>
    <n v="53"/>
    <n v="0"/>
    <n v="324.88"/>
    <n v="322.54000000000002"/>
    <m/>
    <n v="448.39375036225908"/>
    <n v="328.70388835395738"/>
    <n v="0"/>
    <n v="44270.747839999996"/>
    <n v="43951.880720000001"/>
    <n v="0"/>
    <n v="61101.719574364324"/>
    <n v="44791.821458217062"/>
  </r>
  <r>
    <s v="Sistema de Compensação"/>
    <x v="1"/>
    <x v="4"/>
    <x v="7"/>
    <x v="2"/>
    <x v="0"/>
    <x v="0"/>
    <x v="2"/>
    <x v="4"/>
    <n v="0"/>
    <n v="0"/>
    <n v="1.82"/>
    <n v="1.82"/>
    <n v="1.82"/>
    <n v="1.82"/>
    <n v="0"/>
    <x v="0"/>
    <n v="0"/>
    <n v="0"/>
    <n v="16"/>
    <n v="53"/>
    <n v="0"/>
    <n v="324.88"/>
    <n v="322.54000000000002"/>
    <m/>
    <n v="448.39375036225908"/>
    <n v="328.70388835395738"/>
    <n v="0"/>
    <n v="591.28160000000003"/>
    <n v="587.02280000000007"/>
    <n v="0"/>
    <n v="816.07662565931162"/>
    <n v="598.24107680420241"/>
  </r>
  <r>
    <s v="Regular"/>
    <x v="1"/>
    <x v="4"/>
    <x v="7"/>
    <x v="2"/>
    <x v="0"/>
    <x v="0"/>
    <x v="2"/>
    <x v="5"/>
    <n v="0"/>
    <n v="0"/>
    <n v="11973.48"/>
    <n v="11973.48"/>
    <n v="11973.48"/>
    <n v="11973.48"/>
    <n v="60975"/>
    <x v="0"/>
    <n v="0"/>
    <n v="0"/>
    <n v="16"/>
    <n v="53"/>
    <n v="0"/>
    <n v="324.88"/>
    <n v="322.54000000000002"/>
    <m/>
    <n v="448.39375036225908"/>
    <n v="328.70388835395738"/>
    <n v="0"/>
    <n v="3889944.1823999998"/>
    <n v="3861926.2392000002"/>
    <n v="0"/>
    <n v="5368833.6020875014"/>
    <n v="3935729.4331283416"/>
  </r>
  <r>
    <s v="Refaturamento - Regular"/>
    <x v="1"/>
    <x v="4"/>
    <x v="7"/>
    <x v="2"/>
    <x v="0"/>
    <x v="0"/>
    <x v="2"/>
    <x v="5"/>
    <n v="0"/>
    <n v="0"/>
    <n v="0.21299999999999999"/>
    <n v="0.21299999999999999"/>
    <n v="0.21299999999999999"/>
    <n v="0.21299999999999999"/>
    <n v="20"/>
    <x v="0"/>
    <n v="0"/>
    <n v="0"/>
    <n v="16"/>
    <n v="53"/>
    <n v="0"/>
    <n v="324.88"/>
    <n v="322.54000000000002"/>
    <m/>
    <n v="448.39375036225908"/>
    <n v="328.70388835395738"/>
    <n v="0"/>
    <n v="69.199439999999996"/>
    <n v="68.70102"/>
    <n v="0"/>
    <n v="95.50786882716119"/>
    <n v="70.013928219392923"/>
  </r>
  <r>
    <s v="Sistema de Compensação"/>
    <x v="1"/>
    <x v="4"/>
    <x v="7"/>
    <x v="2"/>
    <x v="0"/>
    <x v="0"/>
    <x v="2"/>
    <x v="5"/>
    <n v="0"/>
    <n v="0"/>
    <n v="151.86000000000001"/>
    <n v="151.86000000000001"/>
    <n v="151.86000000000001"/>
    <n v="151.86000000000001"/>
    <n v="1171"/>
    <x v="0"/>
    <n v="0"/>
    <n v="0"/>
    <n v="16"/>
    <n v="53"/>
    <n v="0"/>
    <n v="324.88"/>
    <n v="322.54000000000002"/>
    <m/>
    <n v="448.39375036225908"/>
    <n v="328.70388835395738"/>
    <n v="0"/>
    <n v="49336.276800000007"/>
    <n v="48980.924400000011"/>
    <n v="0"/>
    <n v="68093.074930012677"/>
    <n v="49916.972485431972"/>
  </r>
  <r>
    <s v="Regular"/>
    <x v="1"/>
    <x v="4"/>
    <x v="7"/>
    <x v="2"/>
    <x v="0"/>
    <x v="0"/>
    <x v="2"/>
    <x v="6"/>
    <n v="0"/>
    <n v="0"/>
    <n v="11630.394"/>
    <n v="11630.394"/>
    <n v="11630.394"/>
    <n v="11630.394"/>
    <n v="58822"/>
    <x v="0"/>
    <n v="0"/>
    <n v="0"/>
    <n v="16"/>
    <n v="53"/>
    <n v="0"/>
    <n v="324.88"/>
    <n v="322.54000000000002"/>
    <m/>
    <n v="448.39375036225908"/>
    <n v="328.70388835395738"/>
    <n v="0"/>
    <n v="3778482.4027200001"/>
    <n v="3751267.2807600005"/>
    <n v="0"/>
    <n v="5214995.9838507157"/>
    <n v="3822955.7308885357"/>
  </r>
  <r>
    <s v="Refaturamento - Regular"/>
    <x v="1"/>
    <x v="4"/>
    <x v="7"/>
    <x v="2"/>
    <x v="0"/>
    <x v="0"/>
    <x v="2"/>
    <x v="6"/>
    <n v="0"/>
    <n v="0"/>
    <n v="-95.64"/>
    <n v="-95.64"/>
    <n v="-95.64"/>
    <n v="-95.64"/>
    <n v="20"/>
    <x v="0"/>
    <n v="0"/>
    <n v="0"/>
    <n v="16"/>
    <n v="53"/>
    <n v="0"/>
    <n v="324.88"/>
    <n v="322.54000000000002"/>
    <m/>
    <n v="448.39375036225908"/>
    <n v="328.70388835395738"/>
    <n v="0"/>
    <n v="-31071.5232"/>
    <n v="-30847.725600000002"/>
    <n v="0"/>
    <n v="-42884.37828464646"/>
    <n v="-31437.239882172486"/>
  </r>
  <r>
    <s v="Sistema de Compensação"/>
    <x v="1"/>
    <x v="4"/>
    <x v="7"/>
    <x v="2"/>
    <x v="0"/>
    <x v="0"/>
    <x v="2"/>
    <x v="6"/>
    <n v="0"/>
    <n v="0"/>
    <n v="155.41999999999999"/>
    <n v="155.41999999999999"/>
    <n v="155.41999999999999"/>
    <n v="155.41999999999999"/>
    <n v="1205"/>
    <x v="0"/>
    <n v="0"/>
    <n v="0"/>
    <n v="16"/>
    <n v="53"/>
    <n v="0"/>
    <n v="324.88"/>
    <n v="322.54000000000002"/>
    <m/>
    <n v="448.39375036225908"/>
    <n v="328.70388835395738"/>
    <n v="0"/>
    <n v="50492.849599999994"/>
    <n v="50129.166799999999"/>
    <n v="0"/>
    <n v="69689.356681302306"/>
    <n v="51087.158327972051"/>
  </r>
  <r>
    <s v="Sistema de Compensação"/>
    <x v="1"/>
    <x v="4"/>
    <x v="7"/>
    <x v="2"/>
    <x v="0"/>
    <x v="0"/>
    <x v="2"/>
    <x v="6"/>
    <n v="0"/>
    <n v="0"/>
    <n v="0.375"/>
    <n v="0.375"/>
    <n v="0.375"/>
    <n v="0.375"/>
    <n v="2"/>
    <x v="0"/>
    <n v="0"/>
    <n v="0"/>
    <n v="16"/>
    <n v="53"/>
    <n v="0"/>
    <n v="324.88"/>
    <n v="322.54000000000002"/>
    <m/>
    <n v="448.39375036225908"/>
    <n v="328.70388835395738"/>
    <n v="0"/>
    <n v="121.83"/>
    <n v="120.95250000000001"/>
    <n v="0"/>
    <n v="168.14765638584714"/>
    <n v="123.26395813273402"/>
  </r>
  <r>
    <s v="Regular"/>
    <x v="1"/>
    <x v="4"/>
    <x v="7"/>
    <x v="2"/>
    <x v="0"/>
    <x v="0"/>
    <x v="2"/>
    <x v="7"/>
    <n v="0"/>
    <n v="0"/>
    <n v="11631.782999999999"/>
    <n v="11631.782999999999"/>
    <n v="11631.782999999999"/>
    <n v="11631.782999999999"/>
    <n v="58593"/>
    <x v="0"/>
    <n v="0"/>
    <n v="0"/>
    <n v="16"/>
    <n v="53"/>
    <n v="0"/>
    <n v="324.88"/>
    <n v="322.54000000000002"/>
    <m/>
    <n v="448.39375036225908"/>
    <n v="328.70388835395738"/>
    <n v="0"/>
    <n v="3778933.6610399997"/>
    <n v="3751715.2888199999"/>
    <n v="0"/>
    <n v="5215618.8027699692"/>
    <n v="3823412.3005894595"/>
  </r>
  <r>
    <s v="Refaturamento - Regular"/>
    <x v="1"/>
    <x v="4"/>
    <x v="7"/>
    <x v="2"/>
    <x v="0"/>
    <x v="0"/>
    <x v="2"/>
    <x v="7"/>
    <n v="0"/>
    <n v="0"/>
    <n v="-5.1999999999999998E-2"/>
    <n v="-5.1999999999999998E-2"/>
    <n v="-5.1999999999999998E-2"/>
    <n v="-5.1999999999999998E-2"/>
    <n v="32"/>
    <x v="0"/>
    <n v="0"/>
    <n v="0"/>
    <n v="16"/>
    <n v="53"/>
    <n v="0"/>
    <n v="324.88"/>
    <n v="322.54000000000002"/>
    <m/>
    <n v="448.39375036225908"/>
    <n v="328.70388835395738"/>
    <n v="0"/>
    <n v="-16.89376"/>
    <n v="-16.772079999999999"/>
    <n v="0"/>
    <n v="-23.316475018837473"/>
    <n v="-17.092602194405782"/>
  </r>
  <r>
    <s v="Sistema de Compensação"/>
    <x v="1"/>
    <x v="4"/>
    <x v="7"/>
    <x v="2"/>
    <x v="0"/>
    <x v="0"/>
    <x v="2"/>
    <x v="7"/>
    <n v="0"/>
    <n v="0"/>
    <n v="195.16800000000001"/>
    <n v="195.16800000000001"/>
    <n v="195.16800000000001"/>
    <n v="195.16800000000001"/>
    <n v="1309"/>
    <x v="0"/>
    <n v="0"/>
    <n v="0"/>
    <n v="16"/>
    <n v="53"/>
    <n v="0"/>
    <n v="324.88"/>
    <n v="322.54000000000002"/>
    <m/>
    <n v="448.39375036225908"/>
    <n v="328.70388835395738"/>
    <n v="0"/>
    <n v="63406.179840000004"/>
    <n v="62949.486720000008"/>
    <n v="0"/>
    <n v="87512.111470701377"/>
    <n v="64152.480482265157"/>
  </r>
  <r>
    <s v="Sistema de Compensação"/>
    <x v="1"/>
    <x v="4"/>
    <x v="7"/>
    <x v="2"/>
    <x v="0"/>
    <x v="0"/>
    <x v="2"/>
    <x v="7"/>
    <n v="0"/>
    <n v="0"/>
    <n v="0.435"/>
    <n v="0.435"/>
    <n v="0.435"/>
    <n v="0.435"/>
    <n v="2"/>
    <x v="0"/>
    <n v="0"/>
    <n v="0"/>
    <n v="16"/>
    <n v="53"/>
    <n v="0"/>
    <n v="324.88"/>
    <n v="322.54000000000002"/>
    <m/>
    <n v="448.39375036225908"/>
    <n v="328.70388835395738"/>
    <n v="0"/>
    <n v="141.3228"/>
    <n v="140.3049"/>
    <n v="0"/>
    <n v="195.05128140758271"/>
    <n v="142.98619143397147"/>
  </r>
  <r>
    <s v="Regular"/>
    <x v="1"/>
    <x v="4"/>
    <x v="7"/>
    <x v="2"/>
    <x v="0"/>
    <x v="0"/>
    <x v="2"/>
    <x v="8"/>
    <n v="0"/>
    <n v="0"/>
    <n v="10110.762000000001"/>
    <n v="10110.762000000001"/>
    <n v="10110.762000000001"/>
    <n v="10110.762000000001"/>
    <n v="59627"/>
    <x v="0"/>
    <n v="0"/>
    <n v="0"/>
    <n v="16"/>
    <n v="53"/>
    <n v="0"/>
    <n v="324.88"/>
    <n v="322.54000000000002"/>
    <m/>
    <n v="448.39375036225908"/>
    <n v="328.70388835395738"/>
    <n v="0"/>
    <n v="3284784.3585600001"/>
    <n v="3261125.1754800002"/>
    <n v="0"/>
    <n v="4533602.4922002153"/>
    <n v="3323446.7836214351"/>
  </r>
  <r>
    <s v="Refaturamento - Regular"/>
    <x v="1"/>
    <x v="4"/>
    <x v="7"/>
    <x v="2"/>
    <x v="0"/>
    <x v="0"/>
    <x v="2"/>
    <x v="8"/>
    <n v="0"/>
    <n v="0"/>
    <n v="0.94299999999999995"/>
    <n v="0.94299999999999995"/>
    <n v="0.94299999999999995"/>
    <n v="0.94299999999999995"/>
    <n v="38"/>
    <x v="0"/>
    <n v="0"/>
    <n v="0"/>
    <n v="16"/>
    <n v="53"/>
    <n v="0"/>
    <n v="324.88"/>
    <n v="322.54000000000002"/>
    <m/>
    <n v="448.39375036225908"/>
    <n v="328.70388835395738"/>
    <n v="0"/>
    <n v="306.36183999999997"/>
    <n v="304.15521999999999"/>
    <n v="0"/>
    <n v="422.83530659161028"/>
    <n v="309.96776671778179"/>
  </r>
  <r>
    <s v="Sistema de Compensação"/>
    <x v="1"/>
    <x v="4"/>
    <x v="7"/>
    <x v="2"/>
    <x v="0"/>
    <x v="0"/>
    <x v="2"/>
    <x v="8"/>
    <n v="0"/>
    <n v="0"/>
    <n v="184.58199999999999"/>
    <n v="184.58199999999999"/>
    <n v="184.58199999999999"/>
    <n v="184.58199999999999"/>
    <n v="1463"/>
    <x v="0"/>
    <n v="0"/>
    <n v="0"/>
    <n v="16"/>
    <n v="53"/>
    <n v="0"/>
    <n v="324.88"/>
    <n v="322.54000000000002"/>
    <m/>
    <n v="448.39375036225908"/>
    <n v="328.70388835395738"/>
    <n v="0"/>
    <n v="59967.000159999996"/>
    <n v="59535.078280000002"/>
    <n v="0"/>
    <n v="82765.41522936651"/>
    <n v="60672.821120150162"/>
  </r>
  <r>
    <s v="Sistema de Compensação"/>
    <x v="1"/>
    <x v="4"/>
    <x v="7"/>
    <x v="2"/>
    <x v="0"/>
    <x v="0"/>
    <x v="2"/>
    <x v="8"/>
    <n v="0"/>
    <n v="0"/>
    <n v="0.30499999999999999"/>
    <n v="0.30499999999999999"/>
    <n v="0.30499999999999999"/>
    <n v="0.30499999999999999"/>
    <n v="1"/>
    <x v="0"/>
    <n v="0"/>
    <n v="0"/>
    <n v="16"/>
    <n v="53"/>
    <n v="0"/>
    <n v="324.88"/>
    <n v="322.54000000000002"/>
    <m/>
    <n v="448.39375036225908"/>
    <n v="328.70388835395738"/>
    <n v="0"/>
    <n v="99.088399999999993"/>
    <n v="98.374700000000004"/>
    <n v="0"/>
    <n v="136.76009386048901"/>
    <n v="100.254685947957"/>
  </r>
  <r>
    <s v="Regular"/>
    <x v="1"/>
    <x v="4"/>
    <x v="7"/>
    <x v="2"/>
    <x v="0"/>
    <x v="0"/>
    <x v="2"/>
    <x v="9"/>
    <n v="0"/>
    <n v="0"/>
    <n v="8718.4410000000007"/>
    <n v="8718.4410000000007"/>
    <n v="8718.4410000000007"/>
    <n v="8718.4410000000007"/>
    <n v="58861"/>
    <x v="0"/>
    <n v="0"/>
    <n v="0"/>
    <n v="16"/>
    <n v="53"/>
    <n v="0"/>
    <n v="324.88"/>
    <n v="322.54000000000002"/>
    <m/>
    <n v="448.39375036225908"/>
    <n v="328.70388835395738"/>
    <n v="0"/>
    <n v="2832447.1120800003"/>
    <n v="2812045.9601400006"/>
    <n v="0"/>
    <n v="3909294.4573020847"/>
    <n v="2865785.457084565"/>
  </r>
  <r>
    <s v="Refaturamento - Regular"/>
    <x v="1"/>
    <x v="4"/>
    <x v="7"/>
    <x v="2"/>
    <x v="0"/>
    <x v="0"/>
    <x v="2"/>
    <x v="9"/>
    <n v="0"/>
    <n v="0"/>
    <n v="0.59799999999999998"/>
    <n v="0.59799999999999998"/>
    <n v="0.59799999999999998"/>
    <n v="0.59799999999999998"/>
    <n v="27"/>
    <x v="0"/>
    <n v="0"/>
    <n v="0"/>
    <n v="16"/>
    <n v="53"/>
    <n v="0"/>
    <n v="324.88"/>
    <n v="322.54000000000002"/>
    <m/>
    <n v="448.39375036225908"/>
    <n v="328.70388835395738"/>
    <n v="0"/>
    <n v="194.27823999999998"/>
    <n v="192.87891999999999"/>
    <n v="0"/>
    <n v="268.13946271663093"/>
    <n v="196.56492523566649"/>
  </r>
  <r>
    <s v="Sistema de Compensação"/>
    <x v="1"/>
    <x v="4"/>
    <x v="7"/>
    <x v="2"/>
    <x v="0"/>
    <x v="0"/>
    <x v="2"/>
    <x v="9"/>
    <n v="0"/>
    <n v="0"/>
    <n v="185.44499999999999"/>
    <n v="185.44499999999999"/>
    <n v="185.44499999999999"/>
    <n v="185.44499999999999"/>
    <n v="1625"/>
    <x v="0"/>
    <n v="0"/>
    <n v="0"/>
    <n v="16"/>
    <n v="53"/>
    <n v="0"/>
    <n v="324.88"/>
    <n v="322.54000000000002"/>
    <m/>
    <n v="448.39375036225908"/>
    <n v="328.70388835395738"/>
    <n v="0"/>
    <n v="60247.371599999999"/>
    <n v="59813.4303"/>
    <n v="0"/>
    <n v="83152.379035929131"/>
    <n v="60956.492575799624"/>
  </r>
  <r>
    <s v="Sistema de Compensação"/>
    <x v="1"/>
    <x v="4"/>
    <x v="7"/>
    <x v="2"/>
    <x v="0"/>
    <x v="0"/>
    <x v="2"/>
    <x v="9"/>
    <n v="0"/>
    <n v="0"/>
    <n v="0.183"/>
    <n v="0.183"/>
    <n v="0.183"/>
    <n v="0.183"/>
    <n v="2"/>
    <x v="0"/>
    <n v="0"/>
    <n v="0"/>
    <n v="16"/>
    <n v="53"/>
    <n v="0"/>
    <n v="324.88"/>
    <n v="322.54000000000002"/>
    <m/>
    <n v="448.39375036225908"/>
    <n v="328.70388835395738"/>
    <n v="0"/>
    <n v="59.453039999999994"/>
    <n v="59.024820000000005"/>
    <n v="0"/>
    <n v="82.056056316293407"/>
    <n v="60.152811568774197"/>
  </r>
  <r>
    <s v="Regular"/>
    <x v="1"/>
    <x v="4"/>
    <x v="7"/>
    <x v="2"/>
    <x v="0"/>
    <x v="0"/>
    <x v="2"/>
    <x v="10"/>
    <n v="0"/>
    <n v="0"/>
    <n v="8307.1640000000007"/>
    <n v="8307.1640000000007"/>
    <n v="8307.1640000000007"/>
    <n v="8307.1640000000007"/>
    <n v="60940"/>
    <x v="0"/>
    <n v="0"/>
    <n v="0"/>
    <n v="16"/>
    <n v="53"/>
    <n v="0"/>
    <n v="324.88"/>
    <n v="322.54000000000002"/>
    <m/>
    <n v="448.39375036225908"/>
    <n v="328.70388835395738"/>
    <n v="0"/>
    <n v="2698831.4403200001"/>
    <n v="2679392.6765600005"/>
    <n v="0"/>
    <n v="3724880.4208343457"/>
    <n v="2730597.1079940144"/>
  </r>
  <r>
    <s v="Refaturamento - Regular"/>
    <x v="1"/>
    <x v="4"/>
    <x v="7"/>
    <x v="2"/>
    <x v="0"/>
    <x v="0"/>
    <x v="2"/>
    <x v="10"/>
    <n v="0"/>
    <n v="0"/>
    <n v="2.2999999999999998"/>
    <n v="2.2999999999999998"/>
    <n v="2.2999999999999998"/>
    <n v="2.2999999999999998"/>
    <n v="44"/>
    <x v="0"/>
    <n v="0"/>
    <n v="0"/>
    <n v="16"/>
    <n v="53"/>
    <n v="0"/>
    <n v="324.88"/>
    <n v="322.54000000000002"/>
    <m/>
    <n v="448.39375036225908"/>
    <n v="328.70388835395738"/>
    <n v="0"/>
    <n v="747.22399999999993"/>
    <n v="741.84199999999998"/>
    <n v="0"/>
    <n v="1031.3056258331958"/>
    <n v="756.01894321410191"/>
  </r>
  <r>
    <s v="Sistema de Compensação"/>
    <x v="1"/>
    <x v="4"/>
    <x v="7"/>
    <x v="2"/>
    <x v="0"/>
    <x v="0"/>
    <x v="2"/>
    <x v="10"/>
    <n v="0"/>
    <n v="0"/>
    <n v="187.185"/>
    <n v="187.185"/>
    <n v="187.185"/>
    <n v="187.185"/>
    <n v="1729"/>
    <x v="0"/>
    <n v="0"/>
    <n v="0"/>
    <n v="16"/>
    <n v="53"/>
    <n v="0"/>
    <n v="324.88"/>
    <n v="322.54000000000002"/>
    <m/>
    <n v="448.39375036225908"/>
    <n v="328.70388835395738"/>
    <n v="0"/>
    <n v="60812.662799999998"/>
    <n v="60374.649900000004"/>
    <n v="0"/>
    <n v="83932.584161559469"/>
    <n v="61528.437341535515"/>
  </r>
  <r>
    <s v="Sistema de Compensação"/>
    <x v="1"/>
    <x v="4"/>
    <x v="7"/>
    <x v="2"/>
    <x v="0"/>
    <x v="0"/>
    <x v="2"/>
    <x v="10"/>
    <n v="0"/>
    <n v="0"/>
    <n v="0.48199999999999998"/>
    <n v="0.48199999999999998"/>
    <n v="0.48199999999999998"/>
    <n v="0.48199999999999998"/>
    <n v="0"/>
    <x v="0"/>
    <n v="0"/>
    <n v="0"/>
    <n v="16"/>
    <n v="53"/>
    <n v="0"/>
    <n v="324.88"/>
    <n v="322.54000000000002"/>
    <m/>
    <n v="448.39375036225908"/>
    <n v="328.70388835395738"/>
    <n v="0"/>
    <n v="156.59215999999998"/>
    <n v="155.46428"/>
    <n v="0"/>
    <n v="216.12578767460886"/>
    <n v="158.43527418660744"/>
  </r>
  <r>
    <s v="PROJETADO"/>
    <x v="1"/>
    <x v="4"/>
    <x v="7"/>
    <x v="2"/>
    <x v="0"/>
    <x v="0"/>
    <x v="2"/>
    <x v="11"/>
    <n v="0"/>
    <n v="0"/>
    <n v="8307.1640000000007"/>
    <n v="8307.1640000000007"/>
    <n v="8307.1640000000007"/>
    <n v="8307.1640000000007"/>
    <n v="60940"/>
    <x v="0"/>
    <n v="0"/>
    <n v="0"/>
    <n v="16"/>
    <n v="53"/>
    <n v="0"/>
    <n v="324.88"/>
    <n v="322.54000000000002"/>
    <m/>
    <n v="448.39375036225908"/>
    <n v="328.70388835395738"/>
    <n v="0"/>
    <n v="2698831.4403200001"/>
    <n v="2679392.6765600005"/>
    <n v="0"/>
    <n v="3724880.4208343457"/>
    <n v="2730597.1079940144"/>
  </r>
  <r>
    <s v="PROJETADO"/>
    <x v="1"/>
    <x v="4"/>
    <x v="7"/>
    <x v="2"/>
    <x v="0"/>
    <x v="0"/>
    <x v="2"/>
    <x v="11"/>
    <n v="0"/>
    <n v="0"/>
    <n v="2.2999999999999998"/>
    <n v="2.2999999999999998"/>
    <n v="2.2999999999999998"/>
    <n v="2.2999999999999998"/>
    <n v="44"/>
    <x v="0"/>
    <n v="0"/>
    <n v="0"/>
    <n v="16"/>
    <n v="53"/>
    <n v="0"/>
    <n v="324.88"/>
    <n v="322.54000000000002"/>
    <m/>
    <n v="448.39375036225908"/>
    <n v="328.70388835395738"/>
    <n v="0"/>
    <n v="747.22399999999993"/>
    <n v="741.84199999999998"/>
    <n v="0"/>
    <n v="1031.3056258331958"/>
    <n v="756.01894321410191"/>
  </r>
  <r>
    <s v="PROJETADO"/>
    <x v="1"/>
    <x v="4"/>
    <x v="7"/>
    <x v="2"/>
    <x v="0"/>
    <x v="0"/>
    <x v="2"/>
    <x v="11"/>
    <n v="0"/>
    <n v="0"/>
    <n v="187.185"/>
    <n v="187.185"/>
    <n v="187.185"/>
    <n v="187.185"/>
    <n v="1729"/>
    <x v="0"/>
    <n v="0"/>
    <n v="0"/>
    <n v="16"/>
    <n v="53"/>
    <n v="0"/>
    <n v="324.88"/>
    <n v="322.54000000000002"/>
    <m/>
    <n v="448.39375036225908"/>
    <n v="328.70388835395738"/>
    <n v="0"/>
    <n v="60812.662799999998"/>
    <n v="60374.649900000004"/>
    <n v="0"/>
    <n v="83932.584161559469"/>
    <n v="61528.437341535515"/>
  </r>
  <r>
    <s v="PROJETADO"/>
    <x v="1"/>
    <x v="4"/>
    <x v="7"/>
    <x v="2"/>
    <x v="0"/>
    <x v="0"/>
    <x v="2"/>
    <x v="11"/>
    <n v="0"/>
    <n v="0"/>
    <n v="0.48199999999999998"/>
    <n v="0.48199999999999998"/>
    <n v="0.48199999999999998"/>
    <n v="0.48199999999999998"/>
    <n v="0"/>
    <x v="0"/>
    <n v="0"/>
    <n v="0"/>
    <n v="16"/>
    <n v="53"/>
    <n v="0"/>
    <n v="324.88"/>
    <n v="322.54000000000002"/>
    <m/>
    <n v="448.39375036225908"/>
    <n v="328.70388835395738"/>
    <n v="0"/>
    <n v="156.59215999999998"/>
    <n v="155.46428"/>
    <n v="0"/>
    <n v="216.12578767460886"/>
    <n v="158.43527418660744"/>
  </r>
  <r>
    <s v="Regular"/>
    <x v="1"/>
    <x v="4"/>
    <x v="7"/>
    <x v="3"/>
    <x v="0"/>
    <x v="0"/>
    <x v="2"/>
    <x v="0"/>
    <n v="0"/>
    <n v="0"/>
    <n v="298.62"/>
    <n v="298.62"/>
    <n v="298.62"/>
    <n v="298.62"/>
    <n v="387"/>
    <x v="0"/>
    <n v="0"/>
    <n v="0"/>
    <n v="17"/>
    <n v="54"/>
    <n v="0"/>
    <n v="91.27"/>
    <n v="112.89"/>
    <m/>
    <n v="104.67518343290003"/>
    <n v="115.04636092388508"/>
    <n v="0"/>
    <n v="27255.047399999999"/>
    <n v="33711.211799999997"/>
    <n v="0"/>
    <n v="31258.103276732607"/>
    <n v="34355.144299090563"/>
  </r>
  <r>
    <s v="Sistema de Compensação"/>
    <x v="1"/>
    <x v="4"/>
    <x v="7"/>
    <x v="3"/>
    <x v="0"/>
    <x v="0"/>
    <x v="2"/>
    <x v="0"/>
    <n v="0"/>
    <n v="0"/>
    <n v="4.92"/>
    <n v="4.92"/>
    <n v="4.92"/>
    <n v="4.92"/>
    <n v="17"/>
    <x v="0"/>
    <n v="0"/>
    <n v="0"/>
    <n v="17"/>
    <n v="54"/>
    <n v="0"/>
    <n v="91.27"/>
    <n v="112.89"/>
    <m/>
    <n v="104.67518343290003"/>
    <n v="115.04636092388508"/>
    <n v="0"/>
    <n v="449.04839999999996"/>
    <n v="555.41880000000003"/>
    <n v="0"/>
    <n v="515.00190248986814"/>
    <n v="566.02809574551452"/>
  </r>
  <r>
    <s v="Regular"/>
    <x v="1"/>
    <x v="4"/>
    <x v="7"/>
    <x v="3"/>
    <x v="0"/>
    <x v="0"/>
    <x v="2"/>
    <x v="1"/>
    <n v="0"/>
    <n v="0"/>
    <n v="303.66000000000003"/>
    <n v="303.66000000000003"/>
    <n v="303.66000000000003"/>
    <n v="303.66000000000003"/>
    <n v="383"/>
    <x v="0"/>
    <n v="0"/>
    <n v="0"/>
    <n v="17"/>
    <n v="54"/>
    <n v="0"/>
    <n v="91.27"/>
    <n v="112.89"/>
    <m/>
    <n v="104.67518343290003"/>
    <n v="115.04636092388508"/>
    <n v="0"/>
    <n v="27715.048200000001"/>
    <n v="34280.1774"/>
    <n v="0"/>
    <n v="31785.666201234424"/>
    <n v="34934.977958146948"/>
  </r>
  <r>
    <s v="Sistema de Compensação"/>
    <x v="1"/>
    <x v="4"/>
    <x v="7"/>
    <x v="3"/>
    <x v="0"/>
    <x v="0"/>
    <x v="2"/>
    <x v="1"/>
    <n v="0"/>
    <n v="0"/>
    <n v="4.92"/>
    <n v="4.92"/>
    <n v="4.92"/>
    <n v="4.92"/>
    <n v="14"/>
    <x v="0"/>
    <n v="0"/>
    <n v="0"/>
    <n v="17"/>
    <n v="54"/>
    <n v="0"/>
    <n v="91.27"/>
    <n v="112.89"/>
    <m/>
    <n v="104.67518343290003"/>
    <n v="115.04636092388508"/>
    <n v="0"/>
    <n v="449.04839999999996"/>
    <n v="555.41880000000003"/>
    <n v="0"/>
    <n v="515.00190248986814"/>
    <n v="566.02809574551452"/>
  </r>
  <r>
    <s v="Regular"/>
    <x v="1"/>
    <x v="4"/>
    <x v="7"/>
    <x v="3"/>
    <x v="0"/>
    <x v="0"/>
    <x v="2"/>
    <x v="2"/>
    <n v="0"/>
    <n v="0"/>
    <n v="311.31"/>
    <n v="311.31"/>
    <n v="311.31"/>
    <n v="311.31"/>
    <n v="380"/>
    <x v="0"/>
    <n v="0"/>
    <n v="0"/>
    <n v="17"/>
    <n v="54"/>
    <n v="0"/>
    <n v="91.27"/>
    <n v="112.89"/>
    <m/>
    <n v="104.67518343290003"/>
    <n v="115.04636092388508"/>
    <n v="0"/>
    <n v="28413.2637"/>
    <n v="35143.785900000003"/>
    <n v="0"/>
    <n v="32586.431354496108"/>
    <n v="35815.082619214663"/>
  </r>
  <r>
    <s v="Refaturamento - Regular"/>
    <x v="1"/>
    <x v="4"/>
    <x v="7"/>
    <x v="3"/>
    <x v="0"/>
    <x v="0"/>
    <x v="2"/>
    <x v="2"/>
    <n v="0"/>
    <n v="0"/>
    <n v="0.03"/>
    <n v="0.03"/>
    <n v="0.03"/>
    <n v="0.03"/>
    <n v="0"/>
    <x v="0"/>
    <n v="0"/>
    <n v="0"/>
    <n v="17"/>
    <n v="54"/>
    <n v="0"/>
    <n v="91.27"/>
    <n v="112.89"/>
    <m/>
    <n v="104.67518343290003"/>
    <n v="115.04636092388508"/>
    <n v="0"/>
    <n v="2.7380999999999998"/>
    <n v="3.3866999999999998"/>
    <n v="0"/>
    <n v="3.1402555029870007"/>
    <n v="3.4513908277165521"/>
  </r>
  <r>
    <s v="Sistema de Compensação"/>
    <x v="1"/>
    <x v="4"/>
    <x v="7"/>
    <x v="3"/>
    <x v="0"/>
    <x v="0"/>
    <x v="2"/>
    <x v="2"/>
    <n v="0"/>
    <n v="0"/>
    <n v="5.01"/>
    <n v="5.01"/>
    <n v="5.01"/>
    <n v="5.01"/>
    <n v="18"/>
    <x v="0"/>
    <n v="0"/>
    <n v="0"/>
    <n v="17"/>
    <n v="54"/>
    <n v="0"/>
    <n v="91.27"/>
    <n v="112.89"/>
    <m/>
    <n v="104.67518343290003"/>
    <n v="115.04636092388508"/>
    <n v="0"/>
    <n v="457.26269999999994"/>
    <n v="565.57889999999998"/>
    <n v="0"/>
    <n v="524.42266899882907"/>
    <n v="576.3822682286642"/>
  </r>
  <r>
    <s v="Regular"/>
    <x v="1"/>
    <x v="4"/>
    <x v="7"/>
    <x v="3"/>
    <x v="0"/>
    <x v="0"/>
    <x v="2"/>
    <x v="3"/>
    <n v="0"/>
    <n v="0"/>
    <n v="316.5"/>
    <n v="316.5"/>
    <n v="316.5"/>
    <n v="316.5"/>
    <n v="307"/>
    <x v="0"/>
    <n v="0"/>
    <n v="0"/>
    <n v="17"/>
    <n v="54"/>
    <n v="0"/>
    <n v="91.27"/>
    <n v="112.89"/>
    <m/>
    <n v="104.67518343290003"/>
    <n v="115.04636092388508"/>
    <n v="0"/>
    <n v="28886.954999999998"/>
    <n v="35729.684999999998"/>
    <n v="0"/>
    <n v="33129.695556512859"/>
    <n v="36412.173232409623"/>
  </r>
  <r>
    <s v="Refaturamento - Regular"/>
    <x v="1"/>
    <x v="4"/>
    <x v="7"/>
    <x v="3"/>
    <x v="0"/>
    <x v="0"/>
    <x v="2"/>
    <x v="3"/>
    <n v="0"/>
    <n v="0"/>
    <n v="0.75"/>
    <n v="0.75"/>
    <n v="0.75"/>
    <n v="0.75"/>
    <n v="10"/>
    <x v="0"/>
    <n v="0"/>
    <n v="0"/>
    <n v="17"/>
    <n v="54"/>
    <n v="0"/>
    <n v="91.27"/>
    <n v="112.89"/>
    <m/>
    <n v="104.67518343290003"/>
    <n v="115.04636092388508"/>
    <n v="0"/>
    <n v="68.452500000000001"/>
    <n v="84.667500000000004"/>
    <n v="0"/>
    <n v="78.506387574675017"/>
    <n v="86.28477069291381"/>
  </r>
  <r>
    <s v="Sistema de Compensação"/>
    <x v="1"/>
    <x v="4"/>
    <x v="7"/>
    <x v="3"/>
    <x v="0"/>
    <x v="0"/>
    <x v="2"/>
    <x v="3"/>
    <n v="0"/>
    <n v="0"/>
    <n v="4.8899999999999997"/>
    <n v="4.8899999999999997"/>
    <n v="4.8899999999999997"/>
    <n v="4.8899999999999997"/>
    <n v="16"/>
    <x v="0"/>
    <n v="0"/>
    <n v="0"/>
    <n v="17"/>
    <n v="54"/>
    <n v="0"/>
    <n v="91.27"/>
    <n v="112.89"/>
    <m/>
    <n v="104.67518343290003"/>
    <n v="115.04636092388508"/>
    <n v="0"/>
    <n v="446.31029999999993"/>
    <n v="552.03210000000001"/>
    <n v="0"/>
    <n v="511.86164698688111"/>
    <n v="562.576704917798"/>
  </r>
  <r>
    <s v="Sistema de Compensação"/>
    <x v="1"/>
    <x v="4"/>
    <x v="7"/>
    <x v="3"/>
    <x v="0"/>
    <x v="0"/>
    <x v="2"/>
    <x v="3"/>
    <n v="0"/>
    <n v="0"/>
    <n v="0.03"/>
    <n v="0.03"/>
    <n v="0.03"/>
    <n v="0.03"/>
    <n v="1"/>
    <x v="0"/>
    <n v="0"/>
    <n v="0"/>
    <n v="17"/>
    <n v="54"/>
    <n v="0"/>
    <n v="91.27"/>
    <n v="112.89"/>
    <m/>
    <n v="104.67518343290003"/>
    <n v="115.04636092388508"/>
    <n v="0"/>
    <n v="2.7380999999999998"/>
    <n v="3.3866999999999998"/>
    <n v="0"/>
    <n v="3.1402555029870007"/>
    <n v="3.4513908277165521"/>
  </r>
  <r>
    <s v="Regular"/>
    <x v="1"/>
    <x v="4"/>
    <x v="7"/>
    <x v="3"/>
    <x v="0"/>
    <x v="0"/>
    <x v="2"/>
    <x v="4"/>
    <n v="0"/>
    <n v="0"/>
    <n v="322.44"/>
    <n v="322.44"/>
    <n v="322.44"/>
    <n v="322.44"/>
    <n v="316"/>
    <x v="0"/>
    <n v="0"/>
    <n v="0"/>
    <n v="17"/>
    <n v="54"/>
    <n v="0"/>
    <n v="91.27"/>
    <n v="112.89"/>
    <m/>
    <n v="104.67518343290003"/>
    <n v="115.04636092388508"/>
    <n v="0"/>
    <n v="29429.0988"/>
    <n v="36400.251600000003"/>
    <n v="0"/>
    <n v="33751.466146104285"/>
    <n v="37095.548616297507"/>
  </r>
  <r>
    <s v="Refaturamento - Regular"/>
    <x v="1"/>
    <x v="4"/>
    <x v="7"/>
    <x v="3"/>
    <x v="0"/>
    <x v="0"/>
    <x v="2"/>
    <x v="4"/>
    <n v="0"/>
    <n v="0"/>
    <n v="0.24"/>
    <n v="0.24"/>
    <n v="0.24"/>
    <n v="0.24"/>
    <n v="5"/>
    <x v="0"/>
    <n v="0"/>
    <n v="0"/>
    <n v="17"/>
    <n v="54"/>
    <n v="0"/>
    <n v="91.27"/>
    <n v="112.89"/>
    <m/>
    <n v="104.67518343290003"/>
    <n v="115.04636092388508"/>
    <n v="0"/>
    <n v="21.904799999999998"/>
    <n v="27.093599999999999"/>
    <n v="0"/>
    <n v="25.122044023896006"/>
    <n v="27.611126621732417"/>
  </r>
  <r>
    <s v="Sistema de Compensação"/>
    <x v="1"/>
    <x v="4"/>
    <x v="7"/>
    <x v="3"/>
    <x v="0"/>
    <x v="0"/>
    <x v="2"/>
    <x v="4"/>
    <n v="0"/>
    <n v="0"/>
    <n v="5.0999999999999996"/>
    <n v="5.0999999999999996"/>
    <n v="5.0999999999999996"/>
    <n v="5.0999999999999996"/>
    <n v="16"/>
    <x v="0"/>
    <n v="0"/>
    <n v="0"/>
    <n v="17"/>
    <n v="54"/>
    <n v="0"/>
    <n v="91.27"/>
    <n v="112.89"/>
    <m/>
    <n v="104.67518343290003"/>
    <n v="115.04636092388508"/>
    <n v="0"/>
    <n v="465.47699999999998"/>
    <n v="575.73899999999992"/>
    <n v="0"/>
    <n v="533.8434355077901"/>
    <n v="586.73644071181388"/>
  </r>
  <r>
    <s v="Regular"/>
    <x v="1"/>
    <x v="4"/>
    <x v="7"/>
    <x v="3"/>
    <x v="0"/>
    <x v="0"/>
    <x v="2"/>
    <x v="5"/>
    <n v="0"/>
    <n v="0"/>
    <n v="330.03"/>
    <n v="330.03"/>
    <n v="330.03"/>
    <n v="330.03"/>
    <n v="314"/>
    <x v="0"/>
    <n v="0"/>
    <n v="0"/>
    <n v="17"/>
    <n v="54"/>
    <n v="0"/>
    <n v="91.27"/>
    <n v="112.89"/>
    <m/>
    <n v="104.67518343290003"/>
    <n v="115.04636092388508"/>
    <n v="0"/>
    <n v="30121.838099999997"/>
    <n v="37257.0867"/>
    <n v="0"/>
    <n v="34545.950788359994"/>
    <n v="37968.750495709792"/>
  </r>
  <r>
    <s v="Refaturamento - Regular"/>
    <x v="1"/>
    <x v="4"/>
    <x v="7"/>
    <x v="3"/>
    <x v="0"/>
    <x v="0"/>
    <x v="2"/>
    <x v="5"/>
    <n v="0"/>
    <n v="0"/>
    <n v="0.15"/>
    <n v="0.15"/>
    <n v="0.15"/>
    <n v="0.15"/>
    <n v="4"/>
    <x v="0"/>
    <n v="0"/>
    <n v="0"/>
    <n v="17"/>
    <n v="54"/>
    <n v="0"/>
    <n v="91.27"/>
    <n v="112.89"/>
    <m/>
    <n v="104.67518343290003"/>
    <n v="115.04636092388508"/>
    <n v="0"/>
    <n v="13.690499999999998"/>
    <n v="16.933499999999999"/>
    <n v="0"/>
    <n v="15.701277514935004"/>
    <n v="17.25695413858276"/>
  </r>
  <r>
    <s v="Sistema de Compensação"/>
    <x v="1"/>
    <x v="4"/>
    <x v="7"/>
    <x v="3"/>
    <x v="0"/>
    <x v="0"/>
    <x v="2"/>
    <x v="5"/>
    <n v="0"/>
    <n v="0"/>
    <n v="5.07"/>
    <n v="5.07"/>
    <n v="5.07"/>
    <n v="5.07"/>
    <n v="17"/>
    <x v="0"/>
    <n v="0"/>
    <n v="0"/>
    <n v="17"/>
    <n v="54"/>
    <n v="0"/>
    <n v="91.27"/>
    <n v="112.89"/>
    <m/>
    <n v="104.67518343290003"/>
    <n v="115.04636092388508"/>
    <n v="0"/>
    <n v="462.7389"/>
    <n v="572.35230000000001"/>
    <n v="0"/>
    <n v="530.70318000480313"/>
    <n v="583.28504988409736"/>
  </r>
  <r>
    <s v="Regular"/>
    <x v="1"/>
    <x v="4"/>
    <x v="7"/>
    <x v="3"/>
    <x v="0"/>
    <x v="0"/>
    <x v="2"/>
    <x v="6"/>
    <n v="0"/>
    <n v="0"/>
    <n v="397.71"/>
    <n v="397.71"/>
    <n v="397.71"/>
    <n v="397.71"/>
    <n v="433"/>
    <x v="0"/>
    <n v="0"/>
    <n v="0"/>
    <n v="17"/>
    <n v="54"/>
    <n v="0"/>
    <n v="91.27"/>
    <n v="112.89"/>
    <m/>
    <n v="104.67518343290003"/>
    <n v="115.04636092388508"/>
    <n v="0"/>
    <n v="36298.991699999999"/>
    <n v="44897.481899999999"/>
    <n v="0"/>
    <n v="41630.367203098671"/>
    <n v="45755.088203038329"/>
  </r>
  <r>
    <s v="Refaturamento - Regular"/>
    <x v="1"/>
    <x v="4"/>
    <x v="7"/>
    <x v="3"/>
    <x v="0"/>
    <x v="0"/>
    <x v="2"/>
    <x v="6"/>
    <n v="0"/>
    <n v="0"/>
    <n v="0.27"/>
    <n v="0.27"/>
    <n v="0.27"/>
    <n v="0.27"/>
    <n v="4"/>
    <x v="0"/>
    <n v="0"/>
    <n v="0"/>
    <n v="17"/>
    <n v="54"/>
    <n v="0"/>
    <n v="91.27"/>
    <n v="112.89"/>
    <m/>
    <n v="104.67518343290003"/>
    <n v="115.04636092388508"/>
    <n v="0"/>
    <n v="24.642900000000001"/>
    <n v="30.480300000000003"/>
    <n v="0"/>
    <n v="28.262299526883009"/>
    <n v="31.062517449448972"/>
  </r>
  <r>
    <s v="Sistema de Compensação"/>
    <x v="1"/>
    <x v="4"/>
    <x v="7"/>
    <x v="3"/>
    <x v="0"/>
    <x v="0"/>
    <x v="2"/>
    <x v="6"/>
    <n v="0"/>
    <n v="0"/>
    <n v="5.64"/>
    <n v="5.64"/>
    <n v="5.64"/>
    <n v="5.64"/>
    <n v="25"/>
    <x v="0"/>
    <n v="0"/>
    <n v="0"/>
    <n v="17"/>
    <n v="54"/>
    <n v="0"/>
    <n v="91.27"/>
    <n v="112.89"/>
    <m/>
    <n v="104.67518343290003"/>
    <n v="115.04636092388508"/>
    <n v="0"/>
    <n v="514.76279999999997"/>
    <n v="636.69959999999992"/>
    <n v="0"/>
    <n v="590.3680345615561"/>
    <n v="648.86147561071175"/>
  </r>
  <r>
    <s v="Regular"/>
    <x v="1"/>
    <x v="4"/>
    <x v="7"/>
    <x v="3"/>
    <x v="0"/>
    <x v="0"/>
    <x v="2"/>
    <x v="7"/>
    <n v="0"/>
    <n v="0"/>
    <n v="404.76"/>
    <n v="404.76"/>
    <n v="404.76"/>
    <n v="404.76"/>
    <n v="389"/>
    <x v="0"/>
    <n v="0"/>
    <n v="0"/>
    <n v="17"/>
    <n v="54"/>
    <n v="0"/>
    <n v="91.27"/>
    <n v="112.89"/>
    <m/>
    <n v="104.67518343290003"/>
    <n v="115.04636092388508"/>
    <n v="0"/>
    <n v="36942.445199999995"/>
    <n v="45693.356399999997"/>
    <n v="0"/>
    <n v="42368.327246300614"/>
    <n v="46566.165047551724"/>
  </r>
  <r>
    <s v="Refaturamento - Regular"/>
    <x v="1"/>
    <x v="4"/>
    <x v="7"/>
    <x v="3"/>
    <x v="0"/>
    <x v="0"/>
    <x v="2"/>
    <x v="7"/>
    <n v="0"/>
    <n v="0"/>
    <n v="0.18"/>
    <n v="0.18"/>
    <n v="0.18"/>
    <n v="0.18"/>
    <n v="2"/>
    <x v="0"/>
    <n v="0"/>
    <n v="0"/>
    <n v="17"/>
    <n v="54"/>
    <n v="0"/>
    <n v="91.27"/>
    <n v="112.89"/>
    <m/>
    <n v="104.67518343290003"/>
    <n v="115.04636092388508"/>
    <n v="0"/>
    <n v="16.428599999999999"/>
    <n v="20.3202"/>
    <n v="0"/>
    <n v="18.841533017922004"/>
    <n v="20.708344966299311"/>
  </r>
  <r>
    <s v="Sistema de Compensação"/>
    <x v="1"/>
    <x v="4"/>
    <x v="7"/>
    <x v="3"/>
    <x v="0"/>
    <x v="0"/>
    <x v="2"/>
    <x v="7"/>
    <n v="0"/>
    <n v="0"/>
    <n v="5.46"/>
    <n v="5.46"/>
    <n v="5.46"/>
    <n v="5.46"/>
    <n v="19"/>
    <x v="0"/>
    <n v="0"/>
    <n v="0"/>
    <n v="17"/>
    <n v="54"/>
    <n v="0"/>
    <n v="91.27"/>
    <n v="112.89"/>
    <m/>
    <n v="104.67518343290003"/>
    <n v="115.04636092388508"/>
    <n v="0"/>
    <n v="498.33419999999995"/>
    <n v="616.37940000000003"/>
    <n v="0"/>
    <n v="571.52650154363414"/>
    <n v="628.1531306444125"/>
  </r>
  <r>
    <s v="Regular"/>
    <x v="1"/>
    <x v="4"/>
    <x v="7"/>
    <x v="3"/>
    <x v="0"/>
    <x v="0"/>
    <x v="2"/>
    <x v="8"/>
    <n v="0"/>
    <n v="0"/>
    <n v="373.44"/>
    <n v="373.44"/>
    <n v="373.44"/>
    <n v="373.44"/>
    <n v="462"/>
    <x v="0"/>
    <n v="0"/>
    <n v="0"/>
    <n v="17"/>
    <n v="54"/>
    <n v="0"/>
    <n v="91.27"/>
    <n v="112.89"/>
    <m/>
    <n v="104.67518343290003"/>
    <n v="115.04636092388508"/>
    <n v="0"/>
    <n v="34083.868799999997"/>
    <n v="42157.641600000003"/>
    <n v="0"/>
    <n v="39089.900501182186"/>
    <n v="42962.91302341564"/>
  </r>
  <r>
    <s v="Refaturamento - Regular"/>
    <x v="1"/>
    <x v="4"/>
    <x v="7"/>
    <x v="3"/>
    <x v="0"/>
    <x v="0"/>
    <x v="2"/>
    <x v="8"/>
    <n v="0"/>
    <n v="0"/>
    <n v="0.12"/>
    <n v="0.12"/>
    <n v="0.12"/>
    <n v="0.12"/>
    <n v="1"/>
    <x v="0"/>
    <n v="0"/>
    <n v="0"/>
    <n v="17"/>
    <n v="54"/>
    <n v="0"/>
    <n v="91.27"/>
    <n v="112.89"/>
    <m/>
    <n v="104.67518343290003"/>
    <n v="115.04636092388508"/>
    <n v="0"/>
    <n v="10.952399999999999"/>
    <n v="13.546799999999999"/>
    <n v="0"/>
    <n v="12.561022011948003"/>
    <n v="13.805563310866209"/>
  </r>
  <r>
    <s v="Sistema de Compensação"/>
    <x v="1"/>
    <x v="4"/>
    <x v="7"/>
    <x v="3"/>
    <x v="0"/>
    <x v="0"/>
    <x v="2"/>
    <x v="8"/>
    <n v="0"/>
    <n v="0"/>
    <n v="4.92"/>
    <n v="4.92"/>
    <n v="4.92"/>
    <n v="4.92"/>
    <n v="17"/>
    <x v="0"/>
    <n v="0"/>
    <n v="0"/>
    <n v="17"/>
    <n v="54"/>
    <n v="0"/>
    <n v="91.27"/>
    <n v="112.89"/>
    <m/>
    <n v="104.67518343290003"/>
    <n v="115.04636092388508"/>
    <n v="0"/>
    <n v="449.04839999999996"/>
    <n v="555.41880000000003"/>
    <n v="0"/>
    <n v="515.00190248986814"/>
    <n v="566.02809574551452"/>
  </r>
  <r>
    <s v="Regular"/>
    <x v="1"/>
    <x v="4"/>
    <x v="7"/>
    <x v="3"/>
    <x v="0"/>
    <x v="0"/>
    <x v="2"/>
    <x v="9"/>
    <n v="0"/>
    <n v="0"/>
    <n v="393.57"/>
    <n v="393.57"/>
    <n v="393.57"/>
    <n v="393.57"/>
    <n v="524"/>
    <x v="0"/>
    <n v="0"/>
    <n v="0"/>
    <n v="17"/>
    <n v="54"/>
    <n v="0"/>
    <n v="91.27"/>
    <n v="112.89"/>
    <m/>
    <n v="104.67518343290003"/>
    <n v="115.04636092388508"/>
    <n v="0"/>
    <n v="35921.133900000001"/>
    <n v="44430.117299999998"/>
    <n v="0"/>
    <n v="41197.011943686462"/>
    <n v="45278.79626881345"/>
  </r>
  <r>
    <s v="Refaturamento - Regular"/>
    <x v="1"/>
    <x v="4"/>
    <x v="7"/>
    <x v="3"/>
    <x v="0"/>
    <x v="0"/>
    <x v="2"/>
    <x v="9"/>
    <n v="0"/>
    <n v="0"/>
    <n v="0.12"/>
    <n v="0.12"/>
    <n v="0.12"/>
    <n v="0.12"/>
    <n v="2"/>
    <x v="0"/>
    <n v="0"/>
    <n v="0"/>
    <n v="17"/>
    <n v="54"/>
    <n v="0"/>
    <n v="91.27"/>
    <n v="112.89"/>
    <m/>
    <n v="104.67518343290003"/>
    <n v="115.04636092388508"/>
    <n v="0"/>
    <n v="10.952399999999999"/>
    <n v="13.546799999999999"/>
    <n v="0"/>
    <n v="12.561022011948003"/>
    <n v="13.805563310866209"/>
  </r>
  <r>
    <s v="Sistema de Compensação"/>
    <x v="1"/>
    <x v="4"/>
    <x v="7"/>
    <x v="3"/>
    <x v="0"/>
    <x v="0"/>
    <x v="2"/>
    <x v="9"/>
    <n v="0"/>
    <n v="0"/>
    <n v="5.25"/>
    <n v="5.25"/>
    <n v="5.25"/>
    <n v="5.25"/>
    <n v="20"/>
    <x v="0"/>
    <n v="0"/>
    <n v="0"/>
    <n v="17"/>
    <n v="54"/>
    <n v="0"/>
    <n v="91.27"/>
    <n v="112.89"/>
    <m/>
    <n v="104.67518343290003"/>
    <n v="115.04636092388508"/>
    <n v="0"/>
    <n v="479.16749999999996"/>
    <n v="592.67250000000001"/>
    <n v="0"/>
    <n v="549.54471302272509"/>
    <n v="603.99339485039661"/>
  </r>
  <r>
    <s v="Regular"/>
    <x v="1"/>
    <x v="4"/>
    <x v="7"/>
    <x v="3"/>
    <x v="0"/>
    <x v="0"/>
    <x v="2"/>
    <x v="10"/>
    <n v="0"/>
    <n v="0"/>
    <n v="332.52"/>
    <n v="332.52"/>
    <n v="332.52"/>
    <n v="332.52"/>
    <n v="445"/>
    <x v="0"/>
    <n v="0"/>
    <n v="0"/>
    <n v="17"/>
    <n v="54"/>
    <n v="0"/>
    <n v="91.27"/>
    <n v="112.89"/>
    <m/>
    <n v="104.67518343290003"/>
    <n v="115.04636092388508"/>
    <n v="0"/>
    <n v="30349.100399999996"/>
    <n v="37538.182799999995"/>
    <n v="0"/>
    <n v="34806.591995107912"/>
    <n v="38255.215934410262"/>
  </r>
  <r>
    <s v="Refaturamento - Regular"/>
    <x v="1"/>
    <x v="4"/>
    <x v="7"/>
    <x v="3"/>
    <x v="0"/>
    <x v="0"/>
    <x v="2"/>
    <x v="10"/>
    <n v="0"/>
    <n v="0"/>
    <n v="0.18"/>
    <n v="0.18"/>
    <n v="0.18"/>
    <n v="0.18"/>
    <n v="4"/>
    <x v="0"/>
    <n v="0"/>
    <n v="0"/>
    <n v="17"/>
    <n v="54"/>
    <n v="0"/>
    <n v="91.27"/>
    <n v="112.89"/>
    <m/>
    <n v="104.67518343290003"/>
    <n v="115.04636092388508"/>
    <n v="0"/>
    <n v="16.428599999999999"/>
    <n v="20.3202"/>
    <n v="0"/>
    <n v="18.841533017922004"/>
    <n v="20.708344966299311"/>
  </r>
  <r>
    <s v="Sistema de Compensação"/>
    <x v="1"/>
    <x v="4"/>
    <x v="7"/>
    <x v="3"/>
    <x v="0"/>
    <x v="0"/>
    <x v="2"/>
    <x v="10"/>
    <n v="0"/>
    <n v="0"/>
    <n v="4.5"/>
    <n v="4.5"/>
    <n v="4.5"/>
    <n v="4.5"/>
    <n v="16"/>
    <x v="0"/>
    <n v="0"/>
    <n v="0"/>
    <n v="17"/>
    <n v="54"/>
    <n v="0"/>
    <n v="91.27"/>
    <n v="112.89"/>
    <m/>
    <n v="104.67518343290003"/>
    <n v="115.04636092388508"/>
    <n v="0"/>
    <n v="410.71499999999997"/>
    <n v="508.005"/>
    <n v="0"/>
    <n v="471.0383254480501"/>
    <n v="517.70862415748286"/>
  </r>
  <r>
    <s v="PROJETADO"/>
    <x v="1"/>
    <x v="4"/>
    <x v="7"/>
    <x v="3"/>
    <x v="0"/>
    <x v="0"/>
    <x v="2"/>
    <x v="11"/>
    <n v="0"/>
    <n v="0"/>
    <n v="332.52"/>
    <n v="332.52"/>
    <n v="332.52"/>
    <n v="332.52"/>
    <n v="445"/>
    <x v="0"/>
    <n v="0"/>
    <n v="0"/>
    <n v="17"/>
    <n v="54"/>
    <n v="0"/>
    <n v="91.27"/>
    <n v="112.89"/>
    <m/>
    <n v="104.67518343290003"/>
    <n v="115.04636092388508"/>
    <n v="0"/>
    <n v="30349.100399999996"/>
    <n v="37538.182799999995"/>
    <n v="0"/>
    <n v="34806.591995107912"/>
    <n v="38255.215934410262"/>
  </r>
  <r>
    <s v="PROJETADO"/>
    <x v="1"/>
    <x v="4"/>
    <x v="7"/>
    <x v="3"/>
    <x v="0"/>
    <x v="0"/>
    <x v="2"/>
    <x v="11"/>
    <n v="0"/>
    <n v="0"/>
    <n v="0.18"/>
    <n v="0.18"/>
    <n v="0.18"/>
    <n v="0.18"/>
    <n v="4"/>
    <x v="0"/>
    <n v="0"/>
    <n v="0"/>
    <n v="17"/>
    <n v="54"/>
    <n v="0"/>
    <n v="91.27"/>
    <n v="112.89"/>
    <m/>
    <n v="104.67518343290003"/>
    <n v="115.04636092388508"/>
    <n v="0"/>
    <n v="16.428599999999999"/>
    <n v="20.3202"/>
    <n v="0"/>
    <n v="18.841533017922004"/>
    <n v="20.708344966299311"/>
  </r>
  <r>
    <s v="PROJETADO"/>
    <x v="1"/>
    <x v="4"/>
    <x v="7"/>
    <x v="3"/>
    <x v="0"/>
    <x v="0"/>
    <x v="2"/>
    <x v="11"/>
    <n v="0"/>
    <n v="0"/>
    <n v="4.5"/>
    <n v="4.5"/>
    <n v="4.5"/>
    <n v="4.5"/>
    <n v="16"/>
    <x v="0"/>
    <n v="0"/>
    <n v="0"/>
    <n v="17"/>
    <n v="54"/>
    <n v="0"/>
    <n v="91.27"/>
    <n v="112.89"/>
    <m/>
    <n v="104.67518343290003"/>
    <n v="115.04636092388508"/>
    <n v="0"/>
    <n v="410.71499999999997"/>
    <n v="508.005"/>
    <n v="0"/>
    <n v="471.0383254480501"/>
    <n v="517.70862415748286"/>
  </r>
  <r>
    <s v="Regular"/>
    <x v="1"/>
    <x v="4"/>
    <x v="7"/>
    <x v="4"/>
    <x v="0"/>
    <x v="0"/>
    <x v="2"/>
    <x v="0"/>
    <n v="0"/>
    <n v="0"/>
    <n v="597.149"/>
    <n v="597.149"/>
    <n v="597.149"/>
    <n v="597.149"/>
    <n v="2679"/>
    <x v="0"/>
    <n v="0"/>
    <n v="0"/>
    <n v="18"/>
    <n v="55"/>
    <n v="0"/>
    <n v="156.46"/>
    <n v="193.53"/>
    <m/>
    <n v="179.4431715992572"/>
    <n v="197.22233301237443"/>
    <n v="0"/>
    <n v="93429.932540000009"/>
    <n v="115566.24597"/>
    <n v="0"/>
    <n v="107154.31047732483"/>
    <n v="117771.11893600639"/>
  </r>
  <r>
    <s v="Sistema de Compensação"/>
    <x v="1"/>
    <x v="4"/>
    <x v="7"/>
    <x v="4"/>
    <x v="0"/>
    <x v="0"/>
    <x v="2"/>
    <x v="0"/>
    <n v="0"/>
    <n v="0"/>
    <n v="8.1050000000000004"/>
    <n v="8.1050000000000004"/>
    <n v="8.1050000000000004"/>
    <n v="8.1050000000000004"/>
    <n v="66"/>
    <x v="0"/>
    <n v="0"/>
    <n v="0"/>
    <n v="18"/>
    <n v="55"/>
    <n v="0"/>
    <n v="156.46"/>
    <n v="193.53"/>
    <m/>
    <n v="179.4431715992572"/>
    <n v="197.22233301237443"/>
    <n v="0"/>
    <n v="1268.1083000000001"/>
    <n v="1568.5606500000001"/>
    <n v="0"/>
    <n v="1454.3869058119797"/>
    <n v="1598.4870090652948"/>
  </r>
  <r>
    <s v="Regular"/>
    <x v="1"/>
    <x v="4"/>
    <x v="7"/>
    <x v="4"/>
    <x v="0"/>
    <x v="0"/>
    <x v="2"/>
    <x v="1"/>
    <n v="0"/>
    <n v="0"/>
    <n v="615.96799999999996"/>
    <n v="615.96799999999996"/>
    <n v="615.96799999999996"/>
    <n v="615.96799999999996"/>
    <n v="2497"/>
    <x v="0"/>
    <n v="0"/>
    <n v="0"/>
    <n v="18"/>
    <n v="55"/>
    <n v="0"/>
    <n v="156.46"/>
    <n v="193.53"/>
    <m/>
    <n v="179.4431715992572"/>
    <n v="197.22233301237443"/>
    <n v="0"/>
    <n v="96374.353279999996"/>
    <n v="119208.28704"/>
    <n v="0"/>
    <n v="110531.25152365126"/>
    <n v="121482.64602096625"/>
  </r>
  <r>
    <s v="Sistema de Compensação"/>
    <x v="1"/>
    <x v="4"/>
    <x v="7"/>
    <x v="4"/>
    <x v="0"/>
    <x v="0"/>
    <x v="2"/>
    <x v="1"/>
    <n v="0"/>
    <n v="0"/>
    <n v="8.7520000000000007"/>
    <n v="8.7520000000000007"/>
    <n v="8.7520000000000007"/>
    <n v="8.7520000000000007"/>
    <n v="60"/>
    <x v="0"/>
    <n v="0"/>
    <n v="0"/>
    <n v="18"/>
    <n v="55"/>
    <n v="0"/>
    <n v="156.46"/>
    <n v="193.53"/>
    <m/>
    <n v="179.4431715992572"/>
    <n v="197.22233301237443"/>
    <n v="0"/>
    <n v="1369.3379200000002"/>
    <n v="1693.7745600000001"/>
    <n v="0"/>
    <n v="1570.4866378366992"/>
    <n v="1726.0898585243012"/>
  </r>
  <r>
    <s v="Regular"/>
    <x v="1"/>
    <x v="4"/>
    <x v="7"/>
    <x v="4"/>
    <x v="0"/>
    <x v="0"/>
    <x v="2"/>
    <x v="2"/>
    <n v="0"/>
    <n v="0"/>
    <n v="626.92399999999998"/>
    <n v="626.92399999999998"/>
    <n v="626.92399999999998"/>
    <n v="626.92399999999998"/>
    <n v="2712"/>
    <x v="0"/>
    <n v="0"/>
    <n v="0"/>
    <n v="18"/>
    <n v="55"/>
    <n v="0"/>
    <n v="156.46"/>
    <n v="193.53"/>
    <m/>
    <n v="179.4431715992572"/>
    <n v="197.22233301237443"/>
    <n v="0"/>
    <n v="98088.529040000009"/>
    <n v="121328.60171999999"/>
    <n v="0"/>
    <n v="112497.23091169272"/>
    <n v="123643.41390144982"/>
  </r>
  <r>
    <s v="Refaturamento - Regular"/>
    <x v="1"/>
    <x v="4"/>
    <x v="7"/>
    <x v="4"/>
    <x v="0"/>
    <x v="0"/>
    <x v="2"/>
    <x v="2"/>
    <n v="0"/>
    <n v="0"/>
    <n v="3.1E-2"/>
    <n v="3.1E-2"/>
    <n v="3.1E-2"/>
    <n v="3.1E-2"/>
    <n v="1"/>
    <x v="0"/>
    <n v="0"/>
    <n v="0"/>
    <n v="18"/>
    <n v="55"/>
    <n v="0"/>
    <n v="156.46"/>
    <n v="193.53"/>
    <m/>
    <n v="179.4431715992572"/>
    <n v="197.22233301237443"/>
    <n v="0"/>
    <n v="4.8502600000000005"/>
    <n v="5.9994300000000003"/>
    <n v="0"/>
    <n v="5.5627383195769733"/>
    <n v="6.1138923233836078"/>
  </r>
  <r>
    <s v="Sistema de Compensação"/>
    <x v="1"/>
    <x v="4"/>
    <x v="7"/>
    <x v="4"/>
    <x v="0"/>
    <x v="0"/>
    <x v="2"/>
    <x v="2"/>
    <n v="0"/>
    <n v="0"/>
    <n v="8.3179999999999996"/>
    <n v="8.3179999999999996"/>
    <n v="8.3179999999999996"/>
    <n v="8.3179999999999996"/>
    <n v="68"/>
    <x v="0"/>
    <n v="0"/>
    <n v="0"/>
    <n v="18"/>
    <n v="55"/>
    <n v="0"/>
    <n v="156.46"/>
    <n v="193.53"/>
    <m/>
    <n v="179.4431715992572"/>
    <n v="197.22233301237443"/>
    <n v="0"/>
    <n v="1301.4342799999999"/>
    <n v="1609.7825399999999"/>
    <n v="0"/>
    <n v="1492.6083013626212"/>
    <n v="1640.4953659969306"/>
  </r>
  <r>
    <s v="Regular"/>
    <x v="1"/>
    <x v="4"/>
    <x v="7"/>
    <x v="4"/>
    <x v="0"/>
    <x v="0"/>
    <x v="2"/>
    <x v="3"/>
    <n v="0"/>
    <n v="0"/>
    <n v="646.73"/>
    <n v="646.73"/>
    <n v="646.73"/>
    <n v="646.73"/>
    <n v="2623"/>
    <x v="0"/>
    <n v="0"/>
    <n v="0"/>
    <n v="18"/>
    <n v="55"/>
    <n v="0"/>
    <n v="156.46"/>
    <n v="193.53"/>
    <m/>
    <n v="179.4431715992572"/>
    <n v="197.22233301237443"/>
    <n v="0"/>
    <n v="101187.37580000001"/>
    <n v="125161.6569"/>
    <n v="0"/>
    <n v="116051.2823683876"/>
    <n v="127549.59942909292"/>
  </r>
  <r>
    <s v="Refaturamento - Regular"/>
    <x v="1"/>
    <x v="4"/>
    <x v="7"/>
    <x v="4"/>
    <x v="0"/>
    <x v="0"/>
    <x v="2"/>
    <x v="3"/>
    <n v="0"/>
    <n v="0"/>
    <n v="0.26400000000000001"/>
    <n v="0.26400000000000001"/>
    <n v="0.26400000000000001"/>
    <n v="0.26400000000000001"/>
    <n v="14"/>
    <x v="0"/>
    <n v="0"/>
    <n v="0"/>
    <n v="18"/>
    <n v="55"/>
    <n v="0"/>
    <n v="156.46"/>
    <n v="193.53"/>
    <m/>
    <n v="179.4431715992572"/>
    <n v="197.22233301237443"/>
    <n v="0"/>
    <n v="41.305440000000004"/>
    <n v="51.091920000000002"/>
    <n v="0"/>
    <n v="47.372997302203899"/>
    <n v="52.066695915266855"/>
  </r>
  <r>
    <s v="Sistema de Compensação"/>
    <x v="1"/>
    <x v="4"/>
    <x v="7"/>
    <x v="4"/>
    <x v="0"/>
    <x v="0"/>
    <x v="2"/>
    <x v="3"/>
    <n v="0"/>
    <n v="0"/>
    <n v="8.0549999999999997"/>
    <n v="8.0549999999999997"/>
    <n v="8.0549999999999997"/>
    <n v="8.0549999999999997"/>
    <n v="71"/>
    <x v="0"/>
    <n v="0"/>
    <n v="0"/>
    <n v="18"/>
    <n v="55"/>
    <n v="0"/>
    <n v="156.46"/>
    <n v="193.53"/>
    <m/>
    <n v="179.4431715992572"/>
    <n v="197.22233301237443"/>
    <n v="0"/>
    <n v="1260.2853"/>
    <n v="1558.8841499999999"/>
    <n v="0"/>
    <n v="1445.4147472320167"/>
    <n v="1588.6258924146759"/>
  </r>
  <r>
    <s v="Regular"/>
    <x v="1"/>
    <x v="4"/>
    <x v="7"/>
    <x v="4"/>
    <x v="0"/>
    <x v="0"/>
    <x v="2"/>
    <x v="4"/>
    <n v="0"/>
    <n v="0"/>
    <n v="668.20899999999995"/>
    <n v="668.20899999999995"/>
    <n v="668.20899999999995"/>
    <n v="668.20899999999995"/>
    <n v="2371"/>
    <x v="0"/>
    <n v="0"/>
    <n v="0"/>
    <n v="18"/>
    <n v="55"/>
    <n v="0"/>
    <n v="156.46"/>
    <n v="193.53"/>
    <m/>
    <n v="179.4431715992572"/>
    <n v="197.22233301237443"/>
    <n v="0"/>
    <n v="104547.98014"/>
    <n v="129318.48776999999"/>
    <n v="0"/>
    <n v="119905.54225116804"/>
    <n v="131785.7379198657"/>
  </r>
  <r>
    <s v="Refaturamento - Regular"/>
    <x v="1"/>
    <x v="4"/>
    <x v="7"/>
    <x v="4"/>
    <x v="0"/>
    <x v="0"/>
    <x v="2"/>
    <x v="4"/>
    <n v="0"/>
    <n v="0"/>
    <n v="9.7000000000000003E-2"/>
    <n v="9.7000000000000003E-2"/>
    <n v="9.7000000000000003E-2"/>
    <n v="9.7000000000000003E-2"/>
    <n v="2"/>
    <x v="0"/>
    <n v="0"/>
    <n v="0"/>
    <n v="18"/>
    <n v="55"/>
    <n v="0"/>
    <n v="156.46"/>
    <n v="193.53"/>
    <m/>
    <n v="179.4431715992572"/>
    <n v="197.22233301237443"/>
    <n v="0"/>
    <n v="15.176620000000002"/>
    <n v="18.772410000000001"/>
    <n v="0"/>
    <n v="17.405987645127947"/>
    <n v="19.130566302200322"/>
  </r>
  <r>
    <s v="Sistema de Compensação"/>
    <x v="1"/>
    <x v="4"/>
    <x v="7"/>
    <x v="4"/>
    <x v="0"/>
    <x v="0"/>
    <x v="2"/>
    <x v="4"/>
    <n v="0"/>
    <n v="0"/>
    <n v="9.0340000000000007"/>
    <n v="9.0340000000000007"/>
    <n v="9.0340000000000007"/>
    <n v="9.0340000000000007"/>
    <n v="65"/>
    <x v="0"/>
    <n v="0"/>
    <n v="0"/>
    <n v="18"/>
    <n v="55"/>
    <n v="0"/>
    <n v="156.46"/>
    <n v="193.53"/>
    <m/>
    <n v="179.4431715992572"/>
    <n v="197.22233301237443"/>
    <n v="0"/>
    <n v="1413.4596400000003"/>
    <n v="1748.3500200000001"/>
    <n v="0"/>
    <n v="1621.0896122276897"/>
    <n v="1781.7065564337909"/>
  </r>
  <r>
    <s v="Regular"/>
    <x v="1"/>
    <x v="4"/>
    <x v="7"/>
    <x v="4"/>
    <x v="0"/>
    <x v="0"/>
    <x v="2"/>
    <x v="5"/>
    <n v="0"/>
    <n v="0"/>
    <n v="690.976"/>
    <n v="690.976"/>
    <n v="690.976"/>
    <n v="690.976"/>
    <n v="2199"/>
    <x v="0"/>
    <n v="0"/>
    <n v="0"/>
    <n v="18"/>
    <n v="55"/>
    <n v="0"/>
    <n v="156.46"/>
    <n v="193.53"/>
    <m/>
    <n v="179.4431715992572"/>
    <n v="197.22233301237443"/>
    <n v="0"/>
    <n v="108110.10496000001"/>
    <n v="133724.58528"/>
    <n v="0"/>
    <n v="123990.92493896834"/>
    <n v="136275.89877555842"/>
  </r>
  <r>
    <s v="Refaturamento - Regular"/>
    <x v="1"/>
    <x v="4"/>
    <x v="7"/>
    <x v="4"/>
    <x v="0"/>
    <x v="0"/>
    <x v="2"/>
    <x v="5"/>
    <n v="0"/>
    <n v="0"/>
    <n v="6.0000000000000001E-3"/>
    <n v="6.0000000000000001E-3"/>
    <n v="6.0000000000000001E-3"/>
    <n v="6.0000000000000001E-3"/>
    <n v="1"/>
    <x v="0"/>
    <n v="0"/>
    <n v="0"/>
    <n v="18"/>
    <n v="55"/>
    <n v="0"/>
    <n v="156.46"/>
    <n v="193.53"/>
    <m/>
    <n v="179.4431715992572"/>
    <n v="197.22233301237443"/>
    <n v="0"/>
    <n v="0.93876000000000004"/>
    <n v="1.1611800000000001"/>
    <n v="0"/>
    <n v="1.0766590295955432"/>
    <n v="1.1833339980742466"/>
  </r>
  <r>
    <s v="Sistema de Compensação"/>
    <x v="1"/>
    <x v="4"/>
    <x v="7"/>
    <x v="4"/>
    <x v="0"/>
    <x v="0"/>
    <x v="2"/>
    <x v="5"/>
    <n v="0"/>
    <n v="0"/>
    <n v="8.9779999999999998"/>
    <n v="8.9779999999999998"/>
    <n v="8.9779999999999998"/>
    <n v="8.9779999999999998"/>
    <n v="56"/>
    <x v="0"/>
    <n v="0"/>
    <n v="0"/>
    <n v="18"/>
    <n v="55"/>
    <n v="0"/>
    <n v="156.46"/>
    <n v="193.53"/>
    <m/>
    <n v="179.4431715992572"/>
    <n v="197.22233301237443"/>
    <n v="0"/>
    <n v="1404.6978799999999"/>
    <n v="1737.51234"/>
    <n v="0"/>
    <n v="1611.040794618131"/>
    <n v="1770.6621057850975"/>
  </r>
  <r>
    <s v="Regular"/>
    <x v="1"/>
    <x v="4"/>
    <x v="7"/>
    <x v="4"/>
    <x v="0"/>
    <x v="0"/>
    <x v="2"/>
    <x v="6"/>
    <n v="0"/>
    <n v="0"/>
    <n v="826.26599999999996"/>
    <n v="826.26599999999996"/>
    <n v="826.26599999999996"/>
    <n v="826.26599999999996"/>
    <n v="2738"/>
    <x v="0"/>
    <n v="0"/>
    <n v="0"/>
    <n v="18"/>
    <n v="55"/>
    <n v="0"/>
    <n v="156.46"/>
    <n v="193.53"/>
    <m/>
    <n v="179.4431715992572"/>
    <n v="197.22233301237443"/>
    <n v="0"/>
    <n v="129277.57836"/>
    <n v="159907.25897999998"/>
    <n v="0"/>
    <n v="148267.79162463185"/>
    <n v="162958.10820880256"/>
  </r>
  <r>
    <s v="Refaturamento - Regular"/>
    <x v="1"/>
    <x v="4"/>
    <x v="7"/>
    <x v="4"/>
    <x v="0"/>
    <x v="0"/>
    <x v="2"/>
    <x v="6"/>
    <n v="0"/>
    <n v="0"/>
    <n v="0.20300000000000001"/>
    <n v="0.20300000000000001"/>
    <n v="0.20300000000000001"/>
    <n v="0.20300000000000001"/>
    <n v="3"/>
    <x v="0"/>
    <n v="0"/>
    <n v="0"/>
    <n v="18"/>
    <n v="55"/>
    <n v="0"/>
    <n v="156.46"/>
    <n v="193.53"/>
    <m/>
    <n v="179.4431715992572"/>
    <n v="197.22233301237443"/>
    <n v="0"/>
    <n v="31.761380000000003"/>
    <n v="39.286590000000004"/>
    <n v="0"/>
    <n v="36.426963834649214"/>
    <n v="40.036133601512013"/>
  </r>
  <r>
    <s v="Sistema de Compensação"/>
    <x v="1"/>
    <x v="4"/>
    <x v="7"/>
    <x v="4"/>
    <x v="0"/>
    <x v="0"/>
    <x v="2"/>
    <x v="6"/>
    <n v="0"/>
    <n v="0"/>
    <n v="9.8320000000000007"/>
    <n v="9.8320000000000007"/>
    <n v="9.8320000000000007"/>
    <n v="9.8320000000000007"/>
    <n v="65"/>
    <x v="0"/>
    <n v="0"/>
    <n v="0"/>
    <n v="18"/>
    <n v="55"/>
    <n v="0"/>
    <n v="156.46"/>
    <n v="193.53"/>
    <m/>
    <n v="179.4431715992572"/>
    <n v="197.22233301237443"/>
    <n v="0"/>
    <n v="1538.3147200000003"/>
    <n v="1902.7869600000001"/>
    <n v="0"/>
    <n v="1764.2852631638968"/>
    <n v="1939.0899781776657"/>
  </r>
  <r>
    <s v="Regular"/>
    <x v="1"/>
    <x v="4"/>
    <x v="7"/>
    <x v="4"/>
    <x v="0"/>
    <x v="0"/>
    <x v="2"/>
    <x v="7"/>
    <n v="0"/>
    <n v="0"/>
    <n v="844.17399999999998"/>
    <n v="844.17399999999998"/>
    <n v="844.17399999999998"/>
    <n v="844.17399999999998"/>
    <n v="2802"/>
    <x v="0"/>
    <n v="0"/>
    <n v="0"/>
    <n v="18"/>
    <n v="55"/>
    <n v="0"/>
    <n v="156.46"/>
    <n v="193.53"/>
    <m/>
    <n v="179.4431715992572"/>
    <n v="197.22233301237443"/>
    <n v="0"/>
    <n v="132079.46403999999"/>
    <n v="163372.99421999999"/>
    <n v="0"/>
    <n v="151481.25994163135"/>
    <n v="166489.96574838817"/>
  </r>
  <r>
    <s v="Refaturamento - Regular"/>
    <x v="1"/>
    <x v="4"/>
    <x v="7"/>
    <x v="4"/>
    <x v="0"/>
    <x v="0"/>
    <x v="2"/>
    <x v="7"/>
    <n v="0"/>
    <n v="0"/>
    <n v="0.17"/>
    <n v="0.17"/>
    <n v="0.17"/>
    <n v="0.17"/>
    <n v="4"/>
    <x v="0"/>
    <n v="0"/>
    <n v="0"/>
    <n v="18"/>
    <n v="55"/>
    <n v="0"/>
    <n v="156.46"/>
    <n v="193.53"/>
    <m/>
    <n v="179.4431715992572"/>
    <n v="197.22233301237443"/>
    <n v="0"/>
    <n v="26.598200000000002"/>
    <n v="32.900100000000002"/>
    <n v="0"/>
    <n v="30.505339171873725"/>
    <n v="33.527796612103657"/>
  </r>
  <r>
    <s v="Sistema de Compensação"/>
    <x v="1"/>
    <x v="4"/>
    <x v="7"/>
    <x v="4"/>
    <x v="0"/>
    <x v="0"/>
    <x v="2"/>
    <x v="7"/>
    <n v="0"/>
    <n v="0"/>
    <n v="9.8450000000000006"/>
    <n v="9.8450000000000006"/>
    <n v="9.8450000000000006"/>
    <n v="9.8450000000000006"/>
    <n v="62"/>
    <x v="0"/>
    <n v="0"/>
    <n v="0"/>
    <n v="18"/>
    <n v="55"/>
    <n v="0"/>
    <n v="156.46"/>
    <n v="193.53"/>
    <m/>
    <n v="179.4431715992572"/>
    <n v="197.22233301237443"/>
    <n v="0"/>
    <n v="1540.3487000000002"/>
    <n v="1905.30285"/>
    <n v="0"/>
    <n v="1766.6180243946872"/>
    <n v="1941.6538685068265"/>
  </r>
  <r>
    <s v="Regular"/>
    <x v="1"/>
    <x v="4"/>
    <x v="7"/>
    <x v="4"/>
    <x v="0"/>
    <x v="0"/>
    <x v="2"/>
    <x v="8"/>
    <n v="0"/>
    <n v="0"/>
    <n v="744.93399999999997"/>
    <n v="744.93399999999997"/>
    <n v="744.93399999999997"/>
    <n v="744.93399999999997"/>
    <n v="3418"/>
    <x v="0"/>
    <n v="0"/>
    <n v="0"/>
    <n v="18"/>
    <n v="55"/>
    <n v="0"/>
    <n v="156.46"/>
    <n v="193.53"/>
    <m/>
    <n v="179.4431715992572"/>
    <n v="197.22233301237443"/>
    <n v="0"/>
    <n v="116552.37364000001"/>
    <n v="144167.07702"/>
    <n v="0"/>
    <n v="133673.31959212106"/>
    <n v="146917.62142024012"/>
  </r>
  <r>
    <s v="Refaturamento - Regular"/>
    <x v="1"/>
    <x v="4"/>
    <x v="7"/>
    <x v="4"/>
    <x v="0"/>
    <x v="0"/>
    <x v="2"/>
    <x v="8"/>
    <n v="0"/>
    <n v="0"/>
    <n v="0.09"/>
    <n v="0.09"/>
    <n v="0.09"/>
    <n v="0.09"/>
    <n v="3"/>
    <x v="0"/>
    <n v="0"/>
    <n v="0"/>
    <n v="18"/>
    <n v="55"/>
    <n v="0"/>
    <n v="156.46"/>
    <n v="193.53"/>
    <m/>
    <n v="179.4431715992572"/>
    <n v="197.22233301237443"/>
    <n v="0"/>
    <n v="14.0814"/>
    <n v="17.4177"/>
    <n v="0"/>
    <n v="16.149885443933147"/>
    <n v="17.750009971113698"/>
  </r>
  <r>
    <s v="Sistema de Compensação"/>
    <x v="1"/>
    <x v="4"/>
    <x v="7"/>
    <x v="4"/>
    <x v="0"/>
    <x v="0"/>
    <x v="2"/>
    <x v="8"/>
    <n v="0"/>
    <n v="0"/>
    <n v="8.3629999999999995"/>
    <n v="8.3629999999999995"/>
    <n v="8.3629999999999995"/>
    <n v="8.3629999999999995"/>
    <n v="72"/>
    <x v="0"/>
    <n v="0"/>
    <n v="0"/>
    <n v="18"/>
    <n v="55"/>
    <n v="0"/>
    <n v="156.46"/>
    <n v="193.53"/>
    <m/>
    <n v="179.4431715992572"/>
    <n v="197.22233301237443"/>
    <n v="0"/>
    <n v="1308.47498"/>
    <n v="1618.4913899999999"/>
    <n v="0"/>
    <n v="1500.6832440845878"/>
    <n v="1649.3703709824872"/>
  </r>
  <r>
    <s v="Regular"/>
    <x v="1"/>
    <x v="4"/>
    <x v="7"/>
    <x v="4"/>
    <x v="0"/>
    <x v="0"/>
    <x v="2"/>
    <x v="9"/>
    <n v="0"/>
    <n v="0"/>
    <n v="760.18700000000001"/>
    <n v="760.18700000000001"/>
    <n v="760.18700000000001"/>
    <n v="760.18700000000001"/>
    <n v="4296"/>
    <x v="0"/>
    <n v="0"/>
    <n v="0"/>
    <n v="18"/>
    <n v="55"/>
    <n v="0"/>
    <n v="156.46"/>
    <n v="193.53"/>
    <m/>
    <n v="179.4431715992572"/>
    <n v="197.22233301237443"/>
    <n v="0"/>
    <n v="118938.85802000001"/>
    <n v="147118.99011000001"/>
    <n v="0"/>
    <n v="136410.36628852453"/>
    <n v="149925.85366567789"/>
  </r>
  <r>
    <s v="Refaturamento - Regular"/>
    <x v="1"/>
    <x v="4"/>
    <x v="7"/>
    <x v="4"/>
    <x v="0"/>
    <x v="0"/>
    <x v="2"/>
    <x v="9"/>
    <n v="0"/>
    <n v="0"/>
    <n v="0.03"/>
    <n v="0.03"/>
    <n v="0.03"/>
    <n v="0.03"/>
    <n v="2"/>
    <x v="0"/>
    <n v="0"/>
    <n v="0"/>
    <n v="18"/>
    <n v="55"/>
    <n v="0"/>
    <n v="156.46"/>
    <n v="193.53"/>
    <m/>
    <n v="179.4431715992572"/>
    <n v="197.22233301237443"/>
    <n v="0"/>
    <n v="4.6938000000000004"/>
    <n v="5.8058999999999994"/>
    <n v="0"/>
    <n v="5.3832951479777158"/>
    <n v="5.9166699903712328"/>
  </r>
  <r>
    <s v="Sistema de Compensação"/>
    <x v="1"/>
    <x v="4"/>
    <x v="7"/>
    <x v="4"/>
    <x v="0"/>
    <x v="0"/>
    <x v="2"/>
    <x v="9"/>
    <n v="0"/>
    <n v="0"/>
    <n v="8.2219999999999995"/>
    <n v="8.2219999999999995"/>
    <n v="8.2219999999999995"/>
    <n v="8.2219999999999995"/>
    <n v="87"/>
    <x v="0"/>
    <n v="0"/>
    <n v="0"/>
    <n v="18"/>
    <n v="55"/>
    <n v="0"/>
    <n v="156.46"/>
    <n v="193.53"/>
    <m/>
    <n v="179.4431715992572"/>
    <n v="197.22233301237443"/>
    <n v="0"/>
    <n v="1286.4141199999999"/>
    <n v="1591.2036599999999"/>
    <n v="0"/>
    <n v="1475.3817568890927"/>
    <n v="1621.5620220277426"/>
  </r>
  <r>
    <s v="Regular"/>
    <x v="1"/>
    <x v="4"/>
    <x v="7"/>
    <x v="4"/>
    <x v="0"/>
    <x v="0"/>
    <x v="2"/>
    <x v="10"/>
    <n v="0"/>
    <n v="0"/>
    <n v="627.928"/>
    <n v="627.928"/>
    <n v="627.928"/>
    <n v="627.928"/>
    <n v="4086"/>
    <x v="0"/>
    <n v="0"/>
    <n v="0"/>
    <n v="18"/>
    <n v="55"/>
    <n v="0"/>
    <n v="156.46"/>
    <n v="193.53"/>
    <m/>
    <n v="179.4431715992572"/>
    <n v="197.22233301237443"/>
    <n v="0"/>
    <n v="98245.614880000008"/>
    <n v="121522.90584000001"/>
    <n v="0"/>
    <n v="112677.39185597838"/>
    <n v="123841.42512379425"/>
  </r>
  <r>
    <s v="Refaturamento - Regular"/>
    <x v="1"/>
    <x v="4"/>
    <x v="7"/>
    <x v="4"/>
    <x v="0"/>
    <x v="0"/>
    <x v="2"/>
    <x v="10"/>
    <n v="0"/>
    <n v="0"/>
    <n v="9.8000000000000004E-2"/>
    <n v="9.8000000000000004E-2"/>
    <n v="9.8000000000000004E-2"/>
    <n v="9.8000000000000004E-2"/>
    <n v="1"/>
    <x v="0"/>
    <n v="0"/>
    <n v="0"/>
    <n v="18"/>
    <n v="55"/>
    <n v="0"/>
    <n v="156.46"/>
    <n v="193.53"/>
    <m/>
    <n v="179.4431715992572"/>
    <n v="197.22233301237443"/>
    <n v="0"/>
    <n v="15.333080000000001"/>
    <n v="18.96594"/>
    <n v="0"/>
    <n v="17.585430816727207"/>
    <n v="19.327788635212695"/>
  </r>
  <r>
    <s v="Sistema de Compensação"/>
    <x v="1"/>
    <x v="4"/>
    <x v="7"/>
    <x v="4"/>
    <x v="0"/>
    <x v="0"/>
    <x v="2"/>
    <x v="10"/>
    <n v="0"/>
    <n v="0"/>
    <n v="7.0810000000000004"/>
    <n v="7.0810000000000004"/>
    <n v="7.0810000000000004"/>
    <n v="7.0810000000000004"/>
    <n v="72"/>
    <x v="0"/>
    <n v="0"/>
    <n v="0"/>
    <n v="18"/>
    <n v="55"/>
    <n v="0"/>
    <n v="156.46"/>
    <n v="193.53"/>
    <m/>
    <n v="179.4431715992572"/>
    <n v="197.22233301237443"/>
    <n v="0"/>
    <n v="1107.8932600000001"/>
    <n v="1370.3859300000001"/>
    <n v="0"/>
    <n v="1270.6370980943402"/>
    <n v="1396.5313400606235"/>
  </r>
  <r>
    <s v="PROJETADO"/>
    <x v="1"/>
    <x v="4"/>
    <x v="7"/>
    <x v="4"/>
    <x v="0"/>
    <x v="0"/>
    <x v="2"/>
    <x v="11"/>
    <n v="0"/>
    <n v="0"/>
    <n v="627.928"/>
    <n v="627.928"/>
    <n v="627.928"/>
    <n v="627.928"/>
    <n v="4086"/>
    <x v="0"/>
    <n v="0"/>
    <n v="0"/>
    <n v="18"/>
    <n v="55"/>
    <n v="0"/>
    <n v="156.46"/>
    <n v="193.53"/>
    <m/>
    <n v="179.4431715992572"/>
    <n v="197.22233301237443"/>
    <n v="0"/>
    <n v="98245.614880000008"/>
    <n v="121522.90584000001"/>
    <n v="0"/>
    <n v="112677.39185597838"/>
    <n v="123841.42512379425"/>
  </r>
  <r>
    <s v="PROJETADO"/>
    <x v="1"/>
    <x v="4"/>
    <x v="7"/>
    <x v="4"/>
    <x v="0"/>
    <x v="0"/>
    <x v="2"/>
    <x v="11"/>
    <n v="0"/>
    <n v="0"/>
    <n v="9.8000000000000004E-2"/>
    <n v="9.8000000000000004E-2"/>
    <n v="9.8000000000000004E-2"/>
    <n v="9.8000000000000004E-2"/>
    <n v="1"/>
    <x v="0"/>
    <n v="0"/>
    <n v="0"/>
    <n v="18"/>
    <n v="55"/>
    <n v="0"/>
    <n v="156.46"/>
    <n v="193.53"/>
    <m/>
    <n v="179.4431715992572"/>
    <n v="197.22233301237443"/>
    <n v="0"/>
    <n v="15.333080000000001"/>
    <n v="18.96594"/>
    <n v="0"/>
    <n v="17.585430816727207"/>
    <n v="19.327788635212695"/>
  </r>
  <r>
    <s v="PROJETADO"/>
    <x v="1"/>
    <x v="4"/>
    <x v="7"/>
    <x v="4"/>
    <x v="0"/>
    <x v="0"/>
    <x v="2"/>
    <x v="11"/>
    <n v="0"/>
    <n v="0"/>
    <n v="7.0810000000000004"/>
    <n v="7.0810000000000004"/>
    <n v="7.0810000000000004"/>
    <n v="7.0810000000000004"/>
    <n v="72"/>
    <x v="0"/>
    <n v="0"/>
    <n v="0"/>
    <n v="18"/>
    <n v="55"/>
    <n v="0"/>
    <n v="156.46"/>
    <n v="193.53"/>
    <m/>
    <n v="179.4431715992572"/>
    <n v="197.22233301237443"/>
    <n v="0"/>
    <n v="1107.8932600000001"/>
    <n v="1370.3859300000001"/>
    <n v="0"/>
    <n v="1270.6370980943402"/>
    <n v="1396.5313400606235"/>
  </r>
  <r>
    <s v="Regular"/>
    <x v="1"/>
    <x v="4"/>
    <x v="7"/>
    <x v="5"/>
    <x v="0"/>
    <x v="0"/>
    <x v="2"/>
    <x v="0"/>
    <n v="0"/>
    <n v="0"/>
    <n v="450.00700000000001"/>
    <n v="450.00700000000001"/>
    <n v="450.00700000000001"/>
    <n v="450.00700000000001"/>
    <n v="5438"/>
    <x v="0"/>
    <n v="0"/>
    <n v="0"/>
    <n v="19"/>
    <n v="56"/>
    <n v="0"/>
    <n v="234.68"/>
    <n v="290.29000000000002"/>
    <m/>
    <n v="269.1647573988858"/>
    <n v="295.83349951856167"/>
    <n v="0"/>
    <n v="105607.64276"/>
    <n v="130632.53203000002"/>
    <n v="0"/>
    <n v="121126.0249828004"/>
    <n v="133127.14561784937"/>
  </r>
  <r>
    <s v="Sistema de Compensação"/>
    <x v="1"/>
    <x v="4"/>
    <x v="7"/>
    <x v="5"/>
    <x v="0"/>
    <x v="0"/>
    <x v="2"/>
    <x v="0"/>
    <n v="0"/>
    <n v="0"/>
    <n v="4.25"/>
    <n v="4.25"/>
    <n v="4.25"/>
    <n v="4.25"/>
    <n v="75"/>
    <x v="0"/>
    <n v="0"/>
    <n v="0"/>
    <n v="19"/>
    <n v="56"/>
    <n v="0"/>
    <n v="234.68"/>
    <n v="290.29000000000002"/>
    <m/>
    <n v="269.1647573988858"/>
    <n v="295.83349951856167"/>
    <n v="0"/>
    <n v="997.39"/>
    <n v="1233.7325000000001"/>
    <n v="0"/>
    <n v="1143.9502189452646"/>
    <n v="1257.292372953887"/>
  </r>
  <r>
    <s v="Regular"/>
    <x v="1"/>
    <x v="4"/>
    <x v="7"/>
    <x v="5"/>
    <x v="0"/>
    <x v="0"/>
    <x v="2"/>
    <x v="1"/>
    <n v="0"/>
    <n v="0"/>
    <n v="491.18599999999998"/>
    <n v="491.18599999999998"/>
    <n v="491.18599999999998"/>
    <n v="491.18599999999998"/>
    <n v="5567"/>
    <x v="0"/>
    <n v="0"/>
    <n v="0"/>
    <n v="19"/>
    <n v="56"/>
    <n v="0"/>
    <n v="234.68"/>
    <n v="290.29000000000002"/>
    <m/>
    <n v="269.1647573988858"/>
    <n v="295.83349951856167"/>
    <n v="0"/>
    <n v="115271.53048"/>
    <n v="142586.38394"/>
    <n v="0"/>
    <n v="132209.96052772913"/>
    <n v="145309.27329452423"/>
  </r>
  <r>
    <s v="Sistema de Compensação"/>
    <x v="1"/>
    <x v="4"/>
    <x v="7"/>
    <x v="5"/>
    <x v="0"/>
    <x v="0"/>
    <x v="2"/>
    <x v="1"/>
    <n v="0"/>
    <n v="0"/>
    <n v="5.4349999999999996"/>
    <n v="5.4349999999999996"/>
    <n v="5.4349999999999996"/>
    <n v="5.4349999999999996"/>
    <n v="78"/>
    <x v="0"/>
    <n v="0"/>
    <n v="0"/>
    <n v="19"/>
    <n v="56"/>
    <n v="0"/>
    <n v="234.68"/>
    <n v="290.29000000000002"/>
    <m/>
    <n v="269.1647573988858"/>
    <n v="295.83349951856167"/>
    <n v="0"/>
    <n v="1275.4857999999999"/>
    <n v="1577.72615"/>
    <n v="0"/>
    <n v="1462.9104564629442"/>
    <n v="1607.8550698833826"/>
  </r>
  <r>
    <s v="Regular"/>
    <x v="1"/>
    <x v="4"/>
    <x v="7"/>
    <x v="5"/>
    <x v="0"/>
    <x v="0"/>
    <x v="2"/>
    <x v="2"/>
    <n v="0"/>
    <n v="0"/>
    <n v="483.25599999999997"/>
    <n v="483.25599999999997"/>
    <n v="483.25599999999997"/>
    <n v="483.25599999999997"/>
    <n v="5716"/>
    <x v="0"/>
    <n v="0"/>
    <n v="0"/>
    <n v="19"/>
    <n v="56"/>
    <n v="0"/>
    <n v="234.68"/>
    <n v="290.29000000000002"/>
    <m/>
    <n v="269.1647573988858"/>
    <n v="295.83349951856167"/>
    <n v="0"/>
    <n v="113410.51807999999"/>
    <n v="140284.38424000001"/>
    <n v="0"/>
    <n v="130075.48400155595"/>
    <n v="142963.31364334203"/>
  </r>
  <r>
    <s v="Sistema de Compensação"/>
    <x v="1"/>
    <x v="4"/>
    <x v="7"/>
    <x v="5"/>
    <x v="0"/>
    <x v="0"/>
    <x v="2"/>
    <x v="2"/>
    <n v="0"/>
    <n v="0"/>
    <n v="4.3049999999999997"/>
    <n v="4.3049999999999997"/>
    <n v="4.3049999999999997"/>
    <n v="4.3049999999999997"/>
    <n v="78"/>
    <x v="0"/>
    <n v="0"/>
    <n v="0"/>
    <n v="19"/>
    <n v="56"/>
    <n v="0"/>
    <n v="234.68"/>
    <n v="290.29000000000002"/>
    <m/>
    <n v="269.1647573988858"/>
    <n v="295.83349951856167"/>
    <n v="0"/>
    <n v="1010.2973999999999"/>
    <n v="1249.6984500000001"/>
    <n v="0"/>
    <n v="1158.7542806022034"/>
    <n v="1273.5632154274078"/>
  </r>
  <r>
    <s v="Regular"/>
    <x v="1"/>
    <x v="4"/>
    <x v="7"/>
    <x v="5"/>
    <x v="0"/>
    <x v="0"/>
    <x v="2"/>
    <x v="3"/>
    <n v="0"/>
    <n v="0"/>
    <n v="512.75900000000001"/>
    <n v="512.75900000000001"/>
    <n v="512.75900000000001"/>
    <n v="512.75900000000001"/>
    <n v="5890"/>
    <x v="0"/>
    <n v="0"/>
    <n v="0"/>
    <n v="19"/>
    <n v="56"/>
    <n v="0"/>
    <n v="234.68"/>
    <n v="290.29000000000002"/>
    <m/>
    <n v="269.1647573988858"/>
    <n v="295.83349951856167"/>
    <n v="0"/>
    <n v="120334.28212"/>
    <n v="148848.81011000002"/>
    <n v="0"/>
    <n v="138016.65183909528"/>
    <n v="151691.28937963815"/>
  </r>
  <r>
    <s v="Refaturamento - Regular"/>
    <x v="1"/>
    <x v="4"/>
    <x v="7"/>
    <x v="5"/>
    <x v="0"/>
    <x v="0"/>
    <x v="2"/>
    <x v="3"/>
    <n v="0"/>
    <n v="0"/>
    <n v="-9.7000000000000003E-2"/>
    <n v="-9.7000000000000003E-2"/>
    <n v="-9.7000000000000003E-2"/>
    <n v="-9.7000000000000003E-2"/>
    <n v="3"/>
    <x v="0"/>
    <n v="0"/>
    <n v="0"/>
    <n v="19"/>
    <n v="56"/>
    <n v="0"/>
    <n v="234.68"/>
    <n v="290.29000000000002"/>
    <m/>
    <n v="269.1647573988858"/>
    <n v="295.83349951856167"/>
    <n v="0"/>
    <n v="-22.763960000000001"/>
    <n v="-28.158130000000003"/>
    <n v="0"/>
    <n v="-26.108981467691923"/>
    <n v="-28.695849453300482"/>
  </r>
  <r>
    <s v="Sistema de Compensação"/>
    <x v="1"/>
    <x v="4"/>
    <x v="7"/>
    <x v="5"/>
    <x v="0"/>
    <x v="0"/>
    <x v="2"/>
    <x v="3"/>
    <n v="0"/>
    <n v="0"/>
    <n v="3.9460000000000002"/>
    <n v="3.9460000000000002"/>
    <n v="3.9460000000000002"/>
    <n v="3.9460000000000002"/>
    <n v="71"/>
    <x v="0"/>
    <n v="0"/>
    <n v="0"/>
    <n v="19"/>
    <n v="56"/>
    <n v="0"/>
    <n v="234.68"/>
    <n v="290.29000000000002"/>
    <m/>
    <n v="269.1647573988858"/>
    <n v="295.83349951856167"/>
    <n v="0"/>
    <n v="926.04728000000011"/>
    <n v="1145.4843400000002"/>
    <n v="0"/>
    <n v="1062.1241326960035"/>
    <n v="1167.3589891002443"/>
  </r>
  <r>
    <s v="Regular"/>
    <x v="1"/>
    <x v="4"/>
    <x v="7"/>
    <x v="5"/>
    <x v="0"/>
    <x v="0"/>
    <x v="2"/>
    <x v="4"/>
    <n v="0"/>
    <n v="0"/>
    <n v="575.22"/>
    <n v="575.22"/>
    <n v="575.22"/>
    <n v="575.22"/>
    <n v="5935"/>
    <x v="0"/>
    <n v="0"/>
    <n v="0"/>
    <n v="19"/>
    <n v="56"/>
    <n v="0"/>
    <n v="234.68"/>
    <n v="290.29000000000002"/>
    <m/>
    <n v="269.1647573988858"/>
    <n v="295.83349951856167"/>
    <n v="0"/>
    <n v="134992.62960000001"/>
    <n v="166980.61380000002"/>
    <n v="0"/>
    <n v="154828.95175098709"/>
    <n v="170169.34559306706"/>
  </r>
  <r>
    <s v="Refaturamento - Regular"/>
    <x v="1"/>
    <x v="4"/>
    <x v="7"/>
    <x v="5"/>
    <x v="0"/>
    <x v="0"/>
    <x v="2"/>
    <x v="4"/>
    <n v="0"/>
    <n v="0"/>
    <n v="2.1000000000000001E-2"/>
    <n v="2.1000000000000001E-2"/>
    <n v="2.1000000000000001E-2"/>
    <n v="2.1000000000000001E-2"/>
    <n v="2"/>
    <x v="0"/>
    <n v="0"/>
    <n v="0"/>
    <n v="19"/>
    <n v="56"/>
    <n v="0"/>
    <n v="234.68"/>
    <n v="290.29000000000002"/>
    <m/>
    <n v="269.1647573988858"/>
    <n v="295.83349951856167"/>
    <n v="0"/>
    <n v="4.9282800000000009"/>
    <n v="6.0960900000000011"/>
    <n v="0"/>
    <n v="5.6524599053766025"/>
    <n v="6.2125034898897953"/>
  </r>
  <r>
    <s v="Sistema de Compensação"/>
    <x v="1"/>
    <x v="4"/>
    <x v="7"/>
    <x v="5"/>
    <x v="0"/>
    <x v="0"/>
    <x v="2"/>
    <x v="4"/>
    <n v="0"/>
    <n v="0"/>
    <n v="5.07"/>
    <n v="5.07"/>
    <n v="5.07"/>
    <n v="5.07"/>
    <n v="75"/>
    <x v="0"/>
    <n v="0"/>
    <n v="0"/>
    <n v="19"/>
    <n v="56"/>
    <n v="0"/>
    <n v="234.68"/>
    <n v="290.29000000000002"/>
    <m/>
    <n v="269.1647573988858"/>
    <n v="295.83349951856167"/>
    <n v="0"/>
    <n v="1189.8276000000001"/>
    <n v="1471.7703000000001"/>
    <n v="0"/>
    <n v="1364.665320012351"/>
    <n v="1499.8758425591077"/>
  </r>
  <r>
    <s v="Regular"/>
    <x v="1"/>
    <x v="4"/>
    <x v="7"/>
    <x v="5"/>
    <x v="0"/>
    <x v="0"/>
    <x v="2"/>
    <x v="5"/>
    <n v="0"/>
    <n v="0"/>
    <n v="631.27800000000002"/>
    <n v="631.27800000000002"/>
    <n v="631.27800000000002"/>
    <n v="631.27800000000002"/>
    <n v="5962"/>
    <x v="0"/>
    <n v="0"/>
    <n v="0"/>
    <n v="19"/>
    <n v="56"/>
    <n v="0"/>
    <n v="234.68"/>
    <n v="290.29000000000002"/>
    <m/>
    <n v="269.1647573988858"/>
    <n v="295.83349951856167"/>
    <n v="0"/>
    <n v="148148.32104000001"/>
    <n v="183253.69062000001"/>
    <n v="0"/>
    <n v="169917.78972125382"/>
    <n v="186753.17990907858"/>
  </r>
  <r>
    <s v="Sistema de Compensação"/>
    <x v="1"/>
    <x v="4"/>
    <x v="7"/>
    <x v="5"/>
    <x v="0"/>
    <x v="0"/>
    <x v="2"/>
    <x v="5"/>
    <n v="0"/>
    <n v="0"/>
    <n v="5.9489999999999998"/>
    <n v="5.9489999999999998"/>
    <n v="5.9489999999999998"/>
    <n v="5.9489999999999998"/>
    <n v="83"/>
    <x v="0"/>
    <n v="0"/>
    <n v="0"/>
    <n v="19"/>
    <n v="56"/>
    <n v="0"/>
    <n v="234.68"/>
    <n v="290.29000000000002"/>
    <m/>
    <n v="269.1647573988858"/>
    <n v="295.83349951856167"/>
    <n v="0"/>
    <n v="1396.11132"/>
    <n v="1726.9352100000001"/>
    <n v="0"/>
    <n v="1601.2611417659716"/>
    <n v="1759.9134886359234"/>
  </r>
  <r>
    <s v="Regular"/>
    <x v="1"/>
    <x v="4"/>
    <x v="7"/>
    <x v="5"/>
    <x v="0"/>
    <x v="0"/>
    <x v="2"/>
    <x v="6"/>
    <n v="0"/>
    <n v="0"/>
    <n v="761.79200000000003"/>
    <n v="761.79200000000003"/>
    <n v="761.79200000000003"/>
    <n v="761.79200000000003"/>
    <n v="6963"/>
    <x v="0"/>
    <n v="0"/>
    <n v="0"/>
    <n v="19"/>
    <n v="56"/>
    <n v="0"/>
    <n v="234.68"/>
    <n v="290.29000000000002"/>
    <m/>
    <n v="269.1647573988858"/>
    <n v="295.83349951856167"/>
    <n v="0"/>
    <n v="178777.34656000001"/>
    <n v="221140.59968000001"/>
    <n v="0"/>
    <n v="205047.55886841202"/>
    <n v="225363.59326524413"/>
  </r>
  <r>
    <s v="Refaturamento - Regular"/>
    <x v="1"/>
    <x v="4"/>
    <x v="7"/>
    <x v="5"/>
    <x v="0"/>
    <x v="0"/>
    <x v="2"/>
    <x v="6"/>
    <n v="0"/>
    <n v="0"/>
    <n v="0.13600000000000001"/>
    <n v="0.13600000000000001"/>
    <n v="0.13600000000000001"/>
    <n v="0.13600000000000001"/>
    <n v="2"/>
    <x v="0"/>
    <n v="0"/>
    <n v="0"/>
    <n v="19"/>
    <n v="56"/>
    <n v="0"/>
    <n v="234.68"/>
    <n v="290.29000000000002"/>
    <m/>
    <n v="269.1647573988858"/>
    <n v="295.83349951856167"/>
    <n v="0"/>
    <n v="31.916480000000004"/>
    <n v="39.479440000000004"/>
    <n v="0"/>
    <n v="36.606407006248475"/>
    <n v="40.23335593452439"/>
  </r>
  <r>
    <s v="Sistema de Compensação"/>
    <x v="1"/>
    <x v="4"/>
    <x v="7"/>
    <x v="5"/>
    <x v="0"/>
    <x v="0"/>
    <x v="2"/>
    <x v="6"/>
    <n v="0"/>
    <n v="0"/>
    <n v="5.52"/>
    <n v="5.52"/>
    <n v="5.52"/>
    <n v="5.52"/>
    <n v="82"/>
    <x v="0"/>
    <n v="0"/>
    <n v="0"/>
    <n v="19"/>
    <n v="56"/>
    <n v="0"/>
    <n v="234.68"/>
    <n v="290.29000000000002"/>
    <m/>
    <n v="269.1647573988858"/>
    <n v="295.83349951856167"/>
    <n v="0"/>
    <n v="1295.4335999999998"/>
    <n v="1602.4007999999999"/>
    <n v="0"/>
    <n v="1485.7894608418494"/>
    <n v="1633.0009173424603"/>
  </r>
  <r>
    <s v="Regular"/>
    <x v="1"/>
    <x v="4"/>
    <x v="7"/>
    <x v="5"/>
    <x v="0"/>
    <x v="0"/>
    <x v="2"/>
    <x v="7"/>
    <n v="0"/>
    <n v="0"/>
    <n v="773.93899999999996"/>
    <n v="773.93899999999996"/>
    <n v="773.93899999999996"/>
    <n v="773.93899999999996"/>
    <n v="7117"/>
    <x v="0"/>
    <n v="0"/>
    <n v="0"/>
    <n v="19"/>
    <n v="56"/>
    <n v="0"/>
    <n v="234.68"/>
    <n v="290.29000000000002"/>
    <m/>
    <n v="269.1647573988858"/>
    <n v="295.83349951856167"/>
    <n v="0"/>
    <n v="181628.00451999999"/>
    <n v="224666.75231000001"/>
    <n v="0"/>
    <n v="208317.10317653627"/>
    <n v="228957.0827838961"/>
  </r>
  <r>
    <s v="Sistema de Compensação"/>
    <x v="1"/>
    <x v="4"/>
    <x v="7"/>
    <x v="5"/>
    <x v="0"/>
    <x v="0"/>
    <x v="2"/>
    <x v="7"/>
    <n v="0"/>
    <n v="0"/>
    <n v="5.9610000000000003"/>
    <n v="5.9610000000000003"/>
    <n v="5.9610000000000003"/>
    <n v="5.9610000000000003"/>
    <n v="86"/>
    <x v="0"/>
    <n v="0"/>
    <n v="0"/>
    <n v="19"/>
    <n v="56"/>
    <n v="0"/>
    <n v="234.68"/>
    <n v="290.29000000000002"/>
    <m/>
    <n v="269.1647573988858"/>
    <n v="295.83349951856167"/>
    <n v="0"/>
    <n v="1398.9274800000001"/>
    <n v="1730.4186900000002"/>
    <n v="0"/>
    <n v="1604.4911188547583"/>
    <n v="1763.4634906301462"/>
  </r>
  <r>
    <s v="Regular"/>
    <x v="1"/>
    <x v="4"/>
    <x v="7"/>
    <x v="5"/>
    <x v="0"/>
    <x v="0"/>
    <x v="2"/>
    <x v="8"/>
    <n v="0"/>
    <n v="0"/>
    <n v="578.27800000000002"/>
    <n v="578.27800000000002"/>
    <n v="578.27800000000002"/>
    <n v="578.27800000000002"/>
    <n v="6538"/>
    <x v="0"/>
    <n v="0"/>
    <n v="0"/>
    <n v="19"/>
    <n v="56"/>
    <n v="0"/>
    <n v="234.68"/>
    <n v="290.29000000000002"/>
    <m/>
    <n v="269.1647573988858"/>
    <n v="295.83349951856167"/>
    <n v="0"/>
    <n v="135710.28104"/>
    <n v="167868.32062000001"/>
    <n v="0"/>
    <n v="155652.05757911288"/>
    <n v="171074.0044345948"/>
  </r>
  <r>
    <s v="Refaturamento - Regular"/>
    <x v="1"/>
    <x v="4"/>
    <x v="7"/>
    <x v="5"/>
    <x v="0"/>
    <x v="0"/>
    <x v="2"/>
    <x v="8"/>
    <n v="0"/>
    <n v="0"/>
    <n v="-7.3999999999999996E-2"/>
    <n v="-7.3999999999999996E-2"/>
    <n v="-7.3999999999999996E-2"/>
    <n v="-7.3999999999999996E-2"/>
    <n v="0"/>
    <x v="0"/>
    <n v="0"/>
    <n v="0"/>
    <n v="19"/>
    <n v="56"/>
    <n v="0"/>
    <n v="234.68"/>
    <n v="290.29000000000002"/>
    <m/>
    <n v="269.1647573988858"/>
    <n v="295.83349951856167"/>
    <n v="0"/>
    <n v="-17.366319999999998"/>
    <n v="-21.481460000000002"/>
    <n v="0"/>
    <n v="-19.918192047517547"/>
    <n v="-21.891678964373561"/>
  </r>
  <r>
    <s v="Sistema de Compensação"/>
    <x v="1"/>
    <x v="4"/>
    <x v="7"/>
    <x v="5"/>
    <x v="0"/>
    <x v="0"/>
    <x v="2"/>
    <x v="8"/>
    <n v="0"/>
    <n v="0"/>
    <n v="4.4569999999999999"/>
    <n v="4.4569999999999999"/>
    <n v="4.4569999999999999"/>
    <n v="4.4569999999999999"/>
    <n v="60"/>
    <x v="0"/>
    <n v="0"/>
    <n v="0"/>
    <n v="19"/>
    <n v="56"/>
    <n v="0"/>
    <n v="234.68"/>
    <n v="290.29000000000002"/>
    <m/>
    <n v="269.1647573988858"/>
    <n v="295.83349951856167"/>
    <n v="0"/>
    <n v="1045.96876"/>
    <n v="1293.8225300000001"/>
    <n v="0"/>
    <n v="1199.667323726834"/>
    <n v="1318.5299073542294"/>
  </r>
  <r>
    <s v="Regular"/>
    <x v="1"/>
    <x v="4"/>
    <x v="7"/>
    <x v="5"/>
    <x v="0"/>
    <x v="0"/>
    <x v="2"/>
    <x v="9"/>
    <n v="0"/>
    <n v="0"/>
    <n v="508.09199999999998"/>
    <n v="508.09199999999998"/>
    <n v="508.09199999999998"/>
    <n v="508.09199999999998"/>
    <n v="6780"/>
    <x v="0"/>
    <n v="0"/>
    <n v="0"/>
    <n v="19"/>
    <n v="56"/>
    <n v="0"/>
    <n v="234.68"/>
    <n v="290.29000000000002"/>
    <m/>
    <n v="269.1647573988858"/>
    <n v="295.83349951856167"/>
    <n v="0"/>
    <n v="119239.03056"/>
    <n v="147494.02668000001"/>
    <n v="0"/>
    <n v="136760.45991631469"/>
    <n v="150310.63443738502"/>
  </r>
  <r>
    <s v="Sistema de Compensação"/>
    <x v="1"/>
    <x v="4"/>
    <x v="7"/>
    <x v="5"/>
    <x v="0"/>
    <x v="0"/>
    <x v="2"/>
    <x v="9"/>
    <n v="0"/>
    <n v="0"/>
    <n v="3.7810000000000001"/>
    <n v="3.7810000000000001"/>
    <n v="3.7810000000000001"/>
    <n v="3.7810000000000001"/>
    <n v="59"/>
    <x v="0"/>
    <n v="0"/>
    <n v="0"/>
    <n v="19"/>
    <n v="56"/>
    <n v="0"/>
    <n v="234.68"/>
    <n v="290.29000000000002"/>
    <m/>
    <n v="269.1647573988858"/>
    <n v="295.83349951856167"/>
    <n v="0"/>
    <n v="887.32508000000007"/>
    <n v="1097.5864900000001"/>
    <n v="0"/>
    <n v="1017.7119477251872"/>
    <n v="1118.5464616796817"/>
  </r>
  <r>
    <s v="Regular"/>
    <x v="1"/>
    <x v="4"/>
    <x v="7"/>
    <x v="5"/>
    <x v="0"/>
    <x v="0"/>
    <x v="2"/>
    <x v="10"/>
    <n v="0"/>
    <n v="0"/>
    <n v="372.983"/>
    <n v="372.983"/>
    <n v="372.983"/>
    <n v="372.983"/>
    <n v="5580"/>
    <x v="0"/>
    <n v="0"/>
    <n v="0"/>
    <n v="19"/>
    <n v="56"/>
    <n v="0"/>
    <n v="234.68"/>
    <n v="290.29000000000002"/>
    <m/>
    <n v="269.1647573988858"/>
    <n v="295.83349951856167"/>
    <n v="0"/>
    <n v="87531.650439999998"/>
    <n v="108273.23507000001"/>
    <n v="0"/>
    <n v="100393.87870890863"/>
    <n v="110340.86615093169"/>
  </r>
  <r>
    <s v="Refaturamento - Regular"/>
    <x v="1"/>
    <x v="4"/>
    <x v="7"/>
    <x v="5"/>
    <x v="0"/>
    <x v="0"/>
    <x v="2"/>
    <x v="10"/>
    <n v="0"/>
    <n v="0"/>
    <n v="4.2000000000000003E-2"/>
    <n v="4.2000000000000003E-2"/>
    <n v="4.2000000000000003E-2"/>
    <n v="4.2000000000000003E-2"/>
    <n v="1"/>
    <x v="0"/>
    <n v="0"/>
    <n v="0"/>
    <n v="19"/>
    <n v="56"/>
    <n v="0"/>
    <n v="234.68"/>
    <n v="290.29000000000002"/>
    <m/>
    <n v="269.1647573988858"/>
    <n v="295.83349951856167"/>
    <n v="0"/>
    <n v="9.8565600000000018"/>
    <n v="12.192180000000002"/>
    <n v="0"/>
    <n v="11.304919810753205"/>
    <n v="12.425006979779591"/>
  </r>
  <r>
    <s v="Sistema de Compensação"/>
    <x v="1"/>
    <x v="4"/>
    <x v="7"/>
    <x v="5"/>
    <x v="0"/>
    <x v="0"/>
    <x v="2"/>
    <x v="10"/>
    <n v="0"/>
    <n v="0"/>
    <n v="3.3650000000000002"/>
    <n v="3.3650000000000002"/>
    <n v="3.3650000000000002"/>
    <n v="3.3650000000000002"/>
    <n v="54"/>
    <x v="0"/>
    <n v="0"/>
    <n v="0"/>
    <n v="19"/>
    <n v="56"/>
    <n v="0"/>
    <n v="234.68"/>
    <n v="290.29000000000002"/>
    <m/>
    <n v="269.1647573988858"/>
    <n v="295.83349951856167"/>
    <n v="0"/>
    <n v="789.69820000000004"/>
    <n v="976.82585000000017"/>
    <n v="0"/>
    <n v="905.7394086472508"/>
    <n v="995.47972587996003"/>
  </r>
  <r>
    <s v="PROJETADO"/>
    <x v="1"/>
    <x v="4"/>
    <x v="7"/>
    <x v="5"/>
    <x v="0"/>
    <x v="0"/>
    <x v="2"/>
    <x v="11"/>
    <n v="0"/>
    <n v="0"/>
    <n v="372.983"/>
    <n v="372.983"/>
    <n v="372.983"/>
    <n v="372.983"/>
    <n v="5580"/>
    <x v="0"/>
    <n v="0"/>
    <n v="0"/>
    <n v="19"/>
    <n v="56"/>
    <n v="0"/>
    <n v="234.68"/>
    <n v="290.29000000000002"/>
    <m/>
    <n v="269.1647573988858"/>
    <n v="295.83349951856167"/>
    <n v="0"/>
    <n v="87531.650439999998"/>
    <n v="108273.23507000001"/>
    <n v="0"/>
    <n v="100393.87870890863"/>
    <n v="110340.86615093169"/>
  </r>
  <r>
    <s v="PROJETADO"/>
    <x v="1"/>
    <x v="4"/>
    <x v="7"/>
    <x v="5"/>
    <x v="0"/>
    <x v="0"/>
    <x v="2"/>
    <x v="11"/>
    <n v="0"/>
    <n v="0"/>
    <n v="4.2000000000000003E-2"/>
    <n v="4.2000000000000003E-2"/>
    <n v="4.2000000000000003E-2"/>
    <n v="4.2000000000000003E-2"/>
    <n v="1"/>
    <x v="0"/>
    <n v="0"/>
    <n v="0"/>
    <n v="19"/>
    <n v="56"/>
    <n v="0"/>
    <n v="234.68"/>
    <n v="290.29000000000002"/>
    <m/>
    <n v="269.1647573988858"/>
    <n v="295.83349951856167"/>
    <n v="0"/>
    <n v="9.8565600000000018"/>
    <n v="12.192180000000002"/>
    <n v="0"/>
    <n v="11.304919810753205"/>
    <n v="12.425006979779591"/>
  </r>
  <r>
    <s v="PROJETADO"/>
    <x v="1"/>
    <x v="4"/>
    <x v="7"/>
    <x v="5"/>
    <x v="0"/>
    <x v="0"/>
    <x v="2"/>
    <x v="11"/>
    <n v="0"/>
    <n v="0"/>
    <n v="3.3650000000000002"/>
    <n v="3.3650000000000002"/>
    <n v="3.3650000000000002"/>
    <n v="3.3650000000000002"/>
    <n v="54"/>
    <x v="0"/>
    <n v="0"/>
    <n v="0"/>
    <n v="19"/>
    <n v="56"/>
    <n v="0"/>
    <n v="234.68"/>
    <n v="290.29000000000002"/>
    <m/>
    <n v="269.1647573988858"/>
    <n v="295.83349951856167"/>
    <n v="0"/>
    <n v="789.69820000000004"/>
    <n v="976.82585000000017"/>
    <n v="0"/>
    <n v="905.7394086472508"/>
    <n v="995.47972587996003"/>
  </r>
  <r>
    <s v="Regular"/>
    <x v="1"/>
    <x v="4"/>
    <x v="7"/>
    <x v="6"/>
    <x v="0"/>
    <x v="0"/>
    <x v="2"/>
    <x v="0"/>
    <n v="0"/>
    <n v="0"/>
    <n v="109.006"/>
    <n v="109.006"/>
    <n v="109.006"/>
    <n v="109.006"/>
    <n v="1450"/>
    <x v="0"/>
    <n v="0"/>
    <n v="0"/>
    <n v="20"/>
    <n v="57"/>
    <n v="0"/>
    <n v="260.76"/>
    <n v="322.54000000000002"/>
    <m/>
    <n v="299.07195266542868"/>
    <n v="328.70388835395738"/>
    <n v="0"/>
    <n v="28424.404559999999"/>
    <n v="35158.795239999999"/>
    <n v="0"/>
    <n v="32600.637272247721"/>
    <n v="35830.696053911481"/>
  </r>
  <r>
    <s v="Sistema de Compensação"/>
    <x v="1"/>
    <x v="4"/>
    <x v="7"/>
    <x v="6"/>
    <x v="0"/>
    <x v="0"/>
    <x v="2"/>
    <x v="0"/>
    <n v="0"/>
    <n v="0"/>
    <n v="0.191"/>
    <n v="0.191"/>
    <n v="0.191"/>
    <n v="0.191"/>
    <n v="6"/>
    <x v="0"/>
    <n v="0"/>
    <n v="0"/>
    <n v="20"/>
    <n v="57"/>
    <n v="0"/>
    <n v="260.76"/>
    <n v="322.54000000000002"/>
    <m/>
    <n v="299.07195266542868"/>
    <n v="328.70388835395738"/>
    <n v="0"/>
    <n v="49.805160000000001"/>
    <n v="61.605140000000006"/>
    <n v="0"/>
    <n v="57.122742959096882"/>
    <n v="62.782442675605864"/>
  </r>
  <r>
    <s v="Regular"/>
    <x v="1"/>
    <x v="4"/>
    <x v="7"/>
    <x v="6"/>
    <x v="0"/>
    <x v="0"/>
    <x v="2"/>
    <x v="1"/>
    <n v="0"/>
    <n v="0"/>
    <n v="127.86799999999999"/>
    <n v="127.86799999999999"/>
    <n v="127.86799999999999"/>
    <n v="127.86799999999999"/>
    <n v="1675"/>
    <x v="0"/>
    <n v="0"/>
    <n v="0"/>
    <n v="20"/>
    <n v="57"/>
    <n v="0"/>
    <n v="260.76"/>
    <n v="322.54000000000002"/>
    <m/>
    <n v="299.07195266542868"/>
    <n v="328.70388835395738"/>
    <n v="0"/>
    <n v="33342.859679999994"/>
    <n v="41242.544719999998"/>
    <n v="0"/>
    <n v="38241.732443423032"/>
    <n v="42030.708796043822"/>
  </r>
  <r>
    <s v="Sistema de Compensação"/>
    <x v="1"/>
    <x v="4"/>
    <x v="7"/>
    <x v="6"/>
    <x v="0"/>
    <x v="0"/>
    <x v="2"/>
    <x v="1"/>
    <n v="0"/>
    <n v="0"/>
    <n v="0.46899999999999997"/>
    <n v="0.46899999999999997"/>
    <n v="0.46899999999999997"/>
    <n v="0.46899999999999997"/>
    <n v="12"/>
    <x v="0"/>
    <n v="0"/>
    <n v="0"/>
    <n v="20"/>
    <n v="57"/>
    <n v="0"/>
    <n v="260.76"/>
    <n v="322.54000000000002"/>
    <m/>
    <n v="299.07195266542868"/>
    <n v="328.70388835395738"/>
    <n v="0"/>
    <n v="122.29643999999999"/>
    <n v="151.27126000000001"/>
    <n v="0"/>
    <n v="140.26474580008605"/>
    <n v="154.16212363800599"/>
  </r>
  <r>
    <s v="Regular"/>
    <x v="1"/>
    <x v="4"/>
    <x v="7"/>
    <x v="6"/>
    <x v="0"/>
    <x v="0"/>
    <x v="2"/>
    <x v="2"/>
    <n v="0"/>
    <n v="0"/>
    <n v="118.97799999999999"/>
    <n v="118.97799999999999"/>
    <n v="118.97799999999999"/>
    <n v="118.97799999999999"/>
    <n v="1569"/>
    <x v="0"/>
    <n v="0"/>
    <n v="0"/>
    <n v="20"/>
    <n v="57"/>
    <n v="0"/>
    <n v="260.76"/>
    <n v="322.54000000000002"/>
    <m/>
    <n v="299.07195266542868"/>
    <n v="328.70388835395738"/>
    <n v="0"/>
    <n v="31024.703279999998"/>
    <n v="38375.164120000001"/>
    <n v="0"/>
    <n v="35582.982784227373"/>
    <n v="39108.531228577136"/>
  </r>
  <r>
    <s v="Sistema de Compensação"/>
    <x v="1"/>
    <x v="4"/>
    <x v="7"/>
    <x v="6"/>
    <x v="0"/>
    <x v="0"/>
    <x v="2"/>
    <x v="2"/>
    <n v="0"/>
    <n v="0"/>
    <n v="0.182"/>
    <n v="0.182"/>
    <n v="0.182"/>
    <n v="0.182"/>
    <n v="3"/>
    <x v="0"/>
    <n v="0"/>
    <n v="0"/>
    <n v="20"/>
    <n v="57"/>
    <n v="0"/>
    <n v="260.76"/>
    <n v="322.54000000000002"/>
    <m/>
    <n v="299.07195266542868"/>
    <n v="328.70388835395738"/>
    <n v="0"/>
    <n v="47.458320000000001"/>
    <n v="58.702280000000002"/>
    <n v="0"/>
    <n v="54.431095385108016"/>
    <n v="59.824107680420241"/>
  </r>
  <r>
    <s v="Regular"/>
    <x v="1"/>
    <x v="4"/>
    <x v="7"/>
    <x v="6"/>
    <x v="0"/>
    <x v="0"/>
    <x v="2"/>
    <x v="3"/>
    <n v="0"/>
    <n v="0"/>
    <n v="128.209"/>
    <n v="128.209"/>
    <n v="128.209"/>
    <n v="128.209"/>
    <n v="1730"/>
    <x v="0"/>
    <n v="0"/>
    <n v="0"/>
    <n v="20"/>
    <n v="57"/>
    <n v="0"/>
    <n v="260.76"/>
    <n v="322.54000000000002"/>
    <m/>
    <n v="299.07195266542868"/>
    <n v="328.70388835395738"/>
    <n v="0"/>
    <n v="33431.778839999999"/>
    <n v="41352.530860000006"/>
    <n v="0"/>
    <n v="38343.715979281944"/>
    <n v="42142.796821972523"/>
  </r>
  <r>
    <s v="Refaturamento - Regular"/>
    <x v="1"/>
    <x v="4"/>
    <x v="7"/>
    <x v="6"/>
    <x v="0"/>
    <x v="0"/>
    <x v="2"/>
    <x v="3"/>
    <n v="0"/>
    <n v="0"/>
    <n v="-7.8E-2"/>
    <n v="-7.8E-2"/>
    <n v="-7.8E-2"/>
    <n v="-7.8E-2"/>
    <n v="-2"/>
    <x v="0"/>
    <n v="0"/>
    <n v="0"/>
    <n v="20"/>
    <n v="57"/>
    <n v="0"/>
    <n v="260.76"/>
    <n v="322.54000000000002"/>
    <m/>
    <n v="299.07195266542868"/>
    <n v="328.70388835395738"/>
    <n v="0"/>
    <n v="-20.339279999999999"/>
    <n v="-25.15812"/>
    <n v="0"/>
    <n v="-23.327612307903436"/>
    <n v="-25.638903291608674"/>
  </r>
  <r>
    <s v="Sistema de Compensação"/>
    <x v="1"/>
    <x v="4"/>
    <x v="7"/>
    <x v="6"/>
    <x v="0"/>
    <x v="0"/>
    <x v="2"/>
    <x v="3"/>
    <n v="0"/>
    <n v="0"/>
    <n v="0.28799999999999998"/>
    <n v="0.28799999999999998"/>
    <n v="0.28799999999999998"/>
    <n v="0.28799999999999998"/>
    <n v="5"/>
    <x v="0"/>
    <n v="0"/>
    <n v="0"/>
    <n v="20"/>
    <n v="57"/>
    <n v="0"/>
    <n v="260.76"/>
    <n v="322.54000000000002"/>
    <m/>
    <n v="299.07195266542868"/>
    <n v="328.70388835395738"/>
    <n v="0"/>
    <n v="75.098879999999994"/>
    <n v="92.89152"/>
    <n v="0"/>
    <n v="86.132722367643453"/>
    <n v="94.666719845939724"/>
  </r>
  <r>
    <s v="Regular"/>
    <x v="1"/>
    <x v="4"/>
    <x v="7"/>
    <x v="6"/>
    <x v="0"/>
    <x v="0"/>
    <x v="2"/>
    <x v="4"/>
    <n v="0"/>
    <n v="0"/>
    <n v="168.92099999999999"/>
    <n v="168.92099999999999"/>
    <n v="168.92099999999999"/>
    <n v="168.92099999999999"/>
    <n v="2126"/>
    <x v="0"/>
    <n v="0"/>
    <n v="0"/>
    <n v="20"/>
    <n v="57"/>
    <n v="0"/>
    <n v="260.76"/>
    <n v="322.54000000000002"/>
    <m/>
    <n v="299.07195266542868"/>
    <n v="328.70388835395738"/>
    <n v="0"/>
    <n v="44047.839959999998"/>
    <n v="54483.779340000001"/>
    <n v="0"/>
    <n v="50519.533316196874"/>
    <n v="55524.989524638833"/>
  </r>
  <r>
    <s v="Refaturamento - Regular"/>
    <x v="1"/>
    <x v="4"/>
    <x v="7"/>
    <x v="6"/>
    <x v="0"/>
    <x v="0"/>
    <x v="2"/>
    <x v="4"/>
    <n v="0"/>
    <n v="0"/>
    <n v="-0.88200000000000001"/>
    <n v="-0.88200000000000001"/>
    <n v="-0.88200000000000001"/>
    <n v="-0.88200000000000001"/>
    <n v="-1"/>
    <x v="0"/>
    <n v="0"/>
    <n v="0"/>
    <n v="20"/>
    <n v="57"/>
    <n v="0"/>
    <n v="260.76"/>
    <n v="322.54000000000002"/>
    <m/>
    <n v="299.07195266542868"/>
    <n v="328.70388835395738"/>
    <n v="0"/>
    <n v="-229.99032"/>
    <n v="-284.48027999999999"/>
    <n v="0"/>
    <n v="-263.78146225090808"/>
    <n v="-289.91682952819042"/>
  </r>
  <r>
    <s v="Sistema de Compensação"/>
    <x v="1"/>
    <x v="4"/>
    <x v="7"/>
    <x v="6"/>
    <x v="0"/>
    <x v="0"/>
    <x v="2"/>
    <x v="4"/>
    <n v="0"/>
    <n v="0"/>
    <n v="0.61"/>
    <n v="0.61"/>
    <n v="0.61"/>
    <n v="0.61"/>
    <n v="14"/>
    <x v="0"/>
    <n v="0"/>
    <n v="0"/>
    <n v="20"/>
    <n v="57"/>
    <n v="0"/>
    <n v="260.76"/>
    <n v="322.54000000000002"/>
    <m/>
    <n v="299.07195266542868"/>
    <n v="328.70388835395738"/>
    <n v="0"/>
    <n v="159.06359999999998"/>
    <n v="196.74940000000001"/>
    <n v="0"/>
    <n v="182.43389112591149"/>
    <n v="200.509371895914"/>
  </r>
  <r>
    <s v="Regular"/>
    <x v="1"/>
    <x v="4"/>
    <x v="7"/>
    <x v="6"/>
    <x v="0"/>
    <x v="0"/>
    <x v="2"/>
    <x v="5"/>
    <n v="0"/>
    <n v="0"/>
    <n v="222.44399999999999"/>
    <n v="222.44399999999999"/>
    <n v="222.44399999999999"/>
    <n v="222.44399999999999"/>
    <n v="2526"/>
    <x v="0"/>
    <n v="0"/>
    <n v="0"/>
    <n v="20"/>
    <n v="57"/>
    <n v="0"/>
    <n v="260.76"/>
    <n v="322.54000000000002"/>
    <m/>
    <n v="299.07195266542868"/>
    <n v="328.70388835395738"/>
    <n v="0"/>
    <n v="58004.497439999992"/>
    <n v="71747.087759999995"/>
    <n v="0"/>
    <n v="66526.761438708621"/>
    <n v="73118.207741007689"/>
  </r>
  <r>
    <s v="Sistema de Compensação"/>
    <x v="1"/>
    <x v="4"/>
    <x v="7"/>
    <x v="6"/>
    <x v="0"/>
    <x v="0"/>
    <x v="2"/>
    <x v="5"/>
    <n v="0"/>
    <n v="0"/>
    <n v="0.68100000000000005"/>
    <n v="0.68100000000000005"/>
    <n v="0.68100000000000005"/>
    <n v="0.68100000000000005"/>
    <n v="13"/>
    <x v="0"/>
    <n v="0"/>
    <n v="0"/>
    <n v="20"/>
    <n v="57"/>
    <n v="0"/>
    <n v="260.76"/>
    <n v="322.54000000000002"/>
    <m/>
    <n v="299.07195266542868"/>
    <n v="328.70388835395738"/>
    <n v="0"/>
    <n v="177.57756000000001"/>
    <n v="219.64974000000004"/>
    <n v="0"/>
    <n v="203.66799976515694"/>
    <n v="223.84734796904499"/>
  </r>
  <r>
    <s v="Regular"/>
    <x v="1"/>
    <x v="4"/>
    <x v="7"/>
    <x v="6"/>
    <x v="0"/>
    <x v="0"/>
    <x v="2"/>
    <x v="6"/>
    <n v="0"/>
    <n v="0"/>
    <n v="285.83800000000002"/>
    <n v="285.83800000000002"/>
    <n v="285.83800000000002"/>
    <n v="285.83800000000002"/>
    <n v="3123"/>
    <x v="0"/>
    <n v="0"/>
    <n v="0"/>
    <n v="20"/>
    <n v="57"/>
    <n v="0"/>
    <n v="260.76"/>
    <n v="322.54000000000002"/>
    <m/>
    <n v="299.07195266542868"/>
    <n v="328.70388835395738"/>
    <n v="0"/>
    <n v="74535.116880000001"/>
    <n v="92194.188520000011"/>
    <n v="0"/>
    <n v="85486.128805980814"/>
    <n v="93956.06203931848"/>
  </r>
  <r>
    <s v="Sistema de Compensação"/>
    <x v="1"/>
    <x v="4"/>
    <x v="7"/>
    <x v="6"/>
    <x v="0"/>
    <x v="0"/>
    <x v="2"/>
    <x v="6"/>
    <n v="0"/>
    <n v="0"/>
    <n v="1.347"/>
    <n v="1.347"/>
    <n v="1.347"/>
    <n v="1.347"/>
    <n v="16"/>
    <x v="0"/>
    <n v="0"/>
    <n v="0"/>
    <n v="20"/>
    <n v="57"/>
    <n v="0"/>
    <n v="260.76"/>
    <n v="322.54000000000002"/>
    <m/>
    <n v="299.07195266542868"/>
    <n v="328.70388835395738"/>
    <n v="0"/>
    <n v="351.24372"/>
    <n v="434.46138000000002"/>
    <n v="0"/>
    <n v="402.84992024033244"/>
    <n v="442.76413761278059"/>
  </r>
  <r>
    <s v="Regular"/>
    <x v="1"/>
    <x v="4"/>
    <x v="7"/>
    <x v="6"/>
    <x v="0"/>
    <x v="0"/>
    <x v="2"/>
    <x v="7"/>
    <n v="0"/>
    <n v="0"/>
    <n v="292.87"/>
    <n v="292.87"/>
    <n v="292.87"/>
    <n v="292.87"/>
    <n v="3184"/>
    <x v="0"/>
    <n v="0"/>
    <n v="0"/>
    <n v="20"/>
    <n v="57"/>
    <n v="0"/>
    <n v="260.76"/>
    <n v="322.54000000000002"/>
    <m/>
    <n v="299.07195266542868"/>
    <n v="328.70388835395738"/>
    <n v="0"/>
    <n v="76368.781199999998"/>
    <n v="94462.289800000013"/>
    <n v="0"/>
    <n v="87589.202777124097"/>
    <n v="96267.507782223503"/>
  </r>
  <r>
    <s v="Sistema de Compensação"/>
    <x v="1"/>
    <x v="4"/>
    <x v="7"/>
    <x v="6"/>
    <x v="0"/>
    <x v="0"/>
    <x v="2"/>
    <x v="7"/>
    <n v="0"/>
    <n v="0"/>
    <n v="1.137"/>
    <n v="1.137"/>
    <n v="1.137"/>
    <n v="1.137"/>
    <n v="15"/>
    <x v="0"/>
    <n v="0"/>
    <n v="0"/>
    <n v="20"/>
    <n v="57"/>
    <n v="0"/>
    <n v="260.76"/>
    <n v="322.54000000000002"/>
    <m/>
    <n v="299.07195266542868"/>
    <n v="328.70388835395738"/>
    <n v="0"/>
    <n v="296.48412000000002"/>
    <n v="366.72798"/>
    <n v="0"/>
    <n v="340.04481018059244"/>
    <n v="373.73632105844956"/>
  </r>
  <r>
    <s v="Regular"/>
    <x v="1"/>
    <x v="4"/>
    <x v="7"/>
    <x v="6"/>
    <x v="0"/>
    <x v="0"/>
    <x v="2"/>
    <x v="8"/>
    <n v="0"/>
    <n v="0"/>
    <n v="169.56299999999999"/>
    <n v="169.56299999999999"/>
    <n v="169.56299999999999"/>
    <n v="169.56299999999999"/>
    <n v="2030"/>
    <x v="0"/>
    <n v="0"/>
    <n v="0"/>
    <n v="20"/>
    <n v="57"/>
    <n v="0"/>
    <n v="260.76"/>
    <n v="322.54000000000002"/>
    <m/>
    <n v="299.07195266542868"/>
    <n v="328.70388835395738"/>
    <n v="0"/>
    <n v="44215.247879999995"/>
    <n v="54690.850019999998"/>
    <n v="0"/>
    <n v="50711.537509808077"/>
    <n v="55736.017420962075"/>
  </r>
  <r>
    <s v="Sistema de Compensação"/>
    <x v="1"/>
    <x v="4"/>
    <x v="7"/>
    <x v="6"/>
    <x v="0"/>
    <x v="0"/>
    <x v="2"/>
    <x v="8"/>
    <n v="0"/>
    <n v="0"/>
    <n v="1.4379999999999999"/>
    <n v="1.4379999999999999"/>
    <n v="1.4379999999999999"/>
    <n v="1.4379999999999999"/>
    <n v="15"/>
    <x v="0"/>
    <n v="0"/>
    <n v="0"/>
    <n v="20"/>
    <n v="57"/>
    <n v="0"/>
    <n v="260.76"/>
    <n v="322.54000000000002"/>
    <m/>
    <n v="299.07195266542868"/>
    <n v="328.70388835395738"/>
    <n v="0"/>
    <n v="374.97287999999998"/>
    <n v="463.81252000000001"/>
    <n v="0"/>
    <n v="430.06546793288641"/>
    <n v="472.67619145299068"/>
  </r>
  <r>
    <s v="Regular"/>
    <x v="1"/>
    <x v="4"/>
    <x v="7"/>
    <x v="6"/>
    <x v="0"/>
    <x v="0"/>
    <x v="2"/>
    <x v="9"/>
    <n v="0"/>
    <n v="0"/>
    <n v="114.813"/>
    <n v="114.813"/>
    <n v="114.813"/>
    <n v="114.813"/>
    <n v="1519"/>
    <x v="0"/>
    <n v="0"/>
    <n v="0"/>
    <n v="20"/>
    <n v="57"/>
    <n v="0"/>
    <n v="260.76"/>
    <n v="322.54000000000002"/>
    <m/>
    <n v="299.07195266542868"/>
    <n v="328.70388835395738"/>
    <n v="0"/>
    <n v="29938.637879999998"/>
    <n v="37031.785020000003"/>
    <n v="0"/>
    <n v="34337.348101375865"/>
    <n v="37739.479533582911"/>
  </r>
  <r>
    <s v="Sistema de Compensação"/>
    <x v="1"/>
    <x v="4"/>
    <x v="7"/>
    <x v="6"/>
    <x v="0"/>
    <x v="0"/>
    <x v="2"/>
    <x v="9"/>
    <n v="0"/>
    <n v="0"/>
    <n v="0.79500000000000004"/>
    <n v="0.79500000000000004"/>
    <n v="0.79500000000000004"/>
    <n v="0.79500000000000004"/>
    <n v="9"/>
    <x v="0"/>
    <n v="0"/>
    <n v="0"/>
    <n v="20"/>
    <n v="57"/>
    <n v="0"/>
    <n v="260.76"/>
    <n v="322.54000000000002"/>
    <m/>
    <n v="299.07195266542868"/>
    <n v="328.70388835395738"/>
    <n v="0"/>
    <n v="207.30420000000001"/>
    <n v="256.41930000000002"/>
    <n v="0"/>
    <n v="237.76220236901582"/>
    <n v="261.31959124139615"/>
  </r>
  <r>
    <s v="Regular"/>
    <x v="1"/>
    <x v="4"/>
    <x v="7"/>
    <x v="6"/>
    <x v="0"/>
    <x v="0"/>
    <x v="2"/>
    <x v="10"/>
    <n v="0"/>
    <n v="0"/>
    <n v="66.433999999999997"/>
    <n v="66.433999999999997"/>
    <n v="66.433999999999997"/>
    <n v="66.433999999999997"/>
    <n v="973"/>
    <x v="0"/>
    <n v="0"/>
    <n v="0"/>
    <n v="20"/>
    <n v="57"/>
    <n v="0"/>
    <n v="260.76"/>
    <n v="322.54000000000002"/>
    <m/>
    <n v="299.07195266542868"/>
    <n v="328.70388835395738"/>
    <n v="0"/>
    <n v="17323.329839999999"/>
    <n v="21427.622360000001"/>
    <n v="0"/>
    <n v="19868.546103375087"/>
    <n v="21837.114118906804"/>
  </r>
  <r>
    <s v="Sistema de Compensação"/>
    <x v="1"/>
    <x v="4"/>
    <x v="7"/>
    <x v="6"/>
    <x v="0"/>
    <x v="0"/>
    <x v="2"/>
    <x v="10"/>
    <n v="0"/>
    <n v="0"/>
    <n v="0.56399999999999995"/>
    <n v="0.56399999999999995"/>
    <n v="0.56399999999999995"/>
    <n v="0.56399999999999995"/>
    <n v="8"/>
    <x v="0"/>
    <n v="0"/>
    <n v="0"/>
    <n v="20"/>
    <n v="57"/>
    <n v="0"/>
    <n v="260.76"/>
    <n v="322.54000000000002"/>
    <m/>
    <n v="299.07195266542868"/>
    <n v="328.70388835395738"/>
    <n v="0"/>
    <n v="147.06863999999999"/>
    <n v="181.91255999999998"/>
    <n v="0"/>
    <n v="168.67658130330176"/>
    <n v="185.38899303163194"/>
  </r>
  <r>
    <s v="PROJETADO"/>
    <x v="1"/>
    <x v="4"/>
    <x v="7"/>
    <x v="6"/>
    <x v="0"/>
    <x v="0"/>
    <x v="2"/>
    <x v="11"/>
    <n v="0"/>
    <n v="0"/>
    <n v="66.433999999999997"/>
    <n v="66.433999999999997"/>
    <n v="66.433999999999997"/>
    <n v="66.433999999999997"/>
    <n v="973"/>
    <x v="0"/>
    <n v="0"/>
    <n v="0"/>
    <n v="20"/>
    <n v="57"/>
    <n v="0"/>
    <n v="260.76"/>
    <n v="322.54000000000002"/>
    <m/>
    <n v="299.07195266542868"/>
    <n v="328.70388835395738"/>
    <n v="0"/>
    <n v="17323.329839999999"/>
    <n v="21427.622360000001"/>
    <n v="0"/>
    <n v="19868.546103375087"/>
    <n v="21837.114118906804"/>
  </r>
  <r>
    <s v="PROJETADO"/>
    <x v="1"/>
    <x v="4"/>
    <x v="7"/>
    <x v="6"/>
    <x v="0"/>
    <x v="0"/>
    <x v="2"/>
    <x v="11"/>
    <n v="0"/>
    <n v="0"/>
    <n v="0.56399999999999995"/>
    <n v="0.56399999999999995"/>
    <n v="0.56399999999999995"/>
    <n v="0.56399999999999995"/>
    <n v="8"/>
    <x v="0"/>
    <n v="0"/>
    <n v="0"/>
    <n v="20"/>
    <n v="57"/>
    <n v="0"/>
    <n v="260.76"/>
    <n v="322.54000000000002"/>
    <m/>
    <n v="299.07195266542868"/>
    <n v="328.70388835395738"/>
    <n v="0"/>
    <n v="147.06863999999999"/>
    <n v="181.91255999999998"/>
    <n v="0"/>
    <n v="168.67658130330176"/>
    <n v="185.38899303163194"/>
  </r>
  <r>
    <s v="Regular"/>
    <x v="2"/>
    <x v="3"/>
    <x v="3"/>
    <x v="0"/>
    <x v="0"/>
    <x v="0"/>
    <x v="0"/>
    <x v="0"/>
    <n v="0"/>
    <n v="0"/>
    <n v="0.439"/>
    <n v="0.439"/>
    <n v="0.439"/>
    <n v="0.439"/>
    <n v="0"/>
    <x v="0"/>
    <n v="0"/>
    <n v="0"/>
    <n v="28"/>
    <n v="65"/>
    <n v="0"/>
    <n v="228.11"/>
    <n v="270.23"/>
    <m/>
    <n v="351.50479000877084"/>
    <n v="294.41717594294374"/>
    <n v="0"/>
    <n v="100.14029000000001"/>
    <n v="118.63097"/>
    <n v="0"/>
    <n v="154.31060281385041"/>
    <n v="129.24914023895229"/>
  </r>
  <r>
    <s v="Regular"/>
    <x v="2"/>
    <x v="3"/>
    <x v="3"/>
    <x v="0"/>
    <x v="0"/>
    <x v="0"/>
    <x v="0"/>
    <x v="1"/>
    <n v="0"/>
    <n v="0"/>
    <n v="0.68200000000000005"/>
    <n v="0.68200000000000005"/>
    <n v="0.68200000000000005"/>
    <n v="0.68200000000000005"/>
    <n v="0"/>
    <x v="0"/>
    <n v="0"/>
    <n v="0"/>
    <n v="28"/>
    <n v="65"/>
    <n v="0"/>
    <n v="228.11"/>
    <n v="270.23"/>
    <m/>
    <n v="351.50479000877084"/>
    <n v="294.41717594294374"/>
    <n v="0"/>
    <n v="155.57102000000003"/>
    <n v="184.29686000000004"/>
    <n v="0"/>
    <n v="239.72626678598172"/>
    <n v="200.79251399308765"/>
  </r>
  <r>
    <s v="Regular"/>
    <x v="2"/>
    <x v="3"/>
    <x v="3"/>
    <x v="0"/>
    <x v="0"/>
    <x v="0"/>
    <x v="0"/>
    <x v="2"/>
    <n v="0"/>
    <n v="0"/>
    <n v="0.317"/>
    <n v="0.317"/>
    <n v="0.317"/>
    <n v="0.317"/>
    <n v="0"/>
    <x v="0"/>
    <n v="0"/>
    <n v="0"/>
    <n v="28"/>
    <n v="65"/>
    <n v="0"/>
    <n v="228.11"/>
    <n v="270.23"/>
    <m/>
    <n v="351.50479000877084"/>
    <n v="294.41717594294374"/>
    <n v="0"/>
    <n v="72.310870000000008"/>
    <n v="85.662910000000011"/>
    <n v="0"/>
    <n v="111.42701843278036"/>
    <n v="93.330244773913165"/>
  </r>
  <r>
    <s v="Regular"/>
    <x v="2"/>
    <x v="3"/>
    <x v="3"/>
    <x v="0"/>
    <x v="0"/>
    <x v="0"/>
    <x v="0"/>
    <x v="3"/>
    <n v="0"/>
    <n v="0"/>
    <n v="0.26200000000000001"/>
    <n v="0.26200000000000001"/>
    <n v="0.26200000000000001"/>
    <n v="0.26200000000000001"/>
    <n v="0"/>
    <x v="0"/>
    <n v="0"/>
    <n v="0"/>
    <n v="28"/>
    <n v="65"/>
    <n v="0"/>
    <n v="228.11"/>
    <n v="270.23"/>
    <m/>
    <n v="351.50479000877084"/>
    <n v="294.41717594294374"/>
    <n v="0"/>
    <n v="59.764820000000007"/>
    <n v="70.800260000000009"/>
    <n v="0"/>
    <n v="92.094254982297969"/>
    <n v="77.137300097051266"/>
  </r>
  <r>
    <s v="Regular"/>
    <x v="2"/>
    <x v="3"/>
    <x v="3"/>
    <x v="0"/>
    <x v="0"/>
    <x v="0"/>
    <x v="0"/>
    <x v="4"/>
    <n v="0"/>
    <n v="0"/>
    <n v="0.42599999999999999"/>
    <n v="0.42599999999999999"/>
    <n v="0.42599999999999999"/>
    <n v="0.42599999999999999"/>
    <n v="0"/>
    <x v="0"/>
    <n v="0"/>
    <n v="0"/>
    <n v="28"/>
    <n v="65"/>
    <n v="0"/>
    <n v="228.11"/>
    <n v="270.23"/>
    <m/>
    <n v="351.50479000877084"/>
    <n v="294.41717594294374"/>
    <n v="0"/>
    <n v="97.17486000000001"/>
    <n v="115.11798"/>
    <n v="0"/>
    <n v="149.74104054373637"/>
    <n v="125.42171695169404"/>
  </r>
  <r>
    <s v="Regular"/>
    <x v="2"/>
    <x v="3"/>
    <x v="3"/>
    <x v="0"/>
    <x v="0"/>
    <x v="0"/>
    <x v="0"/>
    <x v="5"/>
    <n v="0"/>
    <n v="0"/>
    <n v="0.34699999999999998"/>
    <n v="0.34699999999999998"/>
    <n v="0.34699999999999998"/>
    <n v="0.34699999999999998"/>
    <n v="0"/>
    <x v="0"/>
    <n v="0"/>
    <n v="0"/>
    <n v="28"/>
    <n v="65"/>
    <n v="0"/>
    <n v="228.11"/>
    <n v="270.23"/>
    <m/>
    <n v="351.50479000877084"/>
    <n v="294.41717594294374"/>
    <n v="0"/>
    <n v="79.154169999999993"/>
    <n v="93.769809999999993"/>
    <n v="0"/>
    <n v="121.97216213304347"/>
    <n v="102.16276005220148"/>
  </r>
  <r>
    <s v="Regular"/>
    <x v="2"/>
    <x v="3"/>
    <x v="3"/>
    <x v="0"/>
    <x v="0"/>
    <x v="0"/>
    <x v="0"/>
    <x v="6"/>
    <n v="0"/>
    <n v="0"/>
    <n v="0.35099999999999998"/>
    <n v="0.35099999999999998"/>
    <n v="0.35099999999999998"/>
    <n v="0.35099999999999998"/>
    <n v="0"/>
    <x v="0"/>
    <n v="0"/>
    <n v="0"/>
    <n v="28"/>
    <n v="65"/>
    <n v="0"/>
    <n v="228.11"/>
    <n v="270.23"/>
    <m/>
    <n v="351.50479000877084"/>
    <n v="294.41717594294374"/>
    <n v="0"/>
    <n v="80.066609999999997"/>
    <n v="94.850729999999999"/>
    <n v="0"/>
    <n v="123.37818129307855"/>
    <n v="103.34042875597325"/>
  </r>
  <r>
    <s v="Regular"/>
    <x v="2"/>
    <x v="3"/>
    <x v="3"/>
    <x v="0"/>
    <x v="0"/>
    <x v="0"/>
    <x v="0"/>
    <x v="7"/>
    <n v="0"/>
    <n v="0"/>
    <n v="0.30199999999999999"/>
    <n v="0.30199999999999999"/>
    <n v="0.30199999999999999"/>
    <n v="0.30199999999999999"/>
    <n v="0"/>
    <x v="0"/>
    <n v="0"/>
    <n v="0"/>
    <n v="28"/>
    <n v="65"/>
    <n v="0"/>
    <n v="228.11"/>
    <n v="270.23"/>
    <m/>
    <n v="351.50479000877084"/>
    <n v="294.41717594294374"/>
    <n v="0"/>
    <n v="68.889220000000009"/>
    <n v="81.609459999999999"/>
    <n v="0"/>
    <n v="106.15444658264879"/>
    <n v="88.913987134769002"/>
  </r>
  <r>
    <s v="Regular"/>
    <x v="2"/>
    <x v="3"/>
    <x v="3"/>
    <x v="0"/>
    <x v="0"/>
    <x v="0"/>
    <x v="0"/>
    <x v="8"/>
    <n v="0"/>
    <n v="0"/>
    <n v="0.54500000000000004"/>
    <n v="0.54500000000000004"/>
    <n v="0.54500000000000004"/>
    <n v="0.54500000000000004"/>
    <n v="0"/>
    <x v="0"/>
    <n v="0"/>
    <n v="0"/>
    <n v="28"/>
    <n v="65"/>
    <n v="0"/>
    <n v="228.11"/>
    <n v="270.23"/>
    <m/>
    <n v="351.50479000877084"/>
    <n v="294.41717594294374"/>
    <n v="0"/>
    <n v="124.31995000000002"/>
    <n v="147.27535000000003"/>
    <n v="0"/>
    <n v="191.57011055478011"/>
    <n v="160.45736088890436"/>
  </r>
  <r>
    <s v="Regular"/>
    <x v="2"/>
    <x v="3"/>
    <x v="3"/>
    <x v="0"/>
    <x v="0"/>
    <x v="0"/>
    <x v="0"/>
    <x v="9"/>
    <n v="0"/>
    <n v="0"/>
    <n v="0.55300000000000005"/>
    <n v="0.55300000000000005"/>
    <n v="0.55300000000000005"/>
    <n v="0.55300000000000005"/>
    <n v="0"/>
    <x v="0"/>
    <n v="0"/>
    <n v="0"/>
    <n v="28"/>
    <n v="65"/>
    <n v="0"/>
    <n v="228.11"/>
    <n v="270.23"/>
    <m/>
    <n v="351.50479000877084"/>
    <n v="294.41717594294374"/>
    <n v="0"/>
    <n v="126.14483000000001"/>
    <n v="149.43719000000002"/>
    <n v="0"/>
    <n v="194.38214887485029"/>
    <n v="162.81269829644791"/>
  </r>
  <r>
    <s v="Regular"/>
    <x v="2"/>
    <x v="3"/>
    <x v="3"/>
    <x v="0"/>
    <x v="0"/>
    <x v="0"/>
    <x v="0"/>
    <x v="10"/>
    <n v="0"/>
    <n v="0"/>
    <n v="0.59"/>
    <n v="0.59"/>
    <n v="0.59"/>
    <n v="0.59"/>
    <n v="0"/>
    <x v="0"/>
    <n v="0"/>
    <n v="0"/>
    <n v="28"/>
    <n v="65"/>
    <n v="0"/>
    <n v="228.11"/>
    <n v="270.23"/>
    <m/>
    <n v="351.50479000877084"/>
    <n v="294.41717594294374"/>
    <n v="0"/>
    <n v="134.5849"/>
    <n v="159.4357"/>
    <n v="0"/>
    <n v="207.38782610517478"/>
    <n v="173.70613380633679"/>
  </r>
  <r>
    <s v="PROJETADO"/>
    <x v="2"/>
    <x v="3"/>
    <x v="3"/>
    <x v="0"/>
    <x v="0"/>
    <x v="0"/>
    <x v="0"/>
    <x v="11"/>
    <n v="0"/>
    <n v="0"/>
    <n v="0.59"/>
    <n v="0.59"/>
    <n v="0.59"/>
    <n v="0.59"/>
    <n v="0"/>
    <x v="0"/>
    <n v="0"/>
    <n v="0"/>
    <n v="28"/>
    <n v="65"/>
    <n v="0"/>
    <n v="228.11"/>
    <n v="270.23"/>
    <m/>
    <n v="351.50479000877084"/>
    <n v="294.41717594294374"/>
    <n v="0"/>
    <n v="134.5849"/>
    <n v="159.4357"/>
    <n v="0"/>
    <n v="207.38782610517478"/>
    <n v="173.70613380633679"/>
  </r>
  <r>
    <s v="Regular"/>
    <x v="2"/>
    <x v="3"/>
    <x v="3"/>
    <x v="0"/>
    <x v="0"/>
    <x v="0"/>
    <x v="3"/>
    <x v="0"/>
    <n v="0"/>
    <n v="0"/>
    <n v="1.4E-2"/>
    <n v="1.4E-2"/>
    <n v="1.4E-2"/>
    <n v="1.4E-2"/>
    <n v="0"/>
    <x v="0"/>
    <n v="0"/>
    <n v="0"/>
    <n v="27"/>
    <n v="64"/>
    <n v="0"/>
    <n v="511.06"/>
    <n v="270.23"/>
    <m/>
    <n v="694.19140331436017"/>
    <n v="294.41717594294374"/>
    <n v="0"/>
    <n v="7.1548400000000001"/>
    <n v="3.7832200000000005"/>
    <n v="0"/>
    <n v="9.7186796464010428"/>
    <n v="4.1218404632012122"/>
  </r>
  <r>
    <s v="Regular"/>
    <x v="2"/>
    <x v="3"/>
    <x v="3"/>
    <x v="0"/>
    <x v="0"/>
    <x v="0"/>
    <x v="3"/>
    <x v="1"/>
    <n v="0"/>
    <n v="0"/>
    <n v="1.7000000000000001E-2"/>
    <n v="1.7000000000000001E-2"/>
    <n v="1.7000000000000001E-2"/>
    <n v="1.7000000000000001E-2"/>
    <n v="0"/>
    <x v="0"/>
    <n v="0"/>
    <n v="0"/>
    <n v="27"/>
    <n v="64"/>
    <n v="0"/>
    <n v="511.06"/>
    <n v="270.23"/>
    <m/>
    <n v="694.19140331436017"/>
    <n v="294.41717594294374"/>
    <n v="0"/>
    <n v="8.6880199999999999"/>
    <n v="4.593910000000001"/>
    <n v="0"/>
    <n v="11.801253856344124"/>
    <n v="5.005091991030044"/>
  </r>
  <r>
    <s v="Regular"/>
    <x v="2"/>
    <x v="3"/>
    <x v="3"/>
    <x v="0"/>
    <x v="0"/>
    <x v="0"/>
    <x v="3"/>
    <x v="2"/>
    <n v="0"/>
    <n v="0"/>
    <n v="1.6E-2"/>
    <n v="1.6E-2"/>
    <n v="1.6E-2"/>
    <n v="1.6E-2"/>
    <n v="0"/>
    <x v="0"/>
    <n v="0"/>
    <n v="0"/>
    <n v="27"/>
    <n v="64"/>
    <n v="0"/>
    <n v="511.06"/>
    <n v="270.23"/>
    <m/>
    <n v="694.19140331436017"/>
    <n v="294.41717594294374"/>
    <n v="0"/>
    <n v="8.1769599999999993"/>
    <n v="4.3236800000000004"/>
    <n v="0"/>
    <n v="11.107062453029762"/>
    <n v="4.7106748150871001"/>
  </r>
  <r>
    <s v="Regular"/>
    <x v="2"/>
    <x v="3"/>
    <x v="3"/>
    <x v="0"/>
    <x v="0"/>
    <x v="0"/>
    <x v="3"/>
    <x v="3"/>
    <n v="0"/>
    <n v="0"/>
    <n v="1.4999999999999999E-2"/>
    <n v="1.4999999999999999E-2"/>
    <n v="1.4999999999999999E-2"/>
    <n v="1.4999999999999999E-2"/>
    <n v="0"/>
    <x v="0"/>
    <n v="0"/>
    <n v="0"/>
    <n v="27"/>
    <n v="64"/>
    <n v="0"/>
    <n v="511.06"/>
    <n v="270.23"/>
    <m/>
    <n v="694.19140331436017"/>
    <n v="294.41717594294374"/>
    <n v="0"/>
    <n v="7.6658999999999997"/>
    <n v="4.0534499999999998"/>
    <n v="0"/>
    <n v="10.412871049715402"/>
    <n v="4.4162576391441561"/>
  </r>
  <r>
    <s v="Regular"/>
    <x v="2"/>
    <x v="3"/>
    <x v="3"/>
    <x v="0"/>
    <x v="0"/>
    <x v="0"/>
    <x v="3"/>
    <x v="4"/>
    <n v="0"/>
    <n v="0"/>
    <n v="1.7000000000000001E-2"/>
    <n v="1.7000000000000001E-2"/>
    <n v="1.7000000000000001E-2"/>
    <n v="1.7000000000000001E-2"/>
    <n v="0"/>
    <x v="0"/>
    <n v="0"/>
    <n v="0"/>
    <n v="27"/>
    <n v="64"/>
    <n v="0"/>
    <n v="511.06"/>
    <n v="270.23"/>
    <m/>
    <n v="694.19140331436017"/>
    <n v="294.41717594294374"/>
    <n v="0"/>
    <n v="8.6880199999999999"/>
    <n v="4.593910000000001"/>
    <n v="0"/>
    <n v="11.801253856344124"/>
    <n v="5.005091991030044"/>
  </r>
  <r>
    <s v="Regular"/>
    <x v="2"/>
    <x v="3"/>
    <x v="3"/>
    <x v="0"/>
    <x v="0"/>
    <x v="0"/>
    <x v="3"/>
    <x v="5"/>
    <n v="0"/>
    <n v="0"/>
    <n v="1.6E-2"/>
    <n v="1.6E-2"/>
    <n v="1.6E-2"/>
    <n v="1.6E-2"/>
    <n v="0"/>
    <x v="0"/>
    <n v="0"/>
    <n v="0"/>
    <n v="27"/>
    <n v="64"/>
    <n v="0"/>
    <n v="511.06"/>
    <n v="270.23"/>
    <m/>
    <n v="694.19140331436017"/>
    <n v="294.41717594294374"/>
    <n v="0"/>
    <n v="8.1769599999999993"/>
    <n v="4.3236800000000004"/>
    <n v="0"/>
    <n v="11.107062453029762"/>
    <n v="4.7106748150871001"/>
  </r>
  <r>
    <s v="Regular"/>
    <x v="2"/>
    <x v="3"/>
    <x v="3"/>
    <x v="0"/>
    <x v="0"/>
    <x v="0"/>
    <x v="3"/>
    <x v="6"/>
    <n v="0"/>
    <n v="0"/>
    <n v="1.6E-2"/>
    <n v="1.6E-2"/>
    <n v="1.6E-2"/>
    <n v="1.6E-2"/>
    <n v="0"/>
    <x v="0"/>
    <n v="0"/>
    <n v="0"/>
    <n v="27"/>
    <n v="64"/>
    <n v="0"/>
    <n v="511.06"/>
    <n v="270.23"/>
    <m/>
    <n v="694.19140331436017"/>
    <n v="294.41717594294374"/>
    <n v="0"/>
    <n v="8.1769599999999993"/>
    <n v="4.3236800000000004"/>
    <n v="0"/>
    <n v="11.107062453029762"/>
    <n v="4.7106748150871001"/>
  </r>
  <r>
    <s v="Regular"/>
    <x v="2"/>
    <x v="3"/>
    <x v="3"/>
    <x v="0"/>
    <x v="0"/>
    <x v="0"/>
    <x v="3"/>
    <x v="7"/>
    <n v="0"/>
    <n v="0"/>
    <n v="2.1999999999999999E-2"/>
    <n v="2.1999999999999999E-2"/>
    <n v="2.1999999999999999E-2"/>
    <n v="2.1999999999999999E-2"/>
    <n v="0"/>
    <x v="0"/>
    <n v="0"/>
    <n v="0"/>
    <n v="27"/>
    <n v="64"/>
    <n v="0"/>
    <n v="511.06"/>
    <n v="270.23"/>
    <m/>
    <n v="694.19140331436017"/>
    <n v="294.41717594294374"/>
    <n v="0"/>
    <n v="11.243319999999999"/>
    <n v="5.9450599999999998"/>
    <n v="0"/>
    <n v="15.272210872915922"/>
    <n v="6.4771778707447618"/>
  </r>
  <r>
    <s v="Regular"/>
    <x v="2"/>
    <x v="3"/>
    <x v="3"/>
    <x v="0"/>
    <x v="0"/>
    <x v="0"/>
    <x v="3"/>
    <x v="8"/>
    <n v="0"/>
    <n v="0"/>
    <n v="2.3E-2"/>
    <n v="2.3E-2"/>
    <n v="2.3E-2"/>
    <n v="2.3E-2"/>
    <n v="0"/>
    <x v="0"/>
    <n v="0"/>
    <n v="0"/>
    <n v="27"/>
    <n v="64"/>
    <n v="0"/>
    <n v="511.06"/>
    <n v="270.23"/>
    <m/>
    <n v="694.19140331436017"/>
    <n v="294.41717594294374"/>
    <n v="0"/>
    <n v="11.754379999999999"/>
    <n v="6.2152900000000004"/>
    <n v="0"/>
    <n v="15.966402276230284"/>
    <n v="6.7715950466877057"/>
  </r>
  <r>
    <s v="Regular"/>
    <x v="2"/>
    <x v="3"/>
    <x v="3"/>
    <x v="0"/>
    <x v="0"/>
    <x v="0"/>
    <x v="3"/>
    <x v="9"/>
    <n v="0"/>
    <n v="0"/>
    <n v="1.7000000000000001E-2"/>
    <n v="1.7000000000000001E-2"/>
    <n v="1.7000000000000001E-2"/>
    <n v="1.7000000000000001E-2"/>
    <n v="0"/>
    <x v="0"/>
    <n v="0"/>
    <n v="0"/>
    <n v="27"/>
    <n v="64"/>
    <n v="0"/>
    <n v="511.06"/>
    <n v="270.23"/>
    <m/>
    <n v="694.19140331436017"/>
    <n v="294.41717594294374"/>
    <n v="0"/>
    <n v="8.6880199999999999"/>
    <n v="4.593910000000001"/>
    <n v="0"/>
    <n v="11.801253856344124"/>
    <n v="5.005091991030044"/>
  </r>
  <r>
    <s v="Regular"/>
    <x v="2"/>
    <x v="3"/>
    <x v="3"/>
    <x v="0"/>
    <x v="0"/>
    <x v="0"/>
    <x v="3"/>
    <x v="10"/>
    <n v="0"/>
    <n v="0"/>
    <n v="1.4E-2"/>
    <n v="1.4E-2"/>
    <n v="1.4E-2"/>
    <n v="1.4E-2"/>
    <n v="0"/>
    <x v="0"/>
    <n v="0"/>
    <n v="0"/>
    <n v="27"/>
    <n v="64"/>
    <n v="0"/>
    <n v="511.06"/>
    <n v="270.23"/>
    <m/>
    <n v="694.19140331436017"/>
    <n v="294.41717594294374"/>
    <n v="0"/>
    <n v="7.1548400000000001"/>
    <n v="3.7832200000000005"/>
    <n v="0"/>
    <n v="9.7186796464010428"/>
    <n v="4.1218404632012122"/>
  </r>
  <r>
    <s v="PROJETADO"/>
    <x v="2"/>
    <x v="3"/>
    <x v="3"/>
    <x v="0"/>
    <x v="0"/>
    <x v="0"/>
    <x v="3"/>
    <x v="11"/>
    <n v="0"/>
    <n v="0"/>
    <n v="1.4E-2"/>
    <n v="1.4E-2"/>
    <n v="1.4E-2"/>
    <n v="1.4E-2"/>
    <n v="0"/>
    <x v="0"/>
    <n v="0"/>
    <n v="0"/>
    <n v="27"/>
    <n v="64"/>
    <n v="0"/>
    <n v="511.06"/>
    <n v="270.23"/>
    <m/>
    <n v="694.19140331436017"/>
    <n v="294.41717594294374"/>
    <n v="0"/>
    <n v="7.1548400000000001"/>
    <n v="3.7832200000000005"/>
    <n v="0"/>
    <n v="9.7186796464010428"/>
    <n v="4.1218404632012122"/>
  </r>
  <r>
    <s v="Regular"/>
    <x v="2"/>
    <x v="3"/>
    <x v="3"/>
    <x v="0"/>
    <x v="0"/>
    <x v="0"/>
    <x v="1"/>
    <x v="0"/>
    <n v="0"/>
    <n v="0"/>
    <n v="1.9E-2"/>
    <n v="1.9E-2"/>
    <n v="1.9E-2"/>
    <n v="1.9E-2"/>
    <n v="0"/>
    <x v="0"/>
    <n v="0"/>
    <n v="0"/>
    <n v="26"/>
    <n v="63"/>
    <n v="0"/>
    <n v="794.02"/>
    <n v="433.52"/>
    <m/>
    <n v="1036.8781278844699"/>
    <n v="469.19092526025798"/>
    <n v="0"/>
    <n v="15.08638"/>
    <n v="8.2368799999999993"/>
    <n v="0"/>
    <n v="19.700684429804927"/>
    <n v="8.9146275799449022"/>
  </r>
  <r>
    <s v="Regular"/>
    <x v="2"/>
    <x v="3"/>
    <x v="3"/>
    <x v="0"/>
    <x v="0"/>
    <x v="0"/>
    <x v="1"/>
    <x v="1"/>
    <n v="0"/>
    <n v="0"/>
    <n v="0.02"/>
    <n v="0.02"/>
    <n v="0.02"/>
    <n v="0.02"/>
    <n v="0"/>
    <x v="0"/>
    <n v="0"/>
    <n v="0"/>
    <n v="26"/>
    <n v="63"/>
    <n v="0"/>
    <n v="794.02"/>
    <n v="433.52"/>
    <m/>
    <n v="1036.8781278844699"/>
    <n v="469.19092526025798"/>
    <n v="0"/>
    <n v="15.8804"/>
    <n v="8.670399999999999"/>
    <n v="0"/>
    <n v="20.737562557689397"/>
    <n v="9.3838185052051593"/>
  </r>
  <r>
    <s v="Regular"/>
    <x v="2"/>
    <x v="3"/>
    <x v="3"/>
    <x v="0"/>
    <x v="0"/>
    <x v="0"/>
    <x v="1"/>
    <x v="2"/>
    <n v="0"/>
    <n v="0"/>
    <n v="2.1000000000000001E-2"/>
    <n v="2.1000000000000001E-2"/>
    <n v="2.1000000000000001E-2"/>
    <n v="2.1000000000000001E-2"/>
    <n v="0"/>
    <x v="0"/>
    <n v="0"/>
    <n v="0"/>
    <n v="26"/>
    <n v="63"/>
    <n v="0"/>
    <n v="794.02"/>
    <n v="433.52"/>
    <m/>
    <n v="1036.8781278844699"/>
    <n v="469.19092526025798"/>
    <n v="0"/>
    <n v="16.674420000000001"/>
    <n v="9.1039200000000005"/>
    <n v="0"/>
    <n v="21.774440685573868"/>
    <n v="9.8530094304654181"/>
  </r>
  <r>
    <s v="Regular"/>
    <x v="2"/>
    <x v="3"/>
    <x v="3"/>
    <x v="0"/>
    <x v="0"/>
    <x v="0"/>
    <x v="1"/>
    <x v="3"/>
    <n v="0"/>
    <n v="0"/>
    <n v="0.02"/>
    <n v="0.02"/>
    <n v="0.02"/>
    <n v="0.02"/>
    <n v="0"/>
    <x v="0"/>
    <n v="0"/>
    <n v="0"/>
    <n v="26"/>
    <n v="63"/>
    <n v="0"/>
    <n v="794.02"/>
    <n v="433.52"/>
    <m/>
    <n v="1036.8781278844699"/>
    <n v="469.19092526025798"/>
    <n v="0"/>
    <n v="15.8804"/>
    <n v="8.670399999999999"/>
    <n v="0"/>
    <n v="20.737562557689397"/>
    <n v="9.3838185052051593"/>
  </r>
  <r>
    <s v="Regular"/>
    <x v="2"/>
    <x v="3"/>
    <x v="3"/>
    <x v="0"/>
    <x v="0"/>
    <x v="0"/>
    <x v="1"/>
    <x v="4"/>
    <n v="0"/>
    <n v="0"/>
    <n v="2.1999999999999999E-2"/>
    <n v="2.1999999999999999E-2"/>
    <n v="2.1999999999999999E-2"/>
    <n v="2.1999999999999999E-2"/>
    <n v="0"/>
    <x v="0"/>
    <n v="0"/>
    <n v="0"/>
    <n v="26"/>
    <n v="63"/>
    <n v="0"/>
    <n v="794.02"/>
    <n v="433.52"/>
    <m/>
    <n v="1036.8781278844699"/>
    <n v="469.19092526025798"/>
    <n v="0"/>
    <n v="17.468439999999998"/>
    <n v="9.5374399999999984"/>
    <n v="0"/>
    <n v="22.811318813458335"/>
    <n v="10.322200355725675"/>
  </r>
  <r>
    <s v="Regular"/>
    <x v="2"/>
    <x v="3"/>
    <x v="3"/>
    <x v="0"/>
    <x v="0"/>
    <x v="0"/>
    <x v="1"/>
    <x v="5"/>
    <n v="0"/>
    <n v="0"/>
    <n v="2.1000000000000001E-2"/>
    <n v="2.1000000000000001E-2"/>
    <n v="2.1000000000000001E-2"/>
    <n v="2.1000000000000001E-2"/>
    <n v="0"/>
    <x v="0"/>
    <n v="0"/>
    <n v="0"/>
    <n v="26"/>
    <n v="63"/>
    <n v="0"/>
    <n v="794.02"/>
    <n v="433.52"/>
    <m/>
    <n v="1036.8781278844699"/>
    <n v="469.19092526025798"/>
    <n v="0"/>
    <n v="16.674420000000001"/>
    <n v="9.1039200000000005"/>
    <n v="0"/>
    <n v="21.774440685573868"/>
    <n v="9.8530094304654181"/>
  </r>
  <r>
    <s v="Regular"/>
    <x v="2"/>
    <x v="3"/>
    <x v="3"/>
    <x v="0"/>
    <x v="0"/>
    <x v="0"/>
    <x v="1"/>
    <x v="6"/>
    <n v="0"/>
    <n v="0"/>
    <n v="1.9E-2"/>
    <n v="1.9E-2"/>
    <n v="1.9E-2"/>
    <n v="1.9E-2"/>
    <n v="0"/>
    <x v="0"/>
    <n v="0"/>
    <n v="0"/>
    <n v="26"/>
    <n v="63"/>
    <n v="0"/>
    <n v="794.02"/>
    <n v="433.52"/>
    <m/>
    <n v="1036.8781278844699"/>
    <n v="469.19092526025798"/>
    <n v="0"/>
    <n v="15.08638"/>
    <n v="8.2368799999999993"/>
    <n v="0"/>
    <n v="19.700684429804927"/>
    <n v="8.9146275799449022"/>
  </r>
  <r>
    <s v="Regular"/>
    <x v="2"/>
    <x v="3"/>
    <x v="3"/>
    <x v="0"/>
    <x v="0"/>
    <x v="0"/>
    <x v="1"/>
    <x v="7"/>
    <n v="0"/>
    <n v="0"/>
    <n v="3.3000000000000002E-2"/>
    <n v="3.3000000000000002E-2"/>
    <n v="3.3000000000000002E-2"/>
    <n v="3.3000000000000002E-2"/>
    <n v="0"/>
    <x v="0"/>
    <n v="0"/>
    <n v="0"/>
    <n v="26"/>
    <n v="63"/>
    <n v="0"/>
    <n v="794.02"/>
    <n v="433.52"/>
    <m/>
    <n v="1036.8781278844699"/>
    <n v="469.19092526025798"/>
    <n v="0"/>
    <n v="26.202660000000002"/>
    <n v="14.30616"/>
    <n v="0"/>
    <n v="34.216978220187507"/>
    <n v="15.483300533588514"/>
  </r>
  <r>
    <s v="Regular"/>
    <x v="2"/>
    <x v="3"/>
    <x v="3"/>
    <x v="0"/>
    <x v="0"/>
    <x v="0"/>
    <x v="1"/>
    <x v="8"/>
    <n v="0"/>
    <n v="0"/>
    <n v="2.5999999999999999E-2"/>
    <n v="2.5999999999999999E-2"/>
    <n v="2.5999999999999999E-2"/>
    <n v="2.5999999999999999E-2"/>
    <n v="0"/>
    <x v="0"/>
    <n v="0"/>
    <n v="0"/>
    <n v="26"/>
    <n v="63"/>
    <n v="0"/>
    <n v="794.02"/>
    <n v="433.52"/>
    <m/>
    <n v="1036.8781278844699"/>
    <n v="469.19092526025798"/>
    <n v="0"/>
    <n v="20.64452"/>
    <n v="11.271519999999999"/>
    <n v="0"/>
    <n v="26.958831324996215"/>
    <n v="12.198964056766707"/>
  </r>
  <r>
    <s v="Regular"/>
    <x v="2"/>
    <x v="3"/>
    <x v="3"/>
    <x v="0"/>
    <x v="0"/>
    <x v="0"/>
    <x v="1"/>
    <x v="9"/>
    <n v="0"/>
    <n v="0"/>
    <n v="2.5000000000000001E-2"/>
    <n v="2.5000000000000001E-2"/>
    <n v="2.5000000000000001E-2"/>
    <n v="2.5000000000000001E-2"/>
    <n v="0"/>
    <x v="0"/>
    <n v="0"/>
    <n v="0"/>
    <n v="26"/>
    <n v="63"/>
    <n v="0"/>
    <n v="794.02"/>
    <n v="433.52"/>
    <m/>
    <n v="1036.8781278844699"/>
    <n v="469.19092526025798"/>
    <n v="0"/>
    <n v="19.8505"/>
    <n v="10.838000000000001"/>
    <n v="0"/>
    <n v="25.921953197111748"/>
    <n v="11.72977313150645"/>
  </r>
  <r>
    <s v="Regular"/>
    <x v="2"/>
    <x v="3"/>
    <x v="3"/>
    <x v="0"/>
    <x v="0"/>
    <x v="0"/>
    <x v="1"/>
    <x v="10"/>
    <n v="0"/>
    <n v="0"/>
    <n v="2.3E-2"/>
    <n v="2.3E-2"/>
    <n v="2.3E-2"/>
    <n v="2.3E-2"/>
    <n v="0"/>
    <x v="0"/>
    <n v="0"/>
    <n v="0"/>
    <n v="26"/>
    <n v="63"/>
    <n v="0"/>
    <n v="794.02"/>
    <n v="433.52"/>
    <m/>
    <n v="1036.8781278844699"/>
    <n v="469.19092526025798"/>
    <n v="0"/>
    <n v="18.262460000000001"/>
    <n v="9.9709599999999998"/>
    <n v="0"/>
    <n v="23.848196941342806"/>
    <n v="10.791391280985934"/>
  </r>
  <r>
    <s v="PROJETADO"/>
    <x v="2"/>
    <x v="3"/>
    <x v="3"/>
    <x v="0"/>
    <x v="0"/>
    <x v="0"/>
    <x v="1"/>
    <x v="11"/>
    <n v="0"/>
    <n v="0"/>
    <n v="2.3E-2"/>
    <n v="2.3E-2"/>
    <n v="2.3E-2"/>
    <n v="2.3E-2"/>
    <n v="0"/>
    <x v="0"/>
    <n v="0"/>
    <n v="0"/>
    <n v="26"/>
    <n v="63"/>
    <n v="0"/>
    <n v="794.02"/>
    <n v="433.52"/>
    <m/>
    <n v="1036.8781278844699"/>
    <n v="469.19092526025798"/>
    <n v="0"/>
    <n v="18.262460000000001"/>
    <n v="9.9709599999999998"/>
    <n v="0"/>
    <n v="23.848196941342806"/>
    <n v="10.791391280985934"/>
  </r>
  <r>
    <s v="Regular"/>
    <x v="2"/>
    <x v="4"/>
    <x v="3"/>
    <x v="7"/>
    <x v="2"/>
    <x v="0"/>
    <x v="2"/>
    <x v="0"/>
    <n v="0"/>
    <n v="0"/>
    <n v="4221.4189999999999"/>
    <n v="4221.4189999999999"/>
    <n v="4221.4189999999999"/>
    <n v="4221.4189999999999"/>
    <n v="0"/>
    <x v="0"/>
    <n v="0"/>
    <n v="0"/>
    <n v="29"/>
    <n v="66"/>
    <n v="0"/>
    <n v="285.89"/>
    <n v="283.83999999999997"/>
    <m/>
    <n v="421.49012534052349"/>
    <n v="308.98165505271993"/>
    <n v="0"/>
    <n v="1206861.4779099999"/>
    <n v="1198207.5689599998"/>
    <n v="0"/>
    <n v="1779286.4234248672"/>
    <n v="1304341.0292909979"/>
  </r>
  <r>
    <s v="Refaturamento - Regular"/>
    <x v="2"/>
    <x v="4"/>
    <x v="3"/>
    <x v="7"/>
    <x v="2"/>
    <x v="0"/>
    <x v="2"/>
    <x v="0"/>
    <n v="0"/>
    <n v="0"/>
    <n v="-2.798"/>
    <n v="-2.798"/>
    <n v="-2.798"/>
    <n v="-2.798"/>
    <n v="0"/>
    <x v="0"/>
    <n v="0"/>
    <n v="0"/>
    <n v="29"/>
    <n v="66"/>
    <n v="0"/>
    <n v="285.89"/>
    <n v="283.83999999999997"/>
    <m/>
    <n v="421.49012534052349"/>
    <n v="308.98165505271993"/>
    <n v="0"/>
    <n v="-799.92021999999997"/>
    <n v="-794.18431999999996"/>
    <n v="0"/>
    <n v="-1179.3293707027847"/>
    <n v="-864.53067083751034"/>
  </r>
  <r>
    <s v="Sistema de Compensação"/>
    <x v="2"/>
    <x v="4"/>
    <x v="3"/>
    <x v="7"/>
    <x v="2"/>
    <x v="0"/>
    <x v="2"/>
    <x v="0"/>
    <n v="0"/>
    <n v="0"/>
    <n v="22.244"/>
    <n v="22.244"/>
    <n v="22.244"/>
    <n v="22.244"/>
    <n v="0"/>
    <x v="0"/>
    <n v="0"/>
    <n v="0"/>
    <n v="29"/>
    <n v="66"/>
    <n v="0"/>
    <n v="285.89"/>
    <n v="283.83999999999997"/>
    <m/>
    <n v="421.49012534052349"/>
    <n v="308.98165505271993"/>
    <n v="0"/>
    <n v="6359.33716"/>
    <n v="6313.7369599999993"/>
    <n v="0"/>
    <n v="9375.6263480746038"/>
    <n v="6872.9879349927023"/>
  </r>
  <r>
    <s v="Regular"/>
    <x v="2"/>
    <x v="4"/>
    <x v="3"/>
    <x v="7"/>
    <x v="2"/>
    <x v="0"/>
    <x v="2"/>
    <x v="1"/>
    <n v="0"/>
    <n v="0"/>
    <n v="4139.8969999999999"/>
    <n v="4139.8969999999999"/>
    <n v="4139.8969999999999"/>
    <n v="4139.8969999999999"/>
    <n v="0"/>
    <x v="0"/>
    <n v="0"/>
    <n v="0"/>
    <n v="29"/>
    <n v="66"/>
    <n v="0"/>
    <n v="285.89"/>
    <n v="283.83999999999997"/>
    <m/>
    <n v="421.49012534052349"/>
    <n v="308.98165505271993"/>
    <n v="0"/>
    <n v="1183555.1533299999"/>
    <n v="1175068.36448"/>
    <n v="0"/>
    <n v="1744925.7054268571"/>
    <n v="1279152.2268077901"/>
  </r>
  <r>
    <s v="Refaturamento - Regular"/>
    <x v="2"/>
    <x v="4"/>
    <x v="3"/>
    <x v="7"/>
    <x v="2"/>
    <x v="0"/>
    <x v="2"/>
    <x v="1"/>
    <n v="0"/>
    <n v="0"/>
    <n v="-0.50900000000000001"/>
    <n v="-0.50900000000000001"/>
    <n v="-0.50900000000000001"/>
    <n v="-0.50900000000000001"/>
    <n v="0"/>
    <x v="0"/>
    <n v="0"/>
    <n v="0"/>
    <n v="29"/>
    <n v="66"/>
    <n v="0"/>
    <n v="285.89"/>
    <n v="283.83999999999997"/>
    <m/>
    <n v="421.49012534052349"/>
    <n v="308.98165505271993"/>
    <n v="0"/>
    <n v="-145.51801"/>
    <n v="-144.47456"/>
    <n v="0"/>
    <n v="-214.53847379832646"/>
    <n v="-157.27166242183444"/>
  </r>
  <r>
    <s v="Sistema de Compensação"/>
    <x v="2"/>
    <x v="4"/>
    <x v="3"/>
    <x v="7"/>
    <x v="2"/>
    <x v="0"/>
    <x v="2"/>
    <x v="1"/>
    <n v="0"/>
    <n v="0"/>
    <n v="24.475000000000001"/>
    <n v="24.475000000000001"/>
    <n v="24.475000000000001"/>
    <n v="24.475000000000001"/>
    <n v="0"/>
    <x v="0"/>
    <n v="0"/>
    <n v="0"/>
    <n v="29"/>
    <n v="66"/>
    <n v="0"/>
    <n v="285.89"/>
    <n v="283.83999999999997"/>
    <m/>
    <n v="421.49012534052349"/>
    <n v="308.98165505271993"/>
    <n v="0"/>
    <n v="6997.1577500000003"/>
    <n v="6946.9839999999995"/>
    <n v="0"/>
    <n v="10315.970817709313"/>
    <n v="7562.3260074153204"/>
  </r>
  <r>
    <s v="Regular"/>
    <x v="2"/>
    <x v="4"/>
    <x v="3"/>
    <x v="7"/>
    <x v="2"/>
    <x v="0"/>
    <x v="2"/>
    <x v="2"/>
    <n v="0"/>
    <n v="0"/>
    <n v="1158.2470000000001"/>
    <n v="1158.2470000000001"/>
    <n v="1158.2470000000001"/>
    <n v="1158.2470000000001"/>
    <n v="0"/>
    <x v="0"/>
    <n v="0"/>
    <n v="0"/>
    <n v="29"/>
    <n v="66"/>
    <n v="0"/>
    <n v="285.89"/>
    <n v="283.83999999999997"/>
    <m/>
    <n v="421.49012534052349"/>
    <n v="308.98165505271993"/>
    <n v="0"/>
    <n v="331131.23483000003"/>
    <n v="328756.82847999997"/>
    <n v="0"/>
    <n v="488189.67320528533"/>
    <n v="357877.07501984772"/>
  </r>
  <r>
    <s v="Refaturamento - Regular"/>
    <x v="2"/>
    <x v="4"/>
    <x v="3"/>
    <x v="7"/>
    <x v="2"/>
    <x v="0"/>
    <x v="2"/>
    <x v="2"/>
    <n v="0"/>
    <n v="0"/>
    <n v="-5.1230000000000002"/>
    <n v="-5.1230000000000002"/>
    <n v="-5.1230000000000002"/>
    <n v="-5.1230000000000002"/>
    <n v="0"/>
    <x v="0"/>
    <n v="0"/>
    <n v="0"/>
    <n v="29"/>
    <n v="66"/>
    <n v="0"/>
    <n v="285.89"/>
    <n v="283.83999999999997"/>
    <m/>
    <n v="421.49012534052349"/>
    <n v="308.98165505271993"/>
    <n v="0"/>
    <n v="-1464.61447"/>
    <n v="-1454.11232"/>
    <n v="0"/>
    <n v="-2159.2939121195018"/>
    <n v="-1582.9130188350844"/>
  </r>
  <r>
    <s v="Sistema de Compensação"/>
    <x v="2"/>
    <x v="4"/>
    <x v="3"/>
    <x v="7"/>
    <x v="2"/>
    <x v="0"/>
    <x v="2"/>
    <x v="2"/>
    <n v="0"/>
    <n v="0"/>
    <n v="4.3579999999999997"/>
    <n v="4.3579999999999997"/>
    <n v="4.3579999999999997"/>
    <n v="4.3579999999999997"/>
    <n v="0"/>
    <x v="0"/>
    <n v="0"/>
    <n v="0"/>
    <n v="29"/>
    <n v="66"/>
    <n v="0"/>
    <n v="285.89"/>
    <n v="283.83999999999997"/>
    <m/>
    <n v="421.49012534052349"/>
    <n v="308.98165505271993"/>
    <n v="0"/>
    <n v="1245.9086199999999"/>
    <n v="1236.9747199999997"/>
    <n v="0"/>
    <n v="1836.8539662340013"/>
    <n v="1346.5420527197534"/>
  </r>
  <r>
    <s v="Regular"/>
    <x v="2"/>
    <x v="4"/>
    <x v="3"/>
    <x v="7"/>
    <x v="2"/>
    <x v="0"/>
    <x v="2"/>
    <x v="3"/>
    <n v="0"/>
    <n v="0"/>
    <n v="855.24"/>
    <n v="855.24"/>
    <n v="855.24"/>
    <n v="855.24"/>
    <n v="0"/>
    <x v="0"/>
    <n v="0"/>
    <n v="0"/>
    <n v="29"/>
    <n v="66"/>
    <n v="0"/>
    <n v="285.89"/>
    <n v="283.83999999999997"/>
    <m/>
    <n v="421.49012534052349"/>
    <n v="308.98165505271993"/>
    <n v="0"/>
    <n v="244504.56359999999"/>
    <n v="242751.3216"/>
    <n v="0"/>
    <n v="360475.21479622932"/>
    <n v="264253.47066728817"/>
  </r>
  <r>
    <s v="Refaturamento - Regular"/>
    <x v="2"/>
    <x v="4"/>
    <x v="3"/>
    <x v="7"/>
    <x v="2"/>
    <x v="0"/>
    <x v="2"/>
    <x v="3"/>
    <n v="0"/>
    <n v="0"/>
    <n v="-4.3449999999999998"/>
    <n v="-4.3449999999999998"/>
    <n v="-4.3449999999999998"/>
    <n v="-4.3449999999999998"/>
    <n v="0"/>
    <x v="0"/>
    <n v="0"/>
    <n v="0"/>
    <n v="29"/>
    <n v="66"/>
    <n v="0"/>
    <n v="285.89"/>
    <n v="283.83999999999997"/>
    <m/>
    <n v="421.49012534052349"/>
    <n v="308.98165505271993"/>
    <n v="0"/>
    <n v="-1242.1920499999999"/>
    <n v="-1233.2847999999999"/>
    <n v="0"/>
    <n v="-1831.3745946045744"/>
    <n v="-1342.525291204068"/>
  </r>
  <r>
    <s v="Sistema de Compensação"/>
    <x v="2"/>
    <x v="4"/>
    <x v="3"/>
    <x v="7"/>
    <x v="2"/>
    <x v="0"/>
    <x v="2"/>
    <x v="3"/>
    <n v="0"/>
    <n v="0"/>
    <n v="4.9770000000000003"/>
    <n v="4.9770000000000003"/>
    <n v="4.9770000000000003"/>
    <n v="4.9770000000000003"/>
    <n v="0"/>
    <x v="0"/>
    <n v="0"/>
    <n v="0"/>
    <n v="29"/>
    <n v="66"/>
    <n v="0"/>
    <n v="285.89"/>
    <n v="283.83999999999997"/>
    <m/>
    <n v="421.49012534052349"/>
    <n v="308.98165505271993"/>
    <n v="0"/>
    <n v="1422.87453"/>
    <n v="1412.6716799999999"/>
    <n v="0"/>
    <n v="2097.7563538197855"/>
    <n v="1537.8016971973873"/>
  </r>
  <r>
    <s v="Regular"/>
    <x v="2"/>
    <x v="4"/>
    <x v="3"/>
    <x v="7"/>
    <x v="2"/>
    <x v="0"/>
    <x v="2"/>
    <x v="4"/>
    <n v="0"/>
    <n v="0"/>
    <n v="866.11800000000005"/>
    <n v="866.11800000000005"/>
    <n v="866.11800000000005"/>
    <n v="866.11800000000005"/>
    <n v="0"/>
    <x v="0"/>
    <n v="0"/>
    <n v="0"/>
    <n v="29"/>
    <n v="66"/>
    <n v="0"/>
    <n v="285.89"/>
    <n v="283.83999999999997"/>
    <m/>
    <n v="421.49012534052349"/>
    <n v="308.98165505271993"/>
    <n v="0"/>
    <n v="247614.47502000001"/>
    <n v="245838.93312"/>
    <n v="0"/>
    <n v="365060.18437968357"/>
    <n v="267614.57311095169"/>
  </r>
  <r>
    <s v="Refaturamento - Regular"/>
    <x v="2"/>
    <x v="4"/>
    <x v="3"/>
    <x v="7"/>
    <x v="2"/>
    <x v="0"/>
    <x v="2"/>
    <x v="4"/>
    <n v="0"/>
    <n v="0"/>
    <n v="-9.0739999999999998"/>
    <n v="-9.0739999999999998"/>
    <n v="-9.0739999999999998"/>
    <n v="-9.0739999999999998"/>
    <n v="0"/>
    <x v="0"/>
    <n v="0"/>
    <n v="0"/>
    <n v="29"/>
    <n v="66"/>
    <n v="0"/>
    <n v="285.89"/>
    <n v="283.83999999999997"/>
    <m/>
    <n v="421.49012534052349"/>
    <n v="308.98165505271993"/>
    <n v="0"/>
    <n v="-2594.1658599999996"/>
    <n v="-2575.5641599999999"/>
    <n v="0"/>
    <n v="-3824.6013973399099"/>
    <n v="-2803.6995379483806"/>
  </r>
  <r>
    <s v="Sistema de Compensação"/>
    <x v="2"/>
    <x v="4"/>
    <x v="3"/>
    <x v="7"/>
    <x v="2"/>
    <x v="0"/>
    <x v="2"/>
    <x v="4"/>
    <n v="0"/>
    <n v="0"/>
    <n v="5.968"/>
    <n v="5.968"/>
    <n v="5.968"/>
    <n v="5.968"/>
    <n v="0"/>
    <x v="0"/>
    <n v="0"/>
    <n v="0"/>
    <n v="29"/>
    <n v="66"/>
    <n v="0"/>
    <n v="285.89"/>
    <n v="283.83999999999997"/>
    <m/>
    <n v="421.49012534052349"/>
    <n v="308.98165505271993"/>
    <n v="0"/>
    <n v="1706.1915199999999"/>
    <n v="1693.9571199999998"/>
    <n v="0"/>
    <n v="2515.4530680322441"/>
    <n v="1844.0025173546326"/>
  </r>
  <r>
    <s v="Regular"/>
    <x v="2"/>
    <x v="4"/>
    <x v="3"/>
    <x v="7"/>
    <x v="2"/>
    <x v="0"/>
    <x v="2"/>
    <x v="5"/>
    <n v="0"/>
    <n v="0"/>
    <n v="1470.595"/>
    <n v="1470.595"/>
    <n v="1470.595"/>
    <n v="1470.595"/>
    <n v="0"/>
    <x v="0"/>
    <n v="0"/>
    <n v="0"/>
    <n v="29"/>
    <n v="66"/>
    <n v="0"/>
    <n v="285.89"/>
    <n v="283.83999999999997"/>
    <m/>
    <n v="421.49012534052349"/>
    <n v="308.98165505271993"/>
    <n v="0"/>
    <n v="420428.40454999998"/>
    <n v="417413.68479999999"/>
    <n v="0"/>
    <n v="619841.27087514719"/>
    <n v="454386.87701225467"/>
  </r>
  <r>
    <s v="Refaturamento - Regular"/>
    <x v="2"/>
    <x v="4"/>
    <x v="3"/>
    <x v="7"/>
    <x v="2"/>
    <x v="0"/>
    <x v="2"/>
    <x v="5"/>
    <n v="0"/>
    <n v="0"/>
    <n v="-8.4079999999999995"/>
    <n v="-8.4079999999999995"/>
    <n v="-8.4079999999999995"/>
    <n v="-8.4079999999999995"/>
    <n v="0"/>
    <x v="0"/>
    <n v="0"/>
    <n v="0"/>
    <n v="29"/>
    <n v="66"/>
    <n v="0"/>
    <n v="285.89"/>
    <n v="283.83999999999997"/>
    <m/>
    <n v="421.49012534052349"/>
    <n v="308.98165505271993"/>
    <n v="0"/>
    <n v="-2403.7631199999996"/>
    <n v="-2386.5267199999998"/>
    <n v="0"/>
    <n v="-3543.8889738631215"/>
    <n v="-2597.9177556832692"/>
  </r>
  <r>
    <s v="Sistema de Compensação"/>
    <x v="2"/>
    <x v="4"/>
    <x v="3"/>
    <x v="7"/>
    <x v="2"/>
    <x v="0"/>
    <x v="2"/>
    <x v="5"/>
    <n v="0"/>
    <n v="0"/>
    <n v="7.8650000000000002"/>
    <n v="7.8650000000000002"/>
    <n v="7.8650000000000002"/>
    <n v="7.8650000000000002"/>
    <n v="0"/>
    <x v="0"/>
    <n v="0"/>
    <n v="0"/>
    <n v="29"/>
    <n v="66"/>
    <n v="0"/>
    <n v="285.89"/>
    <n v="283.83999999999997"/>
    <m/>
    <n v="421.49012534052349"/>
    <n v="308.98165505271993"/>
    <n v="0"/>
    <n v="2248.5248499999998"/>
    <n v="2232.4015999999997"/>
    <n v="0"/>
    <n v="3315.0198358032176"/>
    <n v="2430.1407169896424"/>
  </r>
  <r>
    <s v="Sistema de Compensação"/>
    <x v="2"/>
    <x v="4"/>
    <x v="3"/>
    <x v="7"/>
    <x v="2"/>
    <x v="0"/>
    <x v="2"/>
    <x v="5"/>
    <n v="0"/>
    <n v="0"/>
    <n v="0.2"/>
    <n v="0.2"/>
    <n v="0.2"/>
    <n v="0.2"/>
    <n v="0"/>
    <x v="0"/>
    <n v="0"/>
    <n v="0"/>
    <n v="29"/>
    <n v="66"/>
    <n v="0"/>
    <n v="285.89"/>
    <n v="283.83999999999997"/>
    <m/>
    <n v="421.49012534052349"/>
    <n v="308.98165505271993"/>
    <n v="0"/>
    <n v="57.177999999999997"/>
    <n v="56.768000000000001"/>
    <n v="0"/>
    <n v="84.298025068104707"/>
    <n v="61.796331010543987"/>
  </r>
  <r>
    <s v="Regular"/>
    <x v="2"/>
    <x v="4"/>
    <x v="3"/>
    <x v="7"/>
    <x v="2"/>
    <x v="0"/>
    <x v="2"/>
    <x v="6"/>
    <n v="0"/>
    <n v="0"/>
    <n v="1109.2260000000001"/>
    <n v="1109.2260000000001"/>
    <n v="1109.2260000000001"/>
    <n v="1109.2260000000001"/>
    <n v="0"/>
    <x v="0"/>
    <n v="0"/>
    <n v="0"/>
    <n v="29"/>
    <n v="66"/>
    <n v="0"/>
    <n v="285.89"/>
    <n v="283.83999999999997"/>
    <m/>
    <n v="421.49012534052349"/>
    <n v="308.98165505271993"/>
    <n v="0"/>
    <n v="317116.62114"/>
    <n v="314842.70783999999"/>
    <n v="0"/>
    <n v="467527.80577096756"/>
    <n v="342730.48530750832"/>
  </r>
  <r>
    <s v="Refaturamento - Regular"/>
    <x v="2"/>
    <x v="4"/>
    <x v="3"/>
    <x v="7"/>
    <x v="2"/>
    <x v="0"/>
    <x v="2"/>
    <x v="6"/>
    <n v="0"/>
    <n v="0"/>
    <n v="-2.52"/>
    <n v="-2.52"/>
    <n v="-2.52"/>
    <n v="-2.52"/>
    <n v="0"/>
    <x v="0"/>
    <n v="0"/>
    <n v="0"/>
    <n v="29"/>
    <n v="66"/>
    <n v="0"/>
    <n v="285.89"/>
    <n v="283.83999999999997"/>
    <m/>
    <n v="421.49012534052349"/>
    <n v="308.98165505271993"/>
    <n v="0"/>
    <n v="-720.44279999999992"/>
    <n v="-715.27679999999998"/>
    <n v="0"/>
    <n v="-1062.1551158581192"/>
    <n v="-778.63377073285426"/>
  </r>
  <r>
    <s v="Sistema de Compensação"/>
    <x v="2"/>
    <x v="4"/>
    <x v="3"/>
    <x v="7"/>
    <x v="2"/>
    <x v="0"/>
    <x v="2"/>
    <x v="6"/>
    <n v="0"/>
    <n v="0"/>
    <n v="9.6630000000000003"/>
    <n v="9.6630000000000003"/>
    <n v="9.6630000000000003"/>
    <n v="9.6630000000000003"/>
    <n v="0"/>
    <x v="0"/>
    <n v="0"/>
    <n v="0"/>
    <n v="29"/>
    <n v="66"/>
    <n v="0"/>
    <n v="285.89"/>
    <n v="283.83999999999997"/>
    <m/>
    <n v="421.49012534052349"/>
    <n v="308.98165505271993"/>
    <n v="0"/>
    <n v="2762.5550699999999"/>
    <n v="2742.7459199999998"/>
    <n v="0"/>
    <n v="4072.8590811654785"/>
    <n v="2985.6897327744327"/>
  </r>
  <r>
    <s v="Sistema de Compensação"/>
    <x v="2"/>
    <x v="4"/>
    <x v="3"/>
    <x v="7"/>
    <x v="2"/>
    <x v="0"/>
    <x v="2"/>
    <x v="6"/>
    <n v="0"/>
    <n v="0"/>
    <n v="0.1"/>
    <n v="0.1"/>
    <n v="0.1"/>
    <n v="0.1"/>
    <n v="0"/>
    <x v="0"/>
    <n v="0"/>
    <n v="0"/>
    <n v="29"/>
    <n v="66"/>
    <n v="0"/>
    <n v="285.89"/>
    <n v="283.83999999999997"/>
    <m/>
    <n v="421.49012534052349"/>
    <n v="308.98165505271993"/>
    <n v="0"/>
    <n v="28.588999999999999"/>
    <n v="28.384"/>
    <n v="0"/>
    <n v="42.149012534052353"/>
    <n v="30.898165505271994"/>
  </r>
  <r>
    <s v="Regular"/>
    <x v="2"/>
    <x v="4"/>
    <x v="3"/>
    <x v="7"/>
    <x v="2"/>
    <x v="0"/>
    <x v="2"/>
    <x v="7"/>
    <n v="0"/>
    <n v="0"/>
    <n v="2171.328"/>
    <n v="2171.328"/>
    <n v="2171.328"/>
    <n v="2171.328"/>
    <n v="0"/>
    <x v="0"/>
    <n v="0"/>
    <n v="0"/>
    <n v="29"/>
    <n v="66"/>
    <n v="0"/>
    <n v="285.89"/>
    <n v="283.83999999999997"/>
    <m/>
    <n v="421.49012534052349"/>
    <n v="308.98165505271993"/>
    <n v="0"/>
    <n v="620760.96191999991"/>
    <n v="616309.73951999994"/>
    <n v="0"/>
    <n v="915193.31087538821"/>
    <n v="670900.51910231228"/>
  </r>
  <r>
    <s v="Refaturamento - Regular"/>
    <x v="2"/>
    <x v="4"/>
    <x v="3"/>
    <x v="7"/>
    <x v="2"/>
    <x v="0"/>
    <x v="2"/>
    <x v="7"/>
    <n v="0"/>
    <n v="0"/>
    <n v="-1.71"/>
    <n v="-1.71"/>
    <n v="-1.71"/>
    <n v="-1.71"/>
    <n v="0"/>
    <x v="0"/>
    <n v="0"/>
    <n v="0"/>
    <n v="29"/>
    <n v="66"/>
    <n v="0"/>
    <n v="285.89"/>
    <n v="283.83999999999997"/>
    <m/>
    <n v="421.49012534052349"/>
    <n v="308.98165505271993"/>
    <n v="0"/>
    <n v="-488.87189999999998"/>
    <n v="-485.36639999999994"/>
    <n v="0"/>
    <n v="-720.74811433229513"/>
    <n v="-528.35863014015104"/>
  </r>
  <r>
    <s v="Sistema de Compensação"/>
    <x v="2"/>
    <x v="4"/>
    <x v="3"/>
    <x v="7"/>
    <x v="2"/>
    <x v="0"/>
    <x v="2"/>
    <x v="7"/>
    <n v="0"/>
    <n v="0"/>
    <n v="17.768000000000001"/>
    <n v="17.768000000000001"/>
    <n v="17.768000000000001"/>
    <n v="17.768000000000001"/>
    <n v="0"/>
    <x v="0"/>
    <n v="0"/>
    <n v="0"/>
    <n v="29"/>
    <n v="66"/>
    <n v="0"/>
    <n v="285.89"/>
    <n v="283.83999999999997"/>
    <m/>
    <n v="421.49012534052349"/>
    <n v="308.98165505271993"/>
    <n v="0"/>
    <n v="5079.6935199999998"/>
    <n v="5043.2691199999999"/>
    <n v="0"/>
    <n v="7489.0365470504221"/>
    <n v="5489.9860469767282"/>
  </r>
  <r>
    <s v="Regular"/>
    <x v="2"/>
    <x v="4"/>
    <x v="3"/>
    <x v="7"/>
    <x v="2"/>
    <x v="0"/>
    <x v="2"/>
    <x v="8"/>
    <n v="0"/>
    <n v="0"/>
    <n v="3103.2150000000001"/>
    <n v="3103.2150000000001"/>
    <n v="3103.2150000000001"/>
    <n v="3103.2150000000001"/>
    <n v="0"/>
    <x v="0"/>
    <n v="0"/>
    <n v="0"/>
    <n v="29"/>
    <n v="66"/>
    <n v="0"/>
    <n v="285.89"/>
    <n v="283.83999999999997"/>
    <m/>
    <n v="421.49012534052349"/>
    <n v="308.98165505271993"/>
    <n v="0"/>
    <n v="887178.13635000004"/>
    <n v="880816.54559999995"/>
    <n v="0"/>
    <n v="1307974.4793085926"/>
    <n v="958836.50668442633"/>
  </r>
  <r>
    <s v="Refaturamento - Regular"/>
    <x v="2"/>
    <x v="4"/>
    <x v="3"/>
    <x v="7"/>
    <x v="2"/>
    <x v="0"/>
    <x v="2"/>
    <x v="8"/>
    <n v="0"/>
    <n v="0"/>
    <n v="-3.7570000000000001"/>
    <n v="-3.7570000000000001"/>
    <n v="-3.7570000000000001"/>
    <n v="-3.7570000000000001"/>
    <n v="0"/>
    <x v="0"/>
    <n v="0"/>
    <n v="0"/>
    <n v="29"/>
    <n v="66"/>
    <n v="0"/>
    <n v="285.89"/>
    <n v="283.83999999999997"/>
    <m/>
    <n v="421.49012534052349"/>
    <n v="308.98165505271993"/>
    <n v="0"/>
    <n v="-1074.0887299999999"/>
    <n v="-1066.38688"/>
    <n v="0"/>
    <n v="-1583.5384009043469"/>
    <n v="-1160.8440780330689"/>
  </r>
  <r>
    <s v="Sistema de Compensação"/>
    <x v="2"/>
    <x v="4"/>
    <x v="3"/>
    <x v="7"/>
    <x v="2"/>
    <x v="0"/>
    <x v="2"/>
    <x v="8"/>
    <n v="0"/>
    <n v="0"/>
    <n v="28.504999999999999"/>
    <n v="28.504999999999999"/>
    <n v="28.504999999999999"/>
    <n v="28.504999999999999"/>
    <n v="0"/>
    <x v="0"/>
    <n v="0"/>
    <n v="0"/>
    <n v="29"/>
    <n v="66"/>
    <n v="0"/>
    <n v="285.89"/>
    <n v="283.83999999999997"/>
    <m/>
    <n v="421.49012534052349"/>
    <n v="308.98165505271993"/>
    <n v="0"/>
    <n v="8149.2944499999994"/>
    <n v="8090.859199999999"/>
    <n v="0"/>
    <n v="12014.576022831621"/>
    <n v="8807.5220772777811"/>
  </r>
  <r>
    <s v="Regular"/>
    <x v="2"/>
    <x v="4"/>
    <x v="3"/>
    <x v="7"/>
    <x v="2"/>
    <x v="0"/>
    <x v="2"/>
    <x v="9"/>
    <n v="0"/>
    <n v="0"/>
    <n v="2082.3110000000001"/>
    <n v="2082.3110000000001"/>
    <n v="2082.3110000000001"/>
    <n v="2082.3110000000001"/>
    <n v="0"/>
    <x v="0"/>
    <n v="0"/>
    <n v="0"/>
    <n v="29"/>
    <n v="66"/>
    <n v="0"/>
    <n v="285.89"/>
    <n v="283.83999999999997"/>
    <m/>
    <n v="421.49012534052349"/>
    <n v="308.98165505271993"/>
    <n v="0"/>
    <n v="595311.89179000002"/>
    <n v="591043.15423999995"/>
    <n v="0"/>
    <n v="877673.52438795089"/>
    <n v="643395.89911448432"/>
  </r>
  <r>
    <s v="Refaturamento - Regular"/>
    <x v="2"/>
    <x v="4"/>
    <x v="3"/>
    <x v="7"/>
    <x v="2"/>
    <x v="0"/>
    <x v="2"/>
    <x v="9"/>
    <n v="0"/>
    <n v="0"/>
    <n v="0.105"/>
    <n v="0.105"/>
    <n v="0.105"/>
    <n v="0.105"/>
    <n v="0"/>
    <x v="0"/>
    <n v="0"/>
    <n v="0"/>
    <n v="29"/>
    <n v="66"/>
    <n v="0"/>
    <n v="285.89"/>
    <n v="283.83999999999997"/>
    <m/>
    <n v="421.49012534052349"/>
    <n v="308.98165505271993"/>
    <n v="0"/>
    <n v="30.018449999999998"/>
    <n v="29.803199999999997"/>
    <n v="0"/>
    <n v="44.256463160754961"/>
    <n v="32.443073780535592"/>
  </r>
  <r>
    <s v="Sistema de Compensação"/>
    <x v="2"/>
    <x v="4"/>
    <x v="3"/>
    <x v="7"/>
    <x v="2"/>
    <x v="0"/>
    <x v="2"/>
    <x v="9"/>
    <n v="0"/>
    <n v="0"/>
    <n v="19.702999999999999"/>
    <n v="19.702999999999999"/>
    <n v="19.702999999999999"/>
    <n v="19.702999999999999"/>
    <n v="0"/>
    <x v="0"/>
    <n v="0"/>
    <n v="0"/>
    <n v="29"/>
    <n v="66"/>
    <n v="0"/>
    <n v="285.89"/>
    <n v="283.83999999999997"/>
    <m/>
    <n v="421.49012534052349"/>
    <n v="308.98165505271993"/>
    <n v="0"/>
    <n v="5632.8906699999998"/>
    <n v="5592.4995199999994"/>
    <n v="0"/>
    <n v="8304.6199395843341"/>
    <n v="6087.865549503741"/>
  </r>
  <r>
    <s v="Regular"/>
    <x v="2"/>
    <x v="4"/>
    <x v="3"/>
    <x v="7"/>
    <x v="2"/>
    <x v="0"/>
    <x v="2"/>
    <x v="10"/>
    <n v="0"/>
    <n v="0"/>
    <n v="2441.4639999999999"/>
    <n v="2441.4639999999999"/>
    <n v="2441.4639999999999"/>
    <n v="2441.4639999999999"/>
    <n v="0"/>
    <x v="0"/>
    <n v="0"/>
    <n v="0"/>
    <n v="29"/>
    <n v="66"/>
    <n v="0"/>
    <n v="285.89"/>
    <n v="283.83999999999997"/>
    <m/>
    <n v="421.49012534052349"/>
    <n v="308.98165505271993"/>
    <n v="0"/>
    <n v="697990.14295999997"/>
    <n v="692985.14175999991"/>
    <n v="0"/>
    <n v="1029052.9673743758"/>
    <n v="754367.5874716338"/>
  </r>
  <r>
    <s v="Refaturamento - Regular"/>
    <x v="2"/>
    <x v="4"/>
    <x v="3"/>
    <x v="7"/>
    <x v="2"/>
    <x v="0"/>
    <x v="2"/>
    <x v="10"/>
    <n v="0"/>
    <n v="0"/>
    <n v="-4.4029999999999996"/>
    <n v="-4.4029999999999996"/>
    <n v="-4.4029999999999996"/>
    <n v="-4.4029999999999996"/>
    <n v="0"/>
    <x v="0"/>
    <n v="0"/>
    <n v="0"/>
    <n v="29"/>
    <n v="66"/>
    <n v="0"/>
    <n v="285.89"/>
    <n v="283.83999999999997"/>
    <m/>
    <n v="421.49012534052349"/>
    <n v="308.98165505271993"/>
    <n v="0"/>
    <n v="-1258.7736699999998"/>
    <n v="-1249.7475199999997"/>
    <n v="0"/>
    <n v="-1855.8210218743247"/>
    <n v="-1360.4462271971256"/>
  </r>
  <r>
    <s v="Sistema de Compensação"/>
    <x v="2"/>
    <x v="4"/>
    <x v="3"/>
    <x v="7"/>
    <x v="2"/>
    <x v="0"/>
    <x v="2"/>
    <x v="10"/>
    <n v="0"/>
    <n v="0"/>
    <n v="30.4"/>
    <n v="30.4"/>
    <n v="30.4"/>
    <n v="30.4"/>
    <n v="0"/>
    <x v="0"/>
    <n v="0"/>
    <n v="0"/>
    <n v="29"/>
    <n v="66"/>
    <n v="0"/>
    <n v="285.89"/>
    <n v="283.83999999999997"/>
    <m/>
    <n v="421.49012534052349"/>
    <n v="308.98165505271993"/>
    <n v="0"/>
    <n v="8691.0559999999987"/>
    <n v="8628.735999999999"/>
    <n v="0"/>
    <n v="12813.299810351913"/>
    <n v="9393.0423136026857"/>
  </r>
  <r>
    <s v="PROJETADO"/>
    <x v="2"/>
    <x v="4"/>
    <x v="3"/>
    <x v="7"/>
    <x v="2"/>
    <x v="0"/>
    <x v="2"/>
    <x v="11"/>
    <n v="0"/>
    <n v="0"/>
    <n v="2441.4639999999999"/>
    <n v="2441.4639999999999"/>
    <n v="2441.4639999999999"/>
    <n v="2441.4639999999999"/>
    <n v="0"/>
    <x v="0"/>
    <n v="0"/>
    <n v="0"/>
    <n v="29"/>
    <n v="66"/>
    <n v="0"/>
    <n v="285.89"/>
    <n v="283.83999999999997"/>
    <m/>
    <n v="421.49012534052349"/>
    <n v="308.98165505271993"/>
    <n v="0"/>
    <n v="697990.14295999997"/>
    <n v="692985.14175999991"/>
    <n v="0"/>
    <n v="1029052.9673743758"/>
    <n v="754367.5874716338"/>
  </r>
  <r>
    <s v="PROJETADO"/>
    <x v="2"/>
    <x v="4"/>
    <x v="3"/>
    <x v="7"/>
    <x v="2"/>
    <x v="0"/>
    <x v="2"/>
    <x v="11"/>
    <n v="0"/>
    <n v="0"/>
    <n v="-4.4029999999999996"/>
    <n v="-4.4029999999999996"/>
    <n v="-4.4029999999999996"/>
    <n v="-4.4029999999999996"/>
    <n v="0"/>
    <x v="0"/>
    <n v="0"/>
    <n v="0"/>
    <n v="29"/>
    <n v="66"/>
    <n v="0"/>
    <n v="285.89"/>
    <n v="283.83999999999997"/>
    <m/>
    <n v="421.49012534052349"/>
    <n v="308.98165505271993"/>
    <n v="0"/>
    <n v="-1258.7736699999998"/>
    <n v="-1249.7475199999997"/>
    <n v="0"/>
    <n v="-1855.8210218743247"/>
    <n v="-1360.4462271971256"/>
  </r>
  <r>
    <s v="PROJETADO"/>
    <x v="2"/>
    <x v="4"/>
    <x v="3"/>
    <x v="7"/>
    <x v="2"/>
    <x v="0"/>
    <x v="2"/>
    <x v="11"/>
    <n v="0"/>
    <n v="0"/>
    <n v="30.4"/>
    <n v="30.4"/>
    <n v="30.4"/>
    <n v="30.4"/>
    <n v="0"/>
    <x v="0"/>
    <n v="0"/>
    <n v="0"/>
    <n v="29"/>
    <n v="66"/>
    <n v="0"/>
    <n v="285.89"/>
    <n v="283.83999999999997"/>
    <m/>
    <n v="421.49012534052349"/>
    <n v="308.98165505271993"/>
    <n v="0"/>
    <n v="8691.0559999999987"/>
    <n v="8628.735999999999"/>
    <n v="0"/>
    <n v="12813.299810351913"/>
    <n v="9393.0423136026857"/>
  </r>
  <r>
    <s v="Regular"/>
    <x v="2"/>
    <x v="4"/>
    <x v="3"/>
    <x v="7"/>
    <x v="3"/>
    <x v="0"/>
    <x v="2"/>
    <x v="0"/>
    <n v="0"/>
    <n v="0"/>
    <n v="9623.5360000000001"/>
    <n v="2598.3547199999998"/>
    <n v="9623.5360000000001"/>
    <n v="2598.3547199999998"/>
    <n v="0"/>
    <x v="0"/>
    <n v="0"/>
    <n v="0"/>
    <n v="29"/>
    <n v="66"/>
    <n v="0"/>
    <n v="285.89"/>
    <n v="283.83999999999997"/>
    <m/>
    <n v="421.49012534052349"/>
    <n v="308.98165505271993"/>
    <n v="0"/>
    <n v="742843.63090079988"/>
    <n v="737517.00372479984"/>
    <n v="0"/>
    <n v="1095180.8566119408"/>
    <n v="802843.94179964659"/>
  </r>
  <r>
    <s v="Refaturamento - Regular"/>
    <x v="2"/>
    <x v="4"/>
    <x v="3"/>
    <x v="7"/>
    <x v="3"/>
    <x v="0"/>
    <x v="2"/>
    <x v="0"/>
    <n v="0"/>
    <n v="0"/>
    <n v="12.765000000000001"/>
    <n v="3.4465499999999998"/>
    <n v="12.765000000000001"/>
    <n v="3.4465499999999998"/>
    <n v="0"/>
    <x v="0"/>
    <n v="0"/>
    <n v="0"/>
    <n v="29"/>
    <n v="66"/>
    <n v="0"/>
    <n v="285.89"/>
    <n v="283.83999999999997"/>
    <m/>
    <n v="421.49012534052349"/>
    <n v="308.98165505271993"/>
    <n v="0"/>
    <n v="985.33417949999989"/>
    <n v="978.26875199999984"/>
    <n v="0"/>
    <n v="1452.6867914923812"/>
    <n v="1064.9207232219519"/>
  </r>
  <r>
    <s v="Sistema de Compensação"/>
    <x v="2"/>
    <x v="4"/>
    <x v="3"/>
    <x v="7"/>
    <x v="3"/>
    <x v="0"/>
    <x v="2"/>
    <x v="0"/>
    <n v="0"/>
    <n v="0"/>
    <n v="43.823999999999998"/>
    <n v="11.83248"/>
    <n v="43.823999999999998"/>
    <n v="11.83248"/>
    <n v="0"/>
    <x v="0"/>
    <n v="0"/>
    <n v="0"/>
    <n v="29"/>
    <n v="66"/>
    <n v="0"/>
    <n v="285.89"/>
    <n v="283.83999999999997"/>
    <m/>
    <n v="421.49012534052349"/>
    <n v="308.98165505271993"/>
    <n v="0"/>
    <n v="3382.7877072000001"/>
    <n v="3358.5311231999999"/>
    <n v="0"/>
    <n v="4987.2734782892376"/>
    <n v="3656.0192537782077"/>
  </r>
  <r>
    <s v="Regular"/>
    <x v="2"/>
    <x v="4"/>
    <x v="3"/>
    <x v="7"/>
    <x v="3"/>
    <x v="0"/>
    <x v="2"/>
    <x v="1"/>
    <n v="0"/>
    <n v="0"/>
    <n v="9792.9860000000008"/>
    <n v="2644.1062200000001"/>
    <n v="9792.9860000000008"/>
    <n v="2644.1062200000001"/>
    <n v="0"/>
    <x v="0"/>
    <n v="0"/>
    <n v="0"/>
    <n v="29"/>
    <n v="66"/>
    <n v="0"/>
    <n v="285.89"/>
    <n v="283.83999999999997"/>
    <m/>
    <n v="421.49012534052349"/>
    <n v="308.98165505271993"/>
    <n v="0"/>
    <n v="755923.52723580005"/>
    <n v="750503.10948480002"/>
    <n v="0"/>
    <n v="1114464.6620814579"/>
    <n v="816980.31599079119"/>
  </r>
  <r>
    <s v="Refaturamento - Regular"/>
    <x v="2"/>
    <x v="4"/>
    <x v="3"/>
    <x v="7"/>
    <x v="3"/>
    <x v="0"/>
    <x v="2"/>
    <x v="1"/>
    <n v="0"/>
    <n v="0"/>
    <n v="1.034"/>
    <n v="0.27917999999999998"/>
    <n v="1.034"/>
    <n v="0.27917999999999998"/>
    <n v="0"/>
    <x v="0"/>
    <n v="0"/>
    <n v="0"/>
    <n v="29"/>
    <n v="66"/>
    <n v="0"/>
    <n v="285.89"/>
    <n v="283.83999999999997"/>
    <m/>
    <n v="421.49012534052349"/>
    <n v="308.98165505271993"/>
    <n v="0"/>
    <n v="79.814770199999998"/>
    <n v="79.242451199999991"/>
    <n v="0"/>
    <n v="117.67161319256734"/>
    <n v="86.261498457618345"/>
  </r>
  <r>
    <s v="Sistema de Compensação"/>
    <x v="2"/>
    <x v="4"/>
    <x v="3"/>
    <x v="7"/>
    <x v="3"/>
    <x v="0"/>
    <x v="2"/>
    <x v="1"/>
    <n v="0"/>
    <n v="0"/>
    <n v="52.6"/>
    <n v="14.202"/>
    <n v="52.6"/>
    <n v="14.202"/>
    <n v="0"/>
    <x v="0"/>
    <n v="0"/>
    <n v="0"/>
    <n v="29"/>
    <n v="66"/>
    <n v="0"/>
    <n v="285.89"/>
    <n v="283.83999999999997"/>
    <m/>
    <n v="421.49012534052349"/>
    <n v="308.98165505271993"/>
    <n v="0"/>
    <n v="4060.2097799999997"/>
    <n v="4031.0956799999994"/>
    <n v="0"/>
    <n v="5986.0027600861149"/>
    <n v="4388.1574650587281"/>
  </r>
  <r>
    <s v="Regular"/>
    <x v="2"/>
    <x v="4"/>
    <x v="3"/>
    <x v="7"/>
    <x v="3"/>
    <x v="0"/>
    <x v="2"/>
    <x v="2"/>
    <n v="0"/>
    <n v="0"/>
    <n v="1895.463"/>
    <n v="511.77501000000001"/>
    <n v="1895.463"/>
    <n v="511.77501000000001"/>
    <n v="0"/>
    <x v="0"/>
    <n v="0"/>
    <n v="0"/>
    <n v="29"/>
    <n v="66"/>
    <n v="0"/>
    <n v="285.89"/>
    <n v="283.83999999999997"/>
    <m/>
    <n v="421.49012534052349"/>
    <n v="308.98165505271993"/>
    <n v="0"/>
    <n v="146311.3576089"/>
    <n v="145262.2188384"/>
    <n v="0"/>
    <n v="215708.11311104766"/>
    <n v="158129.0896044223"/>
  </r>
  <r>
    <s v="Refaturamento - Regular"/>
    <x v="2"/>
    <x v="4"/>
    <x v="3"/>
    <x v="7"/>
    <x v="3"/>
    <x v="0"/>
    <x v="2"/>
    <x v="2"/>
    <n v="0"/>
    <n v="0"/>
    <n v="4.5720000000000001"/>
    <n v="1.23444"/>
    <n v="4.5720000000000001"/>
    <n v="1.23444"/>
    <n v="0"/>
    <x v="0"/>
    <n v="0"/>
    <n v="0"/>
    <n v="29"/>
    <n v="66"/>
    <n v="0"/>
    <n v="285.89"/>
    <n v="283.83999999999997"/>
    <m/>
    <n v="421.49012534052349"/>
    <n v="308.98165505271993"/>
    <n v="0"/>
    <n v="352.91405159999999"/>
    <n v="350.38344959999995"/>
    <n v="0"/>
    <n v="520.30427032535579"/>
    <n v="381.4193142632796"/>
  </r>
  <r>
    <s v="Sistema de Compensação"/>
    <x v="2"/>
    <x v="4"/>
    <x v="3"/>
    <x v="7"/>
    <x v="3"/>
    <x v="0"/>
    <x v="2"/>
    <x v="2"/>
    <n v="0"/>
    <n v="0"/>
    <n v="3.0859999999999999"/>
    <n v="0.83321999999999996"/>
    <n v="3.0859999999999999"/>
    <n v="0.83321999999999996"/>
    <n v="0"/>
    <x v="0"/>
    <n v="0"/>
    <n v="0"/>
    <n v="29"/>
    <n v="66"/>
    <n v="0"/>
    <n v="285.89"/>
    <n v="283.83999999999997"/>
    <m/>
    <n v="421.49012534052349"/>
    <n v="308.98165505271993"/>
    <n v="0"/>
    <n v="238.20926579999997"/>
    <n v="236.50116479999997"/>
    <n v="0"/>
    <n v="351.19400223623097"/>
    <n v="257.44969462302731"/>
  </r>
  <r>
    <s v="Regular"/>
    <x v="2"/>
    <x v="4"/>
    <x v="3"/>
    <x v="7"/>
    <x v="3"/>
    <x v="0"/>
    <x v="2"/>
    <x v="3"/>
    <n v="0"/>
    <n v="0"/>
    <n v="1072.81"/>
    <n v="289.65870000000001"/>
    <n v="1072.81"/>
    <n v="289.65870000000001"/>
    <n v="0"/>
    <x v="0"/>
    <n v="0"/>
    <n v="0"/>
    <n v="29"/>
    <n v="66"/>
    <n v="0"/>
    <n v="285.89"/>
    <n v="283.83999999999997"/>
    <m/>
    <n v="421.49012534052349"/>
    <n v="308.98165505271993"/>
    <n v="0"/>
    <n v="82810.525743000006"/>
    <n v="82216.725407999998"/>
    <n v="0"/>
    <n v="122088.2817689731"/>
    <n v="89499.22452641929"/>
  </r>
  <r>
    <s v="Refaturamento - Regular"/>
    <x v="2"/>
    <x v="4"/>
    <x v="3"/>
    <x v="7"/>
    <x v="3"/>
    <x v="0"/>
    <x v="2"/>
    <x v="3"/>
    <n v="0"/>
    <n v="0"/>
    <n v="-7.9459999999999997"/>
    <n v="-2.1454200000000001"/>
    <n v="-7.9459999999999997"/>
    <n v="-2.1454200000000001"/>
    <n v="0"/>
    <x v="0"/>
    <n v="0"/>
    <n v="0"/>
    <n v="29"/>
    <n v="66"/>
    <n v="0"/>
    <n v="285.89"/>
    <n v="283.83999999999997"/>
    <m/>
    <n v="421.49012534052349"/>
    <n v="308.98165505271993"/>
    <n v="0"/>
    <n v="-613.35412380000002"/>
    <n v="-608.95601279999994"/>
    <n v="0"/>
    <n v="-904.27334470806591"/>
    <n v="-662.89542238320644"/>
  </r>
  <r>
    <s v="Sistema de Compensação"/>
    <x v="2"/>
    <x v="4"/>
    <x v="3"/>
    <x v="7"/>
    <x v="3"/>
    <x v="0"/>
    <x v="2"/>
    <x v="3"/>
    <n v="0"/>
    <n v="0"/>
    <n v="7.1970000000000001"/>
    <n v="1.94319"/>
    <n v="7.1970000000000001"/>
    <n v="1.94319"/>
    <n v="0"/>
    <x v="0"/>
    <n v="0"/>
    <n v="0"/>
    <n v="29"/>
    <n v="66"/>
    <n v="0"/>
    <n v="285.89"/>
    <n v="283.83999999999997"/>
    <m/>
    <n v="421.49012534052349"/>
    <n v="308.98165505271993"/>
    <n v="0"/>
    <n v="555.53858909999997"/>
    <n v="551.55504959999996"/>
    <n v="0"/>
    <n v="819.03539666045185"/>
    <n v="600.41006228189485"/>
  </r>
  <r>
    <s v="Regular"/>
    <x v="2"/>
    <x v="4"/>
    <x v="3"/>
    <x v="7"/>
    <x v="3"/>
    <x v="0"/>
    <x v="2"/>
    <x v="4"/>
    <n v="0"/>
    <n v="0"/>
    <n v="1094.652"/>
    <n v="295.55604"/>
    <n v="1094.652"/>
    <n v="295.55604"/>
    <n v="0"/>
    <x v="0"/>
    <n v="0"/>
    <n v="0"/>
    <n v="29"/>
    <n v="66"/>
    <n v="0"/>
    <n v="285.89"/>
    <n v="283.83999999999997"/>
    <m/>
    <n v="421.49012534052349"/>
    <n v="308.98165505271993"/>
    <n v="0"/>
    <n v="84496.516275599992"/>
    <n v="83890.626393599989"/>
    <n v="0"/>
    <n v="124573.95234474877"/>
    <n v="91321.394400027886"/>
  </r>
  <r>
    <s v="Refaturamento - Regular"/>
    <x v="2"/>
    <x v="4"/>
    <x v="3"/>
    <x v="7"/>
    <x v="3"/>
    <x v="0"/>
    <x v="2"/>
    <x v="4"/>
    <n v="0"/>
    <n v="0"/>
    <n v="-4.165"/>
    <n v="-1.1245499999999999"/>
    <n v="-4.165"/>
    <n v="-1.1245499999999999"/>
    <n v="0"/>
    <x v="0"/>
    <n v="0"/>
    <n v="0"/>
    <n v="29"/>
    <n v="66"/>
    <n v="0"/>
    <n v="285.89"/>
    <n v="283.83999999999997"/>
    <m/>
    <n v="421.49012534052349"/>
    <n v="308.98165505271993"/>
    <n v="0"/>
    <n v="-321.49759949999998"/>
    <n v="-319.19227199999995"/>
    <n v="0"/>
    <n v="-473.98672045168564"/>
    <n v="-347.46532018953616"/>
  </r>
  <r>
    <s v="Sistema de Compensação"/>
    <x v="2"/>
    <x v="4"/>
    <x v="3"/>
    <x v="7"/>
    <x v="3"/>
    <x v="0"/>
    <x v="2"/>
    <x v="4"/>
    <n v="0"/>
    <n v="0"/>
    <n v="4.1390000000000002"/>
    <n v="1.1175299999999999"/>
    <n v="4.1390000000000002"/>
    <n v="1.1175299999999999"/>
    <n v="0"/>
    <x v="0"/>
    <n v="0"/>
    <n v="0"/>
    <n v="29"/>
    <n v="66"/>
    <n v="0"/>
    <n v="285.89"/>
    <n v="283.83999999999997"/>
    <m/>
    <n v="421.49012534052349"/>
    <n v="308.98165505271993"/>
    <n v="0"/>
    <n v="319.49065169999994"/>
    <n v="317.19971519999996"/>
    <n v="0"/>
    <n v="471.02785977179519"/>
    <n v="345.29626897106607"/>
  </r>
  <r>
    <s v="Sistema de Compensação"/>
    <x v="2"/>
    <x v="4"/>
    <x v="3"/>
    <x v="7"/>
    <x v="3"/>
    <x v="0"/>
    <x v="2"/>
    <x v="4"/>
    <n v="0"/>
    <n v="0"/>
    <n v="0.51200000000000001"/>
    <n v="0.13824"/>
    <n v="0.51200000000000001"/>
    <n v="0.13824"/>
    <n v="0"/>
    <x v="0"/>
    <n v="0"/>
    <n v="0"/>
    <n v="29"/>
    <n v="66"/>
    <n v="0"/>
    <n v="285.89"/>
    <n v="283.83999999999997"/>
    <m/>
    <n v="421.49012534052349"/>
    <n v="308.98165505271993"/>
    <n v="0"/>
    <n v="39.521433600000002"/>
    <n v="39.238041599999995"/>
    <n v="0"/>
    <n v="58.266794927073967"/>
    <n v="42.713623994488003"/>
  </r>
  <r>
    <s v="Regular"/>
    <x v="2"/>
    <x v="4"/>
    <x v="3"/>
    <x v="7"/>
    <x v="3"/>
    <x v="0"/>
    <x v="2"/>
    <x v="5"/>
    <n v="0"/>
    <n v="0"/>
    <n v="3305.2649999999999"/>
    <n v="892.42155000000002"/>
    <n v="3305.2649999999999"/>
    <n v="892.42155000000002"/>
    <n v="0"/>
    <x v="0"/>
    <n v="0"/>
    <n v="0"/>
    <n v="29"/>
    <n v="66"/>
    <n v="0"/>
    <n v="285.89"/>
    <n v="283.83999999999997"/>
    <m/>
    <n v="421.49012534052349"/>
    <n v="308.98165505271993"/>
    <n v="0"/>
    <n v="255134.39692949998"/>
    <n v="253304.93275199999"/>
    <n v="0"/>
    <n v="376146.87096608424"/>
    <n v="275741.88752371364"/>
  </r>
  <r>
    <s v="Refaturamento - Regular"/>
    <x v="2"/>
    <x v="4"/>
    <x v="3"/>
    <x v="7"/>
    <x v="3"/>
    <x v="0"/>
    <x v="2"/>
    <x v="5"/>
    <n v="0"/>
    <n v="0"/>
    <n v="-11.685"/>
    <n v="-3.1549499999999999"/>
    <n v="-11.685"/>
    <n v="-3.1549499999999999"/>
    <n v="0"/>
    <x v="0"/>
    <n v="0"/>
    <n v="0"/>
    <n v="29"/>
    <n v="66"/>
    <n v="0"/>
    <n v="285.89"/>
    <n v="283.83999999999997"/>
    <m/>
    <n v="421.49012534052349"/>
    <n v="308.98165505271993"/>
    <n v="0"/>
    <n v="-901.96865549999995"/>
    <n v="-895.50100799999984"/>
    <n v="0"/>
    <n v="-1329.7802709430846"/>
    <n v="-974.82167260857875"/>
  </r>
  <r>
    <s v="Sistema de Compensação"/>
    <x v="2"/>
    <x v="4"/>
    <x v="3"/>
    <x v="7"/>
    <x v="3"/>
    <x v="0"/>
    <x v="2"/>
    <x v="5"/>
    <n v="0"/>
    <n v="0"/>
    <n v="13.602"/>
    <n v="3.6725400000000001"/>
    <n v="13.602"/>
    <n v="3.6725400000000001"/>
    <n v="0"/>
    <x v="0"/>
    <n v="0"/>
    <n v="0"/>
    <n v="29"/>
    <n v="66"/>
    <n v="0"/>
    <n v="285.89"/>
    <n v="283.83999999999997"/>
    <m/>
    <n v="421.49012534052349"/>
    <n v="308.98165505271993"/>
    <n v="0"/>
    <n v="1049.9424606"/>
    <n v="1042.4137535999998"/>
    <n v="0"/>
    <n v="1547.9393449180861"/>
    <n v="1134.7474874473162"/>
  </r>
  <r>
    <s v="Regular"/>
    <x v="2"/>
    <x v="4"/>
    <x v="3"/>
    <x v="7"/>
    <x v="3"/>
    <x v="0"/>
    <x v="2"/>
    <x v="6"/>
    <n v="0"/>
    <n v="0"/>
    <n v="2070.011"/>
    <n v="828.00440000000003"/>
    <n v="2070.011"/>
    <n v="828.00440000000003"/>
    <n v="0"/>
    <x v="0"/>
    <n v="0"/>
    <n v="0"/>
    <n v="29"/>
    <n v="66"/>
    <n v="0"/>
    <n v="285.89"/>
    <n v="283.83999999999997"/>
    <m/>
    <n v="421.49012534052349"/>
    <n v="308.98165505271993"/>
    <n v="0"/>
    <n v="236718.17791599999"/>
    <n v="235020.76889599999"/>
    <n v="0"/>
    <n v="348995.67833850498"/>
    <n v="255838.16990293434"/>
  </r>
  <r>
    <s v="Refaturamento - Regular"/>
    <x v="2"/>
    <x v="4"/>
    <x v="3"/>
    <x v="7"/>
    <x v="3"/>
    <x v="0"/>
    <x v="2"/>
    <x v="6"/>
    <n v="0"/>
    <n v="0"/>
    <n v="-109.158"/>
    <n v="-43.663200000000003"/>
    <n v="-109.158"/>
    <n v="-43.663200000000003"/>
    <n v="0"/>
    <x v="0"/>
    <n v="0"/>
    <n v="0"/>
    <n v="29"/>
    <n v="66"/>
    <n v="0"/>
    <n v="285.89"/>
    <n v="283.83999999999997"/>
    <m/>
    <n v="421.49012534052349"/>
    <n v="308.98165505271993"/>
    <n v="0"/>
    <n v="-12482.872248"/>
    <n v="-12393.362687999999"/>
    <n v="0"/>
    <n v="-18403.607640768347"/>
    <n v="-13491.127800897922"/>
  </r>
  <r>
    <s v="Sistema de Compensação"/>
    <x v="2"/>
    <x v="4"/>
    <x v="3"/>
    <x v="7"/>
    <x v="3"/>
    <x v="0"/>
    <x v="2"/>
    <x v="6"/>
    <n v="0"/>
    <n v="0"/>
    <n v="21.001999999999999"/>
    <n v="8.4008000000000003"/>
    <n v="21.001999999999999"/>
    <n v="8.4008000000000003"/>
    <n v="0"/>
    <x v="0"/>
    <n v="0"/>
    <n v="0"/>
    <n v="29"/>
    <n v="66"/>
    <n v="0"/>
    <n v="285.89"/>
    <n v="283.83999999999997"/>
    <m/>
    <n v="421.49012534052349"/>
    <n v="308.98165505271993"/>
    <n v="0"/>
    <n v="2401.7047119999997"/>
    <n v="2384.483072"/>
    <n v="0"/>
    <n v="3540.8542449606698"/>
    <n v="2595.6930877668897"/>
  </r>
  <r>
    <s v="Sistema de Compensação"/>
    <x v="2"/>
    <x v="4"/>
    <x v="3"/>
    <x v="7"/>
    <x v="3"/>
    <x v="0"/>
    <x v="2"/>
    <x v="6"/>
    <n v="0"/>
    <n v="0"/>
    <n v="7.3999999999999996E-2"/>
    <n v="1.9980000000000001E-2"/>
    <n v="7.3999999999999996E-2"/>
    <n v="1.9980000000000001E-2"/>
    <n v="0"/>
    <x v="0"/>
    <n v="0"/>
    <n v="0"/>
    <n v="29"/>
    <n v="66"/>
    <n v="0"/>
    <n v="285.89"/>
    <n v="283.83999999999997"/>
    <m/>
    <n v="421.49012534052349"/>
    <n v="308.98165505271993"/>
    <n v="0"/>
    <n v="5.7120822000000002"/>
    <n v="5.6711232000000003"/>
    <n v="0"/>
    <n v="8.4213727043036606"/>
    <n v="6.1734534679533448"/>
  </r>
  <r>
    <s v="Regular"/>
    <x v="2"/>
    <x v="4"/>
    <x v="3"/>
    <x v="7"/>
    <x v="3"/>
    <x v="0"/>
    <x v="2"/>
    <x v="7"/>
    <n v="0"/>
    <n v="0"/>
    <n v="5306.0870000000004"/>
    <n v="2122.4348"/>
    <n v="5306.0870000000004"/>
    <n v="2122.4348"/>
    <n v="0"/>
    <x v="0"/>
    <n v="0"/>
    <n v="0"/>
    <n v="29"/>
    <n v="66"/>
    <n v="0"/>
    <n v="285.89"/>
    <n v="283.83999999999997"/>
    <m/>
    <n v="421.49012534052349"/>
    <n v="308.98165505271993"/>
    <n v="0"/>
    <n v="606782.88497199991"/>
    <n v="602431.89363199996"/>
    <n v="0"/>
    <n v="894585.30987908889"/>
    <n v="655793.41724548861"/>
  </r>
  <r>
    <s v="Refaturamento - Regular"/>
    <x v="2"/>
    <x v="4"/>
    <x v="3"/>
    <x v="7"/>
    <x v="3"/>
    <x v="0"/>
    <x v="2"/>
    <x v="7"/>
    <n v="0"/>
    <n v="0"/>
    <n v="-1.0529999999999999"/>
    <n v="-0.42120000000000002"/>
    <n v="-1.0529999999999999"/>
    <n v="-0.42120000000000002"/>
    <n v="0"/>
    <x v="0"/>
    <n v="0"/>
    <n v="0"/>
    <n v="29"/>
    <n v="66"/>
    <n v="0"/>
    <n v="285.89"/>
    <n v="283.83999999999997"/>
    <m/>
    <n v="421.49012534052349"/>
    <n v="308.98165505271993"/>
    <n v="0"/>
    <n v="-120.41686799999999"/>
    <n v="-119.55340799999999"/>
    <n v="0"/>
    <n v="-177.53164079342849"/>
    <n v="-130.14307310820564"/>
  </r>
  <r>
    <s v="Sistema de Compensação"/>
    <x v="2"/>
    <x v="4"/>
    <x v="3"/>
    <x v="7"/>
    <x v="3"/>
    <x v="0"/>
    <x v="2"/>
    <x v="7"/>
    <n v="0"/>
    <n v="0"/>
    <n v="61.082999999999998"/>
    <n v="24.433199999999999"/>
    <n v="61.082999999999998"/>
    <n v="24.433199999999999"/>
    <n v="0"/>
    <x v="0"/>
    <n v="0"/>
    <n v="0"/>
    <n v="29"/>
    <n v="66"/>
    <n v="0"/>
    <n v="285.89"/>
    <n v="283.83999999999997"/>
    <m/>
    <n v="421.49012534052349"/>
    <n v="308.98165505271993"/>
    <n v="0"/>
    <n v="6985.2075479999994"/>
    <n v="6935.1194879999994"/>
    <n v="0"/>
    <n v="10298.352530470078"/>
    <n v="7549.4105742341162"/>
  </r>
  <r>
    <s v="Regular"/>
    <x v="2"/>
    <x v="4"/>
    <x v="3"/>
    <x v="7"/>
    <x v="3"/>
    <x v="0"/>
    <x v="2"/>
    <x v="8"/>
    <n v="0"/>
    <n v="0"/>
    <n v="8382.3169999999991"/>
    <n v="3352.9268000000002"/>
    <n v="8382.3169999999991"/>
    <n v="3352.9268000000002"/>
    <n v="0"/>
    <x v="0"/>
    <n v="0"/>
    <n v="0"/>
    <n v="29"/>
    <n v="66"/>
    <n v="0"/>
    <n v="285.89"/>
    <n v="283.83999999999997"/>
    <m/>
    <n v="421.49012534052349"/>
    <n v="308.98165505271993"/>
    <n v="0"/>
    <n v="958568.24285200005"/>
    <n v="951694.74291199993"/>
    <n v="0"/>
    <n v="1413225.5371896005"/>
    <n v="1035992.8719346201"/>
  </r>
  <r>
    <s v="Refaturamento - Regular"/>
    <x v="2"/>
    <x v="4"/>
    <x v="3"/>
    <x v="7"/>
    <x v="3"/>
    <x v="0"/>
    <x v="2"/>
    <x v="8"/>
    <n v="0"/>
    <n v="0"/>
    <n v="-0.59699999999999998"/>
    <n v="-0.16119"/>
    <n v="-0.59699999999999998"/>
    <n v="-0.16119"/>
    <n v="0"/>
    <x v="0"/>
    <n v="0"/>
    <n v="0"/>
    <n v="29"/>
    <n v="66"/>
    <n v="0"/>
    <n v="285.89"/>
    <n v="283.83999999999997"/>
    <m/>
    <n v="421.49012534052349"/>
    <n v="308.98165505271993"/>
    <n v="0"/>
    <n v="-46.082609099999999"/>
    <n v="-45.752169599999995"/>
    <n v="0"/>
    <n v="-67.939993303638985"/>
    <n v="-49.804752977947928"/>
  </r>
  <r>
    <s v="Sistema de Compensação"/>
    <x v="2"/>
    <x v="4"/>
    <x v="3"/>
    <x v="7"/>
    <x v="3"/>
    <x v="0"/>
    <x v="2"/>
    <x v="8"/>
    <n v="0"/>
    <n v="0"/>
    <n v="127.547"/>
    <n v="51.018799999999999"/>
    <n v="127.547"/>
    <n v="51.018799999999999"/>
    <n v="0"/>
    <x v="0"/>
    <n v="0"/>
    <n v="0"/>
    <n v="29"/>
    <n v="66"/>
    <n v="0"/>
    <n v="285.89"/>
    <n v="283.83999999999997"/>
    <m/>
    <n v="421.49012534052349"/>
    <n v="308.98165505271993"/>
    <n v="0"/>
    <n v="14585.764732"/>
    <n v="14481.176191999999"/>
    <n v="0"/>
    <n v="21503.9204067231"/>
    <n v="15763.873262803707"/>
  </r>
  <r>
    <s v="Sistema de Compensação"/>
    <x v="2"/>
    <x v="4"/>
    <x v="3"/>
    <x v="7"/>
    <x v="3"/>
    <x v="0"/>
    <x v="2"/>
    <x v="8"/>
    <n v="0"/>
    <n v="0"/>
    <n v="0.13"/>
    <n v="3.5099999999999999E-2"/>
    <n v="0.13"/>
    <n v="3.5099999999999999E-2"/>
    <n v="0"/>
    <x v="0"/>
    <n v="0"/>
    <n v="0"/>
    <n v="29"/>
    <n v="66"/>
    <n v="0"/>
    <n v="285.89"/>
    <n v="283.83999999999997"/>
    <m/>
    <n v="421.49012534052349"/>
    <n v="308.98165505271993"/>
    <n v="0"/>
    <n v="10.034739"/>
    <n v="9.9627839999999992"/>
    <n v="0"/>
    <n v="14.794303399452374"/>
    <n v="10.84525609235047"/>
  </r>
  <r>
    <s v="Regular"/>
    <x v="2"/>
    <x v="4"/>
    <x v="3"/>
    <x v="7"/>
    <x v="3"/>
    <x v="0"/>
    <x v="2"/>
    <x v="9"/>
    <n v="0"/>
    <n v="0"/>
    <n v="6080.9279999999999"/>
    <n v="2432.3712"/>
    <n v="6080.9279999999999"/>
    <n v="2432.3712"/>
    <n v="0"/>
    <x v="0"/>
    <n v="0"/>
    <n v="0"/>
    <n v="29"/>
    <n v="66"/>
    <n v="0"/>
    <n v="285.89"/>
    <n v="283.83999999999997"/>
    <m/>
    <n v="421.49012534052349"/>
    <n v="308.98165505271993"/>
    <n v="0"/>
    <n v="695390.60236799996"/>
    <n v="690404.241408"/>
    <n v="0"/>
    <n v="1025220.4419626795"/>
    <n v="751558.07907857047"/>
  </r>
  <r>
    <s v="Refaturamento - Regular"/>
    <x v="2"/>
    <x v="4"/>
    <x v="3"/>
    <x v="7"/>
    <x v="3"/>
    <x v="0"/>
    <x v="2"/>
    <x v="9"/>
    <n v="0"/>
    <n v="0"/>
    <n v="2.972"/>
    <n v="0.80244000000000004"/>
    <n v="2.972"/>
    <n v="0.80244000000000004"/>
    <n v="0"/>
    <x v="0"/>
    <n v="0"/>
    <n v="0"/>
    <n v="29"/>
    <n v="66"/>
    <n v="0"/>
    <n v="285.89"/>
    <n v="283.83999999999997"/>
    <m/>
    <n v="421.49012534052349"/>
    <n v="308.98165505271993"/>
    <n v="0"/>
    <n v="229.40957159999999"/>
    <n v="227.76456959999999"/>
    <n v="0"/>
    <n v="338.22053617824969"/>
    <n v="247.93923928050458"/>
  </r>
  <r>
    <s v="Sistema de Compensação"/>
    <x v="2"/>
    <x v="4"/>
    <x v="3"/>
    <x v="7"/>
    <x v="3"/>
    <x v="0"/>
    <x v="2"/>
    <x v="9"/>
    <n v="0"/>
    <n v="0"/>
    <n v="75.545000000000002"/>
    <n v="30.218"/>
    <n v="75.545000000000002"/>
    <n v="30.218"/>
    <n v="0"/>
    <x v="0"/>
    <n v="0"/>
    <n v="0"/>
    <n v="29"/>
    <n v="66"/>
    <n v="0"/>
    <n v="285.89"/>
    <n v="283.83999999999997"/>
    <m/>
    <n v="421.49012534052349"/>
    <n v="308.98165505271993"/>
    <n v="0"/>
    <n v="8639.0240199999989"/>
    <n v="8577.0771199999999"/>
    <n v="0"/>
    <n v="12736.588607539939"/>
    <n v="9336.8076523830914"/>
  </r>
  <r>
    <s v="Regular"/>
    <x v="2"/>
    <x v="4"/>
    <x v="3"/>
    <x v="7"/>
    <x v="3"/>
    <x v="0"/>
    <x v="2"/>
    <x v="10"/>
    <n v="0"/>
    <n v="0"/>
    <n v="7343.5330000000004"/>
    <n v="2937.4132"/>
    <n v="7343.5330000000004"/>
    <n v="2937.4132"/>
    <n v="0"/>
    <x v="0"/>
    <n v="0"/>
    <n v="0"/>
    <n v="29"/>
    <n v="66"/>
    <n v="0"/>
    <n v="285.89"/>
    <n v="283.83999999999997"/>
    <m/>
    <n v="421.49012534052349"/>
    <n v="308.98165505271993"/>
    <n v="0"/>
    <n v="839777.059748"/>
    <n v="833755.36268799996"/>
    <n v="0"/>
    <n v="1238090.6578449081"/>
    <n v="907606.79210970621"/>
  </r>
  <r>
    <s v="Refaturamento - Regular"/>
    <x v="2"/>
    <x v="4"/>
    <x v="3"/>
    <x v="7"/>
    <x v="3"/>
    <x v="0"/>
    <x v="2"/>
    <x v="10"/>
    <n v="0"/>
    <n v="0"/>
    <n v="10.722"/>
    <n v="2.8949400000000001"/>
    <n v="10.722"/>
    <n v="2.8949400000000001"/>
    <n v="0"/>
    <x v="0"/>
    <n v="0"/>
    <n v="0"/>
    <n v="29"/>
    <n v="66"/>
    <n v="0"/>
    <n v="285.89"/>
    <n v="283.83999999999997"/>
    <m/>
    <n v="421.49012534052349"/>
    <n v="308.98165505271993"/>
    <n v="0"/>
    <n v="827.63439659999995"/>
    <n v="821.69976959999997"/>
    <n v="0"/>
    <n v="1220.1886234532951"/>
    <n v="894.48335247832108"/>
  </r>
  <r>
    <s v="Sistema de Compensação"/>
    <x v="2"/>
    <x v="4"/>
    <x v="3"/>
    <x v="7"/>
    <x v="3"/>
    <x v="0"/>
    <x v="2"/>
    <x v="10"/>
    <n v="0"/>
    <n v="0"/>
    <n v="167.989"/>
    <n v="67.195599999999999"/>
    <n v="167.989"/>
    <n v="67.195599999999999"/>
    <n v="0"/>
    <x v="0"/>
    <n v="0"/>
    <n v="0"/>
    <n v="29"/>
    <n v="66"/>
    <n v="0"/>
    <n v="285.89"/>
    <n v="283.83999999999997"/>
    <m/>
    <n v="421.49012534052349"/>
    <n v="308.98165505271993"/>
    <n v="0"/>
    <n v="19210.550083999999"/>
    <n v="19072.799103999998"/>
    <n v="0"/>
    <n v="28322.281866331679"/>
    <n v="20762.207700260547"/>
  </r>
  <r>
    <s v="PROJETADO"/>
    <x v="2"/>
    <x v="4"/>
    <x v="3"/>
    <x v="7"/>
    <x v="3"/>
    <x v="0"/>
    <x v="2"/>
    <x v="11"/>
    <n v="0"/>
    <n v="0"/>
    <n v="7343.5330000000004"/>
    <n v="2937.4132"/>
    <n v="7343.5330000000004"/>
    <n v="2937.4132"/>
    <n v="0"/>
    <x v="0"/>
    <n v="0"/>
    <n v="0"/>
    <n v="29"/>
    <n v="66"/>
    <n v="0"/>
    <n v="285.89"/>
    <n v="283.83999999999997"/>
    <m/>
    <n v="421.49012534052349"/>
    <n v="308.98165505271993"/>
    <n v="0"/>
    <n v="839777.059748"/>
    <n v="833755.36268799996"/>
    <n v="0"/>
    <n v="1238090.6578449081"/>
    <n v="907606.79210970621"/>
  </r>
  <r>
    <s v="PROJETADO"/>
    <x v="2"/>
    <x v="4"/>
    <x v="3"/>
    <x v="7"/>
    <x v="3"/>
    <x v="0"/>
    <x v="2"/>
    <x v="11"/>
    <n v="0"/>
    <n v="0"/>
    <n v="10.722"/>
    <n v="2.8949400000000001"/>
    <n v="10.722"/>
    <n v="2.8949400000000001"/>
    <n v="0"/>
    <x v="0"/>
    <n v="0"/>
    <n v="0"/>
    <n v="29"/>
    <n v="66"/>
    <n v="0"/>
    <n v="285.89"/>
    <n v="283.83999999999997"/>
    <m/>
    <n v="421.49012534052349"/>
    <n v="308.98165505271993"/>
    <n v="0"/>
    <n v="827.63439659999995"/>
    <n v="821.69976959999997"/>
    <n v="0"/>
    <n v="1220.1886234532951"/>
    <n v="894.48335247832108"/>
  </r>
  <r>
    <s v="PROJETADO"/>
    <x v="2"/>
    <x v="4"/>
    <x v="3"/>
    <x v="7"/>
    <x v="3"/>
    <x v="0"/>
    <x v="2"/>
    <x v="11"/>
    <n v="0"/>
    <n v="0"/>
    <n v="167.989"/>
    <n v="67.195599999999999"/>
    <n v="167.989"/>
    <n v="67.195599999999999"/>
    <n v="0"/>
    <x v="0"/>
    <n v="0"/>
    <n v="0"/>
    <n v="29"/>
    <n v="66"/>
    <n v="0"/>
    <n v="285.89"/>
    <n v="283.83999999999997"/>
    <m/>
    <n v="421.49012534052349"/>
    <n v="308.98165505271993"/>
    <n v="0"/>
    <n v="19210.550083999999"/>
    <n v="19072.799103999998"/>
    <n v="0"/>
    <n v="28322.281866331679"/>
    <n v="20762.207700260547"/>
  </r>
  <r>
    <s v="Regular"/>
    <x v="2"/>
    <x v="4"/>
    <x v="3"/>
    <x v="0"/>
    <x v="0"/>
    <x v="0"/>
    <x v="2"/>
    <x v="0"/>
    <n v="0"/>
    <n v="0"/>
    <n v="7106.2569999999996"/>
    <n v="7106.2569999999996"/>
    <n v="7106.2569999999996"/>
    <n v="7106.2569999999996"/>
    <n v="24681"/>
    <x v="0"/>
    <n v="0"/>
    <n v="0"/>
    <n v="29"/>
    <n v="66"/>
    <n v="0"/>
    <n v="285.89"/>
    <n v="283.83999999999997"/>
    <m/>
    <n v="421.49012534052349"/>
    <n v="308.98165505271993"/>
    <n v="0"/>
    <n v="2031607.8137299998"/>
    <n v="2017039.9868799997"/>
    <n v="0"/>
    <n v="2995217.1536319721"/>
    <n v="2195703.0490899761"/>
  </r>
  <r>
    <s v="Refaturamento - Regular"/>
    <x v="2"/>
    <x v="4"/>
    <x v="3"/>
    <x v="0"/>
    <x v="0"/>
    <x v="0"/>
    <x v="2"/>
    <x v="0"/>
    <n v="0"/>
    <n v="0"/>
    <n v="-1.9510000000000001"/>
    <n v="-1.9510000000000001"/>
    <n v="-1.9510000000000001"/>
    <n v="-1.9510000000000001"/>
    <n v="-7"/>
    <x v="0"/>
    <n v="0"/>
    <n v="0"/>
    <n v="29"/>
    <n v="66"/>
    <n v="0"/>
    <n v="285.89"/>
    <n v="283.83999999999997"/>
    <m/>
    <n v="421.49012534052349"/>
    <n v="308.98165505271993"/>
    <n v="0"/>
    <n v="-557.77139"/>
    <n v="-553.77184"/>
    <n v="0"/>
    <n v="-822.32723453936137"/>
    <n v="-602.82320900785658"/>
  </r>
  <r>
    <s v="Sistema de Compensação"/>
    <x v="2"/>
    <x v="4"/>
    <x v="3"/>
    <x v="0"/>
    <x v="0"/>
    <x v="0"/>
    <x v="2"/>
    <x v="0"/>
    <n v="0"/>
    <n v="0"/>
    <n v="49.664999999999999"/>
    <n v="49.664999999999999"/>
    <n v="49.664999999999999"/>
    <n v="49.664999999999999"/>
    <n v="201"/>
    <x v="0"/>
    <n v="0"/>
    <n v="0"/>
    <n v="29"/>
    <n v="66"/>
    <n v="0"/>
    <n v="285.89"/>
    <n v="283.83999999999997"/>
    <m/>
    <n v="421.49012534052349"/>
    <n v="308.98165505271993"/>
    <n v="0"/>
    <n v="14198.726849999999"/>
    <n v="14096.913599999998"/>
    <n v="0"/>
    <n v="20933.307075037097"/>
    <n v="15345.573898193335"/>
  </r>
  <r>
    <s v="Regular"/>
    <x v="2"/>
    <x v="4"/>
    <x v="3"/>
    <x v="0"/>
    <x v="0"/>
    <x v="0"/>
    <x v="2"/>
    <x v="1"/>
    <n v="0"/>
    <n v="0"/>
    <n v="7352.8180000000002"/>
    <n v="7352.8180000000002"/>
    <n v="7352.8180000000002"/>
    <n v="7352.8180000000002"/>
    <n v="24594"/>
    <x v="0"/>
    <n v="0"/>
    <n v="0"/>
    <n v="29"/>
    <n v="66"/>
    <n v="0"/>
    <n v="285.89"/>
    <n v="283.83999999999997"/>
    <m/>
    <n v="421.49012534052349"/>
    <n v="308.98165505271993"/>
    <n v="0"/>
    <n v="2102097.13802"/>
    <n v="2087023.8611199998"/>
    <n v="0"/>
    <n v="3099140.1804260574"/>
    <n v="2271885.8749414301"/>
  </r>
  <r>
    <s v="Refaturamento - Regular"/>
    <x v="2"/>
    <x v="4"/>
    <x v="3"/>
    <x v="0"/>
    <x v="0"/>
    <x v="0"/>
    <x v="2"/>
    <x v="1"/>
    <n v="0"/>
    <n v="0"/>
    <n v="-2.5510000000000002"/>
    <n v="-2.5510000000000002"/>
    <n v="-2.5510000000000002"/>
    <n v="-2.5510000000000002"/>
    <n v="-16"/>
    <x v="0"/>
    <n v="0"/>
    <n v="0"/>
    <n v="29"/>
    <n v="66"/>
    <n v="0"/>
    <n v="285.89"/>
    <n v="283.83999999999997"/>
    <m/>
    <n v="421.49012534052349"/>
    <n v="308.98165505271993"/>
    <n v="0"/>
    <n v="-729.30538999999999"/>
    <n v="-724.07583999999997"/>
    <n v="0"/>
    <n v="-1075.2213097436754"/>
    <n v="-788.2122020394886"/>
  </r>
  <r>
    <s v="Sistema de Compensação"/>
    <x v="2"/>
    <x v="4"/>
    <x v="3"/>
    <x v="0"/>
    <x v="0"/>
    <x v="0"/>
    <x v="2"/>
    <x v="1"/>
    <n v="0"/>
    <n v="0"/>
    <n v="58.216999999999999"/>
    <n v="58.216999999999999"/>
    <n v="58.216999999999999"/>
    <n v="58.216999999999999"/>
    <n v="227"/>
    <x v="0"/>
    <n v="0"/>
    <n v="0"/>
    <n v="29"/>
    <n v="66"/>
    <n v="0"/>
    <n v="285.89"/>
    <n v="283.83999999999997"/>
    <m/>
    <n v="421.49012534052349"/>
    <n v="308.98165505271993"/>
    <n v="0"/>
    <n v="16643.65813"/>
    <n v="16524.313279999998"/>
    <n v="0"/>
    <n v="24537.890626949255"/>
    <n v="17987.985012204197"/>
  </r>
  <r>
    <s v="Regular"/>
    <x v="2"/>
    <x v="4"/>
    <x v="3"/>
    <x v="0"/>
    <x v="0"/>
    <x v="0"/>
    <x v="2"/>
    <x v="2"/>
    <n v="0"/>
    <n v="0"/>
    <n v="6247.442"/>
    <n v="6247.442"/>
    <n v="6247.442"/>
    <n v="6247.442"/>
    <n v="26289"/>
    <x v="0"/>
    <n v="0"/>
    <n v="0"/>
    <n v="29"/>
    <n v="66"/>
    <n v="0"/>
    <n v="285.89"/>
    <n v="283.83999999999997"/>
    <m/>
    <n v="421.49012534052349"/>
    <n v="308.98165505271993"/>
    <n v="0"/>
    <n v="1786081.1933799998"/>
    <n v="1773273.93728"/>
    <n v="0"/>
    <n v="2633235.111637651"/>
    <n v="1930344.9690058746"/>
  </r>
  <r>
    <s v="Refaturamento - Regular"/>
    <x v="2"/>
    <x v="4"/>
    <x v="3"/>
    <x v="0"/>
    <x v="0"/>
    <x v="0"/>
    <x v="2"/>
    <x v="2"/>
    <n v="0"/>
    <n v="0"/>
    <n v="-5.1539999999999999"/>
    <n v="-5.1539999999999999"/>
    <n v="-5.1539999999999999"/>
    <n v="-5.1539999999999999"/>
    <n v="-1"/>
    <x v="0"/>
    <n v="0"/>
    <n v="0"/>
    <n v="29"/>
    <n v="66"/>
    <n v="0"/>
    <n v="285.89"/>
    <n v="283.83999999999997"/>
    <m/>
    <n v="421.49012534052349"/>
    <n v="308.98165505271993"/>
    <n v="0"/>
    <n v="-1473.4770599999999"/>
    <n v="-1462.9113599999998"/>
    <n v="0"/>
    <n v="-2172.3601060050582"/>
    <n v="-1592.4914501417186"/>
  </r>
  <r>
    <s v="Sistema de Compensação"/>
    <x v="2"/>
    <x v="4"/>
    <x v="3"/>
    <x v="0"/>
    <x v="0"/>
    <x v="0"/>
    <x v="2"/>
    <x v="2"/>
    <n v="0"/>
    <n v="0"/>
    <n v="51.704000000000001"/>
    <n v="51.704000000000001"/>
    <n v="51.704000000000001"/>
    <n v="51.704000000000001"/>
    <n v="274"/>
    <x v="0"/>
    <n v="0"/>
    <n v="0"/>
    <n v="29"/>
    <n v="66"/>
    <n v="0"/>
    <n v="285.89"/>
    <n v="283.83999999999997"/>
    <m/>
    <n v="421.49012534052349"/>
    <n v="308.98165505271993"/>
    <n v="0"/>
    <n v="14781.656559999999"/>
    <n v="14675.663359999999"/>
    <n v="0"/>
    <n v="21792.725440606428"/>
    <n v="15975.587492845831"/>
  </r>
  <r>
    <s v="Regular"/>
    <x v="2"/>
    <x v="4"/>
    <x v="3"/>
    <x v="0"/>
    <x v="0"/>
    <x v="0"/>
    <x v="2"/>
    <x v="3"/>
    <n v="0"/>
    <n v="0"/>
    <n v="6314.4870000000001"/>
    <n v="6314.4870000000001"/>
    <n v="6314.4870000000001"/>
    <n v="6314.4870000000001"/>
    <n v="27205"/>
    <x v="0"/>
    <n v="0"/>
    <n v="0"/>
    <n v="29"/>
    <n v="66"/>
    <n v="0"/>
    <n v="285.89"/>
    <n v="283.83999999999997"/>
    <m/>
    <n v="421.49012534052349"/>
    <n v="308.98165505271993"/>
    <n v="0"/>
    <n v="1805248.6884299999"/>
    <n v="1792303.9900799999"/>
    <n v="0"/>
    <n v="2661493.9170911061"/>
    <n v="1951060.6440688844"/>
  </r>
  <r>
    <s v="Refaturamento - Regular"/>
    <x v="2"/>
    <x v="4"/>
    <x v="3"/>
    <x v="0"/>
    <x v="0"/>
    <x v="0"/>
    <x v="2"/>
    <x v="3"/>
    <n v="0"/>
    <n v="0"/>
    <n v="-2.6829999999999998"/>
    <n v="-2.6829999999999998"/>
    <n v="-2.6829999999999998"/>
    <n v="-2.6829999999999998"/>
    <n v="4"/>
    <x v="0"/>
    <n v="0"/>
    <n v="0"/>
    <n v="29"/>
    <n v="66"/>
    <n v="0"/>
    <n v="285.89"/>
    <n v="283.83999999999997"/>
    <m/>
    <n v="421.49012534052349"/>
    <n v="308.98165505271993"/>
    <n v="0"/>
    <n v="-767.04286999999988"/>
    <n v="-761.54271999999992"/>
    <n v="0"/>
    <n v="-1130.8580062886244"/>
    <n v="-828.9977805064475"/>
  </r>
  <r>
    <s v="Sistema de Compensação"/>
    <x v="2"/>
    <x v="4"/>
    <x v="3"/>
    <x v="0"/>
    <x v="0"/>
    <x v="0"/>
    <x v="2"/>
    <x v="3"/>
    <n v="0"/>
    <n v="0"/>
    <n v="50.966000000000001"/>
    <n v="50.966000000000001"/>
    <n v="50.966000000000001"/>
    <n v="50.966000000000001"/>
    <n v="325"/>
    <x v="0"/>
    <n v="0"/>
    <n v="0"/>
    <n v="29"/>
    <n v="66"/>
    <n v="0"/>
    <n v="285.89"/>
    <n v="283.83999999999997"/>
    <m/>
    <n v="421.49012534052349"/>
    <n v="308.98165505271993"/>
    <n v="0"/>
    <n v="14570.669739999999"/>
    <n v="14466.189439999998"/>
    <n v="0"/>
    <n v="21481.665728105119"/>
    <n v="15747.559031416924"/>
  </r>
  <r>
    <s v="Regular"/>
    <x v="2"/>
    <x v="4"/>
    <x v="3"/>
    <x v="0"/>
    <x v="0"/>
    <x v="0"/>
    <x v="2"/>
    <x v="4"/>
    <n v="0"/>
    <n v="0"/>
    <n v="6613.875"/>
    <n v="6613.875"/>
    <n v="6613.875"/>
    <n v="6613.875"/>
    <n v="27060"/>
    <x v="0"/>
    <n v="0"/>
    <n v="0"/>
    <n v="29"/>
    <n v="66"/>
    <n v="0"/>
    <n v="285.89"/>
    <n v="283.83999999999997"/>
    <m/>
    <n v="421.49012534052349"/>
    <n v="308.98165505271993"/>
    <n v="0"/>
    <n v="1890840.7237499999"/>
    <n v="1877282.2799999998"/>
    <n v="0"/>
    <n v="2787683.0027365549"/>
    <n v="2043566.0438118081"/>
  </r>
  <r>
    <s v="Refaturamento - Regular"/>
    <x v="2"/>
    <x v="4"/>
    <x v="3"/>
    <x v="0"/>
    <x v="0"/>
    <x v="0"/>
    <x v="2"/>
    <x v="4"/>
    <n v="0"/>
    <n v="0"/>
    <n v="-9.1020000000000003"/>
    <n v="-9.1020000000000003"/>
    <n v="-9.1020000000000003"/>
    <n v="-9.1020000000000003"/>
    <n v="8"/>
    <x v="0"/>
    <n v="0"/>
    <n v="0"/>
    <n v="29"/>
    <n v="66"/>
    <n v="0"/>
    <n v="285.89"/>
    <n v="283.83999999999997"/>
    <m/>
    <n v="421.49012534052349"/>
    <n v="308.98165505271993"/>
    <n v="0"/>
    <n v="-2602.1707799999999"/>
    <n v="-2583.5116800000001"/>
    <n v="0"/>
    <n v="-3836.4031208494448"/>
    <n v="-2812.3510242898569"/>
  </r>
  <r>
    <s v="Sistema de Compensação"/>
    <x v="2"/>
    <x v="4"/>
    <x v="3"/>
    <x v="0"/>
    <x v="0"/>
    <x v="0"/>
    <x v="2"/>
    <x v="4"/>
    <n v="0"/>
    <n v="0"/>
    <n v="48.07"/>
    <n v="48.07"/>
    <n v="48.07"/>
    <n v="48.07"/>
    <n v="369"/>
    <x v="0"/>
    <n v="0"/>
    <n v="0"/>
    <n v="29"/>
    <n v="66"/>
    <n v="0"/>
    <n v="285.89"/>
    <n v="283.83999999999997"/>
    <m/>
    <n v="421.49012534052349"/>
    <n v="308.98165505271993"/>
    <n v="0"/>
    <n v="13742.7323"/>
    <n v="13644.188799999998"/>
    <n v="0"/>
    <n v="20261.030325118965"/>
    <n v="14852.748158384247"/>
  </r>
  <r>
    <s v="Regular"/>
    <x v="2"/>
    <x v="4"/>
    <x v="3"/>
    <x v="0"/>
    <x v="0"/>
    <x v="0"/>
    <x v="2"/>
    <x v="5"/>
    <n v="0"/>
    <n v="0"/>
    <n v="6744.0609999999997"/>
    <n v="6744.0609999999997"/>
    <n v="6744.0609999999997"/>
    <n v="6744.0609999999997"/>
    <n v="25766"/>
    <x v="0"/>
    <n v="0"/>
    <n v="0"/>
    <n v="29"/>
    <n v="66"/>
    <n v="0"/>
    <n v="285.89"/>
    <n v="283.83999999999997"/>
    <m/>
    <n v="421.49012534052349"/>
    <n v="308.98165505271993"/>
    <n v="0"/>
    <n v="1928059.5992899998"/>
    <n v="1914234.2742399997"/>
    <n v="0"/>
    <n v="2842555.116194136"/>
    <n v="2083791.1295565013"/>
  </r>
  <r>
    <s v="Refaturamento - Regular"/>
    <x v="2"/>
    <x v="4"/>
    <x v="3"/>
    <x v="0"/>
    <x v="0"/>
    <x v="0"/>
    <x v="2"/>
    <x v="5"/>
    <n v="0"/>
    <n v="0"/>
    <n v="-0.91900000000000004"/>
    <n v="-0.91900000000000004"/>
    <n v="-0.91900000000000004"/>
    <n v="-0.91900000000000004"/>
    <n v="0"/>
    <x v="0"/>
    <n v="0"/>
    <n v="0"/>
    <n v="29"/>
    <n v="66"/>
    <n v="0"/>
    <n v="285.89"/>
    <n v="283.83999999999997"/>
    <m/>
    <n v="421.49012534052349"/>
    <n v="308.98165505271993"/>
    <n v="0"/>
    <n v="-262.73291"/>
    <n v="-260.84895999999998"/>
    <n v="0"/>
    <n v="-387.34942518794111"/>
    <n v="-283.95414099344964"/>
  </r>
  <r>
    <s v="Sistema de Compensação"/>
    <x v="2"/>
    <x v="4"/>
    <x v="3"/>
    <x v="0"/>
    <x v="0"/>
    <x v="0"/>
    <x v="2"/>
    <x v="5"/>
    <n v="0"/>
    <n v="0"/>
    <n v="54.429000000000002"/>
    <n v="54.429000000000002"/>
    <n v="54.429000000000002"/>
    <n v="54.429000000000002"/>
    <n v="407"/>
    <x v="0"/>
    <n v="0"/>
    <n v="0"/>
    <n v="29"/>
    <n v="66"/>
    <n v="0"/>
    <n v="285.89"/>
    <n v="283.83999999999997"/>
    <m/>
    <n v="421.49012534052349"/>
    <n v="308.98165505271993"/>
    <n v="0"/>
    <n v="15560.70681"/>
    <n v="15449.127359999999"/>
    <n v="0"/>
    <n v="22941.286032159354"/>
    <n v="16817.562502864494"/>
  </r>
  <r>
    <s v="Sistema de Compensação"/>
    <x v="2"/>
    <x v="4"/>
    <x v="3"/>
    <x v="0"/>
    <x v="0"/>
    <x v="0"/>
    <x v="2"/>
    <x v="5"/>
    <n v="0"/>
    <n v="0"/>
    <n v="6.9020000000000001"/>
    <n v="6.9020000000000001"/>
    <n v="6.9020000000000001"/>
    <n v="6.9020000000000001"/>
    <n v="0"/>
    <x v="0"/>
    <n v="0"/>
    <n v="0"/>
    <n v="29"/>
    <n v="66"/>
    <n v="0"/>
    <n v="285.89"/>
    <n v="283.83999999999997"/>
    <m/>
    <n v="421.49012534052349"/>
    <n v="308.98165505271993"/>
    <n v="0"/>
    <n v="1973.2127799999998"/>
    <n v="1959.06368"/>
    <n v="0"/>
    <n v="2909.124845100293"/>
    <n v="2132.5913831738731"/>
  </r>
  <r>
    <s v="Regular"/>
    <x v="2"/>
    <x v="4"/>
    <x v="3"/>
    <x v="0"/>
    <x v="0"/>
    <x v="0"/>
    <x v="2"/>
    <x v="6"/>
    <n v="0"/>
    <n v="0"/>
    <n v="6840.9759999999997"/>
    <n v="6840.9759999999997"/>
    <n v="6840.9759999999997"/>
    <n v="6840.9759999999997"/>
    <n v="26577"/>
    <x v="0"/>
    <n v="0"/>
    <n v="0"/>
    <n v="29"/>
    <n v="66"/>
    <n v="0"/>
    <n v="285.89"/>
    <n v="283.83999999999997"/>
    <m/>
    <n v="421.49012534052349"/>
    <n v="308.98165505271993"/>
    <n v="0"/>
    <n v="1955766.6286399998"/>
    <n v="1941742.6278399997"/>
    <n v="0"/>
    <n v="2883403.8316915128"/>
    <n v="2113736.0866559357"/>
  </r>
  <r>
    <s v="Refaturamento - Regular"/>
    <x v="2"/>
    <x v="4"/>
    <x v="3"/>
    <x v="0"/>
    <x v="0"/>
    <x v="0"/>
    <x v="2"/>
    <x v="6"/>
    <n v="0"/>
    <n v="0"/>
    <n v="-14.576000000000001"/>
    <n v="-14.576000000000001"/>
    <n v="-14.576000000000001"/>
    <n v="-14.576000000000001"/>
    <n v="2"/>
    <x v="0"/>
    <n v="0"/>
    <n v="0"/>
    <n v="29"/>
    <n v="66"/>
    <n v="0"/>
    <n v="285.89"/>
    <n v="283.83999999999997"/>
    <m/>
    <n v="421.49012534052349"/>
    <n v="308.98165505271993"/>
    <n v="0"/>
    <n v="-4167.1326399999998"/>
    <n v="-4137.2518399999999"/>
    <n v="0"/>
    <n v="-6143.6400669634704"/>
    <n v="-4503.7166040484462"/>
  </r>
  <r>
    <s v="Sistema de Compensação"/>
    <x v="2"/>
    <x v="4"/>
    <x v="3"/>
    <x v="0"/>
    <x v="0"/>
    <x v="0"/>
    <x v="2"/>
    <x v="6"/>
    <n v="0"/>
    <n v="0"/>
    <n v="60.368000000000002"/>
    <n v="60.368000000000002"/>
    <n v="60.368000000000002"/>
    <n v="60.368000000000002"/>
    <n v="471"/>
    <x v="0"/>
    <n v="0"/>
    <n v="0"/>
    <n v="29"/>
    <n v="66"/>
    <n v="0"/>
    <n v="285.89"/>
    <n v="283.83999999999997"/>
    <m/>
    <n v="421.49012534052349"/>
    <n v="308.98165505271993"/>
    <n v="0"/>
    <n v="17258.607520000001"/>
    <n v="17134.85312"/>
    <n v="0"/>
    <n v="25444.515886556725"/>
    <n v="18652.604552222598"/>
  </r>
  <r>
    <s v="Regular"/>
    <x v="2"/>
    <x v="4"/>
    <x v="3"/>
    <x v="0"/>
    <x v="0"/>
    <x v="0"/>
    <x v="2"/>
    <x v="7"/>
    <n v="0"/>
    <n v="0"/>
    <n v="7022.2060000000001"/>
    <n v="7022.2060000000001"/>
    <n v="7022.2060000000001"/>
    <n v="7022.2060000000001"/>
    <n v="25443"/>
    <x v="0"/>
    <n v="0"/>
    <n v="0"/>
    <n v="29"/>
    <n v="66"/>
    <n v="0"/>
    <n v="285.89"/>
    <n v="283.83999999999997"/>
    <m/>
    <n v="421.49012534052349"/>
    <n v="308.98165505271993"/>
    <n v="0"/>
    <n v="2007578.47334"/>
    <n v="1993182.95104"/>
    <n v="0"/>
    <n v="2959790.4871069761"/>
    <n v="2169732.8320011403"/>
  </r>
  <r>
    <s v="Refaturamento - Regular"/>
    <x v="2"/>
    <x v="4"/>
    <x v="3"/>
    <x v="0"/>
    <x v="0"/>
    <x v="0"/>
    <x v="2"/>
    <x v="7"/>
    <n v="0"/>
    <n v="0"/>
    <n v="-10.545999999999999"/>
    <n v="-10.545999999999999"/>
    <n v="-10.545999999999999"/>
    <n v="-10.545999999999999"/>
    <n v="5"/>
    <x v="0"/>
    <n v="0"/>
    <n v="0"/>
    <n v="29"/>
    <n v="66"/>
    <n v="0"/>
    <n v="285.89"/>
    <n v="283.83999999999997"/>
    <m/>
    <n v="421.49012534052349"/>
    <n v="308.98165505271993"/>
    <n v="0"/>
    <n v="-3014.9959399999998"/>
    <n v="-2993.3766399999995"/>
    <n v="0"/>
    <n v="-4445.0348618411608"/>
    <n v="-3258.5205341859842"/>
  </r>
  <r>
    <s v="Sistema de Compensação"/>
    <x v="2"/>
    <x v="4"/>
    <x v="3"/>
    <x v="0"/>
    <x v="0"/>
    <x v="0"/>
    <x v="2"/>
    <x v="7"/>
    <n v="0"/>
    <n v="0"/>
    <n v="71.492999999999995"/>
    <n v="71.492999999999995"/>
    <n v="71.492999999999995"/>
    <n v="71.492999999999995"/>
    <n v="537"/>
    <x v="0"/>
    <n v="0"/>
    <n v="0"/>
    <n v="29"/>
    <n v="66"/>
    <n v="0"/>
    <n v="285.89"/>
    <n v="283.83999999999997"/>
    <m/>
    <n v="421.49012534052349"/>
    <n v="308.98165505271993"/>
    <n v="0"/>
    <n v="20439.133769999997"/>
    <n v="20292.573119999997"/>
    <n v="0"/>
    <n v="30133.593530970044"/>
    <n v="22090.025464684106"/>
  </r>
  <r>
    <s v="Sistema de Compensação"/>
    <x v="2"/>
    <x v="4"/>
    <x v="3"/>
    <x v="0"/>
    <x v="0"/>
    <x v="0"/>
    <x v="2"/>
    <x v="7"/>
    <n v="0"/>
    <n v="0"/>
    <n v="1.1299999999999999"/>
    <n v="1.1299999999999999"/>
    <n v="1.1299999999999999"/>
    <n v="1.1299999999999999"/>
    <n v="3"/>
    <x v="0"/>
    <n v="0"/>
    <n v="0"/>
    <n v="29"/>
    <n v="66"/>
    <n v="0"/>
    <n v="285.89"/>
    <n v="283.83999999999997"/>
    <m/>
    <n v="421.49012534052349"/>
    <n v="308.98165505271993"/>
    <n v="0"/>
    <n v="323.05569999999994"/>
    <n v="320.73919999999993"/>
    <n v="0"/>
    <n v="476.28384163479149"/>
    <n v="349.1492702095735"/>
  </r>
  <r>
    <s v="Regular"/>
    <x v="2"/>
    <x v="4"/>
    <x v="3"/>
    <x v="0"/>
    <x v="0"/>
    <x v="0"/>
    <x v="2"/>
    <x v="8"/>
    <n v="0"/>
    <n v="0"/>
    <n v="8529.67"/>
    <n v="8529.67"/>
    <n v="8529.67"/>
    <n v="8529.67"/>
    <n v="24910"/>
    <x v="0"/>
    <n v="0"/>
    <n v="0"/>
    <n v="29"/>
    <n v="66"/>
    <n v="0"/>
    <n v="285.89"/>
    <n v="283.83999999999997"/>
    <m/>
    <n v="421.49012534052349"/>
    <n v="308.98165505271993"/>
    <n v="0"/>
    <n v="2438547.3563000001"/>
    <n v="2421061.5327999997"/>
    <n v="0"/>
    <n v="3595171.6774133029"/>
    <n v="2635511.5536535336"/>
  </r>
  <r>
    <s v="Refaturamento - Regular"/>
    <x v="2"/>
    <x v="4"/>
    <x v="3"/>
    <x v="0"/>
    <x v="0"/>
    <x v="0"/>
    <x v="2"/>
    <x v="8"/>
    <n v="0"/>
    <n v="0"/>
    <n v="0.58399999999999996"/>
    <n v="0.58399999999999996"/>
    <n v="0.58399999999999996"/>
    <n v="0.58399999999999996"/>
    <n v="12"/>
    <x v="0"/>
    <n v="0"/>
    <n v="0"/>
    <n v="29"/>
    <n v="66"/>
    <n v="0"/>
    <n v="285.89"/>
    <n v="283.83999999999997"/>
    <m/>
    <n v="421.49012534052349"/>
    <n v="308.98165505271993"/>
    <n v="0"/>
    <n v="166.95975999999999"/>
    <n v="165.76255999999998"/>
    <n v="0"/>
    <n v="246.15023319886569"/>
    <n v="180.44528655078844"/>
  </r>
  <r>
    <s v="Sistema de Compensação"/>
    <x v="2"/>
    <x v="4"/>
    <x v="3"/>
    <x v="0"/>
    <x v="0"/>
    <x v="0"/>
    <x v="2"/>
    <x v="8"/>
    <n v="0"/>
    <n v="0"/>
    <n v="109.31399999999999"/>
    <n v="109.31399999999999"/>
    <n v="109.31399999999999"/>
    <n v="109.31399999999999"/>
    <n v="585"/>
    <x v="0"/>
    <n v="0"/>
    <n v="0"/>
    <n v="29"/>
    <n v="66"/>
    <n v="0"/>
    <n v="285.89"/>
    <n v="283.83999999999997"/>
    <m/>
    <n v="421.49012534052349"/>
    <n v="308.98165505271993"/>
    <n v="0"/>
    <n v="31251.779459999998"/>
    <n v="31027.685759999997"/>
    <n v="0"/>
    <n v="46074.771561473979"/>
    <n v="33776.020640433024"/>
  </r>
  <r>
    <s v="Regular"/>
    <x v="2"/>
    <x v="4"/>
    <x v="3"/>
    <x v="0"/>
    <x v="0"/>
    <x v="0"/>
    <x v="2"/>
    <x v="9"/>
    <n v="0"/>
    <n v="0"/>
    <n v="10383.521000000001"/>
    <n v="10383.521000000001"/>
    <n v="10383.521000000001"/>
    <n v="10383.521000000001"/>
    <n v="25200"/>
    <x v="0"/>
    <n v="0"/>
    <n v="0"/>
    <n v="29"/>
    <n v="66"/>
    <n v="0"/>
    <n v="285.89"/>
    <n v="283.83999999999997"/>
    <m/>
    <n v="421.49012534052349"/>
    <n v="308.98165505271993"/>
    <n v="0"/>
    <n v="2968544.8186900001"/>
    <n v="2947258.6006399998"/>
    <n v="0"/>
    <n v="4376551.5677659577"/>
    <n v="3208317.5038546738"/>
  </r>
  <r>
    <s v="Refaturamento - Regular"/>
    <x v="2"/>
    <x v="4"/>
    <x v="3"/>
    <x v="0"/>
    <x v="0"/>
    <x v="0"/>
    <x v="2"/>
    <x v="9"/>
    <n v="0"/>
    <n v="0"/>
    <n v="0.182"/>
    <n v="0.182"/>
    <n v="0.182"/>
    <n v="0.182"/>
    <n v="4"/>
    <x v="0"/>
    <n v="0"/>
    <n v="0"/>
    <n v="29"/>
    <n v="66"/>
    <n v="0"/>
    <n v="285.89"/>
    <n v="283.83999999999997"/>
    <m/>
    <n v="421.49012534052349"/>
    <n v="308.98165505271993"/>
    <n v="0"/>
    <n v="52.031979999999997"/>
    <n v="51.658879999999996"/>
    <n v="0"/>
    <n v="76.711202811975269"/>
    <n v="56.234661219595026"/>
  </r>
  <r>
    <s v="Sistema de Compensação"/>
    <x v="2"/>
    <x v="4"/>
    <x v="3"/>
    <x v="0"/>
    <x v="0"/>
    <x v="0"/>
    <x v="2"/>
    <x v="9"/>
    <n v="0"/>
    <n v="0"/>
    <n v="229.316"/>
    <n v="229.316"/>
    <n v="229.316"/>
    <n v="229.316"/>
    <n v="640"/>
    <x v="0"/>
    <n v="0"/>
    <n v="0"/>
    <n v="29"/>
    <n v="66"/>
    <n v="0"/>
    <n v="285.89"/>
    <n v="283.83999999999997"/>
    <m/>
    <n v="421.49012534052349"/>
    <n v="308.98165505271993"/>
    <n v="0"/>
    <n v="65559.151239999992"/>
    <n v="65089.053439999996"/>
    <n v="0"/>
    <n v="96654.429582587487"/>
    <n v="70854.437210069518"/>
  </r>
  <r>
    <s v="Regular"/>
    <x v="2"/>
    <x v="4"/>
    <x v="3"/>
    <x v="0"/>
    <x v="0"/>
    <x v="0"/>
    <x v="2"/>
    <x v="10"/>
    <n v="0"/>
    <n v="0"/>
    <n v="9415.5849999999991"/>
    <n v="9415.5849999999991"/>
    <n v="9415.5849999999991"/>
    <n v="9415.5849999999991"/>
    <n v="25128"/>
    <x v="0"/>
    <n v="0"/>
    <n v="0"/>
    <n v="29"/>
    <n v="66"/>
    <n v="0"/>
    <n v="285.89"/>
    <n v="283.83999999999997"/>
    <m/>
    <n v="421.49012534052349"/>
    <n v="308.98165505271993"/>
    <n v="0"/>
    <n v="2691821.5956499996"/>
    <n v="2672519.6463999995"/>
    <n v="0"/>
    <n v="3968576.1018043524"/>
    <n v="2909243.0365895638"/>
  </r>
  <r>
    <s v="Refaturamento - Regular"/>
    <x v="2"/>
    <x v="4"/>
    <x v="3"/>
    <x v="0"/>
    <x v="0"/>
    <x v="0"/>
    <x v="2"/>
    <x v="10"/>
    <n v="0"/>
    <n v="0"/>
    <n v="-7.2789999999999999"/>
    <n v="-7.2789999999999999"/>
    <n v="-7.2789999999999999"/>
    <n v="-7.2789999999999999"/>
    <n v="9"/>
    <x v="0"/>
    <n v="0"/>
    <n v="0"/>
    <n v="29"/>
    <n v="66"/>
    <n v="0"/>
    <n v="285.89"/>
    <n v="283.83999999999997"/>
    <m/>
    <n v="421.49012534052349"/>
    <n v="308.98165505271993"/>
    <n v="0"/>
    <n v="-2080.9933099999998"/>
    <n v="-2066.0713599999999"/>
    <n v="0"/>
    <n v="-3068.0266223536705"/>
    <n v="-2249.0774671287481"/>
  </r>
  <r>
    <s v="Sistema de Compensação"/>
    <x v="2"/>
    <x v="4"/>
    <x v="3"/>
    <x v="0"/>
    <x v="0"/>
    <x v="0"/>
    <x v="2"/>
    <x v="10"/>
    <n v="0"/>
    <n v="0"/>
    <n v="267.82900000000001"/>
    <n v="267.82900000000001"/>
    <n v="267.82900000000001"/>
    <n v="267.82900000000001"/>
    <n v="683"/>
    <x v="0"/>
    <n v="0"/>
    <n v="0"/>
    <n v="29"/>
    <n v="66"/>
    <n v="0"/>
    <n v="285.89"/>
    <n v="283.83999999999997"/>
    <m/>
    <n v="421.49012534052349"/>
    <n v="308.98165505271993"/>
    <n v="0"/>
    <n v="76569.632809999996"/>
    <n v="76020.58335999999"/>
    <n v="0"/>
    <n v="112887.27877982707"/>
    <n v="82754.247691114928"/>
  </r>
  <r>
    <s v="PROJETADO"/>
    <x v="2"/>
    <x v="4"/>
    <x v="3"/>
    <x v="0"/>
    <x v="0"/>
    <x v="0"/>
    <x v="2"/>
    <x v="11"/>
    <n v="0"/>
    <n v="0"/>
    <n v="9415.5849999999991"/>
    <n v="9415.5849999999991"/>
    <n v="9415.5849999999991"/>
    <n v="9415.5849999999991"/>
    <n v="25128"/>
    <x v="0"/>
    <n v="0"/>
    <n v="0"/>
    <n v="29"/>
    <n v="66"/>
    <n v="0"/>
    <n v="285.89"/>
    <n v="283.83999999999997"/>
    <m/>
    <n v="421.49012534052349"/>
    <n v="308.98165505271993"/>
    <n v="0"/>
    <n v="2691821.5956499996"/>
    <n v="2672519.6463999995"/>
    <n v="0"/>
    <n v="3968576.1018043524"/>
    <n v="2909243.0365895638"/>
  </r>
  <r>
    <s v="PROJETADO"/>
    <x v="2"/>
    <x v="4"/>
    <x v="3"/>
    <x v="0"/>
    <x v="0"/>
    <x v="0"/>
    <x v="2"/>
    <x v="11"/>
    <n v="0"/>
    <n v="0"/>
    <n v="-7.2789999999999999"/>
    <n v="-7.2789999999999999"/>
    <n v="-7.2789999999999999"/>
    <n v="-7.2789999999999999"/>
    <n v="9"/>
    <x v="0"/>
    <n v="0"/>
    <n v="0"/>
    <n v="29"/>
    <n v="66"/>
    <n v="0"/>
    <n v="285.89"/>
    <n v="283.83999999999997"/>
    <m/>
    <n v="421.49012534052349"/>
    <n v="308.98165505271993"/>
    <n v="0"/>
    <n v="-2080.9933099999998"/>
    <n v="-2066.0713599999999"/>
    <n v="0"/>
    <n v="-3068.0266223536705"/>
    <n v="-2249.0774671287481"/>
  </r>
  <r>
    <s v="PROJETADO"/>
    <x v="2"/>
    <x v="4"/>
    <x v="3"/>
    <x v="0"/>
    <x v="0"/>
    <x v="0"/>
    <x v="2"/>
    <x v="11"/>
    <n v="0"/>
    <n v="0"/>
    <n v="267.82900000000001"/>
    <n v="267.82900000000001"/>
    <n v="267.82900000000001"/>
    <n v="267.82900000000001"/>
    <n v="683"/>
    <x v="0"/>
    <n v="0"/>
    <n v="0"/>
    <n v="29"/>
    <n v="66"/>
    <n v="0"/>
    <n v="285.89"/>
    <n v="283.83999999999997"/>
    <m/>
    <n v="421.49012534052349"/>
    <n v="308.98165505271993"/>
    <n v="0"/>
    <n v="76569.632809999996"/>
    <n v="76020.58335999999"/>
    <n v="0"/>
    <n v="112887.27877982707"/>
    <n v="82754.247691114928"/>
  </r>
  <r>
    <s v="Regular"/>
    <x v="2"/>
    <x v="4"/>
    <x v="3"/>
    <x v="8"/>
    <x v="2"/>
    <x v="0"/>
    <x v="2"/>
    <x v="0"/>
    <n v="0"/>
    <n v="0"/>
    <n v="1.968"/>
    <n v="1.968"/>
    <n v="1.968"/>
    <n v="1.968"/>
    <n v="0"/>
    <x v="0"/>
    <n v="0"/>
    <n v="0"/>
    <n v="37"/>
    <n v="74"/>
    <n v="0"/>
    <n v="272.89999999999998"/>
    <n v="270.94"/>
    <m/>
    <n v="376.65075030429762"/>
    <n v="276.11126621732421"/>
    <n v="0"/>
    <n v="537.06719999999996"/>
    <n v="533.20992000000001"/>
    <n v="0"/>
    <n v="741.24867659885774"/>
    <n v="543.38697191569406"/>
  </r>
  <r>
    <s v="Regular"/>
    <x v="2"/>
    <x v="4"/>
    <x v="3"/>
    <x v="8"/>
    <x v="2"/>
    <x v="0"/>
    <x v="2"/>
    <x v="1"/>
    <n v="0"/>
    <n v="0"/>
    <n v="2.2549999999999999"/>
    <n v="2.2549999999999999"/>
    <n v="2.2549999999999999"/>
    <n v="2.2549999999999999"/>
    <n v="0"/>
    <x v="0"/>
    <n v="0"/>
    <n v="0"/>
    <n v="37"/>
    <n v="74"/>
    <n v="0"/>
    <n v="272.89999999999998"/>
    <n v="270.94"/>
    <m/>
    <n v="376.65075030429762"/>
    <n v="276.11126621732421"/>
    <n v="0"/>
    <n v="615.38949999999988"/>
    <n v="610.96969999999999"/>
    <n v="0"/>
    <n v="849.3474419361911"/>
    <n v="622.63090532006606"/>
  </r>
  <r>
    <s v="Regular"/>
    <x v="2"/>
    <x v="4"/>
    <x v="3"/>
    <x v="8"/>
    <x v="2"/>
    <x v="0"/>
    <x v="2"/>
    <x v="2"/>
    <n v="0"/>
    <n v="0"/>
    <n v="0.1"/>
    <n v="0.1"/>
    <n v="0.1"/>
    <n v="0.1"/>
    <n v="0"/>
    <x v="0"/>
    <n v="0"/>
    <n v="0"/>
    <n v="37"/>
    <n v="74"/>
    <n v="0"/>
    <n v="272.89999999999998"/>
    <n v="270.94"/>
    <m/>
    <n v="376.65075030429762"/>
    <n v="276.11126621732421"/>
    <n v="0"/>
    <n v="27.29"/>
    <n v="27.094000000000001"/>
    <n v="0"/>
    <n v="37.665075030429762"/>
    <n v="27.611126621732424"/>
  </r>
  <r>
    <s v="Regular"/>
    <x v="2"/>
    <x v="4"/>
    <x v="3"/>
    <x v="8"/>
    <x v="2"/>
    <x v="0"/>
    <x v="2"/>
    <x v="3"/>
    <n v="0"/>
    <n v="0"/>
    <n v="4.1000000000000002E-2"/>
    <n v="4.1000000000000002E-2"/>
    <n v="4.1000000000000002E-2"/>
    <n v="4.1000000000000002E-2"/>
    <n v="0"/>
    <x v="0"/>
    <n v="0"/>
    <n v="0"/>
    <n v="37"/>
    <n v="74"/>
    <n v="0"/>
    <n v="272.89999999999998"/>
    <n v="270.94"/>
    <m/>
    <n v="376.65075030429762"/>
    <n v="276.11126621732421"/>
    <n v="0"/>
    <n v="11.1889"/>
    <n v="11.10854"/>
    <n v="0"/>
    <n v="15.442680762476202"/>
    <n v="11.320561914910293"/>
  </r>
  <r>
    <s v="Regular"/>
    <x v="2"/>
    <x v="4"/>
    <x v="3"/>
    <x v="8"/>
    <x v="2"/>
    <x v="0"/>
    <x v="2"/>
    <x v="4"/>
    <n v="0"/>
    <n v="0"/>
    <n v="0.67"/>
    <n v="0.67"/>
    <n v="0.67"/>
    <n v="0.67"/>
    <n v="0"/>
    <x v="0"/>
    <n v="0"/>
    <n v="0"/>
    <n v="37"/>
    <n v="74"/>
    <n v="0"/>
    <n v="272.89999999999998"/>
    <n v="270.94"/>
    <m/>
    <n v="376.65075030429762"/>
    <n v="276.11126621732421"/>
    <n v="0"/>
    <n v="182.84299999999999"/>
    <n v="181.52980000000002"/>
    <n v="0"/>
    <n v="252.35600270387943"/>
    <n v="184.99454836560724"/>
  </r>
  <r>
    <s v="Regular"/>
    <x v="2"/>
    <x v="4"/>
    <x v="3"/>
    <x v="8"/>
    <x v="2"/>
    <x v="0"/>
    <x v="2"/>
    <x v="5"/>
    <n v="0"/>
    <n v="0"/>
    <n v="0.71699999999999997"/>
    <n v="0.71699999999999997"/>
    <n v="0.71699999999999997"/>
    <n v="0.71699999999999997"/>
    <n v="0"/>
    <x v="0"/>
    <n v="0"/>
    <n v="0"/>
    <n v="37"/>
    <n v="74"/>
    <n v="0"/>
    <n v="272.89999999999998"/>
    <n v="270.94"/>
    <m/>
    <n v="376.65075030429762"/>
    <n v="276.11126621732421"/>
    <n v="0"/>
    <n v="195.66929999999996"/>
    <n v="194.26398"/>
    <n v="0"/>
    <n v="270.05858796818137"/>
    <n v="197.97177787782147"/>
  </r>
  <r>
    <s v="Regular"/>
    <x v="2"/>
    <x v="4"/>
    <x v="3"/>
    <x v="8"/>
    <x v="2"/>
    <x v="0"/>
    <x v="2"/>
    <x v="6"/>
    <n v="0"/>
    <n v="0"/>
    <n v="2.8000000000000001E-2"/>
    <n v="2.8000000000000001E-2"/>
    <n v="2.8000000000000001E-2"/>
    <n v="2.8000000000000001E-2"/>
    <n v="0"/>
    <x v="0"/>
    <n v="0"/>
    <n v="0"/>
    <n v="37"/>
    <n v="74"/>
    <n v="0"/>
    <n v="272.89999999999998"/>
    <n v="270.94"/>
    <m/>
    <n v="376.65075030429762"/>
    <n v="276.11126621732421"/>
    <n v="0"/>
    <n v="7.6411999999999995"/>
    <n v="7.5863199999999997"/>
    <n v="0"/>
    <n v="10.546221008520334"/>
    <n v="7.7311154540850779"/>
  </r>
  <r>
    <s v="Regular"/>
    <x v="2"/>
    <x v="4"/>
    <x v="3"/>
    <x v="8"/>
    <x v="2"/>
    <x v="0"/>
    <x v="2"/>
    <x v="7"/>
    <n v="0"/>
    <n v="0"/>
    <n v="1.4350000000000001"/>
    <n v="1.4350000000000001"/>
    <n v="1.4350000000000001"/>
    <n v="1.4350000000000001"/>
    <n v="0"/>
    <x v="0"/>
    <n v="0"/>
    <n v="0"/>
    <n v="37"/>
    <n v="74"/>
    <n v="0"/>
    <n v="272.89999999999998"/>
    <n v="270.94"/>
    <m/>
    <n v="376.65075030429762"/>
    <n v="276.11126621732421"/>
    <n v="0"/>
    <n v="391.61149999999998"/>
    <n v="388.7989"/>
    <n v="0"/>
    <n v="540.49382668666715"/>
    <n v="396.21966702186029"/>
  </r>
  <r>
    <s v="Regular"/>
    <x v="2"/>
    <x v="4"/>
    <x v="3"/>
    <x v="8"/>
    <x v="2"/>
    <x v="0"/>
    <x v="2"/>
    <x v="8"/>
    <n v="0"/>
    <n v="0"/>
    <n v="1.353"/>
    <n v="1.353"/>
    <n v="1.353"/>
    <n v="1.353"/>
    <n v="0"/>
    <x v="0"/>
    <n v="0"/>
    <n v="0"/>
    <n v="37"/>
    <n v="74"/>
    <n v="0"/>
    <n v="272.89999999999998"/>
    <n v="270.94"/>
    <m/>
    <n v="376.65075030429762"/>
    <n v="276.11126621732421"/>
    <n v="0"/>
    <n v="369.23369999999994"/>
    <n v="366.58181999999999"/>
    <n v="0"/>
    <n v="509.60846516171466"/>
    <n v="373.57854319203966"/>
  </r>
  <r>
    <s v="Regular"/>
    <x v="2"/>
    <x v="4"/>
    <x v="3"/>
    <x v="8"/>
    <x v="2"/>
    <x v="0"/>
    <x v="2"/>
    <x v="9"/>
    <n v="0"/>
    <n v="0"/>
    <n v="0.246"/>
    <n v="0.246"/>
    <n v="0.246"/>
    <n v="0.246"/>
    <n v="0"/>
    <x v="0"/>
    <n v="0"/>
    <n v="0"/>
    <n v="37"/>
    <n v="74"/>
    <n v="0"/>
    <n v="272.89999999999998"/>
    <n v="270.94"/>
    <m/>
    <n v="376.65075030429762"/>
    <n v="276.11126621732421"/>
    <n v="0"/>
    <n v="67.133399999999995"/>
    <n v="66.651240000000001"/>
    <n v="0"/>
    <n v="92.656084574857218"/>
    <n v="67.923371489461758"/>
  </r>
  <r>
    <s v="Regular"/>
    <x v="2"/>
    <x v="4"/>
    <x v="3"/>
    <x v="8"/>
    <x v="2"/>
    <x v="0"/>
    <x v="2"/>
    <x v="10"/>
    <n v="0"/>
    <n v="0"/>
    <n v="0.20499999999999999"/>
    <n v="0.20499999999999999"/>
    <n v="0.20499999999999999"/>
    <n v="0.20499999999999999"/>
    <n v="0"/>
    <x v="0"/>
    <n v="0"/>
    <n v="0"/>
    <n v="37"/>
    <n v="74"/>
    <n v="0"/>
    <n v="272.89999999999998"/>
    <n v="270.94"/>
    <m/>
    <n v="376.65075030429762"/>
    <n v="276.11126621732421"/>
    <n v="0"/>
    <n v="55.944499999999991"/>
    <n v="55.542699999999996"/>
    <n v="0"/>
    <n v="77.213403812381003"/>
    <n v="56.602809574551458"/>
  </r>
  <r>
    <s v="PROJETADO"/>
    <x v="2"/>
    <x v="4"/>
    <x v="3"/>
    <x v="8"/>
    <x v="2"/>
    <x v="0"/>
    <x v="2"/>
    <x v="11"/>
    <n v="0"/>
    <n v="0"/>
    <n v="0.20499999999999999"/>
    <n v="0.20499999999999999"/>
    <n v="0.20499999999999999"/>
    <n v="0.20499999999999999"/>
    <n v="0"/>
    <x v="0"/>
    <n v="0"/>
    <n v="0"/>
    <n v="37"/>
    <n v="74"/>
    <n v="0"/>
    <n v="272.89999999999998"/>
    <n v="270.94"/>
    <m/>
    <n v="376.65075030429762"/>
    <n v="276.11126621732421"/>
    <n v="0"/>
    <n v="55.944499999999991"/>
    <n v="55.542699999999996"/>
    <n v="0"/>
    <n v="77.213403812381003"/>
    <n v="56.602809574551458"/>
  </r>
  <r>
    <s v="Regular"/>
    <x v="2"/>
    <x v="4"/>
    <x v="3"/>
    <x v="8"/>
    <x v="3"/>
    <x v="0"/>
    <x v="2"/>
    <x v="0"/>
    <n v="0"/>
    <n v="0"/>
    <n v="3.403"/>
    <n v="0.91881000000000002"/>
    <n v="3.403"/>
    <n v="0.91881000000000002"/>
    <n v="0"/>
    <x v="0"/>
    <n v="0"/>
    <n v="0"/>
    <n v="37"/>
    <n v="74"/>
    <n v="0"/>
    <n v="272.89999999999998"/>
    <n v="270.94"/>
    <m/>
    <n v="421.49012534052349"/>
    <n v="308.98165505271993"/>
    <n v="0"/>
    <n v="250.74324899999999"/>
    <n v="248.94238139999999"/>
    <n v="0"/>
    <n v="387.26934206412642"/>
    <n v="283.89543447898961"/>
  </r>
  <r>
    <s v="Regular"/>
    <x v="2"/>
    <x v="4"/>
    <x v="3"/>
    <x v="8"/>
    <x v="3"/>
    <x v="0"/>
    <x v="2"/>
    <x v="1"/>
    <n v="0"/>
    <n v="0"/>
    <n v="4.4690000000000003"/>
    <n v="1.2066300000000001"/>
    <n v="4.4690000000000003"/>
    <n v="1.2066300000000001"/>
    <n v="0"/>
    <x v="0"/>
    <n v="0"/>
    <n v="0"/>
    <n v="37"/>
    <n v="74"/>
    <n v="0"/>
    <n v="272.89999999999998"/>
    <n v="270.94"/>
    <m/>
    <n v="421.49012534052349"/>
    <n v="308.98165505271993"/>
    <n v="0"/>
    <n v="329.28932700000001"/>
    <n v="326.92433220000004"/>
    <n v="0"/>
    <n v="508.58262993963592"/>
    <n v="372.8265344362635"/>
  </r>
  <r>
    <s v="Regular"/>
    <x v="2"/>
    <x v="4"/>
    <x v="3"/>
    <x v="8"/>
    <x v="3"/>
    <x v="0"/>
    <x v="2"/>
    <x v="2"/>
    <n v="0"/>
    <n v="0"/>
    <n v="4.1000000000000002E-2"/>
    <n v="1.107E-2"/>
    <n v="4.1000000000000002E-2"/>
    <n v="1.107E-2"/>
    <n v="0"/>
    <x v="0"/>
    <n v="0"/>
    <n v="0"/>
    <n v="37"/>
    <n v="74"/>
    <n v="0"/>
    <n v="272.89999999999998"/>
    <n v="270.94"/>
    <m/>
    <n v="421.49012534052349"/>
    <n v="308.98165505271993"/>
    <n v="0"/>
    <n v="3.0210029999999999"/>
    <n v="2.9993058000000001"/>
    <n v="0"/>
    <n v="4.6658956875195949"/>
    <n v="3.4204269214336098"/>
  </r>
  <r>
    <s v="Regular"/>
    <x v="2"/>
    <x v="4"/>
    <x v="3"/>
    <x v="8"/>
    <x v="3"/>
    <x v="0"/>
    <x v="2"/>
    <x v="3"/>
    <n v="0"/>
    <n v="0"/>
    <n v="0.73799999999999999"/>
    <n v="0.19925999999999999"/>
    <n v="0.73799999999999999"/>
    <n v="0.19925999999999999"/>
    <n v="0"/>
    <x v="0"/>
    <n v="0"/>
    <n v="0"/>
    <n v="37"/>
    <n v="74"/>
    <n v="0"/>
    <n v="272.89999999999998"/>
    <n v="270.94"/>
    <m/>
    <n v="421.49012534052349"/>
    <n v="308.98165505271993"/>
    <n v="0"/>
    <n v="54.378053999999992"/>
    <n v="53.987504399999999"/>
    <n v="0"/>
    <n v="83.986122375352707"/>
    <n v="61.567684585804969"/>
  </r>
  <r>
    <s v="Regular"/>
    <x v="2"/>
    <x v="4"/>
    <x v="3"/>
    <x v="8"/>
    <x v="3"/>
    <x v="0"/>
    <x v="2"/>
    <x v="4"/>
    <n v="0"/>
    <n v="0"/>
    <n v="1.3939999999999999"/>
    <n v="0.37637999999999999"/>
    <n v="1.3939999999999999"/>
    <n v="0.37637999999999999"/>
    <n v="0"/>
    <x v="0"/>
    <n v="0"/>
    <n v="0"/>
    <n v="37"/>
    <n v="74"/>
    <n v="0"/>
    <n v="272.89999999999998"/>
    <n v="270.94"/>
    <m/>
    <n v="421.49012534052349"/>
    <n v="308.98165505271993"/>
    <n v="0"/>
    <n v="102.71410199999998"/>
    <n v="101.97639719999999"/>
    <n v="0"/>
    <n v="158.64045337566623"/>
    <n v="116.29451532874272"/>
  </r>
  <r>
    <s v="Regular"/>
    <x v="2"/>
    <x v="4"/>
    <x v="3"/>
    <x v="8"/>
    <x v="3"/>
    <x v="0"/>
    <x v="2"/>
    <x v="5"/>
    <n v="0"/>
    <n v="0"/>
    <n v="2.2050000000000001"/>
    <n v="0.59535000000000005"/>
    <n v="2.2050000000000001"/>
    <n v="0.59535000000000005"/>
    <n v="0"/>
    <x v="0"/>
    <n v="0"/>
    <n v="0"/>
    <n v="37"/>
    <n v="74"/>
    <n v="0"/>
    <n v="272.89999999999998"/>
    <n v="270.94"/>
    <m/>
    <n v="421.49012534052349"/>
    <n v="308.98165505271993"/>
    <n v="0"/>
    <n v="162.47101499999999"/>
    <n v="161.30412900000002"/>
    <n v="0"/>
    <n v="250.93414612148067"/>
    <n v="183.95222833563682"/>
  </r>
  <r>
    <s v="Regular"/>
    <x v="2"/>
    <x v="4"/>
    <x v="3"/>
    <x v="8"/>
    <x v="3"/>
    <x v="0"/>
    <x v="2"/>
    <x v="6"/>
    <n v="0"/>
    <n v="0"/>
    <n v="0.58399999999999996"/>
    <n v="0.2336"/>
    <n v="0.58399999999999996"/>
    <n v="0.2336"/>
    <n v="0"/>
    <x v="0"/>
    <n v="0"/>
    <n v="0"/>
    <n v="37"/>
    <n v="74"/>
    <n v="0"/>
    <n v="272.89999999999998"/>
    <n v="270.94"/>
    <m/>
    <n v="421.49012534052349"/>
    <n v="308.98165505271993"/>
    <n v="0"/>
    <n v="63.749439999999993"/>
    <n v="63.291584"/>
    <n v="0"/>
    <n v="98.460093279546285"/>
    <n v="72.17811462031537"/>
  </r>
  <r>
    <s v="Regular"/>
    <x v="2"/>
    <x v="4"/>
    <x v="3"/>
    <x v="8"/>
    <x v="3"/>
    <x v="0"/>
    <x v="2"/>
    <x v="7"/>
    <n v="0"/>
    <n v="0"/>
    <n v="2.5009999999999999"/>
    <n v="0.67527000000000004"/>
    <n v="2.5009999999999999"/>
    <n v="0.67527000000000004"/>
    <n v="0"/>
    <x v="0"/>
    <n v="0"/>
    <n v="0"/>
    <n v="37"/>
    <n v="74"/>
    <n v="0"/>
    <n v="272.89999999999998"/>
    <n v="270.94"/>
    <m/>
    <n v="421.49012534052349"/>
    <n v="308.98165505271993"/>
    <n v="0"/>
    <n v="184.281183"/>
    <n v="182.9576538"/>
    <n v="0"/>
    <n v="284.61963693869529"/>
    <n v="208.64604220745019"/>
  </r>
  <r>
    <s v="Regular"/>
    <x v="2"/>
    <x v="4"/>
    <x v="3"/>
    <x v="8"/>
    <x v="3"/>
    <x v="0"/>
    <x v="2"/>
    <x v="8"/>
    <n v="0"/>
    <n v="0"/>
    <n v="3.3210000000000002"/>
    <n v="0.89666999999999997"/>
    <n v="3.3210000000000002"/>
    <n v="0.89666999999999997"/>
    <n v="0"/>
    <x v="0"/>
    <n v="0"/>
    <n v="0"/>
    <n v="37"/>
    <n v="74"/>
    <n v="0"/>
    <n v="272.89999999999998"/>
    <n v="270.94"/>
    <m/>
    <n v="421.49012534052349"/>
    <n v="308.98165505271993"/>
    <n v="0"/>
    <n v="244.70124299999998"/>
    <n v="242.94376979999998"/>
    <n v="0"/>
    <n v="377.93755068908717"/>
    <n v="277.05458063612235"/>
  </r>
  <r>
    <s v="Regular"/>
    <x v="2"/>
    <x v="4"/>
    <x v="3"/>
    <x v="8"/>
    <x v="3"/>
    <x v="0"/>
    <x v="2"/>
    <x v="9"/>
    <n v="0"/>
    <n v="0"/>
    <n v="0.73799999999999999"/>
    <n v="0.19925999999999999"/>
    <n v="0.73799999999999999"/>
    <n v="0.19925999999999999"/>
    <n v="0"/>
    <x v="0"/>
    <n v="0"/>
    <n v="0"/>
    <n v="37"/>
    <n v="74"/>
    <n v="0"/>
    <n v="272.89999999999998"/>
    <n v="270.94"/>
    <m/>
    <n v="421.49012534052349"/>
    <n v="308.98165505271993"/>
    <n v="0"/>
    <n v="54.378053999999992"/>
    <n v="53.987504399999999"/>
    <n v="0"/>
    <n v="83.986122375352707"/>
    <n v="61.567684585804969"/>
  </r>
  <r>
    <s v="Regular"/>
    <x v="2"/>
    <x v="4"/>
    <x v="3"/>
    <x v="8"/>
    <x v="3"/>
    <x v="0"/>
    <x v="2"/>
    <x v="10"/>
    <n v="0"/>
    <n v="0"/>
    <n v="0.65600000000000003"/>
    <n v="0.17712"/>
    <n v="0.65600000000000003"/>
    <n v="0.17712"/>
    <n v="0"/>
    <x v="0"/>
    <n v="0"/>
    <n v="0"/>
    <n v="37"/>
    <n v="74"/>
    <n v="0"/>
    <n v="272.89999999999998"/>
    <n v="270.94"/>
    <m/>
    <n v="421.49012534052349"/>
    <n v="308.98165505271993"/>
    <n v="0"/>
    <n v="48.336047999999998"/>
    <n v="47.988892800000002"/>
    <n v="0"/>
    <n v="74.654331000313519"/>
    <n v="54.726830742937757"/>
  </r>
  <r>
    <s v="PROJETADO"/>
    <x v="2"/>
    <x v="4"/>
    <x v="3"/>
    <x v="8"/>
    <x v="3"/>
    <x v="0"/>
    <x v="2"/>
    <x v="11"/>
    <n v="0"/>
    <n v="0"/>
    <n v="0.65600000000000003"/>
    <n v="0.17712"/>
    <n v="0.65600000000000003"/>
    <n v="0.17712"/>
    <n v="0"/>
    <x v="0"/>
    <n v="0"/>
    <n v="0"/>
    <n v="37"/>
    <n v="74"/>
    <n v="0"/>
    <n v="272.89999999999998"/>
    <n v="270.94"/>
    <m/>
    <n v="421.49012534052349"/>
    <n v="308.98165505271993"/>
    <n v="0"/>
    <n v="48.336047999999998"/>
    <n v="47.988892800000002"/>
    <n v="0"/>
    <n v="74.654331000313519"/>
    <n v="54.726830742937757"/>
  </r>
  <r>
    <s v="Regular"/>
    <x v="3"/>
    <x v="3"/>
    <x v="0"/>
    <x v="0"/>
    <x v="0"/>
    <x v="0"/>
    <x v="0"/>
    <x v="0"/>
    <n v="0"/>
    <n v="0"/>
    <n v="56.54"/>
    <n v="56.54"/>
    <n v="56.54"/>
    <n v="56.54"/>
    <n v="0"/>
    <x v="0"/>
    <n v="0"/>
    <n v="0"/>
    <n v="43"/>
    <n v="80"/>
    <n v="0"/>
    <n v="259.20999999999998"/>
    <n v="307.08"/>
    <m/>
    <n v="373.94126596677751"/>
    <n v="313.20976164142951"/>
    <n v="0"/>
    <n v="14655.733399999999"/>
    <n v="17362.303199999998"/>
    <n v="0"/>
    <n v="21142.639177761601"/>
    <n v="17708.879923206423"/>
  </r>
  <r>
    <s v="Sistema de Compensação"/>
    <x v="3"/>
    <x v="3"/>
    <x v="0"/>
    <x v="0"/>
    <x v="0"/>
    <x v="0"/>
    <x v="0"/>
    <x v="0"/>
    <n v="0"/>
    <n v="0"/>
    <n v="4.7389999999999999"/>
    <n v="4.7389999999999999"/>
    <n v="4.7389999999999999"/>
    <n v="4.7389999999999999"/>
    <n v="0"/>
    <x v="0"/>
    <n v="0"/>
    <n v="0"/>
    <n v="43"/>
    <n v="80"/>
    <n v="0"/>
    <n v="259.20999999999998"/>
    <n v="307.08"/>
    <m/>
    <n v="373.94126596677751"/>
    <n v="313.20976164142951"/>
    <n v="0"/>
    <n v="1228.3961899999999"/>
    <n v="1455.2521199999999"/>
    <n v="0"/>
    <n v="1772.1076594165586"/>
    <n v="1484.3010604187343"/>
  </r>
  <r>
    <s v="Regular"/>
    <x v="3"/>
    <x v="3"/>
    <x v="0"/>
    <x v="0"/>
    <x v="0"/>
    <x v="0"/>
    <x v="0"/>
    <x v="1"/>
    <n v="0"/>
    <n v="0"/>
    <n v="66.213999999999999"/>
    <n v="66.213999999999999"/>
    <n v="66.213999999999999"/>
    <n v="66.213999999999999"/>
    <n v="0"/>
    <x v="0"/>
    <n v="0"/>
    <n v="0"/>
    <n v="43"/>
    <n v="80"/>
    <n v="0"/>
    <n v="259.20999999999998"/>
    <n v="307.08"/>
    <m/>
    <n v="373.94126596677751"/>
    <n v="313.20976164142951"/>
    <n v="0"/>
    <n v="17163.33094"/>
    <n v="20332.99512"/>
    <n v="0"/>
    <n v="24760.146984724204"/>
    <n v="20738.871157325611"/>
  </r>
  <r>
    <s v="Sistema de Compensação"/>
    <x v="3"/>
    <x v="3"/>
    <x v="0"/>
    <x v="0"/>
    <x v="0"/>
    <x v="0"/>
    <x v="0"/>
    <x v="1"/>
    <n v="0"/>
    <n v="0"/>
    <n v="4.109"/>
    <n v="4.109"/>
    <n v="4.109"/>
    <n v="4.109"/>
    <n v="0"/>
    <x v="0"/>
    <n v="0"/>
    <n v="0"/>
    <n v="43"/>
    <n v="80"/>
    <n v="0"/>
    <n v="259.20999999999998"/>
    <n v="307.08"/>
    <m/>
    <n v="373.94126596677751"/>
    <n v="313.20976164142951"/>
    <n v="0"/>
    <n v="1065.0938899999999"/>
    <n v="1261.7917199999999"/>
    <n v="0"/>
    <n v="1536.5246618574888"/>
    <n v="1286.9789105846339"/>
  </r>
  <r>
    <s v="Regular"/>
    <x v="3"/>
    <x v="3"/>
    <x v="0"/>
    <x v="0"/>
    <x v="0"/>
    <x v="0"/>
    <x v="0"/>
    <x v="2"/>
    <n v="0"/>
    <n v="0"/>
    <n v="64.161000000000001"/>
    <n v="64.161000000000001"/>
    <n v="64.161000000000001"/>
    <n v="64.161000000000001"/>
    <n v="0"/>
    <x v="0"/>
    <n v="0"/>
    <n v="0"/>
    <n v="43"/>
    <n v="80"/>
    <n v="0"/>
    <n v="259.20999999999998"/>
    <n v="307.08"/>
    <m/>
    <n v="373.94126596677751"/>
    <n v="313.20976164142951"/>
    <n v="0"/>
    <n v="16631.17281"/>
    <n v="19702.559880000001"/>
    <n v="0"/>
    <n v="23992.445565694412"/>
    <n v="20095.851516675761"/>
  </r>
  <r>
    <s v="Sistema de Compensação"/>
    <x v="3"/>
    <x v="3"/>
    <x v="0"/>
    <x v="0"/>
    <x v="0"/>
    <x v="0"/>
    <x v="0"/>
    <x v="2"/>
    <n v="0"/>
    <n v="0"/>
    <n v="3.621"/>
    <n v="3.621"/>
    <n v="3.621"/>
    <n v="3.621"/>
    <n v="0"/>
    <x v="0"/>
    <n v="0"/>
    <n v="0"/>
    <n v="43"/>
    <n v="80"/>
    <n v="0"/>
    <n v="259.20999999999998"/>
    <n v="307.08"/>
    <m/>
    <n v="373.94126596677751"/>
    <n v="313.20976164142951"/>
    <n v="0"/>
    <n v="938.59940999999992"/>
    <n v="1111.93668"/>
    <n v="0"/>
    <n v="1354.0413240657012"/>
    <n v="1134.1325469036162"/>
  </r>
  <r>
    <s v="Regular"/>
    <x v="3"/>
    <x v="3"/>
    <x v="0"/>
    <x v="0"/>
    <x v="0"/>
    <x v="0"/>
    <x v="0"/>
    <x v="3"/>
    <n v="0"/>
    <n v="0"/>
    <n v="79.045000000000002"/>
    <n v="79.045000000000002"/>
    <n v="79.045000000000002"/>
    <n v="79.045000000000002"/>
    <n v="0"/>
    <x v="0"/>
    <n v="0"/>
    <n v="0"/>
    <n v="43"/>
    <n v="80"/>
    <n v="0"/>
    <n v="259.20999999999998"/>
    <n v="307.08"/>
    <m/>
    <n v="373.94126596677751"/>
    <n v="313.20976164142951"/>
    <n v="0"/>
    <n v="20489.25445"/>
    <n v="24273.138599999998"/>
    <n v="0"/>
    <n v="29558.18736834393"/>
    <n v="24757.665608946798"/>
  </r>
  <r>
    <s v="Sistema de Compensação"/>
    <x v="3"/>
    <x v="3"/>
    <x v="0"/>
    <x v="0"/>
    <x v="0"/>
    <x v="0"/>
    <x v="0"/>
    <x v="3"/>
    <n v="0"/>
    <n v="0"/>
    <n v="3.218"/>
    <n v="3.218"/>
    <n v="3.218"/>
    <n v="3.218"/>
    <n v="0"/>
    <x v="0"/>
    <n v="0"/>
    <n v="0"/>
    <n v="43"/>
    <n v="80"/>
    <n v="0"/>
    <n v="259.20999999999998"/>
    <n v="307.08"/>
    <m/>
    <n v="373.94126596677751"/>
    <n v="313.20976164142951"/>
    <n v="0"/>
    <n v="834.13777999999991"/>
    <n v="988.18343999999991"/>
    <n v="0"/>
    <n v="1203.34299388109"/>
    <n v="1007.9090129621202"/>
  </r>
  <r>
    <s v="Regular"/>
    <x v="3"/>
    <x v="3"/>
    <x v="0"/>
    <x v="0"/>
    <x v="0"/>
    <x v="0"/>
    <x v="0"/>
    <x v="4"/>
    <n v="0"/>
    <n v="0"/>
    <n v="75.718999999999994"/>
    <n v="75.718999999999994"/>
    <n v="75.718999999999994"/>
    <n v="75.718999999999994"/>
    <n v="0"/>
    <x v="0"/>
    <n v="0"/>
    <n v="0"/>
    <n v="43"/>
    <n v="80"/>
    <n v="0"/>
    <n v="259.20999999999998"/>
    <n v="307.08"/>
    <m/>
    <n v="373.94126596677751"/>
    <n v="313.20976164142951"/>
    <n v="0"/>
    <n v="19627.121989999996"/>
    <n v="23251.790519999999"/>
    <n v="0"/>
    <n v="28314.458717738424"/>
    <n v="23715.929941727398"/>
  </r>
  <r>
    <s v="Refaturamento - Regular"/>
    <x v="3"/>
    <x v="3"/>
    <x v="0"/>
    <x v="0"/>
    <x v="0"/>
    <x v="0"/>
    <x v="0"/>
    <x v="4"/>
    <n v="0"/>
    <n v="0"/>
    <n v="-6"/>
    <n v="-6"/>
    <n v="-6"/>
    <n v="-6"/>
    <n v="0"/>
    <x v="0"/>
    <n v="0"/>
    <n v="0"/>
    <n v="43"/>
    <n v="80"/>
    <n v="0"/>
    <n v="259.20999999999998"/>
    <n v="307.08"/>
    <m/>
    <n v="373.94126596677751"/>
    <n v="313.20976164142951"/>
    <n v="0"/>
    <n v="-1555.2599999999998"/>
    <n v="-1842.48"/>
    <n v="0"/>
    <n v="-2243.6475958006649"/>
    <n v="-1879.2585698485771"/>
  </r>
  <r>
    <s v="Sistema de Compensação"/>
    <x v="3"/>
    <x v="3"/>
    <x v="0"/>
    <x v="0"/>
    <x v="0"/>
    <x v="0"/>
    <x v="0"/>
    <x v="4"/>
    <n v="0"/>
    <n v="0"/>
    <n v="0.57799999999999996"/>
    <n v="0.57799999999999996"/>
    <n v="0.57799999999999996"/>
    <n v="0.57799999999999996"/>
    <n v="0"/>
    <x v="0"/>
    <n v="0"/>
    <n v="0"/>
    <n v="43"/>
    <n v="80"/>
    <n v="0"/>
    <n v="259.20999999999998"/>
    <n v="307.08"/>
    <m/>
    <n v="373.94126596677751"/>
    <n v="313.20976164142951"/>
    <n v="0"/>
    <n v="149.82337999999999"/>
    <n v="177.49223999999998"/>
    <n v="0"/>
    <n v="216.13805172879739"/>
    <n v="181.03524222874626"/>
  </r>
  <r>
    <s v="Regular"/>
    <x v="3"/>
    <x v="3"/>
    <x v="0"/>
    <x v="0"/>
    <x v="0"/>
    <x v="0"/>
    <x v="0"/>
    <x v="5"/>
    <n v="0"/>
    <n v="0"/>
    <n v="84.117000000000004"/>
    <n v="84.117000000000004"/>
    <n v="84.117000000000004"/>
    <n v="84.117000000000004"/>
    <n v="0"/>
    <x v="0"/>
    <n v="0"/>
    <n v="0"/>
    <n v="43"/>
    <n v="80"/>
    <n v="0"/>
    <n v="259.20999999999998"/>
    <n v="307.08"/>
    <m/>
    <n v="373.94126596677751"/>
    <n v="313.20976164142951"/>
    <n v="0"/>
    <n v="21803.967570000001"/>
    <n v="25830.648359999999"/>
    <n v="0"/>
    <n v="31454.817469327427"/>
    <n v="26346.265519992128"/>
  </r>
  <r>
    <s v="Sistema de Compensação"/>
    <x v="3"/>
    <x v="3"/>
    <x v="0"/>
    <x v="0"/>
    <x v="0"/>
    <x v="0"/>
    <x v="0"/>
    <x v="5"/>
    <n v="0"/>
    <n v="0"/>
    <n v="2.6680000000000001"/>
    <n v="2.6680000000000001"/>
    <n v="2.6680000000000001"/>
    <n v="2.6680000000000001"/>
    <n v="0"/>
    <x v="0"/>
    <n v="0"/>
    <n v="0"/>
    <n v="43"/>
    <n v="80"/>
    <n v="0"/>
    <n v="259.20999999999998"/>
    <n v="307.08"/>
    <m/>
    <n v="373.94126596677751"/>
    <n v="313.20976164142951"/>
    <n v="0"/>
    <n v="691.57227999999998"/>
    <n v="819.28944000000001"/>
    <n v="0"/>
    <n v="997.67529759936247"/>
    <n v="835.64364405933395"/>
  </r>
  <r>
    <s v="Regular"/>
    <x v="3"/>
    <x v="3"/>
    <x v="0"/>
    <x v="0"/>
    <x v="0"/>
    <x v="0"/>
    <x v="0"/>
    <x v="6"/>
    <n v="0"/>
    <n v="0"/>
    <n v="81.427000000000007"/>
    <n v="81.427000000000007"/>
    <n v="81.427000000000007"/>
    <n v="81.427000000000007"/>
    <n v="0"/>
    <x v="0"/>
    <n v="0"/>
    <n v="0"/>
    <n v="43"/>
    <n v="80"/>
    <n v="0"/>
    <n v="259.20999999999998"/>
    <n v="307.08"/>
    <m/>
    <n v="373.94126596677751"/>
    <n v="313.20976164142951"/>
    <n v="0"/>
    <n v="21106.69267"/>
    <n v="25004.603160000002"/>
    <n v="0"/>
    <n v="30448.915463876794"/>
    <n v="25503.731261176683"/>
  </r>
  <r>
    <s v="Sistema de Compensação"/>
    <x v="3"/>
    <x v="3"/>
    <x v="0"/>
    <x v="0"/>
    <x v="0"/>
    <x v="0"/>
    <x v="0"/>
    <x v="6"/>
    <n v="0"/>
    <n v="0"/>
    <n v="2.2469999999999999"/>
    <n v="2.2469999999999999"/>
    <n v="2.2469999999999999"/>
    <n v="2.2469999999999999"/>
    <n v="0"/>
    <x v="0"/>
    <n v="0"/>
    <n v="0"/>
    <n v="43"/>
    <n v="80"/>
    <n v="0"/>
    <n v="259.20999999999998"/>
    <n v="307.08"/>
    <m/>
    <n v="373.94126596677751"/>
    <n v="313.20976164142951"/>
    <n v="0"/>
    <n v="582.44486999999992"/>
    <n v="690.00875999999994"/>
    <n v="0"/>
    <n v="840.24602462734902"/>
    <n v="703.78233440829206"/>
  </r>
  <r>
    <s v="Regular"/>
    <x v="3"/>
    <x v="3"/>
    <x v="0"/>
    <x v="0"/>
    <x v="0"/>
    <x v="0"/>
    <x v="0"/>
    <x v="7"/>
    <n v="0"/>
    <n v="0"/>
    <n v="84.117999999999995"/>
    <n v="84.117999999999995"/>
    <n v="84.117999999999995"/>
    <n v="84.117999999999995"/>
    <n v="0"/>
    <x v="0"/>
    <n v="0"/>
    <n v="0"/>
    <n v="43"/>
    <n v="80"/>
    <n v="0"/>
    <n v="259.20999999999998"/>
    <n v="307.08"/>
    <m/>
    <n v="373.94126596677751"/>
    <n v="313.20976164142951"/>
    <n v="0"/>
    <n v="21804.226779999997"/>
    <n v="25830.955439999998"/>
    <n v="0"/>
    <n v="31455.19141059339"/>
    <n v="26346.578729753764"/>
  </r>
  <r>
    <s v="Sistema de Compensação"/>
    <x v="3"/>
    <x v="3"/>
    <x v="0"/>
    <x v="0"/>
    <x v="0"/>
    <x v="0"/>
    <x v="0"/>
    <x v="7"/>
    <n v="0"/>
    <n v="0"/>
    <n v="1.849"/>
    <n v="1.849"/>
    <n v="1.849"/>
    <n v="1.849"/>
    <n v="0"/>
    <x v="0"/>
    <n v="0"/>
    <n v="0"/>
    <n v="43"/>
    <n v="80"/>
    <n v="0"/>
    <n v="259.20999999999998"/>
    <n v="307.08"/>
    <m/>
    <n v="373.94126596677751"/>
    <n v="313.20976164142951"/>
    <n v="0"/>
    <n v="479.27928999999995"/>
    <n v="567.79091999999991"/>
    <n v="0"/>
    <n v="691.41740077257157"/>
    <n v="579.12484927500316"/>
  </r>
  <r>
    <s v="Regular"/>
    <x v="3"/>
    <x v="3"/>
    <x v="0"/>
    <x v="0"/>
    <x v="0"/>
    <x v="0"/>
    <x v="0"/>
    <x v="8"/>
    <n v="0"/>
    <n v="0"/>
    <n v="69.53"/>
    <n v="69.53"/>
    <n v="69.53"/>
    <n v="69.53"/>
    <n v="0"/>
    <x v="0"/>
    <n v="0"/>
    <n v="0"/>
    <n v="43"/>
    <n v="80"/>
    <n v="0"/>
    <n v="259.20999999999998"/>
    <n v="307.08"/>
    <m/>
    <n v="373.94126596677751"/>
    <n v="313.20976164142951"/>
    <n v="0"/>
    <n v="18022.871299999999"/>
    <n v="21351.272399999998"/>
    <n v="0"/>
    <n v="26000.13622267004"/>
    <n v="21777.474726928594"/>
  </r>
  <r>
    <s v="Sistema de Compensação"/>
    <x v="3"/>
    <x v="3"/>
    <x v="0"/>
    <x v="0"/>
    <x v="0"/>
    <x v="0"/>
    <x v="0"/>
    <x v="8"/>
    <n v="0"/>
    <n v="0"/>
    <n v="3.597"/>
    <n v="3.597"/>
    <n v="3.597"/>
    <n v="3.597"/>
    <n v="0"/>
    <x v="0"/>
    <n v="0"/>
    <n v="0"/>
    <n v="43"/>
    <n v="80"/>
    <n v="0"/>
    <n v="259.20999999999998"/>
    <n v="307.08"/>
    <m/>
    <n v="373.94126596677751"/>
    <n v="313.20976164142951"/>
    <n v="0"/>
    <n v="932.3783699999999"/>
    <n v="1104.5667599999999"/>
    <n v="0"/>
    <n v="1345.0667336824986"/>
    <n v="1126.615512624222"/>
  </r>
  <r>
    <s v="Regular"/>
    <x v="3"/>
    <x v="3"/>
    <x v="0"/>
    <x v="0"/>
    <x v="0"/>
    <x v="0"/>
    <x v="0"/>
    <x v="9"/>
    <n v="0"/>
    <n v="0"/>
    <n v="50.558"/>
    <n v="50.558"/>
    <n v="50.558"/>
    <n v="50.558"/>
    <n v="0"/>
    <x v="0"/>
    <n v="0"/>
    <n v="0"/>
    <n v="43"/>
    <n v="80"/>
    <n v="0"/>
    <n v="259.20999999999998"/>
    <n v="307.08"/>
    <m/>
    <n v="373.94126596677751"/>
    <n v="313.20976164142951"/>
    <n v="0"/>
    <n v="13105.139179999998"/>
    <n v="15525.350639999999"/>
    <n v="0"/>
    <n v="18905.722524748337"/>
    <n v="15835.259129067394"/>
  </r>
  <r>
    <s v="Sistema de Compensação"/>
    <x v="3"/>
    <x v="3"/>
    <x v="0"/>
    <x v="0"/>
    <x v="0"/>
    <x v="0"/>
    <x v="0"/>
    <x v="9"/>
    <n v="0"/>
    <n v="0"/>
    <n v="3.012"/>
    <n v="3.012"/>
    <n v="3.012"/>
    <n v="3.012"/>
    <n v="0"/>
    <x v="0"/>
    <n v="0"/>
    <n v="0"/>
    <n v="43"/>
    <n v="80"/>
    <n v="0"/>
    <n v="259.20999999999998"/>
    <n v="307.08"/>
    <m/>
    <n v="373.94126596677751"/>
    <n v="313.20976164142951"/>
    <n v="0"/>
    <n v="780.74051999999995"/>
    <n v="924.92495999999994"/>
    <n v="0"/>
    <n v="1126.3110930919338"/>
    <n v="943.38780206398565"/>
  </r>
  <r>
    <s v="Regular"/>
    <x v="3"/>
    <x v="3"/>
    <x v="0"/>
    <x v="0"/>
    <x v="0"/>
    <x v="0"/>
    <x v="0"/>
    <x v="10"/>
    <n v="0"/>
    <n v="0"/>
    <n v="41.808"/>
    <n v="41.808"/>
    <n v="41.808"/>
    <n v="41.808"/>
    <n v="0"/>
    <x v="0"/>
    <n v="0"/>
    <n v="0"/>
    <n v="43"/>
    <n v="80"/>
    <n v="0"/>
    <n v="259.20999999999998"/>
    <n v="307.08"/>
    <m/>
    <n v="373.94126596677751"/>
    <n v="313.20976164142951"/>
    <n v="0"/>
    <n v="10837.051679999999"/>
    <n v="12838.40064"/>
    <n v="0"/>
    <n v="15633.736447539033"/>
    <n v="13094.673714704884"/>
  </r>
  <r>
    <s v="Sistema de Compensação"/>
    <x v="3"/>
    <x v="3"/>
    <x v="0"/>
    <x v="0"/>
    <x v="0"/>
    <x v="0"/>
    <x v="0"/>
    <x v="10"/>
    <n v="0"/>
    <n v="0"/>
    <n v="7.38"/>
    <n v="7.38"/>
    <n v="7.38"/>
    <n v="7.38"/>
    <n v="0"/>
    <x v="0"/>
    <n v="0"/>
    <n v="0"/>
    <n v="43"/>
    <n v="80"/>
    <n v="0"/>
    <n v="259.20999999999998"/>
    <n v="307.08"/>
    <m/>
    <n v="373.94126596677751"/>
    <n v="313.20976164142951"/>
    <n v="0"/>
    <n v="1912.9697999999999"/>
    <n v="2266.2503999999999"/>
    <n v="0"/>
    <n v="2759.6865428348178"/>
    <n v="2311.48804091375"/>
  </r>
  <r>
    <s v="PROJETADO"/>
    <x v="3"/>
    <x v="3"/>
    <x v="0"/>
    <x v="0"/>
    <x v="0"/>
    <x v="0"/>
    <x v="0"/>
    <x v="11"/>
    <n v="0"/>
    <n v="0"/>
    <n v="41.808"/>
    <n v="41.808"/>
    <n v="41.808"/>
    <n v="41.808"/>
    <n v="0"/>
    <x v="0"/>
    <n v="0"/>
    <n v="0"/>
    <n v="43"/>
    <n v="80"/>
    <n v="0"/>
    <n v="259.20999999999998"/>
    <n v="307.08"/>
    <m/>
    <n v="373.94126596677751"/>
    <n v="313.20976164142951"/>
    <n v="0"/>
    <n v="10837.051679999999"/>
    <n v="12838.40064"/>
    <n v="0"/>
    <n v="15633.736447539033"/>
    <n v="13094.673714704884"/>
  </r>
  <r>
    <s v="PROJETADO"/>
    <x v="3"/>
    <x v="3"/>
    <x v="0"/>
    <x v="0"/>
    <x v="0"/>
    <x v="0"/>
    <x v="0"/>
    <x v="11"/>
    <n v="0"/>
    <n v="0"/>
    <n v="7.38"/>
    <n v="7.38"/>
    <n v="7.38"/>
    <n v="7.38"/>
    <n v="0"/>
    <x v="0"/>
    <n v="0"/>
    <n v="0"/>
    <n v="43"/>
    <n v="80"/>
    <n v="0"/>
    <n v="259.20999999999998"/>
    <n v="307.08"/>
    <m/>
    <n v="373.94126596677751"/>
    <n v="313.20976164142951"/>
    <n v="0"/>
    <n v="1912.9697999999999"/>
    <n v="2266.2503999999999"/>
    <n v="0"/>
    <n v="2759.6865428348178"/>
    <n v="2311.48804091375"/>
  </r>
  <r>
    <s v="Regular"/>
    <x v="3"/>
    <x v="3"/>
    <x v="0"/>
    <x v="0"/>
    <x v="0"/>
    <x v="0"/>
    <x v="3"/>
    <x v="0"/>
    <n v="0"/>
    <n v="0"/>
    <n v="3.05"/>
    <n v="3.05"/>
    <n v="3.05"/>
    <n v="3.05"/>
    <n v="0"/>
    <x v="0"/>
    <n v="0"/>
    <n v="0"/>
    <n v="42"/>
    <n v="79"/>
    <n v="0"/>
    <n v="580.75"/>
    <n v="307.08"/>
    <m/>
    <n v="738.50149288761725"/>
    <n v="313.20976164142951"/>
    <n v="0"/>
    <n v="1771.2874999999999"/>
    <n v="936.59399999999994"/>
    <n v="0"/>
    <n v="2252.4295533072323"/>
    <n v="955.28977300635995"/>
  </r>
  <r>
    <s v="Sistema de Compensação"/>
    <x v="3"/>
    <x v="3"/>
    <x v="0"/>
    <x v="0"/>
    <x v="0"/>
    <x v="0"/>
    <x v="3"/>
    <x v="0"/>
    <n v="0"/>
    <n v="0"/>
    <n v="0.152"/>
    <n v="0.152"/>
    <n v="0.152"/>
    <n v="0.152"/>
    <n v="0"/>
    <x v="0"/>
    <n v="0"/>
    <n v="0"/>
    <n v="42"/>
    <n v="79"/>
    <n v="0"/>
    <n v="580.75"/>
    <n v="307.08"/>
    <m/>
    <n v="738.50149288761725"/>
    <n v="313.20976164142951"/>
    <n v="0"/>
    <n v="88.274000000000001"/>
    <n v="46.676159999999996"/>
    <n v="0"/>
    <n v="112.25222691891781"/>
    <n v="47.607883769497285"/>
  </r>
  <r>
    <s v="Regular"/>
    <x v="3"/>
    <x v="3"/>
    <x v="0"/>
    <x v="0"/>
    <x v="0"/>
    <x v="0"/>
    <x v="3"/>
    <x v="1"/>
    <n v="0"/>
    <n v="0"/>
    <n v="3.4049999999999998"/>
    <n v="3.4049999999999998"/>
    <n v="3.4049999999999998"/>
    <n v="3.4049999999999998"/>
    <n v="0"/>
    <x v="0"/>
    <n v="0"/>
    <n v="0"/>
    <n v="42"/>
    <n v="79"/>
    <n v="0"/>
    <n v="580.75"/>
    <n v="307.08"/>
    <m/>
    <n v="738.50149288761725"/>
    <n v="313.20976164142951"/>
    <n v="0"/>
    <n v="1977.4537499999999"/>
    <n v="1045.6073999999999"/>
    <n v="0"/>
    <n v="2514.5975832823365"/>
    <n v="1066.4792383890674"/>
  </r>
  <r>
    <s v="Sistema de Compensação"/>
    <x v="3"/>
    <x v="3"/>
    <x v="0"/>
    <x v="0"/>
    <x v="0"/>
    <x v="0"/>
    <x v="3"/>
    <x v="1"/>
    <n v="0"/>
    <n v="0"/>
    <n v="0.111"/>
    <n v="0.111"/>
    <n v="0.111"/>
    <n v="0.111"/>
    <n v="0"/>
    <x v="0"/>
    <n v="0"/>
    <n v="0"/>
    <n v="42"/>
    <n v="79"/>
    <n v="0"/>
    <n v="580.75"/>
    <n v="307.08"/>
    <m/>
    <n v="738.50149288761725"/>
    <n v="313.20976164142951"/>
    <n v="0"/>
    <n v="64.463250000000002"/>
    <n v="34.085879999999996"/>
    <n v="0"/>
    <n v="81.973665710525509"/>
    <n v="34.766283542198678"/>
  </r>
  <r>
    <s v="Regular"/>
    <x v="3"/>
    <x v="3"/>
    <x v="0"/>
    <x v="0"/>
    <x v="0"/>
    <x v="0"/>
    <x v="3"/>
    <x v="2"/>
    <n v="0"/>
    <n v="0"/>
    <n v="7.4189999999999996"/>
    <n v="7.4189999999999996"/>
    <n v="7.4189999999999996"/>
    <n v="7.4189999999999996"/>
    <n v="0"/>
    <x v="0"/>
    <n v="0"/>
    <n v="0"/>
    <n v="42"/>
    <n v="79"/>
    <n v="0"/>
    <n v="580.75"/>
    <n v="307.08"/>
    <m/>
    <n v="738.50149288761725"/>
    <n v="313.20976164142951"/>
    <n v="0"/>
    <n v="4308.5842499999999"/>
    <n v="2278.2265199999997"/>
    <n v="0"/>
    <n v="5478.9425757332319"/>
    <n v="2323.7032216177654"/>
  </r>
  <r>
    <s v="Sistema de Compensação"/>
    <x v="3"/>
    <x v="3"/>
    <x v="0"/>
    <x v="0"/>
    <x v="0"/>
    <x v="0"/>
    <x v="3"/>
    <x v="2"/>
    <n v="0"/>
    <n v="0"/>
    <n v="0.153"/>
    <n v="0.153"/>
    <n v="0.153"/>
    <n v="0.153"/>
    <n v="0"/>
    <x v="0"/>
    <n v="0"/>
    <n v="0"/>
    <n v="42"/>
    <n v="79"/>
    <n v="0"/>
    <n v="580.75"/>
    <n v="307.08"/>
    <m/>
    <n v="738.50149288761725"/>
    <n v="313.20976164142951"/>
    <n v="0"/>
    <n v="88.854749999999996"/>
    <n v="46.983239999999995"/>
    <n v="0"/>
    <n v="112.99072841180543"/>
    <n v="47.921093531138716"/>
  </r>
  <r>
    <s v="Regular"/>
    <x v="3"/>
    <x v="3"/>
    <x v="0"/>
    <x v="0"/>
    <x v="0"/>
    <x v="0"/>
    <x v="3"/>
    <x v="3"/>
    <n v="0"/>
    <n v="0"/>
    <n v="5.024"/>
    <n v="5.024"/>
    <n v="5.024"/>
    <n v="5.024"/>
    <n v="0"/>
    <x v="0"/>
    <n v="0"/>
    <n v="0"/>
    <n v="42"/>
    <n v="79"/>
    <n v="0"/>
    <n v="580.75"/>
    <n v="307.08"/>
    <m/>
    <n v="738.50149288761725"/>
    <n v="313.20976164142951"/>
    <n v="0"/>
    <n v="2917.6880000000001"/>
    <n v="1542.76992"/>
    <n v="0"/>
    <n v="3710.231500267389"/>
    <n v="1573.5658424865419"/>
  </r>
  <r>
    <s v="Refaturamento - Regular"/>
    <x v="3"/>
    <x v="3"/>
    <x v="0"/>
    <x v="0"/>
    <x v="0"/>
    <x v="0"/>
    <x v="3"/>
    <x v="3"/>
    <n v="0"/>
    <n v="0"/>
    <n v="-4.093"/>
    <n v="-4.093"/>
    <n v="-4.093"/>
    <n v="-4.093"/>
    <n v="0"/>
    <x v="0"/>
    <n v="0"/>
    <n v="0"/>
    <n v="42"/>
    <n v="79"/>
    <n v="0"/>
    <n v="580.75"/>
    <n v="307.08"/>
    <m/>
    <n v="738.50149288761725"/>
    <n v="313.20976164142951"/>
    <n v="0"/>
    <n v="-2377.0097500000002"/>
    <n v="-1256.87844"/>
    <n v="0"/>
    <n v="-3022.6866103890175"/>
    <n v="-1281.967554398371"/>
  </r>
  <r>
    <s v="Sistema de Compensação"/>
    <x v="3"/>
    <x v="3"/>
    <x v="0"/>
    <x v="0"/>
    <x v="0"/>
    <x v="0"/>
    <x v="3"/>
    <x v="3"/>
    <n v="0"/>
    <n v="0"/>
    <n v="3.4000000000000002E-2"/>
    <n v="3.4000000000000002E-2"/>
    <n v="3.4000000000000002E-2"/>
    <n v="3.4000000000000002E-2"/>
    <n v="0"/>
    <x v="0"/>
    <n v="0"/>
    <n v="0"/>
    <n v="42"/>
    <n v="79"/>
    <n v="0"/>
    <n v="580.75"/>
    <n v="307.08"/>
    <m/>
    <n v="738.50149288761725"/>
    <n v="313.20976164142951"/>
    <n v="0"/>
    <n v="19.7455"/>
    <n v="10.440720000000001"/>
    <n v="0"/>
    <n v="25.109050758178988"/>
    <n v="10.649131895808605"/>
  </r>
  <r>
    <s v="Regular"/>
    <x v="3"/>
    <x v="3"/>
    <x v="0"/>
    <x v="0"/>
    <x v="0"/>
    <x v="0"/>
    <x v="3"/>
    <x v="4"/>
    <n v="0"/>
    <n v="0"/>
    <n v="3.8839999999999999"/>
    <n v="3.8839999999999999"/>
    <n v="3.8839999999999999"/>
    <n v="3.8839999999999999"/>
    <n v="0"/>
    <x v="0"/>
    <n v="0"/>
    <n v="0"/>
    <n v="42"/>
    <n v="79"/>
    <n v="0"/>
    <n v="580.75"/>
    <n v="307.08"/>
    <m/>
    <n v="738.50149288761725"/>
    <n v="313.20976164142951"/>
    <n v="0"/>
    <n v="2255.6329999999998"/>
    <n v="1192.6987199999999"/>
    <n v="0"/>
    <n v="2868.3397983755053"/>
    <n v="1216.5067142153123"/>
  </r>
  <r>
    <s v="Sistema de Compensação"/>
    <x v="3"/>
    <x v="3"/>
    <x v="0"/>
    <x v="0"/>
    <x v="0"/>
    <x v="0"/>
    <x v="3"/>
    <x v="4"/>
    <n v="0"/>
    <n v="0"/>
    <n v="0.115"/>
    <n v="0.115"/>
    <n v="0.115"/>
    <n v="0.115"/>
    <n v="0"/>
    <x v="0"/>
    <n v="0"/>
    <n v="0"/>
    <n v="42"/>
    <n v="79"/>
    <n v="0"/>
    <n v="580.75"/>
    <n v="307.08"/>
    <m/>
    <n v="738.50149288761725"/>
    <n v="313.20976164142951"/>
    <n v="0"/>
    <n v="66.78625000000001"/>
    <n v="35.3142"/>
    <n v="0"/>
    <n v="84.927671682075982"/>
    <n v="36.019122588764397"/>
  </r>
  <r>
    <s v="Regular"/>
    <x v="3"/>
    <x v="3"/>
    <x v="0"/>
    <x v="0"/>
    <x v="0"/>
    <x v="0"/>
    <x v="3"/>
    <x v="5"/>
    <n v="0"/>
    <n v="0"/>
    <n v="5.4889999999999999"/>
    <n v="5.4889999999999999"/>
    <n v="5.4889999999999999"/>
    <n v="5.4889999999999999"/>
    <n v="0"/>
    <x v="0"/>
    <n v="0"/>
    <n v="0"/>
    <n v="42"/>
    <n v="79"/>
    <n v="0"/>
    <n v="580.75"/>
    <n v="307.08"/>
    <m/>
    <n v="738.50149288761725"/>
    <n v="313.20976164142951"/>
    <n v="0"/>
    <n v="3187.73675"/>
    <n v="1685.5621199999998"/>
    <n v="0"/>
    <n v="4053.634694460131"/>
    <n v="1719.2083816498066"/>
  </r>
  <r>
    <s v="Sistema de Compensação"/>
    <x v="3"/>
    <x v="3"/>
    <x v="0"/>
    <x v="0"/>
    <x v="0"/>
    <x v="0"/>
    <x v="3"/>
    <x v="5"/>
    <n v="0"/>
    <n v="0"/>
    <n v="0.11700000000000001"/>
    <n v="0.11700000000000001"/>
    <n v="0.11700000000000001"/>
    <n v="0.11700000000000001"/>
    <n v="0"/>
    <x v="0"/>
    <n v="0"/>
    <n v="0"/>
    <n v="42"/>
    <n v="79"/>
    <n v="0"/>
    <n v="580.75"/>
    <n v="307.08"/>
    <m/>
    <n v="738.50149288761725"/>
    <n v="313.20976164142951"/>
    <n v="0"/>
    <n v="67.947749999999999"/>
    <n v="35.928359999999998"/>
    <n v="0"/>
    <n v="86.404674667851225"/>
    <n v="36.645542112047252"/>
  </r>
  <r>
    <s v="Regular"/>
    <x v="3"/>
    <x v="3"/>
    <x v="0"/>
    <x v="0"/>
    <x v="0"/>
    <x v="0"/>
    <x v="3"/>
    <x v="6"/>
    <n v="0"/>
    <n v="0"/>
    <n v="4.4260000000000002"/>
    <n v="4.4260000000000002"/>
    <n v="4.4260000000000002"/>
    <n v="4.4260000000000002"/>
    <n v="0"/>
    <x v="0"/>
    <n v="0"/>
    <n v="0"/>
    <n v="42"/>
    <n v="79"/>
    <n v="0"/>
    <n v="580.75"/>
    <n v="307.08"/>
    <m/>
    <n v="738.50149288761725"/>
    <n v="313.20976164142951"/>
    <n v="0"/>
    <n v="2570.3995"/>
    <n v="1359.13608"/>
    <n v="0"/>
    <n v="3268.6076075205942"/>
    <n v="1386.2664050249671"/>
  </r>
  <r>
    <s v="Refaturamento - Regular"/>
    <x v="3"/>
    <x v="3"/>
    <x v="0"/>
    <x v="0"/>
    <x v="0"/>
    <x v="0"/>
    <x v="3"/>
    <x v="6"/>
    <n v="0"/>
    <n v="0"/>
    <n v="-0.96"/>
    <n v="-0.96"/>
    <n v="-0.96"/>
    <n v="-0.96"/>
    <n v="0"/>
    <x v="0"/>
    <n v="0"/>
    <n v="0"/>
    <n v="42"/>
    <n v="79"/>
    <n v="0"/>
    <n v="580.75"/>
    <n v="307.08"/>
    <m/>
    <n v="738.50149288761725"/>
    <n v="313.20976164142951"/>
    <n v="0"/>
    <n v="-557.52"/>
    <n v="-294.79679999999996"/>
    <n v="0"/>
    <n v="-708.96143317211249"/>
    <n v="-300.68137117577231"/>
  </r>
  <r>
    <s v="Sistema de Compensação"/>
    <x v="3"/>
    <x v="3"/>
    <x v="0"/>
    <x v="0"/>
    <x v="0"/>
    <x v="0"/>
    <x v="3"/>
    <x v="6"/>
    <n v="0"/>
    <n v="0"/>
    <n v="4.2000000000000003E-2"/>
    <n v="4.2000000000000003E-2"/>
    <n v="4.2000000000000003E-2"/>
    <n v="4.2000000000000003E-2"/>
    <n v="0"/>
    <x v="0"/>
    <n v="0"/>
    <n v="0"/>
    <n v="42"/>
    <n v="79"/>
    <n v="0"/>
    <n v="580.75"/>
    <n v="307.08"/>
    <m/>
    <n v="738.50149288761725"/>
    <n v="313.20976164142951"/>
    <n v="0"/>
    <n v="24.391500000000001"/>
    <n v="12.897360000000001"/>
    <n v="0"/>
    <n v="31.017062701279926"/>
    <n v="13.154809988940039"/>
  </r>
  <r>
    <s v="Regular"/>
    <x v="3"/>
    <x v="3"/>
    <x v="0"/>
    <x v="0"/>
    <x v="0"/>
    <x v="0"/>
    <x v="3"/>
    <x v="7"/>
    <n v="0"/>
    <n v="0"/>
    <n v="4.2560000000000002"/>
    <n v="4.2560000000000002"/>
    <n v="4.2560000000000002"/>
    <n v="4.2560000000000002"/>
    <n v="0"/>
    <x v="0"/>
    <n v="0"/>
    <n v="0"/>
    <n v="42"/>
    <n v="79"/>
    <n v="0"/>
    <n v="580.75"/>
    <n v="307.08"/>
    <m/>
    <n v="738.50149288761725"/>
    <n v="313.20976164142951"/>
    <n v="0"/>
    <n v="2471.672"/>
    <n v="1306.9324799999999"/>
    <n v="0"/>
    <n v="3143.0623537296992"/>
    <n v="1333.020745545924"/>
  </r>
  <r>
    <s v="Sistema de Compensação"/>
    <x v="3"/>
    <x v="3"/>
    <x v="0"/>
    <x v="0"/>
    <x v="0"/>
    <x v="0"/>
    <x v="3"/>
    <x v="7"/>
    <n v="0"/>
    <n v="0"/>
    <n v="0.124"/>
    <n v="0.124"/>
    <n v="0.124"/>
    <n v="0.124"/>
    <n v="0"/>
    <x v="0"/>
    <n v="0"/>
    <n v="0"/>
    <n v="42"/>
    <n v="79"/>
    <n v="0"/>
    <n v="580.75"/>
    <n v="307.08"/>
    <m/>
    <n v="738.50149288761725"/>
    <n v="313.20976164142951"/>
    <n v="0"/>
    <n v="72.013000000000005"/>
    <n v="38.077919999999999"/>
    <n v="0"/>
    <n v="91.574185118064534"/>
    <n v="38.838010443537257"/>
  </r>
  <r>
    <s v="Regular"/>
    <x v="3"/>
    <x v="3"/>
    <x v="0"/>
    <x v="0"/>
    <x v="0"/>
    <x v="0"/>
    <x v="3"/>
    <x v="8"/>
    <n v="0"/>
    <n v="0"/>
    <n v="3.5950000000000002"/>
    <n v="3.5950000000000002"/>
    <n v="3.5950000000000002"/>
    <n v="3.5950000000000002"/>
    <n v="0"/>
    <x v="0"/>
    <n v="0"/>
    <n v="0"/>
    <n v="42"/>
    <n v="79"/>
    <n v="0"/>
    <n v="580.75"/>
    <n v="307.08"/>
    <m/>
    <n v="738.50149288761725"/>
    <n v="313.20976164142951"/>
    <n v="0"/>
    <n v="2087.7962500000003"/>
    <n v="1103.9526000000001"/>
    <n v="0"/>
    <n v="2654.9128669309844"/>
    <n v="1125.989093100939"/>
  </r>
  <r>
    <s v="Sistema de Compensação"/>
    <x v="3"/>
    <x v="3"/>
    <x v="0"/>
    <x v="0"/>
    <x v="0"/>
    <x v="0"/>
    <x v="3"/>
    <x v="8"/>
    <n v="0"/>
    <n v="0"/>
    <n v="0.20599999999999999"/>
    <n v="0.20599999999999999"/>
    <n v="0.20599999999999999"/>
    <n v="0.20599999999999999"/>
    <n v="0"/>
    <x v="0"/>
    <n v="0"/>
    <n v="0"/>
    <n v="42"/>
    <n v="79"/>
    <n v="0"/>
    <n v="580.75"/>
    <n v="307.08"/>
    <m/>
    <n v="738.50149288761725"/>
    <n v="313.20976164142951"/>
    <n v="0"/>
    <n v="119.63449999999999"/>
    <n v="63.258479999999992"/>
    <n v="0"/>
    <n v="152.13130753484916"/>
    <n v="64.52121089813447"/>
  </r>
  <r>
    <s v="Regular"/>
    <x v="3"/>
    <x v="3"/>
    <x v="0"/>
    <x v="0"/>
    <x v="0"/>
    <x v="0"/>
    <x v="3"/>
    <x v="9"/>
    <n v="0"/>
    <n v="0"/>
    <n v="2.8490000000000002"/>
    <n v="2.8490000000000002"/>
    <n v="2.8490000000000002"/>
    <n v="2.8490000000000002"/>
    <n v="0"/>
    <x v="0"/>
    <n v="0"/>
    <n v="0"/>
    <n v="42"/>
    <n v="79"/>
    <n v="0"/>
    <n v="580.75"/>
    <n v="307.08"/>
    <m/>
    <n v="738.50149288761725"/>
    <n v="313.20976164142951"/>
    <n v="0"/>
    <n v="1654.5567500000002"/>
    <n v="874.87092000000007"/>
    <n v="0"/>
    <n v="2103.9907532368215"/>
    <n v="892.33461091643278"/>
  </r>
  <r>
    <s v="Sistema de Compensação"/>
    <x v="3"/>
    <x v="3"/>
    <x v="0"/>
    <x v="0"/>
    <x v="0"/>
    <x v="0"/>
    <x v="3"/>
    <x v="9"/>
    <n v="0"/>
    <n v="0"/>
    <n v="9.6000000000000002E-2"/>
    <n v="9.6000000000000002E-2"/>
    <n v="9.6000000000000002E-2"/>
    <n v="9.6000000000000002E-2"/>
    <n v="0"/>
    <x v="0"/>
    <n v="0"/>
    <n v="0"/>
    <n v="42"/>
    <n v="79"/>
    <n v="0"/>
    <n v="580.75"/>
    <n v="307.08"/>
    <m/>
    <n v="738.50149288761725"/>
    <n v="313.20976164142951"/>
    <n v="0"/>
    <n v="55.752000000000002"/>
    <n v="29.479679999999998"/>
    <n v="0"/>
    <n v="70.896143317211255"/>
    <n v="30.068137117577233"/>
  </r>
  <r>
    <s v="Regular"/>
    <x v="3"/>
    <x v="3"/>
    <x v="0"/>
    <x v="0"/>
    <x v="0"/>
    <x v="0"/>
    <x v="3"/>
    <x v="10"/>
    <n v="0"/>
    <n v="0"/>
    <n v="2.4489999999999998"/>
    <n v="2.4489999999999998"/>
    <n v="2.4489999999999998"/>
    <n v="2.4489999999999998"/>
    <n v="0"/>
    <x v="0"/>
    <n v="0"/>
    <n v="0"/>
    <n v="42"/>
    <n v="79"/>
    <n v="0"/>
    <n v="580.75"/>
    <n v="307.08"/>
    <m/>
    <n v="738.50149288761725"/>
    <n v="313.20976164142951"/>
    <n v="0"/>
    <n v="1422.25675"/>
    <n v="752.03891999999996"/>
    <n v="0"/>
    <n v="1808.5901560817745"/>
    <n v="767.05070625986082"/>
  </r>
  <r>
    <s v="Sistema de Compensação"/>
    <x v="3"/>
    <x v="3"/>
    <x v="0"/>
    <x v="0"/>
    <x v="0"/>
    <x v="0"/>
    <x v="3"/>
    <x v="10"/>
    <n v="0"/>
    <n v="0"/>
    <n v="0.17199999999999999"/>
    <n v="0.17199999999999999"/>
    <n v="0.17199999999999999"/>
    <n v="0.17199999999999999"/>
    <n v="0"/>
    <x v="0"/>
    <n v="0"/>
    <n v="0"/>
    <n v="42"/>
    <n v="79"/>
    <n v="0"/>
    <n v="580.75"/>
    <n v="307.08"/>
    <m/>
    <n v="738.50149288761725"/>
    <n v="313.20976164142951"/>
    <n v="0"/>
    <n v="99.888999999999996"/>
    <n v="52.817759999999993"/>
    <n v="0"/>
    <n v="127.02225677667016"/>
    <n v="53.872079002325869"/>
  </r>
  <r>
    <s v="PROJETADO"/>
    <x v="3"/>
    <x v="3"/>
    <x v="0"/>
    <x v="0"/>
    <x v="0"/>
    <x v="0"/>
    <x v="3"/>
    <x v="11"/>
    <n v="0"/>
    <n v="0"/>
    <n v="2.4489999999999998"/>
    <n v="2.4489999999999998"/>
    <n v="2.4489999999999998"/>
    <n v="2.4489999999999998"/>
    <n v="0"/>
    <x v="0"/>
    <n v="0"/>
    <n v="0"/>
    <n v="42"/>
    <n v="79"/>
    <n v="0"/>
    <n v="580.75"/>
    <n v="307.08"/>
    <m/>
    <n v="738.50149288761725"/>
    <n v="313.20976164142951"/>
    <n v="0"/>
    <n v="1422.25675"/>
    <n v="752.03891999999996"/>
    <n v="0"/>
    <n v="1808.5901560817745"/>
    <n v="767.05070625986082"/>
  </r>
  <r>
    <s v="PROJETADO"/>
    <x v="3"/>
    <x v="3"/>
    <x v="0"/>
    <x v="0"/>
    <x v="0"/>
    <x v="0"/>
    <x v="3"/>
    <x v="11"/>
    <n v="0"/>
    <n v="0"/>
    <n v="0.17199999999999999"/>
    <n v="0.17199999999999999"/>
    <n v="0.17199999999999999"/>
    <n v="0.17199999999999999"/>
    <n v="0"/>
    <x v="0"/>
    <n v="0"/>
    <n v="0"/>
    <n v="42"/>
    <n v="79"/>
    <n v="0"/>
    <n v="580.75"/>
    <n v="307.08"/>
    <m/>
    <n v="738.50149288761725"/>
    <n v="313.20976164142951"/>
    <n v="0"/>
    <n v="99.888999999999996"/>
    <n v="52.817759999999993"/>
    <n v="0"/>
    <n v="127.02225677667016"/>
    <n v="53.872079002325869"/>
  </r>
  <r>
    <s v="Sistema de Compensação"/>
    <x v="3"/>
    <x v="3"/>
    <x v="0"/>
    <x v="0"/>
    <x v="0"/>
    <x v="0"/>
    <x v="2"/>
    <x v="0"/>
    <n v="0"/>
    <n v="0"/>
    <n v="0.2"/>
    <n v="0.2"/>
    <n v="0.2"/>
    <n v="0.2"/>
    <n v="2"/>
    <x v="0"/>
    <n v="0"/>
    <n v="0"/>
    <n v="44"/>
    <n v="81"/>
    <n v="0"/>
    <n v="324.88"/>
    <n v="322.54000000000002"/>
    <m/>
    <n v="448.39375036225908"/>
    <n v="328.70388835395738"/>
    <n v="0"/>
    <n v="64.975999999999999"/>
    <n v="64.50800000000001"/>
    <n v="0"/>
    <n v="89.67875007245182"/>
    <n v="65.740777670791473"/>
  </r>
  <r>
    <s v="Sistema de Compensação"/>
    <x v="3"/>
    <x v="3"/>
    <x v="0"/>
    <x v="0"/>
    <x v="0"/>
    <x v="0"/>
    <x v="2"/>
    <x v="0"/>
    <n v="0"/>
    <n v="0"/>
    <n v="0.1"/>
    <n v="0.1"/>
    <n v="0.1"/>
    <n v="0.1"/>
    <n v="1"/>
    <x v="0"/>
    <n v="0"/>
    <n v="0"/>
    <n v="44"/>
    <n v="81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Sistema de Compensação"/>
    <x v="3"/>
    <x v="3"/>
    <x v="0"/>
    <x v="0"/>
    <x v="0"/>
    <x v="0"/>
    <x v="2"/>
    <x v="1"/>
    <n v="0"/>
    <n v="0"/>
    <n v="9.8000000000000004E-2"/>
    <n v="9.8000000000000004E-2"/>
    <n v="9.8000000000000004E-2"/>
    <n v="9.8000000000000004E-2"/>
    <n v="1"/>
    <x v="0"/>
    <n v="0"/>
    <n v="0"/>
    <n v="44"/>
    <n v="81"/>
    <n v="0"/>
    <n v="324.88"/>
    <n v="322.54000000000002"/>
    <m/>
    <n v="448.39375036225908"/>
    <n v="328.70388835395738"/>
    <n v="0"/>
    <n v="31.838240000000003"/>
    <n v="31.608920000000005"/>
    <n v="0"/>
    <n v="43.942587535501389"/>
    <n v="32.212981058687824"/>
  </r>
  <r>
    <s v="Sistema de Compensação"/>
    <x v="3"/>
    <x v="3"/>
    <x v="0"/>
    <x v="0"/>
    <x v="0"/>
    <x v="0"/>
    <x v="2"/>
    <x v="2"/>
    <n v="0"/>
    <n v="0"/>
    <n v="0.1"/>
    <n v="0.1"/>
    <n v="0.1"/>
    <n v="0.1"/>
    <n v="3"/>
    <x v="0"/>
    <n v="0"/>
    <n v="0"/>
    <n v="44"/>
    <n v="81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Sistema de Compensação"/>
    <x v="3"/>
    <x v="3"/>
    <x v="0"/>
    <x v="0"/>
    <x v="0"/>
    <x v="0"/>
    <x v="2"/>
    <x v="3"/>
    <n v="0"/>
    <n v="0"/>
    <n v="0.1"/>
    <n v="0.1"/>
    <n v="0.1"/>
    <n v="0.1"/>
    <n v="3"/>
    <x v="0"/>
    <n v="0"/>
    <n v="0"/>
    <n v="44"/>
    <n v="81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Sistema de Compensação"/>
    <x v="3"/>
    <x v="3"/>
    <x v="0"/>
    <x v="0"/>
    <x v="0"/>
    <x v="0"/>
    <x v="2"/>
    <x v="4"/>
    <n v="0"/>
    <n v="0"/>
    <n v="0.1"/>
    <n v="0.1"/>
    <n v="0.1"/>
    <n v="0.1"/>
    <n v="3"/>
    <x v="0"/>
    <n v="0"/>
    <n v="0"/>
    <n v="44"/>
    <n v="81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Sistema de Compensação"/>
    <x v="3"/>
    <x v="3"/>
    <x v="0"/>
    <x v="0"/>
    <x v="0"/>
    <x v="0"/>
    <x v="2"/>
    <x v="5"/>
    <n v="0"/>
    <n v="0"/>
    <n v="0.1"/>
    <n v="0.1"/>
    <n v="0.1"/>
    <n v="0.1"/>
    <n v="3"/>
    <x v="0"/>
    <n v="0"/>
    <n v="0"/>
    <n v="44"/>
    <n v="81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Sistema de Compensação"/>
    <x v="3"/>
    <x v="3"/>
    <x v="0"/>
    <x v="0"/>
    <x v="0"/>
    <x v="0"/>
    <x v="2"/>
    <x v="6"/>
    <n v="0"/>
    <n v="0"/>
    <n v="0.1"/>
    <n v="0.1"/>
    <n v="0.1"/>
    <n v="0.1"/>
    <n v="3"/>
    <x v="0"/>
    <n v="0"/>
    <n v="0"/>
    <n v="44"/>
    <n v="81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Sistema de Compensação"/>
    <x v="3"/>
    <x v="3"/>
    <x v="0"/>
    <x v="0"/>
    <x v="0"/>
    <x v="0"/>
    <x v="2"/>
    <x v="8"/>
    <n v="0"/>
    <n v="0"/>
    <n v="0.1"/>
    <n v="0.1"/>
    <n v="0.1"/>
    <n v="0.1"/>
    <n v="5"/>
    <x v="0"/>
    <n v="0"/>
    <n v="0"/>
    <n v="44"/>
    <n v="81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Sistema de Compensação"/>
    <x v="3"/>
    <x v="3"/>
    <x v="0"/>
    <x v="0"/>
    <x v="0"/>
    <x v="0"/>
    <x v="2"/>
    <x v="9"/>
    <n v="0"/>
    <n v="0"/>
    <n v="0.3"/>
    <n v="0.3"/>
    <n v="0.3"/>
    <n v="0.3"/>
    <n v="6"/>
    <x v="0"/>
    <n v="0"/>
    <n v="0"/>
    <n v="44"/>
    <n v="81"/>
    <n v="0"/>
    <n v="324.88"/>
    <n v="322.54000000000002"/>
    <m/>
    <n v="448.39375036225908"/>
    <n v="328.70388835395738"/>
    <n v="0"/>
    <n v="97.463999999999999"/>
    <n v="96.762"/>
    <n v="0"/>
    <n v="134.51812510867771"/>
    <n v="98.611166506187217"/>
  </r>
  <r>
    <s v="Sistema de Compensação"/>
    <x v="3"/>
    <x v="3"/>
    <x v="0"/>
    <x v="0"/>
    <x v="0"/>
    <x v="0"/>
    <x v="2"/>
    <x v="10"/>
    <n v="0"/>
    <n v="0"/>
    <n v="0.3"/>
    <n v="0.3"/>
    <n v="0.3"/>
    <n v="0.3"/>
    <n v="6"/>
    <x v="0"/>
    <n v="0"/>
    <n v="0"/>
    <n v="44"/>
    <n v="81"/>
    <n v="0"/>
    <n v="324.88"/>
    <n v="322.54000000000002"/>
    <m/>
    <n v="448.39375036225908"/>
    <n v="328.70388835395738"/>
    <n v="0"/>
    <n v="97.463999999999999"/>
    <n v="96.762"/>
    <n v="0"/>
    <n v="134.51812510867771"/>
    <n v="98.611166506187217"/>
  </r>
  <r>
    <s v="PROJETADO"/>
    <x v="3"/>
    <x v="3"/>
    <x v="0"/>
    <x v="0"/>
    <x v="0"/>
    <x v="0"/>
    <x v="2"/>
    <x v="11"/>
    <n v="0"/>
    <n v="0"/>
    <n v="0.3"/>
    <n v="0.3"/>
    <n v="0.3"/>
    <n v="0.3"/>
    <n v="6"/>
    <x v="0"/>
    <n v="0"/>
    <n v="0"/>
    <n v="44"/>
    <n v="81"/>
    <n v="0"/>
    <n v="324.88"/>
    <n v="322.54000000000002"/>
    <m/>
    <n v="448.39375036225908"/>
    <n v="328.70388835395738"/>
    <n v="0"/>
    <n v="97.463999999999999"/>
    <n v="96.762"/>
    <n v="0"/>
    <n v="134.51812510867771"/>
    <n v="98.611166506187217"/>
  </r>
  <r>
    <s v="Regular"/>
    <x v="3"/>
    <x v="3"/>
    <x v="0"/>
    <x v="0"/>
    <x v="0"/>
    <x v="0"/>
    <x v="1"/>
    <x v="0"/>
    <n v="0"/>
    <n v="0"/>
    <n v="4.1390000000000002"/>
    <n v="4.1390000000000002"/>
    <n v="4.1390000000000002"/>
    <n v="4.1390000000000002"/>
    <n v="0"/>
    <x v="0"/>
    <n v="0"/>
    <n v="0"/>
    <n v="41"/>
    <n v="78"/>
    <n v="0"/>
    <n v="902.29"/>
    <n v="492.64"/>
    <m/>
    <n v="1103.061838174968"/>
    <n v="499.13928219176387"/>
    <n v="0"/>
    <n v="3734.5783099999999"/>
    <n v="2039.0369600000001"/>
    <n v="0"/>
    <n v="4565.5729482061925"/>
    <n v="2065.9374889917108"/>
  </r>
  <r>
    <s v="Sistema de Compensação"/>
    <x v="3"/>
    <x v="3"/>
    <x v="0"/>
    <x v="0"/>
    <x v="0"/>
    <x v="0"/>
    <x v="1"/>
    <x v="0"/>
    <n v="0"/>
    <n v="0"/>
    <n v="0.13500000000000001"/>
    <n v="0.13500000000000001"/>
    <n v="0.13500000000000001"/>
    <n v="0.13500000000000001"/>
    <n v="0"/>
    <x v="0"/>
    <n v="0"/>
    <n v="0"/>
    <n v="41"/>
    <n v="78"/>
    <n v="0"/>
    <n v="902.29"/>
    <n v="492.64"/>
    <m/>
    <n v="1103.061838174968"/>
    <n v="499.13928219176387"/>
    <n v="0"/>
    <n v="121.80915"/>
    <n v="66.506399999999999"/>
    <n v="0"/>
    <n v="148.91334815362069"/>
    <n v="67.383803095888126"/>
  </r>
  <r>
    <s v="Regular"/>
    <x v="3"/>
    <x v="3"/>
    <x v="0"/>
    <x v="0"/>
    <x v="0"/>
    <x v="0"/>
    <x v="1"/>
    <x v="1"/>
    <n v="0"/>
    <n v="0"/>
    <n v="4.1980000000000004"/>
    <n v="4.1980000000000004"/>
    <n v="4.1980000000000004"/>
    <n v="4.1980000000000004"/>
    <n v="0"/>
    <x v="0"/>
    <n v="0"/>
    <n v="0"/>
    <n v="41"/>
    <n v="78"/>
    <n v="0"/>
    <n v="902.29"/>
    <n v="492.64"/>
    <m/>
    <n v="1103.061838174968"/>
    <n v="499.13928219176387"/>
    <n v="0"/>
    <n v="3787.8134200000004"/>
    <n v="2068.1027200000003"/>
    <n v="0"/>
    <n v="4630.6535966585161"/>
    <n v="2095.3867066410248"/>
  </r>
  <r>
    <s v="Sistema de Compensação"/>
    <x v="3"/>
    <x v="3"/>
    <x v="0"/>
    <x v="0"/>
    <x v="0"/>
    <x v="0"/>
    <x v="1"/>
    <x v="1"/>
    <n v="0"/>
    <n v="0"/>
    <n v="9.9000000000000005E-2"/>
    <n v="9.9000000000000005E-2"/>
    <n v="9.9000000000000005E-2"/>
    <n v="9.9000000000000005E-2"/>
    <n v="0"/>
    <x v="0"/>
    <n v="0"/>
    <n v="0"/>
    <n v="41"/>
    <n v="78"/>
    <n v="0"/>
    <n v="902.29"/>
    <n v="492.64"/>
    <m/>
    <n v="1103.061838174968"/>
    <n v="499.13928219176387"/>
    <n v="0"/>
    <n v="89.326710000000006"/>
    <n v="48.771360000000001"/>
    <n v="0"/>
    <n v="109.20312197932184"/>
    <n v="49.414788936984628"/>
  </r>
  <r>
    <s v="Sistema de Compensação"/>
    <x v="3"/>
    <x v="3"/>
    <x v="0"/>
    <x v="0"/>
    <x v="0"/>
    <x v="0"/>
    <x v="1"/>
    <x v="1"/>
    <n v="0"/>
    <n v="0"/>
    <n v="1E-3"/>
    <n v="1E-3"/>
    <n v="1E-3"/>
    <n v="1E-3"/>
    <n v="0"/>
    <x v="0"/>
    <n v="0"/>
    <n v="0"/>
    <n v="41"/>
    <n v="78"/>
    <n v="0"/>
    <n v="902.29"/>
    <n v="492.64"/>
    <m/>
    <n v="1103.061838174968"/>
    <n v="499.13928219176387"/>
    <n v="0"/>
    <n v="0.90229000000000004"/>
    <n v="0.49264000000000002"/>
    <n v="0"/>
    <n v="1.1030618381749679"/>
    <n v="0.4991392821917639"/>
  </r>
  <r>
    <s v="Regular"/>
    <x v="3"/>
    <x v="3"/>
    <x v="0"/>
    <x v="0"/>
    <x v="0"/>
    <x v="0"/>
    <x v="1"/>
    <x v="2"/>
    <n v="0"/>
    <n v="0"/>
    <n v="4.2629999999999999"/>
    <n v="4.2629999999999999"/>
    <n v="4.2629999999999999"/>
    <n v="4.2629999999999999"/>
    <n v="0"/>
    <x v="0"/>
    <n v="0"/>
    <n v="0"/>
    <n v="41"/>
    <n v="78"/>
    <n v="0"/>
    <n v="902.29"/>
    <n v="492.64"/>
    <m/>
    <n v="1103.061838174968"/>
    <n v="499.13928219176387"/>
    <n v="0"/>
    <n v="3846.4622699999995"/>
    <n v="2100.1243199999999"/>
    <n v="0"/>
    <n v="4702.3526161398886"/>
    <n v="2127.8307599834893"/>
  </r>
  <r>
    <s v="Sistema de Compensação"/>
    <x v="3"/>
    <x v="3"/>
    <x v="0"/>
    <x v="0"/>
    <x v="0"/>
    <x v="0"/>
    <x v="1"/>
    <x v="2"/>
    <n v="0"/>
    <n v="0"/>
    <n v="0.13600000000000001"/>
    <n v="0.13600000000000001"/>
    <n v="0.13600000000000001"/>
    <n v="0.13600000000000001"/>
    <n v="0"/>
    <x v="0"/>
    <n v="0"/>
    <n v="0"/>
    <n v="41"/>
    <n v="78"/>
    <n v="0"/>
    <n v="902.29"/>
    <n v="492.64"/>
    <m/>
    <n v="1103.061838174968"/>
    <n v="499.13928219176387"/>
    <n v="0"/>
    <n v="122.71144000000001"/>
    <n v="66.999040000000008"/>
    <n v="0"/>
    <n v="150.01640999179565"/>
    <n v="67.882942378079889"/>
  </r>
  <r>
    <s v="Regular"/>
    <x v="3"/>
    <x v="3"/>
    <x v="0"/>
    <x v="0"/>
    <x v="0"/>
    <x v="0"/>
    <x v="1"/>
    <x v="3"/>
    <n v="0"/>
    <n v="0"/>
    <n v="4.5640000000000001"/>
    <n v="4.5640000000000001"/>
    <n v="4.5640000000000001"/>
    <n v="4.5640000000000001"/>
    <n v="0"/>
    <x v="0"/>
    <n v="0"/>
    <n v="0"/>
    <n v="41"/>
    <n v="78"/>
    <n v="0"/>
    <n v="902.29"/>
    <n v="492.64"/>
    <m/>
    <n v="1103.061838174968"/>
    <n v="499.13928219176387"/>
    <n v="0"/>
    <n v="4118.0515599999999"/>
    <n v="2248.4089599999998"/>
    <n v="0"/>
    <n v="5034.3742294305539"/>
    <n v="2278.0716839232105"/>
  </r>
  <r>
    <s v="Sistema de Compensação"/>
    <x v="3"/>
    <x v="3"/>
    <x v="0"/>
    <x v="0"/>
    <x v="0"/>
    <x v="0"/>
    <x v="1"/>
    <x v="3"/>
    <n v="0"/>
    <n v="0"/>
    <n v="0.13900000000000001"/>
    <n v="0.13900000000000001"/>
    <n v="0.13900000000000001"/>
    <n v="0.13900000000000001"/>
    <n v="0"/>
    <x v="0"/>
    <n v="0"/>
    <n v="0"/>
    <n v="41"/>
    <n v="78"/>
    <n v="0"/>
    <n v="902.29"/>
    <n v="492.64"/>
    <m/>
    <n v="1103.061838174968"/>
    <n v="499.13928219176387"/>
    <n v="0"/>
    <n v="125.41831000000001"/>
    <n v="68.476960000000005"/>
    <n v="0"/>
    <n v="153.32559550632055"/>
    <n v="69.380360224655178"/>
  </r>
  <r>
    <s v="Regular"/>
    <x v="3"/>
    <x v="3"/>
    <x v="0"/>
    <x v="0"/>
    <x v="0"/>
    <x v="0"/>
    <x v="1"/>
    <x v="4"/>
    <n v="0"/>
    <n v="0"/>
    <n v="4.4950000000000001"/>
    <n v="4.4950000000000001"/>
    <n v="4.4950000000000001"/>
    <n v="4.4950000000000001"/>
    <n v="0"/>
    <x v="0"/>
    <n v="0"/>
    <n v="0"/>
    <n v="41"/>
    <n v="78"/>
    <n v="0"/>
    <n v="902.29"/>
    <n v="492.64"/>
    <m/>
    <n v="1103.061838174968"/>
    <n v="499.13928219176387"/>
    <n v="0"/>
    <n v="4055.7935499999999"/>
    <n v="2214.4168"/>
    <n v="0"/>
    <n v="4958.262962596481"/>
    <n v="2243.6310734519789"/>
  </r>
  <r>
    <s v="Sistema de Compensação"/>
    <x v="3"/>
    <x v="3"/>
    <x v="0"/>
    <x v="0"/>
    <x v="0"/>
    <x v="0"/>
    <x v="1"/>
    <x v="4"/>
    <n v="0"/>
    <n v="0"/>
    <n v="0.14699999999999999"/>
    <n v="0.14699999999999999"/>
    <n v="0.14699999999999999"/>
    <n v="0.14699999999999999"/>
    <n v="0"/>
    <x v="0"/>
    <n v="0"/>
    <n v="0"/>
    <n v="41"/>
    <n v="78"/>
    <n v="0"/>
    <n v="902.29"/>
    <n v="492.64"/>
    <m/>
    <n v="1103.061838174968"/>
    <n v="499.13928219176387"/>
    <n v="0"/>
    <n v="132.63663"/>
    <n v="72.418079999999989"/>
    <n v="0"/>
    <n v="162.15009021172028"/>
    <n v="73.37347448218928"/>
  </r>
  <r>
    <s v="Regular"/>
    <x v="3"/>
    <x v="3"/>
    <x v="0"/>
    <x v="0"/>
    <x v="0"/>
    <x v="0"/>
    <x v="1"/>
    <x v="5"/>
    <n v="0"/>
    <n v="0"/>
    <n v="4.3879999999999999"/>
    <n v="4.3879999999999999"/>
    <n v="4.3879999999999999"/>
    <n v="4.3879999999999999"/>
    <n v="0"/>
    <x v="0"/>
    <n v="0"/>
    <n v="0"/>
    <n v="41"/>
    <n v="78"/>
    <n v="0"/>
    <n v="902.29"/>
    <n v="492.64"/>
    <m/>
    <n v="1103.061838174968"/>
    <n v="499.13928219176387"/>
    <n v="0"/>
    <n v="3959.2485199999996"/>
    <n v="2161.7043199999998"/>
    <n v="0"/>
    <n v="4840.2353459117594"/>
    <n v="2190.22317025746"/>
  </r>
  <r>
    <s v="Sistema de Compensação"/>
    <x v="3"/>
    <x v="3"/>
    <x v="0"/>
    <x v="0"/>
    <x v="0"/>
    <x v="0"/>
    <x v="1"/>
    <x v="5"/>
    <n v="0"/>
    <n v="0"/>
    <n v="0.16800000000000001"/>
    <n v="0.16800000000000001"/>
    <n v="0.16800000000000001"/>
    <n v="0.16800000000000001"/>
    <n v="0"/>
    <x v="0"/>
    <n v="0"/>
    <n v="0"/>
    <n v="41"/>
    <n v="78"/>
    <n v="0"/>
    <n v="902.29"/>
    <n v="492.64"/>
    <m/>
    <n v="1103.061838174968"/>
    <n v="499.13928219176387"/>
    <n v="0"/>
    <n v="151.58472"/>
    <n v="82.76352"/>
    <n v="0"/>
    <n v="185.31438881339463"/>
    <n v="83.855399408216329"/>
  </r>
  <r>
    <s v="Regular"/>
    <x v="3"/>
    <x v="3"/>
    <x v="0"/>
    <x v="0"/>
    <x v="0"/>
    <x v="0"/>
    <x v="1"/>
    <x v="6"/>
    <n v="0"/>
    <n v="0"/>
    <n v="4.6660000000000004"/>
    <n v="4.6660000000000004"/>
    <n v="4.6660000000000004"/>
    <n v="4.6660000000000004"/>
    <n v="0"/>
    <x v="0"/>
    <n v="0"/>
    <n v="0"/>
    <n v="41"/>
    <n v="78"/>
    <n v="0"/>
    <n v="902.29"/>
    <n v="492.64"/>
    <m/>
    <n v="1103.061838174968"/>
    <n v="499.13928219176387"/>
    <n v="0"/>
    <n v="4210.0851400000001"/>
    <n v="2298.6582400000002"/>
    <n v="0"/>
    <n v="5146.8865369244013"/>
    <n v="2328.9838907067706"/>
  </r>
  <r>
    <s v="Sistema de Compensação"/>
    <x v="3"/>
    <x v="3"/>
    <x v="0"/>
    <x v="0"/>
    <x v="0"/>
    <x v="0"/>
    <x v="1"/>
    <x v="6"/>
    <n v="0"/>
    <n v="0"/>
    <n v="0.106"/>
    <n v="0.106"/>
    <n v="0.106"/>
    <n v="0.106"/>
    <n v="0"/>
    <x v="0"/>
    <n v="0"/>
    <n v="0"/>
    <n v="41"/>
    <n v="78"/>
    <n v="0"/>
    <n v="902.29"/>
    <n v="492.64"/>
    <m/>
    <n v="1103.061838174968"/>
    <n v="499.13928219176387"/>
    <n v="0"/>
    <n v="95.642739999999989"/>
    <n v="52.219839999999998"/>
    <n v="0"/>
    <n v="116.9245548465466"/>
    <n v="52.908763912326968"/>
  </r>
  <r>
    <s v="Regular"/>
    <x v="3"/>
    <x v="3"/>
    <x v="0"/>
    <x v="0"/>
    <x v="0"/>
    <x v="0"/>
    <x v="1"/>
    <x v="7"/>
    <n v="0"/>
    <n v="0"/>
    <n v="4.4059999999999997"/>
    <n v="4.4059999999999997"/>
    <n v="4.4059999999999997"/>
    <n v="4.4059999999999997"/>
    <n v="0"/>
    <x v="0"/>
    <n v="0"/>
    <n v="0"/>
    <n v="41"/>
    <n v="78"/>
    <n v="0"/>
    <n v="902.29"/>
    <n v="492.64"/>
    <m/>
    <n v="1103.061838174968"/>
    <n v="499.13928219176387"/>
    <n v="0"/>
    <n v="3975.4897399999995"/>
    <n v="2170.5718399999996"/>
    <n v="0"/>
    <n v="4860.0904589989086"/>
    <n v="2199.2076773369113"/>
  </r>
  <r>
    <s v="Sistema de Compensação"/>
    <x v="3"/>
    <x v="3"/>
    <x v="0"/>
    <x v="0"/>
    <x v="0"/>
    <x v="0"/>
    <x v="1"/>
    <x v="7"/>
    <n v="0"/>
    <n v="0"/>
    <n v="0.186"/>
    <n v="0.186"/>
    <n v="0.186"/>
    <n v="0.186"/>
    <n v="0"/>
    <x v="0"/>
    <n v="0"/>
    <n v="0"/>
    <n v="41"/>
    <n v="78"/>
    <n v="0"/>
    <n v="902.29"/>
    <n v="492.64"/>
    <m/>
    <n v="1103.061838174968"/>
    <n v="499.13928219176387"/>
    <n v="0"/>
    <n v="167.82594"/>
    <n v="91.631039999999999"/>
    <n v="0"/>
    <n v="205.16950190054405"/>
    <n v="92.839906487668074"/>
  </r>
  <r>
    <s v="Regular"/>
    <x v="3"/>
    <x v="3"/>
    <x v="0"/>
    <x v="0"/>
    <x v="0"/>
    <x v="0"/>
    <x v="1"/>
    <x v="8"/>
    <n v="0"/>
    <n v="0"/>
    <n v="4.01"/>
    <n v="4.01"/>
    <n v="4.01"/>
    <n v="4.01"/>
    <n v="0"/>
    <x v="0"/>
    <n v="0"/>
    <n v="0"/>
    <n v="41"/>
    <n v="78"/>
    <n v="0"/>
    <n v="902.29"/>
    <n v="492.64"/>
    <m/>
    <n v="1103.061838174968"/>
    <n v="499.13928219176387"/>
    <n v="0"/>
    <n v="3618.1828999999998"/>
    <n v="1975.4863999999998"/>
    <n v="0"/>
    <n v="4423.2779710816212"/>
    <n v="2001.548521588973"/>
  </r>
  <r>
    <s v="Sistema de Compensação"/>
    <x v="3"/>
    <x v="3"/>
    <x v="0"/>
    <x v="0"/>
    <x v="0"/>
    <x v="0"/>
    <x v="1"/>
    <x v="8"/>
    <n v="0"/>
    <n v="0"/>
    <n v="0.25900000000000001"/>
    <n v="0.25900000000000001"/>
    <n v="0.25900000000000001"/>
    <n v="0.25900000000000001"/>
    <n v="0"/>
    <x v="0"/>
    <n v="0"/>
    <n v="0"/>
    <n v="41"/>
    <n v="78"/>
    <n v="0"/>
    <n v="902.29"/>
    <n v="492.64"/>
    <m/>
    <n v="1103.061838174968"/>
    <n v="499.13928219176387"/>
    <n v="0"/>
    <n v="233.69310999999999"/>
    <n v="127.59376"/>
    <n v="0"/>
    <n v="285.69301608731672"/>
    <n v="129.27707408766685"/>
  </r>
  <r>
    <s v="Regular"/>
    <x v="3"/>
    <x v="3"/>
    <x v="0"/>
    <x v="0"/>
    <x v="0"/>
    <x v="0"/>
    <x v="1"/>
    <x v="9"/>
    <n v="0"/>
    <n v="0"/>
    <n v="3.65"/>
    <n v="3.65"/>
    <n v="3.65"/>
    <n v="3.65"/>
    <n v="0"/>
    <x v="0"/>
    <n v="0"/>
    <n v="0"/>
    <n v="41"/>
    <n v="78"/>
    <n v="0"/>
    <n v="902.29"/>
    <n v="492.64"/>
    <m/>
    <n v="1103.061838174968"/>
    <n v="499.13928219176387"/>
    <n v="0"/>
    <n v="3293.3584999999998"/>
    <n v="1798.136"/>
    <n v="0"/>
    <n v="4026.1757093386332"/>
    <n v="1821.8583799999381"/>
  </r>
  <r>
    <s v="Sistema de Compensação"/>
    <x v="3"/>
    <x v="3"/>
    <x v="0"/>
    <x v="0"/>
    <x v="0"/>
    <x v="0"/>
    <x v="1"/>
    <x v="9"/>
    <n v="0"/>
    <n v="0"/>
    <n v="0.24199999999999999"/>
    <n v="0.24199999999999999"/>
    <n v="0.24199999999999999"/>
    <n v="0.24199999999999999"/>
    <n v="0"/>
    <x v="0"/>
    <n v="0"/>
    <n v="0"/>
    <n v="41"/>
    <n v="78"/>
    <n v="0"/>
    <n v="902.29"/>
    <n v="492.64"/>
    <m/>
    <n v="1103.061838174968"/>
    <n v="499.13928219176387"/>
    <n v="0"/>
    <n v="218.35417999999999"/>
    <n v="119.21888"/>
    <n v="0"/>
    <n v="266.94096483834227"/>
    <n v="120.79170629040685"/>
  </r>
  <r>
    <s v="Regular"/>
    <x v="3"/>
    <x v="3"/>
    <x v="0"/>
    <x v="0"/>
    <x v="0"/>
    <x v="0"/>
    <x v="1"/>
    <x v="10"/>
    <n v="0"/>
    <n v="0"/>
    <n v="3.38"/>
    <n v="3.38"/>
    <n v="3.38"/>
    <n v="3.38"/>
    <n v="0"/>
    <x v="0"/>
    <n v="0"/>
    <n v="0"/>
    <n v="41"/>
    <n v="78"/>
    <n v="0"/>
    <n v="902.29"/>
    <n v="492.64"/>
    <m/>
    <n v="1103.061838174968"/>
    <n v="499.13928219176387"/>
    <n v="0"/>
    <n v="3049.7401999999997"/>
    <n v="1665.1232"/>
    <n v="0"/>
    <n v="3728.3490130313917"/>
    <n v="1687.0907738081619"/>
  </r>
  <r>
    <s v="Sistema de Compensação"/>
    <x v="3"/>
    <x v="3"/>
    <x v="0"/>
    <x v="0"/>
    <x v="0"/>
    <x v="0"/>
    <x v="1"/>
    <x v="10"/>
    <n v="0"/>
    <n v="0"/>
    <n v="0.28199999999999997"/>
    <n v="0.28199999999999997"/>
    <n v="0.28199999999999997"/>
    <n v="0.28199999999999997"/>
    <n v="0"/>
    <x v="0"/>
    <n v="0"/>
    <n v="0"/>
    <n v="41"/>
    <n v="78"/>
    <n v="0"/>
    <n v="902.29"/>
    <n v="492.64"/>
    <m/>
    <n v="1103.061838174968"/>
    <n v="499.13928219176387"/>
    <n v="0"/>
    <n v="254.44577999999996"/>
    <n v="138.92447999999999"/>
    <n v="0"/>
    <n v="311.06343836534091"/>
    <n v="140.75727757807741"/>
  </r>
  <r>
    <s v="PROJETADO"/>
    <x v="3"/>
    <x v="3"/>
    <x v="0"/>
    <x v="0"/>
    <x v="0"/>
    <x v="0"/>
    <x v="1"/>
    <x v="11"/>
    <n v="0"/>
    <n v="0"/>
    <n v="3.38"/>
    <n v="3.38"/>
    <n v="3.38"/>
    <n v="3.38"/>
    <n v="0"/>
    <x v="0"/>
    <n v="0"/>
    <n v="0"/>
    <n v="41"/>
    <n v="78"/>
    <n v="0"/>
    <n v="902.29"/>
    <n v="492.64"/>
    <m/>
    <n v="1103.061838174968"/>
    <n v="499.13928219176387"/>
    <n v="0"/>
    <n v="3049.7401999999997"/>
    <n v="1665.1232"/>
    <n v="0"/>
    <n v="3728.3490130313917"/>
    <n v="1687.0907738081619"/>
  </r>
  <r>
    <s v="PROJETADO"/>
    <x v="3"/>
    <x v="3"/>
    <x v="0"/>
    <x v="0"/>
    <x v="0"/>
    <x v="0"/>
    <x v="1"/>
    <x v="11"/>
    <n v="0"/>
    <n v="0"/>
    <n v="0.28199999999999997"/>
    <n v="0.28199999999999997"/>
    <n v="0.28199999999999997"/>
    <n v="0.28199999999999997"/>
    <n v="0"/>
    <x v="0"/>
    <n v="0"/>
    <n v="0"/>
    <n v="41"/>
    <n v="78"/>
    <n v="0"/>
    <n v="902.29"/>
    <n v="492.64"/>
    <m/>
    <n v="1103.061838174968"/>
    <n v="499.13928219176387"/>
    <n v="0"/>
    <n v="254.44577999999996"/>
    <n v="138.92447999999999"/>
    <n v="0"/>
    <n v="311.06343836534091"/>
    <n v="140.75727757807741"/>
  </r>
  <r>
    <s v="Regular"/>
    <x v="3"/>
    <x v="3"/>
    <x v="1"/>
    <x v="0"/>
    <x v="0"/>
    <x v="0"/>
    <x v="0"/>
    <x v="0"/>
    <n v="0"/>
    <n v="0"/>
    <n v="13.423999999999999"/>
    <n v="13.423999999999999"/>
    <n v="13.423999999999999"/>
    <n v="13.423999999999999"/>
    <n v="0"/>
    <x v="0"/>
    <n v="0"/>
    <n v="0"/>
    <n v="43"/>
    <n v="80"/>
    <n v="0"/>
    <n v="259.20999999999998"/>
    <n v="307.08"/>
    <m/>
    <n v="373.94126596677751"/>
    <n v="313.20976164142951"/>
    <n v="0"/>
    <n v="3479.6350399999997"/>
    <n v="4122.2419199999995"/>
    <n v="0"/>
    <n v="5019.7875543380214"/>
    <n v="4204.5278402745498"/>
  </r>
  <r>
    <s v="Sistema de Compensação"/>
    <x v="3"/>
    <x v="3"/>
    <x v="1"/>
    <x v="0"/>
    <x v="0"/>
    <x v="0"/>
    <x v="0"/>
    <x v="0"/>
    <n v="0"/>
    <n v="0"/>
    <n v="1.92"/>
    <n v="1.92"/>
    <n v="1.92"/>
    <n v="1.92"/>
    <n v="0"/>
    <x v="0"/>
    <n v="0"/>
    <n v="0"/>
    <n v="43"/>
    <n v="80"/>
    <n v="0"/>
    <n v="259.20999999999998"/>
    <n v="307.08"/>
    <m/>
    <n v="373.94126596677751"/>
    <n v="313.20976164142951"/>
    <n v="0"/>
    <n v="497.68319999999994"/>
    <n v="589.59359999999992"/>
    <n v="0"/>
    <n v="717.96723065621279"/>
    <n v="601.36274235154463"/>
  </r>
  <r>
    <s v="Regular"/>
    <x v="3"/>
    <x v="3"/>
    <x v="1"/>
    <x v="0"/>
    <x v="0"/>
    <x v="0"/>
    <x v="0"/>
    <x v="1"/>
    <n v="0"/>
    <n v="0"/>
    <n v="14.161"/>
    <n v="14.161"/>
    <n v="14.161"/>
    <n v="14.161"/>
    <n v="0"/>
    <x v="0"/>
    <n v="0"/>
    <n v="0"/>
    <n v="43"/>
    <n v="80"/>
    <n v="0"/>
    <n v="259.20999999999998"/>
    <n v="307.08"/>
    <m/>
    <n v="373.94126596677751"/>
    <n v="313.20976164142951"/>
    <n v="0"/>
    <n v="3670.6728099999996"/>
    <n v="4348.5598799999998"/>
    <n v="0"/>
    <n v="5295.382267355536"/>
    <n v="4435.3634346042827"/>
  </r>
  <r>
    <s v="Sistema de Compensação"/>
    <x v="3"/>
    <x v="3"/>
    <x v="1"/>
    <x v="0"/>
    <x v="0"/>
    <x v="0"/>
    <x v="0"/>
    <x v="1"/>
    <n v="0"/>
    <n v="0"/>
    <n v="1.7430000000000001"/>
    <n v="1.7430000000000001"/>
    <n v="1.7430000000000001"/>
    <n v="1.7430000000000001"/>
    <n v="0"/>
    <x v="0"/>
    <n v="0"/>
    <n v="0"/>
    <n v="43"/>
    <n v="80"/>
    <n v="0"/>
    <n v="259.20999999999998"/>
    <n v="307.08"/>
    <m/>
    <n v="373.94126596677751"/>
    <n v="313.20976164142951"/>
    <n v="0"/>
    <n v="451.80302999999998"/>
    <n v="535.24044000000004"/>
    <n v="0"/>
    <n v="651.77962658009324"/>
    <n v="545.92461454101169"/>
  </r>
  <r>
    <s v="Regular"/>
    <x v="3"/>
    <x v="3"/>
    <x v="1"/>
    <x v="0"/>
    <x v="0"/>
    <x v="0"/>
    <x v="0"/>
    <x v="2"/>
    <n v="0"/>
    <n v="0"/>
    <n v="8.1609999999999996"/>
    <n v="8.1609999999999996"/>
    <n v="8.1609999999999996"/>
    <n v="8.1609999999999996"/>
    <n v="0"/>
    <x v="0"/>
    <n v="0"/>
    <n v="0"/>
    <n v="43"/>
    <n v="80"/>
    <n v="0"/>
    <n v="259.20999999999998"/>
    <n v="307.08"/>
    <m/>
    <n v="373.94126596677751"/>
    <n v="313.20976164142951"/>
    <n v="0"/>
    <n v="2115.4128099999998"/>
    <n v="2506.0798799999998"/>
    <n v="0"/>
    <n v="3051.7346715548711"/>
    <n v="2556.1048647557059"/>
  </r>
  <r>
    <s v="Sistema de Compensação"/>
    <x v="3"/>
    <x v="3"/>
    <x v="1"/>
    <x v="0"/>
    <x v="0"/>
    <x v="0"/>
    <x v="0"/>
    <x v="2"/>
    <n v="0"/>
    <n v="0"/>
    <n v="3.746"/>
    <n v="3.746"/>
    <n v="3.746"/>
    <n v="3.746"/>
    <n v="0"/>
    <x v="0"/>
    <n v="0"/>
    <n v="0"/>
    <n v="43"/>
    <n v="80"/>
    <n v="0"/>
    <n v="259.20999999999998"/>
    <n v="307.08"/>
    <m/>
    <n v="373.94126596677751"/>
    <n v="313.20976164142951"/>
    <n v="0"/>
    <n v="971.00065999999993"/>
    <n v="1150.32168"/>
    <n v="0"/>
    <n v="1400.7839823115485"/>
    <n v="1173.283767108795"/>
  </r>
  <r>
    <s v="Regular"/>
    <x v="3"/>
    <x v="3"/>
    <x v="1"/>
    <x v="0"/>
    <x v="0"/>
    <x v="0"/>
    <x v="0"/>
    <x v="3"/>
    <n v="0"/>
    <n v="0"/>
    <n v="8.2840000000000007"/>
    <n v="8.2840000000000007"/>
    <n v="8.2840000000000007"/>
    <n v="8.2840000000000007"/>
    <n v="0"/>
    <x v="0"/>
    <n v="0"/>
    <n v="0"/>
    <n v="43"/>
    <n v="80"/>
    <n v="0"/>
    <n v="259.20999999999998"/>
    <n v="307.08"/>
    <m/>
    <n v="373.94126596677751"/>
    <n v="313.20976164142951"/>
    <n v="0"/>
    <n v="2147.2956399999998"/>
    <n v="2543.8507199999999"/>
    <n v="0"/>
    <n v="3097.729447268785"/>
    <n v="2594.6296654376024"/>
  </r>
  <r>
    <s v="Sistema de Compensação"/>
    <x v="3"/>
    <x v="3"/>
    <x v="1"/>
    <x v="0"/>
    <x v="0"/>
    <x v="0"/>
    <x v="0"/>
    <x v="3"/>
    <n v="0"/>
    <n v="0"/>
    <n v="0.93600000000000005"/>
    <n v="0.93600000000000005"/>
    <n v="0.93600000000000005"/>
    <n v="0.93600000000000005"/>
    <n v="0"/>
    <x v="0"/>
    <n v="0"/>
    <n v="0"/>
    <n v="43"/>
    <n v="80"/>
    <n v="0"/>
    <n v="259.20999999999998"/>
    <n v="307.08"/>
    <m/>
    <n v="373.94126596677751"/>
    <n v="313.20976164142951"/>
    <n v="0"/>
    <n v="242.62055999999998"/>
    <n v="287.42687999999998"/>
    <n v="0"/>
    <n v="350.00902494490379"/>
    <n v="293.16433689637802"/>
  </r>
  <r>
    <s v="Regular"/>
    <x v="3"/>
    <x v="3"/>
    <x v="1"/>
    <x v="0"/>
    <x v="0"/>
    <x v="0"/>
    <x v="0"/>
    <x v="4"/>
    <n v="0"/>
    <n v="0"/>
    <n v="8.9380000000000006"/>
    <n v="8.9380000000000006"/>
    <n v="8.9380000000000006"/>
    <n v="8.9380000000000006"/>
    <n v="0"/>
    <x v="0"/>
    <n v="0"/>
    <n v="0"/>
    <n v="43"/>
    <n v="80"/>
    <n v="0"/>
    <n v="259.20999999999998"/>
    <n v="307.08"/>
    <m/>
    <n v="373.94126596677751"/>
    <n v="313.20976164142951"/>
    <n v="0"/>
    <n v="2316.81898"/>
    <n v="2744.6810399999999"/>
    <n v="0"/>
    <n v="3342.2870352110576"/>
    <n v="2799.4688495510973"/>
  </r>
  <r>
    <s v="Regular"/>
    <x v="3"/>
    <x v="3"/>
    <x v="1"/>
    <x v="0"/>
    <x v="0"/>
    <x v="0"/>
    <x v="0"/>
    <x v="5"/>
    <n v="0"/>
    <n v="0"/>
    <n v="10.185"/>
    <n v="10.185"/>
    <n v="10.185"/>
    <n v="10.185"/>
    <n v="0"/>
    <x v="0"/>
    <n v="0"/>
    <n v="0"/>
    <n v="43"/>
    <n v="80"/>
    <n v="0"/>
    <n v="259.20999999999998"/>
    <n v="307.08"/>
    <m/>
    <n v="373.94126596677751"/>
    <n v="313.20976164142951"/>
    <n v="0"/>
    <n v="2640.0538499999998"/>
    <n v="3127.6098000000002"/>
    <n v="0"/>
    <n v="3808.5917938716293"/>
    <n v="3190.0414223179596"/>
  </r>
  <r>
    <s v="Sistema de Compensação"/>
    <x v="3"/>
    <x v="3"/>
    <x v="1"/>
    <x v="0"/>
    <x v="0"/>
    <x v="0"/>
    <x v="0"/>
    <x v="5"/>
    <n v="0"/>
    <n v="0"/>
    <n v="3.15"/>
    <n v="3.15"/>
    <n v="3.15"/>
    <n v="3.15"/>
    <n v="0"/>
    <x v="0"/>
    <n v="0"/>
    <n v="0"/>
    <n v="43"/>
    <n v="80"/>
    <n v="0"/>
    <n v="259.20999999999998"/>
    <n v="307.08"/>
    <m/>
    <n v="373.94126596677751"/>
    <n v="313.20976164142951"/>
    <n v="0"/>
    <n v="816.51149999999996"/>
    <n v="967.30199999999991"/>
    <n v="0"/>
    <n v="1177.9149877953491"/>
    <n v="986.61074917050291"/>
  </r>
  <r>
    <s v="Regular"/>
    <x v="3"/>
    <x v="3"/>
    <x v="1"/>
    <x v="0"/>
    <x v="0"/>
    <x v="0"/>
    <x v="0"/>
    <x v="6"/>
    <n v="0"/>
    <n v="0"/>
    <n v="10.805"/>
    <n v="10.805"/>
    <n v="10.805"/>
    <n v="10.805"/>
    <n v="0"/>
    <x v="0"/>
    <n v="0"/>
    <n v="0"/>
    <n v="43"/>
    <n v="80"/>
    <n v="0"/>
    <n v="259.20999999999998"/>
    <n v="307.08"/>
    <m/>
    <n v="373.94126596677751"/>
    <n v="313.20976164142951"/>
    <n v="0"/>
    <n v="2800.7640499999998"/>
    <n v="3317.9993999999997"/>
    <n v="0"/>
    <n v="4040.4353787710311"/>
    <n v="3384.2314745356457"/>
  </r>
  <r>
    <s v="Sistema de Compensação"/>
    <x v="3"/>
    <x v="3"/>
    <x v="1"/>
    <x v="0"/>
    <x v="0"/>
    <x v="0"/>
    <x v="0"/>
    <x v="6"/>
    <n v="0"/>
    <n v="0"/>
    <n v="4.7E-2"/>
    <n v="4.7E-2"/>
    <n v="4.7E-2"/>
    <n v="4.7E-2"/>
    <n v="0"/>
    <x v="0"/>
    <n v="0"/>
    <n v="0"/>
    <n v="43"/>
    <n v="80"/>
    <n v="0"/>
    <n v="259.20999999999998"/>
    <n v="307.08"/>
    <m/>
    <n v="373.94126596677751"/>
    <n v="313.20976164142951"/>
    <n v="0"/>
    <n v="12.182869999999999"/>
    <n v="14.43276"/>
    <n v="0"/>
    <n v="17.575239500438542"/>
    <n v="14.720858797147187"/>
  </r>
  <r>
    <s v="Sistema de Compensação"/>
    <x v="3"/>
    <x v="3"/>
    <x v="1"/>
    <x v="0"/>
    <x v="0"/>
    <x v="0"/>
    <x v="0"/>
    <x v="6"/>
    <n v="0"/>
    <n v="0"/>
    <n v="3.15"/>
    <n v="3.15"/>
    <n v="3.15"/>
    <n v="3.15"/>
    <n v="0"/>
    <x v="0"/>
    <n v="0"/>
    <n v="0"/>
    <n v="43"/>
    <n v="80"/>
    <n v="0"/>
    <n v="259.20999999999998"/>
    <n v="307.08"/>
    <m/>
    <n v="373.94126596677751"/>
    <n v="313.20976164142951"/>
    <n v="0"/>
    <n v="816.51149999999996"/>
    <n v="967.30199999999991"/>
    <n v="0"/>
    <n v="1177.9149877953491"/>
    <n v="986.61074917050291"/>
  </r>
  <r>
    <s v="Regular"/>
    <x v="3"/>
    <x v="3"/>
    <x v="1"/>
    <x v="0"/>
    <x v="0"/>
    <x v="0"/>
    <x v="0"/>
    <x v="7"/>
    <n v="0"/>
    <n v="0"/>
    <n v="10.351000000000001"/>
    <n v="10.351000000000001"/>
    <n v="10.351000000000001"/>
    <n v="10.351000000000001"/>
    <n v="0"/>
    <x v="0"/>
    <n v="0"/>
    <n v="0"/>
    <n v="43"/>
    <n v="80"/>
    <n v="0"/>
    <n v="259.20999999999998"/>
    <n v="307.08"/>
    <m/>
    <n v="373.94126596677751"/>
    <n v="313.20976164142951"/>
    <n v="0"/>
    <n v="2683.0827100000001"/>
    <n v="3178.5850800000003"/>
    <n v="0"/>
    <n v="3870.6660440221144"/>
    <n v="3242.034242750437"/>
  </r>
  <r>
    <s v="Sistema de Compensação"/>
    <x v="3"/>
    <x v="3"/>
    <x v="1"/>
    <x v="0"/>
    <x v="0"/>
    <x v="0"/>
    <x v="0"/>
    <x v="7"/>
    <n v="0"/>
    <n v="0"/>
    <n v="0.25600000000000001"/>
    <n v="0.25600000000000001"/>
    <n v="0.25600000000000001"/>
    <n v="0.25600000000000001"/>
    <n v="0"/>
    <x v="0"/>
    <n v="0"/>
    <n v="0"/>
    <n v="43"/>
    <n v="80"/>
    <n v="0"/>
    <n v="259.20999999999998"/>
    <n v="307.08"/>
    <m/>
    <n v="373.94126596677751"/>
    <n v="313.20976164142951"/>
    <n v="0"/>
    <n v="66.357759999999999"/>
    <n v="78.612479999999991"/>
    <n v="0"/>
    <n v="95.728964087495044"/>
    <n v="80.181698980205951"/>
  </r>
  <r>
    <s v="Regular"/>
    <x v="3"/>
    <x v="3"/>
    <x v="1"/>
    <x v="0"/>
    <x v="0"/>
    <x v="0"/>
    <x v="0"/>
    <x v="8"/>
    <n v="0"/>
    <n v="0"/>
    <n v="9.1"/>
    <n v="9.1"/>
    <n v="9.1"/>
    <n v="9.1"/>
    <n v="0"/>
    <x v="0"/>
    <n v="0"/>
    <n v="0"/>
    <n v="43"/>
    <n v="80"/>
    <n v="0"/>
    <n v="259.20999999999998"/>
    <n v="307.08"/>
    <m/>
    <n v="373.94126596677751"/>
    <n v="313.20976164142951"/>
    <n v="0"/>
    <n v="2358.8109999999997"/>
    <n v="2794.4279999999999"/>
    <n v="0"/>
    <n v="3402.8655202976752"/>
    <n v="2850.2088309370083"/>
  </r>
  <r>
    <s v="Sistema de Compensação"/>
    <x v="3"/>
    <x v="3"/>
    <x v="1"/>
    <x v="0"/>
    <x v="0"/>
    <x v="0"/>
    <x v="0"/>
    <x v="8"/>
    <n v="0"/>
    <n v="0"/>
    <n v="0.24"/>
    <n v="0.24"/>
    <n v="0.24"/>
    <n v="0.24"/>
    <n v="0"/>
    <x v="0"/>
    <n v="0"/>
    <n v="0"/>
    <n v="43"/>
    <n v="80"/>
    <n v="0"/>
    <n v="259.20999999999998"/>
    <n v="307.08"/>
    <m/>
    <n v="373.94126596677751"/>
    <n v="313.20976164142951"/>
    <n v="0"/>
    <n v="62.210399999999993"/>
    <n v="73.69919999999999"/>
    <n v="0"/>
    <n v="89.745903832026599"/>
    <n v="75.170342793943078"/>
  </r>
  <r>
    <s v="Regular"/>
    <x v="3"/>
    <x v="3"/>
    <x v="1"/>
    <x v="0"/>
    <x v="0"/>
    <x v="0"/>
    <x v="0"/>
    <x v="9"/>
    <n v="0"/>
    <n v="0"/>
    <n v="9.14"/>
    <n v="9.14"/>
    <n v="9.14"/>
    <n v="9.14"/>
    <n v="0"/>
    <x v="0"/>
    <n v="0"/>
    <n v="0"/>
    <n v="43"/>
    <n v="80"/>
    <n v="0"/>
    <n v="259.20999999999998"/>
    <n v="307.08"/>
    <m/>
    <n v="373.94126596677751"/>
    <n v="313.20976164142951"/>
    <n v="0"/>
    <n v="2369.1794"/>
    <n v="2806.7112000000002"/>
    <n v="0"/>
    <n v="3417.8231709363467"/>
    <n v="2862.7372214026659"/>
  </r>
  <r>
    <s v="Sistema de Compensação"/>
    <x v="3"/>
    <x v="3"/>
    <x v="1"/>
    <x v="0"/>
    <x v="0"/>
    <x v="0"/>
    <x v="0"/>
    <x v="9"/>
    <n v="0"/>
    <n v="0"/>
    <n v="0.9"/>
    <n v="0.9"/>
    <n v="0.9"/>
    <n v="0.9"/>
    <n v="0"/>
    <x v="0"/>
    <n v="0"/>
    <n v="0"/>
    <n v="43"/>
    <n v="80"/>
    <n v="0"/>
    <n v="259.20999999999998"/>
    <n v="307.08"/>
    <m/>
    <n v="373.94126596677751"/>
    <n v="313.20976164142951"/>
    <n v="0"/>
    <n v="233.28899999999999"/>
    <n v="276.37200000000001"/>
    <n v="0"/>
    <n v="336.54713937009979"/>
    <n v="281.88878547728655"/>
  </r>
  <r>
    <s v="Regular"/>
    <x v="3"/>
    <x v="3"/>
    <x v="1"/>
    <x v="0"/>
    <x v="0"/>
    <x v="0"/>
    <x v="0"/>
    <x v="10"/>
    <n v="0"/>
    <n v="0"/>
    <n v="10.19"/>
    <n v="10.19"/>
    <n v="10.19"/>
    <n v="10.19"/>
    <n v="0"/>
    <x v="0"/>
    <n v="0"/>
    <n v="0"/>
    <n v="43"/>
    <n v="80"/>
    <n v="0"/>
    <n v="259.20999999999998"/>
    <n v="307.08"/>
    <m/>
    <n v="373.94126596677751"/>
    <n v="313.20976164142951"/>
    <n v="0"/>
    <n v="2641.3498999999997"/>
    <n v="3129.1451999999995"/>
    <n v="0"/>
    <n v="3810.4615002014625"/>
    <n v="3191.6074711261667"/>
  </r>
  <r>
    <s v="Sistema de Compensação"/>
    <x v="3"/>
    <x v="3"/>
    <x v="1"/>
    <x v="0"/>
    <x v="0"/>
    <x v="0"/>
    <x v="0"/>
    <x v="10"/>
    <n v="0"/>
    <n v="0"/>
    <n v="5.13"/>
    <n v="5.13"/>
    <n v="5.13"/>
    <n v="5.13"/>
    <n v="0"/>
    <x v="0"/>
    <n v="0"/>
    <n v="0"/>
    <n v="43"/>
    <n v="80"/>
    <n v="0"/>
    <n v="259.20999999999998"/>
    <n v="307.08"/>
    <m/>
    <n v="373.94126596677751"/>
    <n v="313.20976164142951"/>
    <n v="0"/>
    <n v="1329.7472999999998"/>
    <n v="1575.3203999999998"/>
    <n v="0"/>
    <n v="1918.3186944095685"/>
    <n v="1606.7660772205334"/>
  </r>
  <r>
    <s v="PROJETADO"/>
    <x v="3"/>
    <x v="3"/>
    <x v="1"/>
    <x v="0"/>
    <x v="0"/>
    <x v="0"/>
    <x v="0"/>
    <x v="11"/>
    <n v="0"/>
    <n v="0"/>
    <n v="10.19"/>
    <n v="10.19"/>
    <n v="10.19"/>
    <n v="10.19"/>
    <n v="0"/>
    <x v="0"/>
    <n v="0"/>
    <n v="0"/>
    <n v="43"/>
    <n v="80"/>
    <n v="0"/>
    <n v="259.20999999999998"/>
    <n v="307.08"/>
    <m/>
    <n v="373.94126596677751"/>
    <n v="313.20976164142951"/>
    <n v="0"/>
    <n v="2641.3498999999997"/>
    <n v="3129.1451999999995"/>
    <n v="0"/>
    <n v="3810.4615002014625"/>
    <n v="3191.6074711261667"/>
  </r>
  <r>
    <s v="PROJETADO"/>
    <x v="3"/>
    <x v="3"/>
    <x v="1"/>
    <x v="0"/>
    <x v="0"/>
    <x v="0"/>
    <x v="0"/>
    <x v="11"/>
    <n v="0"/>
    <n v="0"/>
    <n v="5.13"/>
    <n v="5.13"/>
    <n v="5.13"/>
    <n v="5.13"/>
    <n v="0"/>
    <x v="0"/>
    <n v="0"/>
    <n v="0"/>
    <n v="43"/>
    <n v="80"/>
    <n v="0"/>
    <n v="259.20999999999998"/>
    <n v="307.08"/>
    <m/>
    <n v="373.94126596677751"/>
    <n v="313.20976164142951"/>
    <n v="0"/>
    <n v="1329.7472999999998"/>
    <n v="1575.3203999999998"/>
    <n v="0"/>
    <n v="1918.3186944095685"/>
    <n v="1606.7660772205334"/>
  </r>
  <r>
    <s v="Regular"/>
    <x v="3"/>
    <x v="3"/>
    <x v="1"/>
    <x v="0"/>
    <x v="0"/>
    <x v="0"/>
    <x v="3"/>
    <x v="0"/>
    <n v="0"/>
    <n v="0"/>
    <n v="0.40300000000000002"/>
    <n v="0.40300000000000002"/>
    <n v="0.40300000000000002"/>
    <n v="0.40300000000000002"/>
    <n v="0"/>
    <x v="0"/>
    <n v="0"/>
    <n v="0"/>
    <n v="42"/>
    <n v="79"/>
    <n v="0"/>
    <n v="580.75"/>
    <n v="307.08"/>
    <m/>
    <n v="738.50149288761725"/>
    <n v="313.20976164142951"/>
    <n v="0"/>
    <n v="234.04225000000002"/>
    <n v="123.75324000000001"/>
    <n v="0"/>
    <n v="297.61610163370977"/>
    <n v="126.2235339414961"/>
  </r>
  <r>
    <s v="Sistema de Compensação"/>
    <x v="3"/>
    <x v="3"/>
    <x v="1"/>
    <x v="0"/>
    <x v="0"/>
    <x v="0"/>
    <x v="3"/>
    <x v="0"/>
    <n v="0"/>
    <n v="0"/>
    <n v="0.09"/>
    <n v="0.09"/>
    <n v="0.09"/>
    <n v="0.09"/>
    <n v="0"/>
    <x v="0"/>
    <n v="0"/>
    <n v="0"/>
    <n v="42"/>
    <n v="79"/>
    <n v="0"/>
    <n v="580.75"/>
    <n v="307.08"/>
    <m/>
    <n v="738.50149288761725"/>
    <n v="313.20976164142951"/>
    <n v="0"/>
    <n v="52.267499999999998"/>
    <n v="27.637199999999996"/>
    <n v="0"/>
    <n v="66.465134359885553"/>
    <n v="28.188878547728656"/>
  </r>
  <r>
    <s v="Regular"/>
    <x v="3"/>
    <x v="3"/>
    <x v="1"/>
    <x v="0"/>
    <x v="0"/>
    <x v="0"/>
    <x v="3"/>
    <x v="1"/>
    <n v="0"/>
    <n v="0"/>
    <n v="0.58499999999999996"/>
    <n v="0.58499999999999996"/>
    <n v="0.58499999999999996"/>
    <n v="0.58499999999999996"/>
    <n v="0"/>
    <x v="0"/>
    <n v="0"/>
    <n v="0"/>
    <n v="42"/>
    <n v="79"/>
    <n v="0"/>
    <n v="580.75"/>
    <n v="307.08"/>
    <m/>
    <n v="738.50149288761725"/>
    <n v="313.20976164142951"/>
    <n v="0"/>
    <n v="339.73874999999998"/>
    <n v="179.64179999999999"/>
    <n v="0"/>
    <n v="432.02337333925607"/>
    <n v="183.22771056023626"/>
  </r>
  <r>
    <s v="Regular"/>
    <x v="3"/>
    <x v="3"/>
    <x v="1"/>
    <x v="0"/>
    <x v="0"/>
    <x v="0"/>
    <x v="3"/>
    <x v="2"/>
    <n v="0"/>
    <n v="0"/>
    <n v="0.25600000000000001"/>
    <n v="0.25600000000000001"/>
    <n v="0.25600000000000001"/>
    <n v="0.25600000000000001"/>
    <n v="0"/>
    <x v="0"/>
    <n v="0"/>
    <n v="0"/>
    <n v="42"/>
    <n v="79"/>
    <n v="0"/>
    <n v="580.75"/>
    <n v="307.08"/>
    <m/>
    <n v="738.50149288761725"/>
    <n v="313.20976164142951"/>
    <n v="0"/>
    <n v="148.672"/>
    <n v="78.612479999999991"/>
    <n v="0"/>
    <n v="189.05638217923001"/>
    <n v="80.181698980205951"/>
  </r>
  <r>
    <s v="Sistema de Compensação"/>
    <x v="3"/>
    <x v="3"/>
    <x v="1"/>
    <x v="0"/>
    <x v="0"/>
    <x v="0"/>
    <x v="3"/>
    <x v="2"/>
    <n v="0"/>
    <n v="0"/>
    <n v="0.36"/>
    <n v="0.36"/>
    <n v="0.36"/>
    <n v="0.36"/>
    <n v="0"/>
    <x v="0"/>
    <n v="0"/>
    <n v="0"/>
    <n v="42"/>
    <n v="79"/>
    <n v="0"/>
    <n v="580.75"/>
    <n v="307.08"/>
    <m/>
    <n v="738.50149288761725"/>
    <n v="313.20976164142951"/>
    <n v="0"/>
    <n v="209.07"/>
    <n v="110.54879999999999"/>
    <n v="0"/>
    <n v="265.86053743954221"/>
    <n v="112.75551419091462"/>
  </r>
  <r>
    <s v="Regular"/>
    <x v="3"/>
    <x v="3"/>
    <x v="1"/>
    <x v="0"/>
    <x v="0"/>
    <x v="0"/>
    <x v="3"/>
    <x v="3"/>
    <n v="0"/>
    <n v="0"/>
    <n v="0.29599999999999999"/>
    <n v="0.29599999999999999"/>
    <n v="0.29599999999999999"/>
    <n v="0.29599999999999999"/>
    <n v="0"/>
    <x v="0"/>
    <n v="0"/>
    <n v="0"/>
    <n v="42"/>
    <n v="79"/>
    <n v="0"/>
    <n v="580.75"/>
    <n v="307.08"/>
    <m/>
    <n v="738.50149288761725"/>
    <n v="313.20976164142951"/>
    <n v="0"/>
    <n v="171.90199999999999"/>
    <n v="90.895679999999984"/>
    <n v="0"/>
    <n v="218.59644189473468"/>
    <n v="92.710089445863133"/>
  </r>
  <r>
    <s v="Sistema de Compensação"/>
    <x v="3"/>
    <x v="3"/>
    <x v="1"/>
    <x v="0"/>
    <x v="0"/>
    <x v="0"/>
    <x v="3"/>
    <x v="3"/>
    <n v="0"/>
    <n v="0"/>
    <n v="0.21"/>
    <n v="0.21"/>
    <n v="0.21"/>
    <n v="0.21"/>
    <n v="0"/>
    <x v="0"/>
    <n v="0"/>
    <n v="0"/>
    <n v="42"/>
    <n v="79"/>
    <n v="0"/>
    <n v="580.75"/>
    <n v="307.08"/>
    <m/>
    <n v="738.50149288761725"/>
    <n v="313.20976164142951"/>
    <n v="0"/>
    <n v="121.9575"/>
    <n v="64.486799999999988"/>
    <n v="0"/>
    <n v="155.08531350639961"/>
    <n v="65.774049944700195"/>
  </r>
  <r>
    <s v="Regular"/>
    <x v="3"/>
    <x v="3"/>
    <x v="1"/>
    <x v="0"/>
    <x v="0"/>
    <x v="0"/>
    <x v="3"/>
    <x v="4"/>
    <n v="0"/>
    <n v="0"/>
    <n v="0.255"/>
    <n v="0.255"/>
    <n v="0.255"/>
    <n v="0.255"/>
    <n v="0"/>
    <x v="0"/>
    <n v="0"/>
    <n v="0"/>
    <n v="42"/>
    <n v="79"/>
    <n v="0"/>
    <n v="580.75"/>
    <n v="307.08"/>
    <m/>
    <n v="738.50149288761725"/>
    <n v="313.20976164142951"/>
    <n v="0"/>
    <n v="148.09125"/>
    <n v="78.305399999999992"/>
    <n v="0"/>
    <n v="188.31788068634239"/>
    <n v="79.86848921856452"/>
  </r>
  <r>
    <s v="Regular"/>
    <x v="3"/>
    <x v="3"/>
    <x v="1"/>
    <x v="0"/>
    <x v="0"/>
    <x v="0"/>
    <x v="3"/>
    <x v="5"/>
    <n v="0"/>
    <n v="0"/>
    <n v="0.48899999999999999"/>
    <n v="0.48899999999999999"/>
    <n v="0.48899999999999999"/>
    <n v="0.48899999999999999"/>
    <n v="0"/>
    <x v="0"/>
    <n v="0"/>
    <n v="0"/>
    <n v="42"/>
    <n v="79"/>
    <n v="0"/>
    <n v="580.75"/>
    <n v="307.08"/>
    <m/>
    <n v="738.50149288761725"/>
    <n v="313.20976164142951"/>
    <n v="0"/>
    <n v="283.98674999999997"/>
    <n v="150.16211999999999"/>
    <n v="0"/>
    <n v="361.12723002204484"/>
    <n v="153.15957344265902"/>
  </r>
  <r>
    <s v="Regular"/>
    <x v="3"/>
    <x v="3"/>
    <x v="1"/>
    <x v="0"/>
    <x v="0"/>
    <x v="0"/>
    <x v="3"/>
    <x v="6"/>
    <n v="0"/>
    <n v="0"/>
    <n v="1.161"/>
    <n v="1.161"/>
    <n v="1.161"/>
    <n v="1.161"/>
    <n v="0"/>
    <x v="0"/>
    <n v="0"/>
    <n v="0"/>
    <n v="42"/>
    <n v="79"/>
    <n v="0"/>
    <n v="580.75"/>
    <n v="307.08"/>
    <m/>
    <n v="738.50149288761725"/>
    <n v="313.20976164142951"/>
    <n v="0"/>
    <n v="674.25075000000004"/>
    <n v="356.51988"/>
    <n v="0"/>
    <n v="857.40023324252365"/>
    <n v="363.63653326569965"/>
  </r>
  <r>
    <s v="Sistema de Compensação"/>
    <x v="3"/>
    <x v="3"/>
    <x v="1"/>
    <x v="0"/>
    <x v="0"/>
    <x v="0"/>
    <x v="3"/>
    <x v="6"/>
    <n v="0"/>
    <n v="0"/>
    <n v="0.06"/>
    <n v="0.06"/>
    <n v="0.06"/>
    <n v="0.06"/>
    <n v="0"/>
    <x v="0"/>
    <n v="0"/>
    <n v="0"/>
    <n v="42"/>
    <n v="79"/>
    <n v="0"/>
    <n v="580.75"/>
    <n v="307.08"/>
    <m/>
    <n v="738.50149288761725"/>
    <n v="313.20976164142951"/>
    <n v="0"/>
    <n v="34.844999999999999"/>
    <n v="18.424799999999998"/>
    <n v="0"/>
    <n v="44.310089573257031"/>
    <n v="18.79258569848577"/>
  </r>
  <r>
    <s v="Regular"/>
    <x v="3"/>
    <x v="3"/>
    <x v="1"/>
    <x v="0"/>
    <x v="0"/>
    <x v="0"/>
    <x v="3"/>
    <x v="7"/>
    <n v="0"/>
    <n v="0"/>
    <n v="0.29699999999999999"/>
    <n v="0.29699999999999999"/>
    <n v="0.29699999999999999"/>
    <n v="0.29699999999999999"/>
    <n v="0"/>
    <x v="0"/>
    <n v="0"/>
    <n v="0"/>
    <n v="42"/>
    <n v="79"/>
    <n v="0"/>
    <n v="580.75"/>
    <n v="307.08"/>
    <m/>
    <n v="738.50149288761725"/>
    <n v="313.20976164142951"/>
    <n v="0"/>
    <n v="172.48274999999998"/>
    <n v="91.202759999999998"/>
    <n v="0"/>
    <n v="219.3349433876223"/>
    <n v="93.023299207504564"/>
  </r>
  <r>
    <s v="Regular"/>
    <x v="3"/>
    <x v="3"/>
    <x v="1"/>
    <x v="0"/>
    <x v="0"/>
    <x v="0"/>
    <x v="3"/>
    <x v="8"/>
    <n v="0"/>
    <n v="0"/>
    <n v="0.28299999999999997"/>
    <n v="0.28299999999999997"/>
    <n v="0.28299999999999997"/>
    <n v="0.28299999999999997"/>
    <n v="0"/>
    <x v="0"/>
    <n v="0"/>
    <n v="0"/>
    <n v="42"/>
    <n v="79"/>
    <n v="0"/>
    <n v="580.75"/>
    <n v="307.08"/>
    <m/>
    <n v="738.50149288761725"/>
    <n v="313.20976164142951"/>
    <n v="0"/>
    <n v="164.35225"/>
    <n v="86.903639999999982"/>
    <n v="0"/>
    <n v="208.99592248719566"/>
    <n v="88.63836254452454"/>
  </r>
  <r>
    <s v="Sistema de Compensação"/>
    <x v="3"/>
    <x v="3"/>
    <x v="1"/>
    <x v="0"/>
    <x v="0"/>
    <x v="0"/>
    <x v="3"/>
    <x v="8"/>
    <n v="0"/>
    <n v="0"/>
    <n v="0.18"/>
    <n v="0.18"/>
    <n v="0.18"/>
    <n v="0.18"/>
    <n v="0"/>
    <x v="0"/>
    <n v="0"/>
    <n v="0"/>
    <n v="42"/>
    <n v="79"/>
    <n v="0"/>
    <n v="580.75"/>
    <n v="307.08"/>
    <m/>
    <n v="738.50149288761725"/>
    <n v="313.20976164142951"/>
    <n v="0"/>
    <n v="104.535"/>
    <n v="55.274399999999993"/>
    <n v="0"/>
    <n v="132.93026871977111"/>
    <n v="56.377757095457312"/>
  </r>
  <r>
    <s v="Regular"/>
    <x v="3"/>
    <x v="3"/>
    <x v="1"/>
    <x v="0"/>
    <x v="0"/>
    <x v="0"/>
    <x v="3"/>
    <x v="9"/>
    <n v="0"/>
    <n v="0"/>
    <n v="0.33300000000000002"/>
    <n v="0.33300000000000002"/>
    <n v="0.33300000000000002"/>
    <n v="0.33300000000000002"/>
    <n v="0"/>
    <x v="0"/>
    <n v="0"/>
    <n v="0"/>
    <n v="42"/>
    <n v="79"/>
    <n v="0"/>
    <n v="580.75"/>
    <n v="307.08"/>
    <m/>
    <n v="738.50149288761725"/>
    <n v="313.20976164142951"/>
    <n v="0"/>
    <n v="193.38975000000002"/>
    <n v="102.25763999999999"/>
    <n v="0"/>
    <n v="245.92099713157657"/>
    <n v="104.29885062659604"/>
  </r>
  <r>
    <s v="Sistema de Compensação"/>
    <x v="3"/>
    <x v="3"/>
    <x v="1"/>
    <x v="0"/>
    <x v="0"/>
    <x v="0"/>
    <x v="3"/>
    <x v="9"/>
    <n v="0"/>
    <n v="0"/>
    <n v="0.18"/>
    <n v="0.18"/>
    <n v="0.18"/>
    <n v="0.18"/>
    <n v="0"/>
    <x v="0"/>
    <n v="0"/>
    <n v="0"/>
    <n v="42"/>
    <n v="79"/>
    <n v="0"/>
    <n v="580.75"/>
    <n v="307.08"/>
    <m/>
    <n v="738.50149288761725"/>
    <n v="313.20976164142951"/>
    <n v="0"/>
    <n v="104.535"/>
    <n v="55.274399999999993"/>
    <n v="0"/>
    <n v="132.93026871977111"/>
    <n v="56.377757095457312"/>
  </r>
  <r>
    <s v="Regular"/>
    <x v="3"/>
    <x v="3"/>
    <x v="1"/>
    <x v="0"/>
    <x v="0"/>
    <x v="0"/>
    <x v="3"/>
    <x v="10"/>
    <n v="0"/>
    <n v="0"/>
    <n v="0.376"/>
    <n v="0.376"/>
    <n v="0.376"/>
    <n v="0.376"/>
    <n v="0"/>
    <x v="0"/>
    <n v="0"/>
    <n v="0"/>
    <n v="42"/>
    <n v="79"/>
    <n v="0"/>
    <n v="580.75"/>
    <n v="307.08"/>
    <m/>
    <n v="738.50149288761725"/>
    <n v="313.20976164142951"/>
    <n v="0"/>
    <n v="218.36199999999999"/>
    <n v="115.46208"/>
    <n v="0"/>
    <n v="277.6765613257441"/>
    <n v="117.7668703771775"/>
  </r>
  <r>
    <s v="Sistema de Compensação"/>
    <x v="3"/>
    <x v="3"/>
    <x v="1"/>
    <x v="0"/>
    <x v="0"/>
    <x v="0"/>
    <x v="3"/>
    <x v="10"/>
    <n v="0"/>
    <n v="0"/>
    <n v="0.36"/>
    <n v="0.36"/>
    <n v="0.36"/>
    <n v="0.36"/>
    <n v="0"/>
    <x v="0"/>
    <n v="0"/>
    <n v="0"/>
    <n v="42"/>
    <n v="79"/>
    <n v="0"/>
    <n v="580.75"/>
    <n v="307.08"/>
    <m/>
    <n v="738.50149288761725"/>
    <n v="313.20976164142951"/>
    <n v="0"/>
    <n v="209.07"/>
    <n v="110.54879999999999"/>
    <n v="0"/>
    <n v="265.86053743954221"/>
    <n v="112.75551419091462"/>
  </r>
  <r>
    <s v="PROJETADO"/>
    <x v="3"/>
    <x v="3"/>
    <x v="1"/>
    <x v="0"/>
    <x v="0"/>
    <x v="0"/>
    <x v="3"/>
    <x v="11"/>
    <n v="0"/>
    <n v="0"/>
    <n v="0.376"/>
    <n v="0.376"/>
    <n v="0.376"/>
    <n v="0.376"/>
    <n v="0"/>
    <x v="0"/>
    <n v="0"/>
    <n v="0"/>
    <n v="42"/>
    <n v="79"/>
    <n v="0"/>
    <n v="580.75"/>
    <n v="307.08"/>
    <m/>
    <n v="738.50149288761725"/>
    <n v="313.20976164142951"/>
    <n v="0"/>
    <n v="218.36199999999999"/>
    <n v="115.46208"/>
    <n v="0"/>
    <n v="277.6765613257441"/>
    <n v="117.7668703771775"/>
  </r>
  <r>
    <s v="PROJETADO"/>
    <x v="3"/>
    <x v="3"/>
    <x v="1"/>
    <x v="0"/>
    <x v="0"/>
    <x v="0"/>
    <x v="3"/>
    <x v="11"/>
    <n v="0"/>
    <n v="0"/>
    <n v="0.36"/>
    <n v="0.36"/>
    <n v="0.36"/>
    <n v="0.36"/>
    <n v="0"/>
    <x v="0"/>
    <n v="0"/>
    <n v="0"/>
    <n v="42"/>
    <n v="79"/>
    <n v="0"/>
    <n v="580.75"/>
    <n v="307.08"/>
    <m/>
    <n v="738.50149288761725"/>
    <n v="313.20976164142951"/>
    <n v="0"/>
    <n v="209.07"/>
    <n v="110.54879999999999"/>
    <n v="0"/>
    <n v="265.86053743954221"/>
    <n v="112.75551419091462"/>
  </r>
  <r>
    <s v="Sistema de Compensação"/>
    <x v="3"/>
    <x v="3"/>
    <x v="1"/>
    <x v="0"/>
    <x v="0"/>
    <x v="0"/>
    <x v="2"/>
    <x v="0"/>
    <n v="0"/>
    <n v="0"/>
    <n v="0.3"/>
    <n v="0.3"/>
    <n v="0.3"/>
    <n v="0.3"/>
    <n v="3"/>
    <x v="0"/>
    <n v="0"/>
    <n v="0"/>
    <n v="44"/>
    <n v="81"/>
    <n v="0"/>
    <n v="324.88"/>
    <n v="322.54000000000002"/>
    <m/>
    <n v="448.39375036225908"/>
    <n v="328.70388835395738"/>
    <n v="0"/>
    <n v="97.463999999999999"/>
    <n v="96.762"/>
    <n v="0"/>
    <n v="134.51812510867771"/>
    <n v="98.611166506187217"/>
  </r>
  <r>
    <s v="Sistema de Compensação"/>
    <x v="3"/>
    <x v="3"/>
    <x v="1"/>
    <x v="0"/>
    <x v="0"/>
    <x v="0"/>
    <x v="2"/>
    <x v="1"/>
    <n v="0"/>
    <n v="0"/>
    <n v="0.2"/>
    <n v="0.2"/>
    <n v="0.2"/>
    <n v="0.2"/>
    <n v="2"/>
    <x v="0"/>
    <n v="0"/>
    <n v="0"/>
    <n v="44"/>
    <n v="81"/>
    <n v="0"/>
    <n v="324.88"/>
    <n v="322.54000000000002"/>
    <m/>
    <n v="448.39375036225908"/>
    <n v="328.70388835395738"/>
    <n v="0"/>
    <n v="64.975999999999999"/>
    <n v="64.50800000000001"/>
    <n v="0"/>
    <n v="89.67875007245182"/>
    <n v="65.740777670791473"/>
  </r>
  <r>
    <s v="Sistema de Compensação"/>
    <x v="3"/>
    <x v="3"/>
    <x v="1"/>
    <x v="0"/>
    <x v="0"/>
    <x v="0"/>
    <x v="2"/>
    <x v="2"/>
    <n v="0"/>
    <n v="0"/>
    <n v="0.4"/>
    <n v="0.4"/>
    <n v="0.4"/>
    <n v="0.4"/>
    <n v="4"/>
    <x v="0"/>
    <n v="0"/>
    <n v="0"/>
    <n v="44"/>
    <n v="81"/>
    <n v="0"/>
    <n v="324.88"/>
    <n v="322.54000000000002"/>
    <m/>
    <n v="448.39375036225908"/>
    <n v="328.70388835395738"/>
    <n v="0"/>
    <n v="129.952"/>
    <n v="129.01600000000002"/>
    <n v="0"/>
    <n v="179.35750014490364"/>
    <n v="131.48155534158295"/>
  </r>
  <r>
    <s v="Sistema de Compensação"/>
    <x v="3"/>
    <x v="3"/>
    <x v="1"/>
    <x v="0"/>
    <x v="0"/>
    <x v="0"/>
    <x v="2"/>
    <x v="3"/>
    <n v="0"/>
    <n v="0"/>
    <n v="0.1"/>
    <n v="0.1"/>
    <n v="0.1"/>
    <n v="0.1"/>
    <n v="4"/>
    <x v="0"/>
    <n v="0"/>
    <n v="0"/>
    <n v="44"/>
    <n v="81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Sistema de Compensação"/>
    <x v="3"/>
    <x v="3"/>
    <x v="1"/>
    <x v="0"/>
    <x v="0"/>
    <x v="0"/>
    <x v="2"/>
    <x v="4"/>
    <n v="0"/>
    <n v="0"/>
    <n v="0.4"/>
    <n v="0.4"/>
    <n v="0.4"/>
    <n v="0.4"/>
    <n v="4"/>
    <x v="0"/>
    <n v="0"/>
    <n v="0"/>
    <n v="44"/>
    <n v="81"/>
    <n v="0"/>
    <n v="324.88"/>
    <n v="322.54000000000002"/>
    <m/>
    <n v="448.39375036225908"/>
    <n v="328.70388835395738"/>
    <n v="0"/>
    <n v="129.952"/>
    <n v="129.01600000000002"/>
    <n v="0"/>
    <n v="179.35750014490364"/>
    <n v="131.48155534158295"/>
  </r>
  <r>
    <s v="Sistema de Compensação"/>
    <x v="3"/>
    <x v="3"/>
    <x v="1"/>
    <x v="0"/>
    <x v="0"/>
    <x v="0"/>
    <x v="2"/>
    <x v="5"/>
    <n v="0"/>
    <n v="0"/>
    <n v="0.4"/>
    <n v="0.4"/>
    <n v="0.4"/>
    <n v="0.4"/>
    <n v="4"/>
    <x v="0"/>
    <n v="0"/>
    <n v="0"/>
    <n v="44"/>
    <n v="81"/>
    <n v="0"/>
    <n v="324.88"/>
    <n v="322.54000000000002"/>
    <m/>
    <n v="448.39375036225908"/>
    <n v="328.70388835395738"/>
    <n v="0"/>
    <n v="129.952"/>
    <n v="129.01600000000002"/>
    <n v="0"/>
    <n v="179.35750014490364"/>
    <n v="131.48155534158295"/>
  </r>
  <r>
    <s v="Sistema de Compensação"/>
    <x v="3"/>
    <x v="3"/>
    <x v="1"/>
    <x v="0"/>
    <x v="0"/>
    <x v="0"/>
    <x v="2"/>
    <x v="6"/>
    <n v="0"/>
    <n v="0"/>
    <n v="0.4"/>
    <n v="0.4"/>
    <n v="0.4"/>
    <n v="0.4"/>
    <n v="4"/>
    <x v="0"/>
    <n v="0"/>
    <n v="0"/>
    <n v="44"/>
    <n v="81"/>
    <n v="0"/>
    <n v="324.88"/>
    <n v="322.54000000000002"/>
    <m/>
    <n v="448.39375036225908"/>
    <n v="328.70388835395738"/>
    <n v="0"/>
    <n v="129.952"/>
    <n v="129.01600000000002"/>
    <n v="0"/>
    <n v="179.35750014490364"/>
    <n v="131.48155534158295"/>
  </r>
  <r>
    <s v="Sistema de Compensação"/>
    <x v="3"/>
    <x v="3"/>
    <x v="1"/>
    <x v="0"/>
    <x v="0"/>
    <x v="0"/>
    <x v="2"/>
    <x v="6"/>
    <n v="0"/>
    <n v="0"/>
    <n v="0.6"/>
    <n v="0.6"/>
    <n v="0.6"/>
    <n v="0.6"/>
    <n v="0"/>
    <x v="0"/>
    <n v="0"/>
    <n v="0"/>
    <n v="44"/>
    <n v="81"/>
    <n v="0"/>
    <n v="324.88"/>
    <n v="322.54000000000002"/>
    <m/>
    <n v="448.39375036225908"/>
    <n v="328.70388835395738"/>
    <n v="0"/>
    <n v="194.928"/>
    <n v="193.524"/>
    <n v="0"/>
    <n v="269.03625021735542"/>
    <n v="197.22233301237443"/>
  </r>
  <r>
    <s v="Sistema de Compensação"/>
    <x v="3"/>
    <x v="3"/>
    <x v="1"/>
    <x v="0"/>
    <x v="0"/>
    <x v="0"/>
    <x v="2"/>
    <x v="7"/>
    <n v="0"/>
    <n v="0"/>
    <n v="0.4"/>
    <n v="0.4"/>
    <n v="0.4"/>
    <n v="0.4"/>
    <n v="4"/>
    <x v="0"/>
    <n v="0"/>
    <n v="0"/>
    <n v="44"/>
    <n v="81"/>
    <n v="0"/>
    <n v="324.88"/>
    <n v="322.54000000000002"/>
    <m/>
    <n v="448.39375036225908"/>
    <n v="328.70388835395738"/>
    <n v="0"/>
    <n v="129.952"/>
    <n v="129.01600000000002"/>
    <n v="0"/>
    <n v="179.35750014490364"/>
    <n v="131.48155534158295"/>
  </r>
  <r>
    <s v="Sistema de Compensação"/>
    <x v="3"/>
    <x v="3"/>
    <x v="1"/>
    <x v="0"/>
    <x v="0"/>
    <x v="0"/>
    <x v="2"/>
    <x v="8"/>
    <n v="0"/>
    <n v="0"/>
    <n v="0.4"/>
    <n v="0.4"/>
    <n v="0.4"/>
    <n v="0.4"/>
    <n v="4"/>
    <x v="0"/>
    <n v="0"/>
    <n v="0"/>
    <n v="44"/>
    <n v="81"/>
    <n v="0"/>
    <n v="324.88"/>
    <n v="322.54000000000002"/>
    <m/>
    <n v="448.39375036225908"/>
    <n v="328.70388835395738"/>
    <n v="0"/>
    <n v="129.952"/>
    <n v="129.01600000000002"/>
    <n v="0"/>
    <n v="179.35750014490364"/>
    <n v="131.48155534158295"/>
  </r>
  <r>
    <s v="Sistema de Compensação"/>
    <x v="3"/>
    <x v="3"/>
    <x v="1"/>
    <x v="0"/>
    <x v="0"/>
    <x v="0"/>
    <x v="2"/>
    <x v="9"/>
    <n v="0"/>
    <n v="0"/>
    <n v="0.3"/>
    <n v="0.3"/>
    <n v="0.3"/>
    <n v="0.3"/>
    <n v="4"/>
    <x v="0"/>
    <n v="0"/>
    <n v="0"/>
    <n v="44"/>
    <n v="81"/>
    <n v="0"/>
    <n v="324.88"/>
    <n v="322.54000000000002"/>
    <m/>
    <n v="448.39375036225908"/>
    <n v="328.70388835395738"/>
    <n v="0"/>
    <n v="97.463999999999999"/>
    <n v="96.762"/>
    <n v="0"/>
    <n v="134.51812510867771"/>
    <n v="98.611166506187217"/>
  </r>
  <r>
    <s v="Sistema de Compensação"/>
    <x v="3"/>
    <x v="3"/>
    <x v="1"/>
    <x v="0"/>
    <x v="0"/>
    <x v="0"/>
    <x v="2"/>
    <x v="10"/>
    <n v="0"/>
    <n v="0"/>
    <n v="0.1"/>
    <n v="0.1"/>
    <n v="0.1"/>
    <n v="0.1"/>
    <n v="4"/>
    <x v="0"/>
    <n v="0"/>
    <n v="0"/>
    <n v="44"/>
    <n v="81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PROJETADO"/>
    <x v="3"/>
    <x v="3"/>
    <x v="1"/>
    <x v="0"/>
    <x v="0"/>
    <x v="0"/>
    <x v="2"/>
    <x v="11"/>
    <n v="0"/>
    <n v="0"/>
    <n v="0.1"/>
    <n v="0.1"/>
    <n v="0.1"/>
    <n v="0.1"/>
    <n v="4"/>
    <x v="0"/>
    <n v="0"/>
    <n v="0"/>
    <n v="44"/>
    <n v="81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Regular"/>
    <x v="3"/>
    <x v="3"/>
    <x v="1"/>
    <x v="0"/>
    <x v="0"/>
    <x v="0"/>
    <x v="1"/>
    <x v="0"/>
    <n v="0"/>
    <n v="0"/>
    <n v="0.38600000000000001"/>
    <n v="0.38600000000000001"/>
    <n v="0.38600000000000001"/>
    <n v="0.38600000000000001"/>
    <n v="0"/>
    <x v="0"/>
    <n v="0"/>
    <n v="0"/>
    <n v="41"/>
    <n v="78"/>
    <n v="0"/>
    <n v="902.29"/>
    <n v="492.64"/>
    <m/>
    <n v="1103.061838174968"/>
    <n v="499.13928219176387"/>
    <n v="0"/>
    <n v="348.28393999999997"/>
    <n v="190.15904"/>
    <n v="0"/>
    <n v="425.78186953553768"/>
    <n v="192.66776292602086"/>
  </r>
  <r>
    <s v="Sistema de Compensação"/>
    <x v="3"/>
    <x v="3"/>
    <x v="1"/>
    <x v="0"/>
    <x v="0"/>
    <x v="0"/>
    <x v="1"/>
    <x v="0"/>
    <n v="0"/>
    <n v="0"/>
    <n v="0.06"/>
    <n v="0.06"/>
    <n v="0.06"/>
    <n v="0.06"/>
    <n v="0"/>
    <x v="0"/>
    <n v="0"/>
    <n v="0"/>
    <n v="41"/>
    <n v="78"/>
    <n v="0"/>
    <n v="902.29"/>
    <n v="492.64"/>
    <m/>
    <n v="1103.061838174968"/>
    <n v="499.13928219176387"/>
    <n v="0"/>
    <n v="54.137399999999992"/>
    <n v="29.558399999999999"/>
    <n v="0"/>
    <n v="66.183710290498084"/>
    <n v="29.948356931505831"/>
  </r>
  <r>
    <s v="Regular"/>
    <x v="3"/>
    <x v="3"/>
    <x v="1"/>
    <x v="0"/>
    <x v="0"/>
    <x v="0"/>
    <x v="1"/>
    <x v="1"/>
    <n v="0"/>
    <n v="0"/>
    <n v="0.48499999999999999"/>
    <n v="0.48499999999999999"/>
    <n v="0.48499999999999999"/>
    <n v="0.48499999999999999"/>
    <n v="0"/>
    <x v="0"/>
    <n v="0"/>
    <n v="0"/>
    <n v="41"/>
    <n v="78"/>
    <n v="0"/>
    <n v="902.29"/>
    <n v="492.64"/>
    <m/>
    <n v="1103.061838174968"/>
    <n v="499.13928219176387"/>
    <n v="0"/>
    <n v="437.61064999999996"/>
    <n v="238.93039999999999"/>
    <n v="0"/>
    <n v="534.98499151485942"/>
    <n v="242.08255186300548"/>
  </r>
  <r>
    <s v="Regular"/>
    <x v="3"/>
    <x v="3"/>
    <x v="1"/>
    <x v="0"/>
    <x v="0"/>
    <x v="0"/>
    <x v="1"/>
    <x v="2"/>
    <n v="0"/>
    <n v="0"/>
    <n v="0.26200000000000001"/>
    <n v="0.26200000000000001"/>
    <n v="0.26200000000000001"/>
    <n v="0.26200000000000001"/>
    <n v="0"/>
    <x v="0"/>
    <n v="0"/>
    <n v="0"/>
    <n v="41"/>
    <n v="78"/>
    <n v="0"/>
    <n v="902.29"/>
    <n v="492.64"/>
    <m/>
    <n v="1103.061838174968"/>
    <n v="499.13928219176387"/>
    <n v="0"/>
    <n v="236.39998"/>
    <n v="129.07168000000001"/>
    <n v="0"/>
    <n v="289.00220160184165"/>
    <n v="130.77449193424215"/>
  </r>
  <r>
    <s v="Sistema de Compensação"/>
    <x v="3"/>
    <x v="3"/>
    <x v="1"/>
    <x v="0"/>
    <x v="0"/>
    <x v="0"/>
    <x v="1"/>
    <x v="2"/>
    <n v="0"/>
    <n v="0"/>
    <n v="0.42"/>
    <n v="0.42"/>
    <n v="0.42"/>
    <n v="0.42"/>
    <n v="0"/>
    <x v="0"/>
    <n v="0"/>
    <n v="0"/>
    <n v="41"/>
    <n v="78"/>
    <n v="0"/>
    <n v="902.29"/>
    <n v="492.64"/>
    <m/>
    <n v="1103.061838174968"/>
    <n v="499.13928219176387"/>
    <n v="0"/>
    <n v="378.96179999999998"/>
    <n v="206.90879999999999"/>
    <n v="0"/>
    <n v="463.28597203348653"/>
    <n v="209.63849852054082"/>
  </r>
  <r>
    <s v="Regular"/>
    <x v="3"/>
    <x v="3"/>
    <x v="1"/>
    <x v="0"/>
    <x v="0"/>
    <x v="0"/>
    <x v="1"/>
    <x v="3"/>
    <n v="0"/>
    <n v="0"/>
    <n v="0.27900000000000003"/>
    <n v="0.27900000000000003"/>
    <n v="0.27900000000000003"/>
    <n v="0.27900000000000003"/>
    <n v="0"/>
    <x v="0"/>
    <n v="0"/>
    <n v="0"/>
    <n v="41"/>
    <n v="78"/>
    <n v="0"/>
    <n v="902.29"/>
    <n v="492.64"/>
    <m/>
    <n v="1103.061838174968"/>
    <n v="499.13928219176387"/>
    <n v="0"/>
    <n v="251.73891"/>
    <n v="137.44656000000001"/>
    <n v="0"/>
    <n v="307.7542528508161"/>
    <n v="139.25985973150213"/>
  </r>
  <r>
    <s v="Sistema de Compensação"/>
    <x v="3"/>
    <x v="3"/>
    <x v="1"/>
    <x v="0"/>
    <x v="0"/>
    <x v="0"/>
    <x v="1"/>
    <x v="3"/>
    <n v="0"/>
    <n v="0"/>
    <n v="0.18"/>
    <n v="0.18"/>
    <n v="0.18"/>
    <n v="0.18"/>
    <n v="0"/>
    <x v="0"/>
    <n v="0"/>
    <n v="0"/>
    <n v="41"/>
    <n v="78"/>
    <n v="0"/>
    <n v="902.29"/>
    <n v="492.64"/>
    <m/>
    <n v="1103.061838174968"/>
    <n v="499.13928219176387"/>
    <n v="0"/>
    <n v="162.41219999999998"/>
    <n v="88.67519999999999"/>
    <n v="0"/>
    <n v="198.55113087149422"/>
    <n v="89.845070794517497"/>
  </r>
  <r>
    <s v="Regular"/>
    <x v="3"/>
    <x v="3"/>
    <x v="1"/>
    <x v="0"/>
    <x v="0"/>
    <x v="0"/>
    <x v="1"/>
    <x v="4"/>
    <n v="0"/>
    <n v="0"/>
    <n v="0.22500000000000001"/>
    <n v="0.22500000000000001"/>
    <n v="0.22500000000000001"/>
    <n v="0.22500000000000001"/>
    <n v="0"/>
    <x v="0"/>
    <n v="0"/>
    <n v="0"/>
    <n v="41"/>
    <n v="78"/>
    <n v="0"/>
    <n v="902.29"/>
    <n v="492.64"/>
    <m/>
    <n v="1103.061838174968"/>
    <n v="499.13928219176387"/>
    <n v="0"/>
    <n v="203.01525000000001"/>
    <n v="110.84399999999999"/>
    <n v="0"/>
    <n v="248.18891358936781"/>
    <n v="112.30633849314687"/>
  </r>
  <r>
    <s v="Regular"/>
    <x v="3"/>
    <x v="3"/>
    <x v="1"/>
    <x v="0"/>
    <x v="0"/>
    <x v="0"/>
    <x v="1"/>
    <x v="5"/>
    <n v="0"/>
    <n v="0"/>
    <n v="0.223"/>
    <n v="0.223"/>
    <n v="0.223"/>
    <n v="0.223"/>
    <n v="0"/>
    <x v="0"/>
    <n v="0"/>
    <n v="0"/>
    <n v="41"/>
    <n v="78"/>
    <n v="0"/>
    <n v="902.29"/>
    <n v="492.64"/>
    <m/>
    <n v="1103.061838174968"/>
    <n v="499.13928219176387"/>
    <n v="0"/>
    <n v="201.21066999999999"/>
    <n v="109.85872000000001"/>
    <n v="0"/>
    <n v="245.98278991301785"/>
    <n v="111.30805992876334"/>
  </r>
  <r>
    <s v="Sistema de Compensação"/>
    <x v="3"/>
    <x v="3"/>
    <x v="1"/>
    <x v="0"/>
    <x v="0"/>
    <x v="0"/>
    <x v="1"/>
    <x v="5"/>
    <n v="0"/>
    <n v="0"/>
    <n v="0.09"/>
    <n v="0.09"/>
    <n v="0.09"/>
    <n v="0.09"/>
    <n v="0"/>
    <x v="0"/>
    <n v="0"/>
    <n v="0"/>
    <n v="41"/>
    <n v="78"/>
    <n v="0"/>
    <n v="902.29"/>
    <n v="492.64"/>
    <m/>
    <n v="1103.061838174968"/>
    <n v="499.13928219176387"/>
    <n v="0"/>
    <n v="81.206099999999992"/>
    <n v="44.337599999999995"/>
    <n v="0"/>
    <n v="99.275565435747112"/>
    <n v="44.922535397258748"/>
  </r>
  <r>
    <s v="Regular"/>
    <x v="3"/>
    <x v="3"/>
    <x v="1"/>
    <x v="0"/>
    <x v="0"/>
    <x v="0"/>
    <x v="1"/>
    <x v="6"/>
    <n v="0"/>
    <n v="0"/>
    <n v="0.26900000000000002"/>
    <n v="0.26900000000000002"/>
    <n v="0.26900000000000002"/>
    <n v="0.26900000000000002"/>
    <n v="0"/>
    <x v="0"/>
    <n v="0"/>
    <n v="0"/>
    <n v="41"/>
    <n v="78"/>
    <n v="0"/>
    <n v="902.29"/>
    <n v="492.64"/>
    <m/>
    <n v="1103.061838174968"/>
    <n v="499.13928219176387"/>
    <n v="0"/>
    <n v="242.71601000000001"/>
    <n v="132.52016"/>
    <n v="0"/>
    <n v="296.72363446906638"/>
    <n v="134.26846690958448"/>
  </r>
  <r>
    <s v="Sistema de Compensação"/>
    <x v="3"/>
    <x v="3"/>
    <x v="1"/>
    <x v="0"/>
    <x v="0"/>
    <x v="0"/>
    <x v="1"/>
    <x v="6"/>
    <n v="0"/>
    <n v="0"/>
    <n v="0.09"/>
    <n v="0.09"/>
    <n v="0.09"/>
    <n v="0.09"/>
    <n v="0"/>
    <x v="0"/>
    <n v="0"/>
    <n v="0"/>
    <n v="41"/>
    <n v="78"/>
    <n v="0"/>
    <n v="902.29"/>
    <n v="492.64"/>
    <m/>
    <n v="1103.061838174968"/>
    <n v="499.13928219176387"/>
    <n v="0"/>
    <n v="81.206099999999992"/>
    <n v="44.337599999999995"/>
    <n v="0"/>
    <n v="99.275565435747112"/>
    <n v="44.922535397258748"/>
  </r>
  <r>
    <s v="Regular"/>
    <x v="3"/>
    <x v="3"/>
    <x v="1"/>
    <x v="0"/>
    <x v="0"/>
    <x v="0"/>
    <x v="1"/>
    <x v="7"/>
    <n v="0"/>
    <n v="0"/>
    <n v="0.24399999999999999"/>
    <n v="0.24399999999999999"/>
    <n v="0.24399999999999999"/>
    <n v="0.24399999999999999"/>
    <n v="0"/>
    <x v="0"/>
    <n v="0"/>
    <n v="0"/>
    <n v="41"/>
    <n v="78"/>
    <n v="0"/>
    <n v="902.29"/>
    <n v="492.64"/>
    <m/>
    <n v="1103.061838174968"/>
    <n v="499.13928219176387"/>
    <n v="0"/>
    <n v="220.15875999999997"/>
    <n v="120.20415999999999"/>
    <n v="0"/>
    <n v="269.1470885146922"/>
    <n v="121.78998485479038"/>
  </r>
  <r>
    <s v="Regular"/>
    <x v="3"/>
    <x v="3"/>
    <x v="1"/>
    <x v="0"/>
    <x v="0"/>
    <x v="0"/>
    <x v="1"/>
    <x v="8"/>
    <n v="0"/>
    <n v="0"/>
    <n v="0.33500000000000002"/>
    <n v="0.33500000000000002"/>
    <n v="0.33500000000000002"/>
    <n v="0.33500000000000002"/>
    <n v="0"/>
    <x v="0"/>
    <n v="0"/>
    <n v="0"/>
    <n v="41"/>
    <n v="78"/>
    <n v="0"/>
    <n v="902.29"/>
    <n v="492.64"/>
    <m/>
    <n v="1103.061838174968"/>
    <n v="499.13928219176387"/>
    <n v="0"/>
    <n v="302.26715000000002"/>
    <n v="165.03440000000001"/>
    <n v="0"/>
    <n v="369.52571578861432"/>
    <n v="167.21165953424091"/>
  </r>
  <r>
    <s v="Sistema de Compensação"/>
    <x v="3"/>
    <x v="3"/>
    <x v="1"/>
    <x v="0"/>
    <x v="0"/>
    <x v="0"/>
    <x v="1"/>
    <x v="8"/>
    <n v="0"/>
    <n v="0"/>
    <n v="0.06"/>
    <n v="0.06"/>
    <n v="0.06"/>
    <n v="0.06"/>
    <n v="0"/>
    <x v="0"/>
    <n v="0"/>
    <n v="0"/>
    <n v="41"/>
    <n v="78"/>
    <n v="0"/>
    <n v="902.29"/>
    <n v="492.64"/>
    <m/>
    <n v="1103.061838174968"/>
    <n v="499.13928219176387"/>
    <n v="0"/>
    <n v="54.137399999999992"/>
    <n v="29.558399999999999"/>
    <n v="0"/>
    <n v="66.183710290498084"/>
    <n v="29.948356931505831"/>
  </r>
  <r>
    <s v="Regular"/>
    <x v="3"/>
    <x v="3"/>
    <x v="1"/>
    <x v="0"/>
    <x v="0"/>
    <x v="0"/>
    <x v="1"/>
    <x v="9"/>
    <n v="0"/>
    <n v="0"/>
    <n v="0.20799999999999999"/>
    <n v="0.20799999999999999"/>
    <n v="0.20799999999999999"/>
    <n v="0.20799999999999999"/>
    <n v="0"/>
    <x v="0"/>
    <n v="0"/>
    <n v="0"/>
    <n v="41"/>
    <n v="78"/>
    <n v="0"/>
    <n v="902.29"/>
    <n v="492.64"/>
    <m/>
    <n v="1103.061838174968"/>
    <n v="499.13928219176387"/>
    <n v="0"/>
    <n v="187.67631999999998"/>
    <n v="102.46911999999999"/>
    <n v="0"/>
    <n v="229.43686234039333"/>
    <n v="103.82097069588688"/>
  </r>
  <r>
    <s v="Sistema de Compensação"/>
    <x v="3"/>
    <x v="3"/>
    <x v="1"/>
    <x v="0"/>
    <x v="0"/>
    <x v="0"/>
    <x v="1"/>
    <x v="9"/>
    <n v="0"/>
    <n v="0"/>
    <n v="0.06"/>
    <n v="0.06"/>
    <n v="0.06"/>
    <n v="0.06"/>
    <n v="0"/>
    <x v="0"/>
    <n v="0"/>
    <n v="0"/>
    <n v="41"/>
    <n v="78"/>
    <n v="0"/>
    <n v="902.29"/>
    <n v="492.64"/>
    <m/>
    <n v="1103.061838174968"/>
    <n v="499.13928219176387"/>
    <n v="0"/>
    <n v="54.137399999999992"/>
    <n v="29.558399999999999"/>
    <n v="0"/>
    <n v="66.183710290498084"/>
    <n v="29.948356931505831"/>
  </r>
  <r>
    <s v="Regular"/>
    <x v="3"/>
    <x v="3"/>
    <x v="1"/>
    <x v="0"/>
    <x v="0"/>
    <x v="0"/>
    <x v="1"/>
    <x v="10"/>
    <n v="0"/>
    <n v="0"/>
    <n v="0.45200000000000001"/>
    <n v="0.45200000000000001"/>
    <n v="0.45200000000000001"/>
    <n v="0.45200000000000001"/>
    <n v="0"/>
    <x v="0"/>
    <n v="0"/>
    <n v="0"/>
    <n v="41"/>
    <n v="78"/>
    <n v="0"/>
    <n v="902.29"/>
    <n v="492.64"/>
    <m/>
    <n v="1103.061838174968"/>
    <n v="499.13928219176387"/>
    <n v="0"/>
    <n v="407.83508"/>
    <n v="222.67328000000001"/>
    <n v="0"/>
    <n v="498.58395085508556"/>
    <n v="225.61095555067726"/>
  </r>
  <r>
    <s v="Sistema de Compensação"/>
    <x v="3"/>
    <x v="3"/>
    <x v="1"/>
    <x v="0"/>
    <x v="0"/>
    <x v="0"/>
    <x v="1"/>
    <x v="10"/>
    <n v="0"/>
    <n v="0"/>
    <n v="0.33"/>
    <n v="0.33"/>
    <n v="0.33"/>
    <n v="0.33"/>
    <n v="0"/>
    <x v="0"/>
    <n v="0"/>
    <n v="0"/>
    <n v="41"/>
    <n v="78"/>
    <n v="0"/>
    <n v="902.29"/>
    <n v="492.64"/>
    <m/>
    <n v="1103.061838174968"/>
    <n v="499.13928219176387"/>
    <n v="0"/>
    <n v="297.75569999999999"/>
    <n v="162.5712"/>
    <n v="0"/>
    <n v="364.01040659773946"/>
    <n v="164.71596312328208"/>
  </r>
  <r>
    <s v="PROJETADO"/>
    <x v="3"/>
    <x v="3"/>
    <x v="1"/>
    <x v="0"/>
    <x v="0"/>
    <x v="0"/>
    <x v="1"/>
    <x v="11"/>
    <n v="0"/>
    <n v="0"/>
    <n v="0.45200000000000001"/>
    <n v="0.45200000000000001"/>
    <n v="0.45200000000000001"/>
    <n v="0.45200000000000001"/>
    <n v="0"/>
    <x v="0"/>
    <n v="0"/>
    <n v="0"/>
    <n v="41"/>
    <n v="78"/>
    <n v="0"/>
    <n v="902.29"/>
    <n v="492.64"/>
    <m/>
    <n v="1103.061838174968"/>
    <n v="499.13928219176387"/>
    <n v="0"/>
    <n v="407.83508"/>
    <n v="222.67328000000001"/>
    <n v="0"/>
    <n v="498.58395085508556"/>
    <n v="225.61095555067726"/>
  </r>
  <r>
    <s v="PROJETADO"/>
    <x v="3"/>
    <x v="3"/>
    <x v="1"/>
    <x v="0"/>
    <x v="0"/>
    <x v="0"/>
    <x v="1"/>
    <x v="11"/>
    <n v="0"/>
    <n v="0"/>
    <n v="0.33"/>
    <n v="0.33"/>
    <n v="0.33"/>
    <n v="0.33"/>
    <n v="0"/>
    <x v="0"/>
    <n v="0"/>
    <n v="0"/>
    <n v="41"/>
    <n v="78"/>
    <n v="0"/>
    <n v="902.29"/>
    <n v="492.64"/>
    <m/>
    <n v="1103.061838174968"/>
    <n v="499.13928219176387"/>
    <n v="0"/>
    <n v="297.75569999999999"/>
    <n v="162.5712"/>
    <n v="0"/>
    <n v="364.01040659773946"/>
    <n v="164.71596312328208"/>
  </r>
  <r>
    <s v="Regular"/>
    <x v="3"/>
    <x v="4"/>
    <x v="0"/>
    <x v="0"/>
    <x v="0"/>
    <x v="0"/>
    <x v="2"/>
    <x v="0"/>
    <n v="0"/>
    <n v="0"/>
    <n v="4812.7089999999998"/>
    <n v="4812.7089999999998"/>
    <n v="4812.7089999999998"/>
    <n v="4812.7089999999998"/>
    <n v="9157"/>
    <x v="0"/>
    <n v="0"/>
    <n v="0"/>
    <n v="44"/>
    <n v="81"/>
    <n v="0"/>
    <n v="324.88"/>
    <n v="322.54000000000002"/>
    <m/>
    <n v="448.39375036225908"/>
    <n v="328.70388835395738"/>
    <n v="0"/>
    <n v="1563552.89992"/>
    <n v="1552291.1608599999"/>
    <n v="0"/>
    <n v="2157988.6379121975"/>
    <n v="1581956.1618160859"/>
  </r>
  <r>
    <s v="Refaturamento - Regular"/>
    <x v="3"/>
    <x v="4"/>
    <x v="0"/>
    <x v="0"/>
    <x v="0"/>
    <x v="0"/>
    <x v="2"/>
    <x v="0"/>
    <n v="0"/>
    <n v="0"/>
    <n v="-0.25"/>
    <n v="-0.25"/>
    <n v="-0.25"/>
    <n v="-0.25"/>
    <n v="-2"/>
    <x v="0"/>
    <n v="0"/>
    <n v="0"/>
    <n v="44"/>
    <n v="81"/>
    <n v="0"/>
    <n v="324.88"/>
    <n v="322.54000000000002"/>
    <m/>
    <n v="448.39375036225908"/>
    <n v="328.70388835395738"/>
    <n v="0"/>
    <n v="-81.22"/>
    <n v="-80.635000000000005"/>
    <n v="0"/>
    <n v="-112.09843759056477"/>
    <n v="-82.175972088489345"/>
  </r>
  <r>
    <s v="Sistema de Compensação"/>
    <x v="3"/>
    <x v="4"/>
    <x v="0"/>
    <x v="0"/>
    <x v="0"/>
    <x v="0"/>
    <x v="2"/>
    <x v="0"/>
    <n v="0"/>
    <n v="0"/>
    <n v="150.995"/>
    <n v="150.995"/>
    <n v="150.995"/>
    <n v="150.995"/>
    <n v="303"/>
    <x v="0"/>
    <n v="0"/>
    <n v="0"/>
    <n v="44"/>
    <n v="81"/>
    <n v="0"/>
    <n v="324.88"/>
    <n v="322.54000000000002"/>
    <m/>
    <n v="448.39375036225908"/>
    <n v="328.70388835395738"/>
    <n v="0"/>
    <n v="49055.255600000004"/>
    <n v="48701.927300000003"/>
    <n v="0"/>
    <n v="67705.214335949306"/>
    <n v="49632.643622005795"/>
  </r>
  <r>
    <s v="Regular"/>
    <x v="3"/>
    <x v="4"/>
    <x v="0"/>
    <x v="0"/>
    <x v="0"/>
    <x v="0"/>
    <x v="2"/>
    <x v="1"/>
    <n v="0"/>
    <n v="0"/>
    <n v="5188.4679999999998"/>
    <n v="5188.4679999999998"/>
    <n v="5188.4679999999998"/>
    <n v="5188.4679999999998"/>
    <n v="9188"/>
    <x v="0"/>
    <n v="0"/>
    <n v="0"/>
    <n v="44"/>
    <n v="81"/>
    <n v="0"/>
    <n v="324.88"/>
    <n v="322.54000000000002"/>
    <m/>
    <n v="448.39375036225908"/>
    <n v="328.70388835395738"/>
    <n v="0"/>
    <n v="1685629.4838399999"/>
    <n v="1673488.46872"/>
    <n v="0"/>
    <n v="2326476.6251545697"/>
    <n v="1705469.6062000806"/>
  </r>
  <r>
    <s v="Refaturamento - Regular"/>
    <x v="3"/>
    <x v="4"/>
    <x v="0"/>
    <x v="0"/>
    <x v="0"/>
    <x v="0"/>
    <x v="2"/>
    <x v="1"/>
    <n v="0"/>
    <n v="0"/>
    <n v="0.44400000000000001"/>
    <n v="0.44400000000000001"/>
    <n v="0.44400000000000001"/>
    <n v="0.44400000000000001"/>
    <n v="2"/>
    <x v="0"/>
    <n v="0"/>
    <n v="0"/>
    <n v="44"/>
    <n v="81"/>
    <n v="0"/>
    <n v="324.88"/>
    <n v="322.54000000000002"/>
    <m/>
    <n v="448.39375036225908"/>
    <n v="328.70388835395738"/>
    <n v="0"/>
    <n v="144.24672000000001"/>
    <n v="143.20776000000001"/>
    <n v="0"/>
    <n v="199.08682516084303"/>
    <n v="145.94452642915707"/>
  </r>
  <r>
    <s v="Sistema de Compensação"/>
    <x v="3"/>
    <x v="4"/>
    <x v="0"/>
    <x v="0"/>
    <x v="0"/>
    <x v="0"/>
    <x v="2"/>
    <x v="1"/>
    <n v="0"/>
    <n v="0"/>
    <n v="194.78"/>
    <n v="194.78"/>
    <n v="194.78"/>
    <n v="194.78"/>
    <n v="327"/>
    <x v="0"/>
    <n v="0"/>
    <n v="0"/>
    <n v="44"/>
    <n v="81"/>
    <n v="0"/>
    <n v="324.88"/>
    <n v="322.54000000000002"/>
    <m/>
    <n v="448.39375036225908"/>
    <n v="328.70388835395738"/>
    <n v="0"/>
    <n v="63280.126400000001"/>
    <n v="62824.341200000003"/>
    <n v="0"/>
    <n v="87338.134695560831"/>
    <n v="64024.943373583817"/>
  </r>
  <r>
    <s v="Regular"/>
    <x v="3"/>
    <x v="4"/>
    <x v="0"/>
    <x v="0"/>
    <x v="0"/>
    <x v="0"/>
    <x v="2"/>
    <x v="2"/>
    <n v="0"/>
    <n v="0"/>
    <n v="4992.2439999999997"/>
    <n v="4992.2439999999997"/>
    <n v="4992.2439999999997"/>
    <n v="4992.2439999999997"/>
    <n v="9213"/>
    <x v="0"/>
    <n v="0"/>
    <n v="0"/>
    <n v="44"/>
    <n v="81"/>
    <n v="0"/>
    <n v="324.88"/>
    <n v="322.54000000000002"/>
    <m/>
    <n v="448.39375036225908"/>
    <n v="328.70388835395738"/>
    <n v="0"/>
    <n v="1621880.2307199999"/>
    <n v="1610198.3797599999"/>
    <n v="0"/>
    <n v="2238491.0098834857"/>
    <n v="1640970.0144117135"/>
  </r>
  <r>
    <s v="Refaturamento - Regular"/>
    <x v="3"/>
    <x v="4"/>
    <x v="0"/>
    <x v="0"/>
    <x v="0"/>
    <x v="0"/>
    <x v="2"/>
    <x v="2"/>
    <n v="0"/>
    <n v="0"/>
    <n v="1.9E-2"/>
    <n v="1.9E-2"/>
    <n v="1.9E-2"/>
    <n v="1.9E-2"/>
    <n v="1"/>
    <x v="0"/>
    <n v="0"/>
    <n v="0"/>
    <n v="44"/>
    <n v="81"/>
    <n v="0"/>
    <n v="324.88"/>
    <n v="322.54000000000002"/>
    <m/>
    <n v="448.39375036225908"/>
    <n v="328.70388835395738"/>
    <n v="0"/>
    <n v="6.17272"/>
    <n v="6.12826"/>
    <n v="0"/>
    <n v="8.5194812568829228"/>
    <n v="6.2453738787251902"/>
  </r>
  <r>
    <s v="Sistema de Compensação"/>
    <x v="3"/>
    <x v="4"/>
    <x v="0"/>
    <x v="0"/>
    <x v="0"/>
    <x v="0"/>
    <x v="2"/>
    <x v="2"/>
    <n v="0"/>
    <n v="0"/>
    <n v="161.953"/>
    <n v="161.953"/>
    <n v="161.953"/>
    <n v="161.953"/>
    <n v="328"/>
    <x v="0"/>
    <n v="0"/>
    <n v="0"/>
    <n v="44"/>
    <n v="81"/>
    <n v="0"/>
    <n v="324.88"/>
    <n v="322.54000000000002"/>
    <m/>
    <n v="448.39375036225908"/>
    <n v="328.70388835395738"/>
    <n v="0"/>
    <n v="52615.290639999999"/>
    <n v="52236.320620000006"/>
    <n v="0"/>
    <n v="72618.713052418942"/>
    <n v="53234.580830588464"/>
  </r>
  <r>
    <s v="Regular"/>
    <x v="3"/>
    <x v="4"/>
    <x v="0"/>
    <x v="0"/>
    <x v="0"/>
    <x v="0"/>
    <x v="2"/>
    <x v="3"/>
    <n v="0"/>
    <n v="0"/>
    <n v="5335.2610000000004"/>
    <n v="5335.2610000000004"/>
    <n v="5335.2610000000004"/>
    <n v="5335.2610000000004"/>
    <n v="9230"/>
    <x v="0"/>
    <n v="0"/>
    <n v="0"/>
    <n v="44"/>
    <n v="81"/>
    <n v="0"/>
    <n v="324.88"/>
    <n v="322.54000000000002"/>
    <m/>
    <n v="448.39375036225908"/>
    <n v="328.70388835395738"/>
    <n v="0"/>
    <n v="1733319.5936800002"/>
    <n v="1720835.0829400003"/>
    <n v="0"/>
    <n v="2392297.688951497"/>
    <n v="1753721.0360832231"/>
  </r>
  <r>
    <s v="Refaturamento - Regular"/>
    <x v="3"/>
    <x v="4"/>
    <x v="0"/>
    <x v="0"/>
    <x v="0"/>
    <x v="0"/>
    <x v="2"/>
    <x v="3"/>
    <n v="0"/>
    <n v="0"/>
    <n v="-0.60699999999999998"/>
    <n v="-0.60699999999999998"/>
    <n v="-0.60699999999999998"/>
    <n v="-0.60699999999999998"/>
    <n v="-1"/>
    <x v="0"/>
    <n v="0"/>
    <n v="0"/>
    <n v="44"/>
    <n v="81"/>
    <n v="0"/>
    <n v="324.88"/>
    <n v="322.54000000000002"/>
    <m/>
    <n v="448.39375036225908"/>
    <n v="328.70388835395738"/>
    <n v="0"/>
    <n v="-197.20215999999999"/>
    <n v="-195.78178"/>
    <n v="0"/>
    <n v="-272.17500646989123"/>
    <n v="-199.52326023085212"/>
  </r>
  <r>
    <s v="Sistema de Compensação"/>
    <x v="3"/>
    <x v="4"/>
    <x v="0"/>
    <x v="0"/>
    <x v="0"/>
    <x v="0"/>
    <x v="2"/>
    <x v="3"/>
    <n v="0"/>
    <n v="0"/>
    <n v="180.45"/>
    <n v="180.45"/>
    <n v="180.45"/>
    <n v="180.45"/>
    <n v="345"/>
    <x v="0"/>
    <n v="0"/>
    <n v="0"/>
    <n v="44"/>
    <n v="81"/>
    <n v="0"/>
    <n v="324.88"/>
    <n v="322.54000000000002"/>
    <m/>
    <n v="448.39375036225908"/>
    <n v="328.70388835395738"/>
    <n v="0"/>
    <n v="58624.595999999998"/>
    <n v="58202.343000000001"/>
    <n v="0"/>
    <n v="80912.652252869651"/>
    <n v="59314.616653471603"/>
  </r>
  <r>
    <s v="Sistema de Compensação"/>
    <x v="3"/>
    <x v="4"/>
    <x v="0"/>
    <x v="0"/>
    <x v="0"/>
    <x v="0"/>
    <x v="2"/>
    <x v="3"/>
    <n v="0"/>
    <n v="0"/>
    <n v="11.87"/>
    <n v="11.87"/>
    <n v="11.87"/>
    <n v="11.87"/>
    <n v="1"/>
    <x v="0"/>
    <n v="0"/>
    <n v="0"/>
    <n v="44"/>
    <n v="81"/>
    <n v="0"/>
    <n v="324.88"/>
    <n v="322.54000000000002"/>
    <m/>
    <n v="448.39375036225908"/>
    <n v="328.70388835395738"/>
    <n v="0"/>
    <n v="3856.3255999999997"/>
    <n v="3828.5497999999998"/>
    <n v="0"/>
    <n v="5322.4338168000149"/>
    <n v="3901.715154761474"/>
  </r>
  <r>
    <s v="Regular"/>
    <x v="3"/>
    <x v="4"/>
    <x v="0"/>
    <x v="0"/>
    <x v="0"/>
    <x v="0"/>
    <x v="2"/>
    <x v="4"/>
    <n v="0"/>
    <n v="0"/>
    <n v="5231.3559999999998"/>
    <n v="5231.3559999999998"/>
    <n v="5231.3559999999998"/>
    <n v="5231.3559999999998"/>
    <n v="9197"/>
    <x v="0"/>
    <n v="0"/>
    <n v="0"/>
    <n v="44"/>
    <n v="81"/>
    <n v="0"/>
    <n v="324.88"/>
    <n v="322.54000000000002"/>
    <m/>
    <n v="448.39375036225908"/>
    <n v="328.70388835395738"/>
    <n v="0"/>
    <n v="1699562.93728"/>
    <n v="1687321.56424"/>
    <n v="0"/>
    <n v="2345707.3363201059"/>
    <n v="1719567.058563805"/>
  </r>
  <r>
    <s v="Refaturamento - Regular"/>
    <x v="3"/>
    <x v="4"/>
    <x v="0"/>
    <x v="0"/>
    <x v="0"/>
    <x v="0"/>
    <x v="2"/>
    <x v="4"/>
    <n v="0"/>
    <n v="0"/>
    <n v="-9.4320000000000004"/>
    <n v="-9.4320000000000004"/>
    <n v="-9.4320000000000004"/>
    <n v="-9.4320000000000004"/>
    <n v="5"/>
    <x v="0"/>
    <n v="0"/>
    <n v="0"/>
    <n v="44"/>
    <n v="81"/>
    <n v="0"/>
    <n v="324.88"/>
    <n v="322.54000000000002"/>
    <m/>
    <n v="448.39375036225908"/>
    <n v="328.70388835395738"/>
    <n v="0"/>
    <n v="-3064.2681600000001"/>
    <n v="-3042.1972800000003"/>
    <n v="0"/>
    <n v="-4229.249853416828"/>
    <n v="-3100.3350749545261"/>
  </r>
  <r>
    <s v="Sistema de Compensação"/>
    <x v="3"/>
    <x v="4"/>
    <x v="0"/>
    <x v="0"/>
    <x v="0"/>
    <x v="0"/>
    <x v="2"/>
    <x v="4"/>
    <n v="0"/>
    <n v="0"/>
    <n v="161.423"/>
    <n v="161.423"/>
    <n v="161.423"/>
    <n v="161.423"/>
    <n v="359"/>
    <x v="0"/>
    <n v="0"/>
    <n v="0"/>
    <n v="44"/>
    <n v="81"/>
    <n v="0"/>
    <n v="324.88"/>
    <n v="322.54000000000002"/>
    <m/>
    <n v="448.39375036225908"/>
    <n v="328.70388835395738"/>
    <n v="0"/>
    <n v="52443.104240000001"/>
    <n v="52065.374420000007"/>
    <n v="0"/>
    <n v="72381.064364726946"/>
    <n v="53060.367769760865"/>
  </r>
  <r>
    <s v="Regular"/>
    <x v="3"/>
    <x v="4"/>
    <x v="0"/>
    <x v="0"/>
    <x v="0"/>
    <x v="0"/>
    <x v="2"/>
    <x v="5"/>
    <n v="0"/>
    <n v="0"/>
    <n v="5784.1170000000002"/>
    <n v="5784.1170000000002"/>
    <n v="5784.1170000000002"/>
    <n v="5784.1170000000002"/>
    <n v="9178"/>
    <x v="0"/>
    <n v="0"/>
    <n v="0"/>
    <n v="44"/>
    <n v="81"/>
    <n v="0"/>
    <n v="324.88"/>
    <n v="322.54000000000002"/>
    <m/>
    <n v="448.39375036225908"/>
    <n v="328.70388835395738"/>
    <n v="0"/>
    <n v="1879143.93096"/>
    <n v="1865609.0971800003"/>
    <n v="0"/>
    <n v="2593561.9141640989"/>
    <n v="1901261.748594227"/>
  </r>
  <r>
    <s v="Refaturamento - Regular"/>
    <x v="3"/>
    <x v="4"/>
    <x v="0"/>
    <x v="0"/>
    <x v="0"/>
    <x v="0"/>
    <x v="2"/>
    <x v="5"/>
    <n v="0"/>
    <n v="0"/>
    <n v="-0.4"/>
    <n v="-0.4"/>
    <n v="-0.4"/>
    <n v="-0.4"/>
    <n v="1"/>
    <x v="0"/>
    <n v="0"/>
    <n v="0"/>
    <n v="44"/>
    <n v="81"/>
    <n v="0"/>
    <n v="324.88"/>
    <n v="322.54000000000002"/>
    <m/>
    <n v="448.39375036225908"/>
    <n v="328.70388835395738"/>
    <n v="0"/>
    <n v="-129.952"/>
    <n v="-129.01600000000002"/>
    <n v="0"/>
    <n v="-179.35750014490364"/>
    <n v="-131.48155534158295"/>
  </r>
  <r>
    <s v="Sistema de Compensação"/>
    <x v="3"/>
    <x v="4"/>
    <x v="0"/>
    <x v="0"/>
    <x v="0"/>
    <x v="0"/>
    <x v="2"/>
    <x v="5"/>
    <n v="0"/>
    <n v="0"/>
    <n v="169.631"/>
    <n v="169.631"/>
    <n v="169.631"/>
    <n v="169.631"/>
    <n v="382"/>
    <x v="0"/>
    <n v="0"/>
    <n v="0"/>
    <n v="44"/>
    <n v="81"/>
    <n v="0"/>
    <n v="324.88"/>
    <n v="322.54000000000002"/>
    <m/>
    <n v="448.39375036225908"/>
    <n v="328.70388835395738"/>
    <n v="0"/>
    <n v="55109.719279999998"/>
    <n v="54712.782740000002"/>
    <n v="0"/>
    <n v="76061.480267700375"/>
    <n v="55758.369285370143"/>
  </r>
  <r>
    <s v="Regular"/>
    <x v="3"/>
    <x v="4"/>
    <x v="0"/>
    <x v="0"/>
    <x v="0"/>
    <x v="0"/>
    <x v="2"/>
    <x v="6"/>
    <n v="0"/>
    <n v="0"/>
    <n v="5647.1559999999999"/>
    <n v="5647.1559999999999"/>
    <n v="5647.1559999999999"/>
    <n v="5647.1559999999999"/>
    <n v="9173"/>
    <x v="0"/>
    <n v="0"/>
    <n v="0"/>
    <n v="44"/>
    <n v="81"/>
    <n v="0"/>
    <n v="324.88"/>
    <n v="322.54000000000002"/>
    <m/>
    <n v="448.39375036225908"/>
    <n v="328.70388835395738"/>
    <n v="0"/>
    <n v="1834648.04128"/>
    <n v="1821433.6962400002"/>
    <n v="0"/>
    <n v="2532149.4577207337"/>
    <n v="1856242.1353413805"/>
  </r>
  <r>
    <s v="Refaturamento - Regular"/>
    <x v="3"/>
    <x v="4"/>
    <x v="0"/>
    <x v="0"/>
    <x v="0"/>
    <x v="0"/>
    <x v="2"/>
    <x v="6"/>
    <n v="0"/>
    <n v="0"/>
    <n v="-2.4409999999999998"/>
    <n v="-2.4409999999999998"/>
    <n v="-2.4409999999999998"/>
    <n v="-2.4409999999999998"/>
    <n v="-4"/>
    <x v="0"/>
    <n v="0"/>
    <n v="0"/>
    <n v="44"/>
    <n v="81"/>
    <n v="0"/>
    <n v="324.88"/>
    <n v="322.54000000000002"/>
    <m/>
    <n v="448.39375036225908"/>
    <n v="328.70388835395738"/>
    <n v="0"/>
    <n v="-793.03207999999995"/>
    <n v="-787.32014000000004"/>
    <n v="0"/>
    <n v="-1094.5291446342744"/>
    <n v="-802.36619147200986"/>
  </r>
  <r>
    <s v="Sistema de Compensação"/>
    <x v="3"/>
    <x v="4"/>
    <x v="0"/>
    <x v="0"/>
    <x v="0"/>
    <x v="0"/>
    <x v="2"/>
    <x v="6"/>
    <n v="0"/>
    <n v="0"/>
    <n v="186.65"/>
    <n v="186.65"/>
    <n v="186.65"/>
    <n v="186.65"/>
    <n v="407"/>
    <x v="0"/>
    <n v="0"/>
    <n v="0"/>
    <n v="44"/>
    <n v="81"/>
    <n v="0"/>
    <n v="324.88"/>
    <n v="322.54000000000002"/>
    <m/>
    <n v="448.39375036225908"/>
    <n v="328.70388835395738"/>
    <n v="0"/>
    <n v="60638.851999999999"/>
    <n v="60202.091000000008"/>
    <n v="0"/>
    <n v="83692.693505115662"/>
    <n v="61352.580761266145"/>
  </r>
  <r>
    <s v="Sistema de Compensação"/>
    <x v="3"/>
    <x v="4"/>
    <x v="0"/>
    <x v="0"/>
    <x v="0"/>
    <x v="0"/>
    <x v="2"/>
    <x v="6"/>
    <n v="0"/>
    <n v="0"/>
    <n v="0.27300000000000002"/>
    <n v="0.27300000000000002"/>
    <n v="0.27300000000000002"/>
    <n v="0.27300000000000002"/>
    <n v="1"/>
    <x v="0"/>
    <n v="0"/>
    <n v="0"/>
    <n v="44"/>
    <n v="81"/>
    <n v="0"/>
    <n v="324.88"/>
    <n v="322.54000000000002"/>
    <m/>
    <n v="448.39375036225908"/>
    <n v="328.70388835395738"/>
    <n v="0"/>
    <n v="88.692240000000012"/>
    <n v="88.053420000000017"/>
    <n v="0"/>
    <n v="122.41149384889674"/>
    <n v="89.736161520630375"/>
  </r>
  <r>
    <s v="Regular"/>
    <x v="3"/>
    <x v="4"/>
    <x v="0"/>
    <x v="0"/>
    <x v="0"/>
    <x v="0"/>
    <x v="2"/>
    <x v="7"/>
    <n v="0"/>
    <n v="0"/>
    <n v="5801.5450000000001"/>
    <n v="5801.5450000000001"/>
    <n v="5801.5450000000001"/>
    <n v="5801.5450000000001"/>
    <n v="9162"/>
    <x v="0"/>
    <n v="0"/>
    <n v="0"/>
    <n v="44"/>
    <n v="81"/>
    <n v="0"/>
    <n v="324.88"/>
    <n v="322.54000000000002"/>
    <m/>
    <n v="448.39375036225908"/>
    <n v="328.70388835395738"/>
    <n v="0"/>
    <n v="1884805.9395999999"/>
    <n v="1871230.3243000002"/>
    <n v="0"/>
    <n v="2601376.5204454125"/>
    <n v="1906990.3999604597"/>
  </r>
  <r>
    <s v="Refaturamento - Regular"/>
    <x v="3"/>
    <x v="4"/>
    <x v="0"/>
    <x v="0"/>
    <x v="0"/>
    <x v="0"/>
    <x v="2"/>
    <x v="7"/>
    <n v="0"/>
    <n v="0"/>
    <n v="89.816999999999993"/>
    <n v="89.816999999999993"/>
    <n v="89.816999999999993"/>
    <n v="89.816999999999993"/>
    <n v="4"/>
    <x v="0"/>
    <n v="0"/>
    <n v="0"/>
    <n v="44"/>
    <n v="81"/>
    <n v="0"/>
    <n v="324.88"/>
    <n v="322.54000000000002"/>
    <m/>
    <n v="448.39375036225908"/>
    <n v="328.70388835395738"/>
    <n v="0"/>
    <n v="29179.746959999997"/>
    <n v="28969.57518"/>
    <n v="0"/>
    <n v="40273.381476287024"/>
    <n v="29523.19714028739"/>
  </r>
  <r>
    <s v="Sistema de Compensação"/>
    <x v="3"/>
    <x v="4"/>
    <x v="0"/>
    <x v="0"/>
    <x v="0"/>
    <x v="0"/>
    <x v="2"/>
    <x v="7"/>
    <n v="0"/>
    <n v="0"/>
    <n v="229.56200000000001"/>
    <n v="229.56200000000001"/>
    <n v="229.56200000000001"/>
    <n v="229.56200000000001"/>
    <n v="434"/>
    <x v="0"/>
    <n v="0"/>
    <n v="0"/>
    <n v="44"/>
    <n v="81"/>
    <n v="0"/>
    <n v="324.88"/>
    <n v="322.54000000000002"/>
    <m/>
    <n v="448.39375036225908"/>
    <n v="328.70388835395738"/>
    <n v="0"/>
    <n v="74580.102559999999"/>
    <n v="74042.927480000013"/>
    <n v="0"/>
    <n v="102934.16612066093"/>
    <n v="75457.922018311161"/>
  </r>
  <r>
    <s v="Regular"/>
    <x v="3"/>
    <x v="4"/>
    <x v="0"/>
    <x v="0"/>
    <x v="0"/>
    <x v="0"/>
    <x v="2"/>
    <x v="8"/>
    <n v="0"/>
    <n v="0"/>
    <n v="5092.4769999999999"/>
    <n v="5092.4769999999999"/>
    <n v="5092.4769999999999"/>
    <n v="5092.4769999999999"/>
    <n v="9155"/>
    <x v="0"/>
    <n v="0"/>
    <n v="0"/>
    <n v="44"/>
    <n v="81"/>
    <n v="0"/>
    <n v="324.88"/>
    <n v="322.54000000000002"/>
    <m/>
    <n v="448.39375036225908"/>
    <n v="328.70388835395738"/>
    <n v="0"/>
    <n v="1654443.9277599999"/>
    <n v="1642527.53158"/>
    <n v="0"/>
    <n v="2283434.8606635458"/>
    <n v="1673916.9912530957"/>
  </r>
  <r>
    <s v="Refaturamento - Regular"/>
    <x v="3"/>
    <x v="4"/>
    <x v="0"/>
    <x v="0"/>
    <x v="0"/>
    <x v="0"/>
    <x v="2"/>
    <x v="8"/>
    <n v="0"/>
    <n v="0"/>
    <n v="3.82"/>
    <n v="3.82"/>
    <n v="3.82"/>
    <n v="3.82"/>
    <n v="10"/>
    <x v="0"/>
    <n v="0"/>
    <n v="0"/>
    <n v="44"/>
    <n v="81"/>
    <n v="0"/>
    <n v="324.88"/>
    <n v="322.54000000000002"/>
    <m/>
    <n v="448.39375036225908"/>
    <n v="328.70388835395738"/>
    <n v="0"/>
    <n v="1241.0416"/>
    <n v="1232.1028000000001"/>
    <n v="0"/>
    <n v="1712.8641263838297"/>
    <n v="1255.6488535121171"/>
  </r>
  <r>
    <s v="Sistema de Compensação"/>
    <x v="3"/>
    <x v="4"/>
    <x v="0"/>
    <x v="0"/>
    <x v="0"/>
    <x v="0"/>
    <x v="2"/>
    <x v="8"/>
    <n v="0"/>
    <n v="0"/>
    <n v="221.97"/>
    <n v="221.97"/>
    <n v="221.97"/>
    <n v="221.97"/>
    <n v="452"/>
    <x v="0"/>
    <n v="0"/>
    <n v="0"/>
    <n v="44"/>
    <n v="81"/>
    <n v="0"/>
    <n v="324.88"/>
    <n v="322.54000000000002"/>
    <m/>
    <n v="448.39375036225908"/>
    <n v="328.70388835395738"/>
    <n v="0"/>
    <n v="72113.613599999997"/>
    <n v="71594.203800000003"/>
    <n v="0"/>
    <n v="99529.960767910641"/>
    <n v="72962.402097927916"/>
  </r>
  <r>
    <s v="Sistema de Compensação"/>
    <x v="3"/>
    <x v="4"/>
    <x v="0"/>
    <x v="0"/>
    <x v="0"/>
    <x v="0"/>
    <x v="2"/>
    <x v="8"/>
    <n v="0"/>
    <n v="0"/>
    <n v="3.2170000000000001"/>
    <n v="3.2170000000000001"/>
    <n v="3.2170000000000001"/>
    <n v="3.2170000000000001"/>
    <n v="-1"/>
    <x v="0"/>
    <n v="0"/>
    <n v="0"/>
    <n v="44"/>
    <n v="81"/>
    <n v="0"/>
    <n v="324.88"/>
    <n v="322.54000000000002"/>
    <m/>
    <n v="448.39375036225908"/>
    <n v="328.70388835395738"/>
    <n v="0"/>
    <n v="1045.13896"/>
    <n v="1037.6111800000001"/>
    <n v="0"/>
    <n v="1442.4826949153876"/>
    <n v="1057.440408834681"/>
  </r>
  <r>
    <s v="Regular"/>
    <x v="3"/>
    <x v="4"/>
    <x v="0"/>
    <x v="0"/>
    <x v="0"/>
    <x v="0"/>
    <x v="2"/>
    <x v="9"/>
    <n v="0"/>
    <n v="0"/>
    <n v="4442.8969999999999"/>
    <n v="4442.8969999999999"/>
    <n v="4442.8969999999999"/>
    <n v="4442.8969999999999"/>
    <n v="9135"/>
    <x v="0"/>
    <n v="0"/>
    <n v="0"/>
    <n v="44"/>
    <n v="81"/>
    <n v="0"/>
    <n v="324.88"/>
    <n v="322.54000000000002"/>
    <m/>
    <n v="448.39375036225908"/>
    <n v="328.70388835395738"/>
    <n v="0"/>
    <n v="1443408.37736"/>
    <n v="1433011.99838"/>
    <n v="0"/>
    <n v="1992167.2483032297"/>
    <n v="1460397.5194561321"/>
  </r>
  <r>
    <s v="Refaturamento - Regular"/>
    <x v="3"/>
    <x v="4"/>
    <x v="0"/>
    <x v="0"/>
    <x v="0"/>
    <x v="0"/>
    <x v="2"/>
    <x v="9"/>
    <n v="0"/>
    <n v="0"/>
    <n v="1.2090000000000001"/>
    <n v="1.2090000000000001"/>
    <n v="1.2090000000000001"/>
    <n v="1.2090000000000001"/>
    <n v="8"/>
    <x v="0"/>
    <n v="0"/>
    <n v="0"/>
    <n v="44"/>
    <n v="81"/>
    <n v="0"/>
    <n v="324.88"/>
    <n v="322.54000000000002"/>
    <m/>
    <n v="448.39375036225908"/>
    <n v="328.70388835395738"/>
    <n v="0"/>
    <n v="392.77992"/>
    <n v="389.95086000000003"/>
    <n v="0"/>
    <n v="542.10804418797125"/>
    <n v="397.40300101993449"/>
  </r>
  <r>
    <s v="Sistema de Compensação"/>
    <x v="3"/>
    <x v="4"/>
    <x v="0"/>
    <x v="0"/>
    <x v="0"/>
    <x v="0"/>
    <x v="2"/>
    <x v="9"/>
    <n v="0"/>
    <n v="0"/>
    <n v="204.15100000000001"/>
    <n v="204.15100000000001"/>
    <n v="204.15100000000001"/>
    <n v="204.15100000000001"/>
    <n v="488"/>
    <x v="0"/>
    <n v="0"/>
    <n v="0"/>
    <n v="44"/>
    <n v="81"/>
    <n v="0"/>
    <n v="324.88"/>
    <n v="322.54000000000002"/>
    <m/>
    <n v="448.39375036225908"/>
    <n v="328.70388835395738"/>
    <n v="0"/>
    <n v="66324.576880000008"/>
    <n v="65846.863540000006"/>
    <n v="0"/>
    <n v="91540.032530205557"/>
    <n v="67105.227511348756"/>
  </r>
  <r>
    <s v="Regular"/>
    <x v="3"/>
    <x v="4"/>
    <x v="0"/>
    <x v="0"/>
    <x v="0"/>
    <x v="0"/>
    <x v="2"/>
    <x v="10"/>
    <n v="0"/>
    <n v="0"/>
    <n v="3945.2559999999999"/>
    <n v="3945.2559999999999"/>
    <n v="3945.2559999999999"/>
    <n v="3945.2559999999999"/>
    <n v="9134"/>
    <x v="0"/>
    <n v="0"/>
    <n v="0"/>
    <n v="44"/>
    <n v="81"/>
    <n v="0"/>
    <n v="324.88"/>
    <n v="322.54000000000002"/>
    <m/>
    <n v="448.39375036225908"/>
    <n v="328.70388835395738"/>
    <n v="0"/>
    <n v="1281734.7692799999"/>
    <n v="1272502.8702400001"/>
    <n v="0"/>
    <n v="1769028.1339792048"/>
    <n v="1296820.9877517805"/>
  </r>
  <r>
    <s v="Refaturamento - Regular"/>
    <x v="3"/>
    <x v="4"/>
    <x v="0"/>
    <x v="0"/>
    <x v="0"/>
    <x v="0"/>
    <x v="2"/>
    <x v="10"/>
    <n v="0"/>
    <n v="0"/>
    <n v="4.633"/>
    <n v="4.633"/>
    <n v="4.633"/>
    <n v="4.633"/>
    <n v="9"/>
    <x v="0"/>
    <n v="0"/>
    <n v="0"/>
    <n v="44"/>
    <n v="81"/>
    <n v="0"/>
    <n v="324.88"/>
    <n v="322.54000000000002"/>
    <m/>
    <n v="448.39375036225908"/>
    <n v="328.70388835395738"/>
    <n v="0"/>
    <n v="1505.16904"/>
    <n v="1494.3278200000002"/>
    <n v="0"/>
    <n v="2077.4082454283462"/>
    <n v="1522.8851147438845"/>
  </r>
  <r>
    <s v="Sistema de Compensação"/>
    <x v="3"/>
    <x v="4"/>
    <x v="0"/>
    <x v="0"/>
    <x v="0"/>
    <x v="0"/>
    <x v="2"/>
    <x v="10"/>
    <n v="0"/>
    <n v="0"/>
    <n v="227.71199999999999"/>
    <n v="227.71199999999999"/>
    <n v="227.71199999999999"/>
    <n v="227.71199999999999"/>
    <n v="502"/>
    <x v="0"/>
    <n v="0"/>
    <n v="0"/>
    <n v="44"/>
    <n v="81"/>
    <n v="0"/>
    <n v="324.88"/>
    <n v="322.54000000000002"/>
    <m/>
    <n v="448.39375036225908"/>
    <n v="328.70388835395738"/>
    <n v="0"/>
    <n v="73979.074559999994"/>
    <n v="73446.228480000005"/>
    <n v="0"/>
    <n v="102104.63768249073"/>
    <n v="74849.819824856342"/>
  </r>
  <r>
    <s v="PROJETADO"/>
    <x v="3"/>
    <x v="4"/>
    <x v="0"/>
    <x v="0"/>
    <x v="0"/>
    <x v="0"/>
    <x v="2"/>
    <x v="11"/>
    <n v="0"/>
    <n v="0"/>
    <n v="3945.2559999999999"/>
    <n v="3945.2559999999999"/>
    <n v="3945.2559999999999"/>
    <n v="3945.2559999999999"/>
    <n v="9134"/>
    <x v="0"/>
    <n v="0"/>
    <n v="0"/>
    <n v="44"/>
    <n v="81"/>
    <n v="0"/>
    <n v="324.88"/>
    <n v="322.54000000000002"/>
    <m/>
    <n v="448.39375036225908"/>
    <n v="328.70388835395738"/>
    <n v="0"/>
    <n v="1281734.7692799999"/>
    <n v="1272502.8702400001"/>
    <n v="0"/>
    <n v="1769028.1339792048"/>
    <n v="1296820.9877517805"/>
  </r>
  <r>
    <s v="PROJETADO"/>
    <x v="3"/>
    <x v="4"/>
    <x v="0"/>
    <x v="0"/>
    <x v="0"/>
    <x v="0"/>
    <x v="2"/>
    <x v="11"/>
    <n v="0"/>
    <n v="0"/>
    <n v="4.633"/>
    <n v="4.633"/>
    <n v="4.633"/>
    <n v="4.633"/>
    <n v="9"/>
    <x v="0"/>
    <n v="0"/>
    <n v="0"/>
    <n v="44"/>
    <n v="81"/>
    <n v="0"/>
    <n v="324.88"/>
    <n v="322.54000000000002"/>
    <m/>
    <n v="448.39375036225908"/>
    <n v="328.70388835395738"/>
    <n v="0"/>
    <n v="1505.16904"/>
    <n v="1494.3278200000002"/>
    <n v="0"/>
    <n v="2077.4082454283462"/>
    <n v="1522.8851147438845"/>
  </r>
  <r>
    <s v="PROJETADO"/>
    <x v="3"/>
    <x v="4"/>
    <x v="0"/>
    <x v="0"/>
    <x v="0"/>
    <x v="0"/>
    <x v="2"/>
    <x v="11"/>
    <n v="0"/>
    <n v="0"/>
    <n v="227.71199999999999"/>
    <n v="227.71199999999999"/>
    <n v="227.71199999999999"/>
    <n v="227.71199999999999"/>
    <n v="502"/>
    <x v="0"/>
    <n v="0"/>
    <n v="0"/>
    <n v="44"/>
    <n v="81"/>
    <n v="0"/>
    <n v="324.88"/>
    <n v="322.54000000000002"/>
    <m/>
    <n v="448.39375036225908"/>
    <n v="328.70388835395738"/>
    <n v="0"/>
    <n v="73979.074559999994"/>
    <n v="73446.228480000005"/>
    <n v="0"/>
    <n v="102104.63768249073"/>
    <n v="74849.819824856342"/>
  </r>
  <r>
    <s v="Regular"/>
    <x v="3"/>
    <x v="4"/>
    <x v="6"/>
    <x v="0"/>
    <x v="0"/>
    <x v="0"/>
    <x v="2"/>
    <x v="0"/>
    <n v="0"/>
    <n v="0"/>
    <n v="36.548000000000002"/>
    <n v="36.548000000000002"/>
    <n v="36.548000000000002"/>
    <n v="36.548000000000002"/>
    <n v="29"/>
    <x v="0"/>
    <n v="0"/>
    <n v="0"/>
    <n v="44"/>
    <n v="81"/>
    <n v="0"/>
    <n v="324.88"/>
    <n v="322.54000000000002"/>
    <m/>
    <n v="448.39375036225908"/>
    <n v="328.70388835395738"/>
    <n v="0"/>
    <n v="11873.714240000001"/>
    <n v="11788.191920000001"/>
    <n v="0"/>
    <n v="16387.894788239846"/>
    <n v="12013.469711560436"/>
  </r>
  <r>
    <s v="Regular"/>
    <x v="3"/>
    <x v="4"/>
    <x v="6"/>
    <x v="0"/>
    <x v="0"/>
    <x v="0"/>
    <x v="2"/>
    <x v="1"/>
    <n v="0"/>
    <n v="0"/>
    <n v="34.777000000000001"/>
    <n v="34.777000000000001"/>
    <n v="34.777000000000001"/>
    <n v="34.777000000000001"/>
    <n v="28"/>
    <x v="0"/>
    <n v="0"/>
    <n v="0"/>
    <n v="44"/>
    <n v="81"/>
    <n v="0"/>
    <n v="324.88"/>
    <n v="322.54000000000002"/>
    <m/>
    <n v="448.39375036225908"/>
    <n v="328.70388835395738"/>
    <n v="0"/>
    <n v="11298.35176"/>
    <n v="11216.973580000002"/>
    <n v="0"/>
    <n v="15593.789456348284"/>
    <n v="11431.335125285575"/>
  </r>
  <r>
    <s v="Regular"/>
    <x v="3"/>
    <x v="4"/>
    <x v="6"/>
    <x v="0"/>
    <x v="0"/>
    <x v="0"/>
    <x v="2"/>
    <x v="2"/>
    <n v="0"/>
    <n v="0"/>
    <n v="45.545000000000002"/>
    <n v="45.545000000000002"/>
    <n v="45.545000000000002"/>
    <n v="45.545000000000002"/>
    <n v="29"/>
    <x v="0"/>
    <n v="0"/>
    <n v="0"/>
    <n v="44"/>
    <n v="81"/>
    <n v="0"/>
    <n v="324.88"/>
    <n v="322.54000000000002"/>
    <m/>
    <n v="448.39375036225908"/>
    <n v="328.70388835395738"/>
    <n v="0"/>
    <n v="14796.659600000001"/>
    <n v="14690.084300000002"/>
    <n v="0"/>
    <n v="20422.093360249091"/>
    <n v="14970.818595080989"/>
  </r>
  <r>
    <s v="Refaturamento - Regular"/>
    <x v="3"/>
    <x v="4"/>
    <x v="6"/>
    <x v="0"/>
    <x v="0"/>
    <x v="0"/>
    <x v="2"/>
    <x v="2"/>
    <n v="0"/>
    <n v="0"/>
    <n v="2.036"/>
    <n v="2.036"/>
    <n v="2.036"/>
    <n v="2.036"/>
    <n v="1"/>
    <x v="0"/>
    <n v="0"/>
    <n v="0"/>
    <n v="44"/>
    <n v="81"/>
    <n v="0"/>
    <n v="324.88"/>
    <n v="322.54000000000002"/>
    <m/>
    <n v="448.39375036225908"/>
    <n v="328.70388835395738"/>
    <n v="0"/>
    <n v="661.45568000000003"/>
    <n v="656.69144000000006"/>
    <n v="0"/>
    <n v="912.92967573755948"/>
    <n v="669.24111668865726"/>
  </r>
  <r>
    <s v="Regular"/>
    <x v="3"/>
    <x v="4"/>
    <x v="6"/>
    <x v="0"/>
    <x v="0"/>
    <x v="0"/>
    <x v="2"/>
    <x v="3"/>
    <n v="0"/>
    <n v="0"/>
    <n v="42.582999999999998"/>
    <n v="42.582999999999998"/>
    <n v="42.582999999999998"/>
    <n v="42.582999999999998"/>
    <n v="30"/>
    <x v="0"/>
    <n v="0"/>
    <n v="0"/>
    <n v="44"/>
    <n v="81"/>
    <n v="0"/>
    <n v="324.88"/>
    <n v="322.54000000000002"/>
    <m/>
    <n v="448.39375036225908"/>
    <n v="328.70388835395738"/>
    <n v="0"/>
    <n v="13834.365039999999"/>
    <n v="13734.72082"/>
    <n v="0"/>
    <n v="19093.951071676078"/>
    <n v="13997.197677776567"/>
  </r>
  <r>
    <s v="Regular"/>
    <x v="3"/>
    <x v="4"/>
    <x v="6"/>
    <x v="0"/>
    <x v="0"/>
    <x v="0"/>
    <x v="2"/>
    <x v="4"/>
    <n v="0"/>
    <n v="0"/>
    <n v="51.683999999999997"/>
    <n v="51.683999999999997"/>
    <n v="51.683999999999997"/>
    <n v="51.683999999999997"/>
    <n v="29"/>
    <x v="0"/>
    <n v="0"/>
    <n v="0"/>
    <n v="44"/>
    <n v="81"/>
    <n v="0"/>
    <n v="324.88"/>
    <n v="322.54000000000002"/>
    <m/>
    <n v="448.39375036225908"/>
    <n v="328.70388835395738"/>
    <n v="0"/>
    <n v="16791.09792"/>
    <n v="16670.157360000001"/>
    <n v="0"/>
    <n v="23174.782593722997"/>
    <n v="16988.731765685934"/>
  </r>
  <r>
    <s v="Refaturamento - Regular"/>
    <x v="3"/>
    <x v="4"/>
    <x v="6"/>
    <x v="0"/>
    <x v="0"/>
    <x v="0"/>
    <x v="2"/>
    <x v="4"/>
    <n v="0"/>
    <n v="0"/>
    <n v="-0.03"/>
    <n v="-0.03"/>
    <n v="-0.03"/>
    <n v="-0.03"/>
    <n v="-1"/>
    <x v="0"/>
    <n v="0"/>
    <n v="0"/>
    <n v="44"/>
    <n v="81"/>
    <n v="0"/>
    <n v="324.88"/>
    <n v="322.54000000000002"/>
    <m/>
    <n v="448.39375036225908"/>
    <n v="328.70388835395738"/>
    <n v="0"/>
    <n v="-9.7463999999999995"/>
    <n v="-9.6761999999999997"/>
    <n v="0"/>
    <n v="-13.451812510867772"/>
    <n v="-9.8611166506187207"/>
  </r>
  <r>
    <s v="Regular"/>
    <x v="3"/>
    <x v="4"/>
    <x v="6"/>
    <x v="0"/>
    <x v="0"/>
    <x v="0"/>
    <x v="2"/>
    <x v="5"/>
    <n v="0"/>
    <n v="0"/>
    <n v="43.677999999999997"/>
    <n v="43.677999999999997"/>
    <n v="43.677999999999997"/>
    <n v="43.677999999999997"/>
    <n v="29"/>
    <x v="0"/>
    <n v="0"/>
    <n v="0"/>
    <n v="44"/>
    <n v="81"/>
    <n v="0"/>
    <n v="324.88"/>
    <n v="322.54000000000002"/>
    <m/>
    <n v="448.39375036225908"/>
    <n v="328.70388835395738"/>
    <n v="0"/>
    <n v="14190.108639999999"/>
    <n v="14087.902120000001"/>
    <n v="0"/>
    <n v="19584.94222832275"/>
    <n v="14357.12843552415"/>
  </r>
  <r>
    <s v="Regular"/>
    <x v="3"/>
    <x v="4"/>
    <x v="6"/>
    <x v="0"/>
    <x v="0"/>
    <x v="0"/>
    <x v="2"/>
    <x v="6"/>
    <n v="0"/>
    <n v="0"/>
    <n v="57.445"/>
    <n v="57.445"/>
    <n v="57.445"/>
    <n v="57.445"/>
    <n v="29"/>
    <x v="0"/>
    <n v="0"/>
    <n v="0"/>
    <n v="44"/>
    <n v="81"/>
    <n v="0"/>
    <n v="324.88"/>
    <n v="322.54000000000002"/>
    <m/>
    <n v="448.39375036225908"/>
    <n v="328.70388835395738"/>
    <n v="0"/>
    <n v="18662.731599999999"/>
    <n v="18528.310300000001"/>
    <n v="0"/>
    <n v="25757.978989559972"/>
    <n v="18882.394866493083"/>
  </r>
  <r>
    <s v="Regular"/>
    <x v="3"/>
    <x v="4"/>
    <x v="6"/>
    <x v="0"/>
    <x v="0"/>
    <x v="0"/>
    <x v="2"/>
    <x v="7"/>
    <n v="0"/>
    <n v="0"/>
    <n v="45.786999999999999"/>
    <n v="45.786999999999999"/>
    <n v="45.786999999999999"/>
    <n v="45.786999999999999"/>
    <n v="29"/>
    <x v="0"/>
    <n v="0"/>
    <n v="0"/>
    <n v="44"/>
    <n v="81"/>
    <n v="0"/>
    <n v="324.88"/>
    <n v="322.54000000000002"/>
    <m/>
    <n v="448.39375036225908"/>
    <n v="328.70388835395738"/>
    <n v="0"/>
    <n v="14875.280559999999"/>
    <n v="14768.13898"/>
    <n v="0"/>
    <n v="20530.604647836757"/>
    <n v="15050.364936062646"/>
  </r>
  <r>
    <s v="Regular"/>
    <x v="3"/>
    <x v="4"/>
    <x v="6"/>
    <x v="0"/>
    <x v="0"/>
    <x v="0"/>
    <x v="2"/>
    <x v="8"/>
    <n v="0"/>
    <n v="0"/>
    <n v="40.225000000000001"/>
    <n v="40.225000000000001"/>
    <n v="40.225000000000001"/>
    <n v="40.225000000000001"/>
    <n v="29"/>
    <x v="0"/>
    <n v="0"/>
    <n v="0"/>
    <n v="44"/>
    <n v="81"/>
    <n v="0"/>
    <n v="324.88"/>
    <n v="322.54000000000002"/>
    <m/>
    <n v="448.39375036225908"/>
    <n v="328.70388835395738"/>
    <n v="0"/>
    <n v="13068.298000000001"/>
    <n v="12974.1715"/>
    <n v="0"/>
    <n v="18036.638608321871"/>
    <n v="13222.113909037937"/>
  </r>
  <r>
    <s v="Regular"/>
    <x v="3"/>
    <x v="4"/>
    <x v="6"/>
    <x v="0"/>
    <x v="0"/>
    <x v="0"/>
    <x v="2"/>
    <x v="9"/>
    <n v="0"/>
    <n v="0"/>
    <n v="34.320999999999998"/>
    <n v="34.320999999999998"/>
    <n v="34.320999999999998"/>
    <n v="34.320999999999998"/>
    <n v="29"/>
    <x v="0"/>
    <n v="0"/>
    <n v="0"/>
    <n v="44"/>
    <n v="81"/>
    <n v="0"/>
    <n v="324.88"/>
    <n v="322.54000000000002"/>
    <m/>
    <n v="448.39375036225908"/>
    <n v="328.70388835395738"/>
    <n v="0"/>
    <n v="11150.206479999999"/>
    <n v="11069.895340000001"/>
    <n v="0"/>
    <n v="15389.321906183093"/>
    <n v="11281.446152196171"/>
  </r>
  <r>
    <s v="Regular"/>
    <x v="3"/>
    <x v="4"/>
    <x v="6"/>
    <x v="0"/>
    <x v="0"/>
    <x v="0"/>
    <x v="2"/>
    <x v="10"/>
    <n v="0"/>
    <n v="0"/>
    <n v="36.06"/>
    <n v="36.06"/>
    <n v="36.06"/>
    <n v="36.06"/>
    <n v="31"/>
    <x v="0"/>
    <n v="0"/>
    <n v="0"/>
    <n v="44"/>
    <n v="81"/>
    <n v="0"/>
    <n v="324.88"/>
    <n v="322.54000000000002"/>
    <m/>
    <n v="448.39375036225908"/>
    <n v="328.70388835395738"/>
    <n v="0"/>
    <n v="11715.1728"/>
    <n v="11630.792400000002"/>
    <n v="0"/>
    <n v="16169.078638063063"/>
    <n v="11853.062214043704"/>
  </r>
  <r>
    <s v="PROJETADO"/>
    <x v="3"/>
    <x v="4"/>
    <x v="6"/>
    <x v="0"/>
    <x v="0"/>
    <x v="0"/>
    <x v="2"/>
    <x v="11"/>
    <n v="0"/>
    <n v="0"/>
    <n v="36.06"/>
    <n v="36.06"/>
    <n v="36.06"/>
    <n v="36.06"/>
    <n v="31"/>
    <x v="0"/>
    <n v="0"/>
    <n v="0"/>
    <n v="44"/>
    <n v="81"/>
    <n v="0"/>
    <n v="324.88"/>
    <n v="322.54000000000002"/>
    <m/>
    <n v="448.39375036225908"/>
    <n v="328.70388835395738"/>
    <n v="0"/>
    <n v="11715.1728"/>
    <n v="11630.792400000002"/>
    <n v="0"/>
    <n v="16169.078638063063"/>
    <n v="11853.062214043704"/>
  </r>
  <r>
    <s v="Regular"/>
    <x v="3"/>
    <x v="4"/>
    <x v="1"/>
    <x v="0"/>
    <x v="0"/>
    <x v="0"/>
    <x v="2"/>
    <x v="0"/>
    <n v="0"/>
    <n v="0"/>
    <n v="731.47"/>
    <n v="731.47"/>
    <n v="731.47"/>
    <n v="731.47"/>
    <n v="1394"/>
    <x v="0"/>
    <n v="0"/>
    <n v="0"/>
    <n v="44"/>
    <n v="81"/>
    <n v="0"/>
    <n v="324.88"/>
    <n v="322.54000000000002"/>
    <m/>
    <n v="448.39375036225908"/>
    <n v="328.70388835395738"/>
    <n v="0"/>
    <n v="237639.9736"/>
    <n v="235928.33380000002"/>
    <n v="0"/>
    <n v="327986.57657748164"/>
    <n v="240437.03321426921"/>
  </r>
  <r>
    <s v="Sistema de Compensação"/>
    <x v="3"/>
    <x v="4"/>
    <x v="1"/>
    <x v="0"/>
    <x v="0"/>
    <x v="0"/>
    <x v="2"/>
    <x v="0"/>
    <n v="0"/>
    <n v="0"/>
    <n v="39.854999999999997"/>
    <n v="39.854999999999997"/>
    <n v="39.854999999999997"/>
    <n v="39.854999999999997"/>
    <n v="73"/>
    <x v="0"/>
    <n v="0"/>
    <n v="0"/>
    <n v="44"/>
    <n v="81"/>
    <n v="0"/>
    <n v="324.88"/>
    <n v="322.54000000000002"/>
    <m/>
    <n v="448.39375036225908"/>
    <n v="328.70388835395738"/>
    <n v="0"/>
    <n v="12948.0924"/>
    <n v="12854.831700000001"/>
    <n v="0"/>
    <n v="17870.732920687835"/>
    <n v="13100.49347034697"/>
  </r>
  <r>
    <s v="Regular"/>
    <x v="3"/>
    <x v="4"/>
    <x v="1"/>
    <x v="0"/>
    <x v="0"/>
    <x v="0"/>
    <x v="2"/>
    <x v="1"/>
    <n v="0"/>
    <n v="0"/>
    <n v="746.83100000000002"/>
    <n v="746.83100000000002"/>
    <n v="746.83100000000002"/>
    <n v="746.83100000000002"/>
    <n v="1395"/>
    <x v="0"/>
    <n v="0"/>
    <n v="0"/>
    <n v="44"/>
    <n v="81"/>
    <n v="0"/>
    <n v="324.88"/>
    <n v="322.54000000000002"/>
    <m/>
    <n v="448.39375036225908"/>
    <n v="328.70388835395738"/>
    <n v="0"/>
    <n v="242630.45527999999"/>
    <n v="240882.87074000001"/>
    <n v="0"/>
    <n v="334874.35297679633"/>
    <n v="245486.25364327437"/>
  </r>
  <r>
    <s v="Refaturamento - Regular"/>
    <x v="3"/>
    <x v="4"/>
    <x v="1"/>
    <x v="0"/>
    <x v="0"/>
    <x v="0"/>
    <x v="2"/>
    <x v="1"/>
    <n v="0"/>
    <n v="0"/>
    <n v="-7.0129999999999999"/>
    <n v="-7.0129999999999999"/>
    <n v="-7.0129999999999999"/>
    <n v="-7.0129999999999999"/>
    <n v="0"/>
    <x v="0"/>
    <n v="0"/>
    <n v="0"/>
    <n v="44"/>
    <n v="81"/>
    <n v="0"/>
    <n v="324.88"/>
    <n v="322.54000000000002"/>
    <m/>
    <n v="448.39375036225908"/>
    <n v="328.70388835395738"/>
    <n v="0"/>
    <n v="-2278.3834400000001"/>
    <n v="-2261.9730199999999"/>
    <n v="0"/>
    <n v="-3144.5853712905227"/>
    <n v="-2305.2003690263032"/>
  </r>
  <r>
    <s v="Sistema de Compensação"/>
    <x v="3"/>
    <x v="4"/>
    <x v="1"/>
    <x v="0"/>
    <x v="0"/>
    <x v="0"/>
    <x v="2"/>
    <x v="1"/>
    <n v="0"/>
    <n v="0"/>
    <n v="53.616999999999997"/>
    <n v="53.616999999999997"/>
    <n v="53.616999999999997"/>
    <n v="53.616999999999997"/>
    <n v="76"/>
    <x v="0"/>
    <n v="0"/>
    <n v="0"/>
    <n v="44"/>
    <n v="81"/>
    <n v="0"/>
    <n v="324.88"/>
    <n v="322.54000000000002"/>
    <m/>
    <n v="448.39375036225908"/>
    <n v="328.70388835395738"/>
    <n v="0"/>
    <n v="17419.090959999998"/>
    <n v="17293.627179999999"/>
    <n v="0"/>
    <n v="24041.527713173244"/>
    <n v="17624.116381874133"/>
  </r>
  <r>
    <s v="Sistema de Compensação"/>
    <x v="3"/>
    <x v="4"/>
    <x v="1"/>
    <x v="0"/>
    <x v="0"/>
    <x v="0"/>
    <x v="2"/>
    <x v="1"/>
    <n v="0"/>
    <n v="0"/>
    <n v="5.0999999999999996"/>
    <n v="5.0999999999999996"/>
    <n v="5.0999999999999996"/>
    <n v="5.0999999999999996"/>
    <n v="1"/>
    <x v="0"/>
    <n v="0"/>
    <n v="0"/>
    <n v="44"/>
    <n v="81"/>
    <n v="0"/>
    <n v="324.88"/>
    <n v="322.54000000000002"/>
    <m/>
    <n v="448.39375036225908"/>
    <n v="328.70388835395738"/>
    <n v="0"/>
    <n v="1656.8879999999999"/>
    <n v="1644.954"/>
    <n v="0"/>
    <n v="2286.8081268475212"/>
    <n v="1676.3898306051826"/>
  </r>
  <r>
    <s v="Regular"/>
    <x v="3"/>
    <x v="4"/>
    <x v="1"/>
    <x v="0"/>
    <x v="0"/>
    <x v="0"/>
    <x v="2"/>
    <x v="2"/>
    <n v="0"/>
    <n v="0"/>
    <n v="714.52"/>
    <n v="714.52"/>
    <n v="714.52"/>
    <n v="714.52"/>
    <n v="1395"/>
    <x v="0"/>
    <n v="0"/>
    <n v="0"/>
    <n v="44"/>
    <n v="81"/>
    <n v="0"/>
    <n v="324.88"/>
    <n v="322.54000000000002"/>
    <m/>
    <n v="448.39375036225908"/>
    <n v="328.70388835395738"/>
    <n v="0"/>
    <n v="232133.25759999998"/>
    <n v="230461.28080000001"/>
    <n v="0"/>
    <n v="320386.30250884133"/>
    <n v="234865.50230666963"/>
  </r>
  <r>
    <s v="Refaturamento - Regular"/>
    <x v="3"/>
    <x v="4"/>
    <x v="1"/>
    <x v="0"/>
    <x v="0"/>
    <x v="0"/>
    <x v="2"/>
    <x v="2"/>
    <n v="0"/>
    <n v="0"/>
    <n v="4.3999999999999997E-2"/>
    <n v="4.3999999999999997E-2"/>
    <n v="4.3999999999999997E-2"/>
    <n v="4.3999999999999997E-2"/>
    <n v="1"/>
    <x v="0"/>
    <n v="0"/>
    <n v="0"/>
    <n v="44"/>
    <n v="81"/>
    <n v="0"/>
    <n v="324.88"/>
    <n v="322.54000000000002"/>
    <m/>
    <n v="448.39375036225908"/>
    <n v="328.70388835395738"/>
    <n v="0"/>
    <n v="14.294719999999998"/>
    <n v="14.19176"/>
    <n v="0"/>
    <n v="19.729325015939398"/>
    <n v="14.462971087574124"/>
  </r>
  <r>
    <s v="Sistema de Compensação"/>
    <x v="3"/>
    <x v="4"/>
    <x v="1"/>
    <x v="0"/>
    <x v="0"/>
    <x v="0"/>
    <x v="2"/>
    <x v="2"/>
    <n v="0"/>
    <n v="0"/>
    <n v="50.514000000000003"/>
    <n v="50.514000000000003"/>
    <n v="50.514000000000003"/>
    <n v="50.514000000000003"/>
    <n v="83"/>
    <x v="0"/>
    <n v="0"/>
    <n v="0"/>
    <n v="44"/>
    <n v="81"/>
    <n v="0"/>
    <n v="324.88"/>
    <n v="322.54000000000002"/>
    <m/>
    <n v="448.39375036225908"/>
    <n v="328.70388835395738"/>
    <n v="0"/>
    <n v="16410.98832"/>
    <n v="16292.785560000002"/>
    <n v="0"/>
    <n v="22650.161905799156"/>
    <n v="16604.148216311805"/>
  </r>
  <r>
    <s v="Sistema de Compensação"/>
    <x v="3"/>
    <x v="4"/>
    <x v="1"/>
    <x v="0"/>
    <x v="0"/>
    <x v="0"/>
    <x v="2"/>
    <x v="2"/>
    <n v="0"/>
    <n v="0"/>
    <n v="1.26"/>
    <n v="1.26"/>
    <n v="1.26"/>
    <n v="1.26"/>
    <n v="1"/>
    <x v="0"/>
    <n v="0"/>
    <n v="0"/>
    <n v="44"/>
    <n v="81"/>
    <n v="0"/>
    <n v="324.88"/>
    <n v="322.54000000000002"/>
    <m/>
    <n v="448.39375036225908"/>
    <n v="328.70388835395738"/>
    <n v="0"/>
    <n v="409.34879999999998"/>
    <n v="406.40040000000005"/>
    <n v="0"/>
    <n v="564.97612545644643"/>
    <n v="414.16689932598632"/>
  </r>
  <r>
    <s v="Regular"/>
    <x v="3"/>
    <x v="4"/>
    <x v="1"/>
    <x v="0"/>
    <x v="0"/>
    <x v="0"/>
    <x v="2"/>
    <x v="3"/>
    <n v="0"/>
    <n v="0"/>
    <n v="744.52499999999998"/>
    <n v="744.52499999999998"/>
    <n v="744.52499999999998"/>
    <n v="744.52499999999998"/>
    <n v="1413"/>
    <x v="0"/>
    <n v="0"/>
    <n v="0"/>
    <n v="44"/>
    <n v="81"/>
    <n v="0"/>
    <n v="324.88"/>
    <n v="322.54000000000002"/>
    <m/>
    <n v="448.39375036225908"/>
    <n v="328.70388835395738"/>
    <n v="0"/>
    <n v="241881.28199999998"/>
    <n v="240139.09350000002"/>
    <n v="0"/>
    <n v="333840.35698846093"/>
    <n v="244728.2624767301"/>
  </r>
  <r>
    <s v="Refaturamento - Regular"/>
    <x v="3"/>
    <x v="4"/>
    <x v="1"/>
    <x v="0"/>
    <x v="0"/>
    <x v="0"/>
    <x v="2"/>
    <x v="3"/>
    <n v="0"/>
    <n v="0"/>
    <n v="0.36099999999999999"/>
    <n v="0.36099999999999999"/>
    <n v="0.36099999999999999"/>
    <n v="0.36099999999999999"/>
    <n v="3"/>
    <x v="0"/>
    <n v="0"/>
    <n v="0"/>
    <n v="44"/>
    <n v="81"/>
    <n v="0"/>
    <n v="324.88"/>
    <n v="322.54000000000002"/>
    <m/>
    <n v="448.39375036225908"/>
    <n v="328.70388835395738"/>
    <n v="0"/>
    <n v="117.28167999999999"/>
    <n v="116.43694000000001"/>
    <n v="0"/>
    <n v="161.87014388077552"/>
    <n v="118.66210369577861"/>
  </r>
  <r>
    <s v="Sistema de Compensação"/>
    <x v="3"/>
    <x v="4"/>
    <x v="1"/>
    <x v="0"/>
    <x v="0"/>
    <x v="0"/>
    <x v="2"/>
    <x v="3"/>
    <n v="0"/>
    <n v="0"/>
    <n v="49.884"/>
    <n v="49.884"/>
    <n v="49.884"/>
    <n v="49.884"/>
    <n v="86"/>
    <x v="0"/>
    <n v="0"/>
    <n v="0"/>
    <n v="44"/>
    <n v="81"/>
    <n v="0"/>
    <n v="324.88"/>
    <n v="322.54000000000002"/>
    <m/>
    <n v="448.39375036225908"/>
    <n v="328.70388835395738"/>
    <n v="0"/>
    <n v="16206.313920000001"/>
    <n v="16089.585360000001"/>
    <n v="0"/>
    <n v="22367.673843070934"/>
    <n v="16397.064766648811"/>
  </r>
  <r>
    <s v="Regular"/>
    <x v="3"/>
    <x v="4"/>
    <x v="1"/>
    <x v="0"/>
    <x v="0"/>
    <x v="0"/>
    <x v="2"/>
    <x v="4"/>
    <n v="0"/>
    <n v="0"/>
    <n v="667.91600000000005"/>
    <n v="667.91600000000005"/>
    <n v="667.91600000000005"/>
    <n v="667.91600000000005"/>
    <n v="1429"/>
    <x v="0"/>
    <n v="0"/>
    <n v="0"/>
    <n v="44"/>
    <n v="81"/>
    <n v="0"/>
    <n v="324.88"/>
    <n v="322.54000000000002"/>
    <m/>
    <n v="448.39375036225908"/>
    <n v="328.70388835395738"/>
    <n v="0"/>
    <n v="216992.55008000002"/>
    <n v="215429.62664000003"/>
    <n v="0"/>
    <n v="299489.36016695865"/>
    <n v="219546.58629382181"/>
  </r>
  <r>
    <s v="Sistema de Compensação"/>
    <x v="3"/>
    <x v="4"/>
    <x v="1"/>
    <x v="0"/>
    <x v="0"/>
    <x v="0"/>
    <x v="2"/>
    <x v="4"/>
    <n v="0"/>
    <n v="0"/>
    <n v="40.204000000000001"/>
    <n v="40.204000000000001"/>
    <n v="40.204000000000001"/>
    <n v="40.204000000000001"/>
    <n v="89"/>
    <x v="0"/>
    <n v="0"/>
    <n v="0"/>
    <n v="44"/>
    <n v="81"/>
    <n v="0"/>
    <n v="324.88"/>
    <n v="322.54000000000002"/>
    <m/>
    <n v="448.39375036225908"/>
    <n v="328.70388835395738"/>
    <n v="0"/>
    <n v="13061.47552"/>
    <n v="12967.398160000001"/>
    <n v="0"/>
    <n v="18027.222339564265"/>
    <n v="13215.211127382503"/>
  </r>
  <r>
    <s v="Regular"/>
    <x v="3"/>
    <x v="4"/>
    <x v="1"/>
    <x v="0"/>
    <x v="0"/>
    <x v="0"/>
    <x v="2"/>
    <x v="5"/>
    <n v="0"/>
    <n v="0"/>
    <n v="837.01"/>
    <n v="837.01"/>
    <n v="837.01"/>
    <n v="837.01"/>
    <n v="1438"/>
    <x v="0"/>
    <n v="0"/>
    <n v="0"/>
    <n v="44"/>
    <n v="81"/>
    <n v="0"/>
    <n v="324.88"/>
    <n v="322.54000000000002"/>
    <m/>
    <n v="448.39375036225908"/>
    <n v="328.70388835395738"/>
    <n v="0"/>
    <n v="271927.8088"/>
    <n v="269969.20540000004"/>
    <n v="0"/>
    <n v="375310.0529907145"/>
    <n v="275128.44159114588"/>
  </r>
  <r>
    <s v="Refaturamento - Regular"/>
    <x v="3"/>
    <x v="4"/>
    <x v="1"/>
    <x v="0"/>
    <x v="0"/>
    <x v="0"/>
    <x v="2"/>
    <x v="5"/>
    <n v="0"/>
    <n v="0"/>
    <n v="0.51700000000000002"/>
    <n v="0.51700000000000002"/>
    <n v="0.51700000000000002"/>
    <n v="0.51700000000000002"/>
    <n v="2"/>
    <x v="0"/>
    <n v="0"/>
    <n v="0"/>
    <n v="44"/>
    <n v="81"/>
    <n v="0"/>
    <n v="324.88"/>
    <n v="322.54000000000002"/>
    <m/>
    <n v="448.39375036225908"/>
    <n v="328.70388835395738"/>
    <n v="0"/>
    <n v="167.96296000000001"/>
    <n v="166.75318000000001"/>
    <n v="0"/>
    <n v="231.81956893728795"/>
    <n v="169.93991027899597"/>
  </r>
  <r>
    <s v="Sistema de Compensação"/>
    <x v="3"/>
    <x v="4"/>
    <x v="1"/>
    <x v="0"/>
    <x v="0"/>
    <x v="0"/>
    <x v="2"/>
    <x v="5"/>
    <n v="0"/>
    <n v="0"/>
    <n v="54.731000000000002"/>
    <n v="54.731000000000002"/>
    <n v="54.731000000000002"/>
    <n v="54.731000000000002"/>
    <n v="94"/>
    <x v="0"/>
    <n v="0"/>
    <n v="0"/>
    <n v="44"/>
    <n v="81"/>
    <n v="0"/>
    <n v="324.88"/>
    <n v="322.54000000000002"/>
    <m/>
    <n v="448.39375036225908"/>
    <n v="328.70388835395738"/>
    <n v="0"/>
    <n v="17781.007280000002"/>
    <n v="17652.936740000001"/>
    <n v="0"/>
    <n v="24541.038351076804"/>
    <n v="17990.292513500441"/>
  </r>
  <r>
    <s v="Regular"/>
    <x v="3"/>
    <x v="4"/>
    <x v="1"/>
    <x v="0"/>
    <x v="0"/>
    <x v="0"/>
    <x v="2"/>
    <x v="6"/>
    <n v="0"/>
    <n v="0"/>
    <n v="803.125"/>
    <n v="803.125"/>
    <n v="803.125"/>
    <n v="803.125"/>
    <n v="1456"/>
    <x v="0"/>
    <n v="0"/>
    <n v="0"/>
    <n v="44"/>
    <n v="81"/>
    <n v="0"/>
    <n v="324.88"/>
    <n v="322.54000000000002"/>
    <m/>
    <n v="448.39375036225908"/>
    <n v="328.70388835395738"/>
    <n v="0"/>
    <n v="260919.25"/>
    <n v="259039.93750000003"/>
    <n v="0"/>
    <n v="360116.23075968935"/>
    <n v="263990.31033427204"/>
  </r>
  <r>
    <s v="Sistema de Compensação"/>
    <x v="3"/>
    <x v="4"/>
    <x v="1"/>
    <x v="0"/>
    <x v="0"/>
    <x v="0"/>
    <x v="2"/>
    <x v="6"/>
    <n v="0"/>
    <n v="0"/>
    <n v="53.128999999999998"/>
    <n v="53.128999999999998"/>
    <n v="53.128999999999998"/>
    <n v="53.128999999999998"/>
    <n v="100"/>
    <x v="0"/>
    <n v="0"/>
    <n v="0"/>
    <n v="44"/>
    <n v="81"/>
    <n v="0"/>
    <n v="324.88"/>
    <n v="322.54000000000002"/>
    <m/>
    <n v="448.39375036225908"/>
    <n v="328.70388835395738"/>
    <n v="0"/>
    <n v="17260.54952"/>
    <n v="17136.22766"/>
    <n v="0"/>
    <n v="23822.711562996461"/>
    <n v="17463.708884357402"/>
  </r>
  <r>
    <s v="Regular"/>
    <x v="3"/>
    <x v="4"/>
    <x v="1"/>
    <x v="0"/>
    <x v="0"/>
    <x v="0"/>
    <x v="2"/>
    <x v="7"/>
    <n v="0"/>
    <n v="0"/>
    <n v="828.76300000000003"/>
    <n v="828.76300000000003"/>
    <n v="828.76300000000003"/>
    <n v="828.76300000000003"/>
    <n v="1471"/>
    <x v="0"/>
    <n v="0"/>
    <n v="0"/>
    <n v="44"/>
    <n v="81"/>
    <n v="0"/>
    <n v="324.88"/>
    <n v="322.54000000000002"/>
    <m/>
    <n v="448.39375036225908"/>
    <n v="328.70388835395738"/>
    <n v="0"/>
    <n v="269248.52344000002"/>
    <n v="267309.21802000003"/>
    <n v="0"/>
    <n v="371612.14973147697"/>
    <n v="272417.62062389078"/>
  </r>
  <r>
    <s v="Refaturamento - Regular"/>
    <x v="3"/>
    <x v="4"/>
    <x v="1"/>
    <x v="0"/>
    <x v="0"/>
    <x v="0"/>
    <x v="2"/>
    <x v="7"/>
    <n v="0"/>
    <n v="0"/>
    <n v="7.2999999999999995E-2"/>
    <n v="7.2999999999999995E-2"/>
    <n v="7.2999999999999995E-2"/>
    <n v="7.2999999999999995E-2"/>
    <n v="1"/>
    <x v="0"/>
    <n v="0"/>
    <n v="0"/>
    <n v="44"/>
    <n v="81"/>
    <n v="0"/>
    <n v="324.88"/>
    <n v="322.54000000000002"/>
    <m/>
    <n v="448.39375036225908"/>
    <n v="328.70388835395738"/>
    <n v="0"/>
    <n v="23.716239999999999"/>
    <n v="23.54542"/>
    <n v="0"/>
    <n v="32.732743776444913"/>
    <n v="23.995383849838888"/>
  </r>
  <r>
    <s v="Sistema de Compensação"/>
    <x v="3"/>
    <x v="4"/>
    <x v="1"/>
    <x v="0"/>
    <x v="0"/>
    <x v="0"/>
    <x v="2"/>
    <x v="7"/>
    <n v="0"/>
    <n v="0"/>
    <n v="72.489000000000004"/>
    <n v="72.489000000000004"/>
    <n v="72.489000000000004"/>
    <n v="72.489000000000004"/>
    <n v="110"/>
    <x v="0"/>
    <n v="0"/>
    <n v="0"/>
    <n v="44"/>
    <n v="81"/>
    <n v="0"/>
    <n v="324.88"/>
    <n v="322.54000000000002"/>
    <m/>
    <n v="448.39375036225908"/>
    <n v="328.70388835395738"/>
    <n v="0"/>
    <n v="23550.226320000002"/>
    <n v="23380.602060000001"/>
    <n v="0"/>
    <n v="32503.614570009802"/>
    <n v="23827.416162890018"/>
  </r>
  <r>
    <s v="Regular"/>
    <x v="3"/>
    <x v="4"/>
    <x v="1"/>
    <x v="0"/>
    <x v="0"/>
    <x v="0"/>
    <x v="2"/>
    <x v="8"/>
    <n v="0"/>
    <n v="0"/>
    <n v="742.68299999999999"/>
    <n v="742.68299999999999"/>
    <n v="742.68299999999999"/>
    <n v="742.68299999999999"/>
    <n v="1473"/>
    <x v="0"/>
    <n v="0"/>
    <n v="0"/>
    <n v="44"/>
    <n v="81"/>
    <n v="0"/>
    <n v="324.88"/>
    <n v="322.54000000000002"/>
    <m/>
    <n v="448.39375036225908"/>
    <n v="328.70388835395738"/>
    <n v="0"/>
    <n v="241282.85303999999"/>
    <n v="239544.97482"/>
    <n v="0"/>
    <n v="333014.41570029367"/>
    <n v="244122.78991438213"/>
  </r>
  <r>
    <s v="Refaturamento - Regular"/>
    <x v="3"/>
    <x v="4"/>
    <x v="1"/>
    <x v="0"/>
    <x v="0"/>
    <x v="0"/>
    <x v="2"/>
    <x v="8"/>
    <n v="0"/>
    <n v="0"/>
    <n v="2.544"/>
    <n v="2.544"/>
    <n v="2.544"/>
    <n v="2.544"/>
    <n v="4"/>
    <x v="0"/>
    <n v="0"/>
    <n v="0"/>
    <n v="44"/>
    <n v="81"/>
    <n v="0"/>
    <n v="324.88"/>
    <n v="322.54000000000002"/>
    <m/>
    <n v="448.39375036225908"/>
    <n v="328.70388835395738"/>
    <n v="0"/>
    <n v="826.49472000000003"/>
    <n v="820.54176000000007"/>
    <n v="0"/>
    <n v="1140.7137009215871"/>
    <n v="836.2226919724676"/>
  </r>
  <r>
    <s v="Sistema de Compensação"/>
    <x v="3"/>
    <x v="4"/>
    <x v="1"/>
    <x v="0"/>
    <x v="0"/>
    <x v="0"/>
    <x v="2"/>
    <x v="8"/>
    <n v="0"/>
    <n v="0"/>
    <n v="72.144999999999996"/>
    <n v="72.144999999999996"/>
    <n v="72.144999999999996"/>
    <n v="72.144999999999996"/>
    <n v="123"/>
    <x v="0"/>
    <n v="0"/>
    <n v="0"/>
    <n v="44"/>
    <n v="81"/>
    <n v="0"/>
    <n v="324.88"/>
    <n v="322.54000000000002"/>
    <m/>
    <n v="448.39375036225908"/>
    <n v="328.70388835395738"/>
    <n v="0"/>
    <n v="23438.4676"/>
    <n v="23269.648300000001"/>
    <n v="0"/>
    <n v="32349.367119885181"/>
    <n v="23714.342025296253"/>
  </r>
  <r>
    <s v="Regular"/>
    <x v="3"/>
    <x v="4"/>
    <x v="1"/>
    <x v="0"/>
    <x v="0"/>
    <x v="0"/>
    <x v="2"/>
    <x v="9"/>
    <n v="0"/>
    <n v="0"/>
    <n v="699.21600000000001"/>
    <n v="699.21600000000001"/>
    <n v="699.21600000000001"/>
    <n v="699.21600000000001"/>
    <n v="1479"/>
    <x v="0"/>
    <n v="0"/>
    <n v="0"/>
    <n v="44"/>
    <n v="81"/>
    <n v="0"/>
    <n v="324.88"/>
    <n v="322.54000000000002"/>
    <m/>
    <n v="448.39375036225908"/>
    <n v="328.70388835395738"/>
    <n v="0"/>
    <n v="227161.29407999999"/>
    <n v="225525.12864000001"/>
    <n v="0"/>
    <n v="313524.08455329738"/>
    <n v="229835.01799930068"/>
  </r>
  <r>
    <s v="Refaturamento - Regular"/>
    <x v="3"/>
    <x v="4"/>
    <x v="1"/>
    <x v="0"/>
    <x v="0"/>
    <x v="0"/>
    <x v="2"/>
    <x v="9"/>
    <n v="0"/>
    <n v="0"/>
    <n v="0.2"/>
    <n v="0.2"/>
    <n v="0.2"/>
    <n v="0.2"/>
    <n v="2"/>
    <x v="0"/>
    <n v="0"/>
    <n v="0"/>
    <n v="44"/>
    <n v="81"/>
    <n v="0"/>
    <n v="324.88"/>
    <n v="322.54000000000002"/>
    <m/>
    <n v="448.39375036225908"/>
    <n v="328.70388835395738"/>
    <n v="0"/>
    <n v="64.975999999999999"/>
    <n v="64.50800000000001"/>
    <n v="0"/>
    <n v="89.67875007245182"/>
    <n v="65.740777670791473"/>
  </r>
  <r>
    <s v="Sistema de Compensação"/>
    <x v="3"/>
    <x v="4"/>
    <x v="1"/>
    <x v="0"/>
    <x v="0"/>
    <x v="0"/>
    <x v="2"/>
    <x v="9"/>
    <n v="0"/>
    <n v="0"/>
    <n v="73.763999999999996"/>
    <n v="73.763999999999996"/>
    <n v="73.763999999999996"/>
    <n v="73.763999999999996"/>
    <n v="139"/>
    <x v="0"/>
    <n v="0"/>
    <n v="0"/>
    <n v="44"/>
    <n v="81"/>
    <n v="0"/>
    <n v="324.88"/>
    <n v="322.54000000000002"/>
    <m/>
    <n v="448.39375036225908"/>
    <n v="328.70388835395738"/>
    <n v="0"/>
    <n v="23964.44832"/>
    <n v="23791.840560000001"/>
    <n v="0"/>
    <n v="33075.316601721679"/>
    <n v="24246.513620541311"/>
  </r>
  <r>
    <s v="Regular"/>
    <x v="3"/>
    <x v="4"/>
    <x v="1"/>
    <x v="0"/>
    <x v="0"/>
    <x v="0"/>
    <x v="2"/>
    <x v="10"/>
    <n v="0"/>
    <n v="0"/>
    <n v="653.83799999999997"/>
    <n v="653.83799999999997"/>
    <n v="653.83799999999997"/>
    <n v="653.83799999999997"/>
    <n v="1486"/>
    <x v="0"/>
    <n v="0"/>
    <n v="0"/>
    <n v="44"/>
    <n v="81"/>
    <n v="0"/>
    <n v="324.88"/>
    <n v="322.54000000000002"/>
    <m/>
    <n v="448.39375036225908"/>
    <n v="328.70388835395738"/>
    <n v="0"/>
    <n v="212418.88944"/>
    <n v="210888.90852"/>
    <n v="0"/>
    <n v="293176.87294935872"/>
    <n v="214919.09295357479"/>
  </r>
  <r>
    <s v="Refaturamento - Regular"/>
    <x v="3"/>
    <x v="4"/>
    <x v="1"/>
    <x v="0"/>
    <x v="0"/>
    <x v="0"/>
    <x v="2"/>
    <x v="10"/>
    <n v="0"/>
    <n v="0"/>
    <n v="5.0030000000000001"/>
    <n v="5.0030000000000001"/>
    <n v="5.0030000000000001"/>
    <n v="5.0030000000000001"/>
    <n v="1"/>
    <x v="0"/>
    <n v="0"/>
    <n v="0"/>
    <n v="44"/>
    <n v="81"/>
    <n v="0"/>
    <n v="324.88"/>
    <n v="322.54000000000002"/>
    <m/>
    <n v="448.39375036225908"/>
    <n v="328.70388835395738"/>
    <n v="0"/>
    <n v="1625.37464"/>
    <n v="1613.6676200000002"/>
    <n v="0"/>
    <n v="2243.3139330623821"/>
    <n v="1644.5055534348487"/>
  </r>
  <r>
    <s v="Sistema de Compensação"/>
    <x v="3"/>
    <x v="4"/>
    <x v="1"/>
    <x v="0"/>
    <x v="0"/>
    <x v="0"/>
    <x v="2"/>
    <x v="10"/>
    <n v="0"/>
    <n v="0"/>
    <n v="79.153000000000006"/>
    <n v="79.153000000000006"/>
    <n v="79.153000000000006"/>
    <n v="79.153000000000006"/>
    <n v="141"/>
    <x v="0"/>
    <n v="0"/>
    <n v="0"/>
    <n v="44"/>
    <n v="81"/>
    <n v="0"/>
    <n v="324.88"/>
    <n v="322.54000000000002"/>
    <m/>
    <n v="448.39375036225908"/>
    <n v="328.70388835395738"/>
    <n v="0"/>
    <n v="25715.226640000001"/>
    <n v="25530.008620000004"/>
    <n v="0"/>
    <n v="35491.710522423899"/>
    <n v="26017.89887488079"/>
  </r>
  <r>
    <s v="PROJETADO"/>
    <x v="3"/>
    <x v="4"/>
    <x v="1"/>
    <x v="0"/>
    <x v="0"/>
    <x v="0"/>
    <x v="2"/>
    <x v="11"/>
    <n v="0"/>
    <n v="0"/>
    <n v="653.83799999999997"/>
    <n v="653.83799999999997"/>
    <n v="653.83799999999997"/>
    <n v="653.83799999999997"/>
    <n v="1486"/>
    <x v="0"/>
    <n v="0"/>
    <n v="0"/>
    <n v="44"/>
    <n v="81"/>
    <n v="0"/>
    <n v="324.88"/>
    <n v="322.54000000000002"/>
    <m/>
    <n v="448.39375036225908"/>
    <n v="328.70388835395738"/>
    <n v="0"/>
    <n v="212418.88944"/>
    <n v="210888.90852"/>
    <n v="0"/>
    <n v="293176.87294935872"/>
    <n v="214919.09295357479"/>
  </r>
  <r>
    <s v="PROJETADO"/>
    <x v="3"/>
    <x v="4"/>
    <x v="1"/>
    <x v="0"/>
    <x v="0"/>
    <x v="0"/>
    <x v="2"/>
    <x v="11"/>
    <n v="0"/>
    <n v="0"/>
    <n v="5.0030000000000001"/>
    <n v="5.0030000000000001"/>
    <n v="5.0030000000000001"/>
    <n v="5.0030000000000001"/>
    <n v="1"/>
    <x v="0"/>
    <n v="0"/>
    <n v="0"/>
    <n v="44"/>
    <n v="81"/>
    <n v="0"/>
    <n v="324.88"/>
    <n v="322.54000000000002"/>
    <m/>
    <n v="448.39375036225908"/>
    <n v="328.70388835395738"/>
    <n v="0"/>
    <n v="1625.37464"/>
    <n v="1613.6676200000002"/>
    <n v="0"/>
    <n v="2243.3139330623821"/>
    <n v="1644.5055534348487"/>
  </r>
  <r>
    <s v="PROJETADO"/>
    <x v="3"/>
    <x v="4"/>
    <x v="1"/>
    <x v="0"/>
    <x v="0"/>
    <x v="0"/>
    <x v="2"/>
    <x v="11"/>
    <n v="0"/>
    <n v="0"/>
    <n v="79.153000000000006"/>
    <n v="79.153000000000006"/>
    <n v="79.153000000000006"/>
    <n v="79.153000000000006"/>
    <n v="141"/>
    <x v="0"/>
    <n v="0"/>
    <n v="0"/>
    <n v="44"/>
    <n v="81"/>
    <n v="0"/>
    <n v="324.88"/>
    <n v="322.54000000000002"/>
    <m/>
    <n v="448.39375036225908"/>
    <n v="328.70388835395738"/>
    <n v="0"/>
    <n v="25715.226640000001"/>
    <n v="25530.008620000004"/>
    <n v="0"/>
    <n v="35491.710522423899"/>
    <n v="26017.89887488079"/>
  </r>
  <r>
    <s v="Regular"/>
    <x v="3"/>
    <x v="4"/>
    <x v="2"/>
    <x v="0"/>
    <x v="0"/>
    <x v="0"/>
    <x v="2"/>
    <x v="0"/>
    <n v="0"/>
    <n v="0"/>
    <n v="798.976"/>
    <n v="798.976"/>
    <n v="798.976"/>
    <n v="798.976"/>
    <n v="989"/>
    <x v="0"/>
    <n v="0"/>
    <n v="0"/>
    <n v="44"/>
    <n v="81"/>
    <n v="0"/>
    <n v="324.88"/>
    <n v="322.54000000000002"/>
    <m/>
    <n v="448.39375036225908"/>
    <n v="328.70388835395738"/>
    <n v="0"/>
    <n v="259571.32287999999"/>
    <n v="257701.71904000003"/>
    <n v="0"/>
    <n v="358255.84508943633"/>
    <n v="262626.51790149143"/>
  </r>
  <r>
    <s v="Regular"/>
    <x v="3"/>
    <x v="4"/>
    <x v="2"/>
    <x v="0"/>
    <x v="0"/>
    <x v="0"/>
    <x v="2"/>
    <x v="1"/>
    <n v="0"/>
    <n v="0"/>
    <n v="906.45600000000002"/>
    <n v="906.45600000000002"/>
    <n v="906.45600000000002"/>
    <n v="906.45600000000002"/>
    <n v="989"/>
    <x v="0"/>
    <n v="0"/>
    <n v="0"/>
    <n v="44"/>
    <n v="81"/>
    <n v="0"/>
    <n v="324.88"/>
    <n v="322.54000000000002"/>
    <m/>
    <n v="448.39375036225908"/>
    <n v="328.70388835395738"/>
    <n v="0"/>
    <n v="294489.42528000002"/>
    <n v="292368.31824000005"/>
    <n v="0"/>
    <n v="406449.20537837193"/>
    <n v="297955.6118217748"/>
  </r>
  <r>
    <s v="Regular"/>
    <x v="3"/>
    <x v="4"/>
    <x v="2"/>
    <x v="0"/>
    <x v="0"/>
    <x v="0"/>
    <x v="2"/>
    <x v="2"/>
    <n v="0"/>
    <n v="0"/>
    <n v="866.60699999999997"/>
    <n v="866.60699999999997"/>
    <n v="866.60699999999997"/>
    <n v="866.60699999999997"/>
    <n v="989"/>
    <x v="0"/>
    <n v="0"/>
    <n v="0"/>
    <n v="44"/>
    <n v="81"/>
    <n v="0"/>
    <n v="324.88"/>
    <n v="322.54000000000002"/>
    <m/>
    <n v="448.39375036225908"/>
    <n v="328.70388835395738"/>
    <n v="0"/>
    <n v="281543.28216"/>
    <n v="279515.42178000003"/>
    <n v="0"/>
    <n v="388581.16282018623"/>
    <n v="284857.09057475795"/>
  </r>
  <r>
    <s v="Regular"/>
    <x v="3"/>
    <x v="4"/>
    <x v="2"/>
    <x v="0"/>
    <x v="0"/>
    <x v="0"/>
    <x v="2"/>
    <x v="3"/>
    <n v="0"/>
    <n v="0"/>
    <n v="944.62"/>
    <n v="944.62"/>
    <n v="944.62"/>
    <n v="944.62"/>
    <n v="964"/>
    <x v="0"/>
    <n v="0"/>
    <n v="0"/>
    <n v="44"/>
    <n v="81"/>
    <n v="0"/>
    <n v="324.88"/>
    <n v="322.54000000000002"/>
    <m/>
    <n v="448.39375036225908"/>
    <n v="328.70388835395738"/>
    <n v="0"/>
    <n v="306888.14559999999"/>
    <n v="304677.73480000003"/>
    <n v="0"/>
    <n v="423561.70446719718"/>
    <n v="310500.2670169152"/>
  </r>
  <r>
    <s v="Regular"/>
    <x v="3"/>
    <x v="4"/>
    <x v="2"/>
    <x v="0"/>
    <x v="0"/>
    <x v="0"/>
    <x v="2"/>
    <x v="4"/>
    <n v="0"/>
    <n v="0"/>
    <n v="799.40200000000004"/>
    <n v="799.40200000000004"/>
    <n v="799.40200000000004"/>
    <n v="799.40200000000004"/>
    <n v="962"/>
    <x v="0"/>
    <n v="0"/>
    <n v="0"/>
    <n v="44"/>
    <n v="81"/>
    <n v="0"/>
    <n v="324.88"/>
    <n v="322.54000000000002"/>
    <m/>
    <n v="448.39375036225908"/>
    <n v="328.70388835395738"/>
    <n v="0"/>
    <n v="259709.72176000001"/>
    <n v="257839.12108000004"/>
    <n v="0"/>
    <n v="358446.86082709068"/>
    <n v="262766.54575793026"/>
  </r>
  <r>
    <s v="Regular"/>
    <x v="3"/>
    <x v="4"/>
    <x v="2"/>
    <x v="0"/>
    <x v="0"/>
    <x v="0"/>
    <x v="2"/>
    <x v="5"/>
    <n v="0"/>
    <n v="0"/>
    <n v="999.95500000000004"/>
    <n v="999.95500000000004"/>
    <n v="999.95500000000004"/>
    <n v="999.95500000000004"/>
    <n v="962"/>
    <x v="0"/>
    <n v="0"/>
    <n v="0"/>
    <n v="44"/>
    <n v="81"/>
    <n v="0"/>
    <n v="324.88"/>
    <n v="322.54000000000002"/>
    <m/>
    <n v="448.39375036225908"/>
    <n v="328.70388835395738"/>
    <n v="0"/>
    <n v="324865.38040000002"/>
    <n v="322525.48570000002"/>
    <n v="0"/>
    <n v="448373.57264349278"/>
    <n v="328689.09667898144"/>
  </r>
  <r>
    <s v="Regular"/>
    <x v="3"/>
    <x v="4"/>
    <x v="2"/>
    <x v="0"/>
    <x v="0"/>
    <x v="0"/>
    <x v="2"/>
    <x v="6"/>
    <n v="0"/>
    <n v="0"/>
    <n v="1139.653"/>
    <n v="1139.653"/>
    <n v="1139.653"/>
    <n v="1139.653"/>
    <n v="965"/>
    <x v="0"/>
    <n v="0"/>
    <n v="0"/>
    <n v="44"/>
    <n v="81"/>
    <n v="0"/>
    <n v="324.88"/>
    <n v="322.54000000000002"/>
    <m/>
    <n v="448.39375036225908"/>
    <n v="328.70388835395738"/>
    <n v="0"/>
    <n v="370250.46664"/>
    <n v="367583.67862000002"/>
    <n v="0"/>
    <n v="511013.28278159967"/>
    <n v="374608.3724742526"/>
  </r>
  <r>
    <s v="Refaturamento - Regular"/>
    <x v="3"/>
    <x v="4"/>
    <x v="2"/>
    <x v="0"/>
    <x v="0"/>
    <x v="0"/>
    <x v="2"/>
    <x v="6"/>
    <n v="0"/>
    <n v="0"/>
    <n v="0.53"/>
    <n v="0.53"/>
    <n v="0.53"/>
    <n v="0.53"/>
    <n v="1"/>
    <x v="0"/>
    <n v="0"/>
    <n v="0"/>
    <n v="44"/>
    <n v="81"/>
    <n v="0"/>
    <n v="324.88"/>
    <n v="322.54000000000002"/>
    <m/>
    <n v="448.39375036225908"/>
    <n v="328.70388835395738"/>
    <n v="0"/>
    <n v="172.18640000000002"/>
    <n v="170.94620000000003"/>
    <n v="0"/>
    <n v="237.64868769199734"/>
    <n v="174.21306082759742"/>
  </r>
  <r>
    <s v="Sistema de Compensação"/>
    <x v="3"/>
    <x v="4"/>
    <x v="2"/>
    <x v="0"/>
    <x v="0"/>
    <x v="0"/>
    <x v="2"/>
    <x v="6"/>
    <n v="0"/>
    <n v="0"/>
    <n v="1.29"/>
    <n v="1.29"/>
    <n v="1.29"/>
    <n v="1.29"/>
    <n v="1"/>
    <x v="0"/>
    <n v="0"/>
    <n v="0"/>
    <n v="44"/>
    <n v="81"/>
    <n v="0"/>
    <n v="324.88"/>
    <n v="322.54000000000002"/>
    <m/>
    <n v="448.39375036225908"/>
    <n v="328.70388835395738"/>
    <n v="0"/>
    <n v="419.09520000000003"/>
    <n v="416.07660000000004"/>
    <n v="0"/>
    <n v="578.42793796731428"/>
    <n v="424.02801597660505"/>
  </r>
  <r>
    <s v="Regular"/>
    <x v="3"/>
    <x v="4"/>
    <x v="2"/>
    <x v="0"/>
    <x v="0"/>
    <x v="0"/>
    <x v="2"/>
    <x v="7"/>
    <n v="0"/>
    <n v="0"/>
    <n v="1188.491"/>
    <n v="1188.491"/>
    <n v="1188.491"/>
    <n v="1188.491"/>
    <n v="964"/>
    <x v="0"/>
    <n v="0"/>
    <n v="0"/>
    <n v="44"/>
    <n v="81"/>
    <n v="0"/>
    <n v="324.88"/>
    <n v="322.54000000000002"/>
    <m/>
    <n v="448.39375036225908"/>
    <n v="328.70388835395738"/>
    <n v="0"/>
    <n v="386116.95607999997"/>
    <n v="383335.88714000001"/>
    <n v="0"/>
    <n v="532911.9367617917"/>
    <n v="390661.61297368316"/>
  </r>
  <r>
    <s v="Sistema de Compensação"/>
    <x v="3"/>
    <x v="4"/>
    <x v="2"/>
    <x v="0"/>
    <x v="0"/>
    <x v="0"/>
    <x v="2"/>
    <x v="7"/>
    <n v="0"/>
    <n v="0"/>
    <n v="0.1"/>
    <n v="0.1"/>
    <n v="0.1"/>
    <n v="0.1"/>
    <n v="1"/>
    <x v="0"/>
    <n v="0"/>
    <n v="0"/>
    <n v="44"/>
    <n v="81"/>
    <n v="0"/>
    <n v="324.88"/>
    <n v="322.54000000000002"/>
    <m/>
    <n v="448.39375036225908"/>
    <n v="328.70388835395738"/>
    <n v="0"/>
    <n v="32.488"/>
    <n v="32.254000000000005"/>
    <n v="0"/>
    <n v="44.83937503622591"/>
    <n v="32.870388835395737"/>
  </r>
  <r>
    <s v="Regular"/>
    <x v="3"/>
    <x v="4"/>
    <x v="2"/>
    <x v="0"/>
    <x v="0"/>
    <x v="0"/>
    <x v="2"/>
    <x v="8"/>
    <n v="0"/>
    <n v="0"/>
    <n v="967.17200000000003"/>
    <n v="967.17200000000003"/>
    <n v="967.17200000000003"/>
    <n v="967.17200000000003"/>
    <n v="964"/>
    <x v="0"/>
    <n v="0"/>
    <n v="0"/>
    <n v="44"/>
    <n v="81"/>
    <n v="0"/>
    <n v="324.88"/>
    <n v="322.54000000000002"/>
    <m/>
    <n v="448.39375036225908"/>
    <n v="328.70388835395738"/>
    <n v="0"/>
    <n v="314214.83935999998"/>
    <n v="311951.65688000002"/>
    <n v="0"/>
    <n v="433673.88032536686"/>
    <n v="317913.19710707368"/>
  </r>
  <r>
    <s v="Refaturamento - Regular"/>
    <x v="3"/>
    <x v="4"/>
    <x v="2"/>
    <x v="0"/>
    <x v="0"/>
    <x v="0"/>
    <x v="2"/>
    <x v="8"/>
    <n v="0"/>
    <n v="0"/>
    <n v="0.152"/>
    <n v="0.152"/>
    <n v="0.152"/>
    <n v="0.152"/>
    <n v="1"/>
    <x v="0"/>
    <n v="0"/>
    <n v="0"/>
    <n v="44"/>
    <n v="81"/>
    <n v="0"/>
    <n v="324.88"/>
    <n v="322.54000000000002"/>
    <m/>
    <n v="448.39375036225908"/>
    <n v="328.70388835395738"/>
    <n v="0"/>
    <n v="49.38176"/>
    <n v="49.02608"/>
    <n v="0"/>
    <n v="68.155850055063382"/>
    <n v="49.962991029801522"/>
  </r>
  <r>
    <s v="Sistema de Compensação"/>
    <x v="3"/>
    <x v="4"/>
    <x v="2"/>
    <x v="0"/>
    <x v="0"/>
    <x v="0"/>
    <x v="2"/>
    <x v="8"/>
    <n v="0"/>
    <n v="0"/>
    <n v="1.9450000000000001"/>
    <n v="1.9450000000000001"/>
    <n v="1.9450000000000001"/>
    <n v="1.9450000000000001"/>
    <n v="3"/>
    <x v="0"/>
    <n v="0"/>
    <n v="0"/>
    <n v="44"/>
    <n v="81"/>
    <n v="0"/>
    <n v="324.88"/>
    <n v="322.54000000000002"/>
    <m/>
    <n v="448.39375036225908"/>
    <n v="328.70388835395738"/>
    <n v="0"/>
    <n v="631.89160000000004"/>
    <n v="627.34030000000007"/>
    <n v="0"/>
    <n v="872.1258444545939"/>
    <n v="639.32906284844717"/>
  </r>
  <r>
    <s v="Regular"/>
    <x v="3"/>
    <x v="4"/>
    <x v="2"/>
    <x v="0"/>
    <x v="0"/>
    <x v="0"/>
    <x v="2"/>
    <x v="9"/>
    <n v="0"/>
    <n v="0"/>
    <n v="817.61500000000001"/>
    <n v="817.61500000000001"/>
    <n v="817.61500000000001"/>
    <n v="817.61500000000001"/>
    <n v="965"/>
    <x v="0"/>
    <n v="0"/>
    <n v="0"/>
    <n v="44"/>
    <n v="81"/>
    <n v="0"/>
    <n v="324.88"/>
    <n v="322.54000000000002"/>
    <m/>
    <n v="448.39375036225908"/>
    <n v="328.70388835395738"/>
    <n v="0"/>
    <n v="265626.76120000001"/>
    <n v="263713.54210000002"/>
    <n v="0"/>
    <n v="366613.45620243845"/>
    <n v="268753.22967652086"/>
  </r>
  <r>
    <s v="Sistema de Compensação"/>
    <x v="3"/>
    <x v="4"/>
    <x v="2"/>
    <x v="0"/>
    <x v="0"/>
    <x v="0"/>
    <x v="2"/>
    <x v="9"/>
    <n v="0"/>
    <n v="0"/>
    <n v="0.3"/>
    <n v="0.3"/>
    <n v="0.3"/>
    <n v="0.3"/>
    <n v="3"/>
    <x v="0"/>
    <n v="0"/>
    <n v="0"/>
    <n v="44"/>
    <n v="81"/>
    <n v="0"/>
    <n v="324.88"/>
    <n v="322.54000000000002"/>
    <m/>
    <n v="448.39375036225908"/>
    <n v="328.70388835395738"/>
    <n v="0"/>
    <n v="97.463999999999999"/>
    <n v="96.762"/>
    <n v="0"/>
    <n v="134.51812510867771"/>
    <n v="98.611166506187217"/>
  </r>
  <r>
    <s v="Regular"/>
    <x v="3"/>
    <x v="4"/>
    <x v="2"/>
    <x v="0"/>
    <x v="0"/>
    <x v="0"/>
    <x v="2"/>
    <x v="10"/>
    <n v="0"/>
    <n v="0"/>
    <n v="664.048"/>
    <n v="664.048"/>
    <n v="664.048"/>
    <n v="664.048"/>
    <n v="968"/>
    <x v="0"/>
    <n v="0"/>
    <n v="0"/>
    <n v="44"/>
    <n v="81"/>
    <n v="0"/>
    <n v="324.88"/>
    <n v="322.54000000000002"/>
    <m/>
    <n v="448.39375036225908"/>
    <n v="328.70388835395738"/>
    <n v="0"/>
    <n v="215735.91423999998"/>
    <n v="214182.04192000002"/>
    <n v="0"/>
    <n v="297754.97314055741"/>
    <n v="218275.1596536687"/>
  </r>
  <r>
    <s v="Refaturamento - Regular"/>
    <x v="3"/>
    <x v="4"/>
    <x v="2"/>
    <x v="0"/>
    <x v="0"/>
    <x v="0"/>
    <x v="2"/>
    <x v="10"/>
    <n v="0"/>
    <n v="0"/>
    <n v="-69.605000000000004"/>
    <n v="-69.605000000000004"/>
    <n v="-69.605000000000004"/>
    <n v="-69.605000000000004"/>
    <n v="1"/>
    <x v="0"/>
    <n v="0"/>
    <n v="0"/>
    <n v="44"/>
    <n v="81"/>
    <n v="0"/>
    <n v="324.88"/>
    <n v="322.54000000000002"/>
    <m/>
    <n v="448.39375036225908"/>
    <n v="328.70388835395738"/>
    <n v="0"/>
    <n v="-22613.272400000002"/>
    <n v="-22450.396700000001"/>
    <n v="0"/>
    <n v="-31210.446993965044"/>
    <n v="-22879.434148877204"/>
  </r>
  <r>
    <s v="Sistema de Compensação"/>
    <x v="3"/>
    <x v="4"/>
    <x v="2"/>
    <x v="0"/>
    <x v="0"/>
    <x v="0"/>
    <x v="2"/>
    <x v="10"/>
    <n v="0"/>
    <n v="0"/>
    <n v="0.4"/>
    <n v="0.4"/>
    <n v="0.4"/>
    <n v="0.4"/>
    <n v="4"/>
    <x v="0"/>
    <n v="0"/>
    <n v="0"/>
    <n v="44"/>
    <n v="81"/>
    <n v="0"/>
    <n v="324.88"/>
    <n v="322.54000000000002"/>
    <m/>
    <n v="448.39375036225908"/>
    <n v="328.70388835395738"/>
    <n v="0"/>
    <n v="129.952"/>
    <n v="129.01600000000002"/>
    <n v="0"/>
    <n v="179.35750014490364"/>
    <n v="131.48155534158295"/>
  </r>
  <r>
    <s v="PROJETADO"/>
    <x v="3"/>
    <x v="4"/>
    <x v="2"/>
    <x v="0"/>
    <x v="0"/>
    <x v="0"/>
    <x v="2"/>
    <x v="11"/>
    <n v="0"/>
    <n v="0"/>
    <n v="664.048"/>
    <n v="664.048"/>
    <n v="664.048"/>
    <n v="664.048"/>
    <n v="968"/>
    <x v="0"/>
    <n v="0"/>
    <n v="0"/>
    <n v="44"/>
    <n v="81"/>
    <n v="0"/>
    <n v="324.88"/>
    <n v="322.54000000000002"/>
    <m/>
    <n v="448.39375036225908"/>
    <n v="328.70388835395738"/>
    <n v="0"/>
    <n v="215735.91423999998"/>
    <n v="214182.04192000002"/>
    <n v="0"/>
    <n v="297754.97314055741"/>
    <n v="218275.1596536687"/>
  </r>
  <r>
    <s v="PROJETADO"/>
    <x v="3"/>
    <x v="4"/>
    <x v="2"/>
    <x v="0"/>
    <x v="0"/>
    <x v="0"/>
    <x v="2"/>
    <x v="11"/>
    <n v="0"/>
    <n v="0"/>
    <n v="-69.605000000000004"/>
    <n v="-69.605000000000004"/>
    <n v="-69.605000000000004"/>
    <n v="-69.605000000000004"/>
    <n v="1"/>
    <x v="0"/>
    <n v="0"/>
    <n v="0"/>
    <n v="44"/>
    <n v="81"/>
    <n v="0"/>
    <n v="324.88"/>
    <n v="322.54000000000002"/>
    <m/>
    <n v="448.39375036225908"/>
    <n v="328.70388835395738"/>
    <n v="0"/>
    <n v="-22613.272400000002"/>
    <n v="-22450.396700000001"/>
    <n v="0"/>
    <n v="-31210.446993965044"/>
    <n v="-22879.434148877204"/>
  </r>
  <r>
    <s v="PROJETADO"/>
    <x v="3"/>
    <x v="4"/>
    <x v="2"/>
    <x v="0"/>
    <x v="0"/>
    <x v="0"/>
    <x v="2"/>
    <x v="11"/>
    <n v="0"/>
    <n v="0"/>
    <n v="0.4"/>
    <n v="0.4"/>
    <n v="0.4"/>
    <n v="0.4"/>
    <n v="4"/>
    <x v="0"/>
    <n v="0"/>
    <n v="0"/>
    <n v="44"/>
    <n v="81"/>
    <n v="0"/>
    <n v="324.88"/>
    <n v="322.54000000000002"/>
    <m/>
    <n v="448.39375036225908"/>
    <n v="328.70388835395738"/>
    <n v="0"/>
    <n v="129.952"/>
    <n v="129.01600000000002"/>
    <n v="0"/>
    <n v="179.35750014490364"/>
    <n v="131.48155534158295"/>
  </r>
  <r>
    <s v="Regular"/>
    <x v="3"/>
    <x v="4"/>
    <x v="4"/>
    <x v="1"/>
    <x v="0"/>
    <x v="0"/>
    <x v="2"/>
    <x v="0"/>
    <n v="0"/>
    <n v="0"/>
    <n v="284.67500000000001"/>
    <n v="267.59449999999998"/>
    <n v="284.67500000000001"/>
    <n v="267.59449999999998"/>
    <n v="154"/>
    <x v="0"/>
    <n v="0"/>
    <n v="0"/>
    <n v="44"/>
    <n v="81"/>
    <n v="0"/>
    <n v="324.88"/>
    <n v="322.54000000000002"/>
    <m/>
    <n v="448.39375036225908"/>
    <n v="328.70388835395738"/>
    <n v="0"/>
    <n v="86936.101159999991"/>
    <n v="86309.930030000003"/>
    <n v="0"/>
    <n v="119987.70143131353"/>
    <n v="87959.35265213305"/>
  </r>
  <r>
    <s v="Regular"/>
    <x v="3"/>
    <x v="4"/>
    <x v="4"/>
    <x v="1"/>
    <x v="0"/>
    <x v="0"/>
    <x v="2"/>
    <x v="1"/>
    <n v="0"/>
    <n v="0"/>
    <n v="304.09500000000003"/>
    <n v="285.84930000000003"/>
    <n v="304.09500000000003"/>
    <n v="285.84930000000003"/>
    <n v="156"/>
    <x v="0"/>
    <n v="0"/>
    <n v="0"/>
    <n v="44"/>
    <n v="81"/>
    <n v="0"/>
    <n v="324.88"/>
    <n v="322.54000000000002"/>
    <m/>
    <n v="448.39375036225908"/>
    <n v="328.70388835395738"/>
    <n v="0"/>
    <n v="92866.72058400001"/>
    <n v="92197.833222000016"/>
    <n v="0"/>
    <n v="128173.03966542652"/>
    <n v="93959.776393256878"/>
  </r>
  <r>
    <s v="Regular"/>
    <x v="3"/>
    <x v="4"/>
    <x v="4"/>
    <x v="1"/>
    <x v="0"/>
    <x v="0"/>
    <x v="2"/>
    <x v="2"/>
    <n v="0"/>
    <n v="0"/>
    <n v="272.60000000000002"/>
    <n v="256.24400000000003"/>
    <n v="272.60000000000002"/>
    <n v="256.24400000000003"/>
    <n v="156"/>
    <x v="0"/>
    <n v="0"/>
    <n v="0"/>
    <n v="44"/>
    <n v="81"/>
    <n v="0"/>
    <n v="324.88"/>
    <n v="322.54000000000002"/>
    <m/>
    <n v="448.39375036225908"/>
    <n v="328.70388835395738"/>
    <n v="0"/>
    <n v="83248.550720000014"/>
    <n v="82648.939760000008"/>
    <n v="0"/>
    <n v="114898.20816782673"/>
    <n v="84228.399167371463"/>
  </r>
  <r>
    <s v="Regular"/>
    <x v="3"/>
    <x v="4"/>
    <x v="4"/>
    <x v="1"/>
    <x v="0"/>
    <x v="0"/>
    <x v="2"/>
    <x v="3"/>
    <n v="0"/>
    <n v="0"/>
    <n v="264.46300000000002"/>
    <n v="248.59522000000001"/>
    <n v="264.46300000000002"/>
    <n v="248.59522000000001"/>
    <n v="158"/>
    <x v="0"/>
    <n v="0"/>
    <n v="0"/>
    <n v="44"/>
    <n v="81"/>
    <n v="0"/>
    <n v="324.88"/>
    <n v="322.54000000000002"/>
    <m/>
    <n v="448.39375036225908"/>
    <n v="328.70388835395738"/>
    <n v="0"/>
    <n v="80763.615073599998"/>
    <n v="80181.902258800008"/>
    <n v="0"/>
    <n v="111468.54301793088"/>
    <n v="81714.215440207481"/>
  </r>
  <r>
    <s v="Regular"/>
    <x v="3"/>
    <x v="4"/>
    <x v="4"/>
    <x v="1"/>
    <x v="0"/>
    <x v="0"/>
    <x v="2"/>
    <x v="4"/>
    <n v="0"/>
    <n v="0"/>
    <n v="266.50799999999998"/>
    <n v="250.51751999999999"/>
    <n v="266.50799999999998"/>
    <n v="250.51751999999999"/>
    <n v="158"/>
    <x v="0"/>
    <n v="0"/>
    <n v="0"/>
    <n v="44"/>
    <n v="81"/>
    <n v="0"/>
    <n v="324.88"/>
    <n v="322.54000000000002"/>
    <m/>
    <n v="448.39375036225908"/>
    <n v="328.70388835395738"/>
    <n v="0"/>
    <n v="81388.131897599989"/>
    <n v="80801.920900800003"/>
    <n v="0"/>
    <n v="112330.49032425224"/>
    <n v="82346.082924790288"/>
  </r>
  <r>
    <s v="Regular"/>
    <x v="3"/>
    <x v="4"/>
    <x v="4"/>
    <x v="1"/>
    <x v="0"/>
    <x v="0"/>
    <x v="2"/>
    <x v="5"/>
    <n v="0"/>
    <n v="0"/>
    <n v="276.43200000000002"/>
    <n v="259.84607999999997"/>
    <n v="276.43200000000002"/>
    <n v="259.84607999999997"/>
    <n v="158"/>
    <x v="0"/>
    <n v="0"/>
    <n v="0"/>
    <n v="44"/>
    <n v="81"/>
    <n v="0"/>
    <n v="324.88"/>
    <n v="322.54000000000002"/>
    <m/>
    <n v="448.39375036225908"/>
    <n v="328.70388835395738"/>
    <n v="0"/>
    <n v="84418.794470399996"/>
    <n v="83810.754643199994"/>
    <n v="0"/>
    <n v="116513.3583281316"/>
    <n v="85412.416869533467"/>
  </r>
  <r>
    <s v="Regular"/>
    <x v="3"/>
    <x v="4"/>
    <x v="4"/>
    <x v="1"/>
    <x v="0"/>
    <x v="0"/>
    <x v="2"/>
    <x v="6"/>
    <n v="0"/>
    <n v="0"/>
    <n v="284.267"/>
    <n v="267.21098000000001"/>
    <n v="284.267"/>
    <n v="267.21098000000001"/>
    <n v="158"/>
    <x v="0"/>
    <n v="0"/>
    <n v="0"/>
    <n v="44"/>
    <n v="81"/>
    <n v="0"/>
    <n v="324.88"/>
    <n v="322.54000000000002"/>
    <m/>
    <n v="448.39375036225908"/>
    <n v="328.70388835395738"/>
    <n v="0"/>
    <n v="86811.503182400003"/>
    <n v="86186.229489200006"/>
    <n v="0"/>
    <n v="119815.73346017461"/>
    <n v="87833.288136871546"/>
  </r>
  <r>
    <s v="Regular"/>
    <x v="3"/>
    <x v="4"/>
    <x v="4"/>
    <x v="1"/>
    <x v="0"/>
    <x v="0"/>
    <x v="2"/>
    <x v="7"/>
    <n v="0"/>
    <n v="0"/>
    <n v="286.23700000000002"/>
    <n v="269.06277999999998"/>
    <n v="286.23700000000002"/>
    <n v="269.06277999999998"/>
    <n v="158"/>
    <x v="0"/>
    <n v="0"/>
    <n v="0"/>
    <n v="44"/>
    <n v="81"/>
    <n v="0"/>
    <n v="324.88"/>
    <n v="322.54000000000002"/>
    <m/>
    <n v="448.39375036225908"/>
    <n v="328.70388835395738"/>
    <n v="0"/>
    <n v="87413.115966399986"/>
    <n v="86783.509061199991"/>
    <n v="0"/>
    <n v="120646.06900709543"/>
    <n v="88441.981997325391"/>
  </r>
  <r>
    <s v="Regular"/>
    <x v="3"/>
    <x v="4"/>
    <x v="4"/>
    <x v="1"/>
    <x v="0"/>
    <x v="0"/>
    <x v="2"/>
    <x v="8"/>
    <n v="0"/>
    <n v="0"/>
    <n v="278.096"/>
    <n v="261.41023999999999"/>
    <n v="278.096"/>
    <n v="261.41023999999999"/>
    <n v="158"/>
    <x v="0"/>
    <n v="0"/>
    <n v="0"/>
    <n v="44"/>
    <n v="81"/>
    <n v="0"/>
    <n v="324.88"/>
    <n v="322.54000000000002"/>
    <m/>
    <n v="448.39375036225908"/>
    <n v="328.70388835395738"/>
    <n v="0"/>
    <n v="84926.958771199992"/>
    <n v="84315.258809599996"/>
    <n v="0"/>
    <n v="117214.71789669823"/>
    <n v="85926.562343541198"/>
  </r>
  <r>
    <s v="Regular"/>
    <x v="3"/>
    <x v="4"/>
    <x v="4"/>
    <x v="1"/>
    <x v="0"/>
    <x v="0"/>
    <x v="2"/>
    <x v="9"/>
    <n v="0"/>
    <n v="0"/>
    <n v="285.26499999999999"/>
    <n v="268.14909999999998"/>
    <n v="285.26499999999999"/>
    <n v="268.14909999999998"/>
    <n v="159"/>
    <x v="0"/>
    <n v="0"/>
    <n v="0"/>
    <n v="44"/>
    <n v="81"/>
    <n v="0"/>
    <n v="324.88"/>
    <n v="322.54000000000002"/>
    <m/>
    <n v="448.39375036225908"/>
    <n v="328.70388835395738"/>
    <n v="0"/>
    <n v="87116.279607999997"/>
    <n v="86488.810713999992"/>
    <n v="0"/>
    <n v="120236.38060526444"/>
    <n v="88141.651828614151"/>
  </r>
  <r>
    <s v="Regular"/>
    <x v="3"/>
    <x v="4"/>
    <x v="4"/>
    <x v="1"/>
    <x v="0"/>
    <x v="0"/>
    <x v="2"/>
    <x v="10"/>
    <n v="0"/>
    <n v="0"/>
    <n v="276.90499999999997"/>
    <n v="260.29070000000002"/>
    <n v="276.90499999999997"/>
    <n v="260.29070000000002"/>
    <n v="159"/>
    <x v="0"/>
    <n v="0"/>
    <n v="0"/>
    <n v="44"/>
    <n v="81"/>
    <n v="0"/>
    <n v="324.88"/>
    <n v="322.54000000000002"/>
    <m/>
    <n v="448.39375036225908"/>
    <n v="328.70388835395738"/>
    <n v="0"/>
    <n v="84563.242616000003"/>
    <n v="83954.162378000008"/>
    <n v="0"/>
    <n v="116712.72315741768"/>
    <n v="85558.565192373426"/>
  </r>
  <r>
    <s v="PROJETADO"/>
    <x v="3"/>
    <x v="4"/>
    <x v="4"/>
    <x v="1"/>
    <x v="0"/>
    <x v="0"/>
    <x v="2"/>
    <x v="11"/>
    <n v="0"/>
    <n v="0"/>
    <n v="276.90499999999997"/>
    <n v="260.29070000000002"/>
    <n v="276.90499999999997"/>
    <n v="260.29070000000002"/>
    <n v="159"/>
    <x v="0"/>
    <n v="0"/>
    <n v="0"/>
    <n v="44"/>
    <n v="81"/>
    <n v="0"/>
    <n v="324.88"/>
    <n v="322.54000000000002"/>
    <m/>
    <n v="448.39375036225908"/>
    <n v="328.70388835395738"/>
    <n v="0"/>
    <n v="84563.242616000003"/>
    <n v="83954.162378000008"/>
    <n v="0"/>
    <n v="116712.72315741768"/>
    <n v="85558.565192373426"/>
  </r>
  <r>
    <s v="Regular"/>
    <x v="4"/>
    <x v="4"/>
    <x v="8"/>
    <x v="9"/>
    <x v="0"/>
    <x v="0"/>
    <x v="2"/>
    <x v="0"/>
    <n v="0"/>
    <n v="0"/>
    <n v="1537.3230000000001"/>
    <n v="1537.3230000000001"/>
    <n v="1537.3230000000001"/>
    <n v="1537.3230000000001"/>
    <n v="45"/>
    <x v="0"/>
    <n v="0"/>
    <n v="0"/>
    <n v="46"/>
    <n v="83"/>
    <n v="0"/>
    <n v="178.68"/>
    <n v="177.4"/>
    <m/>
    <n v="246.61656269924251"/>
    <n v="180.78713859467658"/>
    <n v="0"/>
    <n v="274688.87364000001"/>
    <n v="272721.10020000004"/>
    <n v="0"/>
    <n v="379129.31401848764"/>
    <n v="277928.226265784"/>
  </r>
  <r>
    <s v="Refaturamento - Regular"/>
    <x v="4"/>
    <x v="4"/>
    <x v="8"/>
    <x v="9"/>
    <x v="0"/>
    <x v="0"/>
    <x v="2"/>
    <x v="0"/>
    <n v="0"/>
    <n v="0"/>
    <n v="-0.317"/>
    <n v="-0.317"/>
    <n v="-0.317"/>
    <n v="-0.317"/>
    <n v="-1"/>
    <x v="0"/>
    <n v="0"/>
    <n v="0"/>
    <n v="46"/>
    <n v="83"/>
    <n v="0"/>
    <n v="178.68"/>
    <n v="177.4"/>
    <m/>
    <n v="246.61656269924251"/>
    <n v="180.78713859467658"/>
    <n v="0"/>
    <n v="-56.641560000000005"/>
    <n v="-56.235800000000005"/>
    <n v="0"/>
    <n v="-78.177450375659873"/>
    <n v="-57.309522934512472"/>
  </r>
  <r>
    <s v="Regular"/>
    <x v="4"/>
    <x v="4"/>
    <x v="8"/>
    <x v="9"/>
    <x v="0"/>
    <x v="0"/>
    <x v="2"/>
    <x v="1"/>
    <n v="0"/>
    <n v="0"/>
    <n v="1614.039"/>
    <n v="1614.039"/>
    <n v="1614.039"/>
    <n v="1614.039"/>
    <n v="45"/>
    <x v="0"/>
    <n v="0"/>
    <n v="0"/>
    <n v="46"/>
    <n v="83"/>
    <n v="0"/>
    <n v="178.68"/>
    <n v="177.4"/>
    <m/>
    <n v="246.61656269924251"/>
    <n v="180.78713859467658"/>
    <n v="0"/>
    <n v="288396.48852000001"/>
    <n v="286330.51860000001"/>
    <n v="0"/>
    <n v="398048.75024252268"/>
    <n v="291797.49239021318"/>
  </r>
  <r>
    <s v="Regular"/>
    <x v="4"/>
    <x v="4"/>
    <x v="8"/>
    <x v="9"/>
    <x v="0"/>
    <x v="0"/>
    <x v="2"/>
    <x v="2"/>
    <n v="0"/>
    <n v="0"/>
    <n v="1634.374"/>
    <n v="1634.374"/>
    <n v="1634.374"/>
    <n v="1634.374"/>
    <n v="45"/>
    <x v="0"/>
    <n v="0"/>
    <n v="0"/>
    <n v="46"/>
    <n v="83"/>
    <n v="0"/>
    <n v="178.68"/>
    <n v="177.4"/>
    <m/>
    <n v="246.61656269924251"/>
    <n v="180.78713859467658"/>
    <n v="0"/>
    <n v="292029.94631999999"/>
    <n v="289937.94760000001"/>
    <n v="0"/>
    <n v="403063.69804501178"/>
    <n v="295473.79885353596"/>
  </r>
  <r>
    <s v="Regular"/>
    <x v="4"/>
    <x v="4"/>
    <x v="8"/>
    <x v="9"/>
    <x v="0"/>
    <x v="0"/>
    <x v="2"/>
    <x v="3"/>
    <n v="0"/>
    <n v="0"/>
    <n v="1610.021"/>
    <n v="1610.021"/>
    <n v="1610.021"/>
    <n v="1610.021"/>
    <n v="45"/>
    <x v="0"/>
    <n v="0"/>
    <n v="0"/>
    <n v="46"/>
    <n v="83"/>
    <n v="0"/>
    <n v="178.68"/>
    <n v="177.4"/>
    <m/>
    <n v="246.61656269924251"/>
    <n v="180.78713859467658"/>
    <n v="0"/>
    <n v="287678.55228"/>
    <n v="285617.7254"/>
    <n v="0"/>
    <n v="397057.84489359712"/>
    <n v="291071.08966733975"/>
  </r>
  <r>
    <s v="Regular"/>
    <x v="4"/>
    <x v="4"/>
    <x v="8"/>
    <x v="9"/>
    <x v="0"/>
    <x v="0"/>
    <x v="2"/>
    <x v="4"/>
    <n v="0"/>
    <n v="0"/>
    <n v="1589.424"/>
    <n v="1589.424"/>
    <n v="1589.424"/>
    <n v="1589.424"/>
    <n v="45"/>
    <x v="0"/>
    <n v="0"/>
    <n v="0"/>
    <n v="46"/>
    <n v="83"/>
    <n v="0"/>
    <n v="178.68"/>
    <n v="177.4"/>
    <m/>
    <n v="246.61656269924251"/>
    <n v="180.78713859467658"/>
    <n v="0"/>
    <n v="283998.28032000002"/>
    <n v="281963.81760000001"/>
    <n v="0"/>
    <n v="391978.2835516808"/>
    <n v="287347.41697370523"/>
  </r>
  <r>
    <s v="Regular"/>
    <x v="4"/>
    <x v="4"/>
    <x v="8"/>
    <x v="9"/>
    <x v="0"/>
    <x v="0"/>
    <x v="2"/>
    <x v="5"/>
    <n v="0"/>
    <n v="0"/>
    <n v="1460.8230000000001"/>
    <n v="1460.8230000000001"/>
    <n v="1460.8230000000001"/>
    <n v="1460.8230000000001"/>
    <n v="45"/>
    <x v="0"/>
    <n v="0"/>
    <n v="0"/>
    <n v="46"/>
    <n v="83"/>
    <n v="0"/>
    <n v="178.68"/>
    <n v="177.4"/>
    <m/>
    <n v="246.61656269924251"/>
    <n v="180.78713859467658"/>
    <n v="0"/>
    <n v="261019.85364000002"/>
    <n v="259150.00020000004"/>
    <n v="0"/>
    <n v="360263.14697199553"/>
    <n v="264098.01016329124"/>
  </r>
  <r>
    <s v="Regular"/>
    <x v="4"/>
    <x v="4"/>
    <x v="8"/>
    <x v="9"/>
    <x v="0"/>
    <x v="0"/>
    <x v="2"/>
    <x v="6"/>
    <n v="0"/>
    <n v="0"/>
    <n v="1607.24"/>
    <n v="1607.24"/>
    <n v="1607.24"/>
    <n v="1607.24"/>
    <n v="46"/>
    <x v="0"/>
    <n v="0"/>
    <n v="0"/>
    <n v="46"/>
    <n v="83"/>
    <n v="0"/>
    <n v="178.68"/>
    <n v="177.4"/>
    <m/>
    <n v="246.61656269924251"/>
    <n v="180.78713859467658"/>
    <n v="0"/>
    <n v="287181.64319999999"/>
    <n v="285124.37599999999"/>
    <n v="0"/>
    <n v="396372.00423273054"/>
    <n v="290568.32063490798"/>
  </r>
  <r>
    <s v="Refaturamento - Regular"/>
    <x v="4"/>
    <x v="4"/>
    <x v="8"/>
    <x v="9"/>
    <x v="0"/>
    <x v="0"/>
    <x v="2"/>
    <x v="6"/>
    <n v="0"/>
    <n v="0"/>
    <n v="-12.583"/>
    <n v="-12.583"/>
    <n v="-12.583"/>
    <n v="-12.583"/>
    <n v="0"/>
    <x v="0"/>
    <n v="0"/>
    <n v="0"/>
    <n v="46"/>
    <n v="83"/>
    <n v="0"/>
    <n v="178.68"/>
    <n v="177.4"/>
    <m/>
    <n v="246.61656269924251"/>
    <n v="180.78713859467658"/>
    <n v="0"/>
    <n v="-2248.3304400000002"/>
    <n v="-2232.2242000000001"/>
    <n v="0"/>
    <n v="-3103.1762084445686"/>
    <n v="-2274.8445649368155"/>
  </r>
  <r>
    <s v="Regular"/>
    <x v="4"/>
    <x v="4"/>
    <x v="8"/>
    <x v="9"/>
    <x v="0"/>
    <x v="0"/>
    <x v="2"/>
    <x v="7"/>
    <n v="0"/>
    <n v="0"/>
    <n v="1552.9849999999999"/>
    <n v="1552.9849999999999"/>
    <n v="1552.9849999999999"/>
    <n v="1552.9849999999999"/>
    <n v="46"/>
    <x v="0"/>
    <n v="0"/>
    <n v="0"/>
    <n v="46"/>
    <n v="83"/>
    <n v="0"/>
    <n v="178.68"/>
    <n v="177.4"/>
    <m/>
    <n v="246.61656269924251"/>
    <n v="180.78713859467658"/>
    <n v="0"/>
    <n v="277487.35979999998"/>
    <n v="275499.53899999999"/>
    <n v="0"/>
    <n v="382991.82262348308"/>
    <n v="280759.71443045378"/>
  </r>
  <r>
    <s v="Regular"/>
    <x v="4"/>
    <x v="4"/>
    <x v="8"/>
    <x v="9"/>
    <x v="0"/>
    <x v="0"/>
    <x v="2"/>
    <x v="8"/>
    <n v="0"/>
    <n v="0"/>
    <n v="1606.31"/>
    <n v="1606.31"/>
    <n v="1606.31"/>
    <n v="1606.31"/>
    <n v="46"/>
    <x v="0"/>
    <n v="0"/>
    <n v="0"/>
    <n v="46"/>
    <n v="83"/>
    <n v="0"/>
    <n v="178.68"/>
    <n v="177.4"/>
    <m/>
    <n v="246.61656269924251"/>
    <n v="180.78713859467658"/>
    <n v="0"/>
    <n v="287015.47080000001"/>
    <n v="284959.39399999997"/>
    <n v="0"/>
    <n v="396142.65082942019"/>
    <n v="290400.18859601492"/>
  </r>
  <r>
    <s v="Refaturamento - Regular"/>
    <x v="4"/>
    <x v="4"/>
    <x v="8"/>
    <x v="9"/>
    <x v="0"/>
    <x v="0"/>
    <x v="2"/>
    <x v="8"/>
    <n v="0"/>
    <n v="0"/>
    <n v="-0.91"/>
    <n v="-0.91"/>
    <n v="-0.91"/>
    <n v="-0.91"/>
    <n v="0"/>
    <x v="0"/>
    <n v="0"/>
    <n v="0"/>
    <n v="46"/>
    <n v="83"/>
    <n v="0"/>
    <n v="178.68"/>
    <n v="177.4"/>
    <m/>
    <n v="246.61656269924251"/>
    <n v="180.78713859467658"/>
    <n v="0"/>
    <n v="-162.59880000000001"/>
    <n v="-161.434"/>
    <n v="0"/>
    <n v="-224.42107205631069"/>
    <n v="-164.5162961211557"/>
  </r>
  <r>
    <s v="Regular"/>
    <x v="4"/>
    <x v="4"/>
    <x v="8"/>
    <x v="9"/>
    <x v="0"/>
    <x v="0"/>
    <x v="2"/>
    <x v="9"/>
    <n v="0"/>
    <n v="0"/>
    <n v="1564.44"/>
    <n v="1564.44"/>
    <n v="1564.44"/>
    <n v="1564.44"/>
    <n v="53"/>
    <x v="0"/>
    <n v="0"/>
    <n v="0"/>
    <n v="46"/>
    <n v="83"/>
    <n v="0"/>
    <n v="178.68"/>
    <n v="177.4"/>
    <m/>
    <n v="246.61656269924251"/>
    <n v="180.78713859467658"/>
    <n v="0"/>
    <n v="279534.13920000003"/>
    <n v="277531.65600000002"/>
    <n v="0"/>
    <n v="385816.81534920295"/>
    <n v="282830.63110305584"/>
  </r>
  <r>
    <s v="Regular"/>
    <x v="4"/>
    <x v="4"/>
    <x v="8"/>
    <x v="9"/>
    <x v="0"/>
    <x v="0"/>
    <x v="2"/>
    <x v="10"/>
    <n v="0"/>
    <n v="0"/>
    <n v="1613.4590000000001"/>
    <n v="1613.4590000000001"/>
    <n v="1613.4590000000001"/>
    <n v="1613.4590000000001"/>
    <n v="55"/>
    <x v="0"/>
    <n v="0"/>
    <n v="0"/>
    <n v="46"/>
    <n v="83"/>
    <n v="0"/>
    <n v="178.68"/>
    <n v="177.4"/>
    <m/>
    <n v="246.61656269924251"/>
    <n v="180.78713859467658"/>
    <n v="0"/>
    <n v="288292.85412000003"/>
    <n v="286227.62660000002"/>
    <n v="0"/>
    <n v="397905.71263615711"/>
    <n v="291692.63584982831"/>
  </r>
  <r>
    <s v="Refaturamento - Regular"/>
    <x v="4"/>
    <x v="4"/>
    <x v="8"/>
    <x v="9"/>
    <x v="0"/>
    <x v="0"/>
    <x v="2"/>
    <x v="10"/>
    <n v="0"/>
    <n v="0"/>
    <n v="-6.8760000000000003"/>
    <n v="-6.8760000000000003"/>
    <n v="-6.8760000000000003"/>
    <n v="-6.8760000000000003"/>
    <n v="0"/>
    <x v="0"/>
    <n v="0"/>
    <n v="0"/>
    <n v="46"/>
    <n v="83"/>
    <n v="0"/>
    <n v="178.68"/>
    <n v="177.4"/>
    <m/>
    <n v="246.61656269924251"/>
    <n v="180.78713859467658"/>
    <n v="0"/>
    <n v="-1228.6036800000002"/>
    <n v="-1219.8024"/>
    <n v="0"/>
    <n v="-1695.7354851199916"/>
    <n v="-1243.0923649769961"/>
  </r>
  <r>
    <s v="PROJETADO"/>
    <x v="4"/>
    <x v="4"/>
    <x v="8"/>
    <x v="9"/>
    <x v="0"/>
    <x v="0"/>
    <x v="2"/>
    <x v="11"/>
    <n v="0"/>
    <n v="0"/>
    <n v="1613.4590000000001"/>
    <n v="1613.4590000000001"/>
    <n v="1613.4590000000001"/>
    <n v="1613.4590000000001"/>
    <n v="55"/>
    <x v="0"/>
    <n v="0"/>
    <n v="0"/>
    <n v="46"/>
    <n v="83"/>
    <n v="0"/>
    <n v="178.68"/>
    <n v="177.4"/>
    <m/>
    <n v="246.61656269924251"/>
    <n v="180.78713859467658"/>
    <n v="0"/>
    <n v="288292.85412000003"/>
    <n v="286227.62660000002"/>
    <n v="0"/>
    <n v="397905.71263615711"/>
    <n v="291692.63584982831"/>
  </r>
  <r>
    <s v="PROJETADO"/>
    <x v="4"/>
    <x v="4"/>
    <x v="8"/>
    <x v="9"/>
    <x v="0"/>
    <x v="0"/>
    <x v="2"/>
    <x v="11"/>
    <n v="0"/>
    <n v="0"/>
    <n v="-6.8760000000000003"/>
    <n v="-6.8760000000000003"/>
    <n v="-6.8760000000000003"/>
    <n v="-6.8760000000000003"/>
    <n v="0"/>
    <x v="0"/>
    <n v="0"/>
    <n v="0"/>
    <n v="46"/>
    <n v="83"/>
    <n v="0"/>
    <n v="178.68"/>
    <n v="177.4"/>
    <m/>
    <n v="246.61656269924251"/>
    <n v="180.78713859467658"/>
    <n v="0"/>
    <n v="-1228.6036800000002"/>
    <n v="-1219.8024"/>
    <n v="0"/>
    <n v="-1695.7354851199916"/>
    <n v="-1243.092364976996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9">
  <r>
    <s v="Regular"/>
    <x v="0"/>
    <x v="0"/>
    <x v="0"/>
    <x v="0"/>
    <x v="0"/>
    <x v="0"/>
    <x v="0"/>
    <x v="0"/>
    <n v="3080"/>
    <n v="1540"/>
    <n v="0"/>
    <n v="0"/>
    <n v="0"/>
    <n v="0"/>
    <n v="0"/>
    <s v="LIVRE"/>
    <n v="0"/>
    <n v="2"/>
    <n v="0"/>
    <n v="0"/>
    <n v="16.64"/>
    <n v="0"/>
    <n v="0"/>
    <n v="18.929390865785848"/>
    <n v="152.59031948759403"/>
    <m/>
    <n v="25625.600000000002"/>
    <n v="0"/>
    <n v="29151.261933310205"/>
    <n v="0"/>
    <x v="0"/>
  </r>
  <r>
    <s v="Regular"/>
    <x v="0"/>
    <x v="0"/>
    <x v="0"/>
    <x v="0"/>
    <x v="0"/>
    <x v="0"/>
    <x v="0"/>
    <x v="1"/>
    <n v="3080"/>
    <n v="1544.62"/>
    <n v="0"/>
    <n v="0"/>
    <n v="0"/>
    <n v="0"/>
    <n v="0"/>
    <s v="LIVRE"/>
    <n v="0"/>
    <n v="2"/>
    <n v="0"/>
    <n v="0"/>
    <n v="16.64"/>
    <n v="0"/>
    <n v="0"/>
    <n v="18.929390865785848"/>
    <n v="152.59031948759403"/>
    <m/>
    <n v="25548.723200000004"/>
    <n v="0"/>
    <n v="29063.808147510277"/>
    <n v="0"/>
    <x v="0"/>
  </r>
  <r>
    <s v="Regular"/>
    <x v="0"/>
    <x v="0"/>
    <x v="0"/>
    <x v="0"/>
    <x v="0"/>
    <x v="0"/>
    <x v="0"/>
    <x v="2"/>
    <n v="3232"/>
    <n v="1618.9087999999999"/>
    <n v="0"/>
    <n v="0"/>
    <n v="0"/>
    <n v="0"/>
    <n v="0"/>
    <s v="LIVRE"/>
    <n v="0"/>
    <n v="2"/>
    <n v="0"/>
    <n v="0"/>
    <n v="16.64"/>
    <n v="0"/>
    <n v="0"/>
    <n v="18.929390865785848"/>
    <n v="152.59031948759403"/>
    <m/>
    <n v="26841.837568000003"/>
    <n v="0"/>
    <n v="30534.833826959533"/>
    <n v="0"/>
    <x v="0"/>
  </r>
  <r>
    <s v="Regular"/>
    <x v="0"/>
    <x v="0"/>
    <x v="0"/>
    <x v="0"/>
    <x v="0"/>
    <x v="0"/>
    <x v="0"/>
    <x v="3"/>
    <n v="3080"/>
    <n v="1549.24"/>
    <n v="0"/>
    <n v="0"/>
    <n v="0"/>
    <n v="0"/>
    <n v="0"/>
    <s v="LIVRE"/>
    <n v="0"/>
    <n v="2"/>
    <n v="0"/>
    <n v="0"/>
    <n v="16.64"/>
    <n v="0"/>
    <n v="0"/>
    <n v="18.929390865785848"/>
    <n v="152.59031948759403"/>
    <m/>
    <n v="25471.846400000002"/>
    <n v="0"/>
    <n v="28976.354361710346"/>
    <n v="0"/>
    <x v="0"/>
  </r>
  <r>
    <s v="Regular"/>
    <x v="0"/>
    <x v="0"/>
    <x v="0"/>
    <x v="0"/>
    <x v="0"/>
    <x v="0"/>
    <x v="0"/>
    <x v="4"/>
    <n v="3216"/>
    <n v="1612.5024000000001"/>
    <n v="0"/>
    <n v="0"/>
    <n v="0"/>
    <n v="0"/>
    <n v="0"/>
    <s v="LIVRE"/>
    <n v="0"/>
    <n v="2"/>
    <n v="0"/>
    <n v="0"/>
    <n v="16.64"/>
    <n v="0"/>
    <n v="0"/>
    <n v="18.929390865785848"/>
    <n v="152.59031948759403"/>
    <m/>
    <n v="26682.200064000001"/>
    <n v="0"/>
    <n v="30353.232822749527"/>
    <n v="0"/>
    <x v="0"/>
  </r>
  <r>
    <s v="Regular"/>
    <x v="0"/>
    <x v="0"/>
    <x v="0"/>
    <x v="0"/>
    <x v="0"/>
    <x v="0"/>
    <x v="0"/>
    <x v="5"/>
    <n v="3097"/>
    <n v="1555.6231"/>
    <n v="0"/>
    <n v="0"/>
    <n v="0"/>
    <n v="0"/>
    <n v="0"/>
    <s v="LIVRE"/>
    <n v="0"/>
    <n v="2"/>
    <n v="0"/>
    <n v="0"/>
    <n v="16.64"/>
    <n v="0"/>
    <n v="0"/>
    <n v="18.929390865785848"/>
    <n v="152.59031948759403"/>
    <m/>
    <n v="25648.511616"/>
    <n v="0"/>
    <n v="29177.325811593306"/>
    <n v="0"/>
    <x v="0"/>
  </r>
  <r>
    <s v="Regular"/>
    <x v="0"/>
    <x v="0"/>
    <x v="0"/>
    <x v="0"/>
    <x v="0"/>
    <x v="0"/>
    <x v="0"/>
    <x v="6"/>
    <n v="3232"/>
    <n v="1619.5552"/>
    <n v="0"/>
    <n v="0"/>
    <n v="0"/>
    <n v="0"/>
    <n v="0"/>
    <s v="LIVRE"/>
    <n v="0"/>
    <n v="2"/>
    <n v="0"/>
    <n v="0"/>
    <n v="16.64"/>
    <n v="0"/>
    <n v="0"/>
    <n v="18.929390865785848"/>
    <n v="152.59031948759403"/>
    <m/>
    <n v="26831.081472000002"/>
    <n v="0"/>
    <n v="30522.597868703888"/>
    <n v="0"/>
    <x v="0"/>
  </r>
  <r>
    <s v="Regular"/>
    <x v="0"/>
    <x v="0"/>
    <x v="0"/>
    <x v="0"/>
    <x v="0"/>
    <x v="0"/>
    <x v="0"/>
    <x v="7"/>
    <n v="3296"/>
    <n v="1662.5024000000001"/>
    <n v="0"/>
    <n v="0"/>
    <n v="0"/>
    <n v="0"/>
    <n v="0"/>
    <s v="LIVRE"/>
    <n v="0"/>
    <n v="2"/>
    <n v="0"/>
    <n v="0"/>
    <n v="16.64"/>
    <n v="0"/>
    <n v="0"/>
    <n v="18.929390865785848"/>
    <n v="152.59031948759403"/>
    <m/>
    <n v="27181.400064000001"/>
    <n v="0"/>
    <n v="30921.114548723104"/>
    <n v="0"/>
    <x v="0"/>
  </r>
  <r>
    <s v="Regular"/>
    <x v="0"/>
    <x v="0"/>
    <x v="0"/>
    <x v="0"/>
    <x v="0"/>
    <x v="0"/>
    <x v="0"/>
    <x v="8"/>
    <n v="3378"/>
    <n v="1695.4182000000001"/>
    <n v="0"/>
    <n v="0"/>
    <n v="0"/>
    <n v="0"/>
    <n v="0"/>
    <s v="LIVRE"/>
    <n v="0"/>
    <n v="2"/>
    <n v="0"/>
    <n v="0"/>
    <n v="16.64"/>
    <n v="0"/>
    <n v="0"/>
    <n v="18.929390865785848"/>
    <n v="152.59031948759403"/>
    <m/>
    <n v="27998.161152000001"/>
    <n v="0"/>
    <n v="31850.24855585751"/>
    <n v="0"/>
    <x v="0"/>
  </r>
  <r>
    <s v="Regular"/>
    <x v="0"/>
    <x v="0"/>
    <x v="0"/>
    <x v="0"/>
    <x v="0"/>
    <x v="0"/>
    <x v="0"/>
    <x v="9"/>
    <n v="3302"/>
    <n v="1653.9718"/>
    <n v="0"/>
    <n v="0"/>
    <n v="0"/>
    <n v="0"/>
    <n v="0"/>
    <s v="LIVRE"/>
    <n v="0"/>
    <n v="2"/>
    <n v="0"/>
    <n v="0"/>
    <n v="16.64"/>
    <n v="0"/>
    <n v="0"/>
    <n v="18.929390865785848"/>
    <n v="152.59031948759403"/>
    <m/>
    <n v="27423.189247999999"/>
    <n v="0"/>
    <n v="31196.169955637492"/>
    <n v="0"/>
    <x v="0"/>
  </r>
  <r>
    <s v="Regular"/>
    <x v="0"/>
    <x v="0"/>
    <x v="0"/>
    <x v="0"/>
    <x v="0"/>
    <x v="0"/>
    <x v="0"/>
    <x v="10"/>
    <n v="3300"/>
    <n v="1663.2"/>
    <n v="0"/>
    <n v="0"/>
    <n v="0"/>
    <n v="0"/>
    <n v="0"/>
    <s v="LIVRE"/>
    <n v="0"/>
    <n v="2"/>
    <n v="0"/>
    <n v="0"/>
    <n v="16.64"/>
    <n v="0"/>
    <n v="0"/>
    <n v="18.929390865785848"/>
    <n v="152.59031948759403"/>
    <m/>
    <n v="27236.351999999999"/>
    <n v="0"/>
    <n v="30983.626969118275"/>
    <n v="0"/>
    <x v="0"/>
  </r>
  <r>
    <s v="PROJETADO"/>
    <x v="0"/>
    <x v="0"/>
    <x v="0"/>
    <x v="0"/>
    <x v="0"/>
    <x v="0"/>
    <x v="0"/>
    <x v="11"/>
    <n v="3300"/>
    <n v="1663.2"/>
    <n v="0"/>
    <n v="0"/>
    <n v="0"/>
    <n v="0"/>
    <n v="0"/>
    <s v="LIVRE"/>
    <n v="0"/>
    <n v="2"/>
    <n v="0"/>
    <n v="0"/>
    <n v="16.64"/>
    <n v="0"/>
    <n v="0"/>
    <n v="18.929390865785848"/>
    <n v="152.59031948759403"/>
    <m/>
    <n v="27236.351999999999"/>
    <n v="0"/>
    <n v="30983.626969118275"/>
    <n v="0"/>
    <x v="0"/>
  </r>
  <r>
    <s v="Regular"/>
    <x v="0"/>
    <x v="0"/>
    <x v="0"/>
    <x v="0"/>
    <x v="0"/>
    <x v="0"/>
    <x v="1"/>
    <x v="0"/>
    <n v="0"/>
    <n v="0"/>
    <n v="1381.643"/>
    <n v="1381.643"/>
    <n v="0"/>
    <n v="0"/>
    <n v="1"/>
    <s v="LIVRE"/>
    <n v="0"/>
    <n v="0"/>
    <n v="3"/>
    <n v="0"/>
    <n v="0"/>
    <n v="76.75"/>
    <n v="0"/>
    <m/>
    <n v="152.59031948759403"/>
    <m/>
    <n v="0"/>
    <n v="0"/>
    <n v="0"/>
    <n v="0"/>
    <x v="0"/>
  </r>
  <r>
    <s v="Regular"/>
    <x v="0"/>
    <x v="0"/>
    <x v="0"/>
    <x v="0"/>
    <x v="0"/>
    <x v="0"/>
    <x v="1"/>
    <x v="1"/>
    <n v="0"/>
    <n v="0"/>
    <n v="1397.3150000000001"/>
    <n v="1397.3150000000001"/>
    <n v="0"/>
    <n v="0"/>
    <n v="1"/>
    <s v="LIVRE"/>
    <n v="0"/>
    <n v="0"/>
    <n v="3"/>
    <n v="0"/>
    <n v="0"/>
    <n v="76.75"/>
    <n v="0"/>
    <m/>
    <n v="152.59031948759403"/>
    <m/>
    <n v="0"/>
    <n v="0"/>
    <n v="0"/>
    <n v="0"/>
    <x v="0"/>
  </r>
  <r>
    <s v="Regular"/>
    <x v="0"/>
    <x v="0"/>
    <x v="0"/>
    <x v="0"/>
    <x v="0"/>
    <x v="0"/>
    <x v="1"/>
    <x v="2"/>
    <n v="0"/>
    <n v="0"/>
    <n v="1422.104"/>
    <n v="1422.104"/>
    <n v="0"/>
    <n v="0"/>
    <n v="1"/>
    <s v="LIVRE"/>
    <n v="0"/>
    <n v="0"/>
    <n v="3"/>
    <n v="0"/>
    <n v="0"/>
    <n v="76.75"/>
    <n v="0"/>
    <m/>
    <n v="152.59031948759403"/>
    <m/>
    <n v="0"/>
    <n v="0"/>
    <n v="0"/>
    <n v="0"/>
    <x v="0"/>
  </r>
  <r>
    <s v="Regular"/>
    <x v="0"/>
    <x v="0"/>
    <x v="0"/>
    <x v="0"/>
    <x v="0"/>
    <x v="0"/>
    <x v="1"/>
    <x v="3"/>
    <n v="0"/>
    <n v="0"/>
    <n v="1390.7560000000001"/>
    <n v="1390.7560000000001"/>
    <n v="0"/>
    <n v="0"/>
    <n v="1"/>
    <s v="LIVRE"/>
    <n v="0"/>
    <n v="0"/>
    <n v="3"/>
    <n v="0"/>
    <n v="0"/>
    <n v="76.75"/>
    <n v="0"/>
    <m/>
    <n v="152.59031948759403"/>
    <m/>
    <n v="0"/>
    <n v="0"/>
    <n v="0"/>
    <n v="0"/>
    <x v="0"/>
  </r>
  <r>
    <s v="Regular"/>
    <x v="0"/>
    <x v="0"/>
    <x v="0"/>
    <x v="0"/>
    <x v="0"/>
    <x v="0"/>
    <x v="1"/>
    <x v="4"/>
    <n v="0"/>
    <n v="0"/>
    <n v="1568.508"/>
    <n v="1568.508"/>
    <n v="0"/>
    <n v="0"/>
    <n v="1"/>
    <s v="LIVRE"/>
    <n v="0"/>
    <n v="0"/>
    <n v="3"/>
    <n v="0"/>
    <n v="0"/>
    <n v="76.75"/>
    <n v="0"/>
    <m/>
    <n v="152.59031948759403"/>
    <m/>
    <n v="0"/>
    <n v="0"/>
    <n v="0"/>
    <n v="0"/>
    <x v="0"/>
  </r>
  <r>
    <s v="Regular"/>
    <x v="0"/>
    <x v="0"/>
    <x v="0"/>
    <x v="0"/>
    <x v="0"/>
    <x v="0"/>
    <x v="1"/>
    <x v="5"/>
    <n v="0"/>
    <n v="0"/>
    <n v="1495.627"/>
    <n v="1495.627"/>
    <n v="0"/>
    <n v="0"/>
    <n v="1"/>
    <s v="LIVRE"/>
    <n v="0"/>
    <n v="0"/>
    <n v="3"/>
    <n v="0"/>
    <n v="0"/>
    <n v="76.75"/>
    <n v="0"/>
    <m/>
    <n v="152.59031948759403"/>
    <m/>
    <n v="0"/>
    <n v="0"/>
    <n v="0"/>
    <n v="0"/>
    <x v="0"/>
  </r>
  <r>
    <s v="Regular"/>
    <x v="0"/>
    <x v="0"/>
    <x v="0"/>
    <x v="0"/>
    <x v="0"/>
    <x v="0"/>
    <x v="1"/>
    <x v="6"/>
    <n v="0"/>
    <n v="0"/>
    <n v="1423.7270000000001"/>
    <n v="1423.7270000000001"/>
    <n v="0"/>
    <n v="0"/>
    <n v="1"/>
    <s v="LIVRE"/>
    <n v="0"/>
    <n v="0"/>
    <n v="3"/>
    <n v="0"/>
    <n v="0"/>
    <n v="76.75"/>
    <n v="0"/>
    <m/>
    <n v="152.59031948759403"/>
    <m/>
    <n v="0"/>
    <n v="0"/>
    <n v="0"/>
    <n v="0"/>
    <x v="0"/>
  </r>
  <r>
    <s v="Regular"/>
    <x v="0"/>
    <x v="0"/>
    <x v="0"/>
    <x v="0"/>
    <x v="0"/>
    <x v="0"/>
    <x v="1"/>
    <x v="7"/>
    <n v="0"/>
    <n v="0"/>
    <n v="1682.0219999999999"/>
    <n v="1682.0219999999999"/>
    <n v="0"/>
    <n v="0"/>
    <n v="1"/>
    <s v="LIVRE"/>
    <n v="0"/>
    <n v="0"/>
    <n v="3"/>
    <n v="0"/>
    <n v="0"/>
    <n v="76.75"/>
    <n v="0"/>
    <m/>
    <n v="152.59031948759403"/>
    <m/>
    <n v="0"/>
    <n v="0"/>
    <n v="0"/>
    <n v="0"/>
    <x v="0"/>
  </r>
  <r>
    <s v="Regular"/>
    <x v="0"/>
    <x v="0"/>
    <x v="0"/>
    <x v="0"/>
    <x v="0"/>
    <x v="0"/>
    <x v="1"/>
    <x v="8"/>
    <n v="0"/>
    <n v="0"/>
    <n v="1448.614"/>
    <n v="1448.614"/>
    <n v="0"/>
    <n v="0"/>
    <n v="1"/>
    <s v="LIVRE"/>
    <n v="0"/>
    <n v="0"/>
    <n v="3"/>
    <n v="0"/>
    <n v="0"/>
    <n v="76.75"/>
    <n v="0"/>
    <m/>
    <n v="152.59031948759403"/>
    <m/>
    <n v="0"/>
    <n v="0"/>
    <n v="0"/>
    <n v="0"/>
    <x v="0"/>
  </r>
  <r>
    <s v="Regular"/>
    <x v="0"/>
    <x v="0"/>
    <x v="0"/>
    <x v="0"/>
    <x v="0"/>
    <x v="0"/>
    <x v="1"/>
    <x v="9"/>
    <n v="0"/>
    <n v="0"/>
    <n v="1654.537"/>
    <n v="1654.537"/>
    <n v="0"/>
    <n v="0"/>
    <n v="1"/>
    <s v="LIVRE"/>
    <n v="0"/>
    <n v="0"/>
    <n v="3"/>
    <n v="0"/>
    <n v="0"/>
    <n v="76.75"/>
    <n v="0"/>
    <m/>
    <n v="152.59031948759403"/>
    <m/>
    <n v="0"/>
    <n v="0"/>
    <n v="0"/>
    <n v="0"/>
    <x v="0"/>
  </r>
  <r>
    <s v="Regular"/>
    <x v="0"/>
    <x v="0"/>
    <x v="0"/>
    <x v="0"/>
    <x v="0"/>
    <x v="0"/>
    <x v="1"/>
    <x v="10"/>
    <n v="0"/>
    <n v="0"/>
    <n v="1529.9929999999999"/>
    <n v="1529.9929999999999"/>
    <n v="0"/>
    <n v="0"/>
    <n v="1"/>
    <s v="LIVRE"/>
    <n v="0"/>
    <n v="0"/>
    <n v="3"/>
    <n v="0"/>
    <n v="0"/>
    <n v="76.75"/>
    <n v="0"/>
    <m/>
    <n v="152.59031948759403"/>
    <m/>
    <n v="0"/>
    <n v="0"/>
    <n v="0"/>
    <n v="0"/>
    <x v="0"/>
  </r>
  <r>
    <s v="PROJETADO"/>
    <x v="0"/>
    <x v="0"/>
    <x v="0"/>
    <x v="0"/>
    <x v="0"/>
    <x v="0"/>
    <x v="1"/>
    <x v="11"/>
    <n v="0"/>
    <n v="0"/>
    <n v="1529.9929999999999"/>
    <n v="1529.9929999999999"/>
    <n v="0"/>
    <n v="0"/>
    <n v="1"/>
    <s v="LIVRE"/>
    <n v="0"/>
    <n v="0"/>
    <n v="3"/>
    <n v="0"/>
    <n v="0"/>
    <n v="76.75"/>
    <n v="0"/>
    <m/>
    <n v="152.59031948759403"/>
    <m/>
    <n v="0"/>
    <n v="0"/>
    <n v="0"/>
    <n v="0"/>
    <x v="0"/>
  </r>
  <r>
    <s v="Regular"/>
    <x v="0"/>
    <x v="0"/>
    <x v="0"/>
    <x v="0"/>
    <x v="0"/>
    <x v="0"/>
    <x v="2"/>
    <x v="0"/>
    <n v="2805"/>
    <n v="1402.5"/>
    <n v="0"/>
    <n v="0"/>
    <n v="0"/>
    <n v="0"/>
    <n v="0"/>
    <s v="LIVRE"/>
    <n v="0"/>
    <n v="1"/>
    <n v="0"/>
    <n v="0"/>
    <n v="51.93"/>
    <n v="0"/>
    <n v="0"/>
    <n v="59.261942948611889"/>
    <n v="152.59031948759403"/>
    <m/>
    <n v="72831.824999999997"/>
    <n v="0"/>
    <n v="83114.874985428178"/>
    <n v="0"/>
    <x v="0"/>
  </r>
  <r>
    <s v="Regular"/>
    <x v="0"/>
    <x v="0"/>
    <x v="0"/>
    <x v="0"/>
    <x v="0"/>
    <x v="0"/>
    <x v="2"/>
    <x v="1"/>
    <n v="2805"/>
    <n v="1406.7075"/>
    <n v="0"/>
    <n v="0"/>
    <n v="0"/>
    <n v="0"/>
    <n v="0"/>
    <s v="LIVRE"/>
    <n v="0"/>
    <n v="1"/>
    <n v="0"/>
    <n v="0"/>
    <n v="51.93"/>
    <n v="0"/>
    <n v="0"/>
    <n v="59.261942948611889"/>
    <n v="152.59031948759403"/>
    <m/>
    <n v="72613.329524999994"/>
    <n v="0"/>
    <n v="82865.530360471894"/>
    <n v="0"/>
    <x v="0"/>
  </r>
  <r>
    <s v="Regular"/>
    <x v="0"/>
    <x v="0"/>
    <x v="0"/>
    <x v="0"/>
    <x v="0"/>
    <x v="0"/>
    <x v="2"/>
    <x v="2"/>
    <n v="2805"/>
    <n v="1405.0245"/>
    <n v="0"/>
    <n v="0"/>
    <n v="0"/>
    <n v="0"/>
    <n v="0"/>
    <s v="LIVRE"/>
    <n v="0"/>
    <n v="1"/>
    <n v="0"/>
    <n v="0"/>
    <n v="51.93"/>
    <n v="0"/>
    <n v="0"/>
    <n v="59.261942948611889"/>
    <n v="152.59031948759403"/>
    <m/>
    <n v="72700.727715000001"/>
    <n v="0"/>
    <n v="82965.268210454407"/>
    <n v="0"/>
    <x v="0"/>
  </r>
  <r>
    <s v="Regular"/>
    <x v="0"/>
    <x v="0"/>
    <x v="0"/>
    <x v="0"/>
    <x v="0"/>
    <x v="0"/>
    <x v="2"/>
    <x v="3"/>
    <n v="2805"/>
    <n v="1410.915"/>
    <n v="0"/>
    <n v="0"/>
    <n v="0"/>
    <n v="0"/>
    <n v="0"/>
    <s v="LIVRE"/>
    <n v="0"/>
    <n v="1"/>
    <n v="0"/>
    <n v="0"/>
    <n v="51.93"/>
    <n v="0"/>
    <n v="0"/>
    <n v="59.261942948611889"/>
    <n v="152.59031948759403"/>
    <m/>
    <n v="72394.834050000005"/>
    <n v="0"/>
    <n v="82616.18573551561"/>
    <n v="0"/>
    <x v="0"/>
  </r>
  <r>
    <s v="Regular"/>
    <x v="0"/>
    <x v="0"/>
    <x v="0"/>
    <x v="0"/>
    <x v="0"/>
    <x v="0"/>
    <x v="2"/>
    <x v="4"/>
    <n v="2805"/>
    <n v="1406.4269999999999"/>
    <n v="0"/>
    <n v="0"/>
    <n v="0"/>
    <n v="0"/>
    <n v="0"/>
    <s v="LIVRE"/>
    <n v="0"/>
    <n v="1"/>
    <n v="0"/>
    <n v="0"/>
    <n v="51.93"/>
    <n v="0"/>
    <n v="0"/>
    <n v="59.261942948611889"/>
    <n v="152.59031948759403"/>
    <m/>
    <n v="72627.89589"/>
    <n v="0"/>
    <n v="82882.153335468975"/>
    <n v="0"/>
    <x v="0"/>
  </r>
  <r>
    <s v="Regular"/>
    <x v="0"/>
    <x v="0"/>
    <x v="0"/>
    <x v="0"/>
    <x v="0"/>
    <x v="0"/>
    <x v="2"/>
    <x v="5"/>
    <n v="2870"/>
    <n v="1441.6010000000001"/>
    <n v="0"/>
    <n v="0"/>
    <n v="0"/>
    <n v="0"/>
    <n v="0"/>
    <s v="LIVRE"/>
    <n v="0"/>
    <n v="1"/>
    <n v="0"/>
    <n v="0"/>
    <n v="51.93"/>
    <n v="0"/>
    <n v="0"/>
    <n v="59.261942948611889"/>
    <n v="152.59031948759403"/>
    <m/>
    <n v="74176.760069999989"/>
    <n v="0"/>
    <n v="84649.700045854261"/>
    <n v="0"/>
    <x v="0"/>
  </r>
  <r>
    <s v="Regular"/>
    <x v="0"/>
    <x v="0"/>
    <x v="0"/>
    <x v="0"/>
    <x v="0"/>
    <x v="0"/>
    <x v="2"/>
    <x v="6"/>
    <n v="2805"/>
    <n v="1405.5854999999999"/>
    <n v="0"/>
    <n v="0"/>
    <n v="0"/>
    <n v="0"/>
    <n v="0"/>
    <s v="LIVRE"/>
    <n v="0"/>
    <n v="1"/>
    <n v="0"/>
    <n v="0"/>
    <n v="51.93"/>
    <n v="0"/>
    <n v="0"/>
    <n v="59.261942948611889"/>
    <n v="152.59031948759403"/>
    <m/>
    <n v="72671.594985000003"/>
    <n v="0"/>
    <n v="82932.022260460231"/>
    <n v="0"/>
    <x v="0"/>
  </r>
  <r>
    <s v="Regular"/>
    <x v="0"/>
    <x v="0"/>
    <x v="0"/>
    <x v="0"/>
    <x v="0"/>
    <x v="0"/>
    <x v="2"/>
    <x v="7"/>
    <n v="2865"/>
    <n v="1445.106"/>
    <n v="0"/>
    <n v="0"/>
    <n v="0"/>
    <n v="0"/>
    <n v="0"/>
    <s v="LIVRE"/>
    <n v="0"/>
    <n v="1"/>
    <n v="0"/>
    <n v="0"/>
    <n v="51.93"/>
    <n v="0"/>
    <n v="0"/>
    <n v="59.261942948611889"/>
    <n v="152.59031948759403"/>
    <m/>
    <n v="73735.095419999998"/>
    <n v="0"/>
    <n v="84145.67722107633"/>
    <n v="0"/>
    <x v="0"/>
  </r>
  <r>
    <s v="Regular"/>
    <x v="0"/>
    <x v="0"/>
    <x v="0"/>
    <x v="0"/>
    <x v="0"/>
    <x v="0"/>
    <x v="2"/>
    <x v="8"/>
    <n v="2966"/>
    <n v="1488.6353999999999"/>
    <n v="0"/>
    <n v="0"/>
    <n v="0"/>
    <n v="0"/>
    <n v="0"/>
    <s v="LIVRE"/>
    <n v="0"/>
    <n v="1"/>
    <n v="0"/>
    <n v="0"/>
    <n v="51.93"/>
    <n v="0"/>
    <n v="0"/>
    <n v="59.261942948611889"/>
    <n v="152.59031948759403"/>
    <m/>
    <n v="76719.543678000002"/>
    <n v="0"/>
    <n v="87551.49663949883"/>
    <n v="0"/>
    <x v="0"/>
  </r>
  <r>
    <s v="Regular"/>
    <x v="0"/>
    <x v="0"/>
    <x v="0"/>
    <x v="0"/>
    <x v="0"/>
    <x v="0"/>
    <x v="2"/>
    <x v="9"/>
    <n v="2900"/>
    <n v="1452.61"/>
    <n v="0"/>
    <n v="0"/>
    <n v="0"/>
    <n v="0"/>
    <n v="0"/>
    <s v="LIVRE"/>
    <n v="0"/>
    <n v="1"/>
    <n v="0"/>
    <n v="0"/>
    <n v="51.93"/>
    <n v="0"/>
    <n v="0"/>
    <n v="59.261942948611889"/>
    <n v="152.59031948759403"/>
    <m/>
    <n v="75162.962700000004"/>
    <n v="0"/>
    <n v="85775.143604391371"/>
    <n v="0"/>
    <x v="0"/>
  </r>
  <r>
    <s v="Regular"/>
    <x v="0"/>
    <x v="0"/>
    <x v="0"/>
    <x v="0"/>
    <x v="0"/>
    <x v="0"/>
    <x v="2"/>
    <x v="10"/>
    <n v="2900"/>
    <n v="1461.6"/>
    <n v="0"/>
    <n v="0"/>
    <n v="0"/>
    <n v="0"/>
    <n v="0"/>
    <s v="LIVRE"/>
    <n v="0"/>
    <n v="1"/>
    <n v="0"/>
    <n v="0"/>
    <n v="51.93"/>
    <n v="0"/>
    <n v="0"/>
    <n v="59.261942948611889"/>
    <n v="152.59031948759403"/>
    <m/>
    <n v="74696.112000000008"/>
    <n v="0"/>
    <n v="85242.378737283347"/>
    <n v="0"/>
    <x v="0"/>
  </r>
  <r>
    <s v="PROJETADO"/>
    <x v="0"/>
    <x v="0"/>
    <x v="0"/>
    <x v="0"/>
    <x v="0"/>
    <x v="0"/>
    <x v="2"/>
    <x v="11"/>
    <n v="2900"/>
    <n v="1461.6"/>
    <n v="0"/>
    <n v="0"/>
    <n v="0"/>
    <n v="0"/>
    <n v="0"/>
    <s v="LIVRE"/>
    <n v="0"/>
    <n v="1"/>
    <n v="0"/>
    <n v="0"/>
    <n v="51.93"/>
    <n v="0"/>
    <n v="0"/>
    <n v="59.261942948611889"/>
    <n v="152.59031948759403"/>
    <m/>
    <n v="74696.112000000008"/>
    <n v="0"/>
    <n v="85242.378737283347"/>
    <n v="0"/>
    <x v="0"/>
  </r>
  <r>
    <s v="Regular"/>
    <x v="0"/>
    <x v="0"/>
    <x v="1"/>
    <x v="0"/>
    <x v="1"/>
    <x v="0"/>
    <x v="0"/>
    <x v="0"/>
    <n v="243"/>
    <n v="233.28"/>
    <n v="77.897999999999996"/>
    <n v="74.782079999999993"/>
    <n v="77.897999999999996"/>
    <n v="74.782079999999993"/>
    <n v="0"/>
    <s v="CATIVO"/>
    <n v="0"/>
    <n v="2"/>
    <n v="3"/>
    <n v="49"/>
    <n v="16.64"/>
    <n v="76.75"/>
    <n v="307.08"/>
    <n v="18.929390865785848"/>
    <n v="152.59031948759403"/>
    <n v="313.20976164142951"/>
    <n v="161.74079999999998"/>
    <n v="1195.9835736000009"/>
    <n v="183.99367921543842"/>
    <n v="1451.3957887915483"/>
    <x v="1"/>
  </r>
  <r>
    <s v="Regular"/>
    <x v="0"/>
    <x v="0"/>
    <x v="1"/>
    <x v="0"/>
    <x v="1"/>
    <x v="0"/>
    <x v="0"/>
    <x v="1"/>
    <n v="327"/>
    <n v="313.92"/>
    <n v="97.45"/>
    <n v="93.552000000000007"/>
    <n v="97.45"/>
    <n v="93.552000000000007"/>
    <n v="0"/>
    <s v="CATIVO"/>
    <n v="0"/>
    <n v="2"/>
    <n v="3"/>
    <n v="49"/>
    <n v="16.64"/>
    <n v="76.75"/>
    <n v="307.08"/>
    <n v="18.929390865785848"/>
    <n v="152.59031948759403"/>
    <n v="313.20976164142951"/>
    <n v="217.65119999999973"/>
    <n v="1496.1693399999986"/>
    <n v="247.59643252447859"/>
    <n v="1815.6887162409321"/>
    <x v="1"/>
  </r>
  <r>
    <s v="Regular"/>
    <x v="0"/>
    <x v="0"/>
    <x v="1"/>
    <x v="0"/>
    <x v="1"/>
    <x v="0"/>
    <x v="0"/>
    <x v="2"/>
    <n v="375"/>
    <n v="360"/>
    <n v="99.433000000000007"/>
    <n v="95.455680000000001"/>
    <n v="99.433000000000007"/>
    <n v="95.455680000000001"/>
    <n v="0"/>
    <s v="CATIVO"/>
    <n v="0"/>
    <n v="2"/>
    <n v="3"/>
    <n v="49"/>
    <n v="16.64"/>
    <n v="76.75"/>
    <n v="307.08"/>
    <n v="18.929390865785848"/>
    <n v="152.59031948759403"/>
    <n v="313.20976164142951"/>
    <n v="249.60000000000002"/>
    <n v="1526.6147356000024"/>
    <n v="283.94086298678769"/>
    <n v="1852.6359786760909"/>
    <x v="1"/>
  </r>
  <r>
    <s v="Regular"/>
    <x v="0"/>
    <x v="0"/>
    <x v="1"/>
    <x v="0"/>
    <x v="1"/>
    <x v="0"/>
    <x v="0"/>
    <x v="3"/>
    <n v="372"/>
    <n v="357.12"/>
    <n v="105.24"/>
    <n v="101.0304"/>
    <n v="105.24"/>
    <n v="101.0304"/>
    <n v="0"/>
    <s v="CATIVO"/>
    <n v="0"/>
    <n v="2"/>
    <n v="3"/>
    <n v="49"/>
    <n v="16.64"/>
    <n v="76.75"/>
    <n v="307.08"/>
    <n v="18.929390865785848"/>
    <n v="152.59031948759403"/>
    <n v="313.20976164142951"/>
    <n v="247.60319999999993"/>
    <n v="1615.7707679999978"/>
    <n v="281.66933608289332"/>
    <n v="1960.832021520735"/>
    <x v="1"/>
  </r>
  <r>
    <s v="Regular"/>
    <x v="0"/>
    <x v="0"/>
    <x v="1"/>
    <x v="0"/>
    <x v="1"/>
    <x v="0"/>
    <x v="0"/>
    <x v="4"/>
    <n v="428"/>
    <n v="410.88"/>
    <n v="94.23"/>
    <n v="90.460800000000006"/>
    <n v="94.23"/>
    <n v="90.460800000000006"/>
    <n v="0"/>
    <s v="CATIVO"/>
    <n v="0"/>
    <n v="2"/>
    <n v="3"/>
    <n v="49"/>
    <n v="16.64"/>
    <n v="76.75"/>
    <n v="307.08"/>
    <n v="18.929390865785848"/>
    <n v="152.59031948759403"/>
    <n v="313.20976164142951"/>
    <n v="284.87680000000006"/>
    <n v="1446.7320359999992"/>
    <n v="324.07117162225381"/>
    <n v="1755.6936657915144"/>
    <x v="1"/>
  </r>
  <r>
    <s v="Regular"/>
    <x v="0"/>
    <x v="0"/>
    <x v="1"/>
    <x v="0"/>
    <x v="1"/>
    <x v="0"/>
    <x v="0"/>
    <x v="5"/>
    <n v="476"/>
    <n v="456.96"/>
    <n v="110.241"/>
    <n v="105.83136"/>
    <n v="110.241"/>
    <n v="105.83136"/>
    <n v="0"/>
    <s v="CATIVO"/>
    <n v="0"/>
    <n v="2"/>
    <n v="3"/>
    <n v="49"/>
    <n v="16.64"/>
    <n v="76.75"/>
    <n v="307.08"/>
    <n v="18.929390865785848"/>
    <n v="152.59031948759403"/>
    <n v="313.20976164142951"/>
    <n v="316.82560000000035"/>
    <n v="1692.5521211999985"/>
    <n v="360.41560208456292"/>
    <n v="2054.0106697497854"/>
    <x v="1"/>
  </r>
  <r>
    <s v="Regular"/>
    <x v="0"/>
    <x v="0"/>
    <x v="1"/>
    <x v="0"/>
    <x v="1"/>
    <x v="0"/>
    <x v="0"/>
    <x v="6"/>
    <n v="538"/>
    <n v="516.48"/>
    <n v="126.678"/>
    <n v="121.61087999999999"/>
    <n v="126.678"/>
    <n v="121.61087999999999"/>
    <n v="0"/>
    <s v="CATIVO"/>
    <n v="0"/>
    <n v="2"/>
    <n v="3"/>
    <n v="49"/>
    <n v="16.64"/>
    <n v="76.75"/>
    <n v="307.08"/>
    <n v="18.929390865785848"/>
    <n v="152.59031948759403"/>
    <n v="313.20976164142951"/>
    <n v="358.09279999999973"/>
    <n v="1944.912669600001"/>
    <n v="407.36049143171113"/>
    <n v="2360.264907090499"/>
    <x v="1"/>
  </r>
  <r>
    <s v="Regular"/>
    <x v="0"/>
    <x v="0"/>
    <x v="1"/>
    <x v="0"/>
    <x v="1"/>
    <x v="0"/>
    <x v="0"/>
    <x v="7"/>
    <n v="614"/>
    <n v="589.44000000000005"/>
    <n v="132.88300000000001"/>
    <n v="127.56768"/>
    <n v="132.88300000000001"/>
    <n v="127.56768"/>
    <n v="0"/>
    <s v="CATIVO"/>
    <n v="0"/>
    <n v="2"/>
    <n v="3"/>
    <n v="49"/>
    <n v="16.64"/>
    <n v="76.75"/>
    <n v="307.08"/>
    <n v="18.929390865785848"/>
    <n v="152.59031948759403"/>
    <n v="313.20976164142951"/>
    <n v="408.6783999999991"/>
    <n v="2040.1792756000054"/>
    <n v="464.9058396636994"/>
    <n v="2475.8764872267279"/>
    <x v="1"/>
  </r>
  <r>
    <s v="Regular"/>
    <x v="0"/>
    <x v="0"/>
    <x v="1"/>
    <x v="0"/>
    <x v="1"/>
    <x v="0"/>
    <x v="0"/>
    <x v="8"/>
    <n v="544"/>
    <n v="522.24"/>
    <n v="131.101"/>
    <n v="125.85696"/>
    <n v="131.101"/>
    <n v="125.85696"/>
    <n v="0"/>
    <s v="CATIVO"/>
    <n v="0"/>
    <n v="2"/>
    <n v="3"/>
    <n v="49"/>
    <n v="16.64"/>
    <n v="76.75"/>
    <n v="307.08"/>
    <n v="18.929390865785848"/>
    <n v="152.59031948759403"/>
    <n v="313.20976164142951"/>
    <n v="362.08639999999986"/>
    <n v="2012.8198731999992"/>
    <n v="411.90354523949986"/>
    <n v="2442.674257443844"/>
    <x v="1"/>
  </r>
  <r>
    <s v="Regular"/>
    <x v="0"/>
    <x v="0"/>
    <x v="1"/>
    <x v="0"/>
    <x v="1"/>
    <x v="0"/>
    <x v="0"/>
    <x v="9"/>
    <n v="419"/>
    <n v="402.24"/>
    <n v="106.90300000000001"/>
    <n v="102.62688"/>
    <n v="106.90300000000001"/>
    <n v="102.62688"/>
    <n v="0"/>
    <s v="CATIVO"/>
    <n v="0"/>
    <n v="2"/>
    <n v="3"/>
    <n v="49"/>
    <n v="16.64"/>
    <n v="76.75"/>
    <n v="307.08"/>
    <n v="18.929390865785848"/>
    <n v="152.59031948759403"/>
    <n v="313.20976164142951"/>
    <n v="278.88639999999987"/>
    <n v="1641.3031396000022"/>
    <n v="317.25659091057065"/>
    <n v="1991.8170429174429"/>
    <x v="1"/>
  </r>
  <r>
    <s v="Regular"/>
    <x v="0"/>
    <x v="0"/>
    <x v="1"/>
    <x v="0"/>
    <x v="1"/>
    <x v="0"/>
    <x v="0"/>
    <x v="10"/>
    <n v="394"/>
    <n v="378.24"/>
    <n v="110.07299999999999"/>
    <n v="105.67008"/>
    <n v="110.07299999999999"/>
    <n v="105.67008"/>
    <n v="0"/>
    <s v="CATIVO"/>
    <n v="0"/>
    <n v="2"/>
    <n v="3"/>
    <n v="49"/>
    <n v="16.64"/>
    <n v="76.75"/>
    <n v="307.08"/>
    <n v="18.929390865785848"/>
    <n v="152.59031948759403"/>
    <n v="313.20976164142951"/>
    <n v="262.24639999999988"/>
    <n v="1689.9727835999979"/>
    <n v="298.32720004478477"/>
    <n v="2050.8804932045978"/>
    <x v="1"/>
  </r>
  <r>
    <s v="PROJETADO"/>
    <x v="0"/>
    <x v="0"/>
    <x v="1"/>
    <x v="0"/>
    <x v="1"/>
    <x v="0"/>
    <x v="0"/>
    <x v="11"/>
    <n v="394"/>
    <n v="378.24"/>
    <n v="110.07299999999999"/>
    <n v="105.67008"/>
    <n v="110.07299999999999"/>
    <n v="105.67008"/>
    <n v="0"/>
    <s v="CATIVO"/>
    <n v="0"/>
    <n v="2"/>
    <n v="3"/>
    <n v="49"/>
    <n v="16.64"/>
    <n v="76.75"/>
    <n v="307.08"/>
    <n v="18.929390865785848"/>
    <n v="152.59031948759403"/>
    <n v="313.20976164142951"/>
    <n v="262.24639999999988"/>
    <n v="1689.9727835999979"/>
    <n v="298.32720004478477"/>
    <n v="2050.8804932045978"/>
    <x v="1"/>
  </r>
  <r>
    <s v="Regular"/>
    <x v="0"/>
    <x v="0"/>
    <x v="1"/>
    <x v="0"/>
    <x v="1"/>
    <x v="0"/>
    <x v="2"/>
    <x v="0"/>
    <n v="158"/>
    <n v="151.68"/>
    <n v="7.8620000000000001"/>
    <n v="7.5475199999999996"/>
    <n v="7.8620000000000001"/>
    <n v="7.5475199999999996"/>
    <n v="0"/>
    <s v="CATIVO"/>
    <n v="0"/>
    <n v="1"/>
    <n v="3"/>
    <n v="48"/>
    <n v="51.93"/>
    <n v="76.75"/>
    <n v="492.64"/>
    <n v="59.261942948611889"/>
    <n v="152.59031948759403"/>
    <n v="499.13928219176387"/>
    <n v="328.19759999999962"/>
    <n v="179.0617672000003"/>
    <n v="374.53547943522676"/>
    <n v="204.95592513612482"/>
    <x v="1"/>
  </r>
  <r>
    <s v="Regular"/>
    <x v="0"/>
    <x v="0"/>
    <x v="1"/>
    <x v="0"/>
    <x v="1"/>
    <x v="0"/>
    <x v="2"/>
    <x v="1"/>
    <n v="217"/>
    <n v="208.32"/>
    <n v="10.103999999999999"/>
    <n v="9.69984"/>
    <n v="10.103999999999999"/>
    <n v="9.69984"/>
    <n v="0"/>
    <s v="CATIVO"/>
    <n v="0"/>
    <n v="1"/>
    <n v="3"/>
    <n v="48"/>
    <n v="51.93"/>
    <n v="76.75"/>
    <n v="492.64"/>
    <n v="59.261942948611889"/>
    <n v="152.59031948759403"/>
    <n v="499.13928219176387"/>
    <n v="450.75240000000036"/>
    <n v="230.12466239999952"/>
    <n v="514.39366479395164"/>
    <n v="263.40303581472875"/>
    <x v="1"/>
  </r>
  <r>
    <s v="Regular"/>
    <x v="0"/>
    <x v="0"/>
    <x v="1"/>
    <x v="0"/>
    <x v="1"/>
    <x v="0"/>
    <x v="2"/>
    <x v="2"/>
    <n v="245"/>
    <n v="235.2"/>
    <n v="9.9130000000000003"/>
    <n v="9.5164799999999996"/>
    <n v="9.9130000000000003"/>
    <n v="9.5164799999999996"/>
    <n v="0"/>
    <s v="CATIVO"/>
    <n v="0"/>
    <n v="1"/>
    <n v="3"/>
    <n v="48"/>
    <n v="51.93"/>
    <n v="76.75"/>
    <n v="492.64"/>
    <n v="59.261942948611889"/>
    <n v="152.59031948759403"/>
    <n v="499.13928219176387"/>
    <n v="508.91400000000061"/>
    <n v="225.77452280000037"/>
    <n v="580.76704089639713"/>
    <n v="258.4238216578994"/>
    <x v="1"/>
  </r>
  <r>
    <s v="Regular"/>
    <x v="0"/>
    <x v="0"/>
    <x v="1"/>
    <x v="0"/>
    <x v="1"/>
    <x v="0"/>
    <x v="2"/>
    <x v="3"/>
    <n v="229"/>
    <n v="219.84"/>
    <n v="11.015000000000001"/>
    <n v="10.574400000000001"/>
    <n v="11.015000000000001"/>
    <n v="10.574400000000001"/>
    <n v="0"/>
    <s v="CATIVO"/>
    <n v="0"/>
    <n v="1"/>
    <n v="3"/>
    <n v="48"/>
    <n v="51.93"/>
    <n v="76.75"/>
    <n v="492.64"/>
    <n v="59.261942948611889"/>
    <n v="152.59031948759403"/>
    <n v="499.13928219176387"/>
    <n v="475.6787999999998"/>
    <n v="250.87323399999991"/>
    <n v="542.83939740928474"/>
    <n v="287.15206249992502"/>
    <x v="1"/>
  </r>
  <r>
    <s v="Regular"/>
    <x v="0"/>
    <x v="0"/>
    <x v="1"/>
    <x v="0"/>
    <x v="1"/>
    <x v="0"/>
    <x v="2"/>
    <x v="4"/>
    <n v="239"/>
    <n v="229.44"/>
    <n v="8.8510000000000009"/>
    <n v="8.4969599999999996"/>
    <n v="8.8510000000000009"/>
    <n v="8.4969599999999996"/>
    <n v="0"/>
    <s v="CATIVO"/>
    <n v="0"/>
    <n v="1"/>
    <n v="3"/>
    <n v="48"/>
    <n v="51.93"/>
    <n v="76.75"/>
    <n v="492.64"/>
    <n v="59.261942948611889"/>
    <n v="152.59031948759403"/>
    <n v="499.13928219176387"/>
    <n v="496.45080000000013"/>
    <n v="201.58683560000071"/>
    <n v="566.54417458872979"/>
    <n v="230.73834817856067"/>
    <x v="1"/>
  </r>
  <r>
    <s v="Regular"/>
    <x v="0"/>
    <x v="0"/>
    <x v="1"/>
    <x v="0"/>
    <x v="1"/>
    <x v="0"/>
    <x v="2"/>
    <x v="5"/>
    <n v="251"/>
    <n v="240.96"/>
    <n v="10.644"/>
    <n v="10.21824"/>
    <n v="10.644"/>
    <n v="10.21824"/>
    <n v="0"/>
    <s v="CATIVO"/>
    <n v="0"/>
    <n v="1"/>
    <n v="3"/>
    <n v="48"/>
    <n v="51.93"/>
    <n v="76.75"/>
    <n v="492.64"/>
    <n v="59.261942948611889"/>
    <n v="152.59031948759403"/>
    <n v="499.13928219176387"/>
    <n v="521.37719999999956"/>
    <n v="242.4234864000002"/>
    <n v="594.98990720406289"/>
    <n v="277.48039521100367"/>
    <x v="1"/>
  </r>
  <r>
    <s v="Regular"/>
    <x v="0"/>
    <x v="0"/>
    <x v="1"/>
    <x v="0"/>
    <x v="1"/>
    <x v="0"/>
    <x v="2"/>
    <x v="6"/>
    <n v="318"/>
    <n v="305.27999999999997"/>
    <n v="12.198"/>
    <n v="11.71008"/>
    <n v="12.198"/>
    <n v="11.71008"/>
    <n v="0"/>
    <s v="CATIVO"/>
    <n v="0"/>
    <n v="1"/>
    <n v="3"/>
    <n v="48"/>
    <n v="51.93"/>
    <n v="76.75"/>
    <n v="492.64"/>
    <n v="59.261942948611889"/>
    <n v="152.59031948759403"/>
    <n v="499.13928219176387"/>
    <n v="660.54960000000142"/>
    <n v="277.81676880000043"/>
    <n v="753.81191430634487"/>
    <n v="317.99190725139283"/>
    <x v="1"/>
  </r>
  <r>
    <s v="Regular"/>
    <x v="0"/>
    <x v="0"/>
    <x v="1"/>
    <x v="0"/>
    <x v="1"/>
    <x v="0"/>
    <x v="2"/>
    <x v="7"/>
    <n v="344"/>
    <n v="330.24"/>
    <n v="13.52"/>
    <n v="12.979200000000001"/>
    <n v="13.52"/>
    <n v="12.979200000000001"/>
    <n v="0"/>
    <s v="CATIVO"/>
    <n v="0"/>
    <n v="1"/>
    <n v="3"/>
    <n v="48"/>
    <n v="51.93"/>
    <n v="76.75"/>
    <n v="492.64"/>
    <n v="59.261942948611889"/>
    <n v="152.59031948759403"/>
    <n v="499.13928219176387"/>
    <n v="714.5567999999995"/>
    <n v="307.92611199999948"/>
    <n v="815.44433497289901"/>
    <n v="352.45536858819611"/>
    <x v="1"/>
  </r>
  <r>
    <s v="Regular"/>
    <x v="0"/>
    <x v="0"/>
    <x v="1"/>
    <x v="0"/>
    <x v="1"/>
    <x v="0"/>
    <x v="2"/>
    <x v="8"/>
    <n v="342"/>
    <n v="328.32"/>
    <n v="14.01"/>
    <n v="13.4496"/>
    <n v="14.01"/>
    <n v="13.4496"/>
    <n v="0"/>
    <s v="CATIVO"/>
    <n v="0"/>
    <n v="1"/>
    <n v="3"/>
    <n v="48"/>
    <n v="51.93"/>
    <n v="76.75"/>
    <n v="492.64"/>
    <n v="59.261942948611889"/>
    <n v="152.59031948759403"/>
    <n v="499.13928219176387"/>
    <n v="710.4024000000004"/>
    <n v="319.08615599999979"/>
    <n v="810.70337953701107"/>
    <n v="365.2292687811119"/>
    <x v="1"/>
  </r>
  <r>
    <s v="Regular"/>
    <x v="0"/>
    <x v="0"/>
    <x v="1"/>
    <x v="0"/>
    <x v="1"/>
    <x v="0"/>
    <x v="2"/>
    <x v="9"/>
    <n v="276"/>
    <n v="264.95999999999998"/>
    <n v="12.08"/>
    <n v="11.5968"/>
    <n v="12.08"/>
    <n v="11.5968"/>
    <n v="0"/>
    <s v="CATIVO"/>
    <n v="0"/>
    <n v="1"/>
    <n v="3"/>
    <n v="48"/>
    <n v="51.93"/>
    <n v="76.75"/>
    <n v="492.64"/>
    <n v="59.261942948611889"/>
    <n v="152.59031948759403"/>
    <n v="499.13928219176387"/>
    <n v="573.3072000000011"/>
    <n v="275.12924800000002"/>
    <n v="654.25185015267641"/>
    <n v="314.91574353146581"/>
    <x v="1"/>
  </r>
  <r>
    <s v="Regular"/>
    <x v="0"/>
    <x v="0"/>
    <x v="1"/>
    <x v="0"/>
    <x v="1"/>
    <x v="0"/>
    <x v="2"/>
    <x v="10"/>
    <n v="272"/>
    <n v="261.12"/>
    <n v="12.196999999999999"/>
    <n v="11.70912"/>
    <n v="12.196999999999999"/>
    <n v="11.70912"/>
    <n v="0"/>
    <s v="CATIVO"/>
    <n v="0"/>
    <n v="1"/>
    <n v="3"/>
    <n v="48"/>
    <n v="51.93"/>
    <n v="76.75"/>
    <n v="492.64"/>
    <n v="59.261942948611889"/>
    <n v="152.59031948759403"/>
    <n v="499.13928219176387"/>
    <n v="564.99839999999972"/>
    <n v="277.79399319999931"/>
    <n v="644.76993928089712"/>
    <n v="317.96583806732428"/>
    <x v="1"/>
  </r>
  <r>
    <s v="PROJETADO"/>
    <x v="0"/>
    <x v="0"/>
    <x v="1"/>
    <x v="0"/>
    <x v="1"/>
    <x v="0"/>
    <x v="2"/>
    <x v="11"/>
    <n v="272"/>
    <n v="261.12"/>
    <n v="12.196999999999999"/>
    <n v="11.70912"/>
    <n v="12.196999999999999"/>
    <n v="11.70912"/>
    <n v="0"/>
    <s v="CATIVO"/>
    <n v="0"/>
    <n v="1"/>
    <n v="3"/>
    <n v="48"/>
    <n v="51.93"/>
    <n v="76.75"/>
    <n v="492.64"/>
    <n v="59.261942948611889"/>
    <n v="152.59031948759403"/>
    <n v="499.13928219176387"/>
    <n v="564.99839999999972"/>
    <n v="277.79399319999931"/>
    <n v="644.76993928089712"/>
    <n v="317.96583806732428"/>
    <x v="1"/>
  </r>
  <r>
    <s v="Regular"/>
    <x v="0"/>
    <x v="0"/>
    <x v="2"/>
    <x v="1"/>
    <x v="1"/>
    <x v="0"/>
    <x v="0"/>
    <x v="0"/>
    <n v="1520"/>
    <n v="1292"/>
    <n v="614.70299999999997"/>
    <n v="577.82082000000003"/>
    <n v="614.70299999999997"/>
    <n v="577.82082000000003"/>
    <n v="0"/>
    <s v="CATIVO"/>
    <n v="0"/>
    <n v="2"/>
    <n v="3"/>
    <n v="49"/>
    <n v="16.64"/>
    <n v="76.75"/>
    <n v="307.08"/>
    <n v="18.929390865785848"/>
    <n v="152.59031948759403"/>
    <n v="313.20976164142951"/>
    <n v="3793.92"/>
    <n v="14156.48714939998"/>
    <n v="4315.901117399173"/>
    <n v="17179.722436215226"/>
    <x v="2"/>
  </r>
  <r>
    <s v="Regular"/>
    <x v="0"/>
    <x v="0"/>
    <x v="2"/>
    <x v="1"/>
    <x v="1"/>
    <x v="0"/>
    <x v="0"/>
    <x v="1"/>
    <n v="1534"/>
    <n v="1303.8999999999999"/>
    <n v="632.85599999999999"/>
    <n v="594.88463999999999"/>
    <n v="632.85599999999999"/>
    <n v="594.88463999999999"/>
    <n v="0"/>
    <s v="CATIVO"/>
    <n v="0"/>
    <n v="2"/>
    <n v="3"/>
    <n v="49"/>
    <n v="16.64"/>
    <n v="76.75"/>
    <n v="307.08"/>
    <n v="18.929390865785848"/>
    <n v="152.59031948759403"/>
    <n v="313.20976164142951"/>
    <n v="3828.8640000000023"/>
    <n v="14574.547108800001"/>
    <n v="4355.6528382173265"/>
    <n v="17687.06256857936"/>
    <x v="2"/>
  </r>
  <r>
    <s v="Regular"/>
    <x v="0"/>
    <x v="0"/>
    <x v="2"/>
    <x v="1"/>
    <x v="1"/>
    <x v="0"/>
    <x v="0"/>
    <x v="2"/>
    <n v="1504"/>
    <n v="1278.3999999999999"/>
    <n v="579.31700000000001"/>
    <n v="544.55798000000004"/>
    <n v="579.31700000000001"/>
    <n v="544.55798000000004"/>
    <n v="0"/>
    <s v="CATIVO"/>
    <n v="0"/>
    <n v="2"/>
    <n v="3"/>
    <n v="49"/>
    <n v="16.64"/>
    <n v="76.75"/>
    <n v="307.08"/>
    <n v="18.929390865785848"/>
    <n v="152.59031948759403"/>
    <n v="313.20976164142951"/>
    <n v="3753.9840000000022"/>
    <n v="13341.554646599985"/>
    <n v="4270.4705793212897"/>
    <n v="16190.754335965335"/>
    <x v="2"/>
  </r>
  <r>
    <s v="Refaturamento - Regular"/>
    <x v="0"/>
    <x v="0"/>
    <x v="2"/>
    <x v="1"/>
    <x v="1"/>
    <x v="0"/>
    <x v="0"/>
    <x v="2"/>
    <n v="-57"/>
    <n v="-48.449999999999996"/>
    <n v="-28.565000000000001"/>
    <n v="-26.851099999999999"/>
    <n v="-28.565000000000001"/>
    <n v="-26.851099999999999"/>
    <n v="0"/>
    <s v="CATIVO"/>
    <n v="0"/>
    <n v="2"/>
    <n v="3"/>
    <n v="49"/>
    <n v="16.64"/>
    <n v="76.75"/>
    <n v="307.08"/>
    <n v="18.929390865785848"/>
    <n v="152.59031948759403"/>
    <n v="313.20976164142951"/>
    <n v="-142.27200000000008"/>
    <n v="-657.84623700000088"/>
    <n v="-161.84629190246909"/>
    <n v="-798.33475904703459"/>
    <x v="2"/>
  </r>
  <r>
    <s v="Regular"/>
    <x v="0"/>
    <x v="0"/>
    <x v="2"/>
    <x v="1"/>
    <x v="1"/>
    <x v="0"/>
    <x v="0"/>
    <x v="3"/>
    <n v="1473"/>
    <n v="1252.05"/>
    <n v="585.63499999999999"/>
    <n v="550.49689999999998"/>
    <n v="585.63499999999999"/>
    <n v="550.49689999999998"/>
    <n v="0"/>
    <s v="CATIVO"/>
    <n v="0"/>
    <n v="2"/>
    <n v="3"/>
    <n v="49"/>
    <n v="16.64"/>
    <n v="76.75"/>
    <n v="307.08"/>
    <n v="18.929390865785848"/>
    <n v="152.59031948759403"/>
    <n v="313.20976164142951"/>
    <n v="3676.6080000000011"/>
    <n v="13487.056923000004"/>
    <n v="4182.4489117953835"/>
    <n v="16367.329830719746"/>
    <x v="2"/>
  </r>
  <r>
    <s v="Regular"/>
    <x v="0"/>
    <x v="0"/>
    <x v="2"/>
    <x v="1"/>
    <x v="1"/>
    <x v="0"/>
    <x v="0"/>
    <x v="4"/>
    <n v="1504"/>
    <n v="1278.3999999999999"/>
    <n v="606.64"/>
    <n v="570.24159999999995"/>
    <n v="606.64"/>
    <n v="570.24159999999995"/>
    <n v="0"/>
    <s v="CATIVO"/>
    <n v="0"/>
    <n v="2"/>
    <n v="3"/>
    <n v="49"/>
    <n v="16.64"/>
    <n v="76.75"/>
    <n v="307.08"/>
    <n v="18.929390865785848"/>
    <n v="152.59031948759403"/>
    <n v="313.20976164142951"/>
    <n v="3753.9840000000022"/>
    <n v="13970.797872000014"/>
    <n v="4270.4705793212897"/>
    <n v="16954.377672966668"/>
    <x v="2"/>
  </r>
  <r>
    <s v="Regular"/>
    <x v="0"/>
    <x v="0"/>
    <x v="2"/>
    <x v="1"/>
    <x v="1"/>
    <x v="0"/>
    <x v="0"/>
    <x v="5"/>
    <n v="1489"/>
    <n v="1265.6499999999999"/>
    <n v="549.12300000000005"/>
    <n v="516.17561999999998"/>
    <n v="549.12300000000005"/>
    <n v="516.17561999999998"/>
    <n v="0"/>
    <s v="CATIVO"/>
    <n v="0"/>
    <n v="2"/>
    <n v="3"/>
    <n v="49"/>
    <n v="16.64"/>
    <n v="76.75"/>
    <n v="307.08"/>
    <n v="18.929390865785848"/>
    <n v="152.59031948759403"/>
    <n v="313.20976164142951"/>
    <n v="3716.5440000000026"/>
    <n v="12646.192865400026"/>
    <n v="4227.8794498732714"/>
    <n v="15346.892276988798"/>
    <x v="2"/>
  </r>
  <r>
    <s v="Regular"/>
    <x v="0"/>
    <x v="0"/>
    <x v="2"/>
    <x v="1"/>
    <x v="1"/>
    <x v="0"/>
    <x v="0"/>
    <x v="6"/>
    <n v="1539"/>
    <n v="1308.1499999999999"/>
    <n v="638.077"/>
    <n v="599.79237999999998"/>
    <n v="638.077"/>
    <n v="599.79237999999998"/>
    <n v="0"/>
    <s v="CATIVO"/>
    <n v="0"/>
    <n v="2"/>
    <n v="3"/>
    <n v="49"/>
    <n v="16.64"/>
    <n v="76.75"/>
    <n v="307.08"/>
    <n v="18.929390865785848"/>
    <n v="152.59031948759403"/>
    <n v="313.20976164142951"/>
    <n v="3841.3440000000023"/>
    <n v="14694.785694600007"/>
    <n v="4369.8498813666656"/>
    <n v="17832.979101993846"/>
    <x v="2"/>
  </r>
  <r>
    <s v="Regular"/>
    <x v="0"/>
    <x v="0"/>
    <x v="2"/>
    <x v="1"/>
    <x v="1"/>
    <x v="0"/>
    <x v="0"/>
    <x v="7"/>
    <n v="1530"/>
    <n v="1300.5"/>
    <n v="609.19799999999998"/>
    <n v="572.64612"/>
    <n v="609.19799999999998"/>
    <n v="572.64612"/>
    <n v="0"/>
    <s v="CATIVO"/>
    <n v="0"/>
    <n v="2"/>
    <n v="3"/>
    <n v="49"/>
    <n v="16.64"/>
    <n v="76.75"/>
    <n v="307.08"/>
    <n v="18.929390865785848"/>
    <n v="152.59031948759403"/>
    <n v="313.20976164142951"/>
    <n v="3818.88"/>
    <n v="14029.708100399992"/>
    <n v="4344.2952036978522"/>
    <n v="17025.868669418323"/>
    <x v="2"/>
  </r>
  <r>
    <s v="Regular"/>
    <x v="0"/>
    <x v="0"/>
    <x v="2"/>
    <x v="1"/>
    <x v="1"/>
    <x v="0"/>
    <x v="0"/>
    <x v="8"/>
    <n v="1512"/>
    <n v="1285.2"/>
    <n v="633.83399999999995"/>
    <n v="595.80395999999996"/>
    <n v="633.83399999999995"/>
    <n v="595.80395999999996"/>
    <n v="0"/>
    <s v="CATIVO"/>
    <n v="0"/>
    <n v="2"/>
    <n v="3"/>
    <n v="49"/>
    <n v="16.64"/>
    <n v="76.75"/>
    <n v="307.08"/>
    <n v="18.929390865785848"/>
    <n v="152.59031948759403"/>
    <n v="313.20976164142951"/>
    <n v="3773.9519999999993"/>
    <n v="14597.070253199994"/>
    <n v="4293.1858483602291"/>
    <n v="17714.395717340005"/>
    <x v="2"/>
  </r>
  <r>
    <s v="Regular"/>
    <x v="0"/>
    <x v="0"/>
    <x v="2"/>
    <x v="1"/>
    <x v="1"/>
    <x v="0"/>
    <x v="0"/>
    <x v="9"/>
    <n v="1525"/>
    <n v="1296.25"/>
    <n v="599.97"/>
    <n v="563.97180000000003"/>
    <n v="599.97"/>
    <n v="563.97180000000003"/>
    <n v="0"/>
    <s v="CATIVO"/>
    <n v="0"/>
    <n v="2"/>
    <n v="3"/>
    <n v="49"/>
    <n v="16.64"/>
    <n v="76.75"/>
    <n v="307.08"/>
    <n v="18.929390865785848"/>
    <n v="152.59031948759403"/>
    <n v="313.20976164142951"/>
    <n v="3806.4"/>
    <n v="13817.189105999998"/>
    <n v="4330.0981605485131"/>
    <n v="16767.964480498813"/>
    <x v="2"/>
  </r>
  <r>
    <s v="Regular"/>
    <x v="0"/>
    <x v="0"/>
    <x v="2"/>
    <x v="1"/>
    <x v="1"/>
    <x v="0"/>
    <x v="0"/>
    <x v="10"/>
    <n v="1532"/>
    <n v="1302.2"/>
    <n v="638.24699999999996"/>
    <n v="599.95218"/>
    <n v="638.24699999999996"/>
    <n v="599.95218"/>
    <n v="0"/>
    <s v="CATIVO"/>
    <n v="0"/>
    <n v="2"/>
    <n v="3"/>
    <n v="49"/>
    <n v="16.64"/>
    <n v="76.75"/>
    <n v="307.08"/>
    <n v="18.929390865785848"/>
    <n v="152.59031948759403"/>
    <n v="313.20976164142951"/>
    <n v="3823.8719999999994"/>
    <n v="14698.700760599984"/>
    <n v="4349.9740209575866"/>
    <n v="17837.730262821333"/>
    <x v="2"/>
  </r>
  <r>
    <s v="PROJETADO"/>
    <x v="0"/>
    <x v="0"/>
    <x v="2"/>
    <x v="1"/>
    <x v="1"/>
    <x v="0"/>
    <x v="0"/>
    <x v="11"/>
    <n v="1532"/>
    <n v="1302.2"/>
    <n v="638.24699999999996"/>
    <n v="599.95218"/>
    <n v="638.24699999999996"/>
    <n v="599.95218"/>
    <n v="0"/>
    <s v="CATIVO"/>
    <n v="0"/>
    <n v="2"/>
    <n v="3"/>
    <n v="49"/>
    <n v="16.64"/>
    <n v="76.75"/>
    <n v="307.08"/>
    <n v="18.929390865785848"/>
    <n v="152.59031948759403"/>
    <n v="313.20976164142951"/>
    <n v="3823.8719999999994"/>
    <n v="14698.700760599984"/>
    <n v="4349.9740209575866"/>
    <n v="17837.730262821333"/>
    <x v="2"/>
  </r>
  <r>
    <s v="Regular"/>
    <x v="0"/>
    <x v="0"/>
    <x v="2"/>
    <x v="1"/>
    <x v="1"/>
    <x v="0"/>
    <x v="2"/>
    <x v="0"/>
    <n v="1506"/>
    <n v="1280.0999999999999"/>
    <n v="75.120999999999995"/>
    <n v="70.613740000000007"/>
    <n v="75.120999999999995"/>
    <n v="70.613740000000007"/>
    <n v="0"/>
    <s v="CATIVO"/>
    <n v="0"/>
    <n v="1"/>
    <n v="3"/>
    <n v="48"/>
    <n v="51.93"/>
    <n v="76.75"/>
    <n v="492.64"/>
    <n v="59.261942948611889"/>
    <n v="152.59031948759403"/>
    <n v="499.13928219176387"/>
    <n v="11730.987000000005"/>
    <n v="2566.3887713999934"/>
    <n v="13387.272912091432"/>
    <n v="2937.5147644652952"/>
    <x v="2"/>
  </r>
  <r>
    <s v="Regular"/>
    <x v="0"/>
    <x v="0"/>
    <x v="2"/>
    <x v="1"/>
    <x v="1"/>
    <x v="0"/>
    <x v="2"/>
    <x v="1"/>
    <n v="1525"/>
    <n v="1296.25"/>
    <n v="74.183999999999997"/>
    <n v="69.732960000000006"/>
    <n v="74.183999999999997"/>
    <n v="69.732960000000006"/>
    <n v="0"/>
    <s v="CATIVO"/>
    <n v="0"/>
    <n v="1"/>
    <n v="3"/>
    <n v="48"/>
    <n v="51.93"/>
    <n v="76.75"/>
    <n v="492.64"/>
    <n v="59.261942948611889"/>
    <n v="152.59031948759403"/>
    <n v="499.13928219176387"/>
    <n v="11878.987499999999"/>
    <n v="2534.3776655999955"/>
    <n v="13556.16944949497"/>
    <n v="2900.8745262588841"/>
    <x v="2"/>
  </r>
  <r>
    <s v="Regular"/>
    <x v="0"/>
    <x v="0"/>
    <x v="2"/>
    <x v="1"/>
    <x v="1"/>
    <x v="0"/>
    <x v="2"/>
    <x v="2"/>
    <n v="1461"/>
    <n v="1241.8499999999999"/>
    <n v="62.348999999999997"/>
    <n v="58.608060000000002"/>
    <n v="62.348999999999997"/>
    <n v="58.608060000000002"/>
    <n v="0"/>
    <s v="CATIVO"/>
    <n v="0"/>
    <n v="1"/>
    <n v="3"/>
    <n v="48"/>
    <n v="51.93"/>
    <n v="76.75"/>
    <n v="492.64"/>
    <n v="59.261942948611889"/>
    <n v="152.59031948759403"/>
    <n v="499.13928219176387"/>
    <n v="11380.459500000004"/>
    <n v="2130.0538265999971"/>
    <n v="12987.254797188301"/>
    <n v="2438.0813361063738"/>
    <x v="2"/>
  </r>
  <r>
    <s v="Refaturamento - Regular"/>
    <x v="0"/>
    <x v="0"/>
    <x v="2"/>
    <x v="1"/>
    <x v="1"/>
    <x v="0"/>
    <x v="2"/>
    <x v="2"/>
    <n v="-55"/>
    <n v="-46.75"/>
    <n v="-3.3559999999999999"/>
    <n v="-3.1546400000000001"/>
    <n v="-3.3559999999999999"/>
    <n v="-3.1546400000000001"/>
    <n v="0"/>
    <s v="CATIVO"/>
    <n v="0"/>
    <n v="1"/>
    <n v="3"/>
    <n v="48"/>
    <n v="51.93"/>
    <n v="76.75"/>
    <n v="492.64"/>
    <n v="59.261942948611889"/>
    <n v="152.59031948759403"/>
    <n v="499.13928219176387"/>
    <n v="-428.42250000000001"/>
    <n v="-114.65237039999987"/>
    <n v="-488.91102932604809"/>
    <n v="-131.23227259415535"/>
    <x v="2"/>
  </r>
  <r>
    <s v="Regular"/>
    <x v="0"/>
    <x v="0"/>
    <x v="2"/>
    <x v="1"/>
    <x v="1"/>
    <x v="0"/>
    <x v="2"/>
    <x v="3"/>
    <n v="1432"/>
    <n v="1217.2"/>
    <n v="75.16"/>
    <n v="70.650400000000005"/>
    <n v="75.16"/>
    <n v="70.650400000000005"/>
    <n v="0"/>
    <s v="CATIVO"/>
    <n v="0"/>
    <n v="1"/>
    <n v="3"/>
    <n v="48"/>
    <n v="51.93"/>
    <n v="76.75"/>
    <n v="492.64"/>
    <n v="59.261942948611889"/>
    <n v="152.59031948759403"/>
    <n v="499.13928219176387"/>
    <n v="11154.563999999998"/>
    <n v="2567.7211439999951"/>
    <n v="12729.46534536183"/>
    <n v="2939.039811733227"/>
    <x v="2"/>
  </r>
  <r>
    <s v="Regular"/>
    <x v="0"/>
    <x v="0"/>
    <x v="2"/>
    <x v="1"/>
    <x v="1"/>
    <x v="0"/>
    <x v="2"/>
    <x v="4"/>
    <n v="1480"/>
    <n v="1258"/>
    <n v="71.073999999999998"/>
    <n v="66.809560000000005"/>
    <n v="71.073999999999998"/>
    <n v="66.809560000000005"/>
    <n v="0"/>
    <s v="CATIVO"/>
    <n v="0"/>
    <n v="1"/>
    <n v="3"/>
    <n v="48"/>
    <n v="51.93"/>
    <n v="76.75"/>
    <n v="492.64"/>
    <n v="59.261942948611889"/>
    <n v="152.59031948759403"/>
    <n v="499.13928219176387"/>
    <n v="11528.46"/>
    <n v="2428.1294915999961"/>
    <n v="13156.151334591839"/>
    <n v="2779.2617825855168"/>
    <x v="2"/>
  </r>
  <r>
    <s v="Regular"/>
    <x v="0"/>
    <x v="0"/>
    <x v="2"/>
    <x v="1"/>
    <x v="1"/>
    <x v="0"/>
    <x v="2"/>
    <x v="5"/>
    <n v="1440"/>
    <n v="1224"/>
    <n v="67.515000000000001"/>
    <n v="63.464100000000002"/>
    <n v="67.515000000000001"/>
    <n v="63.464100000000002"/>
    <n v="0"/>
    <s v="CATIVO"/>
    <n v="0"/>
    <n v="1"/>
    <n v="3"/>
    <n v="48"/>
    <n v="51.93"/>
    <n v="76.75"/>
    <n v="492.64"/>
    <n v="59.261942948611889"/>
    <n v="152.59031948759403"/>
    <n v="499.13928219176387"/>
    <n v="11216.88"/>
    <n v="2306.5419509999992"/>
    <n v="12800.579676900168"/>
    <n v="2640.0914434429101"/>
    <x v="2"/>
  </r>
  <r>
    <s v="Regular"/>
    <x v="0"/>
    <x v="0"/>
    <x v="2"/>
    <x v="1"/>
    <x v="1"/>
    <x v="0"/>
    <x v="2"/>
    <x v="6"/>
    <n v="1483"/>
    <n v="1260.55"/>
    <n v="80.646000000000001"/>
    <n v="75.807239999999993"/>
    <n v="80.646000000000001"/>
    <n v="75.807239999999993"/>
    <n v="0"/>
    <s v="CATIVO"/>
    <n v="0"/>
    <n v="1"/>
    <n v="3"/>
    <n v="48"/>
    <n v="51.93"/>
    <n v="76.75"/>
    <n v="492.64"/>
    <n v="59.261942948611889"/>
    <n v="152.59031948759403"/>
    <n v="499.13928219176387"/>
    <n v="11551.828500000001"/>
    <n v="2755.1415564000044"/>
    <n v="13182.819208918718"/>
    <n v="3153.563127422015"/>
    <x v="2"/>
  </r>
  <r>
    <s v="Regular"/>
    <x v="0"/>
    <x v="0"/>
    <x v="2"/>
    <x v="1"/>
    <x v="1"/>
    <x v="0"/>
    <x v="2"/>
    <x v="7"/>
    <n v="1463"/>
    <n v="1243.55"/>
    <n v="75.522999999999996"/>
    <n v="70.991619999999998"/>
    <n v="75.522999999999996"/>
    <n v="70.991619999999998"/>
    <n v="0"/>
    <s v="CATIVO"/>
    <n v="0"/>
    <n v="1"/>
    <n v="3"/>
    <n v="48"/>
    <n v="51.93"/>
    <n v="76.75"/>
    <n v="492.64"/>
    <n v="59.261942948611889"/>
    <n v="152.59031948759403"/>
    <n v="499.13928219176387"/>
    <n v="11396.038500000002"/>
    <n v="2580.1224581999991"/>
    <n v="13005.033380072882"/>
    <n v="2953.2344824578081"/>
    <x v="2"/>
  </r>
  <r>
    <s v="Regular"/>
    <x v="0"/>
    <x v="0"/>
    <x v="2"/>
    <x v="1"/>
    <x v="1"/>
    <x v="0"/>
    <x v="2"/>
    <x v="8"/>
    <n v="1460"/>
    <n v="1241"/>
    <n v="72.590999999999994"/>
    <n v="68.23554"/>
    <n v="72.590999999999994"/>
    <n v="68.23554"/>
    <n v="0"/>
    <s v="CATIVO"/>
    <n v="0"/>
    <n v="1"/>
    <n v="3"/>
    <n v="48"/>
    <n v="51.93"/>
    <n v="76.75"/>
    <n v="492.64"/>
    <n v="59.261942948611889"/>
    <n v="152.59031948759403"/>
    <n v="499.13928219176387"/>
    <n v="11372.67"/>
    <n v="2479.9553693999965"/>
    <n v="12978.365505746004"/>
    <n v="2838.5822109303717"/>
    <x v="2"/>
  </r>
  <r>
    <s v="Regular"/>
    <x v="0"/>
    <x v="0"/>
    <x v="2"/>
    <x v="1"/>
    <x v="1"/>
    <x v="0"/>
    <x v="2"/>
    <x v="9"/>
    <n v="1439"/>
    <n v="1223.1499999999999"/>
    <n v="75.111000000000004"/>
    <n v="70.604339999999993"/>
    <n v="75.111000000000004"/>
    <n v="70.604339999999993"/>
    <n v="0"/>
    <s v="CATIVO"/>
    <n v="0"/>
    <n v="1"/>
    <n v="3"/>
    <n v="48"/>
    <n v="51.93"/>
    <n v="76.75"/>
    <n v="492.64"/>
    <n v="59.261942948611889"/>
    <n v="152.59031948759403"/>
    <n v="499.13928219176387"/>
    <n v="11209.090500000008"/>
    <n v="2566.0471374000062"/>
    <n v="12791.690385457885"/>
    <n v="2937.123726704302"/>
    <x v="2"/>
  </r>
  <r>
    <s v="Regular"/>
    <x v="0"/>
    <x v="0"/>
    <x v="2"/>
    <x v="1"/>
    <x v="1"/>
    <x v="0"/>
    <x v="2"/>
    <x v="10"/>
    <n v="1469"/>
    <n v="1248.6499999999999"/>
    <n v="76.551000000000002"/>
    <n v="71.957939999999994"/>
    <n v="76.551000000000002"/>
    <n v="71.957939999999994"/>
    <n v="0"/>
    <s v="CATIVO"/>
    <n v="0"/>
    <n v="1"/>
    <n v="3"/>
    <n v="48"/>
    <n v="51.93"/>
    <n v="76.75"/>
    <n v="492.64"/>
    <n v="59.261942948611889"/>
    <n v="152.59031948759403"/>
    <n v="499.13928219176387"/>
    <n v="11442.775500000007"/>
    <n v="2615.2424334000043"/>
    <n v="13058.369128726637"/>
    <n v="2993.4331642893967"/>
    <x v="2"/>
  </r>
  <r>
    <s v="PROJETADO"/>
    <x v="0"/>
    <x v="0"/>
    <x v="2"/>
    <x v="1"/>
    <x v="1"/>
    <x v="0"/>
    <x v="2"/>
    <x v="11"/>
    <n v="1469"/>
    <n v="1248.6499999999999"/>
    <n v="76.551000000000002"/>
    <n v="71.957939999999994"/>
    <n v="76.551000000000002"/>
    <n v="71.957939999999994"/>
    <n v="0"/>
    <s v="CATIVO"/>
    <n v="0"/>
    <n v="1"/>
    <n v="3"/>
    <n v="48"/>
    <n v="51.93"/>
    <n v="76.75"/>
    <n v="492.64"/>
    <n v="59.261942948611889"/>
    <n v="152.59031948759403"/>
    <n v="499.13928219176387"/>
    <n v="11442.775500000007"/>
    <n v="2615.2424334000043"/>
    <n v="13058.369128726637"/>
    <n v="2993.4331642893967"/>
    <x v="2"/>
  </r>
  <r>
    <s v="Regular"/>
    <x v="0"/>
    <x v="1"/>
    <x v="3"/>
    <x v="0"/>
    <x v="1"/>
    <x v="1"/>
    <x v="1"/>
    <x v="0"/>
    <n v="900"/>
    <n v="450"/>
    <n v="0"/>
    <n v="0"/>
    <n v="0"/>
    <n v="0"/>
    <n v="0"/>
    <s v="GERAÇÃO"/>
    <m/>
    <n v="5"/>
    <n v="0"/>
    <n v="0"/>
    <n v="11.13"/>
    <n v="0"/>
    <n v="0"/>
    <n v="12.167967906750091"/>
    <m/>
    <m/>
    <n v="5008.5"/>
    <n v="0"/>
    <n v="5475.585558037541"/>
    <n v="0"/>
    <x v="3"/>
  </r>
  <r>
    <s v="Regular"/>
    <x v="0"/>
    <x v="1"/>
    <x v="3"/>
    <x v="0"/>
    <x v="1"/>
    <x v="2"/>
    <x v="1"/>
    <x v="0"/>
    <n v="206"/>
    <n v="103"/>
    <n v="0"/>
    <n v="0"/>
    <n v="0"/>
    <n v="0"/>
    <n v="0"/>
    <s v="GERAÇÃO"/>
    <n v="491"/>
    <n v="5"/>
    <n v="0"/>
    <n v="0"/>
    <n v="11.13"/>
    <n v="0"/>
    <n v="0"/>
    <n v="12.167967906750091"/>
    <m/>
    <m/>
    <n v="1146.3900000000001"/>
    <n v="0"/>
    <n v="1253.3006943952594"/>
    <n v="0"/>
    <x v="3"/>
  </r>
  <r>
    <s v="Regular"/>
    <x v="0"/>
    <x v="1"/>
    <x v="3"/>
    <x v="0"/>
    <x v="1"/>
    <x v="3"/>
    <x v="1"/>
    <x v="0"/>
    <n v="240"/>
    <n v="120"/>
    <n v="0"/>
    <n v="0"/>
    <n v="0"/>
    <n v="0"/>
    <n v="0"/>
    <s v="GERAÇÃO"/>
    <n v="27182"/>
    <n v="5"/>
    <n v="0"/>
    <n v="0"/>
    <n v="11.13"/>
    <n v="0"/>
    <n v="0"/>
    <n v="12.167967906750091"/>
    <m/>
    <m/>
    <n v="1335.6000000000001"/>
    <n v="0"/>
    <n v="1460.156148810011"/>
    <n v="0"/>
    <x v="3"/>
  </r>
  <r>
    <s v="Regular"/>
    <x v="0"/>
    <x v="1"/>
    <x v="3"/>
    <x v="0"/>
    <x v="1"/>
    <x v="1"/>
    <x v="1"/>
    <x v="1"/>
    <n v="900"/>
    <n v="450"/>
    <n v="0"/>
    <n v="0"/>
    <n v="0"/>
    <n v="0"/>
    <n v="0"/>
    <s v="GERAÇÃO"/>
    <m/>
    <n v="5"/>
    <n v="0"/>
    <n v="0"/>
    <n v="11.13"/>
    <n v="0"/>
    <n v="0"/>
    <n v="12.167967906750091"/>
    <m/>
    <m/>
    <n v="5008.5"/>
    <n v="0"/>
    <n v="5475.585558037541"/>
    <n v="0"/>
    <x v="3"/>
  </r>
  <r>
    <s v="Regular"/>
    <x v="0"/>
    <x v="1"/>
    <x v="3"/>
    <x v="0"/>
    <x v="1"/>
    <x v="2"/>
    <x v="1"/>
    <x v="1"/>
    <n v="206"/>
    <n v="103"/>
    <n v="0"/>
    <n v="0"/>
    <n v="0"/>
    <n v="0"/>
    <n v="0"/>
    <s v="GERAÇÃO"/>
    <n v="491"/>
    <n v="5"/>
    <n v="0"/>
    <n v="0"/>
    <n v="11.13"/>
    <n v="0"/>
    <n v="0"/>
    <n v="12.167967906750091"/>
    <m/>
    <m/>
    <n v="1146.3900000000001"/>
    <n v="0"/>
    <n v="1253.3006943952594"/>
    <n v="0"/>
    <x v="3"/>
  </r>
  <r>
    <s v="Regular"/>
    <x v="0"/>
    <x v="1"/>
    <x v="3"/>
    <x v="0"/>
    <x v="1"/>
    <x v="3"/>
    <x v="1"/>
    <x v="1"/>
    <n v="240"/>
    <n v="120"/>
    <n v="0"/>
    <n v="0"/>
    <n v="0"/>
    <n v="0"/>
    <n v="0"/>
    <s v="GERAÇÃO"/>
    <n v="27182"/>
    <n v="5"/>
    <n v="0"/>
    <n v="0"/>
    <n v="11.13"/>
    <n v="0"/>
    <n v="0"/>
    <n v="12.167967906750091"/>
    <m/>
    <m/>
    <n v="1335.6000000000001"/>
    <n v="0"/>
    <n v="1460.156148810011"/>
    <n v="0"/>
    <x v="3"/>
  </r>
  <r>
    <s v="Regular"/>
    <x v="0"/>
    <x v="1"/>
    <x v="3"/>
    <x v="0"/>
    <x v="1"/>
    <x v="1"/>
    <x v="1"/>
    <x v="2"/>
    <n v="900"/>
    <n v="450"/>
    <n v="0"/>
    <n v="0"/>
    <n v="0"/>
    <n v="0"/>
    <n v="0"/>
    <s v="GERAÇÃO"/>
    <m/>
    <n v="5"/>
    <n v="0"/>
    <n v="0"/>
    <n v="11.13"/>
    <n v="0"/>
    <n v="0"/>
    <n v="12.167967906750091"/>
    <m/>
    <m/>
    <n v="5008.5"/>
    <n v="0"/>
    <n v="5475.585558037541"/>
    <n v="0"/>
    <x v="3"/>
  </r>
  <r>
    <s v="Regular"/>
    <x v="0"/>
    <x v="1"/>
    <x v="3"/>
    <x v="0"/>
    <x v="1"/>
    <x v="2"/>
    <x v="1"/>
    <x v="2"/>
    <n v="206"/>
    <n v="103"/>
    <n v="0"/>
    <n v="0"/>
    <n v="0"/>
    <n v="0"/>
    <n v="0"/>
    <s v="GERAÇÃO"/>
    <n v="491"/>
    <n v="5"/>
    <n v="0"/>
    <n v="0"/>
    <n v="11.13"/>
    <n v="0"/>
    <n v="0"/>
    <n v="12.167967906750091"/>
    <m/>
    <m/>
    <n v="1146.3900000000001"/>
    <n v="0"/>
    <n v="1253.3006943952594"/>
    <n v="0"/>
    <x v="3"/>
  </r>
  <r>
    <s v="Regular"/>
    <x v="0"/>
    <x v="1"/>
    <x v="3"/>
    <x v="0"/>
    <x v="1"/>
    <x v="3"/>
    <x v="1"/>
    <x v="2"/>
    <n v="240"/>
    <n v="120"/>
    <n v="0"/>
    <n v="0"/>
    <n v="0"/>
    <n v="0"/>
    <n v="0"/>
    <s v="GERAÇÃO"/>
    <n v="27182"/>
    <n v="5"/>
    <n v="0"/>
    <n v="0"/>
    <n v="11.13"/>
    <n v="0"/>
    <n v="0"/>
    <n v="12.167967906750091"/>
    <m/>
    <m/>
    <n v="1335.6000000000001"/>
    <n v="0"/>
    <n v="1460.156148810011"/>
    <n v="0"/>
    <x v="3"/>
  </r>
  <r>
    <s v="Regular"/>
    <x v="0"/>
    <x v="1"/>
    <x v="3"/>
    <x v="0"/>
    <x v="1"/>
    <x v="1"/>
    <x v="1"/>
    <x v="3"/>
    <n v="900"/>
    <n v="450"/>
    <n v="0"/>
    <n v="0"/>
    <n v="0"/>
    <n v="0"/>
    <n v="0"/>
    <s v="GERAÇÃO"/>
    <m/>
    <n v="5"/>
    <n v="0"/>
    <n v="0"/>
    <n v="11.13"/>
    <n v="0"/>
    <n v="0"/>
    <n v="12.167967906750091"/>
    <m/>
    <m/>
    <n v="5008.5"/>
    <n v="0"/>
    <n v="5475.585558037541"/>
    <n v="0"/>
    <x v="3"/>
  </r>
  <r>
    <s v="Regular"/>
    <x v="0"/>
    <x v="1"/>
    <x v="3"/>
    <x v="0"/>
    <x v="1"/>
    <x v="2"/>
    <x v="1"/>
    <x v="3"/>
    <n v="206"/>
    <n v="103"/>
    <n v="0"/>
    <n v="0"/>
    <n v="0"/>
    <n v="0"/>
    <n v="0"/>
    <s v="GERAÇÃO"/>
    <n v="491"/>
    <n v="5"/>
    <n v="0"/>
    <n v="0"/>
    <n v="11.13"/>
    <n v="0"/>
    <n v="0"/>
    <n v="12.167967906750091"/>
    <m/>
    <m/>
    <n v="1146.3900000000001"/>
    <n v="0"/>
    <n v="1253.3006943952594"/>
    <n v="0"/>
    <x v="3"/>
  </r>
  <r>
    <s v="Regular"/>
    <x v="0"/>
    <x v="1"/>
    <x v="3"/>
    <x v="0"/>
    <x v="1"/>
    <x v="3"/>
    <x v="1"/>
    <x v="3"/>
    <n v="240"/>
    <n v="120"/>
    <n v="0"/>
    <n v="0"/>
    <n v="0"/>
    <n v="0"/>
    <n v="0"/>
    <s v="GERAÇÃO"/>
    <n v="27182"/>
    <n v="5"/>
    <n v="0"/>
    <n v="0"/>
    <n v="11.13"/>
    <n v="0"/>
    <n v="0"/>
    <n v="12.167967906750091"/>
    <m/>
    <m/>
    <n v="1335.6000000000001"/>
    <n v="0"/>
    <n v="1460.156148810011"/>
    <n v="0"/>
    <x v="3"/>
  </r>
  <r>
    <s v="Regular"/>
    <x v="0"/>
    <x v="1"/>
    <x v="3"/>
    <x v="0"/>
    <x v="1"/>
    <x v="1"/>
    <x v="1"/>
    <x v="4"/>
    <n v="900"/>
    <n v="450"/>
    <n v="0"/>
    <n v="0"/>
    <n v="0"/>
    <n v="0"/>
    <n v="0"/>
    <s v="GERAÇÃO"/>
    <m/>
    <n v="5"/>
    <n v="0"/>
    <n v="0"/>
    <n v="11.13"/>
    <n v="0"/>
    <n v="0"/>
    <n v="12.167967906750091"/>
    <m/>
    <m/>
    <n v="5008.5"/>
    <n v="0"/>
    <n v="5475.585558037541"/>
    <n v="0"/>
    <x v="3"/>
  </r>
  <r>
    <s v="Regular"/>
    <x v="0"/>
    <x v="1"/>
    <x v="3"/>
    <x v="0"/>
    <x v="1"/>
    <x v="2"/>
    <x v="1"/>
    <x v="4"/>
    <n v="206"/>
    <n v="103"/>
    <n v="0"/>
    <n v="0"/>
    <n v="0"/>
    <n v="0"/>
    <n v="0"/>
    <s v="GERAÇÃO"/>
    <n v="491"/>
    <n v="5"/>
    <n v="0"/>
    <n v="0"/>
    <n v="11.13"/>
    <n v="0"/>
    <n v="0"/>
    <n v="12.167967906750091"/>
    <m/>
    <m/>
    <n v="1146.3900000000001"/>
    <n v="0"/>
    <n v="1253.3006943952594"/>
    <n v="0"/>
    <x v="3"/>
  </r>
  <r>
    <s v="Regular"/>
    <x v="0"/>
    <x v="1"/>
    <x v="3"/>
    <x v="0"/>
    <x v="1"/>
    <x v="3"/>
    <x v="1"/>
    <x v="4"/>
    <n v="240"/>
    <n v="120"/>
    <n v="0"/>
    <n v="0"/>
    <n v="0"/>
    <n v="0"/>
    <n v="0"/>
    <s v="GERAÇÃO"/>
    <n v="27182"/>
    <n v="5"/>
    <n v="0"/>
    <n v="0"/>
    <n v="11.13"/>
    <n v="0"/>
    <n v="0"/>
    <n v="12.167967906750091"/>
    <m/>
    <m/>
    <n v="1335.6000000000001"/>
    <n v="0"/>
    <n v="1460.156148810011"/>
    <n v="0"/>
    <x v="3"/>
  </r>
  <r>
    <s v="Regular"/>
    <x v="0"/>
    <x v="1"/>
    <x v="3"/>
    <x v="0"/>
    <x v="1"/>
    <x v="1"/>
    <x v="1"/>
    <x v="5"/>
    <n v="900"/>
    <n v="450"/>
    <n v="0"/>
    <n v="0"/>
    <n v="0"/>
    <n v="0"/>
    <n v="0"/>
    <s v="GERAÇÃO"/>
    <m/>
    <n v="5"/>
    <n v="0"/>
    <n v="0"/>
    <n v="11.13"/>
    <n v="0"/>
    <n v="0"/>
    <n v="12.167967906750091"/>
    <m/>
    <m/>
    <n v="5008.5"/>
    <n v="0"/>
    <n v="5475.585558037541"/>
    <n v="0"/>
    <x v="3"/>
  </r>
  <r>
    <s v="Regular"/>
    <x v="0"/>
    <x v="1"/>
    <x v="3"/>
    <x v="0"/>
    <x v="1"/>
    <x v="2"/>
    <x v="1"/>
    <x v="5"/>
    <n v="206"/>
    <n v="103"/>
    <n v="0"/>
    <n v="0"/>
    <n v="0"/>
    <n v="0"/>
    <n v="0"/>
    <s v="GERAÇÃO"/>
    <n v="491"/>
    <n v="5"/>
    <n v="0"/>
    <n v="0"/>
    <n v="11.13"/>
    <n v="0"/>
    <n v="0"/>
    <n v="12.167967906750091"/>
    <m/>
    <m/>
    <n v="1146.3900000000001"/>
    <n v="0"/>
    <n v="1253.3006943952594"/>
    <n v="0"/>
    <x v="3"/>
  </r>
  <r>
    <s v="Regular"/>
    <x v="0"/>
    <x v="1"/>
    <x v="3"/>
    <x v="0"/>
    <x v="1"/>
    <x v="3"/>
    <x v="1"/>
    <x v="5"/>
    <n v="240"/>
    <n v="120"/>
    <n v="0"/>
    <n v="0"/>
    <n v="0"/>
    <n v="0"/>
    <n v="0"/>
    <s v="GERAÇÃO"/>
    <n v="27182"/>
    <n v="5"/>
    <n v="0"/>
    <n v="0"/>
    <n v="11.13"/>
    <n v="0"/>
    <n v="0"/>
    <n v="12.167967906750091"/>
    <m/>
    <m/>
    <n v="1335.6000000000001"/>
    <n v="0"/>
    <n v="1460.156148810011"/>
    <n v="0"/>
    <x v="3"/>
  </r>
  <r>
    <s v="Regular"/>
    <x v="0"/>
    <x v="1"/>
    <x v="3"/>
    <x v="0"/>
    <x v="1"/>
    <x v="1"/>
    <x v="1"/>
    <x v="6"/>
    <n v="900"/>
    <n v="450"/>
    <n v="0"/>
    <n v="0"/>
    <n v="0"/>
    <n v="0"/>
    <n v="0"/>
    <s v="GERAÇÃO"/>
    <m/>
    <n v="5"/>
    <n v="0"/>
    <n v="0"/>
    <n v="11.13"/>
    <n v="0"/>
    <n v="0"/>
    <n v="12.167967906750091"/>
    <m/>
    <m/>
    <n v="5008.5"/>
    <n v="0"/>
    <n v="5475.585558037541"/>
    <n v="0"/>
    <x v="3"/>
  </r>
  <r>
    <s v="Regular"/>
    <x v="0"/>
    <x v="1"/>
    <x v="3"/>
    <x v="0"/>
    <x v="1"/>
    <x v="2"/>
    <x v="1"/>
    <x v="6"/>
    <n v="206"/>
    <n v="103"/>
    <n v="0"/>
    <n v="0"/>
    <n v="0"/>
    <n v="0"/>
    <n v="0"/>
    <s v="GERAÇÃO"/>
    <n v="491"/>
    <n v="5"/>
    <n v="0"/>
    <n v="0"/>
    <n v="11.13"/>
    <n v="0"/>
    <n v="0"/>
    <n v="12.167967906750091"/>
    <m/>
    <m/>
    <n v="1146.3900000000001"/>
    <n v="0"/>
    <n v="1253.3006943952594"/>
    <n v="0"/>
    <x v="3"/>
  </r>
  <r>
    <s v="Regular"/>
    <x v="0"/>
    <x v="1"/>
    <x v="3"/>
    <x v="0"/>
    <x v="1"/>
    <x v="3"/>
    <x v="1"/>
    <x v="6"/>
    <n v="240"/>
    <n v="120"/>
    <n v="0"/>
    <n v="0"/>
    <n v="0"/>
    <n v="0"/>
    <n v="0"/>
    <s v="GERAÇÃO"/>
    <n v="27182"/>
    <n v="5"/>
    <n v="0"/>
    <n v="0"/>
    <n v="11.13"/>
    <n v="0"/>
    <n v="0"/>
    <n v="12.167967906750091"/>
    <m/>
    <m/>
    <n v="1335.6000000000001"/>
    <n v="0"/>
    <n v="1460.156148810011"/>
    <n v="0"/>
    <x v="3"/>
  </r>
  <r>
    <s v="Regular"/>
    <x v="0"/>
    <x v="1"/>
    <x v="3"/>
    <x v="0"/>
    <x v="1"/>
    <x v="1"/>
    <x v="1"/>
    <x v="7"/>
    <n v="900"/>
    <n v="450"/>
    <n v="0"/>
    <n v="0"/>
    <n v="0"/>
    <n v="0"/>
    <n v="0"/>
    <s v="GERAÇÃO"/>
    <m/>
    <n v="5"/>
    <n v="0"/>
    <n v="0"/>
    <n v="11.13"/>
    <n v="0"/>
    <n v="0"/>
    <n v="12.167967906750091"/>
    <m/>
    <m/>
    <n v="5008.5"/>
    <n v="0"/>
    <n v="5475.585558037541"/>
    <n v="0"/>
    <x v="3"/>
  </r>
  <r>
    <s v="Regular"/>
    <x v="0"/>
    <x v="1"/>
    <x v="3"/>
    <x v="0"/>
    <x v="1"/>
    <x v="2"/>
    <x v="1"/>
    <x v="7"/>
    <n v="206"/>
    <n v="103"/>
    <n v="0"/>
    <n v="0"/>
    <n v="0"/>
    <n v="0"/>
    <n v="0"/>
    <s v="GERAÇÃO"/>
    <n v="491"/>
    <n v="5"/>
    <n v="0"/>
    <n v="0"/>
    <n v="11.13"/>
    <n v="0"/>
    <n v="0"/>
    <n v="12.167967906750091"/>
    <m/>
    <m/>
    <n v="1146.3900000000001"/>
    <n v="0"/>
    <n v="1253.3006943952594"/>
    <n v="0"/>
    <x v="3"/>
  </r>
  <r>
    <s v="Regular"/>
    <x v="0"/>
    <x v="1"/>
    <x v="3"/>
    <x v="0"/>
    <x v="1"/>
    <x v="3"/>
    <x v="1"/>
    <x v="7"/>
    <n v="240"/>
    <n v="120"/>
    <n v="0"/>
    <n v="0"/>
    <n v="0"/>
    <n v="0"/>
    <n v="0"/>
    <s v="GERAÇÃO"/>
    <n v="27182"/>
    <n v="5"/>
    <n v="0"/>
    <n v="0"/>
    <n v="11.13"/>
    <n v="0"/>
    <n v="0"/>
    <n v="12.167967906750091"/>
    <m/>
    <m/>
    <n v="1335.6000000000001"/>
    <n v="0"/>
    <n v="1460.156148810011"/>
    <n v="0"/>
    <x v="3"/>
  </r>
  <r>
    <s v="Regular"/>
    <x v="0"/>
    <x v="1"/>
    <x v="3"/>
    <x v="0"/>
    <x v="1"/>
    <x v="1"/>
    <x v="1"/>
    <x v="8"/>
    <n v="900"/>
    <n v="450"/>
    <n v="0"/>
    <n v="0"/>
    <n v="0"/>
    <n v="0"/>
    <n v="0"/>
    <s v="GERAÇÃO"/>
    <m/>
    <n v="5"/>
    <n v="0"/>
    <n v="0"/>
    <n v="11.13"/>
    <n v="0"/>
    <n v="0"/>
    <n v="12.167967906750091"/>
    <m/>
    <m/>
    <n v="5008.5"/>
    <n v="0"/>
    <n v="5475.585558037541"/>
    <n v="0"/>
    <x v="3"/>
  </r>
  <r>
    <s v="Regular"/>
    <x v="0"/>
    <x v="1"/>
    <x v="3"/>
    <x v="0"/>
    <x v="1"/>
    <x v="2"/>
    <x v="1"/>
    <x v="8"/>
    <n v="206"/>
    <n v="103"/>
    <n v="0"/>
    <n v="0"/>
    <n v="0"/>
    <n v="0"/>
    <n v="0"/>
    <s v="GERAÇÃO"/>
    <n v="491"/>
    <n v="5"/>
    <n v="0"/>
    <n v="0"/>
    <n v="11.13"/>
    <n v="0"/>
    <n v="0"/>
    <n v="12.167967906750091"/>
    <m/>
    <m/>
    <n v="1146.3900000000001"/>
    <n v="0"/>
    <n v="1253.3006943952594"/>
    <n v="0"/>
    <x v="3"/>
  </r>
  <r>
    <s v="Regular"/>
    <x v="0"/>
    <x v="1"/>
    <x v="3"/>
    <x v="0"/>
    <x v="1"/>
    <x v="3"/>
    <x v="1"/>
    <x v="8"/>
    <n v="240"/>
    <n v="120"/>
    <n v="0"/>
    <n v="0"/>
    <n v="0"/>
    <n v="0"/>
    <n v="0"/>
    <s v="GERAÇÃO"/>
    <n v="27182"/>
    <n v="5"/>
    <n v="0"/>
    <n v="0"/>
    <n v="11.13"/>
    <n v="0"/>
    <n v="0"/>
    <n v="12.167967906750091"/>
    <m/>
    <m/>
    <n v="1335.6000000000001"/>
    <n v="0"/>
    <n v="1460.156148810011"/>
    <n v="0"/>
    <x v="3"/>
  </r>
  <r>
    <s v="Regular"/>
    <x v="0"/>
    <x v="1"/>
    <x v="3"/>
    <x v="0"/>
    <x v="1"/>
    <x v="1"/>
    <x v="1"/>
    <x v="9"/>
    <n v="900"/>
    <n v="450"/>
    <n v="0"/>
    <n v="0"/>
    <n v="0"/>
    <n v="0"/>
    <n v="0"/>
    <s v="GERAÇÃO"/>
    <m/>
    <n v="5"/>
    <n v="0"/>
    <n v="0"/>
    <n v="11.13"/>
    <n v="0"/>
    <n v="0"/>
    <n v="12.167967906750091"/>
    <m/>
    <m/>
    <n v="5008.5"/>
    <n v="0"/>
    <n v="5475.585558037541"/>
    <n v="0"/>
    <x v="3"/>
  </r>
  <r>
    <s v="Regular"/>
    <x v="0"/>
    <x v="1"/>
    <x v="3"/>
    <x v="0"/>
    <x v="1"/>
    <x v="2"/>
    <x v="1"/>
    <x v="9"/>
    <n v="206"/>
    <n v="103"/>
    <n v="0"/>
    <n v="0"/>
    <n v="0"/>
    <n v="0"/>
    <n v="0"/>
    <s v="GERAÇÃO"/>
    <n v="491"/>
    <n v="5"/>
    <n v="0"/>
    <n v="0"/>
    <n v="11.13"/>
    <n v="0"/>
    <n v="0"/>
    <n v="12.167967906750091"/>
    <m/>
    <m/>
    <n v="1146.3900000000001"/>
    <n v="0"/>
    <n v="1253.3006943952594"/>
    <n v="0"/>
    <x v="3"/>
  </r>
  <r>
    <s v="Regular"/>
    <x v="0"/>
    <x v="1"/>
    <x v="3"/>
    <x v="0"/>
    <x v="1"/>
    <x v="3"/>
    <x v="1"/>
    <x v="9"/>
    <n v="240"/>
    <n v="120"/>
    <n v="0"/>
    <n v="0"/>
    <n v="0"/>
    <n v="0"/>
    <n v="0"/>
    <s v="GERAÇÃO"/>
    <n v="27182"/>
    <n v="5"/>
    <n v="0"/>
    <n v="0"/>
    <n v="11.13"/>
    <n v="0"/>
    <n v="0"/>
    <n v="12.167967906750091"/>
    <m/>
    <m/>
    <n v="1335.6000000000001"/>
    <n v="0"/>
    <n v="1460.156148810011"/>
    <n v="0"/>
    <x v="3"/>
  </r>
  <r>
    <s v="Regular"/>
    <x v="0"/>
    <x v="1"/>
    <x v="3"/>
    <x v="0"/>
    <x v="1"/>
    <x v="1"/>
    <x v="1"/>
    <x v="10"/>
    <n v="900"/>
    <n v="450"/>
    <n v="0"/>
    <n v="0"/>
    <n v="0"/>
    <n v="0"/>
    <n v="0"/>
    <s v="GERAÇÃO"/>
    <m/>
    <n v="5"/>
    <n v="0"/>
    <n v="0"/>
    <n v="11.13"/>
    <n v="0"/>
    <n v="0"/>
    <n v="12.167967906750091"/>
    <m/>
    <m/>
    <n v="5008.5"/>
    <n v="0"/>
    <n v="5475.585558037541"/>
    <n v="0"/>
    <x v="3"/>
  </r>
  <r>
    <s v="Regular"/>
    <x v="0"/>
    <x v="1"/>
    <x v="3"/>
    <x v="0"/>
    <x v="1"/>
    <x v="2"/>
    <x v="1"/>
    <x v="10"/>
    <n v="206"/>
    <n v="103"/>
    <n v="0"/>
    <n v="0"/>
    <n v="0"/>
    <n v="0"/>
    <n v="0"/>
    <s v="GERAÇÃO"/>
    <n v="491"/>
    <n v="5"/>
    <n v="0"/>
    <n v="0"/>
    <n v="11.13"/>
    <n v="0"/>
    <n v="0"/>
    <n v="12.167967906750091"/>
    <m/>
    <m/>
    <n v="1146.3900000000001"/>
    <n v="0"/>
    <n v="1253.3006943952594"/>
    <n v="0"/>
    <x v="3"/>
  </r>
  <r>
    <s v="Regular"/>
    <x v="0"/>
    <x v="1"/>
    <x v="3"/>
    <x v="0"/>
    <x v="1"/>
    <x v="3"/>
    <x v="1"/>
    <x v="10"/>
    <n v="240"/>
    <n v="120"/>
    <n v="0"/>
    <n v="0"/>
    <n v="0"/>
    <n v="0"/>
    <n v="0"/>
    <s v="GERAÇÃO"/>
    <n v="27182"/>
    <n v="5"/>
    <n v="0"/>
    <n v="0"/>
    <n v="11.13"/>
    <n v="0"/>
    <n v="0"/>
    <n v="12.167967906750091"/>
    <m/>
    <m/>
    <n v="1335.6000000000001"/>
    <n v="0"/>
    <n v="1460.156148810011"/>
    <n v="0"/>
    <x v="3"/>
  </r>
  <r>
    <s v="PROJETADO"/>
    <x v="0"/>
    <x v="1"/>
    <x v="3"/>
    <x v="0"/>
    <x v="1"/>
    <x v="1"/>
    <x v="1"/>
    <x v="11"/>
    <n v="900"/>
    <n v="450"/>
    <n v="0"/>
    <n v="0"/>
    <n v="0"/>
    <n v="0"/>
    <n v="0"/>
    <s v="GERAÇÃO"/>
    <m/>
    <n v="5"/>
    <n v="0"/>
    <n v="0"/>
    <n v="11.13"/>
    <n v="0"/>
    <n v="0"/>
    <n v="12.167967906750091"/>
    <m/>
    <m/>
    <n v="5008.5"/>
    <n v="0"/>
    <n v="5475.585558037541"/>
    <n v="0"/>
    <x v="3"/>
  </r>
  <r>
    <s v="PROJETADO"/>
    <x v="0"/>
    <x v="1"/>
    <x v="3"/>
    <x v="0"/>
    <x v="1"/>
    <x v="2"/>
    <x v="1"/>
    <x v="11"/>
    <n v="206"/>
    <n v="103"/>
    <n v="0"/>
    <n v="0"/>
    <n v="0"/>
    <n v="0"/>
    <n v="0"/>
    <s v="GERAÇÃO"/>
    <n v="491"/>
    <n v="5"/>
    <n v="0"/>
    <n v="0"/>
    <n v="11.13"/>
    <n v="0"/>
    <n v="0"/>
    <n v="12.167967906750091"/>
    <m/>
    <m/>
    <n v="1146.3900000000001"/>
    <n v="0"/>
    <n v="1253.3006943952594"/>
    <n v="0"/>
    <x v="3"/>
  </r>
  <r>
    <s v="PROJETADO"/>
    <x v="0"/>
    <x v="1"/>
    <x v="3"/>
    <x v="0"/>
    <x v="1"/>
    <x v="3"/>
    <x v="1"/>
    <x v="11"/>
    <n v="240"/>
    <n v="120"/>
    <n v="0"/>
    <n v="0"/>
    <n v="0"/>
    <n v="0"/>
    <n v="0"/>
    <s v="GERAÇÃO"/>
    <n v="27182"/>
    <n v="5"/>
    <n v="0"/>
    <n v="0"/>
    <n v="11.13"/>
    <n v="0"/>
    <n v="0"/>
    <n v="12.167967906750091"/>
    <m/>
    <m/>
    <n v="1335.6000000000001"/>
    <n v="0"/>
    <n v="1460.156148810011"/>
    <n v="0"/>
    <x v="3"/>
  </r>
  <r>
    <s v="Regular"/>
    <x v="0"/>
    <x v="2"/>
    <x v="0"/>
    <x v="0"/>
    <x v="0"/>
    <x v="0"/>
    <x v="0"/>
    <x v="0"/>
    <n v="0"/>
    <n v="0"/>
    <n v="4917.8190000000004"/>
    <n v="4917.8190000000004"/>
    <n v="0"/>
    <n v="0"/>
    <n v="0"/>
    <s v="LIVRE"/>
    <n v="0"/>
    <n v="0"/>
    <n v="8"/>
    <n v="0"/>
    <n v="0"/>
    <n v="76.75"/>
    <n v="0"/>
    <m/>
    <n v="152.59031948759403"/>
    <m/>
    <n v="0"/>
    <n v="0"/>
    <n v="0"/>
    <n v="0"/>
    <x v="0"/>
  </r>
  <r>
    <s v="Regular"/>
    <x v="0"/>
    <x v="2"/>
    <x v="0"/>
    <x v="0"/>
    <x v="0"/>
    <x v="0"/>
    <x v="0"/>
    <x v="1"/>
    <n v="0"/>
    <n v="0"/>
    <n v="4294.4759999999997"/>
    <n v="4294.4759999999997"/>
    <n v="0"/>
    <n v="0"/>
    <n v="0"/>
    <s v="LIVRE"/>
    <n v="0"/>
    <n v="0"/>
    <n v="8"/>
    <n v="0"/>
    <n v="0"/>
    <n v="76.75"/>
    <n v="0"/>
    <m/>
    <n v="152.59031948759403"/>
    <m/>
    <n v="0"/>
    <n v="0"/>
    <n v="0"/>
    <n v="0"/>
    <x v="0"/>
  </r>
  <r>
    <s v="Regular"/>
    <x v="0"/>
    <x v="2"/>
    <x v="0"/>
    <x v="0"/>
    <x v="0"/>
    <x v="0"/>
    <x v="0"/>
    <x v="2"/>
    <n v="0"/>
    <n v="0"/>
    <n v="5014.2629999999999"/>
    <n v="5014.2629999999999"/>
    <n v="0"/>
    <n v="0"/>
    <n v="0"/>
    <s v="LIVRE"/>
    <n v="0"/>
    <n v="0"/>
    <n v="8"/>
    <n v="0"/>
    <n v="0"/>
    <n v="76.75"/>
    <n v="0"/>
    <m/>
    <n v="152.59031948759403"/>
    <m/>
    <n v="0"/>
    <n v="0"/>
    <n v="0"/>
    <n v="0"/>
    <x v="0"/>
  </r>
  <r>
    <s v="Regular"/>
    <x v="0"/>
    <x v="2"/>
    <x v="0"/>
    <x v="0"/>
    <x v="0"/>
    <x v="0"/>
    <x v="0"/>
    <x v="3"/>
    <n v="0"/>
    <n v="0"/>
    <n v="4730.07"/>
    <n v="4730.07"/>
    <n v="0"/>
    <n v="0"/>
    <n v="0"/>
    <s v="LIVRE"/>
    <n v="0"/>
    <n v="0"/>
    <n v="8"/>
    <n v="0"/>
    <n v="0"/>
    <n v="76.75"/>
    <n v="0"/>
    <m/>
    <n v="152.59031948759403"/>
    <m/>
    <n v="0"/>
    <n v="0"/>
    <n v="0"/>
    <n v="0"/>
    <x v="0"/>
  </r>
  <r>
    <s v="Regular"/>
    <x v="0"/>
    <x v="2"/>
    <x v="0"/>
    <x v="0"/>
    <x v="0"/>
    <x v="0"/>
    <x v="0"/>
    <x v="4"/>
    <n v="0"/>
    <n v="0"/>
    <n v="3935.3119999999999"/>
    <n v="3935.3119999999999"/>
    <n v="0"/>
    <n v="0"/>
    <n v="0"/>
    <s v="LIVRE"/>
    <n v="0"/>
    <n v="0"/>
    <n v="8"/>
    <n v="0"/>
    <n v="0"/>
    <n v="76.75"/>
    <n v="0"/>
    <m/>
    <n v="152.59031948759403"/>
    <m/>
    <n v="0"/>
    <n v="0"/>
    <n v="0"/>
    <n v="0"/>
    <x v="0"/>
  </r>
  <r>
    <s v="Regular"/>
    <x v="0"/>
    <x v="2"/>
    <x v="0"/>
    <x v="0"/>
    <x v="0"/>
    <x v="0"/>
    <x v="0"/>
    <x v="5"/>
    <n v="0"/>
    <n v="0"/>
    <n v="4947.4979999999996"/>
    <n v="4947.4979999999996"/>
    <n v="0"/>
    <n v="0"/>
    <n v="0"/>
    <s v="LIVRE"/>
    <n v="0"/>
    <n v="0"/>
    <n v="8"/>
    <n v="0"/>
    <n v="0"/>
    <n v="76.75"/>
    <n v="0"/>
    <m/>
    <n v="152.59031948759403"/>
    <m/>
    <n v="0"/>
    <n v="0"/>
    <n v="0"/>
    <n v="0"/>
    <x v="0"/>
  </r>
  <r>
    <s v="Regular"/>
    <x v="0"/>
    <x v="2"/>
    <x v="0"/>
    <x v="0"/>
    <x v="0"/>
    <x v="0"/>
    <x v="0"/>
    <x v="6"/>
    <n v="0"/>
    <n v="0"/>
    <n v="4743.59"/>
    <n v="4743.59"/>
    <n v="0"/>
    <n v="0"/>
    <n v="0"/>
    <s v="LIVRE"/>
    <n v="0"/>
    <n v="0"/>
    <n v="8"/>
    <n v="0"/>
    <n v="0"/>
    <n v="76.75"/>
    <n v="0"/>
    <m/>
    <n v="152.59031948759403"/>
    <m/>
    <n v="0"/>
    <n v="0"/>
    <n v="0"/>
    <n v="0"/>
    <x v="0"/>
  </r>
  <r>
    <s v="Regular"/>
    <x v="0"/>
    <x v="2"/>
    <x v="0"/>
    <x v="0"/>
    <x v="0"/>
    <x v="0"/>
    <x v="0"/>
    <x v="7"/>
    <n v="0"/>
    <n v="0"/>
    <n v="5303.4009999999998"/>
    <n v="5303.4009999999998"/>
    <n v="0"/>
    <n v="0"/>
    <n v="0"/>
    <s v="LIVRE"/>
    <n v="0"/>
    <n v="0"/>
    <n v="8"/>
    <n v="0"/>
    <n v="0"/>
    <n v="76.75"/>
    <n v="0"/>
    <m/>
    <n v="152.59031948759403"/>
    <m/>
    <n v="0"/>
    <n v="0"/>
    <n v="0"/>
    <n v="0"/>
    <x v="0"/>
  </r>
  <r>
    <s v="Regular"/>
    <x v="0"/>
    <x v="2"/>
    <x v="0"/>
    <x v="0"/>
    <x v="0"/>
    <x v="0"/>
    <x v="0"/>
    <x v="8"/>
    <n v="0"/>
    <n v="0"/>
    <n v="5072.4949999999999"/>
    <n v="5072.4949999999999"/>
    <n v="0"/>
    <n v="0"/>
    <n v="0"/>
    <s v="LIVRE"/>
    <n v="0"/>
    <n v="0"/>
    <n v="8"/>
    <n v="0"/>
    <n v="0"/>
    <n v="76.75"/>
    <n v="0"/>
    <m/>
    <n v="152.59031948759403"/>
    <m/>
    <n v="0"/>
    <n v="0"/>
    <n v="0"/>
    <n v="0"/>
    <x v="0"/>
  </r>
  <r>
    <s v="Regular"/>
    <x v="0"/>
    <x v="2"/>
    <x v="0"/>
    <x v="0"/>
    <x v="0"/>
    <x v="0"/>
    <x v="0"/>
    <x v="9"/>
    <n v="0"/>
    <n v="0"/>
    <n v="5200.8019999999997"/>
    <n v="5200.8019999999997"/>
    <n v="0"/>
    <n v="0"/>
    <n v="0"/>
    <s v="LIVRE"/>
    <n v="0"/>
    <n v="0"/>
    <n v="8"/>
    <n v="0"/>
    <n v="0"/>
    <n v="76.75"/>
    <n v="0"/>
    <m/>
    <n v="152.59031948759403"/>
    <m/>
    <n v="0"/>
    <n v="0"/>
    <n v="0"/>
    <n v="0"/>
    <x v="0"/>
  </r>
  <r>
    <s v="Regular"/>
    <x v="0"/>
    <x v="2"/>
    <x v="0"/>
    <x v="0"/>
    <x v="0"/>
    <x v="0"/>
    <x v="0"/>
    <x v="10"/>
    <n v="0"/>
    <n v="0"/>
    <n v="5294.7"/>
    <n v="5294.7"/>
    <n v="0"/>
    <n v="0"/>
    <n v="0"/>
    <s v="LIVRE"/>
    <n v="0"/>
    <n v="0"/>
    <n v="8"/>
    <n v="0"/>
    <n v="0"/>
    <n v="76.75"/>
    <n v="0"/>
    <m/>
    <n v="152.59031948759403"/>
    <m/>
    <n v="0"/>
    <n v="0"/>
    <n v="0"/>
    <n v="0"/>
    <x v="0"/>
  </r>
  <r>
    <s v="PROJETADO"/>
    <x v="0"/>
    <x v="2"/>
    <x v="0"/>
    <x v="0"/>
    <x v="0"/>
    <x v="0"/>
    <x v="0"/>
    <x v="11"/>
    <n v="0"/>
    <n v="0"/>
    <n v="5294.7"/>
    <n v="5294.7"/>
    <n v="0"/>
    <n v="0"/>
    <n v="0"/>
    <s v="LIVRE"/>
    <n v="0"/>
    <n v="0"/>
    <n v="8"/>
    <n v="0"/>
    <n v="0"/>
    <n v="76.75"/>
    <n v="0"/>
    <m/>
    <n v="152.59031948759403"/>
    <m/>
    <n v="0"/>
    <n v="0"/>
    <n v="0"/>
    <n v="0"/>
    <x v="0"/>
  </r>
  <r>
    <s v="Regular"/>
    <x v="0"/>
    <x v="2"/>
    <x v="0"/>
    <x v="0"/>
    <x v="0"/>
    <x v="0"/>
    <x v="1"/>
    <x v="0"/>
    <n v="20320"/>
    <n v="7782.56"/>
    <n v="0"/>
    <n v="0"/>
    <n v="0"/>
    <n v="0"/>
    <n v="40"/>
    <s v="LIVRE"/>
    <n v="0"/>
    <n v="6"/>
    <n v="0"/>
    <n v="0"/>
    <n v="16.64"/>
    <n v="0"/>
    <n v="0"/>
    <n v="18.929390865785848"/>
    <m/>
    <m/>
    <n v="208623.00159999999"/>
    <n v="0"/>
    <n v="237326.1022163381"/>
    <n v="0"/>
    <x v="0"/>
  </r>
  <r>
    <s v="Regular"/>
    <x v="0"/>
    <x v="2"/>
    <x v="0"/>
    <x v="0"/>
    <x v="0"/>
    <x v="0"/>
    <x v="1"/>
    <x v="1"/>
    <n v="20701"/>
    <n v="7669.7205000000004"/>
    <n v="0"/>
    <n v="0"/>
    <n v="0"/>
    <n v="0"/>
    <n v="40"/>
    <s v="LIVRE"/>
    <n v="0"/>
    <n v="6"/>
    <n v="0"/>
    <n v="0"/>
    <n v="16.64"/>
    <n v="0"/>
    <n v="0"/>
    <n v="18.929390865785848"/>
    <m/>
    <m/>
    <n v="216840.49088000003"/>
    <n v="0"/>
    <n v="246674.18313680237"/>
    <n v="0"/>
    <x v="0"/>
  </r>
  <r>
    <s v="Regular"/>
    <x v="0"/>
    <x v="2"/>
    <x v="0"/>
    <x v="0"/>
    <x v="0"/>
    <x v="0"/>
    <x v="1"/>
    <x v="2"/>
    <n v="20629"/>
    <n v="7564.6543000000001"/>
    <n v="0"/>
    <n v="0"/>
    <n v="0"/>
    <n v="0"/>
    <n v="40"/>
    <s v="LIVRE"/>
    <n v="0"/>
    <n v="6"/>
    <n v="0"/>
    <n v="0"/>
    <n v="16.64"/>
    <n v="0"/>
    <n v="0"/>
    <n v="18.929390865785848"/>
    <m/>
    <m/>
    <n v="217390.71244800001"/>
    <n v="0"/>
    <n v="247300.10616104861"/>
    <n v="0"/>
    <x v="0"/>
  </r>
  <r>
    <s v="Regular"/>
    <x v="0"/>
    <x v="2"/>
    <x v="0"/>
    <x v="0"/>
    <x v="0"/>
    <x v="0"/>
    <x v="1"/>
    <x v="3"/>
    <n v="20795"/>
    <n v="7914.5770000000002"/>
    <n v="0"/>
    <n v="0"/>
    <n v="0"/>
    <n v="0"/>
    <n v="40"/>
    <s v="LIVRE"/>
    <n v="0"/>
    <n v="6"/>
    <n v="0"/>
    <n v="0"/>
    <n v="16.64"/>
    <n v="0"/>
    <n v="0"/>
    <n v="18.929390865785848"/>
    <m/>
    <m/>
    <n v="214330.23871999999"/>
    <n v="0"/>
    <n v="243818.56148365792"/>
    <n v="0"/>
    <x v="0"/>
  </r>
  <r>
    <s v="Regular"/>
    <x v="0"/>
    <x v="2"/>
    <x v="0"/>
    <x v="0"/>
    <x v="0"/>
    <x v="0"/>
    <x v="1"/>
    <x v="4"/>
    <n v="20826"/>
    <n v="7630.6463999999996"/>
    <n v="0"/>
    <n v="0"/>
    <n v="0"/>
    <n v="0"/>
    <n v="40"/>
    <s v="LIVRE"/>
    <n v="0"/>
    <n v="6"/>
    <n v="0"/>
    <n v="0"/>
    <n v="16.64"/>
    <n v="0"/>
    <n v="0"/>
    <n v="18.929390865785848"/>
    <m/>
    <m/>
    <n v="219570.683904"/>
    <n v="0"/>
    <n v="249780.00590665441"/>
    <n v="0"/>
    <x v="0"/>
  </r>
  <r>
    <s v="Regular"/>
    <x v="0"/>
    <x v="2"/>
    <x v="0"/>
    <x v="0"/>
    <x v="0"/>
    <x v="0"/>
    <x v="1"/>
    <x v="5"/>
    <n v="22009"/>
    <n v="9045.6990000000005"/>
    <n v="0"/>
    <n v="0"/>
    <n v="0"/>
    <n v="0"/>
    <n v="41"/>
    <s v="LIVRE"/>
    <n v="0"/>
    <n v="6"/>
    <n v="0"/>
    <n v="0"/>
    <n v="16.64"/>
    <n v="0"/>
    <n v="0"/>
    <n v="18.929390865785848"/>
    <m/>
    <m/>
    <n v="215709.32863999999"/>
    <n v="0"/>
    <n v="245387.39153983255"/>
    <n v="0"/>
    <x v="0"/>
  </r>
  <r>
    <s v="Regular"/>
    <x v="0"/>
    <x v="2"/>
    <x v="0"/>
    <x v="0"/>
    <x v="0"/>
    <x v="0"/>
    <x v="1"/>
    <x v="6"/>
    <n v="21866"/>
    <n v="8818.5578000000005"/>
    <n v="0"/>
    <n v="0"/>
    <n v="0"/>
    <n v="0"/>
    <n v="41"/>
    <s v="LIVRE"/>
    <n v="0"/>
    <n v="6"/>
    <n v="0"/>
    <n v="0"/>
    <n v="16.64"/>
    <n v="0"/>
    <n v="0"/>
    <n v="18.929390865785848"/>
    <m/>
    <m/>
    <n v="217109.43820800001"/>
    <n v="0"/>
    <n v="246980.13320254881"/>
    <n v="0"/>
    <x v="0"/>
  </r>
  <r>
    <s v="Regular"/>
    <x v="0"/>
    <x v="2"/>
    <x v="0"/>
    <x v="0"/>
    <x v="0"/>
    <x v="0"/>
    <x v="1"/>
    <x v="7"/>
    <n v="21377"/>
    <n v="8888.5565999999999"/>
    <n v="0"/>
    <n v="0"/>
    <n v="0"/>
    <n v="0"/>
    <n v="40"/>
    <s v="LIVRE"/>
    <n v="0"/>
    <n v="6"/>
    <n v="0"/>
    <n v="0"/>
    <n v="16.64"/>
    <n v="0"/>
    <n v="0"/>
    <n v="18.929390865785848"/>
    <m/>
    <m/>
    <n v="207807.69817600001"/>
    <n v="0"/>
    <n v="236398.62642384355"/>
    <n v="0"/>
    <x v="0"/>
  </r>
  <r>
    <s v="Regular"/>
    <x v="0"/>
    <x v="2"/>
    <x v="0"/>
    <x v="0"/>
    <x v="0"/>
    <x v="0"/>
    <x v="1"/>
    <x v="8"/>
    <n v="22872"/>
    <n v="9201.4056"/>
    <n v="0"/>
    <n v="0"/>
    <n v="0"/>
    <n v="0"/>
    <n v="42"/>
    <s v="LIVRE"/>
    <n v="0"/>
    <n v="6"/>
    <n v="0"/>
    <n v="0"/>
    <n v="16.64"/>
    <n v="0"/>
    <n v="0"/>
    <n v="18.929390865785848"/>
    <m/>
    <m/>
    <n v="227478.69081600002"/>
    <n v="0"/>
    <n v="258776.02476522318"/>
    <n v="0"/>
    <x v="0"/>
  </r>
  <r>
    <s v="Regular"/>
    <x v="0"/>
    <x v="2"/>
    <x v="0"/>
    <x v="0"/>
    <x v="0"/>
    <x v="0"/>
    <x v="1"/>
    <x v="10"/>
    <n v="24481"/>
    <n v="9816.8809999999994"/>
    <n v="0"/>
    <n v="0"/>
    <n v="0"/>
    <n v="0"/>
    <n v="41"/>
    <s v="LIVRE"/>
    <n v="0"/>
    <n v="6"/>
    <n v="0"/>
    <n v="0"/>
    <n v="16.64"/>
    <n v="0"/>
    <n v="0"/>
    <n v="18.929390865785848"/>
    <m/>
    <m/>
    <n v="244010.94016000003"/>
    <n v="0"/>
    <n v="277582.84025339672"/>
    <n v="0"/>
    <x v="0"/>
  </r>
  <r>
    <s v="PROJETADO"/>
    <x v="0"/>
    <x v="2"/>
    <x v="0"/>
    <x v="0"/>
    <x v="0"/>
    <x v="0"/>
    <x v="1"/>
    <x v="11"/>
    <n v="24481"/>
    <n v="9816.8809999999994"/>
    <n v="0"/>
    <n v="0"/>
    <n v="0"/>
    <n v="0"/>
    <n v="41"/>
    <s v="LIVRE"/>
    <n v="0"/>
    <n v="6"/>
    <n v="0"/>
    <n v="0"/>
    <n v="16.64"/>
    <n v="0"/>
    <n v="0"/>
    <n v="18.929390865785848"/>
    <m/>
    <m/>
    <n v="244010.94016000003"/>
    <n v="0"/>
    <n v="277582.84025339672"/>
    <n v="0"/>
    <x v="0"/>
  </r>
  <r>
    <s v="Regular"/>
    <x v="0"/>
    <x v="2"/>
    <x v="0"/>
    <x v="0"/>
    <x v="0"/>
    <x v="0"/>
    <x v="2"/>
    <x v="0"/>
    <n v="0"/>
    <n v="0"/>
    <n v="460.154"/>
    <n v="187.65080119999999"/>
    <n v="0"/>
    <n v="0"/>
    <n v="0"/>
    <s v="LIVRE"/>
    <n v="0"/>
    <n v="0"/>
    <n v="7"/>
    <n v="0"/>
    <n v="0"/>
    <n v="1326.39"/>
    <n v="0"/>
    <m/>
    <n v="1578.6481033476041"/>
    <m/>
    <n v="0"/>
    <n v="361445.51785633201"/>
    <n v="0"/>
    <n v="430186.65794177511"/>
    <x v="0"/>
  </r>
  <r>
    <s v="Regular"/>
    <x v="0"/>
    <x v="2"/>
    <x v="0"/>
    <x v="0"/>
    <x v="0"/>
    <x v="0"/>
    <x v="2"/>
    <x v="1"/>
    <n v="0"/>
    <n v="0"/>
    <n v="375.12299999999999"/>
    <n v="146.14792080000001"/>
    <n v="0"/>
    <n v="0"/>
    <n v="0"/>
    <s v="LIVRE"/>
    <n v="0"/>
    <n v="0"/>
    <n v="7"/>
    <n v="0"/>
    <n v="0"/>
    <n v="1326.39"/>
    <n v="0"/>
    <m/>
    <n v="1578.6481033476041"/>
    <m/>
    <n v="0"/>
    <n v="303710.25530008797"/>
    <n v="0"/>
    <n v="361471.07449294743"/>
    <x v="0"/>
  </r>
  <r>
    <s v="Regular"/>
    <x v="0"/>
    <x v="2"/>
    <x v="0"/>
    <x v="0"/>
    <x v="0"/>
    <x v="0"/>
    <x v="2"/>
    <x v="2"/>
    <n v="0"/>
    <n v="0"/>
    <n v="456.67399999999998"/>
    <n v="186.59699639999999"/>
    <n v="0"/>
    <n v="0"/>
    <n v="0"/>
    <s v="LIVRE"/>
    <n v="0"/>
    <n v="0"/>
    <n v="7"/>
    <n v="0"/>
    <n v="0"/>
    <n v="1326.39"/>
    <n v="0"/>
    <m/>
    <n v="1578.6481033476041"/>
    <m/>
    <n v="0"/>
    <n v="358227.43680500402"/>
    <n v="0"/>
    <n v="426356.54949094407"/>
    <x v="0"/>
  </r>
  <r>
    <s v="Regular"/>
    <x v="0"/>
    <x v="2"/>
    <x v="0"/>
    <x v="0"/>
    <x v="0"/>
    <x v="0"/>
    <x v="2"/>
    <x v="3"/>
    <n v="0"/>
    <n v="0"/>
    <n v="427.88099999999997"/>
    <n v="174.74660040000001"/>
    <n v="0"/>
    <n v="0"/>
    <n v="0"/>
    <s v="LIVRE"/>
    <n v="0"/>
    <n v="0"/>
    <n v="7"/>
    <n v="0"/>
    <n v="0"/>
    <n v="1326.39"/>
    <n v="0"/>
    <m/>
    <n v="1578.6481033476041"/>
    <m/>
    <n v="0"/>
    <n v="335754.93628544395"/>
    <n v="0"/>
    <n v="399610.13982057443"/>
    <x v="0"/>
  </r>
  <r>
    <s v="Regular"/>
    <x v="0"/>
    <x v="2"/>
    <x v="0"/>
    <x v="0"/>
    <x v="0"/>
    <x v="0"/>
    <x v="2"/>
    <x v="4"/>
    <n v="0"/>
    <n v="0"/>
    <n v="399.09100000000001"/>
    <n v="154.448217"/>
    <n v="0"/>
    <n v="0"/>
    <n v="0"/>
    <s v="LIVRE"/>
    <n v="0"/>
    <n v="0"/>
    <n v="7"/>
    <n v="0"/>
    <n v="0"/>
    <n v="1326.39"/>
    <n v="0"/>
    <m/>
    <n v="1578.6481033476041"/>
    <m/>
    <n v="0"/>
    <n v="324491.74094337004"/>
    <n v="0"/>
    <n v="386204.86538062949"/>
    <x v="0"/>
  </r>
  <r>
    <s v="Regular"/>
    <x v="0"/>
    <x v="2"/>
    <x v="0"/>
    <x v="0"/>
    <x v="0"/>
    <x v="0"/>
    <x v="2"/>
    <x v="5"/>
    <n v="0"/>
    <n v="0"/>
    <n v="441.58"/>
    <n v="182.81412"/>
    <n v="0"/>
    <n v="0"/>
    <n v="0"/>
    <s v="LIVRE"/>
    <n v="0"/>
    <n v="0"/>
    <n v="7"/>
    <n v="0"/>
    <n v="0"/>
    <n v="1326.39"/>
    <n v="0"/>
    <m/>
    <n v="1578.6481033476041"/>
    <m/>
    <n v="0"/>
    <n v="343224.47557319998"/>
    <n v="0"/>
    <n v="408500.26567307371"/>
    <x v="0"/>
  </r>
  <r>
    <s v="Regular"/>
    <x v="0"/>
    <x v="2"/>
    <x v="0"/>
    <x v="0"/>
    <x v="0"/>
    <x v="0"/>
    <x v="2"/>
    <x v="6"/>
    <n v="0"/>
    <n v="0"/>
    <n v="445.60199999999998"/>
    <n v="183.2315424"/>
    <n v="0"/>
    <n v="0"/>
    <n v="0"/>
    <s v="LIVRE"/>
    <n v="0"/>
    <n v="0"/>
    <n v="7"/>
    <n v="0"/>
    <n v="0"/>
    <n v="1326.39"/>
    <n v="0"/>
    <m/>
    <n v="1578.6481033476041"/>
    <m/>
    <n v="0"/>
    <n v="348005.55125606403"/>
    <n v="0"/>
    <n v="414190.62526468298"/>
    <x v="0"/>
  </r>
  <r>
    <s v="Regular"/>
    <x v="0"/>
    <x v="2"/>
    <x v="0"/>
    <x v="0"/>
    <x v="0"/>
    <x v="0"/>
    <x v="2"/>
    <x v="7"/>
    <n v="0"/>
    <n v="0"/>
    <n v="489.24099999999999"/>
    <n v="225.58902509999999"/>
    <n v="0"/>
    <n v="0"/>
    <n v="0"/>
    <s v="LIVRE"/>
    <n v="0"/>
    <n v="0"/>
    <n v="7"/>
    <n v="0"/>
    <n v="0"/>
    <n v="1326.39"/>
    <n v="0"/>
    <m/>
    <n v="1578.6481033476041"/>
    <m/>
    <n v="0"/>
    <n v="349705.34298761107"/>
    <n v="0"/>
    <n v="416213.69011973514"/>
    <x v="0"/>
  </r>
  <r>
    <s v="Regular"/>
    <x v="0"/>
    <x v="2"/>
    <x v="0"/>
    <x v="0"/>
    <x v="0"/>
    <x v="0"/>
    <x v="2"/>
    <x v="8"/>
    <n v="0"/>
    <n v="0"/>
    <n v="424.39800000000002"/>
    <n v="192.84645119999999"/>
    <n v="0"/>
    <n v="0"/>
    <n v="0"/>
    <s v="LIVRE"/>
    <n v="0"/>
    <n v="0"/>
    <n v="7"/>
    <n v="0"/>
    <n v="0"/>
    <n v="1326.39"/>
    <n v="0"/>
    <m/>
    <n v="1578.6481033476041"/>
    <m/>
    <n v="0"/>
    <n v="307127.65881283209"/>
    <n v="0"/>
    <n v="365538.41334032023"/>
    <x v="0"/>
  </r>
  <r>
    <s v="Regular"/>
    <x v="0"/>
    <x v="2"/>
    <x v="0"/>
    <x v="0"/>
    <x v="0"/>
    <x v="0"/>
    <x v="2"/>
    <x v="9"/>
    <n v="0"/>
    <n v="0"/>
    <n v="448.86900000000003"/>
    <n v="200.19557399999999"/>
    <n v="0"/>
    <n v="0"/>
    <n v="0"/>
    <s v="LIVRE"/>
    <n v="0"/>
    <n v="0"/>
    <n v="7"/>
    <n v="0"/>
    <n v="0"/>
    <n v="1326.39"/>
    <n v="0"/>
    <m/>
    <n v="1578.6481033476041"/>
    <m/>
    <n v="0"/>
    <n v="329837.94551214005"/>
    <n v="0"/>
    <n v="392567.83230785083"/>
    <x v="0"/>
  </r>
  <r>
    <s v="Regular"/>
    <x v="0"/>
    <x v="2"/>
    <x v="0"/>
    <x v="0"/>
    <x v="0"/>
    <x v="0"/>
    <x v="2"/>
    <x v="10"/>
    <n v="0"/>
    <n v="0"/>
    <n v="455.94499999999999"/>
    <n v="195.87397200000001"/>
    <n v="0"/>
    <n v="0"/>
    <n v="0"/>
    <s v="LIVRE"/>
    <n v="0"/>
    <n v="0"/>
    <n v="7"/>
    <n v="0"/>
    <n v="0"/>
    <n v="1326.39"/>
    <n v="0"/>
    <m/>
    <n v="1578.6481033476041"/>
    <m/>
    <n v="0"/>
    <n v="344955.61082891998"/>
    <n v="0"/>
    <n v="410560.63508786156"/>
    <x v="0"/>
  </r>
  <r>
    <s v="PROJETADO"/>
    <x v="0"/>
    <x v="2"/>
    <x v="0"/>
    <x v="0"/>
    <x v="0"/>
    <x v="0"/>
    <x v="2"/>
    <x v="11"/>
    <n v="0"/>
    <n v="0"/>
    <n v="455.94499999999999"/>
    <n v="195.87397200000001"/>
    <n v="0"/>
    <n v="0"/>
    <n v="0"/>
    <s v="LIVRE"/>
    <n v="0"/>
    <n v="0"/>
    <n v="7"/>
    <n v="0"/>
    <n v="0"/>
    <n v="1326.39"/>
    <n v="0"/>
    <m/>
    <n v="1578.6481033476041"/>
    <m/>
    <n v="0"/>
    <n v="344955.61082891998"/>
    <n v="0"/>
    <n v="410560.63508786156"/>
    <x v="0"/>
  </r>
  <r>
    <s v="Regular"/>
    <x v="0"/>
    <x v="2"/>
    <x v="2"/>
    <x v="1"/>
    <x v="1"/>
    <x v="0"/>
    <x v="0"/>
    <x v="0"/>
    <n v="0"/>
    <n v="0"/>
    <n v="110.005"/>
    <n v="103.40470000000001"/>
    <n v="110.005"/>
    <n v="103.40470000000001"/>
    <n v="0"/>
    <s v="CATIVO"/>
    <n v="0"/>
    <n v="0"/>
    <n v="8"/>
    <n v="49"/>
    <n v="0"/>
    <n v="76.75"/>
    <n v="307.08"/>
    <m/>
    <n v="152.59031948759403"/>
    <n v="313.20976164142951"/>
    <n v="0"/>
    <n v="2533.3931489999959"/>
    <n v="0"/>
    <n v="3074.4202754758899"/>
    <x v="2"/>
  </r>
  <r>
    <s v="Regular"/>
    <x v="0"/>
    <x v="2"/>
    <x v="2"/>
    <x v="1"/>
    <x v="1"/>
    <x v="0"/>
    <x v="0"/>
    <x v="1"/>
    <n v="0"/>
    <n v="0"/>
    <n v="110.5"/>
    <n v="103.87"/>
    <n v="110.5"/>
    <n v="103.87"/>
    <n v="0"/>
    <s v="CATIVO"/>
    <n v="0"/>
    <n v="0"/>
    <n v="8"/>
    <n v="49"/>
    <n v="0"/>
    <n v="76.75"/>
    <n v="307.08"/>
    <m/>
    <n v="152.59031948759403"/>
    <n v="313.20976164142951"/>
    <n v="0"/>
    <n v="2544.7928999999981"/>
    <n v="0"/>
    <n v="3088.2545378854238"/>
    <x v="2"/>
  </r>
  <r>
    <s v="Regular"/>
    <x v="0"/>
    <x v="2"/>
    <x v="2"/>
    <x v="1"/>
    <x v="1"/>
    <x v="0"/>
    <x v="0"/>
    <x v="2"/>
    <n v="0"/>
    <n v="0"/>
    <n v="134.03100000000001"/>
    <n v="125.98914000000001"/>
    <n v="134.03100000000001"/>
    <n v="125.98914000000001"/>
    <n v="0"/>
    <s v="CATIVO"/>
    <n v="0"/>
    <n v="0"/>
    <n v="8"/>
    <n v="49"/>
    <n v="0"/>
    <n v="76.75"/>
    <n v="307.08"/>
    <m/>
    <n v="152.59031948759403"/>
    <n v="313.20976164142951"/>
    <n v="0"/>
    <n v="3086.7071237999999"/>
    <n v="0"/>
    <n v="3745.8990404282495"/>
    <x v="2"/>
  </r>
  <r>
    <s v="Refaturamento - Regular"/>
    <x v="0"/>
    <x v="2"/>
    <x v="2"/>
    <x v="1"/>
    <x v="1"/>
    <x v="0"/>
    <x v="0"/>
    <x v="2"/>
    <n v="0"/>
    <n v="0"/>
    <n v="28.565000000000001"/>
    <n v="26.851099999999999"/>
    <n v="28.565000000000001"/>
    <n v="26.851099999999999"/>
    <n v="0"/>
    <s v="CATIVO"/>
    <n v="0"/>
    <n v="0"/>
    <n v="8"/>
    <n v="49"/>
    <n v="0"/>
    <n v="76.75"/>
    <n v="307.08"/>
    <m/>
    <n v="152.59031948759403"/>
    <n v="313.20976164142951"/>
    <n v="0"/>
    <n v="657.84623700000088"/>
    <n v="0"/>
    <n v="798.33475904703459"/>
    <x v="2"/>
  </r>
  <r>
    <s v="Regular"/>
    <x v="0"/>
    <x v="2"/>
    <x v="2"/>
    <x v="1"/>
    <x v="1"/>
    <x v="0"/>
    <x v="0"/>
    <x v="3"/>
    <n v="0"/>
    <n v="0"/>
    <n v="134.548"/>
    <n v="126.47512"/>
    <n v="134.548"/>
    <n v="126.47512"/>
    <n v="0"/>
    <s v="CATIVO"/>
    <n v="0"/>
    <n v="0"/>
    <n v="8"/>
    <n v="49"/>
    <n v="0"/>
    <n v="76.75"/>
    <n v="307.08"/>
    <m/>
    <n v="152.59031948759403"/>
    <n v="313.20976164142951"/>
    <n v="0"/>
    <n v="3098.613530399999"/>
    <n v="0"/>
    <n v="3760.3481589448702"/>
    <x v="2"/>
  </r>
  <r>
    <s v="Regular"/>
    <x v="0"/>
    <x v="2"/>
    <x v="2"/>
    <x v="1"/>
    <x v="1"/>
    <x v="0"/>
    <x v="0"/>
    <x v="4"/>
    <n v="0"/>
    <n v="0"/>
    <n v="145.012"/>
    <n v="136.31128000000001"/>
    <n v="145.012"/>
    <n v="136.31128000000001"/>
    <n v="0"/>
    <s v="CATIVO"/>
    <n v="0"/>
    <n v="0"/>
    <n v="8"/>
    <n v="49"/>
    <n v="0"/>
    <n v="76.75"/>
    <n v="307.08"/>
    <m/>
    <n v="152.59031948759403"/>
    <n v="313.20976164142951"/>
    <n v="0"/>
    <n v="3339.597357599996"/>
    <n v="0"/>
    <n v="4052.7960818809133"/>
    <x v="2"/>
  </r>
  <r>
    <s v="Regular"/>
    <x v="0"/>
    <x v="2"/>
    <x v="2"/>
    <x v="1"/>
    <x v="1"/>
    <x v="0"/>
    <x v="0"/>
    <x v="5"/>
    <n v="0"/>
    <n v="0"/>
    <n v="136.35"/>
    <n v="128.16900000000001"/>
    <n v="136.35"/>
    <n v="128.16900000000001"/>
    <n v="0"/>
    <s v="CATIVO"/>
    <n v="0"/>
    <n v="0"/>
    <n v="8"/>
    <n v="49"/>
    <n v="0"/>
    <n v="76.75"/>
    <n v="307.08"/>
    <m/>
    <n v="152.59031948759403"/>
    <n v="313.20976164142951"/>
    <n v="0"/>
    <n v="3140.1132299999936"/>
    <n v="0"/>
    <n v="3810.7104637165339"/>
    <x v="2"/>
  </r>
  <r>
    <s v="Regular"/>
    <x v="0"/>
    <x v="2"/>
    <x v="2"/>
    <x v="1"/>
    <x v="1"/>
    <x v="0"/>
    <x v="0"/>
    <x v="6"/>
    <n v="0"/>
    <n v="0"/>
    <n v="141.87299999999999"/>
    <n v="133.36062000000001"/>
    <n v="141.87299999999999"/>
    <n v="133.36062000000001"/>
    <n v="0"/>
    <s v="CATIVO"/>
    <n v="0"/>
    <n v="0"/>
    <n v="8"/>
    <n v="49"/>
    <n v="0"/>
    <n v="76.75"/>
    <n v="307.08"/>
    <m/>
    <n v="152.59031948759403"/>
    <n v="313.20976164142951"/>
    <n v="0"/>
    <n v="3267.3068153999916"/>
    <n v="0"/>
    <n v="3965.0672946010673"/>
    <x v="2"/>
  </r>
  <r>
    <s v="Regular"/>
    <x v="0"/>
    <x v="2"/>
    <x v="2"/>
    <x v="1"/>
    <x v="1"/>
    <x v="0"/>
    <x v="0"/>
    <x v="7"/>
    <n v="0"/>
    <n v="0"/>
    <n v="138.80799999999999"/>
    <n v="130.47952000000001"/>
    <n v="138.80799999999999"/>
    <n v="130.47952000000001"/>
    <n v="0"/>
    <s v="CATIVO"/>
    <n v="0"/>
    <n v="0"/>
    <n v="8"/>
    <n v="49"/>
    <n v="0"/>
    <n v="76.75"/>
    <n v="307.08"/>
    <m/>
    <n v="152.59031948759403"/>
    <n v="313.20976164142951"/>
    <n v="0"/>
    <n v="3196.7204783999941"/>
    <n v="0"/>
    <n v="3879.4066596814428"/>
    <x v="2"/>
  </r>
  <r>
    <s v="Regular"/>
    <x v="0"/>
    <x v="2"/>
    <x v="2"/>
    <x v="1"/>
    <x v="1"/>
    <x v="0"/>
    <x v="0"/>
    <x v="8"/>
    <n v="0"/>
    <n v="0"/>
    <n v="134.70400000000001"/>
    <n v="126.62175999999999"/>
    <n v="134.70400000000001"/>
    <n v="126.62175999999999"/>
    <n v="0"/>
    <s v="CATIVO"/>
    <n v="0"/>
    <n v="0"/>
    <n v="8"/>
    <n v="49"/>
    <n v="0"/>
    <n v="76.75"/>
    <n v="307.08"/>
    <m/>
    <n v="152.59031948759403"/>
    <n v="313.20976164142951"/>
    <n v="0"/>
    <n v="3102.206179200005"/>
    <n v="0"/>
    <n v="3764.7080477042455"/>
    <x v="2"/>
  </r>
  <r>
    <s v="Regular"/>
    <x v="0"/>
    <x v="2"/>
    <x v="2"/>
    <x v="1"/>
    <x v="1"/>
    <x v="0"/>
    <x v="0"/>
    <x v="9"/>
    <n v="0"/>
    <n v="0"/>
    <n v="123.182"/>
    <n v="115.79107999999999"/>
    <n v="123.182"/>
    <n v="115.79107999999999"/>
    <n v="0"/>
    <s v="CATIVO"/>
    <n v="0"/>
    <n v="0"/>
    <n v="8"/>
    <n v="49"/>
    <n v="0"/>
    <n v="76.75"/>
    <n v="307.08"/>
    <m/>
    <n v="152.59031948759403"/>
    <n v="313.20976164142951"/>
    <n v="0"/>
    <n v="2836.8568236000028"/>
    <n v="0"/>
    <n v="3442.6911356181267"/>
    <x v="2"/>
  </r>
  <r>
    <s v="Regular"/>
    <x v="0"/>
    <x v="2"/>
    <x v="2"/>
    <x v="1"/>
    <x v="1"/>
    <x v="0"/>
    <x v="0"/>
    <x v="10"/>
    <n v="0"/>
    <n v="0"/>
    <n v="125.96"/>
    <n v="118.4024"/>
    <n v="125.96"/>
    <n v="118.4024"/>
    <n v="0"/>
    <s v="CATIVO"/>
    <n v="0"/>
    <n v="0"/>
    <n v="8"/>
    <n v="49"/>
    <n v="0"/>
    <n v="76.75"/>
    <n v="307.08"/>
    <m/>
    <n v="152.59031948759403"/>
    <n v="313.20976164142951"/>
    <n v="0"/>
    <n v="2900.8336079999972"/>
    <n v="0"/>
    <n v="3520.3306931407055"/>
    <x v="2"/>
  </r>
  <r>
    <s v="PROJETADO"/>
    <x v="0"/>
    <x v="2"/>
    <x v="2"/>
    <x v="1"/>
    <x v="1"/>
    <x v="0"/>
    <x v="0"/>
    <x v="11"/>
    <n v="0"/>
    <n v="0"/>
    <n v="125.96"/>
    <n v="118.4024"/>
    <n v="125.96"/>
    <n v="118.4024"/>
    <n v="0"/>
    <s v="CATIVO"/>
    <n v="0"/>
    <n v="0"/>
    <n v="8"/>
    <n v="49"/>
    <n v="0"/>
    <n v="76.75"/>
    <n v="307.08"/>
    <m/>
    <n v="152.59031948759403"/>
    <n v="313.20976164142951"/>
    <n v="0"/>
    <n v="2900.8336079999972"/>
    <n v="0"/>
    <n v="3520.3306931407055"/>
    <x v="2"/>
  </r>
  <r>
    <s v="Regular"/>
    <x v="0"/>
    <x v="2"/>
    <x v="2"/>
    <x v="1"/>
    <x v="1"/>
    <x v="0"/>
    <x v="1"/>
    <x v="0"/>
    <n v="536"/>
    <n v="455.59999999999997"/>
    <n v="0"/>
    <n v="0"/>
    <n v="0"/>
    <n v="0"/>
    <n v="12"/>
    <s v="CATIVO"/>
    <n v="0"/>
    <n v="6"/>
    <n v="0"/>
    <n v="0"/>
    <n v="16.64"/>
    <n v="0"/>
    <n v="0"/>
    <n v="18.929390865785848"/>
    <m/>
    <m/>
    <n v="1337.8560000000007"/>
    <n v="0"/>
    <n v="1521.9230256091828"/>
    <n v="0"/>
    <x v="2"/>
  </r>
  <r>
    <s v="Regular"/>
    <x v="0"/>
    <x v="2"/>
    <x v="2"/>
    <x v="1"/>
    <x v="1"/>
    <x v="0"/>
    <x v="1"/>
    <x v="1"/>
    <n v="537"/>
    <n v="456.45"/>
    <n v="0"/>
    <n v="0"/>
    <n v="0"/>
    <n v="0"/>
    <n v="12"/>
    <s v="CATIVO"/>
    <n v="0"/>
    <n v="6"/>
    <n v="0"/>
    <n v="0"/>
    <n v="16.64"/>
    <n v="0"/>
    <n v="0"/>
    <n v="18.929390865785848"/>
    <m/>
    <m/>
    <n v="1340.3520000000003"/>
    <n v="0"/>
    <n v="1524.7624342390502"/>
    <n v="0"/>
    <x v="2"/>
  </r>
  <r>
    <s v="Regular"/>
    <x v="0"/>
    <x v="2"/>
    <x v="2"/>
    <x v="1"/>
    <x v="1"/>
    <x v="0"/>
    <x v="1"/>
    <x v="2"/>
    <n v="591"/>
    <n v="502.34999999999997"/>
    <n v="0"/>
    <n v="0"/>
    <n v="0"/>
    <n v="0"/>
    <n v="13"/>
    <s v="CATIVO"/>
    <n v="0"/>
    <n v="6"/>
    <n v="0"/>
    <n v="0"/>
    <n v="16.64"/>
    <n v="0"/>
    <n v="0"/>
    <n v="18.929390865785848"/>
    <m/>
    <m/>
    <n v="1475.1360000000006"/>
    <n v="0"/>
    <n v="1678.0905002519162"/>
    <n v="0"/>
    <x v="2"/>
  </r>
  <r>
    <s v="Refaturamento - Regular"/>
    <x v="0"/>
    <x v="2"/>
    <x v="2"/>
    <x v="1"/>
    <x v="1"/>
    <x v="0"/>
    <x v="1"/>
    <x v="2"/>
    <n v="57"/>
    <n v="48.449999999999996"/>
    <n v="0"/>
    <n v="0"/>
    <n v="0"/>
    <n v="0"/>
    <n v="1"/>
    <s v="CATIVO"/>
    <n v="0"/>
    <n v="6"/>
    <n v="0"/>
    <n v="0"/>
    <n v="16.64"/>
    <n v="0"/>
    <n v="0"/>
    <n v="18.929390865785848"/>
    <m/>
    <m/>
    <n v="142.27200000000008"/>
    <n v="0"/>
    <n v="161.84629190246909"/>
    <n v="0"/>
    <x v="2"/>
  </r>
  <r>
    <s v="Regular"/>
    <x v="0"/>
    <x v="2"/>
    <x v="2"/>
    <x v="1"/>
    <x v="1"/>
    <x v="0"/>
    <x v="1"/>
    <x v="3"/>
    <n v="601"/>
    <n v="510.84999999999997"/>
    <n v="0"/>
    <n v="0"/>
    <n v="0"/>
    <n v="0"/>
    <n v="13"/>
    <s v="CATIVO"/>
    <n v="0"/>
    <n v="6"/>
    <n v="0"/>
    <n v="0"/>
    <n v="16.64"/>
    <n v="0"/>
    <n v="0"/>
    <n v="18.929390865785848"/>
    <m/>
    <m/>
    <n v="1500.0960000000007"/>
    <n v="0"/>
    <n v="1706.4845865505949"/>
    <n v="0"/>
    <x v="2"/>
  </r>
  <r>
    <s v="Regular"/>
    <x v="0"/>
    <x v="2"/>
    <x v="2"/>
    <x v="1"/>
    <x v="1"/>
    <x v="0"/>
    <x v="1"/>
    <x v="4"/>
    <n v="591"/>
    <n v="502.34999999999997"/>
    <n v="0"/>
    <n v="0"/>
    <n v="0"/>
    <n v="0"/>
    <n v="13"/>
    <s v="CATIVO"/>
    <n v="0"/>
    <n v="6"/>
    <n v="0"/>
    <n v="0"/>
    <n v="16.64"/>
    <n v="0"/>
    <n v="0"/>
    <n v="18.929390865785848"/>
    <m/>
    <m/>
    <n v="1475.1360000000006"/>
    <n v="0"/>
    <n v="1678.0905002519162"/>
    <n v="0"/>
    <x v="2"/>
  </r>
  <r>
    <s v="Regular"/>
    <x v="0"/>
    <x v="2"/>
    <x v="2"/>
    <x v="1"/>
    <x v="1"/>
    <x v="0"/>
    <x v="1"/>
    <x v="5"/>
    <n v="595"/>
    <n v="505.75"/>
    <n v="0"/>
    <n v="0"/>
    <n v="0"/>
    <n v="0"/>
    <n v="13"/>
    <s v="CATIVO"/>
    <n v="0"/>
    <n v="6"/>
    <n v="0"/>
    <n v="0"/>
    <n v="16.64"/>
    <n v="0"/>
    <n v="0"/>
    <n v="18.929390865785848"/>
    <m/>
    <m/>
    <n v="1485.1200000000001"/>
    <n v="0"/>
    <n v="1689.448134771387"/>
    <n v="0"/>
    <x v="2"/>
  </r>
  <r>
    <s v="Regular"/>
    <x v="0"/>
    <x v="2"/>
    <x v="2"/>
    <x v="1"/>
    <x v="1"/>
    <x v="0"/>
    <x v="1"/>
    <x v="6"/>
    <n v="593"/>
    <n v="504.05"/>
    <n v="0"/>
    <n v="0"/>
    <n v="0"/>
    <n v="0"/>
    <n v="13"/>
    <s v="CATIVO"/>
    <n v="0"/>
    <n v="6"/>
    <n v="0"/>
    <n v="0"/>
    <n v="16.64"/>
    <n v="0"/>
    <n v="0"/>
    <n v="18.929390865785848"/>
    <m/>
    <m/>
    <n v="1480.1279999999999"/>
    <n v="0"/>
    <n v="1683.769317511651"/>
    <n v="0"/>
    <x v="2"/>
  </r>
  <r>
    <s v="Regular"/>
    <x v="0"/>
    <x v="2"/>
    <x v="2"/>
    <x v="1"/>
    <x v="1"/>
    <x v="0"/>
    <x v="1"/>
    <x v="7"/>
    <n v="592"/>
    <n v="503.2"/>
    <n v="0"/>
    <n v="0"/>
    <n v="0"/>
    <n v="0"/>
    <n v="13"/>
    <s v="CATIVO"/>
    <n v="0"/>
    <n v="6"/>
    <n v="0"/>
    <n v="0"/>
    <n v="16.64"/>
    <n v="0"/>
    <n v="0"/>
    <n v="18.929390865785848"/>
    <m/>
    <m/>
    <n v="1477.6320000000003"/>
    <n v="0"/>
    <n v="1680.9299088817836"/>
    <n v="0"/>
    <x v="2"/>
  </r>
  <r>
    <s v="Regular"/>
    <x v="0"/>
    <x v="2"/>
    <x v="2"/>
    <x v="1"/>
    <x v="1"/>
    <x v="0"/>
    <x v="1"/>
    <x v="8"/>
    <n v="591"/>
    <n v="502.34999999999997"/>
    <n v="0"/>
    <n v="0"/>
    <n v="0"/>
    <n v="0"/>
    <n v="13"/>
    <s v="CATIVO"/>
    <n v="0"/>
    <n v="6"/>
    <n v="0"/>
    <n v="0"/>
    <n v="16.64"/>
    <n v="0"/>
    <n v="0"/>
    <n v="18.929390865785848"/>
    <m/>
    <m/>
    <n v="1475.1360000000006"/>
    <n v="0"/>
    <n v="1678.0905002519162"/>
    <n v="0"/>
    <x v="2"/>
  </r>
  <r>
    <s v="Regular"/>
    <x v="0"/>
    <x v="2"/>
    <x v="2"/>
    <x v="1"/>
    <x v="1"/>
    <x v="0"/>
    <x v="1"/>
    <x v="9"/>
    <n v="597"/>
    <n v="507.45"/>
    <n v="0"/>
    <n v="0"/>
    <n v="0"/>
    <n v="0"/>
    <n v="13"/>
    <s v="CATIVO"/>
    <n v="0"/>
    <n v="6"/>
    <n v="0"/>
    <n v="0"/>
    <n v="16.64"/>
    <n v="0"/>
    <n v="0"/>
    <n v="18.929390865785848"/>
    <m/>
    <m/>
    <n v="1490.1120000000003"/>
    <n v="0"/>
    <n v="1695.126952031123"/>
    <n v="0"/>
    <x v="2"/>
  </r>
  <r>
    <s v="Regular"/>
    <x v="0"/>
    <x v="2"/>
    <x v="2"/>
    <x v="1"/>
    <x v="1"/>
    <x v="0"/>
    <x v="1"/>
    <x v="10"/>
    <n v="588"/>
    <n v="499.8"/>
    <n v="0"/>
    <n v="0"/>
    <n v="0"/>
    <n v="0"/>
    <n v="13"/>
    <s v="CATIVO"/>
    <n v="0"/>
    <n v="6"/>
    <n v="0"/>
    <n v="0"/>
    <n v="16.64"/>
    <n v="0"/>
    <n v="0"/>
    <n v="18.929390865785848"/>
    <m/>
    <m/>
    <n v="1467.6479999999999"/>
    <n v="0"/>
    <n v="1669.5722743623116"/>
    <n v="0"/>
    <x v="2"/>
  </r>
  <r>
    <s v="PROJETADO"/>
    <x v="0"/>
    <x v="2"/>
    <x v="2"/>
    <x v="1"/>
    <x v="1"/>
    <x v="0"/>
    <x v="1"/>
    <x v="11"/>
    <n v="588"/>
    <n v="499.8"/>
    <n v="0"/>
    <n v="0"/>
    <n v="0"/>
    <n v="0"/>
    <n v="13"/>
    <s v="CATIVO"/>
    <n v="0"/>
    <n v="6"/>
    <n v="0"/>
    <n v="0"/>
    <n v="16.64"/>
    <n v="0"/>
    <n v="0"/>
    <n v="18.929390865785848"/>
    <m/>
    <m/>
    <n v="1467.6479999999999"/>
    <n v="0"/>
    <n v="1669.5722743623116"/>
    <n v="0"/>
    <x v="2"/>
  </r>
  <r>
    <s v="Regular"/>
    <x v="0"/>
    <x v="2"/>
    <x v="2"/>
    <x v="1"/>
    <x v="1"/>
    <x v="0"/>
    <x v="2"/>
    <x v="0"/>
    <n v="0"/>
    <n v="0"/>
    <n v="15.111000000000001"/>
    <n v="14.20434"/>
    <n v="15.111000000000001"/>
    <n v="14.20434"/>
    <n v="0"/>
    <s v="CATIVO"/>
    <n v="0"/>
    <n v="0"/>
    <n v="7"/>
    <n v="48"/>
    <n v="0"/>
    <n v="1326.39"/>
    <n v="492.64"/>
    <m/>
    <n v="1578.6481033476041"/>
    <n v="499.13928219176387"/>
    <n v="0"/>
    <n v="1649.2417398000009"/>
    <n v="0"/>
    <n v="1883.8467109731241"/>
    <x v="2"/>
  </r>
  <r>
    <s v="Regular"/>
    <x v="0"/>
    <x v="2"/>
    <x v="2"/>
    <x v="1"/>
    <x v="1"/>
    <x v="0"/>
    <x v="2"/>
    <x v="1"/>
    <n v="0"/>
    <n v="0"/>
    <n v="14.802"/>
    <n v="13.913880000000001"/>
    <n v="14.802"/>
    <n v="13.913880000000001"/>
    <n v="0"/>
    <s v="CATIVO"/>
    <n v="0"/>
    <n v="0"/>
    <n v="7"/>
    <n v="48"/>
    <n v="0"/>
    <n v="1326.39"/>
    <n v="492.64"/>
    <m/>
    <n v="1578.6481033476041"/>
    <n v="499.13928219176387"/>
    <n v="0"/>
    <n v="1615.5169235999981"/>
    <n v="0"/>
    <n v="1845.3245328452213"/>
    <x v="2"/>
  </r>
  <r>
    <s v="Regular"/>
    <x v="0"/>
    <x v="2"/>
    <x v="2"/>
    <x v="1"/>
    <x v="1"/>
    <x v="0"/>
    <x v="2"/>
    <x v="2"/>
    <n v="0"/>
    <n v="0"/>
    <n v="16.186"/>
    <n v="15.214840000000001"/>
    <n v="16.186"/>
    <n v="15.214840000000001"/>
    <n v="0"/>
    <s v="CATIVO"/>
    <n v="0"/>
    <n v="0"/>
    <n v="7"/>
    <n v="48"/>
    <n v="0"/>
    <n v="1326.39"/>
    <n v="492.64"/>
    <m/>
    <n v="1578.6481033476041"/>
    <n v="499.13928219176387"/>
    <n v="0"/>
    <n v="1766.569174799999"/>
    <n v="0"/>
    <n v="2017.8639973404111"/>
    <x v="2"/>
  </r>
  <r>
    <s v="Refaturamento - Regular"/>
    <x v="0"/>
    <x v="2"/>
    <x v="2"/>
    <x v="1"/>
    <x v="1"/>
    <x v="0"/>
    <x v="2"/>
    <x v="2"/>
    <n v="0"/>
    <n v="0"/>
    <n v="3.3559999999999999"/>
    <n v="3.1546400000000001"/>
    <n v="3.3559999999999999"/>
    <n v="3.1546400000000001"/>
    <n v="0"/>
    <s v="CATIVO"/>
    <n v="0"/>
    <n v="0"/>
    <n v="7"/>
    <n v="48"/>
    <n v="0"/>
    <n v="1326.39"/>
    <n v="492.64"/>
    <m/>
    <n v="1578.6481033476041"/>
    <n v="499.13928219176387"/>
    <n v="0"/>
    <n v="366.27988079999955"/>
    <n v="0"/>
    <n v="418.38326795220661"/>
    <x v="2"/>
  </r>
  <r>
    <s v="Regular"/>
    <x v="0"/>
    <x v="2"/>
    <x v="2"/>
    <x v="1"/>
    <x v="1"/>
    <x v="0"/>
    <x v="2"/>
    <x v="3"/>
    <n v="0"/>
    <n v="0"/>
    <n v="18.338999999999999"/>
    <n v="17.238659999999999"/>
    <n v="18.338999999999999"/>
    <n v="17.238659999999999"/>
    <n v="0"/>
    <s v="CATIVO"/>
    <n v="0"/>
    <n v="0"/>
    <n v="7"/>
    <n v="48"/>
    <n v="0"/>
    <n v="1326.39"/>
    <n v="492.64"/>
    <m/>
    <n v="1578.6481033476041"/>
    <n v="499.13928219176387"/>
    <n v="0"/>
    <n v="2001.5514701999987"/>
    <n v="0"/>
    <n v="2286.2725718043866"/>
    <x v="2"/>
  </r>
  <r>
    <s v="Regular"/>
    <x v="0"/>
    <x v="2"/>
    <x v="2"/>
    <x v="1"/>
    <x v="1"/>
    <x v="0"/>
    <x v="2"/>
    <x v="4"/>
    <n v="0"/>
    <n v="0"/>
    <n v="18.408000000000001"/>
    <n v="17.303519999999999"/>
    <n v="18.408000000000001"/>
    <n v="17.303519999999999"/>
    <n v="0"/>
    <s v="CATIVO"/>
    <n v="0"/>
    <n v="0"/>
    <n v="7"/>
    <n v="48"/>
    <n v="0"/>
    <n v="1326.39"/>
    <n v="492.64"/>
    <m/>
    <n v="1578.6481033476041"/>
    <n v="499.13928219176387"/>
    <n v="0"/>
    <n v="2009.0822544000043"/>
    <n v="0"/>
    <n v="2294.8746115805261"/>
    <x v="2"/>
  </r>
  <r>
    <s v="Regular"/>
    <x v="0"/>
    <x v="2"/>
    <x v="2"/>
    <x v="1"/>
    <x v="1"/>
    <x v="0"/>
    <x v="2"/>
    <x v="5"/>
    <n v="0"/>
    <n v="0"/>
    <n v="17.873000000000001"/>
    <n v="16.800619999999999"/>
    <n v="17.873000000000001"/>
    <n v="16.800619999999999"/>
    <n v="0"/>
    <s v="CATIVO"/>
    <n v="0"/>
    <n v="0"/>
    <n v="7"/>
    <n v="48"/>
    <n v="0"/>
    <n v="1326.39"/>
    <n v="492.64"/>
    <m/>
    <n v="1578.6481033476041"/>
    <n v="499.13928219176387"/>
    <n v="0"/>
    <n v="1950.6913914000047"/>
    <n v="0"/>
    <n v="2228.1776365047126"/>
    <x v="2"/>
  </r>
  <r>
    <s v="Regular"/>
    <x v="0"/>
    <x v="2"/>
    <x v="2"/>
    <x v="1"/>
    <x v="1"/>
    <x v="0"/>
    <x v="2"/>
    <x v="6"/>
    <n v="0"/>
    <n v="0"/>
    <n v="19.698"/>
    <n v="18.516120000000001"/>
    <n v="19.698"/>
    <n v="18.516120000000001"/>
    <n v="0"/>
    <s v="CATIVO"/>
    <n v="0"/>
    <n v="0"/>
    <n v="7"/>
    <n v="48"/>
    <n v="0"/>
    <n v="1326.39"/>
    <n v="492.64"/>
    <m/>
    <n v="1578.6481033476041"/>
    <n v="499.13928219176387"/>
    <n v="0"/>
    <n v="2149.8751763999994"/>
    <n v="0"/>
    <n v="2455.6953552212672"/>
    <x v="2"/>
  </r>
  <r>
    <s v="Regular"/>
    <x v="0"/>
    <x v="2"/>
    <x v="2"/>
    <x v="1"/>
    <x v="1"/>
    <x v="0"/>
    <x v="2"/>
    <x v="7"/>
    <n v="0"/>
    <n v="0"/>
    <n v="19.228000000000002"/>
    <n v="18.07432"/>
    <n v="19.228000000000002"/>
    <n v="18.07432"/>
    <n v="0"/>
    <s v="CATIVO"/>
    <n v="0"/>
    <n v="0"/>
    <n v="7"/>
    <n v="48"/>
    <n v="0"/>
    <n v="1326.39"/>
    <n v="492.64"/>
    <m/>
    <n v="1578.6481033476041"/>
    <n v="499.13928219176387"/>
    <n v="0"/>
    <n v="2098.5785304000028"/>
    <n v="0"/>
    <n v="2397.1017509490607"/>
    <x v="2"/>
  </r>
  <r>
    <s v="Regular"/>
    <x v="0"/>
    <x v="2"/>
    <x v="2"/>
    <x v="1"/>
    <x v="1"/>
    <x v="0"/>
    <x v="2"/>
    <x v="8"/>
    <n v="0"/>
    <n v="0"/>
    <n v="17.064"/>
    <n v="16.04016"/>
    <n v="17.064"/>
    <n v="16.04016"/>
    <n v="0"/>
    <s v="CATIVO"/>
    <n v="0"/>
    <n v="0"/>
    <n v="7"/>
    <n v="48"/>
    <n v="0"/>
    <n v="1326.39"/>
    <n v="492.64"/>
    <m/>
    <n v="1578.6481033476041"/>
    <n v="499.13928219176387"/>
    <n v="0"/>
    <n v="1862.3956751999999"/>
    <n v="0"/>
    <n v="2127.3218368106263"/>
    <x v="2"/>
  </r>
  <r>
    <s v="Regular"/>
    <x v="0"/>
    <x v="2"/>
    <x v="2"/>
    <x v="1"/>
    <x v="1"/>
    <x v="0"/>
    <x v="2"/>
    <x v="9"/>
    <n v="0"/>
    <n v="0"/>
    <n v="16.731000000000002"/>
    <n v="15.72714"/>
    <n v="16.731000000000002"/>
    <n v="15.72714"/>
    <n v="0"/>
    <s v="CATIVO"/>
    <n v="0"/>
    <n v="0"/>
    <n v="7"/>
    <n v="48"/>
    <n v="0"/>
    <n v="1326.39"/>
    <n v="492.64"/>
    <m/>
    <n v="1578.6481033476041"/>
    <n v="499.13928219176387"/>
    <n v="0"/>
    <n v="1826.0514558000025"/>
    <n v="0"/>
    <n v="2085.8076448475526"/>
    <x v="2"/>
  </r>
  <r>
    <s v="Regular"/>
    <x v="0"/>
    <x v="2"/>
    <x v="2"/>
    <x v="1"/>
    <x v="1"/>
    <x v="0"/>
    <x v="2"/>
    <x v="10"/>
    <n v="0"/>
    <n v="0"/>
    <n v="16.405000000000001"/>
    <n v="15.4207"/>
    <n v="16.405000000000001"/>
    <n v="15.4207"/>
    <n v="0"/>
    <s v="CATIVO"/>
    <n v="0"/>
    <n v="0"/>
    <n v="7"/>
    <n v="48"/>
    <n v="0"/>
    <n v="1326.39"/>
    <n v="492.64"/>
    <m/>
    <n v="1578.6481033476041"/>
    <n v="499.13928219176387"/>
    <n v="0"/>
    <n v="1790.471229000002"/>
    <n v="0"/>
    <n v="2045.1661235864021"/>
    <x v="2"/>
  </r>
  <r>
    <s v="PROJETADO"/>
    <x v="0"/>
    <x v="2"/>
    <x v="2"/>
    <x v="1"/>
    <x v="1"/>
    <x v="0"/>
    <x v="2"/>
    <x v="11"/>
    <n v="0"/>
    <n v="0"/>
    <n v="16.405000000000001"/>
    <n v="15.4207"/>
    <n v="16.405000000000001"/>
    <n v="15.4207"/>
    <n v="0"/>
    <s v="CATIVO"/>
    <n v="0"/>
    <n v="0"/>
    <n v="7"/>
    <n v="48"/>
    <n v="0"/>
    <n v="1326.39"/>
    <n v="492.64"/>
    <m/>
    <n v="1578.6481033476041"/>
    <n v="499.13928219176387"/>
    <n v="0"/>
    <n v="1790.471229000002"/>
    <n v="0"/>
    <n v="2045.1661235864021"/>
    <x v="2"/>
  </r>
  <r>
    <s v="Regular"/>
    <x v="1"/>
    <x v="3"/>
    <x v="4"/>
    <x v="2"/>
    <x v="1"/>
    <x v="0"/>
    <x v="1"/>
    <x v="0"/>
    <n v="0"/>
    <n v="0"/>
    <n v="10121.222"/>
    <n v="10121.222"/>
    <n v="10121.222"/>
    <n v="10121.222"/>
    <n v="61897"/>
    <s v="CATIVO"/>
    <n v="0"/>
    <n v="0"/>
    <n v="16"/>
    <n v="53"/>
    <n v="0"/>
    <n v="324.88"/>
    <n v="322.54000000000002"/>
    <m/>
    <n v="448.39375036225908"/>
    <n v="328.70388835395738"/>
    <n v="0"/>
    <n v="0"/>
    <n v="0"/>
    <n v="0"/>
    <x v="4"/>
  </r>
  <r>
    <s v="Regular"/>
    <x v="1"/>
    <x v="3"/>
    <x v="4"/>
    <x v="3"/>
    <x v="1"/>
    <x v="0"/>
    <x v="1"/>
    <x v="0"/>
    <n v="0"/>
    <n v="0"/>
    <n v="298.62"/>
    <n v="298.62"/>
    <n v="298.62"/>
    <n v="298.62"/>
    <n v="387"/>
    <s v="CATIVO"/>
    <n v="0"/>
    <n v="0"/>
    <n v="17"/>
    <n v="54"/>
    <n v="0"/>
    <n v="91.27"/>
    <n v="112.89"/>
    <m/>
    <n v="104.67518343290003"/>
    <n v="115.04636092388508"/>
    <n v="0"/>
    <n v="113218.7868"/>
    <n v="0"/>
    <n v="121853.1740693859"/>
    <x v="5"/>
  </r>
  <r>
    <s v="Sistema de Compensação"/>
    <x v="1"/>
    <x v="3"/>
    <x v="4"/>
    <x v="3"/>
    <x v="1"/>
    <x v="0"/>
    <x v="1"/>
    <x v="0"/>
    <n v="0"/>
    <n v="0"/>
    <n v="4.92"/>
    <n v="4.92"/>
    <n v="4.92"/>
    <n v="4.92"/>
    <n v="17"/>
    <s v="CATIVO"/>
    <n v="0"/>
    <n v="0"/>
    <n v="17"/>
    <n v="54"/>
    <n v="0"/>
    <n v="91.27"/>
    <n v="112.89"/>
    <m/>
    <n v="104.67518343290003"/>
    <n v="115.04636092388508"/>
    <n v="0"/>
    <n v="1865.3688"/>
    <n v="0"/>
    <n v="2007.6271395799968"/>
    <x v="5"/>
  </r>
  <r>
    <s v="Regular"/>
    <x v="1"/>
    <x v="3"/>
    <x v="4"/>
    <x v="3"/>
    <x v="1"/>
    <x v="0"/>
    <x v="1"/>
    <x v="1"/>
    <n v="0"/>
    <n v="0"/>
    <n v="303.66000000000003"/>
    <n v="303.66000000000003"/>
    <n v="303.66000000000003"/>
    <n v="303.66000000000003"/>
    <n v="383"/>
    <s v="CATIVO"/>
    <n v="0"/>
    <n v="0"/>
    <n v="17"/>
    <n v="54"/>
    <n v="0"/>
    <n v="91.27"/>
    <n v="112.89"/>
    <m/>
    <n v="104.67518343290003"/>
    <n v="115.04636092388508"/>
    <n v="0"/>
    <n v="115129.65240000001"/>
    <n v="0"/>
    <n v="123909.76772456542"/>
    <x v="5"/>
  </r>
  <r>
    <s v="Sistema de Compensação"/>
    <x v="1"/>
    <x v="3"/>
    <x v="4"/>
    <x v="3"/>
    <x v="1"/>
    <x v="0"/>
    <x v="1"/>
    <x v="1"/>
    <n v="0"/>
    <n v="0"/>
    <n v="4.92"/>
    <n v="4.92"/>
    <n v="4.92"/>
    <n v="4.92"/>
    <n v="14"/>
    <s v="CATIVO"/>
    <n v="0"/>
    <n v="0"/>
    <n v="17"/>
    <n v="54"/>
    <n v="0"/>
    <n v="91.27"/>
    <n v="112.89"/>
    <m/>
    <n v="104.67518343290003"/>
    <n v="115.04636092388508"/>
    <n v="0"/>
    <n v="1865.3688"/>
    <n v="0"/>
    <n v="2007.6271395799968"/>
    <x v="5"/>
  </r>
  <r>
    <s v="Regular"/>
    <x v="1"/>
    <x v="3"/>
    <x v="4"/>
    <x v="3"/>
    <x v="1"/>
    <x v="0"/>
    <x v="1"/>
    <x v="2"/>
    <n v="0"/>
    <n v="0"/>
    <n v="311.31"/>
    <n v="311.31"/>
    <n v="311.31"/>
    <n v="311.31"/>
    <n v="380"/>
    <s v="CATIVO"/>
    <n v="0"/>
    <n v="0"/>
    <n v="17"/>
    <n v="54"/>
    <n v="0"/>
    <n v="91.27"/>
    <n v="112.89"/>
    <m/>
    <n v="104.67518343290003"/>
    <n v="115.04636092388508"/>
    <n v="0"/>
    <n v="118030.07339999999"/>
    <n v="0"/>
    <n v="127031.3830940343"/>
    <x v="5"/>
  </r>
  <r>
    <s v="Refaturamento - Regular"/>
    <x v="1"/>
    <x v="3"/>
    <x v="4"/>
    <x v="3"/>
    <x v="1"/>
    <x v="0"/>
    <x v="1"/>
    <x v="2"/>
    <n v="0"/>
    <n v="0"/>
    <n v="0.03"/>
    <n v="0.03"/>
    <n v="0.03"/>
    <n v="0.03"/>
    <n v="0"/>
    <s v="CATIVO"/>
    <n v="0"/>
    <n v="0"/>
    <n v="17"/>
    <n v="54"/>
    <n v="0"/>
    <n v="91.27"/>
    <n v="112.89"/>
    <m/>
    <n v="104.67518343290003"/>
    <n v="115.04636092388508"/>
    <n v="0"/>
    <n v="11.374199999999998"/>
    <n v="0"/>
    <n v="12.241628899878028"/>
    <x v="5"/>
  </r>
  <r>
    <s v="Sistema de Compensação"/>
    <x v="1"/>
    <x v="3"/>
    <x v="4"/>
    <x v="3"/>
    <x v="1"/>
    <x v="0"/>
    <x v="1"/>
    <x v="2"/>
    <n v="0"/>
    <n v="0"/>
    <n v="5.01"/>
    <n v="5.01"/>
    <n v="5.01"/>
    <n v="5.01"/>
    <n v="18"/>
    <s v="CATIVO"/>
    <n v="0"/>
    <n v="0"/>
    <n v="17"/>
    <n v="54"/>
    <n v="0"/>
    <n v="91.27"/>
    <n v="112.89"/>
    <m/>
    <n v="104.67518343290003"/>
    <n v="115.04636092388508"/>
    <n v="0"/>
    <n v="1899.4913999999999"/>
    <n v="0"/>
    <n v="2044.3520262796308"/>
    <x v="5"/>
  </r>
  <r>
    <s v="Regular"/>
    <x v="1"/>
    <x v="3"/>
    <x v="4"/>
    <x v="3"/>
    <x v="1"/>
    <x v="0"/>
    <x v="1"/>
    <x v="3"/>
    <n v="0"/>
    <n v="0"/>
    <n v="316.5"/>
    <n v="316.5"/>
    <n v="316.5"/>
    <n v="316.5"/>
    <n v="307"/>
    <s v="CATIVO"/>
    <n v="0"/>
    <n v="0"/>
    <n v="17"/>
    <n v="54"/>
    <n v="0"/>
    <n v="91.27"/>
    <n v="112.89"/>
    <m/>
    <n v="104.67518343290003"/>
    <n v="115.04636092388508"/>
    <n v="0"/>
    <n v="119997.81"/>
    <n v="0"/>
    <n v="129149.1848937132"/>
    <x v="5"/>
  </r>
  <r>
    <s v="Refaturamento - Regular"/>
    <x v="1"/>
    <x v="3"/>
    <x v="4"/>
    <x v="3"/>
    <x v="1"/>
    <x v="0"/>
    <x v="1"/>
    <x v="3"/>
    <n v="0"/>
    <n v="0"/>
    <n v="0.75"/>
    <n v="0.75"/>
    <n v="0.75"/>
    <n v="0.75"/>
    <n v="10"/>
    <s v="CATIVO"/>
    <n v="0"/>
    <n v="0"/>
    <n v="17"/>
    <n v="54"/>
    <n v="0"/>
    <n v="91.27"/>
    <n v="112.89"/>
    <m/>
    <n v="104.67518343290003"/>
    <n v="115.04636092388508"/>
    <n v="0"/>
    <n v="284.35500000000002"/>
    <n v="0"/>
    <n v="306.04072249695071"/>
    <x v="5"/>
  </r>
  <r>
    <s v="Sistema de Compensação"/>
    <x v="1"/>
    <x v="3"/>
    <x v="4"/>
    <x v="3"/>
    <x v="1"/>
    <x v="0"/>
    <x v="1"/>
    <x v="3"/>
    <n v="0"/>
    <n v="0"/>
    <n v="4.8899999999999997"/>
    <n v="4.8899999999999997"/>
    <n v="4.8899999999999997"/>
    <n v="4.8899999999999997"/>
    <n v="16"/>
    <s v="CATIVO"/>
    <n v="0"/>
    <n v="0"/>
    <n v="17"/>
    <n v="54"/>
    <n v="0"/>
    <n v="91.27"/>
    <n v="112.89"/>
    <m/>
    <n v="104.67518343290003"/>
    <n v="115.04636092388508"/>
    <n v="0"/>
    <n v="1853.9945999999998"/>
    <n v="0"/>
    <n v="1995.3855106801186"/>
    <x v="5"/>
  </r>
  <r>
    <s v="Sistema de Compensação"/>
    <x v="1"/>
    <x v="3"/>
    <x v="4"/>
    <x v="3"/>
    <x v="1"/>
    <x v="0"/>
    <x v="1"/>
    <x v="3"/>
    <n v="0"/>
    <n v="0"/>
    <n v="0.03"/>
    <n v="0.03"/>
    <n v="0.03"/>
    <n v="0.03"/>
    <n v="1"/>
    <s v="CATIVO"/>
    <n v="0"/>
    <n v="0"/>
    <n v="17"/>
    <n v="54"/>
    <n v="0"/>
    <n v="91.27"/>
    <n v="112.89"/>
    <m/>
    <n v="104.67518343290003"/>
    <n v="115.04636092388508"/>
    <n v="0"/>
    <n v="11.374199999999998"/>
    <n v="0"/>
    <n v="12.241628899878028"/>
    <x v="5"/>
  </r>
  <r>
    <s v="Regular"/>
    <x v="1"/>
    <x v="3"/>
    <x v="4"/>
    <x v="3"/>
    <x v="1"/>
    <x v="0"/>
    <x v="1"/>
    <x v="4"/>
    <n v="0"/>
    <n v="0"/>
    <n v="322.44"/>
    <n v="322.44"/>
    <n v="322.44"/>
    <n v="322.44"/>
    <n v="316"/>
    <s v="CATIVO"/>
    <n v="0"/>
    <n v="0"/>
    <n v="17"/>
    <n v="54"/>
    <n v="0"/>
    <n v="91.27"/>
    <n v="112.89"/>
    <m/>
    <n v="104.67518343290003"/>
    <n v="115.04636092388508"/>
    <n v="0"/>
    <n v="122249.9016"/>
    <n v="0"/>
    <n v="131573.02741588905"/>
    <x v="5"/>
  </r>
  <r>
    <s v="Refaturamento - Regular"/>
    <x v="1"/>
    <x v="3"/>
    <x v="4"/>
    <x v="3"/>
    <x v="1"/>
    <x v="0"/>
    <x v="1"/>
    <x v="4"/>
    <n v="0"/>
    <n v="0"/>
    <n v="0.24"/>
    <n v="0.24"/>
    <n v="0.24"/>
    <n v="0.24"/>
    <n v="5"/>
    <s v="CATIVO"/>
    <n v="0"/>
    <n v="0"/>
    <n v="17"/>
    <n v="54"/>
    <n v="0"/>
    <n v="91.27"/>
    <n v="112.89"/>
    <m/>
    <n v="104.67518343290003"/>
    <n v="115.04636092388508"/>
    <n v="0"/>
    <n v="90.993599999999986"/>
    <n v="0"/>
    <n v="97.933031199024228"/>
    <x v="5"/>
  </r>
  <r>
    <s v="Sistema de Compensação"/>
    <x v="1"/>
    <x v="3"/>
    <x v="4"/>
    <x v="3"/>
    <x v="1"/>
    <x v="0"/>
    <x v="1"/>
    <x v="4"/>
    <n v="0"/>
    <n v="0"/>
    <n v="5.0999999999999996"/>
    <n v="5.0999999999999996"/>
    <n v="5.0999999999999996"/>
    <n v="5.0999999999999996"/>
    <n v="16"/>
    <s v="CATIVO"/>
    <n v="0"/>
    <n v="0"/>
    <n v="17"/>
    <n v="54"/>
    <n v="0"/>
    <n v="91.27"/>
    <n v="112.89"/>
    <m/>
    <n v="104.67518343290003"/>
    <n v="115.04636092388508"/>
    <n v="0"/>
    <n v="1933.6139999999998"/>
    <n v="0"/>
    <n v="2081.0769129792648"/>
    <x v="5"/>
  </r>
  <r>
    <s v="Regular"/>
    <x v="1"/>
    <x v="3"/>
    <x v="4"/>
    <x v="3"/>
    <x v="1"/>
    <x v="0"/>
    <x v="1"/>
    <x v="5"/>
    <n v="0"/>
    <n v="0"/>
    <n v="330.03"/>
    <n v="330.03"/>
    <n v="330.03"/>
    <n v="330.03"/>
    <n v="314"/>
    <s v="CATIVO"/>
    <n v="0"/>
    <n v="0"/>
    <n v="17"/>
    <n v="54"/>
    <n v="0"/>
    <n v="91.27"/>
    <n v="112.89"/>
    <m/>
    <n v="104.67518343290003"/>
    <n v="115.04636092388508"/>
    <n v="0"/>
    <n v="125127.57419999999"/>
    <n v="0"/>
    <n v="134670.15952755819"/>
    <x v="5"/>
  </r>
  <r>
    <s v="Refaturamento - Regular"/>
    <x v="1"/>
    <x v="3"/>
    <x v="4"/>
    <x v="3"/>
    <x v="1"/>
    <x v="0"/>
    <x v="1"/>
    <x v="5"/>
    <n v="0"/>
    <n v="0"/>
    <n v="0.15"/>
    <n v="0.15"/>
    <n v="0.15"/>
    <n v="0.15"/>
    <n v="4"/>
    <s v="CATIVO"/>
    <n v="0"/>
    <n v="0"/>
    <n v="17"/>
    <n v="54"/>
    <n v="0"/>
    <n v="91.27"/>
    <n v="112.89"/>
    <m/>
    <n v="104.67518343290003"/>
    <n v="115.04636092388508"/>
    <n v="0"/>
    <n v="56.870999999999995"/>
    <n v="0"/>
    <n v="61.208144499390144"/>
    <x v="5"/>
  </r>
  <r>
    <s v="Sistema de Compensação"/>
    <x v="1"/>
    <x v="3"/>
    <x v="4"/>
    <x v="3"/>
    <x v="1"/>
    <x v="0"/>
    <x v="1"/>
    <x v="5"/>
    <n v="0"/>
    <n v="0"/>
    <n v="5.07"/>
    <n v="5.07"/>
    <n v="5.07"/>
    <n v="5.07"/>
    <n v="17"/>
    <s v="CATIVO"/>
    <n v="0"/>
    <n v="0"/>
    <n v="17"/>
    <n v="54"/>
    <n v="0"/>
    <n v="91.27"/>
    <n v="112.89"/>
    <m/>
    <n v="104.67518343290003"/>
    <n v="115.04636092388508"/>
    <n v="0"/>
    <n v="1922.2398000000001"/>
    <n v="0"/>
    <n v="2068.8352840793868"/>
    <x v="5"/>
  </r>
  <r>
    <s v="Regular"/>
    <x v="1"/>
    <x v="3"/>
    <x v="4"/>
    <x v="3"/>
    <x v="1"/>
    <x v="0"/>
    <x v="1"/>
    <x v="6"/>
    <n v="0"/>
    <n v="0"/>
    <n v="397.71"/>
    <n v="397.71"/>
    <n v="397.71"/>
    <n v="397.71"/>
    <n v="433"/>
    <s v="CATIVO"/>
    <n v="0"/>
    <n v="0"/>
    <n v="17"/>
    <n v="54"/>
    <n v="0"/>
    <n v="91.27"/>
    <n v="112.89"/>
    <m/>
    <n v="104.67518343290003"/>
    <n v="115.04636092388508"/>
    <n v="0"/>
    <n v="150787.76939999999"/>
    <n v="0"/>
    <n v="162287.27432568301"/>
    <x v="5"/>
  </r>
  <r>
    <s v="Refaturamento - Regular"/>
    <x v="1"/>
    <x v="3"/>
    <x v="4"/>
    <x v="3"/>
    <x v="1"/>
    <x v="0"/>
    <x v="1"/>
    <x v="6"/>
    <n v="0"/>
    <n v="0"/>
    <n v="0.27"/>
    <n v="0.27"/>
    <n v="0.27"/>
    <n v="0.27"/>
    <n v="4"/>
    <s v="CATIVO"/>
    <n v="0"/>
    <n v="0"/>
    <n v="17"/>
    <n v="54"/>
    <n v="0"/>
    <n v="91.27"/>
    <n v="112.89"/>
    <m/>
    <n v="104.67518343290003"/>
    <n v="115.04636092388508"/>
    <n v="0"/>
    <n v="102.3678"/>
    <n v="0"/>
    <n v="110.17466009890227"/>
    <x v="5"/>
  </r>
  <r>
    <s v="Sistema de Compensação"/>
    <x v="1"/>
    <x v="3"/>
    <x v="4"/>
    <x v="3"/>
    <x v="1"/>
    <x v="0"/>
    <x v="1"/>
    <x v="6"/>
    <n v="0"/>
    <n v="0"/>
    <n v="5.64"/>
    <n v="5.64"/>
    <n v="5.64"/>
    <n v="5.64"/>
    <n v="25"/>
    <s v="CATIVO"/>
    <n v="0"/>
    <n v="0"/>
    <n v="17"/>
    <n v="54"/>
    <n v="0"/>
    <n v="91.27"/>
    <n v="112.89"/>
    <m/>
    <n v="104.67518343290003"/>
    <n v="115.04636092388508"/>
    <n v="0"/>
    <n v="2138.3496"/>
    <n v="0"/>
    <n v="2301.4262331770692"/>
    <x v="5"/>
  </r>
  <r>
    <s v="Regular"/>
    <x v="1"/>
    <x v="3"/>
    <x v="4"/>
    <x v="3"/>
    <x v="1"/>
    <x v="0"/>
    <x v="1"/>
    <x v="7"/>
    <n v="0"/>
    <n v="0"/>
    <n v="404.76"/>
    <n v="404.76"/>
    <n v="404.76"/>
    <n v="404.76"/>
    <n v="389"/>
    <s v="CATIVO"/>
    <n v="0"/>
    <n v="0"/>
    <n v="17"/>
    <n v="54"/>
    <n v="0"/>
    <n v="91.27"/>
    <n v="112.89"/>
    <m/>
    <n v="104.67518343290003"/>
    <n v="115.04636092388508"/>
    <n v="0"/>
    <n v="153460.7064"/>
    <n v="0"/>
    <n v="165164.05711715436"/>
    <x v="5"/>
  </r>
  <r>
    <s v="Refaturamento - Regular"/>
    <x v="1"/>
    <x v="3"/>
    <x v="4"/>
    <x v="3"/>
    <x v="1"/>
    <x v="0"/>
    <x v="1"/>
    <x v="7"/>
    <n v="0"/>
    <n v="0"/>
    <n v="0.18"/>
    <n v="0.18"/>
    <n v="0.18"/>
    <n v="0.18"/>
    <n v="2"/>
    <s v="CATIVO"/>
    <n v="0"/>
    <n v="0"/>
    <n v="17"/>
    <n v="54"/>
    <n v="0"/>
    <n v="91.27"/>
    <n v="112.89"/>
    <m/>
    <n v="104.67518343290003"/>
    <n v="115.04636092388508"/>
    <n v="0"/>
    <n v="68.245199999999997"/>
    <n v="0"/>
    <n v="73.449773399268167"/>
    <x v="5"/>
  </r>
  <r>
    <s v="Sistema de Compensação"/>
    <x v="1"/>
    <x v="3"/>
    <x v="4"/>
    <x v="3"/>
    <x v="1"/>
    <x v="0"/>
    <x v="1"/>
    <x v="7"/>
    <n v="0"/>
    <n v="0"/>
    <n v="5.46"/>
    <n v="5.46"/>
    <n v="5.46"/>
    <n v="5.46"/>
    <n v="19"/>
    <s v="CATIVO"/>
    <n v="0"/>
    <n v="0"/>
    <n v="17"/>
    <n v="54"/>
    <n v="0"/>
    <n v="91.27"/>
    <n v="112.89"/>
    <m/>
    <n v="104.67518343290003"/>
    <n v="115.04636092388508"/>
    <n v="0"/>
    <n v="2070.1043999999997"/>
    <n v="0"/>
    <n v="2227.9764597778012"/>
    <x v="5"/>
  </r>
  <r>
    <s v="Regular"/>
    <x v="1"/>
    <x v="3"/>
    <x v="4"/>
    <x v="3"/>
    <x v="1"/>
    <x v="0"/>
    <x v="1"/>
    <x v="8"/>
    <n v="0"/>
    <n v="0"/>
    <n v="373.44"/>
    <n v="373.44"/>
    <n v="373.44"/>
    <n v="373.44"/>
    <n v="462"/>
    <s v="CATIVO"/>
    <n v="0"/>
    <n v="0"/>
    <n v="17"/>
    <n v="54"/>
    <n v="0"/>
    <n v="91.27"/>
    <n v="112.89"/>
    <m/>
    <n v="104.67518343290003"/>
    <n v="115.04636092388508"/>
    <n v="0"/>
    <n v="141586.0416"/>
    <n v="0"/>
    <n v="152383.79654568169"/>
    <x v="5"/>
  </r>
  <r>
    <s v="Refaturamento - Regular"/>
    <x v="1"/>
    <x v="3"/>
    <x v="4"/>
    <x v="3"/>
    <x v="1"/>
    <x v="0"/>
    <x v="1"/>
    <x v="8"/>
    <n v="0"/>
    <n v="0"/>
    <n v="0.12"/>
    <n v="0.12"/>
    <n v="0.12"/>
    <n v="0.12"/>
    <n v="1"/>
    <s v="CATIVO"/>
    <n v="0"/>
    <n v="0"/>
    <n v="17"/>
    <n v="54"/>
    <n v="0"/>
    <n v="91.27"/>
    <n v="112.89"/>
    <m/>
    <n v="104.67518343290003"/>
    <n v="115.04636092388508"/>
    <n v="0"/>
    <n v="45.496799999999993"/>
    <n v="0"/>
    <n v="48.966515599512114"/>
    <x v="5"/>
  </r>
  <r>
    <s v="Sistema de Compensação"/>
    <x v="1"/>
    <x v="3"/>
    <x v="4"/>
    <x v="3"/>
    <x v="1"/>
    <x v="0"/>
    <x v="1"/>
    <x v="8"/>
    <n v="0"/>
    <n v="0"/>
    <n v="4.92"/>
    <n v="4.92"/>
    <n v="4.92"/>
    <n v="4.92"/>
    <n v="17"/>
    <s v="CATIVO"/>
    <n v="0"/>
    <n v="0"/>
    <n v="17"/>
    <n v="54"/>
    <n v="0"/>
    <n v="91.27"/>
    <n v="112.89"/>
    <m/>
    <n v="104.67518343290003"/>
    <n v="115.04636092388508"/>
    <n v="0"/>
    <n v="1865.3688"/>
    <n v="0"/>
    <n v="2007.6271395799968"/>
    <x v="5"/>
  </r>
  <r>
    <s v="Regular"/>
    <x v="1"/>
    <x v="3"/>
    <x v="4"/>
    <x v="3"/>
    <x v="1"/>
    <x v="0"/>
    <x v="1"/>
    <x v="9"/>
    <n v="0"/>
    <n v="0"/>
    <n v="393.57"/>
    <n v="393.57"/>
    <n v="393.57"/>
    <n v="393.57"/>
    <n v="524"/>
    <s v="CATIVO"/>
    <n v="0"/>
    <n v="0"/>
    <n v="17"/>
    <n v="54"/>
    <n v="0"/>
    <n v="91.27"/>
    <n v="112.89"/>
    <m/>
    <n v="104.67518343290003"/>
    <n v="115.04636092388508"/>
    <n v="0"/>
    <n v="149218.1298"/>
    <n v="0"/>
    <n v="160597.92953749985"/>
    <x v="5"/>
  </r>
  <r>
    <s v="Refaturamento - Regular"/>
    <x v="1"/>
    <x v="3"/>
    <x v="4"/>
    <x v="3"/>
    <x v="1"/>
    <x v="0"/>
    <x v="1"/>
    <x v="9"/>
    <n v="0"/>
    <n v="0"/>
    <n v="0.12"/>
    <n v="0.12"/>
    <n v="0.12"/>
    <n v="0.12"/>
    <n v="2"/>
    <s v="CATIVO"/>
    <n v="0"/>
    <n v="0"/>
    <n v="17"/>
    <n v="54"/>
    <n v="0"/>
    <n v="91.27"/>
    <n v="112.89"/>
    <m/>
    <n v="104.67518343290003"/>
    <n v="115.04636092388508"/>
    <n v="0"/>
    <n v="45.496799999999993"/>
    <n v="0"/>
    <n v="48.966515599512114"/>
    <x v="5"/>
  </r>
  <r>
    <s v="Sistema de Compensação"/>
    <x v="1"/>
    <x v="3"/>
    <x v="4"/>
    <x v="3"/>
    <x v="1"/>
    <x v="0"/>
    <x v="1"/>
    <x v="9"/>
    <n v="0"/>
    <n v="0"/>
    <n v="5.25"/>
    <n v="5.25"/>
    <n v="5.25"/>
    <n v="5.25"/>
    <n v="20"/>
    <s v="CATIVO"/>
    <n v="0"/>
    <n v="0"/>
    <n v="17"/>
    <n v="54"/>
    <n v="0"/>
    <n v="91.27"/>
    <n v="112.89"/>
    <m/>
    <n v="104.67518343290003"/>
    <n v="115.04636092388508"/>
    <n v="0"/>
    <n v="1990.4849999999999"/>
    <n v="0"/>
    <n v="2142.2850574786548"/>
    <x v="5"/>
  </r>
  <r>
    <s v="Regular"/>
    <x v="1"/>
    <x v="3"/>
    <x v="4"/>
    <x v="3"/>
    <x v="1"/>
    <x v="0"/>
    <x v="1"/>
    <x v="10"/>
    <n v="0"/>
    <n v="0"/>
    <n v="332.52"/>
    <n v="332.52"/>
    <n v="332.52"/>
    <n v="332.52"/>
    <n v="445"/>
    <s v="CATIVO"/>
    <n v="0"/>
    <n v="0"/>
    <n v="17"/>
    <n v="54"/>
    <n v="0"/>
    <n v="91.27"/>
    <n v="112.89"/>
    <m/>
    <n v="104.67518343290003"/>
    <n v="115.04636092388508"/>
    <n v="0"/>
    <n v="126071.63279999999"/>
    <n v="0"/>
    <n v="135686.21472624806"/>
    <x v="5"/>
  </r>
  <r>
    <s v="Refaturamento - Regular"/>
    <x v="1"/>
    <x v="3"/>
    <x v="4"/>
    <x v="3"/>
    <x v="1"/>
    <x v="0"/>
    <x v="1"/>
    <x v="10"/>
    <n v="0"/>
    <n v="0"/>
    <n v="0.18"/>
    <n v="0.18"/>
    <n v="0.18"/>
    <n v="0.18"/>
    <n v="4"/>
    <s v="CATIVO"/>
    <n v="0"/>
    <n v="0"/>
    <n v="17"/>
    <n v="54"/>
    <n v="0"/>
    <n v="91.27"/>
    <n v="112.89"/>
    <m/>
    <n v="104.67518343290003"/>
    <n v="115.04636092388508"/>
    <n v="0"/>
    <n v="68.245199999999997"/>
    <n v="0"/>
    <n v="73.449773399268167"/>
    <x v="5"/>
  </r>
  <r>
    <s v="Sistema de Compensação"/>
    <x v="1"/>
    <x v="3"/>
    <x v="4"/>
    <x v="3"/>
    <x v="1"/>
    <x v="0"/>
    <x v="1"/>
    <x v="10"/>
    <n v="0"/>
    <n v="0"/>
    <n v="4.5"/>
    <n v="4.5"/>
    <n v="4.5"/>
    <n v="4.5"/>
    <n v="16"/>
    <s v="CATIVO"/>
    <n v="0"/>
    <n v="0"/>
    <n v="17"/>
    <n v="54"/>
    <n v="0"/>
    <n v="91.27"/>
    <n v="112.89"/>
    <m/>
    <n v="104.67518343290003"/>
    <n v="115.04636092388508"/>
    <n v="0"/>
    <n v="1706.1299999999999"/>
    <n v="0"/>
    <n v="1836.2443349817042"/>
    <x v="5"/>
  </r>
  <r>
    <s v="PROJETADO"/>
    <x v="1"/>
    <x v="3"/>
    <x v="4"/>
    <x v="3"/>
    <x v="1"/>
    <x v="0"/>
    <x v="1"/>
    <x v="11"/>
    <n v="0"/>
    <n v="0"/>
    <n v="332.52"/>
    <n v="332.52"/>
    <n v="332.52"/>
    <n v="332.52"/>
    <n v="445"/>
    <s v="CATIVO"/>
    <n v="0"/>
    <n v="0"/>
    <n v="17"/>
    <n v="54"/>
    <n v="0"/>
    <n v="91.27"/>
    <n v="112.89"/>
    <m/>
    <n v="104.67518343290003"/>
    <n v="115.04636092388508"/>
    <n v="0"/>
    <n v="126071.63279999999"/>
    <n v="0"/>
    <n v="135686.21472624806"/>
    <x v="5"/>
  </r>
  <r>
    <s v="PROJETADO"/>
    <x v="1"/>
    <x v="3"/>
    <x v="4"/>
    <x v="3"/>
    <x v="1"/>
    <x v="0"/>
    <x v="1"/>
    <x v="11"/>
    <n v="0"/>
    <n v="0"/>
    <n v="0.18"/>
    <n v="0.18"/>
    <n v="0.18"/>
    <n v="0.18"/>
    <n v="4"/>
    <s v="CATIVO"/>
    <n v="0"/>
    <n v="0"/>
    <n v="17"/>
    <n v="54"/>
    <n v="0"/>
    <n v="91.27"/>
    <n v="112.89"/>
    <m/>
    <n v="104.67518343290003"/>
    <n v="115.04636092388508"/>
    <n v="0"/>
    <n v="68.245199999999997"/>
    <n v="0"/>
    <n v="73.449773399268167"/>
    <x v="5"/>
  </r>
  <r>
    <s v="PROJETADO"/>
    <x v="1"/>
    <x v="3"/>
    <x v="4"/>
    <x v="3"/>
    <x v="1"/>
    <x v="0"/>
    <x v="1"/>
    <x v="11"/>
    <n v="0"/>
    <n v="0"/>
    <n v="4.5"/>
    <n v="4.5"/>
    <n v="4.5"/>
    <n v="4.5"/>
    <n v="16"/>
    <s v="CATIVO"/>
    <n v="0"/>
    <n v="0"/>
    <n v="17"/>
    <n v="54"/>
    <n v="0"/>
    <n v="91.27"/>
    <n v="112.89"/>
    <m/>
    <n v="104.67518343290003"/>
    <n v="115.04636092388508"/>
    <n v="0"/>
    <n v="1706.1299999999999"/>
    <n v="0"/>
    <n v="1836.2443349817042"/>
    <x v="5"/>
  </r>
  <r>
    <s v="Regular"/>
    <x v="1"/>
    <x v="3"/>
    <x v="4"/>
    <x v="4"/>
    <x v="1"/>
    <x v="0"/>
    <x v="1"/>
    <x v="0"/>
    <n v="0"/>
    <n v="0"/>
    <n v="597.149"/>
    <n v="597.149"/>
    <n v="597.149"/>
    <n v="597.149"/>
    <n v="2679"/>
    <s v="CATIVO"/>
    <n v="0"/>
    <n v="0"/>
    <n v="18"/>
    <n v="55"/>
    <n v="0"/>
    <n v="156.46"/>
    <n v="193.53"/>
    <m/>
    <n v="179.4431715992572"/>
    <n v="197.22233301237443"/>
    <n v="0"/>
    <n v="139320.83318999995"/>
    <n v="0"/>
    <n v="149950.28627555413"/>
    <x v="5"/>
  </r>
  <r>
    <s v="Sistema de Compensação"/>
    <x v="1"/>
    <x v="3"/>
    <x v="4"/>
    <x v="4"/>
    <x v="1"/>
    <x v="0"/>
    <x v="1"/>
    <x v="0"/>
    <n v="0"/>
    <n v="0"/>
    <n v="8.1050000000000004"/>
    <n v="8.1050000000000004"/>
    <n v="8.1050000000000004"/>
    <n v="8.1050000000000004"/>
    <n v="66"/>
    <s v="CATIVO"/>
    <n v="0"/>
    <n v="0"/>
    <n v="18"/>
    <n v="55"/>
    <n v="0"/>
    <n v="156.46"/>
    <n v="193.53"/>
    <m/>
    <n v="179.4431715992572"/>
    <n v="197.22233301237443"/>
    <n v="0"/>
    <n v="1890.9775499999994"/>
    <n v="0"/>
    <n v="2035.2492765848492"/>
    <x v="5"/>
  </r>
  <r>
    <s v="Regular"/>
    <x v="1"/>
    <x v="3"/>
    <x v="4"/>
    <x v="4"/>
    <x v="1"/>
    <x v="0"/>
    <x v="1"/>
    <x v="1"/>
    <n v="0"/>
    <n v="0"/>
    <n v="615.96799999999996"/>
    <n v="615.96799999999996"/>
    <n v="615.96799999999996"/>
    <n v="615.96799999999996"/>
    <n v="2497"/>
    <s v="CATIVO"/>
    <n v="0"/>
    <n v="0"/>
    <n v="18"/>
    <n v="55"/>
    <n v="0"/>
    <n v="156.46"/>
    <n v="193.53"/>
    <m/>
    <n v="179.4431715992572"/>
    <n v="197.22233301237443"/>
    <n v="0"/>
    <n v="143711.49407999995"/>
    <n v="0"/>
    <n v="154675.93169641163"/>
    <x v="5"/>
  </r>
  <r>
    <s v="Sistema de Compensação"/>
    <x v="1"/>
    <x v="3"/>
    <x v="4"/>
    <x v="4"/>
    <x v="1"/>
    <x v="0"/>
    <x v="1"/>
    <x v="1"/>
    <n v="0"/>
    <n v="0"/>
    <n v="8.7520000000000007"/>
    <n v="8.7520000000000007"/>
    <n v="8.7520000000000007"/>
    <n v="8.7520000000000007"/>
    <n v="60"/>
    <s v="CATIVO"/>
    <n v="0"/>
    <n v="0"/>
    <n v="18"/>
    <n v="55"/>
    <n v="0"/>
    <n v="156.46"/>
    <n v="193.53"/>
    <m/>
    <n v="179.4431715992572"/>
    <n v="197.22233301237443"/>
    <n v="0"/>
    <n v="2041.9291199999993"/>
    <n v="0"/>
    <n v="2197.7176642406666"/>
    <x v="5"/>
  </r>
  <r>
    <s v="Regular"/>
    <x v="1"/>
    <x v="3"/>
    <x v="4"/>
    <x v="4"/>
    <x v="1"/>
    <x v="0"/>
    <x v="1"/>
    <x v="2"/>
    <n v="0"/>
    <n v="0"/>
    <n v="626.92399999999998"/>
    <n v="626.92399999999998"/>
    <n v="626.92399999999998"/>
    <n v="626.92399999999998"/>
    <n v="2712"/>
    <s v="CATIVO"/>
    <n v="0"/>
    <n v="0"/>
    <n v="18"/>
    <n v="55"/>
    <n v="0"/>
    <n v="156.46"/>
    <n v="193.53"/>
    <m/>
    <n v="179.4431715992572"/>
    <n v="197.22233301237443"/>
    <n v="0"/>
    <n v="146267.63843999995"/>
    <n v="0"/>
    <n v="157427.09654209501"/>
    <x v="5"/>
  </r>
  <r>
    <s v="Refaturamento - Regular"/>
    <x v="1"/>
    <x v="3"/>
    <x v="4"/>
    <x v="4"/>
    <x v="1"/>
    <x v="0"/>
    <x v="1"/>
    <x v="2"/>
    <n v="0"/>
    <n v="0"/>
    <n v="3.1E-2"/>
    <n v="3.1E-2"/>
    <n v="3.1E-2"/>
    <n v="3.1E-2"/>
    <n v="1"/>
    <s v="CATIVO"/>
    <n v="0"/>
    <n v="0"/>
    <n v="18"/>
    <n v="55"/>
    <n v="0"/>
    <n v="156.46"/>
    <n v="193.53"/>
    <m/>
    <n v="179.4431715992572"/>
    <n v="197.22233301237443"/>
    <n v="0"/>
    <n v="7.2326099999999975"/>
    <n v="0"/>
    <n v="7.7844204286403853"/>
    <x v="5"/>
  </r>
  <r>
    <s v="Sistema de Compensação"/>
    <x v="1"/>
    <x v="3"/>
    <x v="4"/>
    <x v="4"/>
    <x v="1"/>
    <x v="0"/>
    <x v="1"/>
    <x v="2"/>
    <n v="0"/>
    <n v="0"/>
    <n v="8.3179999999999996"/>
    <n v="8.3179999999999996"/>
    <n v="8.3179999999999996"/>
    <n v="8.3179999999999996"/>
    <n v="68"/>
    <s v="CATIVO"/>
    <n v="0"/>
    <n v="0"/>
    <n v="18"/>
    <n v="55"/>
    <n v="0"/>
    <n v="156.46"/>
    <n v="193.53"/>
    <m/>
    <n v="179.4431715992572"/>
    <n v="197.22233301237443"/>
    <n v="0"/>
    <n v="1940.6725799999992"/>
    <n v="0"/>
    <n v="2088.7357782397007"/>
    <x v="5"/>
  </r>
  <r>
    <s v="Regular"/>
    <x v="1"/>
    <x v="3"/>
    <x v="4"/>
    <x v="4"/>
    <x v="1"/>
    <x v="0"/>
    <x v="1"/>
    <x v="3"/>
    <n v="0"/>
    <n v="0"/>
    <n v="646.73"/>
    <n v="646.73"/>
    <n v="646.73"/>
    <n v="646.73"/>
    <n v="2623"/>
    <s v="CATIVO"/>
    <n v="0"/>
    <n v="0"/>
    <n v="18"/>
    <n v="55"/>
    <n v="0"/>
    <n v="156.46"/>
    <n v="193.53"/>
    <m/>
    <n v="179.4431715992572"/>
    <n v="197.22233301237443"/>
    <n v="0"/>
    <n v="150888.57629999996"/>
    <n v="0"/>
    <n v="162400.587864987"/>
    <x v="5"/>
  </r>
  <r>
    <s v="Refaturamento - Regular"/>
    <x v="1"/>
    <x v="3"/>
    <x v="4"/>
    <x v="4"/>
    <x v="1"/>
    <x v="0"/>
    <x v="1"/>
    <x v="3"/>
    <n v="0"/>
    <n v="0"/>
    <n v="0.26400000000000001"/>
    <n v="0.26400000000000001"/>
    <n v="0.26400000000000001"/>
    <n v="0.26400000000000001"/>
    <n v="14"/>
    <s v="CATIVO"/>
    <n v="0"/>
    <n v="0"/>
    <n v="18"/>
    <n v="55"/>
    <n v="0"/>
    <n v="156.46"/>
    <n v="193.53"/>
    <m/>
    <n v="179.4431715992572"/>
    <n v="197.22233301237443"/>
    <n v="0"/>
    <n v="61.593839999999979"/>
    <n v="0"/>
    <n v="66.293128811647165"/>
    <x v="5"/>
  </r>
  <r>
    <s v="Sistema de Compensação"/>
    <x v="1"/>
    <x v="3"/>
    <x v="4"/>
    <x v="4"/>
    <x v="1"/>
    <x v="0"/>
    <x v="1"/>
    <x v="3"/>
    <n v="0"/>
    <n v="0"/>
    <n v="8.0549999999999997"/>
    <n v="8.0549999999999997"/>
    <n v="8.0549999999999997"/>
    <n v="8.0549999999999997"/>
    <n v="71"/>
    <s v="CATIVO"/>
    <n v="0"/>
    <n v="0"/>
    <n v="18"/>
    <n v="55"/>
    <n v="0"/>
    <n v="156.46"/>
    <n v="193.53"/>
    <m/>
    <n v="179.4431715992572"/>
    <n v="197.22233301237443"/>
    <n v="0"/>
    <n v="1879.3120499999993"/>
    <n v="0"/>
    <n v="2022.6937597644614"/>
    <x v="5"/>
  </r>
  <r>
    <s v="Regular"/>
    <x v="1"/>
    <x v="3"/>
    <x v="4"/>
    <x v="4"/>
    <x v="1"/>
    <x v="0"/>
    <x v="1"/>
    <x v="4"/>
    <n v="0"/>
    <n v="0"/>
    <n v="668.20899999999995"/>
    <n v="668.20899999999995"/>
    <n v="668.20899999999995"/>
    <n v="668.20899999999995"/>
    <n v="2371"/>
    <s v="CATIVO"/>
    <n v="0"/>
    <n v="0"/>
    <n v="18"/>
    <n v="55"/>
    <n v="0"/>
    <n v="156.46"/>
    <n v="193.53"/>
    <m/>
    <n v="179.4431715992572"/>
    <n v="197.22233301237443"/>
    <n v="0"/>
    <n v="155899.84178999992"/>
    <n v="0"/>
    <n v="167794.18678068914"/>
    <x v="5"/>
  </r>
  <r>
    <s v="Refaturamento - Regular"/>
    <x v="1"/>
    <x v="3"/>
    <x v="4"/>
    <x v="4"/>
    <x v="1"/>
    <x v="0"/>
    <x v="1"/>
    <x v="4"/>
    <n v="0"/>
    <n v="0"/>
    <n v="9.7000000000000003E-2"/>
    <n v="9.7000000000000003E-2"/>
    <n v="9.7000000000000003E-2"/>
    <n v="9.7000000000000003E-2"/>
    <n v="2"/>
    <s v="CATIVO"/>
    <n v="0"/>
    <n v="0"/>
    <n v="18"/>
    <n v="55"/>
    <n v="0"/>
    <n v="156.46"/>
    <n v="193.53"/>
    <m/>
    <n v="179.4431715992572"/>
    <n v="197.22233301237443"/>
    <n v="0"/>
    <n v="22.631069999999994"/>
    <n v="0"/>
    <n v="24.357702631552176"/>
    <x v="5"/>
  </r>
  <r>
    <s v="Sistema de Compensação"/>
    <x v="1"/>
    <x v="3"/>
    <x v="4"/>
    <x v="4"/>
    <x v="1"/>
    <x v="0"/>
    <x v="1"/>
    <x v="4"/>
    <n v="0"/>
    <n v="0"/>
    <n v="9.0340000000000007"/>
    <n v="9.0340000000000007"/>
    <n v="9.0340000000000007"/>
    <n v="9.0340000000000007"/>
    <n v="65"/>
    <s v="CATIVO"/>
    <n v="0"/>
    <n v="0"/>
    <n v="18"/>
    <n v="55"/>
    <n v="0"/>
    <n v="156.46"/>
    <n v="193.53"/>
    <m/>
    <n v="179.4431715992572"/>
    <n v="197.22233301237443"/>
    <n v="0"/>
    <n v="2107.7225399999993"/>
    <n v="0"/>
    <n v="2268.5307791076534"/>
    <x v="5"/>
  </r>
  <r>
    <s v="Regular"/>
    <x v="1"/>
    <x v="3"/>
    <x v="4"/>
    <x v="4"/>
    <x v="1"/>
    <x v="0"/>
    <x v="1"/>
    <x v="5"/>
    <n v="0"/>
    <n v="0"/>
    <n v="690.976"/>
    <n v="690.976"/>
    <n v="690.976"/>
    <n v="690.976"/>
    <n v="2199"/>
    <s v="CATIVO"/>
    <n v="0"/>
    <n v="0"/>
    <n v="18"/>
    <n v="55"/>
    <n v="0"/>
    <n v="156.46"/>
    <n v="193.53"/>
    <m/>
    <n v="179.4431715992572"/>
    <n v="197.22233301237443"/>
    <n v="0"/>
    <n v="161211.61055999994"/>
    <n v="0"/>
    <n v="173511.21580968448"/>
    <x v="5"/>
  </r>
  <r>
    <s v="Refaturamento - Regular"/>
    <x v="1"/>
    <x v="3"/>
    <x v="4"/>
    <x v="4"/>
    <x v="1"/>
    <x v="0"/>
    <x v="1"/>
    <x v="5"/>
    <n v="0"/>
    <n v="0"/>
    <n v="6.0000000000000001E-3"/>
    <n v="6.0000000000000001E-3"/>
    <n v="6.0000000000000001E-3"/>
    <n v="6.0000000000000001E-3"/>
    <n v="1"/>
    <s v="CATIVO"/>
    <n v="0"/>
    <n v="0"/>
    <n v="18"/>
    <n v="55"/>
    <n v="0"/>
    <n v="156.46"/>
    <n v="193.53"/>
    <m/>
    <n v="179.4431715992572"/>
    <n v="197.22233301237443"/>
    <n v="0"/>
    <n v="1.3998599999999994"/>
    <n v="0"/>
    <n v="1.5066620184465263"/>
    <x v="5"/>
  </r>
  <r>
    <s v="Sistema de Compensação"/>
    <x v="1"/>
    <x v="3"/>
    <x v="4"/>
    <x v="4"/>
    <x v="1"/>
    <x v="0"/>
    <x v="1"/>
    <x v="5"/>
    <n v="0"/>
    <n v="0"/>
    <n v="8.9779999999999998"/>
    <n v="8.9779999999999998"/>
    <n v="8.9779999999999998"/>
    <n v="8.9779999999999998"/>
    <n v="56"/>
    <s v="CATIVO"/>
    <n v="0"/>
    <n v="0"/>
    <n v="18"/>
    <n v="55"/>
    <n v="0"/>
    <n v="156.46"/>
    <n v="193.53"/>
    <m/>
    <n v="179.4431715992572"/>
    <n v="197.22233301237443"/>
    <n v="0"/>
    <n v="2094.6571799999992"/>
    <n v="0"/>
    <n v="2254.4686002688186"/>
    <x v="5"/>
  </r>
  <r>
    <s v="Regular"/>
    <x v="1"/>
    <x v="3"/>
    <x v="4"/>
    <x v="4"/>
    <x v="1"/>
    <x v="0"/>
    <x v="1"/>
    <x v="6"/>
    <n v="0"/>
    <n v="0"/>
    <n v="826.26599999999996"/>
    <n v="826.26599999999996"/>
    <n v="826.26599999999996"/>
    <n v="826.26599999999996"/>
    <n v="2738"/>
    <s v="CATIVO"/>
    <n v="0"/>
    <n v="0"/>
    <n v="18"/>
    <n v="55"/>
    <n v="0"/>
    <n v="156.46"/>
    <n v="193.53"/>
    <m/>
    <n v="179.4431715992572"/>
    <n v="197.22233301237443"/>
    <n v="0"/>
    <n v="192776.12045999992"/>
    <n v="0"/>
    <n v="207483.93322228958"/>
    <x v="5"/>
  </r>
  <r>
    <s v="Refaturamento - Regular"/>
    <x v="1"/>
    <x v="3"/>
    <x v="4"/>
    <x v="4"/>
    <x v="1"/>
    <x v="0"/>
    <x v="1"/>
    <x v="6"/>
    <n v="0"/>
    <n v="0"/>
    <n v="0.20300000000000001"/>
    <n v="0.20300000000000001"/>
    <n v="0.20300000000000001"/>
    <n v="0.20300000000000001"/>
    <n v="3"/>
    <s v="CATIVO"/>
    <n v="0"/>
    <n v="0"/>
    <n v="18"/>
    <n v="55"/>
    <n v="0"/>
    <n v="156.46"/>
    <n v="193.53"/>
    <m/>
    <n v="179.4431715992572"/>
    <n v="197.22233301237443"/>
    <n v="0"/>
    <n v="47.361929999999987"/>
    <n v="0"/>
    <n v="50.975398290774145"/>
    <x v="5"/>
  </r>
  <r>
    <s v="Sistema de Compensação"/>
    <x v="1"/>
    <x v="3"/>
    <x v="4"/>
    <x v="4"/>
    <x v="1"/>
    <x v="0"/>
    <x v="1"/>
    <x v="6"/>
    <n v="0"/>
    <n v="0"/>
    <n v="9.8320000000000007"/>
    <n v="9.8320000000000007"/>
    <n v="9.8320000000000007"/>
    <n v="9.8320000000000007"/>
    <n v="65"/>
    <s v="CATIVO"/>
    <n v="0"/>
    <n v="0"/>
    <n v="18"/>
    <n v="55"/>
    <n v="0"/>
    <n v="156.46"/>
    <n v="193.53"/>
    <m/>
    <n v="179.4431715992572"/>
    <n v="197.22233301237443"/>
    <n v="0"/>
    <n v="2293.9039199999993"/>
    <n v="0"/>
    <n v="2468.9168275610414"/>
    <x v="5"/>
  </r>
  <r>
    <s v="Regular"/>
    <x v="1"/>
    <x v="3"/>
    <x v="4"/>
    <x v="4"/>
    <x v="1"/>
    <x v="0"/>
    <x v="1"/>
    <x v="7"/>
    <n v="0"/>
    <n v="0"/>
    <n v="844.17399999999998"/>
    <n v="844.17399999999998"/>
    <n v="844.17399999999998"/>
    <n v="844.17399999999998"/>
    <n v="2802"/>
    <s v="CATIVO"/>
    <n v="0"/>
    <n v="0"/>
    <n v="18"/>
    <n v="55"/>
    <n v="0"/>
    <n v="156.46"/>
    <n v="193.53"/>
    <m/>
    <n v="179.4431715992572"/>
    <n v="197.22233301237443"/>
    <n v="0"/>
    <n v="196954.23593999993"/>
    <n v="0"/>
    <n v="211980.81712667964"/>
    <x v="5"/>
  </r>
  <r>
    <s v="Refaturamento - Regular"/>
    <x v="1"/>
    <x v="3"/>
    <x v="4"/>
    <x v="4"/>
    <x v="1"/>
    <x v="0"/>
    <x v="1"/>
    <x v="7"/>
    <n v="0"/>
    <n v="0"/>
    <n v="0.17"/>
    <n v="0.17"/>
    <n v="0.17"/>
    <n v="0.17"/>
    <n v="4"/>
    <s v="CATIVO"/>
    <n v="0"/>
    <n v="0"/>
    <n v="18"/>
    <n v="55"/>
    <n v="0"/>
    <n v="156.46"/>
    <n v="193.53"/>
    <m/>
    <n v="179.4431715992572"/>
    <n v="197.22233301237443"/>
    <n v="0"/>
    <n v="39.662699999999987"/>
    <n v="0"/>
    <n v="42.688757189318245"/>
    <x v="5"/>
  </r>
  <r>
    <s v="Sistema de Compensação"/>
    <x v="1"/>
    <x v="3"/>
    <x v="4"/>
    <x v="4"/>
    <x v="1"/>
    <x v="0"/>
    <x v="1"/>
    <x v="7"/>
    <n v="0"/>
    <n v="0"/>
    <n v="9.8450000000000006"/>
    <n v="9.8450000000000006"/>
    <n v="9.8450000000000006"/>
    <n v="9.8450000000000006"/>
    <n v="62"/>
    <s v="CATIVO"/>
    <n v="0"/>
    <n v="0"/>
    <n v="18"/>
    <n v="55"/>
    <n v="0"/>
    <n v="156.46"/>
    <n v="193.53"/>
    <m/>
    <n v="179.4431715992572"/>
    <n v="197.22233301237443"/>
    <n v="0"/>
    <n v="2296.9369499999993"/>
    <n v="0"/>
    <n v="2472.1812619343418"/>
    <x v="5"/>
  </r>
  <r>
    <s v="Regular"/>
    <x v="1"/>
    <x v="3"/>
    <x v="4"/>
    <x v="4"/>
    <x v="1"/>
    <x v="0"/>
    <x v="1"/>
    <x v="8"/>
    <n v="0"/>
    <n v="0"/>
    <n v="744.93399999999997"/>
    <n v="744.93399999999997"/>
    <n v="744.93399999999997"/>
    <n v="744.93399999999997"/>
    <n v="3418"/>
    <s v="CATIVO"/>
    <n v="0"/>
    <n v="0"/>
    <n v="18"/>
    <n v="55"/>
    <n v="0"/>
    <n v="156.46"/>
    <n v="193.53"/>
    <m/>
    <n v="179.4431715992572"/>
    <n v="197.22233301237443"/>
    <n v="0"/>
    <n v="173800.55153999993"/>
    <n v="0"/>
    <n v="187060.62734157409"/>
    <x v="5"/>
  </r>
  <r>
    <s v="Refaturamento - Regular"/>
    <x v="1"/>
    <x v="3"/>
    <x v="4"/>
    <x v="4"/>
    <x v="1"/>
    <x v="0"/>
    <x v="1"/>
    <x v="8"/>
    <n v="0"/>
    <n v="0"/>
    <n v="0.09"/>
    <n v="0.09"/>
    <n v="0.09"/>
    <n v="0.09"/>
    <n v="3"/>
    <s v="CATIVO"/>
    <n v="0"/>
    <n v="0"/>
    <n v="18"/>
    <n v="55"/>
    <n v="0"/>
    <n v="156.46"/>
    <n v="193.53"/>
    <m/>
    <n v="179.4431715992572"/>
    <n v="197.22233301237443"/>
    <n v="0"/>
    <n v="20.997899999999991"/>
    <n v="0"/>
    <n v="22.599930276697894"/>
    <x v="5"/>
  </r>
  <r>
    <s v="Sistema de Compensação"/>
    <x v="1"/>
    <x v="3"/>
    <x v="4"/>
    <x v="4"/>
    <x v="1"/>
    <x v="0"/>
    <x v="1"/>
    <x v="8"/>
    <n v="0"/>
    <n v="0"/>
    <n v="8.3629999999999995"/>
    <n v="8.3629999999999995"/>
    <n v="8.3629999999999995"/>
    <n v="8.3629999999999995"/>
    <n v="72"/>
    <s v="CATIVO"/>
    <n v="0"/>
    <n v="0"/>
    <n v="18"/>
    <n v="55"/>
    <n v="0"/>
    <n v="156.46"/>
    <n v="193.53"/>
    <m/>
    <n v="179.4431715992572"/>
    <n v="197.22233301237443"/>
    <n v="0"/>
    <n v="1951.1715299999992"/>
    <n v="0"/>
    <n v="2100.0357433780496"/>
    <x v="5"/>
  </r>
  <r>
    <s v="Regular"/>
    <x v="1"/>
    <x v="3"/>
    <x v="4"/>
    <x v="4"/>
    <x v="1"/>
    <x v="0"/>
    <x v="1"/>
    <x v="9"/>
    <n v="0"/>
    <n v="0"/>
    <n v="760.18700000000001"/>
    <n v="760.18700000000001"/>
    <n v="760.18700000000001"/>
    <n v="760.18700000000001"/>
    <n v="4296"/>
    <s v="CATIVO"/>
    <n v="0"/>
    <n v="0"/>
    <n v="18"/>
    <n v="55"/>
    <n v="0"/>
    <n v="156.46"/>
    <n v="193.53"/>
    <m/>
    <n v="179.4431715992572"/>
    <n v="197.22233301237443"/>
    <n v="0"/>
    <n v="177359.22896999994"/>
    <n v="0"/>
    <n v="190890.81330280157"/>
    <x v="5"/>
  </r>
  <r>
    <s v="Refaturamento - Regular"/>
    <x v="1"/>
    <x v="3"/>
    <x v="4"/>
    <x v="4"/>
    <x v="1"/>
    <x v="0"/>
    <x v="1"/>
    <x v="9"/>
    <n v="0"/>
    <n v="0"/>
    <n v="0.03"/>
    <n v="0.03"/>
    <n v="0.03"/>
    <n v="0.03"/>
    <n v="2"/>
    <s v="CATIVO"/>
    <n v="0"/>
    <n v="0"/>
    <n v="18"/>
    <n v="55"/>
    <n v="0"/>
    <n v="156.46"/>
    <n v="193.53"/>
    <m/>
    <n v="179.4431715992572"/>
    <n v="197.22233301237443"/>
    <n v="0"/>
    <n v="6.9992999999999972"/>
    <n v="0"/>
    <n v="7.5333100922326306"/>
    <x v="5"/>
  </r>
  <r>
    <s v="Sistema de Compensação"/>
    <x v="1"/>
    <x v="3"/>
    <x v="4"/>
    <x v="4"/>
    <x v="1"/>
    <x v="0"/>
    <x v="1"/>
    <x v="9"/>
    <n v="0"/>
    <n v="0"/>
    <n v="8.2219999999999995"/>
    <n v="8.2219999999999995"/>
    <n v="8.2219999999999995"/>
    <n v="8.2219999999999995"/>
    <n v="87"/>
    <s v="CATIVO"/>
    <n v="0"/>
    <n v="0"/>
    <n v="18"/>
    <n v="55"/>
    <n v="0"/>
    <n v="156.46"/>
    <n v="193.53"/>
    <m/>
    <n v="179.4431715992572"/>
    <n v="197.22233301237443"/>
    <n v="0"/>
    <n v="1918.2748199999992"/>
    <n v="0"/>
    <n v="2064.6291859445564"/>
    <x v="5"/>
  </r>
  <r>
    <s v="Regular"/>
    <x v="1"/>
    <x v="3"/>
    <x v="4"/>
    <x v="4"/>
    <x v="1"/>
    <x v="0"/>
    <x v="1"/>
    <x v="10"/>
    <n v="0"/>
    <n v="0"/>
    <n v="627.928"/>
    <n v="627.928"/>
    <n v="627.928"/>
    <n v="627.928"/>
    <n v="4086"/>
    <s v="CATIVO"/>
    <n v="0"/>
    <n v="0"/>
    <n v="18"/>
    <n v="55"/>
    <n v="0"/>
    <n v="156.46"/>
    <n v="193.53"/>
    <m/>
    <n v="179.4431715992572"/>
    <n v="197.22233301237443"/>
    <n v="0"/>
    <n v="146501.88167999993"/>
    <n v="0"/>
    <n v="157679.2113198484"/>
    <x v="5"/>
  </r>
  <r>
    <s v="Refaturamento - Regular"/>
    <x v="1"/>
    <x v="3"/>
    <x v="4"/>
    <x v="4"/>
    <x v="1"/>
    <x v="0"/>
    <x v="1"/>
    <x v="10"/>
    <n v="0"/>
    <n v="0"/>
    <n v="9.8000000000000004E-2"/>
    <n v="9.8000000000000004E-2"/>
    <n v="9.8000000000000004E-2"/>
    <n v="9.8000000000000004E-2"/>
    <n v="1"/>
    <s v="CATIVO"/>
    <n v="0"/>
    <n v="0"/>
    <n v="18"/>
    <n v="55"/>
    <n v="0"/>
    <n v="156.46"/>
    <n v="193.53"/>
    <m/>
    <n v="179.4431715992572"/>
    <n v="197.22233301237443"/>
    <n v="0"/>
    <n v="22.864379999999993"/>
    <n v="0"/>
    <n v="24.608812967959931"/>
    <x v="5"/>
  </r>
  <r>
    <s v="Sistema de Compensação"/>
    <x v="1"/>
    <x v="3"/>
    <x v="4"/>
    <x v="4"/>
    <x v="1"/>
    <x v="0"/>
    <x v="1"/>
    <x v="10"/>
    <n v="0"/>
    <n v="0"/>
    <n v="7.0810000000000004"/>
    <n v="7.0810000000000004"/>
    <n v="7.0810000000000004"/>
    <n v="7.0810000000000004"/>
    <n v="72"/>
    <s v="CATIVO"/>
    <n v="0"/>
    <n v="0"/>
    <n v="18"/>
    <n v="55"/>
    <n v="0"/>
    <n v="156.46"/>
    <n v="193.53"/>
    <m/>
    <n v="179.4431715992572"/>
    <n v="197.22233301237443"/>
    <n v="0"/>
    <n v="1652.0681099999995"/>
    <n v="0"/>
    <n v="1778.1122921033088"/>
    <x v="5"/>
  </r>
  <r>
    <s v="PROJETADO"/>
    <x v="1"/>
    <x v="3"/>
    <x v="4"/>
    <x v="4"/>
    <x v="1"/>
    <x v="0"/>
    <x v="1"/>
    <x v="11"/>
    <n v="0"/>
    <n v="0"/>
    <n v="627.928"/>
    <n v="627.928"/>
    <n v="627.928"/>
    <n v="627.928"/>
    <n v="4086"/>
    <s v="CATIVO"/>
    <n v="0"/>
    <n v="0"/>
    <n v="18"/>
    <n v="55"/>
    <n v="0"/>
    <n v="156.46"/>
    <n v="193.53"/>
    <m/>
    <n v="179.4431715992572"/>
    <n v="197.22233301237443"/>
    <n v="0"/>
    <n v="146501.88167999993"/>
    <n v="0"/>
    <n v="157679.2113198484"/>
    <x v="5"/>
  </r>
  <r>
    <s v="PROJETADO"/>
    <x v="1"/>
    <x v="3"/>
    <x v="4"/>
    <x v="4"/>
    <x v="1"/>
    <x v="0"/>
    <x v="1"/>
    <x v="11"/>
    <n v="0"/>
    <n v="0"/>
    <n v="9.8000000000000004E-2"/>
    <n v="9.8000000000000004E-2"/>
    <n v="9.8000000000000004E-2"/>
    <n v="9.8000000000000004E-2"/>
    <n v="1"/>
    <s v="CATIVO"/>
    <n v="0"/>
    <n v="0"/>
    <n v="18"/>
    <n v="55"/>
    <n v="0"/>
    <n v="156.46"/>
    <n v="193.53"/>
    <m/>
    <n v="179.4431715992572"/>
    <n v="197.22233301237443"/>
    <n v="0"/>
    <n v="22.864379999999993"/>
    <n v="0"/>
    <n v="24.608812967959931"/>
    <x v="5"/>
  </r>
  <r>
    <s v="PROJETADO"/>
    <x v="1"/>
    <x v="3"/>
    <x v="4"/>
    <x v="4"/>
    <x v="1"/>
    <x v="0"/>
    <x v="1"/>
    <x v="11"/>
    <n v="0"/>
    <n v="0"/>
    <n v="7.0810000000000004"/>
    <n v="7.0810000000000004"/>
    <n v="7.0810000000000004"/>
    <n v="7.0810000000000004"/>
    <n v="72"/>
    <s v="CATIVO"/>
    <n v="0"/>
    <n v="0"/>
    <n v="18"/>
    <n v="55"/>
    <n v="0"/>
    <n v="156.46"/>
    <n v="193.53"/>
    <m/>
    <n v="179.4431715992572"/>
    <n v="197.22233301237443"/>
    <n v="0"/>
    <n v="1652.0681099999995"/>
    <n v="0"/>
    <n v="1778.1122921033088"/>
    <x v="5"/>
  </r>
  <r>
    <s v="Regular"/>
    <x v="1"/>
    <x v="3"/>
    <x v="4"/>
    <x v="5"/>
    <x v="1"/>
    <x v="0"/>
    <x v="1"/>
    <x v="0"/>
    <n v="0"/>
    <n v="0"/>
    <n v="450.00700000000001"/>
    <n v="450.00700000000001"/>
    <n v="450.00700000000001"/>
    <n v="450.00700000000001"/>
    <n v="5438"/>
    <s v="CATIVO"/>
    <n v="0"/>
    <n v="0"/>
    <n v="19"/>
    <n v="56"/>
    <n v="0"/>
    <n v="234.68"/>
    <n v="290.29000000000002"/>
    <m/>
    <n v="269.1647573988858"/>
    <n v="295.83349951856167"/>
    <n v="0"/>
    <n v="26248.908309999966"/>
    <n v="0"/>
    <n v="28250.352288961058"/>
    <x v="5"/>
  </r>
  <r>
    <s v="Sistema de Compensação"/>
    <x v="1"/>
    <x v="3"/>
    <x v="4"/>
    <x v="5"/>
    <x v="1"/>
    <x v="0"/>
    <x v="1"/>
    <x v="0"/>
    <n v="0"/>
    <n v="0"/>
    <n v="4.25"/>
    <n v="4.25"/>
    <n v="4.25"/>
    <n v="4.25"/>
    <n v="75"/>
    <s v="CATIVO"/>
    <n v="0"/>
    <n v="0"/>
    <n v="19"/>
    <n v="56"/>
    <n v="0"/>
    <n v="234.68"/>
    <n v="290.29000000000002"/>
    <m/>
    <n v="269.1647573988858"/>
    <n v="295.83349951856167"/>
    <n v="0"/>
    <n v="247.90249999999969"/>
    <n v="0"/>
    <n v="266.80473243323883"/>
    <x v="5"/>
  </r>
  <r>
    <s v="Regular"/>
    <x v="1"/>
    <x v="3"/>
    <x v="4"/>
    <x v="5"/>
    <x v="1"/>
    <x v="0"/>
    <x v="1"/>
    <x v="1"/>
    <n v="0"/>
    <n v="0"/>
    <n v="491.18599999999998"/>
    <n v="491.18599999999998"/>
    <n v="491.18599999999998"/>
    <n v="491.18599999999998"/>
    <n v="5567"/>
    <s v="CATIVO"/>
    <n v="0"/>
    <n v="0"/>
    <n v="19"/>
    <n v="56"/>
    <n v="0"/>
    <n v="234.68"/>
    <n v="290.29000000000002"/>
    <m/>
    <n v="269.1647573988858"/>
    <n v="295.83349951856167"/>
    <n v="0"/>
    <n v="28650.879379999962"/>
    <n v="0"/>
    <n v="30835.470424694784"/>
    <x v="5"/>
  </r>
  <r>
    <s v="Sistema de Compensação"/>
    <x v="1"/>
    <x v="3"/>
    <x v="4"/>
    <x v="5"/>
    <x v="1"/>
    <x v="0"/>
    <x v="1"/>
    <x v="1"/>
    <n v="0"/>
    <n v="0"/>
    <n v="5.4349999999999996"/>
    <n v="5.4349999999999996"/>
    <n v="5.4349999999999996"/>
    <n v="5.4349999999999996"/>
    <n v="78"/>
    <s v="CATIVO"/>
    <n v="0"/>
    <n v="0"/>
    <n v="19"/>
    <n v="56"/>
    <n v="0"/>
    <n v="234.68"/>
    <n v="290.29000000000002"/>
    <m/>
    <n v="269.1647573988858"/>
    <n v="295.83349951856167"/>
    <n v="0"/>
    <n v="317.0235499999996"/>
    <n v="0"/>
    <n v="341.19616959403595"/>
    <x v="5"/>
  </r>
  <r>
    <s v="Regular"/>
    <x v="1"/>
    <x v="3"/>
    <x v="4"/>
    <x v="5"/>
    <x v="1"/>
    <x v="0"/>
    <x v="1"/>
    <x v="2"/>
    <n v="0"/>
    <n v="0"/>
    <n v="483.25599999999997"/>
    <n v="483.25599999999997"/>
    <n v="483.25599999999997"/>
    <n v="483.25599999999997"/>
    <n v="5716"/>
    <s v="CATIVO"/>
    <n v="0"/>
    <n v="0"/>
    <n v="19"/>
    <n v="56"/>
    <n v="0"/>
    <n v="234.68"/>
    <n v="290.29000000000002"/>
    <m/>
    <n v="269.1647573988858"/>
    <n v="295.83349951856167"/>
    <n v="0"/>
    <n v="28188.322479999963"/>
    <n v="0"/>
    <n v="30337.644182766413"/>
    <x v="5"/>
  </r>
  <r>
    <s v="Sistema de Compensação"/>
    <x v="1"/>
    <x v="3"/>
    <x v="4"/>
    <x v="5"/>
    <x v="1"/>
    <x v="0"/>
    <x v="1"/>
    <x v="2"/>
    <n v="0"/>
    <n v="0"/>
    <n v="4.3049999999999997"/>
    <n v="4.3049999999999997"/>
    <n v="4.3049999999999997"/>
    <n v="4.3049999999999997"/>
    <n v="78"/>
    <s v="CATIVO"/>
    <n v="0"/>
    <n v="0"/>
    <n v="19"/>
    <n v="56"/>
    <n v="0"/>
    <n v="234.68"/>
    <n v="290.29000000000002"/>
    <m/>
    <n v="269.1647573988858"/>
    <n v="295.83349951856167"/>
    <n v="0"/>
    <n v="251.11064999999968"/>
    <n v="0"/>
    <n v="270.25749955884544"/>
    <x v="5"/>
  </r>
  <r>
    <s v="Regular"/>
    <x v="1"/>
    <x v="3"/>
    <x v="4"/>
    <x v="5"/>
    <x v="1"/>
    <x v="0"/>
    <x v="1"/>
    <x v="3"/>
    <n v="0"/>
    <n v="0"/>
    <n v="512.75900000000001"/>
    <n v="512.75900000000001"/>
    <n v="512.75900000000001"/>
    <n v="512.75900000000001"/>
    <n v="5890"/>
    <s v="CATIVO"/>
    <n v="0"/>
    <n v="0"/>
    <n v="19"/>
    <n v="56"/>
    <n v="0"/>
    <n v="234.68"/>
    <n v="290.29000000000002"/>
    <m/>
    <n v="269.1647573988858"/>
    <n v="295.83349951856167"/>
    <n v="0"/>
    <n v="29909.232469999963"/>
    <n v="0"/>
    <n v="32189.771246525906"/>
    <x v="5"/>
  </r>
  <r>
    <s v="Refaturamento - Regular"/>
    <x v="1"/>
    <x v="3"/>
    <x v="4"/>
    <x v="5"/>
    <x v="1"/>
    <x v="0"/>
    <x v="1"/>
    <x v="3"/>
    <n v="0"/>
    <n v="0"/>
    <n v="-9.7000000000000003E-2"/>
    <n v="-9.7000000000000003E-2"/>
    <n v="-9.7000000000000003E-2"/>
    <n v="-9.7000000000000003E-2"/>
    <n v="3"/>
    <s v="CATIVO"/>
    <n v="0"/>
    <n v="0"/>
    <n v="19"/>
    <n v="56"/>
    <n v="0"/>
    <n v="234.68"/>
    <n v="290.29000000000002"/>
    <m/>
    <n v="269.1647573988858"/>
    <n v="295.83349951856167"/>
    <n v="0"/>
    <n v="-5.6580099999999929"/>
    <n v="0"/>
    <n v="-6.0894256578880386"/>
    <x v="5"/>
  </r>
  <r>
    <s v="Sistema de Compensação"/>
    <x v="1"/>
    <x v="3"/>
    <x v="4"/>
    <x v="5"/>
    <x v="1"/>
    <x v="0"/>
    <x v="1"/>
    <x v="3"/>
    <n v="0"/>
    <n v="0"/>
    <n v="3.9460000000000002"/>
    <n v="3.9460000000000002"/>
    <n v="3.9460000000000002"/>
    <n v="3.9460000000000002"/>
    <n v="71"/>
    <s v="CATIVO"/>
    <n v="0"/>
    <n v="0"/>
    <n v="19"/>
    <n v="56"/>
    <n v="0"/>
    <n v="234.68"/>
    <n v="290.29000000000002"/>
    <m/>
    <n v="269.1647573988858"/>
    <n v="295.83349951856167"/>
    <n v="0"/>
    <n v="230.17017999999973"/>
    <n v="0"/>
    <n v="247.72034686624951"/>
    <x v="5"/>
  </r>
  <r>
    <s v="Regular"/>
    <x v="1"/>
    <x v="3"/>
    <x v="4"/>
    <x v="5"/>
    <x v="1"/>
    <x v="0"/>
    <x v="1"/>
    <x v="4"/>
    <n v="0"/>
    <n v="0"/>
    <n v="575.22"/>
    <n v="575.22"/>
    <n v="575.22"/>
    <n v="575.22"/>
    <n v="5935"/>
    <s v="CATIVO"/>
    <n v="0"/>
    <n v="0"/>
    <n v="19"/>
    <n v="56"/>
    <n v="0"/>
    <n v="234.68"/>
    <n v="290.29000000000002"/>
    <m/>
    <n v="269.1647573988858"/>
    <n v="295.83349951856167"/>
    <n v="0"/>
    <n v="33552.582599999958"/>
    <n v="0"/>
    <n v="36110.921927117088"/>
    <x v="5"/>
  </r>
  <r>
    <s v="Refaturamento - Regular"/>
    <x v="1"/>
    <x v="3"/>
    <x v="4"/>
    <x v="5"/>
    <x v="1"/>
    <x v="0"/>
    <x v="1"/>
    <x v="4"/>
    <n v="0"/>
    <n v="0"/>
    <n v="2.1000000000000001E-2"/>
    <n v="2.1000000000000001E-2"/>
    <n v="2.1000000000000001E-2"/>
    <n v="2.1000000000000001E-2"/>
    <n v="2"/>
    <s v="CATIVO"/>
    <n v="0"/>
    <n v="0"/>
    <n v="19"/>
    <n v="56"/>
    <n v="0"/>
    <n v="234.68"/>
    <n v="290.29000000000002"/>
    <m/>
    <n v="269.1647573988858"/>
    <n v="295.83349951856167"/>
    <n v="0"/>
    <n v="1.2249299999999985"/>
    <n v="0"/>
    <n v="1.3183292661407096"/>
    <x v="5"/>
  </r>
  <r>
    <s v="Sistema de Compensação"/>
    <x v="1"/>
    <x v="3"/>
    <x v="4"/>
    <x v="5"/>
    <x v="1"/>
    <x v="0"/>
    <x v="1"/>
    <x v="4"/>
    <n v="0"/>
    <n v="0"/>
    <n v="5.07"/>
    <n v="5.07"/>
    <n v="5.07"/>
    <n v="5.07"/>
    <n v="75"/>
    <s v="CATIVO"/>
    <n v="0"/>
    <n v="0"/>
    <n v="19"/>
    <n v="56"/>
    <n v="0"/>
    <n v="234.68"/>
    <n v="290.29000000000002"/>
    <m/>
    <n v="269.1647573988858"/>
    <n v="295.83349951856167"/>
    <n v="0"/>
    <n v="295.73309999999964"/>
    <n v="0"/>
    <n v="318.28235139682846"/>
    <x v="5"/>
  </r>
  <r>
    <s v="Regular"/>
    <x v="1"/>
    <x v="3"/>
    <x v="4"/>
    <x v="5"/>
    <x v="1"/>
    <x v="0"/>
    <x v="1"/>
    <x v="5"/>
    <n v="0"/>
    <n v="0"/>
    <n v="631.27800000000002"/>
    <n v="631.27800000000002"/>
    <n v="631.27800000000002"/>
    <n v="631.27800000000002"/>
    <n v="5962"/>
    <s v="CATIVO"/>
    <n v="0"/>
    <n v="0"/>
    <n v="19"/>
    <n v="56"/>
    <n v="0"/>
    <n v="234.68"/>
    <n v="290.29000000000002"/>
    <m/>
    <n v="269.1647573988858"/>
    <n v="295.83349951856167"/>
    <n v="0"/>
    <n v="36822.445739999952"/>
    <n v="0"/>
    <n v="39630.107736703561"/>
    <x v="5"/>
  </r>
  <r>
    <s v="Sistema de Compensação"/>
    <x v="1"/>
    <x v="3"/>
    <x v="4"/>
    <x v="5"/>
    <x v="1"/>
    <x v="0"/>
    <x v="1"/>
    <x v="5"/>
    <n v="0"/>
    <n v="0"/>
    <n v="5.9489999999999998"/>
    <n v="5.9489999999999998"/>
    <n v="5.9489999999999998"/>
    <n v="5.9489999999999998"/>
    <n v="83"/>
    <s v="CATIVO"/>
    <n v="0"/>
    <n v="0"/>
    <n v="19"/>
    <n v="56"/>
    <n v="0"/>
    <n v="234.68"/>
    <n v="290.29000000000002"/>
    <m/>
    <n v="269.1647573988858"/>
    <n v="295.83349951856167"/>
    <n v="0"/>
    <n v="347.00516999999957"/>
    <n v="0"/>
    <n v="373.4638478224324"/>
    <x v="5"/>
  </r>
  <r>
    <s v="Regular"/>
    <x v="1"/>
    <x v="3"/>
    <x v="4"/>
    <x v="5"/>
    <x v="1"/>
    <x v="0"/>
    <x v="1"/>
    <x v="6"/>
    <n v="0"/>
    <n v="0"/>
    <n v="761.79200000000003"/>
    <n v="761.79200000000003"/>
    <n v="761.79200000000003"/>
    <n v="761.79200000000003"/>
    <n v="6963"/>
    <s v="CATIVO"/>
    <n v="0"/>
    <n v="0"/>
    <n v="19"/>
    <n v="56"/>
    <n v="0"/>
    <n v="234.68"/>
    <n v="290.29000000000002"/>
    <m/>
    <n v="269.1647573988858"/>
    <n v="295.83349951856167"/>
    <n v="0"/>
    <n v="44435.327359999945"/>
    <n v="0"/>
    <n v="47823.46134818397"/>
    <x v="5"/>
  </r>
  <r>
    <s v="Refaturamento - Regular"/>
    <x v="1"/>
    <x v="3"/>
    <x v="4"/>
    <x v="5"/>
    <x v="1"/>
    <x v="0"/>
    <x v="1"/>
    <x v="6"/>
    <n v="0"/>
    <n v="0"/>
    <n v="0.13600000000000001"/>
    <n v="0.13600000000000001"/>
    <n v="0.13600000000000001"/>
    <n v="0.13600000000000001"/>
    <n v="2"/>
    <s v="CATIVO"/>
    <n v="0"/>
    <n v="0"/>
    <n v="19"/>
    <n v="56"/>
    <n v="0"/>
    <n v="234.68"/>
    <n v="290.29000000000002"/>
    <m/>
    <n v="269.1647573988858"/>
    <n v="295.83349951856167"/>
    <n v="0"/>
    <n v="7.932879999999991"/>
    <n v="0"/>
    <n v="8.5377514378636423"/>
    <x v="5"/>
  </r>
  <r>
    <s v="Sistema de Compensação"/>
    <x v="1"/>
    <x v="3"/>
    <x v="4"/>
    <x v="5"/>
    <x v="1"/>
    <x v="0"/>
    <x v="1"/>
    <x v="6"/>
    <n v="0"/>
    <n v="0"/>
    <n v="5.52"/>
    <n v="5.52"/>
    <n v="5.52"/>
    <n v="5.52"/>
    <n v="82"/>
    <s v="CATIVO"/>
    <n v="0"/>
    <n v="0"/>
    <n v="19"/>
    <n v="56"/>
    <n v="0"/>
    <n v="234.68"/>
    <n v="290.29000000000002"/>
    <m/>
    <n v="269.1647573988858"/>
    <n v="295.83349951856167"/>
    <n v="0"/>
    <n v="321.98159999999956"/>
    <n v="0"/>
    <n v="346.53226424270076"/>
    <x v="5"/>
  </r>
  <r>
    <s v="Regular"/>
    <x v="1"/>
    <x v="3"/>
    <x v="4"/>
    <x v="5"/>
    <x v="1"/>
    <x v="0"/>
    <x v="1"/>
    <x v="7"/>
    <n v="0"/>
    <n v="0"/>
    <n v="773.93899999999996"/>
    <n v="773.93899999999996"/>
    <n v="773.93899999999996"/>
    <n v="773.93899999999996"/>
    <n v="7117"/>
    <s v="CATIVO"/>
    <n v="0"/>
    <n v="0"/>
    <n v="19"/>
    <n v="56"/>
    <n v="0"/>
    <n v="234.68"/>
    <n v="290.29000000000002"/>
    <m/>
    <n v="269.1647573988858"/>
    <n v="295.83349951856167"/>
    <n v="0"/>
    <n v="45143.861869999942"/>
    <n v="0"/>
    <n v="48586.02066227021"/>
    <x v="5"/>
  </r>
  <r>
    <s v="Sistema de Compensação"/>
    <x v="1"/>
    <x v="3"/>
    <x v="4"/>
    <x v="5"/>
    <x v="1"/>
    <x v="0"/>
    <x v="1"/>
    <x v="7"/>
    <n v="0"/>
    <n v="0"/>
    <n v="5.9610000000000003"/>
    <n v="5.9610000000000003"/>
    <n v="5.9610000000000003"/>
    <n v="5.9610000000000003"/>
    <n v="86"/>
    <s v="CATIVO"/>
    <n v="0"/>
    <n v="0"/>
    <n v="19"/>
    <n v="56"/>
    <n v="0"/>
    <n v="234.68"/>
    <n v="290.29000000000002"/>
    <m/>
    <n v="269.1647573988858"/>
    <n v="295.83349951856167"/>
    <n v="0"/>
    <n v="347.7051299999996"/>
    <n v="0"/>
    <n v="374.2171788316557"/>
    <x v="5"/>
  </r>
  <r>
    <s v="Regular"/>
    <x v="1"/>
    <x v="3"/>
    <x v="4"/>
    <x v="5"/>
    <x v="1"/>
    <x v="0"/>
    <x v="1"/>
    <x v="8"/>
    <n v="0"/>
    <n v="0"/>
    <n v="578.27800000000002"/>
    <n v="578.27800000000002"/>
    <n v="578.27800000000002"/>
    <n v="578.27800000000002"/>
    <n v="6538"/>
    <s v="CATIVO"/>
    <n v="0"/>
    <n v="0"/>
    <n v="19"/>
    <n v="56"/>
    <n v="0"/>
    <n v="234.68"/>
    <n v="290.29000000000002"/>
    <m/>
    <n v="269.1647573988858"/>
    <n v="295.83349951856167"/>
    <n v="0"/>
    <n v="33730.955739999961"/>
    <n v="0"/>
    <n v="36302.895779300816"/>
    <x v="5"/>
  </r>
  <r>
    <s v="Refaturamento - Regular"/>
    <x v="1"/>
    <x v="3"/>
    <x v="4"/>
    <x v="5"/>
    <x v="1"/>
    <x v="0"/>
    <x v="1"/>
    <x v="8"/>
    <n v="0"/>
    <n v="0"/>
    <n v="-7.3999999999999996E-2"/>
    <n v="-7.3999999999999996E-2"/>
    <n v="-7.3999999999999996E-2"/>
    <n v="-7.3999999999999996E-2"/>
    <n v="0"/>
    <s v="CATIVO"/>
    <n v="0"/>
    <n v="0"/>
    <n v="19"/>
    <n v="56"/>
    <n v="0"/>
    <n v="234.68"/>
    <n v="290.29000000000002"/>
    <m/>
    <n v="269.1647573988858"/>
    <n v="295.83349951856167"/>
    <n v="0"/>
    <n v="-4.3164199999999946"/>
    <n v="0"/>
    <n v="-4.6455412235434519"/>
    <x v="5"/>
  </r>
  <r>
    <s v="Sistema de Compensação"/>
    <x v="1"/>
    <x v="3"/>
    <x v="4"/>
    <x v="5"/>
    <x v="1"/>
    <x v="0"/>
    <x v="1"/>
    <x v="8"/>
    <n v="0"/>
    <n v="0"/>
    <n v="4.4569999999999999"/>
    <n v="4.4569999999999999"/>
    <n v="4.4569999999999999"/>
    <n v="4.4569999999999999"/>
    <n v="60"/>
    <s v="CATIVO"/>
    <n v="0"/>
    <n v="0"/>
    <n v="19"/>
    <n v="56"/>
    <n v="0"/>
    <n v="234.68"/>
    <n v="290.29000000000002"/>
    <m/>
    <n v="269.1647573988858"/>
    <n v="295.83349951856167"/>
    <n v="0"/>
    <n v="259.97680999999966"/>
    <n v="0"/>
    <n v="279.79969234234011"/>
    <x v="5"/>
  </r>
  <r>
    <s v="Regular"/>
    <x v="1"/>
    <x v="3"/>
    <x v="4"/>
    <x v="5"/>
    <x v="1"/>
    <x v="0"/>
    <x v="1"/>
    <x v="9"/>
    <n v="0"/>
    <n v="0"/>
    <n v="508.09199999999998"/>
    <n v="508.09199999999998"/>
    <n v="508.09199999999998"/>
    <n v="508.09199999999998"/>
    <n v="6780"/>
    <s v="CATIVO"/>
    <n v="0"/>
    <n v="0"/>
    <n v="19"/>
    <n v="56"/>
    <n v="0"/>
    <n v="234.68"/>
    <n v="290.29000000000002"/>
    <m/>
    <n v="269.1647573988858"/>
    <n v="295.83349951856167"/>
    <n v="0"/>
    <n v="29637.006359999963"/>
    <n v="0"/>
    <n v="31896.788261522157"/>
    <x v="5"/>
  </r>
  <r>
    <s v="Sistema de Compensação"/>
    <x v="1"/>
    <x v="3"/>
    <x v="4"/>
    <x v="5"/>
    <x v="1"/>
    <x v="0"/>
    <x v="1"/>
    <x v="9"/>
    <n v="0"/>
    <n v="0"/>
    <n v="3.7810000000000001"/>
    <n v="3.7810000000000001"/>
    <n v="3.7810000000000001"/>
    <n v="3.7810000000000001"/>
    <n v="59"/>
    <s v="CATIVO"/>
    <n v="0"/>
    <n v="0"/>
    <n v="19"/>
    <n v="56"/>
    <n v="0"/>
    <n v="234.68"/>
    <n v="290.29000000000002"/>
    <m/>
    <n v="269.1647573988858"/>
    <n v="295.83349951856167"/>
    <n v="0"/>
    <n v="220.54572999999974"/>
    <n v="0"/>
    <n v="237.36204548942965"/>
    <x v="5"/>
  </r>
  <r>
    <s v="Regular"/>
    <x v="1"/>
    <x v="3"/>
    <x v="4"/>
    <x v="5"/>
    <x v="1"/>
    <x v="0"/>
    <x v="1"/>
    <x v="10"/>
    <n v="0"/>
    <n v="0"/>
    <n v="372.983"/>
    <n v="372.983"/>
    <n v="372.983"/>
    <n v="372.983"/>
    <n v="5580"/>
    <s v="CATIVO"/>
    <n v="0"/>
    <n v="0"/>
    <n v="19"/>
    <n v="56"/>
    <n v="0"/>
    <n v="234.68"/>
    <n v="290.29000000000002"/>
    <m/>
    <n v="269.1647573988858"/>
    <n v="295.83349951856167"/>
    <n v="0"/>
    <n v="21756.098389999974"/>
    <n v="0"/>
    <n v="23414.971651093343"/>
    <x v="5"/>
  </r>
  <r>
    <s v="Refaturamento - Regular"/>
    <x v="1"/>
    <x v="3"/>
    <x v="4"/>
    <x v="5"/>
    <x v="1"/>
    <x v="0"/>
    <x v="1"/>
    <x v="10"/>
    <n v="0"/>
    <n v="0"/>
    <n v="4.2000000000000003E-2"/>
    <n v="4.2000000000000003E-2"/>
    <n v="4.2000000000000003E-2"/>
    <n v="4.2000000000000003E-2"/>
    <n v="1"/>
    <s v="CATIVO"/>
    <n v="0"/>
    <n v="0"/>
    <n v="19"/>
    <n v="56"/>
    <n v="0"/>
    <n v="234.68"/>
    <n v="290.29000000000002"/>
    <m/>
    <n v="269.1647573988858"/>
    <n v="295.83349951856167"/>
    <n v="0"/>
    <n v="2.449859999999997"/>
    <n v="0"/>
    <n v="2.6366585322814191"/>
    <x v="5"/>
  </r>
  <r>
    <s v="Sistema de Compensação"/>
    <x v="1"/>
    <x v="3"/>
    <x v="4"/>
    <x v="5"/>
    <x v="1"/>
    <x v="0"/>
    <x v="1"/>
    <x v="10"/>
    <n v="0"/>
    <n v="0"/>
    <n v="3.3650000000000002"/>
    <n v="3.3650000000000002"/>
    <n v="3.3650000000000002"/>
    <n v="3.3650000000000002"/>
    <n v="54"/>
    <s v="CATIVO"/>
    <n v="0"/>
    <n v="0"/>
    <n v="19"/>
    <n v="56"/>
    <n v="0"/>
    <n v="234.68"/>
    <n v="290.29000000000002"/>
    <m/>
    <n v="269.1647573988858"/>
    <n v="295.83349951856167"/>
    <n v="0"/>
    <n v="196.28044999999977"/>
    <n v="0"/>
    <n v="211.24657050302321"/>
    <x v="5"/>
  </r>
  <r>
    <s v="PROJETADO"/>
    <x v="1"/>
    <x v="3"/>
    <x v="4"/>
    <x v="5"/>
    <x v="1"/>
    <x v="0"/>
    <x v="1"/>
    <x v="11"/>
    <n v="0"/>
    <n v="0"/>
    <n v="372.983"/>
    <n v="372.983"/>
    <n v="372.983"/>
    <n v="372.983"/>
    <n v="5580"/>
    <s v="CATIVO"/>
    <n v="0"/>
    <n v="0"/>
    <n v="19"/>
    <n v="56"/>
    <n v="0"/>
    <n v="234.68"/>
    <n v="290.29000000000002"/>
    <m/>
    <n v="269.1647573988858"/>
    <n v="295.83349951856167"/>
    <n v="0"/>
    <n v="21756.098389999974"/>
    <n v="0"/>
    <n v="23414.971651093343"/>
    <x v="5"/>
  </r>
  <r>
    <s v="PROJETADO"/>
    <x v="1"/>
    <x v="3"/>
    <x v="4"/>
    <x v="5"/>
    <x v="1"/>
    <x v="0"/>
    <x v="1"/>
    <x v="11"/>
    <n v="0"/>
    <n v="0"/>
    <n v="4.2000000000000003E-2"/>
    <n v="4.2000000000000003E-2"/>
    <n v="4.2000000000000003E-2"/>
    <n v="4.2000000000000003E-2"/>
    <n v="1"/>
    <s v="CATIVO"/>
    <n v="0"/>
    <n v="0"/>
    <n v="19"/>
    <n v="56"/>
    <n v="0"/>
    <n v="234.68"/>
    <n v="290.29000000000002"/>
    <m/>
    <n v="269.1647573988858"/>
    <n v="295.83349951856167"/>
    <n v="0"/>
    <n v="2.449859999999997"/>
    <n v="0"/>
    <n v="2.6366585322814191"/>
    <x v="5"/>
  </r>
  <r>
    <s v="PROJETADO"/>
    <x v="1"/>
    <x v="3"/>
    <x v="4"/>
    <x v="5"/>
    <x v="1"/>
    <x v="0"/>
    <x v="1"/>
    <x v="11"/>
    <n v="0"/>
    <n v="0"/>
    <n v="3.3650000000000002"/>
    <n v="3.3650000000000002"/>
    <n v="3.3650000000000002"/>
    <n v="3.3650000000000002"/>
    <n v="54"/>
    <s v="CATIVO"/>
    <n v="0"/>
    <n v="0"/>
    <n v="19"/>
    <n v="56"/>
    <n v="0"/>
    <n v="234.68"/>
    <n v="290.29000000000002"/>
    <m/>
    <n v="269.1647573988858"/>
    <n v="295.83349951856167"/>
    <n v="0"/>
    <n v="196.28044999999977"/>
    <n v="0"/>
    <n v="211.24657050302321"/>
    <x v="5"/>
  </r>
  <r>
    <s v="Regular"/>
    <x v="1"/>
    <x v="3"/>
    <x v="4"/>
    <x v="6"/>
    <x v="1"/>
    <x v="0"/>
    <x v="1"/>
    <x v="0"/>
    <n v="0"/>
    <n v="0"/>
    <n v="109.006"/>
    <n v="109.006"/>
    <n v="109.006"/>
    <n v="109.006"/>
    <n v="1450"/>
    <s v="CATIVO"/>
    <n v="0"/>
    <n v="0"/>
    <n v="20"/>
    <n v="57"/>
    <n v="0"/>
    <n v="260.76"/>
    <n v="322.54000000000002"/>
    <m/>
    <n v="299.07195266542868"/>
    <n v="328.70388835395738"/>
    <n v="0"/>
    <n v="-6.1962737163412385E-12"/>
    <n v="0"/>
    <n v="-6.1962737163412385E-12"/>
    <x v="5"/>
  </r>
  <r>
    <s v="Sistema de Compensação"/>
    <x v="1"/>
    <x v="3"/>
    <x v="4"/>
    <x v="6"/>
    <x v="1"/>
    <x v="0"/>
    <x v="1"/>
    <x v="0"/>
    <n v="0"/>
    <n v="0"/>
    <n v="0.191"/>
    <n v="0.191"/>
    <n v="0.191"/>
    <n v="0.191"/>
    <n v="6"/>
    <s v="CATIVO"/>
    <n v="0"/>
    <n v="0"/>
    <n v="20"/>
    <n v="57"/>
    <n v="0"/>
    <n v="260.76"/>
    <n v="322.54000000000002"/>
    <m/>
    <n v="299.07195266542868"/>
    <n v="328.70388835395738"/>
    <n v="0"/>
    <n v="-1.0857093002414331E-14"/>
    <n v="0"/>
    <n v="-1.0857093002414331E-14"/>
    <x v="5"/>
  </r>
  <r>
    <s v="Regular"/>
    <x v="1"/>
    <x v="3"/>
    <x v="4"/>
    <x v="6"/>
    <x v="1"/>
    <x v="0"/>
    <x v="1"/>
    <x v="1"/>
    <n v="0"/>
    <n v="0"/>
    <n v="127.86799999999999"/>
    <n v="127.86799999999999"/>
    <n v="127.86799999999999"/>
    <n v="127.86799999999999"/>
    <n v="1675"/>
    <s v="CATIVO"/>
    <n v="0"/>
    <n v="0"/>
    <n v="20"/>
    <n v="57"/>
    <n v="0"/>
    <n v="260.76"/>
    <n v="322.54000000000002"/>
    <m/>
    <n v="299.07195266542868"/>
    <n v="328.70388835395738"/>
    <n v="0"/>
    <n v="-7.268454282893799E-12"/>
    <n v="0"/>
    <n v="-7.268454282893799E-12"/>
    <x v="5"/>
  </r>
  <r>
    <s v="Sistema de Compensação"/>
    <x v="1"/>
    <x v="3"/>
    <x v="4"/>
    <x v="6"/>
    <x v="1"/>
    <x v="0"/>
    <x v="1"/>
    <x v="1"/>
    <n v="0"/>
    <n v="0"/>
    <n v="0.46899999999999997"/>
    <n v="0.46899999999999997"/>
    <n v="0.46899999999999997"/>
    <n v="0.46899999999999997"/>
    <n v="12"/>
    <s v="CATIVO"/>
    <n v="0"/>
    <n v="0"/>
    <n v="20"/>
    <n v="57"/>
    <n v="0"/>
    <n v="260.76"/>
    <n v="322.54000000000002"/>
    <m/>
    <n v="299.07195266542868"/>
    <n v="328.70388835395738"/>
    <n v="0"/>
    <n v="-2.6659563445718957E-14"/>
    <n v="0"/>
    <n v="-2.6659563445718957E-14"/>
    <x v="5"/>
  </r>
  <r>
    <s v="Regular"/>
    <x v="1"/>
    <x v="3"/>
    <x v="4"/>
    <x v="6"/>
    <x v="1"/>
    <x v="0"/>
    <x v="1"/>
    <x v="2"/>
    <n v="0"/>
    <n v="0"/>
    <n v="118.97799999999999"/>
    <n v="118.97799999999999"/>
    <n v="118.97799999999999"/>
    <n v="118.97799999999999"/>
    <n v="1569"/>
    <s v="CATIVO"/>
    <n v="0"/>
    <n v="0"/>
    <n v="20"/>
    <n v="57"/>
    <n v="0"/>
    <n v="260.76"/>
    <n v="322.54000000000002"/>
    <m/>
    <n v="299.07195266542868"/>
    <n v="328.70388835395738"/>
    <n v="0"/>
    <n v="-6.7631162892212157E-12"/>
    <n v="0"/>
    <n v="-6.7631162892212157E-12"/>
    <x v="5"/>
  </r>
  <r>
    <s v="Sistema de Compensação"/>
    <x v="1"/>
    <x v="3"/>
    <x v="4"/>
    <x v="6"/>
    <x v="1"/>
    <x v="0"/>
    <x v="1"/>
    <x v="2"/>
    <n v="0"/>
    <n v="0"/>
    <n v="0.182"/>
    <n v="0.182"/>
    <n v="0.182"/>
    <n v="0.182"/>
    <n v="3"/>
    <s v="CATIVO"/>
    <n v="0"/>
    <n v="0"/>
    <n v="20"/>
    <n v="57"/>
    <n v="0"/>
    <n v="260.76"/>
    <n v="322.54000000000002"/>
    <m/>
    <n v="299.07195266542868"/>
    <n v="328.70388835395738"/>
    <n v="0"/>
    <n v="-1.0345502232667058E-14"/>
    <n v="0"/>
    <n v="-1.0345502232667058E-14"/>
    <x v="5"/>
  </r>
  <r>
    <s v="Regular"/>
    <x v="1"/>
    <x v="3"/>
    <x v="4"/>
    <x v="6"/>
    <x v="1"/>
    <x v="0"/>
    <x v="1"/>
    <x v="3"/>
    <n v="0"/>
    <n v="0"/>
    <n v="128.209"/>
    <n v="128.209"/>
    <n v="128.209"/>
    <n v="128.209"/>
    <n v="1730"/>
    <s v="CATIVO"/>
    <n v="0"/>
    <n v="0"/>
    <n v="20"/>
    <n v="57"/>
    <n v="0"/>
    <n v="260.76"/>
    <n v="322.54000000000002"/>
    <m/>
    <n v="299.07195266542868"/>
    <n v="328.70388835395738"/>
    <n v="0"/>
    <n v="-7.287837888725335E-12"/>
    <n v="0"/>
    <n v="-7.287837888725335E-12"/>
    <x v="5"/>
  </r>
  <r>
    <s v="Refaturamento - Regular"/>
    <x v="1"/>
    <x v="3"/>
    <x v="4"/>
    <x v="6"/>
    <x v="1"/>
    <x v="0"/>
    <x v="1"/>
    <x v="3"/>
    <n v="0"/>
    <n v="0"/>
    <n v="-7.8E-2"/>
    <n v="-7.8E-2"/>
    <n v="-7.8E-2"/>
    <n v="-7.8E-2"/>
    <n v="-2"/>
    <s v="CATIVO"/>
    <n v="0"/>
    <n v="0"/>
    <n v="20"/>
    <n v="57"/>
    <n v="0"/>
    <n v="260.76"/>
    <n v="322.54000000000002"/>
    <m/>
    <n v="299.07195266542868"/>
    <n v="328.70388835395738"/>
    <n v="0"/>
    <n v="4.4337866711430252E-15"/>
    <n v="0"/>
    <n v="4.4337866711430252E-15"/>
    <x v="5"/>
  </r>
  <r>
    <s v="Sistema de Compensação"/>
    <x v="1"/>
    <x v="3"/>
    <x v="4"/>
    <x v="6"/>
    <x v="1"/>
    <x v="0"/>
    <x v="1"/>
    <x v="3"/>
    <n v="0"/>
    <n v="0"/>
    <n v="0.28799999999999998"/>
    <n v="0.28799999999999998"/>
    <n v="0.28799999999999998"/>
    <n v="0.28799999999999998"/>
    <n v="5"/>
    <s v="CATIVO"/>
    <n v="0"/>
    <n v="0"/>
    <n v="20"/>
    <n v="57"/>
    <n v="0"/>
    <n v="260.76"/>
    <n v="322.54000000000002"/>
    <m/>
    <n v="299.07195266542868"/>
    <n v="328.70388835395738"/>
    <n v="0"/>
    <n v="-1.6370904631912707E-14"/>
    <n v="0"/>
    <n v="-1.6370904631912707E-14"/>
    <x v="5"/>
  </r>
  <r>
    <s v="Regular"/>
    <x v="1"/>
    <x v="3"/>
    <x v="4"/>
    <x v="6"/>
    <x v="1"/>
    <x v="0"/>
    <x v="1"/>
    <x v="4"/>
    <n v="0"/>
    <n v="0"/>
    <n v="168.92099999999999"/>
    <n v="168.92099999999999"/>
    <n v="168.92099999999999"/>
    <n v="168.92099999999999"/>
    <n v="2126"/>
    <s v="CATIVO"/>
    <n v="0"/>
    <n v="0"/>
    <n v="20"/>
    <n v="57"/>
    <n v="0"/>
    <n v="260.76"/>
    <n v="322.54000000000002"/>
    <m/>
    <n v="299.07195266542868"/>
    <n v="328.70388835395738"/>
    <n v="0"/>
    <n v="-9.6020471573865502E-12"/>
    <n v="0"/>
    <n v="-9.6020471573865502E-12"/>
    <x v="5"/>
  </r>
  <r>
    <s v="Refaturamento - Regular"/>
    <x v="1"/>
    <x v="3"/>
    <x v="4"/>
    <x v="6"/>
    <x v="1"/>
    <x v="0"/>
    <x v="1"/>
    <x v="4"/>
    <n v="0"/>
    <n v="0"/>
    <n v="-0.88200000000000001"/>
    <n v="-0.88200000000000001"/>
    <n v="-0.88200000000000001"/>
    <n v="-0.88200000000000001"/>
    <n v="-1"/>
    <s v="CATIVO"/>
    <n v="0"/>
    <n v="0"/>
    <n v="20"/>
    <n v="57"/>
    <n v="0"/>
    <n v="260.76"/>
    <n v="322.54000000000002"/>
    <m/>
    <n v="299.07195266542868"/>
    <n v="328.70388835395738"/>
    <n v="0"/>
    <n v="5.0135895435232669E-14"/>
    <n v="0"/>
    <n v="5.0135895435232669E-14"/>
    <x v="5"/>
  </r>
  <r>
    <s v="Sistema de Compensação"/>
    <x v="1"/>
    <x v="3"/>
    <x v="4"/>
    <x v="6"/>
    <x v="1"/>
    <x v="0"/>
    <x v="1"/>
    <x v="4"/>
    <n v="0"/>
    <n v="0"/>
    <n v="0.61"/>
    <n v="0.61"/>
    <n v="0.61"/>
    <n v="0.61"/>
    <n v="14"/>
    <s v="CATIVO"/>
    <n v="0"/>
    <n v="0"/>
    <n v="20"/>
    <n v="57"/>
    <n v="0"/>
    <n v="260.76"/>
    <n v="322.54000000000002"/>
    <m/>
    <n v="299.07195266542868"/>
    <n v="328.70388835395738"/>
    <n v="0"/>
    <n v="-3.4674485505092888E-14"/>
    <n v="0"/>
    <n v="-3.4674485505092888E-14"/>
    <x v="5"/>
  </r>
  <r>
    <s v="Regular"/>
    <x v="1"/>
    <x v="3"/>
    <x v="4"/>
    <x v="6"/>
    <x v="1"/>
    <x v="0"/>
    <x v="1"/>
    <x v="5"/>
    <n v="0"/>
    <n v="0"/>
    <n v="222.44399999999999"/>
    <n v="222.44399999999999"/>
    <n v="222.44399999999999"/>
    <n v="222.44399999999999"/>
    <n v="2526"/>
    <s v="CATIVO"/>
    <n v="0"/>
    <n v="0"/>
    <n v="20"/>
    <n v="57"/>
    <n v="0"/>
    <n v="260.76"/>
    <n v="322.54000000000002"/>
    <m/>
    <n v="299.07195266542868"/>
    <n v="328.70388835395738"/>
    <n v="0"/>
    <n v="-1.2644477465073577E-11"/>
    <n v="0"/>
    <n v="-1.2644477465073577E-11"/>
    <x v="5"/>
  </r>
  <r>
    <s v="Sistema de Compensação"/>
    <x v="1"/>
    <x v="3"/>
    <x v="4"/>
    <x v="6"/>
    <x v="1"/>
    <x v="0"/>
    <x v="1"/>
    <x v="5"/>
    <n v="0"/>
    <n v="0"/>
    <n v="0.68100000000000005"/>
    <n v="0.68100000000000005"/>
    <n v="0.68100000000000005"/>
    <n v="0.68100000000000005"/>
    <n v="13"/>
    <s v="CATIVO"/>
    <n v="0"/>
    <n v="0"/>
    <n v="20"/>
    <n v="57"/>
    <n v="0"/>
    <n v="260.76"/>
    <n v="322.54000000000002"/>
    <m/>
    <n v="299.07195266542868"/>
    <n v="328.70388835395738"/>
    <n v="0"/>
    <n v="-3.8710368244210261E-14"/>
    <n v="0"/>
    <n v="-3.8710368244210261E-14"/>
    <x v="5"/>
  </r>
  <r>
    <s v="Regular"/>
    <x v="1"/>
    <x v="3"/>
    <x v="4"/>
    <x v="6"/>
    <x v="1"/>
    <x v="0"/>
    <x v="1"/>
    <x v="6"/>
    <n v="0"/>
    <n v="0"/>
    <n v="285.83800000000002"/>
    <n v="285.83800000000002"/>
    <n v="285.83800000000002"/>
    <n v="285.83800000000002"/>
    <n v="3123"/>
    <s v="CATIVO"/>
    <n v="0"/>
    <n v="0"/>
    <n v="20"/>
    <n v="57"/>
    <n v="0"/>
    <n v="260.76"/>
    <n v="322.54000000000002"/>
    <m/>
    <n v="299.07195266542868"/>
    <n v="328.70388835395738"/>
    <n v="0"/>
    <n v="-1.6248009160335643E-11"/>
    <n v="0"/>
    <n v="-1.6248009160335643E-11"/>
    <x v="5"/>
  </r>
  <r>
    <s v="Sistema de Compensação"/>
    <x v="1"/>
    <x v="3"/>
    <x v="4"/>
    <x v="6"/>
    <x v="1"/>
    <x v="0"/>
    <x v="1"/>
    <x v="6"/>
    <n v="0"/>
    <n v="0"/>
    <n v="1.347"/>
    <n v="1.347"/>
    <n v="1.347"/>
    <n v="1.347"/>
    <n v="16"/>
    <s v="CATIVO"/>
    <n v="0"/>
    <n v="0"/>
    <n v="20"/>
    <n v="57"/>
    <n v="0"/>
    <n v="260.76"/>
    <n v="322.54000000000002"/>
    <m/>
    <n v="299.07195266542868"/>
    <n v="328.70388835395738"/>
    <n v="0"/>
    <n v="-7.6568085205508395E-14"/>
    <n v="0"/>
    <n v="-7.6568085205508395E-14"/>
    <x v="5"/>
  </r>
  <r>
    <s v="Regular"/>
    <x v="1"/>
    <x v="3"/>
    <x v="4"/>
    <x v="6"/>
    <x v="1"/>
    <x v="0"/>
    <x v="1"/>
    <x v="7"/>
    <n v="0"/>
    <n v="0"/>
    <n v="292.87"/>
    <n v="292.87"/>
    <n v="292.87"/>
    <n v="292.87"/>
    <n v="3184"/>
    <s v="CATIVO"/>
    <n v="0"/>
    <n v="0"/>
    <n v="20"/>
    <n v="57"/>
    <n v="0"/>
    <n v="260.76"/>
    <n v="322.54000000000002"/>
    <m/>
    <n v="299.07195266542868"/>
    <n v="328.70388835395738"/>
    <n v="0"/>
    <n v="-1.6647732081764844E-11"/>
    <n v="0"/>
    <n v="-1.6647732081764844E-11"/>
    <x v="5"/>
  </r>
  <r>
    <s v="Sistema de Compensação"/>
    <x v="1"/>
    <x v="3"/>
    <x v="4"/>
    <x v="6"/>
    <x v="1"/>
    <x v="0"/>
    <x v="1"/>
    <x v="7"/>
    <n v="0"/>
    <n v="0"/>
    <n v="1.137"/>
    <n v="1.137"/>
    <n v="1.137"/>
    <n v="1.137"/>
    <n v="15"/>
    <s v="CATIVO"/>
    <n v="0"/>
    <n v="0"/>
    <n v="20"/>
    <n v="57"/>
    <n v="0"/>
    <n v="260.76"/>
    <n v="322.54000000000002"/>
    <m/>
    <n v="299.07195266542868"/>
    <n v="328.70388835395738"/>
    <n v="0"/>
    <n v="-6.4630967244738714E-14"/>
    <n v="0"/>
    <n v="-6.4630967244738714E-14"/>
    <x v="5"/>
  </r>
  <r>
    <s v="Regular"/>
    <x v="1"/>
    <x v="3"/>
    <x v="4"/>
    <x v="6"/>
    <x v="1"/>
    <x v="0"/>
    <x v="1"/>
    <x v="8"/>
    <n v="0"/>
    <n v="0"/>
    <n v="169.56299999999999"/>
    <n v="169.56299999999999"/>
    <n v="169.56299999999999"/>
    <n v="169.56299999999999"/>
    <n v="2030"/>
    <s v="CATIVO"/>
    <n v="0"/>
    <n v="0"/>
    <n v="20"/>
    <n v="57"/>
    <n v="0"/>
    <n v="260.76"/>
    <n v="322.54000000000002"/>
    <m/>
    <n v="299.07195266542868"/>
    <n v="328.70388835395738"/>
    <n v="0"/>
    <n v="-9.6385406322951888E-12"/>
    <n v="0"/>
    <n v="-9.6385406322951888E-12"/>
    <x v="5"/>
  </r>
  <r>
    <s v="Sistema de Compensação"/>
    <x v="1"/>
    <x v="3"/>
    <x v="4"/>
    <x v="6"/>
    <x v="1"/>
    <x v="0"/>
    <x v="1"/>
    <x v="8"/>
    <n v="0"/>
    <n v="0"/>
    <n v="1.4379999999999999"/>
    <n v="1.4379999999999999"/>
    <n v="1.4379999999999999"/>
    <n v="1.4379999999999999"/>
    <n v="15"/>
    <s v="CATIVO"/>
    <n v="0"/>
    <n v="0"/>
    <n v="20"/>
    <n v="57"/>
    <n v="0"/>
    <n v="260.76"/>
    <n v="322.54000000000002"/>
    <m/>
    <n v="299.07195266542868"/>
    <n v="328.70388835395738"/>
    <n v="0"/>
    <n v="-8.1740836321841922E-14"/>
    <n v="0"/>
    <n v="-8.1740836321841922E-14"/>
    <x v="5"/>
  </r>
  <r>
    <s v="Regular"/>
    <x v="1"/>
    <x v="3"/>
    <x v="4"/>
    <x v="6"/>
    <x v="1"/>
    <x v="0"/>
    <x v="1"/>
    <x v="9"/>
    <n v="0"/>
    <n v="0"/>
    <n v="114.813"/>
    <n v="114.813"/>
    <n v="114.813"/>
    <n v="114.813"/>
    <n v="1519"/>
    <s v="CATIVO"/>
    <n v="0"/>
    <n v="0"/>
    <n v="20"/>
    <n v="57"/>
    <n v="0"/>
    <n v="260.76"/>
    <n v="322.54000000000002"/>
    <m/>
    <n v="299.07195266542868"/>
    <n v="328.70388835395738"/>
    <n v="0"/>
    <n v="-6.5263634496659507E-12"/>
    <n v="0"/>
    <n v="-6.5263634496659507E-12"/>
    <x v="5"/>
  </r>
  <r>
    <s v="Sistema de Compensação"/>
    <x v="1"/>
    <x v="3"/>
    <x v="4"/>
    <x v="6"/>
    <x v="1"/>
    <x v="0"/>
    <x v="1"/>
    <x v="9"/>
    <n v="0"/>
    <n v="0"/>
    <n v="0.79500000000000004"/>
    <n v="0.79500000000000004"/>
    <n v="0.79500000000000004"/>
    <n v="0.79500000000000004"/>
    <n v="9"/>
    <s v="CATIVO"/>
    <n v="0"/>
    <n v="0"/>
    <n v="20"/>
    <n v="57"/>
    <n v="0"/>
    <n v="260.76"/>
    <n v="322.54000000000002"/>
    <m/>
    <n v="299.07195266542868"/>
    <n v="328.70388835395738"/>
    <n v="0"/>
    <n v="-4.5190517994342374E-14"/>
    <n v="0"/>
    <n v="-4.5190517994342374E-14"/>
    <x v="5"/>
  </r>
  <r>
    <s v="Regular"/>
    <x v="1"/>
    <x v="3"/>
    <x v="4"/>
    <x v="6"/>
    <x v="1"/>
    <x v="0"/>
    <x v="1"/>
    <x v="10"/>
    <n v="0"/>
    <n v="0"/>
    <n v="66.433999999999997"/>
    <n v="66.433999999999997"/>
    <n v="66.433999999999997"/>
    <n v="66.433999999999997"/>
    <n v="973"/>
    <s v="CATIVO"/>
    <n v="0"/>
    <n v="0"/>
    <n v="20"/>
    <n v="57"/>
    <n v="0"/>
    <n v="260.76"/>
    <n v="322.54000000000002"/>
    <m/>
    <n v="299.07195266542868"/>
    <n v="328.70388835395738"/>
    <n v="0"/>
    <n v="-3.7763356885989195E-12"/>
    <n v="0"/>
    <n v="-3.7763356885989195E-12"/>
    <x v="5"/>
  </r>
  <r>
    <s v="Sistema de Compensação"/>
    <x v="1"/>
    <x v="3"/>
    <x v="4"/>
    <x v="6"/>
    <x v="1"/>
    <x v="0"/>
    <x v="1"/>
    <x v="10"/>
    <n v="0"/>
    <n v="0"/>
    <n v="0.56399999999999995"/>
    <n v="0.56399999999999995"/>
    <n v="0.56399999999999995"/>
    <n v="0.56399999999999995"/>
    <n v="8"/>
    <s v="CATIVO"/>
    <n v="0"/>
    <n v="0"/>
    <n v="20"/>
    <n v="57"/>
    <n v="0"/>
    <n v="260.76"/>
    <n v="322.54000000000002"/>
    <m/>
    <n v="299.07195266542868"/>
    <n v="328.70388835395738"/>
    <n v="0"/>
    <n v="-3.2059688237495717E-14"/>
    <n v="0"/>
    <n v="-3.2059688237495717E-14"/>
    <x v="5"/>
  </r>
  <r>
    <s v="PROJETADO"/>
    <x v="1"/>
    <x v="3"/>
    <x v="4"/>
    <x v="6"/>
    <x v="1"/>
    <x v="0"/>
    <x v="1"/>
    <x v="11"/>
    <n v="0"/>
    <n v="0"/>
    <n v="66.433999999999997"/>
    <n v="66.433999999999997"/>
    <n v="66.433999999999997"/>
    <n v="66.433999999999997"/>
    <n v="973"/>
    <s v="CATIVO"/>
    <n v="0"/>
    <n v="0"/>
    <n v="20"/>
    <n v="57"/>
    <n v="0"/>
    <n v="260.76"/>
    <n v="322.54000000000002"/>
    <m/>
    <n v="299.07195266542868"/>
    <n v="328.70388835395738"/>
    <n v="0"/>
    <n v="-3.7763356885989195E-12"/>
    <n v="0"/>
    <n v="-3.7763356885989195E-12"/>
    <x v="5"/>
  </r>
  <r>
    <s v="PROJETADO"/>
    <x v="1"/>
    <x v="3"/>
    <x v="4"/>
    <x v="6"/>
    <x v="1"/>
    <x v="0"/>
    <x v="1"/>
    <x v="11"/>
    <n v="0"/>
    <n v="0"/>
    <n v="0.56399999999999995"/>
    <n v="0.56399999999999995"/>
    <n v="0.56399999999999995"/>
    <n v="0.56399999999999995"/>
    <n v="8"/>
    <s v="CATIVO"/>
    <n v="0"/>
    <n v="0"/>
    <n v="20"/>
    <n v="57"/>
    <n v="0"/>
    <n v="260.76"/>
    <n v="322.54000000000002"/>
    <m/>
    <n v="299.07195266542868"/>
    <n v="328.70388835395738"/>
    <n v="0"/>
    <n v="-3.2059688237495717E-14"/>
    <n v="0"/>
    <n v="-3.2059688237495717E-14"/>
    <x v="5"/>
  </r>
  <r>
    <s v="Regular"/>
    <x v="2"/>
    <x v="4"/>
    <x v="1"/>
    <x v="0"/>
    <x v="1"/>
    <x v="0"/>
    <x v="0"/>
    <x v="0"/>
    <n v="0"/>
    <n v="0"/>
    <n v="0.439"/>
    <n v="0.439"/>
    <n v="0.439"/>
    <n v="0.439"/>
    <n v="0"/>
    <s v="CATIVO"/>
    <n v="0"/>
    <n v="0"/>
    <n v="28"/>
    <n v="65"/>
    <n v="0"/>
    <n v="228.11"/>
    <n v="270.23"/>
    <m/>
    <n v="351.50479000877084"/>
    <n v="294.41717594294374"/>
    <n v="0"/>
    <n v="13.964122978723406"/>
    <n v="0"/>
    <n v="18.099558067200171"/>
    <x v="1"/>
  </r>
  <r>
    <s v="Regular"/>
    <x v="2"/>
    <x v="4"/>
    <x v="1"/>
    <x v="0"/>
    <x v="1"/>
    <x v="0"/>
    <x v="0"/>
    <x v="1"/>
    <n v="0"/>
    <n v="0"/>
    <n v="0.68200000000000005"/>
    <n v="0.68200000000000005"/>
    <n v="0.68200000000000005"/>
    <n v="0.68200000000000005"/>
    <n v="0"/>
    <s v="CATIVO"/>
    <n v="0"/>
    <n v="0"/>
    <n v="28"/>
    <n v="65"/>
    <n v="0"/>
    <n v="228.11"/>
    <n v="270.23"/>
    <m/>
    <n v="351.50479000877084"/>
    <n v="294.41717594294374"/>
    <n v="0"/>
    <n v="21.693694468085113"/>
    <n v="0"/>
    <n v="28.118220049727835"/>
    <x v="1"/>
  </r>
  <r>
    <s v="Regular"/>
    <x v="2"/>
    <x v="4"/>
    <x v="1"/>
    <x v="0"/>
    <x v="1"/>
    <x v="0"/>
    <x v="0"/>
    <x v="2"/>
    <n v="0"/>
    <n v="0"/>
    <n v="0.317"/>
    <n v="0.317"/>
    <n v="0.317"/>
    <n v="0.317"/>
    <n v="0"/>
    <s v="CATIVO"/>
    <n v="0"/>
    <n v="0"/>
    <n v="28"/>
    <n v="65"/>
    <n v="0"/>
    <n v="228.11"/>
    <n v="270.23"/>
    <m/>
    <n v="351.50479000877084"/>
    <n v="294.41717594294374"/>
    <n v="0"/>
    <n v="10.083432765957451"/>
    <n v="0"/>
    <n v="13.069612545108097"/>
    <x v="1"/>
  </r>
  <r>
    <s v="Regular"/>
    <x v="2"/>
    <x v="4"/>
    <x v="1"/>
    <x v="0"/>
    <x v="1"/>
    <x v="0"/>
    <x v="0"/>
    <x v="3"/>
    <n v="0"/>
    <n v="0"/>
    <n v="0.26200000000000001"/>
    <n v="0.26200000000000001"/>
    <n v="0.26200000000000001"/>
    <n v="0.26200000000000001"/>
    <n v="0"/>
    <s v="CATIVO"/>
    <n v="0"/>
    <n v="0"/>
    <n v="28"/>
    <n v="65"/>
    <n v="0"/>
    <n v="228.11"/>
    <n v="270.23"/>
    <m/>
    <n v="351.50479000877084"/>
    <n v="294.41717594294374"/>
    <n v="0"/>
    <n v="8.3339412765957466"/>
    <n v="0"/>
    <n v="10.802014154001014"/>
    <x v="1"/>
  </r>
  <r>
    <s v="Regular"/>
    <x v="2"/>
    <x v="4"/>
    <x v="1"/>
    <x v="0"/>
    <x v="1"/>
    <x v="0"/>
    <x v="0"/>
    <x v="4"/>
    <n v="0"/>
    <n v="0"/>
    <n v="0.42599999999999999"/>
    <n v="0.42599999999999999"/>
    <n v="0.42599999999999999"/>
    <n v="0.42599999999999999"/>
    <n v="0"/>
    <s v="CATIVO"/>
    <n v="0"/>
    <n v="0"/>
    <n v="28"/>
    <n v="65"/>
    <n v="0"/>
    <n v="228.11"/>
    <n v="270.23"/>
    <m/>
    <n v="351.50479000877084"/>
    <n v="294.41717594294374"/>
    <n v="0"/>
    <n v="13.55060680851064"/>
    <n v="0"/>
    <n v="17.56358026566577"/>
    <x v="1"/>
  </r>
  <r>
    <s v="Regular"/>
    <x v="2"/>
    <x v="4"/>
    <x v="1"/>
    <x v="0"/>
    <x v="1"/>
    <x v="0"/>
    <x v="0"/>
    <x v="5"/>
    <n v="0"/>
    <n v="0"/>
    <n v="0.34699999999999998"/>
    <n v="0.34699999999999998"/>
    <n v="0.34699999999999998"/>
    <n v="0.34699999999999998"/>
    <n v="0"/>
    <s v="CATIVO"/>
    <n v="0"/>
    <n v="0"/>
    <n v="28"/>
    <n v="65"/>
    <n v="0"/>
    <n v="228.11"/>
    <n v="270.23"/>
    <m/>
    <n v="351.50479000877084"/>
    <n v="294.41717594294374"/>
    <n v="0"/>
    <n v="11.037700851063828"/>
    <n v="0"/>
    <n v="14.306484394802869"/>
    <x v="1"/>
  </r>
  <r>
    <s v="Regular"/>
    <x v="2"/>
    <x v="4"/>
    <x v="1"/>
    <x v="0"/>
    <x v="1"/>
    <x v="0"/>
    <x v="0"/>
    <x v="6"/>
    <n v="0"/>
    <n v="0"/>
    <n v="0.35099999999999998"/>
    <n v="0.35099999999999998"/>
    <n v="0.35099999999999998"/>
    <n v="0.35099999999999998"/>
    <n v="0"/>
    <s v="CATIVO"/>
    <n v="0"/>
    <n v="0"/>
    <n v="28"/>
    <n v="65"/>
    <n v="0"/>
    <n v="228.11"/>
    <n v="270.23"/>
    <m/>
    <n v="351.50479000877084"/>
    <n v="294.41717594294374"/>
    <n v="0"/>
    <n v="11.164936595744679"/>
    <n v="0"/>
    <n v="14.471400641428838"/>
    <x v="1"/>
  </r>
  <r>
    <s v="Regular"/>
    <x v="2"/>
    <x v="4"/>
    <x v="1"/>
    <x v="0"/>
    <x v="1"/>
    <x v="0"/>
    <x v="0"/>
    <x v="7"/>
    <n v="0"/>
    <n v="0"/>
    <n v="0.30199999999999999"/>
    <n v="0.30199999999999999"/>
    <n v="0.30199999999999999"/>
    <n v="0.30199999999999999"/>
    <n v="0"/>
    <s v="CATIVO"/>
    <n v="0"/>
    <n v="0"/>
    <n v="28"/>
    <n v="65"/>
    <n v="0"/>
    <n v="228.11"/>
    <n v="270.23"/>
    <m/>
    <n v="351.50479000877084"/>
    <n v="294.41717594294374"/>
    <n v="0"/>
    <n v="9.6062987234042545"/>
    <n v="0"/>
    <n v="12.451176620260711"/>
    <x v="1"/>
  </r>
  <r>
    <s v="Regular"/>
    <x v="2"/>
    <x v="4"/>
    <x v="1"/>
    <x v="0"/>
    <x v="1"/>
    <x v="0"/>
    <x v="0"/>
    <x v="8"/>
    <n v="0"/>
    <n v="0"/>
    <n v="0.54500000000000004"/>
    <n v="0.54500000000000004"/>
    <n v="0.54500000000000004"/>
    <n v="0.54500000000000004"/>
    <n v="0"/>
    <s v="CATIVO"/>
    <n v="0"/>
    <n v="0"/>
    <n v="28"/>
    <n v="65"/>
    <n v="0"/>
    <n v="228.11"/>
    <n v="270.23"/>
    <m/>
    <n v="351.50479000877084"/>
    <n v="294.41717594294374"/>
    <n v="0"/>
    <n v="17.335870212765965"/>
    <n v="0"/>
    <n v="22.469838602788371"/>
    <x v="1"/>
  </r>
  <r>
    <s v="Regular"/>
    <x v="2"/>
    <x v="4"/>
    <x v="1"/>
    <x v="0"/>
    <x v="1"/>
    <x v="0"/>
    <x v="0"/>
    <x v="9"/>
    <n v="0"/>
    <n v="0"/>
    <n v="0.55300000000000005"/>
    <n v="0.55300000000000005"/>
    <n v="0.55300000000000005"/>
    <n v="0.55300000000000005"/>
    <n v="0"/>
    <s v="CATIVO"/>
    <n v="0"/>
    <n v="0"/>
    <n v="28"/>
    <n v="65"/>
    <n v="0"/>
    <n v="228.11"/>
    <n v="270.23"/>
    <m/>
    <n v="351.50479000877084"/>
    <n v="294.41717594294374"/>
    <n v="0"/>
    <n v="17.590341702127663"/>
    <n v="0"/>
    <n v="22.799671096040314"/>
    <x v="1"/>
  </r>
  <r>
    <s v="Regular"/>
    <x v="2"/>
    <x v="4"/>
    <x v="1"/>
    <x v="0"/>
    <x v="1"/>
    <x v="0"/>
    <x v="0"/>
    <x v="10"/>
    <n v="0"/>
    <n v="0"/>
    <n v="0.59"/>
    <n v="0.59"/>
    <n v="0.59"/>
    <n v="0.59"/>
    <n v="0"/>
    <s v="CATIVO"/>
    <n v="0"/>
    <n v="0"/>
    <n v="28"/>
    <n v="65"/>
    <n v="0"/>
    <n v="228.11"/>
    <n v="270.23"/>
    <m/>
    <n v="351.50479000877084"/>
    <n v="294.41717594294374"/>
    <n v="0"/>
    <n v="18.767272340425531"/>
    <n v="0"/>
    <n v="24.325146377330526"/>
    <x v="1"/>
  </r>
  <r>
    <s v="PROJETADO"/>
    <x v="2"/>
    <x v="4"/>
    <x v="1"/>
    <x v="0"/>
    <x v="1"/>
    <x v="0"/>
    <x v="0"/>
    <x v="11"/>
    <n v="0"/>
    <n v="0"/>
    <n v="0.59"/>
    <n v="0.59"/>
    <n v="0.59"/>
    <n v="0.59"/>
    <n v="0"/>
    <s v="CATIVO"/>
    <n v="0"/>
    <n v="0"/>
    <n v="28"/>
    <n v="65"/>
    <n v="0"/>
    <n v="228.11"/>
    <n v="270.23"/>
    <m/>
    <n v="351.50479000877084"/>
    <n v="294.41717594294374"/>
    <n v="0"/>
    <n v="18.767272340425531"/>
    <n v="0"/>
    <n v="24.325146377330526"/>
    <x v="1"/>
  </r>
  <r>
    <s v="Regular"/>
    <x v="2"/>
    <x v="4"/>
    <x v="1"/>
    <x v="0"/>
    <x v="1"/>
    <x v="0"/>
    <x v="3"/>
    <x v="0"/>
    <n v="0"/>
    <n v="0"/>
    <n v="1.4E-2"/>
    <n v="1.4E-2"/>
    <n v="1.4E-2"/>
    <n v="1.4E-2"/>
    <n v="0"/>
    <s v="CATIVO"/>
    <n v="0"/>
    <n v="0"/>
    <n v="27"/>
    <n v="64"/>
    <n v="0"/>
    <n v="511.06"/>
    <n v="270.23"/>
    <m/>
    <n v="694.19140331436017"/>
    <n v="294.41717594294374"/>
    <n v="0"/>
    <n v="0.6981740425531916"/>
    <n v="0"/>
    <n v="0.88343745380439942"/>
    <x v="1"/>
  </r>
  <r>
    <s v="Regular"/>
    <x v="2"/>
    <x v="4"/>
    <x v="1"/>
    <x v="0"/>
    <x v="1"/>
    <x v="0"/>
    <x v="3"/>
    <x v="1"/>
    <n v="0"/>
    <n v="0"/>
    <n v="1.7000000000000001E-2"/>
    <n v="1.7000000000000001E-2"/>
    <n v="1.7000000000000001E-2"/>
    <n v="1.7000000000000001E-2"/>
    <n v="0"/>
    <s v="CATIVO"/>
    <n v="0"/>
    <n v="0"/>
    <n v="27"/>
    <n v="64"/>
    <n v="0"/>
    <n v="511.06"/>
    <n v="270.23"/>
    <m/>
    <n v="694.19140331436017"/>
    <n v="294.41717594294374"/>
    <n v="0"/>
    <n v="0.84778276595744684"/>
    <n v="0"/>
    <n v="1.0727454796196276"/>
    <x v="1"/>
  </r>
  <r>
    <s v="Regular"/>
    <x v="2"/>
    <x v="4"/>
    <x v="1"/>
    <x v="0"/>
    <x v="1"/>
    <x v="0"/>
    <x v="3"/>
    <x v="2"/>
    <n v="0"/>
    <n v="0"/>
    <n v="1.6E-2"/>
    <n v="1.6E-2"/>
    <n v="1.6E-2"/>
    <n v="1.6E-2"/>
    <n v="0"/>
    <s v="CATIVO"/>
    <n v="0"/>
    <n v="0"/>
    <n v="27"/>
    <n v="64"/>
    <n v="0"/>
    <n v="511.06"/>
    <n v="270.23"/>
    <m/>
    <n v="694.19140331436017"/>
    <n v="294.41717594294374"/>
    <n v="0"/>
    <n v="0.79791319148936179"/>
    <n v="0"/>
    <n v="1.0096428043478849"/>
    <x v="1"/>
  </r>
  <r>
    <s v="Regular"/>
    <x v="2"/>
    <x v="4"/>
    <x v="1"/>
    <x v="0"/>
    <x v="1"/>
    <x v="0"/>
    <x v="3"/>
    <x v="3"/>
    <n v="0"/>
    <n v="0"/>
    <n v="1.4999999999999999E-2"/>
    <n v="1.4999999999999999E-2"/>
    <n v="1.4999999999999999E-2"/>
    <n v="1.4999999999999999E-2"/>
    <n v="0"/>
    <s v="CATIVO"/>
    <n v="0"/>
    <n v="0"/>
    <n v="27"/>
    <n v="64"/>
    <n v="0"/>
    <n v="511.06"/>
    <n v="270.23"/>
    <m/>
    <n v="694.19140331436017"/>
    <n v="294.41717594294374"/>
    <n v="0"/>
    <n v="0.74804361702127653"/>
    <n v="0"/>
    <n v="0.94654012907614204"/>
    <x v="1"/>
  </r>
  <r>
    <s v="Regular"/>
    <x v="2"/>
    <x v="4"/>
    <x v="1"/>
    <x v="0"/>
    <x v="1"/>
    <x v="0"/>
    <x v="3"/>
    <x v="4"/>
    <n v="0"/>
    <n v="0"/>
    <n v="1.7000000000000001E-2"/>
    <n v="1.7000000000000001E-2"/>
    <n v="1.7000000000000001E-2"/>
    <n v="1.7000000000000001E-2"/>
    <n v="0"/>
    <s v="CATIVO"/>
    <n v="0"/>
    <n v="0"/>
    <n v="27"/>
    <n v="64"/>
    <n v="0"/>
    <n v="511.06"/>
    <n v="270.23"/>
    <m/>
    <n v="694.19140331436017"/>
    <n v="294.41717594294374"/>
    <n v="0"/>
    <n v="0.84778276595744684"/>
    <n v="0"/>
    <n v="1.0727454796196276"/>
    <x v="1"/>
  </r>
  <r>
    <s v="Regular"/>
    <x v="2"/>
    <x v="4"/>
    <x v="1"/>
    <x v="0"/>
    <x v="1"/>
    <x v="0"/>
    <x v="3"/>
    <x v="5"/>
    <n v="0"/>
    <n v="0"/>
    <n v="1.6E-2"/>
    <n v="1.6E-2"/>
    <n v="1.6E-2"/>
    <n v="1.6E-2"/>
    <n v="0"/>
    <s v="CATIVO"/>
    <n v="0"/>
    <n v="0"/>
    <n v="27"/>
    <n v="64"/>
    <n v="0"/>
    <n v="511.06"/>
    <n v="270.23"/>
    <m/>
    <n v="694.19140331436017"/>
    <n v="294.41717594294374"/>
    <n v="0"/>
    <n v="0.79791319148936179"/>
    <n v="0"/>
    <n v="1.0096428043478849"/>
    <x v="1"/>
  </r>
  <r>
    <s v="Regular"/>
    <x v="2"/>
    <x v="4"/>
    <x v="1"/>
    <x v="0"/>
    <x v="1"/>
    <x v="0"/>
    <x v="3"/>
    <x v="6"/>
    <n v="0"/>
    <n v="0"/>
    <n v="1.6E-2"/>
    <n v="1.6E-2"/>
    <n v="1.6E-2"/>
    <n v="1.6E-2"/>
    <n v="0"/>
    <s v="CATIVO"/>
    <n v="0"/>
    <n v="0"/>
    <n v="27"/>
    <n v="64"/>
    <n v="0"/>
    <n v="511.06"/>
    <n v="270.23"/>
    <m/>
    <n v="694.19140331436017"/>
    <n v="294.41717594294374"/>
    <n v="0"/>
    <n v="0.79791319148936179"/>
    <n v="0"/>
    <n v="1.0096428043478849"/>
    <x v="1"/>
  </r>
  <r>
    <s v="Regular"/>
    <x v="2"/>
    <x v="4"/>
    <x v="1"/>
    <x v="0"/>
    <x v="1"/>
    <x v="0"/>
    <x v="3"/>
    <x v="7"/>
    <n v="0"/>
    <n v="0"/>
    <n v="2.1999999999999999E-2"/>
    <n v="2.1999999999999999E-2"/>
    <n v="2.1999999999999999E-2"/>
    <n v="2.1999999999999999E-2"/>
    <n v="0"/>
    <s v="CATIVO"/>
    <n v="0"/>
    <n v="0"/>
    <n v="27"/>
    <n v="64"/>
    <n v="0"/>
    <n v="511.06"/>
    <n v="270.23"/>
    <m/>
    <n v="694.19140331436017"/>
    <n v="294.41717594294374"/>
    <n v="0"/>
    <n v="1.0971306382978723"/>
    <n v="0"/>
    <n v="1.3882588559783415"/>
    <x v="1"/>
  </r>
  <r>
    <s v="Regular"/>
    <x v="2"/>
    <x v="4"/>
    <x v="1"/>
    <x v="0"/>
    <x v="1"/>
    <x v="0"/>
    <x v="3"/>
    <x v="8"/>
    <n v="0"/>
    <n v="0"/>
    <n v="2.3E-2"/>
    <n v="2.3E-2"/>
    <n v="2.3E-2"/>
    <n v="2.3E-2"/>
    <n v="0"/>
    <s v="CATIVO"/>
    <n v="0"/>
    <n v="0"/>
    <n v="27"/>
    <n v="64"/>
    <n v="0"/>
    <n v="511.06"/>
    <n v="270.23"/>
    <m/>
    <n v="694.19140331436017"/>
    <n v="294.41717594294374"/>
    <n v="0"/>
    <n v="1.1470002127659575"/>
    <n v="0"/>
    <n v="1.4513615312500845"/>
    <x v="1"/>
  </r>
  <r>
    <s v="Regular"/>
    <x v="2"/>
    <x v="4"/>
    <x v="1"/>
    <x v="0"/>
    <x v="1"/>
    <x v="0"/>
    <x v="3"/>
    <x v="9"/>
    <n v="0"/>
    <n v="0"/>
    <n v="1.7000000000000001E-2"/>
    <n v="1.7000000000000001E-2"/>
    <n v="1.7000000000000001E-2"/>
    <n v="1.7000000000000001E-2"/>
    <n v="0"/>
    <s v="CATIVO"/>
    <n v="0"/>
    <n v="0"/>
    <n v="27"/>
    <n v="64"/>
    <n v="0"/>
    <n v="511.06"/>
    <n v="270.23"/>
    <m/>
    <n v="694.19140331436017"/>
    <n v="294.41717594294374"/>
    <n v="0"/>
    <n v="0.84778276595744684"/>
    <n v="0"/>
    <n v="1.0727454796196276"/>
    <x v="1"/>
  </r>
  <r>
    <s v="Regular"/>
    <x v="2"/>
    <x v="4"/>
    <x v="1"/>
    <x v="0"/>
    <x v="1"/>
    <x v="0"/>
    <x v="3"/>
    <x v="10"/>
    <n v="0"/>
    <n v="0"/>
    <n v="1.4E-2"/>
    <n v="1.4E-2"/>
    <n v="1.4E-2"/>
    <n v="1.4E-2"/>
    <n v="0"/>
    <s v="CATIVO"/>
    <n v="0"/>
    <n v="0"/>
    <n v="27"/>
    <n v="64"/>
    <n v="0"/>
    <n v="511.06"/>
    <n v="270.23"/>
    <m/>
    <n v="694.19140331436017"/>
    <n v="294.41717594294374"/>
    <n v="0"/>
    <n v="0.6981740425531916"/>
    <n v="0"/>
    <n v="0.88343745380439942"/>
    <x v="1"/>
  </r>
  <r>
    <s v="PROJETADO"/>
    <x v="2"/>
    <x v="4"/>
    <x v="1"/>
    <x v="0"/>
    <x v="1"/>
    <x v="0"/>
    <x v="3"/>
    <x v="11"/>
    <n v="0"/>
    <n v="0"/>
    <n v="1.4E-2"/>
    <n v="1.4E-2"/>
    <n v="1.4E-2"/>
    <n v="1.4E-2"/>
    <n v="0"/>
    <s v="CATIVO"/>
    <n v="0"/>
    <n v="0"/>
    <n v="27"/>
    <n v="64"/>
    <n v="0"/>
    <n v="511.06"/>
    <n v="270.23"/>
    <m/>
    <n v="694.19140331436017"/>
    <n v="294.41717594294374"/>
    <n v="0"/>
    <n v="0.6981740425531916"/>
    <n v="0"/>
    <n v="0.88343745380439942"/>
    <x v="1"/>
  </r>
  <r>
    <s v="Regular"/>
    <x v="2"/>
    <x v="4"/>
    <x v="1"/>
    <x v="0"/>
    <x v="1"/>
    <x v="0"/>
    <x v="2"/>
    <x v="0"/>
    <n v="0"/>
    <n v="0"/>
    <n v="1.9E-2"/>
    <n v="1.9E-2"/>
    <n v="1.9E-2"/>
    <n v="1.9E-2"/>
    <n v="0"/>
    <s v="CATIVO"/>
    <n v="0"/>
    <n v="0"/>
    <n v="26"/>
    <n v="63"/>
    <n v="0"/>
    <n v="794.02"/>
    <n v="433.52"/>
    <m/>
    <n v="1036.8781278844699"/>
    <n v="469.19092526025798"/>
    <n v="0"/>
    <n v="1.4887187234042554"/>
    <n v="0"/>
    <n v="1.8265092772180742"/>
    <x v="1"/>
  </r>
  <r>
    <s v="Regular"/>
    <x v="2"/>
    <x v="4"/>
    <x v="1"/>
    <x v="0"/>
    <x v="1"/>
    <x v="0"/>
    <x v="2"/>
    <x v="1"/>
    <n v="0"/>
    <n v="0"/>
    <n v="0.02"/>
    <n v="0.02"/>
    <n v="0.02"/>
    <n v="0.02"/>
    <n v="0"/>
    <s v="CATIVO"/>
    <n v="0"/>
    <n v="0"/>
    <n v="26"/>
    <n v="63"/>
    <n v="0"/>
    <n v="794.02"/>
    <n v="433.52"/>
    <m/>
    <n v="1036.8781278844699"/>
    <n v="469.19092526025798"/>
    <n v="0"/>
    <n v="1.5670723404255318"/>
    <n v="0"/>
    <n v="1.9226413444400781"/>
    <x v="1"/>
  </r>
  <r>
    <s v="Regular"/>
    <x v="2"/>
    <x v="4"/>
    <x v="1"/>
    <x v="0"/>
    <x v="1"/>
    <x v="0"/>
    <x v="2"/>
    <x v="2"/>
    <n v="0"/>
    <n v="0"/>
    <n v="2.1000000000000001E-2"/>
    <n v="2.1000000000000001E-2"/>
    <n v="2.1000000000000001E-2"/>
    <n v="2.1000000000000001E-2"/>
    <n v="0"/>
    <s v="CATIVO"/>
    <n v="0"/>
    <n v="0"/>
    <n v="26"/>
    <n v="63"/>
    <n v="0"/>
    <n v="794.02"/>
    <n v="433.52"/>
    <m/>
    <n v="1036.8781278844699"/>
    <n v="469.19092526025798"/>
    <n v="0"/>
    <n v="1.6454259574468086"/>
    <n v="0"/>
    <n v="2.0187734116620817"/>
    <x v="1"/>
  </r>
  <r>
    <s v="Regular"/>
    <x v="2"/>
    <x v="4"/>
    <x v="1"/>
    <x v="0"/>
    <x v="1"/>
    <x v="0"/>
    <x v="2"/>
    <x v="3"/>
    <n v="0"/>
    <n v="0"/>
    <n v="0.02"/>
    <n v="0.02"/>
    <n v="0.02"/>
    <n v="0.02"/>
    <n v="0"/>
    <s v="CATIVO"/>
    <n v="0"/>
    <n v="0"/>
    <n v="26"/>
    <n v="63"/>
    <n v="0"/>
    <n v="794.02"/>
    <n v="433.52"/>
    <m/>
    <n v="1036.8781278844699"/>
    <n v="469.19092526025798"/>
    <n v="0"/>
    <n v="1.5670723404255318"/>
    <n v="0"/>
    <n v="1.9226413444400781"/>
    <x v="1"/>
  </r>
  <r>
    <s v="Regular"/>
    <x v="2"/>
    <x v="4"/>
    <x v="1"/>
    <x v="0"/>
    <x v="1"/>
    <x v="0"/>
    <x v="2"/>
    <x v="4"/>
    <n v="0"/>
    <n v="0"/>
    <n v="2.1999999999999999E-2"/>
    <n v="2.1999999999999999E-2"/>
    <n v="2.1999999999999999E-2"/>
    <n v="2.1999999999999999E-2"/>
    <n v="0"/>
    <s v="CATIVO"/>
    <n v="0"/>
    <n v="0"/>
    <n v="26"/>
    <n v="63"/>
    <n v="0"/>
    <n v="794.02"/>
    <n v="433.52"/>
    <m/>
    <n v="1036.8781278844699"/>
    <n v="469.19092526025798"/>
    <n v="0"/>
    <n v="1.7237795744680851"/>
    <n v="0"/>
    <n v="2.114905478884086"/>
    <x v="1"/>
  </r>
  <r>
    <s v="Regular"/>
    <x v="2"/>
    <x v="4"/>
    <x v="1"/>
    <x v="0"/>
    <x v="1"/>
    <x v="0"/>
    <x v="2"/>
    <x v="5"/>
    <n v="0"/>
    <n v="0"/>
    <n v="2.1000000000000001E-2"/>
    <n v="2.1000000000000001E-2"/>
    <n v="2.1000000000000001E-2"/>
    <n v="2.1000000000000001E-2"/>
    <n v="0"/>
    <s v="CATIVO"/>
    <n v="0"/>
    <n v="0"/>
    <n v="26"/>
    <n v="63"/>
    <n v="0"/>
    <n v="794.02"/>
    <n v="433.52"/>
    <m/>
    <n v="1036.8781278844699"/>
    <n v="469.19092526025798"/>
    <n v="0"/>
    <n v="1.6454259574468086"/>
    <n v="0"/>
    <n v="2.0187734116620817"/>
    <x v="1"/>
  </r>
  <r>
    <s v="Regular"/>
    <x v="2"/>
    <x v="4"/>
    <x v="1"/>
    <x v="0"/>
    <x v="1"/>
    <x v="0"/>
    <x v="2"/>
    <x v="6"/>
    <n v="0"/>
    <n v="0"/>
    <n v="1.9E-2"/>
    <n v="1.9E-2"/>
    <n v="1.9E-2"/>
    <n v="1.9E-2"/>
    <n v="0"/>
    <s v="CATIVO"/>
    <n v="0"/>
    <n v="0"/>
    <n v="26"/>
    <n v="63"/>
    <n v="0"/>
    <n v="794.02"/>
    <n v="433.52"/>
    <m/>
    <n v="1036.8781278844699"/>
    <n v="469.19092526025798"/>
    <n v="0"/>
    <n v="1.4887187234042554"/>
    <n v="0"/>
    <n v="1.8265092772180742"/>
    <x v="1"/>
  </r>
  <r>
    <s v="Regular"/>
    <x v="2"/>
    <x v="4"/>
    <x v="1"/>
    <x v="0"/>
    <x v="1"/>
    <x v="0"/>
    <x v="2"/>
    <x v="7"/>
    <n v="0"/>
    <n v="0"/>
    <n v="3.3000000000000002E-2"/>
    <n v="3.3000000000000002E-2"/>
    <n v="3.3000000000000002E-2"/>
    <n v="3.3000000000000002E-2"/>
    <n v="0"/>
    <s v="CATIVO"/>
    <n v="0"/>
    <n v="0"/>
    <n v="26"/>
    <n v="63"/>
    <n v="0"/>
    <n v="794.02"/>
    <n v="433.52"/>
    <m/>
    <n v="1036.8781278844699"/>
    <n v="469.19092526025798"/>
    <n v="0"/>
    <n v="2.5856693617021276"/>
    <n v="0"/>
    <n v="3.1723582183261287"/>
    <x v="1"/>
  </r>
  <r>
    <s v="Regular"/>
    <x v="2"/>
    <x v="4"/>
    <x v="1"/>
    <x v="0"/>
    <x v="1"/>
    <x v="0"/>
    <x v="2"/>
    <x v="8"/>
    <n v="0"/>
    <n v="0"/>
    <n v="2.5999999999999999E-2"/>
    <n v="2.5999999999999999E-2"/>
    <n v="2.5999999999999999E-2"/>
    <n v="2.5999999999999999E-2"/>
    <n v="0"/>
    <s v="CATIVO"/>
    <n v="0"/>
    <n v="0"/>
    <n v="26"/>
    <n v="63"/>
    <n v="0"/>
    <n v="794.02"/>
    <n v="433.52"/>
    <m/>
    <n v="1036.8781278844699"/>
    <n v="469.19092526025798"/>
    <n v="0"/>
    <n v="2.0371940425531916"/>
    <n v="0"/>
    <n v="2.4994337477721014"/>
    <x v="1"/>
  </r>
  <r>
    <s v="Regular"/>
    <x v="2"/>
    <x v="4"/>
    <x v="1"/>
    <x v="0"/>
    <x v="1"/>
    <x v="0"/>
    <x v="2"/>
    <x v="9"/>
    <n v="0"/>
    <n v="0"/>
    <n v="2.5000000000000001E-2"/>
    <n v="2.5000000000000001E-2"/>
    <n v="2.5000000000000001E-2"/>
    <n v="2.5000000000000001E-2"/>
    <n v="0"/>
    <s v="CATIVO"/>
    <n v="0"/>
    <n v="0"/>
    <n v="26"/>
    <n v="63"/>
    <n v="0"/>
    <n v="794.02"/>
    <n v="433.52"/>
    <m/>
    <n v="1036.8781278844699"/>
    <n v="469.19092526025798"/>
    <n v="0"/>
    <n v="1.958840425531915"/>
    <n v="0"/>
    <n v="2.4033016805500975"/>
    <x v="1"/>
  </r>
  <r>
    <s v="Regular"/>
    <x v="2"/>
    <x v="4"/>
    <x v="1"/>
    <x v="0"/>
    <x v="1"/>
    <x v="0"/>
    <x v="2"/>
    <x v="10"/>
    <n v="0"/>
    <n v="0"/>
    <n v="2.3E-2"/>
    <n v="2.3E-2"/>
    <n v="2.3E-2"/>
    <n v="2.3E-2"/>
    <n v="0"/>
    <s v="CATIVO"/>
    <n v="0"/>
    <n v="0"/>
    <n v="26"/>
    <n v="63"/>
    <n v="0"/>
    <n v="794.02"/>
    <n v="433.52"/>
    <m/>
    <n v="1036.8781278844699"/>
    <n v="469.19092526025798"/>
    <n v="0"/>
    <n v="1.8021331914893619"/>
    <n v="0"/>
    <n v="2.2110375461060898"/>
    <x v="1"/>
  </r>
  <r>
    <s v="PROJETADO"/>
    <x v="2"/>
    <x v="4"/>
    <x v="1"/>
    <x v="0"/>
    <x v="1"/>
    <x v="0"/>
    <x v="2"/>
    <x v="11"/>
    <n v="0"/>
    <n v="0"/>
    <n v="2.3E-2"/>
    <n v="2.3E-2"/>
    <n v="2.3E-2"/>
    <n v="2.3E-2"/>
    <n v="0"/>
    <s v="CATIVO"/>
    <n v="0"/>
    <n v="0"/>
    <n v="26"/>
    <n v="63"/>
    <n v="0"/>
    <n v="794.02"/>
    <n v="433.52"/>
    <m/>
    <n v="1036.8781278844699"/>
    <n v="469.19092526025798"/>
    <n v="0"/>
    <n v="1.8021331914893619"/>
    <n v="0"/>
    <n v="2.2110375461060898"/>
    <x v="1"/>
  </r>
  <r>
    <s v="Regular"/>
    <x v="2"/>
    <x v="3"/>
    <x v="1"/>
    <x v="7"/>
    <x v="2"/>
    <x v="0"/>
    <x v="1"/>
    <x v="0"/>
    <n v="0"/>
    <n v="0"/>
    <n v="4221.4189999999999"/>
    <n v="4221.4189999999999"/>
    <n v="4221.4189999999999"/>
    <n v="4221.4189999999999"/>
    <n v="0"/>
    <s v="CATIVO"/>
    <n v="0"/>
    <n v="0"/>
    <n v="29"/>
    <n v="66"/>
    <n v="0"/>
    <n v="285.89"/>
    <n v="283.83999999999997"/>
    <m/>
    <n v="421.49012534052349"/>
    <n v="308.98165505271993"/>
    <n v="0"/>
    <n v="327962.04211000045"/>
    <n v="0"/>
    <n v="196827.28421590655"/>
    <x v="1"/>
  </r>
  <r>
    <s v="Refaturamento - Regular"/>
    <x v="2"/>
    <x v="3"/>
    <x v="1"/>
    <x v="7"/>
    <x v="2"/>
    <x v="0"/>
    <x v="1"/>
    <x v="0"/>
    <n v="0"/>
    <n v="0"/>
    <n v="-2.798"/>
    <n v="-2.798"/>
    <n v="-2.798"/>
    <n v="-2.798"/>
    <n v="0"/>
    <s v="CATIVO"/>
    <n v="0"/>
    <n v="0"/>
    <n v="29"/>
    <n v="66"/>
    <n v="0"/>
    <n v="285.89"/>
    <n v="283.83999999999997"/>
    <m/>
    <n v="421.49012534052349"/>
    <n v="308.98165505271993"/>
    <n v="0"/>
    <n v="-217.37662000000032"/>
    <n v="0"/>
    <n v="-130.45915158767858"/>
    <x v="1"/>
  </r>
  <r>
    <s v="Sistema de Compensação"/>
    <x v="2"/>
    <x v="3"/>
    <x v="1"/>
    <x v="7"/>
    <x v="2"/>
    <x v="0"/>
    <x v="1"/>
    <x v="0"/>
    <n v="0"/>
    <n v="0"/>
    <n v="22.244"/>
    <n v="22.244"/>
    <n v="22.244"/>
    <n v="22.244"/>
    <n v="0"/>
    <s v="CATIVO"/>
    <n v="0"/>
    <n v="0"/>
    <n v="29"/>
    <n v="66"/>
    <n v="0"/>
    <n v="285.89"/>
    <n v="283.83999999999997"/>
    <m/>
    <n v="421.49012534052349"/>
    <n v="308.98165505271993"/>
    <n v="0"/>
    <n v="1728.1363600000025"/>
    <n v="0"/>
    <n v="1037.1455925362125"/>
    <x v="1"/>
  </r>
  <r>
    <s v="Regular"/>
    <x v="2"/>
    <x v="3"/>
    <x v="1"/>
    <x v="7"/>
    <x v="2"/>
    <x v="0"/>
    <x v="1"/>
    <x v="1"/>
    <n v="0"/>
    <n v="0"/>
    <n v="4139.8969999999999"/>
    <n v="4139.8969999999999"/>
    <n v="4139.8969999999999"/>
    <n v="4139.8969999999999"/>
    <n v="0"/>
    <s v="CATIVO"/>
    <n v="0"/>
    <n v="0"/>
    <n v="29"/>
    <n v="66"/>
    <n v="0"/>
    <n v="285.89"/>
    <n v="283.83999999999997"/>
    <m/>
    <n v="421.49012534052349"/>
    <n v="308.98165505271993"/>
    <n v="0"/>
    <n v="321628.59793000045"/>
    <n v="0"/>
    <n v="193026.25099370113"/>
    <x v="1"/>
  </r>
  <r>
    <s v="Refaturamento - Regular"/>
    <x v="2"/>
    <x v="3"/>
    <x v="1"/>
    <x v="7"/>
    <x v="2"/>
    <x v="0"/>
    <x v="1"/>
    <x v="1"/>
    <n v="0"/>
    <n v="0"/>
    <n v="-0.50900000000000001"/>
    <n v="-0.50900000000000001"/>
    <n v="-0.50900000000000001"/>
    <n v="-0.50900000000000001"/>
    <n v="0"/>
    <s v="CATIVO"/>
    <n v="0"/>
    <n v="0"/>
    <n v="29"/>
    <n v="66"/>
    <n v="0"/>
    <n v="285.89"/>
    <n v="283.83999999999997"/>
    <m/>
    <n v="421.49012534052349"/>
    <n v="308.98165505271993"/>
    <n v="0"/>
    <n v="-39.544210000000056"/>
    <n v="0"/>
    <n v="-23.732561886393281"/>
    <x v="1"/>
  </r>
  <r>
    <s v="Sistema de Compensação"/>
    <x v="2"/>
    <x v="3"/>
    <x v="1"/>
    <x v="7"/>
    <x v="2"/>
    <x v="0"/>
    <x v="1"/>
    <x v="1"/>
    <n v="0"/>
    <n v="0"/>
    <n v="24.475000000000001"/>
    <n v="24.475000000000001"/>
    <n v="24.475000000000001"/>
    <n v="24.475000000000001"/>
    <n v="0"/>
    <s v="CATIVO"/>
    <n v="0"/>
    <n v="0"/>
    <n v="29"/>
    <n v="66"/>
    <n v="0"/>
    <n v="285.89"/>
    <n v="283.83999999999997"/>
    <m/>
    <n v="421.49012534052349"/>
    <n v="308.98165505271993"/>
    <n v="0"/>
    <n v="1901.4627500000029"/>
    <n v="0"/>
    <n v="1141.1678824547653"/>
    <x v="1"/>
  </r>
  <r>
    <s v="Regular"/>
    <x v="2"/>
    <x v="3"/>
    <x v="1"/>
    <x v="7"/>
    <x v="2"/>
    <x v="0"/>
    <x v="1"/>
    <x v="2"/>
    <n v="0"/>
    <n v="0"/>
    <n v="1158.2470000000001"/>
    <n v="1158.2470000000001"/>
    <n v="1158.2470000000001"/>
    <n v="1158.2470000000001"/>
    <n v="0"/>
    <s v="CATIVO"/>
    <n v="0"/>
    <n v="0"/>
    <n v="29"/>
    <n v="66"/>
    <n v="0"/>
    <n v="285.89"/>
    <n v="283.83999999999997"/>
    <m/>
    <n v="421.49012534052349"/>
    <n v="308.98165505271993"/>
    <n v="0"/>
    <n v="89984.209430000134"/>
    <n v="0"/>
    <n v="54004.260525008562"/>
    <x v="1"/>
  </r>
  <r>
    <s v="Refaturamento - Regular"/>
    <x v="2"/>
    <x v="3"/>
    <x v="1"/>
    <x v="7"/>
    <x v="2"/>
    <x v="0"/>
    <x v="1"/>
    <x v="2"/>
    <n v="0"/>
    <n v="0"/>
    <n v="-5.1230000000000002"/>
    <n v="-5.1230000000000002"/>
    <n v="-5.1230000000000002"/>
    <n v="-5.1230000000000002"/>
    <n v="0"/>
    <s v="CATIVO"/>
    <n v="0"/>
    <n v="0"/>
    <n v="29"/>
    <n v="66"/>
    <n v="0"/>
    <n v="285.89"/>
    <n v="283.83999999999997"/>
    <m/>
    <n v="421.49012534052349"/>
    <n v="308.98165505271993"/>
    <n v="0"/>
    <n v="-398.00587000000058"/>
    <n v="0"/>
    <n v="-238.86427218859092"/>
    <x v="1"/>
  </r>
  <r>
    <s v="Sistema de Compensação"/>
    <x v="2"/>
    <x v="3"/>
    <x v="1"/>
    <x v="7"/>
    <x v="2"/>
    <x v="0"/>
    <x v="1"/>
    <x v="2"/>
    <n v="0"/>
    <n v="0"/>
    <n v="4.3579999999999997"/>
    <n v="4.3579999999999997"/>
    <n v="4.3579999999999997"/>
    <n v="4.3579999999999997"/>
    <n v="0"/>
    <s v="CATIVO"/>
    <n v="0"/>
    <n v="0"/>
    <n v="29"/>
    <n v="66"/>
    <n v="0"/>
    <n v="285.89"/>
    <n v="283.83999999999997"/>
    <m/>
    <n v="421.49012534052349"/>
    <n v="308.98165505271993"/>
    <n v="0"/>
    <n v="338.57302000000044"/>
    <n v="0"/>
    <n v="203.1954905715165"/>
    <x v="1"/>
  </r>
  <r>
    <s v="Regular"/>
    <x v="2"/>
    <x v="3"/>
    <x v="1"/>
    <x v="7"/>
    <x v="2"/>
    <x v="0"/>
    <x v="1"/>
    <x v="3"/>
    <n v="0"/>
    <n v="0"/>
    <n v="855.24"/>
    <n v="855.24"/>
    <n v="855.24"/>
    <n v="855.24"/>
    <n v="0"/>
    <s v="CATIVO"/>
    <n v="0"/>
    <n v="0"/>
    <n v="29"/>
    <n v="66"/>
    <n v="0"/>
    <n v="285.89"/>
    <n v="283.83999999999997"/>
    <m/>
    <n v="421.49012534052349"/>
    <n v="308.98165505271993"/>
    <n v="0"/>
    <n v="66443.595600000102"/>
    <n v="0"/>
    <n v="39876.299072139467"/>
    <x v="1"/>
  </r>
  <r>
    <s v="Refaturamento - Regular"/>
    <x v="2"/>
    <x v="3"/>
    <x v="1"/>
    <x v="7"/>
    <x v="2"/>
    <x v="0"/>
    <x v="1"/>
    <x v="3"/>
    <n v="0"/>
    <n v="0"/>
    <n v="-4.3449999999999998"/>
    <n v="-4.3449999999999998"/>
    <n v="-4.3449999999999998"/>
    <n v="-4.3449999999999998"/>
    <n v="0"/>
    <s v="CATIVO"/>
    <n v="0"/>
    <n v="0"/>
    <n v="29"/>
    <n v="66"/>
    <n v="0"/>
    <n v="285.89"/>
    <n v="283.83999999999997"/>
    <m/>
    <n v="421.49012534052349"/>
    <n v="308.98165505271993"/>
    <n v="0"/>
    <n v="-337.56305000000049"/>
    <n v="0"/>
    <n v="-202.58935441331786"/>
    <x v="1"/>
  </r>
  <r>
    <s v="Sistema de Compensação"/>
    <x v="2"/>
    <x v="3"/>
    <x v="1"/>
    <x v="7"/>
    <x v="2"/>
    <x v="0"/>
    <x v="1"/>
    <x v="3"/>
    <n v="0"/>
    <n v="0"/>
    <n v="4.9770000000000003"/>
    <n v="4.9770000000000003"/>
    <n v="4.9770000000000003"/>
    <n v="4.9770000000000003"/>
    <n v="0"/>
    <s v="CATIVO"/>
    <n v="0"/>
    <n v="0"/>
    <n v="29"/>
    <n v="66"/>
    <n v="0"/>
    <n v="285.89"/>
    <n v="283.83999999999997"/>
    <m/>
    <n v="421.49012534052349"/>
    <n v="308.98165505271993"/>
    <n v="0"/>
    <n v="386.66313000000059"/>
    <n v="0"/>
    <n v="232.05689687343687"/>
    <x v="1"/>
  </r>
  <r>
    <s v="Regular"/>
    <x v="2"/>
    <x v="3"/>
    <x v="1"/>
    <x v="7"/>
    <x v="2"/>
    <x v="0"/>
    <x v="1"/>
    <x v="4"/>
    <n v="0"/>
    <n v="0"/>
    <n v="866.11800000000005"/>
    <n v="866.11800000000005"/>
    <n v="866.11800000000005"/>
    <n v="866.11800000000005"/>
    <n v="0"/>
    <s v="CATIVO"/>
    <n v="0"/>
    <n v="0"/>
    <n v="29"/>
    <n v="66"/>
    <n v="0"/>
    <n v="285.89"/>
    <n v="283.83999999999997"/>
    <m/>
    <n v="421.49012534052349"/>
    <n v="308.98165505271993"/>
    <n v="0"/>
    <n v="67288.707420000093"/>
    <n v="0"/>
    <n v="40383.495158976773"/>
    <x v="1"/>
  </r>
  <r>
    <s v="Refaturamento - Regular"/>
    <x v="2"/>
    <x v="3"/>
    <x v="1"/>
    <x v="7"/>
    <x v="2"/>
    <x v="0"/>
    <x v="1"/>
    <x v="4"/>
    <n v="0"/>
    <n v="0"/>
    <n v="-9.0739999999999998"/>
    <n v="-9.0739999999999998"/>
    <n v="-9.0739999999999998"/>
    <n v="-9.0739999999999998"/>
    <n v="0"/>
    <s v="CATIVO"/>
    <n v="0"/>
    <n v="0"/>
    <n v="29"/>
    <n v="66"/>
    <n v="0"/>
    <n v="285.89"/>
    <n v="283.83999999999997"/>
    <m/>
    <n v="421.49012534052349"/>
    <n v="308.98165505271993"/>
    <n v="0"/>
    <n v="-704.95906000000105"/>
    <n v="0"/>
    <n v="-423.08303842265741"/>
    <x v="1"/>
  </r>
  <r>
    <s v="Sistema de Compensação"/>
    <x v="2"/>
    <x v="3"/>
    <x v="1"/>
    <x v="7"/>
    <x v="2"/>
    <x v="0"/>
    <x v="1"/>
    <x v="4"/>
    <n v="0"/>
    <n v="0"/>
    <n v="5.968"/>
    <n v="5.968"/>
    <n v="5.968"/>
    <n v="5.968"/>
    <n v="0"/>
    <s v="CATIVO"/>
    <n v="0"/>
    <n v="0"/>
    <n v="29"/>
    <n v="66"/>
    <n v="0"/>
    <n v="285.89"/>
    <n v="283.83999999999997"/>
    <m/>
    <n v="421.49012534052349"/>
    <n v="308.98165505271993"/>
    <n v="0"/>
    <n v="463.65392000000065"/>
    <n v="0"/>
    <n v="278.26312247150315"/>
    <x v="1"/>
  </r>
  <r>
    <s v="Regular"/>
    <x v="2"/>
    <x v="3"/>
    <x v="1"/>
    <x v="7"/>
    <x v="2"/>
    <x v="0"/>
    <x v="1"/>
    <x v="5"/>
    <n v="0"/>
    <n v="0"/>
    <n v="1470.595"/>
    <n v="1470.595"/>
    <n v="1470.595"/>
    <n v="1470.595"/>
    <n v="0"/>
    <s v="CATIVO"/>
    <n v="0"/>
    <n v="0"/>
    <n v="29"/>
    <n v="66"/>
    <n v="0"/>
    <n v="285.89"/>
    <n v="283.83999999999997"/>
    <m/>
    <n v="421.49012534052349"/>
    <n v="308.98165505271993"/>
    <n v="0"/>
    <n v="114250.52555000017"/>
    <n v="0"/>
    <n v="68567.754120472542"/>
    <x v="1"/>
  </r>
  <r>
    <s v="Refaturamento - Regular"/>
    <x v="2"/>
    <x v="3"/>
    <x v="1"/>
    <x v="7"/>
    <x v="2"/>
    <x v="0"/>
    <x v="1"/>
    <x v="5"/>
    <n v="0"/>
    <n v="0"/>
    <n v="-8.4079999999999995"/>
    <n v="-8.4079999999999995"/>
    <n v="-8.4079999999999995"/>
    <n v="-8.4079999999999995"/>
    <n v="0"/>
    <s v="CATIVO"/>
    <n v="0"/>
    <n v="0"/>
    <n v="29"/>
    <n v="66"/>
    <n v="0"/>
    <n v="285.89"/>
    <n v="283.83999999999997"/>
    <m/>
    <n v="421.49012534052349"/>
    <n v="308.98165505271993"/>
    <n v="0"/>
    <n v="-653.21752000000095"/>
    <n v="0"/>
    <n v="-392.03021677955735"/>
    <x v="1"/>
  </r>
  <r>
    <s v="Sistema de Compensação"/>
    <x v="2"/>
    <x v="3"/>
    <x v="1"/>
    <x v="7"/>
    <x v="2"/>
    <x v="0"/>
    <x v="1"/>
    <x v="5"/>
    <n v="0"/>
    <n v="0"/>
    <n v="7.8650000000000002"/>
    <n v="7.8650000000000002"/>
    <n v="7.8650000000000002"/>
    <n v="7.8650000000000002"/>
    <n v="0"/>
    <s v="CATIVO"/>
    <n v="0"/>
    <n v="0"/>
    <n v="29"/>
    <n v="66"/>
    <n v="0"/>
    <n v="285.89"/>
    <n v="283.83999999999997"/>
    <m/>
    <n v="421.49012534052349"/>
    <n v="308.98165505271993"/>
    <n v="0"/>
    <n v="611.03185000000087"/>
    <n v="0"/>
    <n v="366.71237571018298"/>
    <x v="1"/>
  </r>
  <r>
    <s v="Sistema de Compensação"/>
    <x v="2"/>
    <x v="3"/>
    <x v="1"/>
    <x v="7"/>
    <x v="2"/>
    <x v="0"/>
    <x v="1"/>
    <x v="5"/>
    <n v="0"/>
    <n v="0"/>
    <n v="0.2"/>
    <n v="0.2"/>
    <n v="0.2"/>
    <n v="0.2"/>
    <n v="0"/>
    <s v="CATIVO"/>
    <n v="0"/>
    <n v="0"/>
    <n v="29"/>
    <n v="66"/>
    <n v="0"/>
    <n v="285.89"/>
    <n v="283.83999999999997"/>
    <m/>
    <n v="421.49012534052349"/>
    <n v="308.98165505271993"/>
    <n v="0"/>
    <n v="15.538000000000023"/>
    <n v="0"/>
    <n v="9.3251716645946097"/>
    <x v="1"/>
  </r>
  <r>
    <s v="Regular"/>
    <x v="2"/>
    <x v="3"/>
    <x v="1"/>
    <x v="7"/>
    <x v="2"/>
    <x v="0"/>
    <x v="1"/>
    <x v="6"/>
    <n v="0"/>
    <n v="0"/>
    <n v="1109.2260000000001"/>
    <n v="1109.2260000000001"/>
    <n v="1109.2260000000001"/>
    <n v="1109.2260000000001"/>
    <n v="0"/>
    <s v="CATIVO"/>
    <n v="0"/>
    <n v="0"/>
    <n v="29"/>
    <n v="66"/>
    <n v="0"/>
    <n v="285.89"/>
    <n v="283.83999999999997"/>
    <m/>
    <n v="421.49012534052349"/>
    <n v="308.98165505271993"/>
    <n v="0"/>
    <n v="86175.767940000136"/>
    <n v="0"/>
    <n v="51718.614324158101"/>
    <x v="1"/>
  </r>
  <r>
    <s v="Refaturamento - Regular"/>
    <x v="2"/>
    <x v="3"/>
    <x v="1"/>
    <x v="7"/>
    <x v="2"/>
    <x v="0"/>
    <x v="1"/>
    <x v="6"/>
    <n v="0"/>
    <n v="0"/>
    <n v="-2.52"/>
    <n v="-2.52"/>
    <n v="-2.52"/>
    <n v="-2.52"/>
    <n v="0"/>
    <s v="CATIVO"/>
    <n v="0"/>
    <n v="0"/>
    <n v="29"/>
    <n v="66"/>
    <n v="0"/>
    <n v="285.89"/>
    <n v="283.83999999999997"/>
    <m/>
    <n v="421.49012534052349"/>
    <n v="308.98165505271993"/>
    <n v="0"/>
    <n v="-195.77880000000027"/>
    <n v="0"/>
    <n v="-117.49716297389207"/>
    <x v="1"/>
  </r>
  <r>
    <s v="Sistema de Compensação"/>
    <x v="2"/>
    <x v="3"/>
    <x v="1"/>
    <x v="7"/>
    <x v="2"/>
    <x v="0"/>
    <x v="1"/>
    <x v="6"/>
    <n v="0"/>
    <n v="0"/>
    <n v="9.6630000000000003"/>
    <n v="9.6630000000000003"/>
    <n v="9.6630000000000003"/>
    <n v="9.6630000000000003"/>
    <n v="0"/>
    <s v="CATIVO"/>
    <n v="0"/>
    <n v="0"/>
    <n v="29"/>
    <n v="66"/>
    <n v="0"/>
    <n v="285.89"/>
    <n v="283.83999999999997"/>
    <m/>
    <n v="421.49012534052349"/>
    <n v="308.98165505271993"/>
    <n v="0"/>
    <n v="750.71847000000105"/>
    <n v="0"/>
    <n v="450.54566897488854"/>
    <x v="1"/>
  </r>
  <r>
    <s v="Sistema de Compensação"/>
    <x v="2"/>
    <x v="3"/>
    <x v="1"/>
    <x v="7"/>
    <x v="2"/>
    <x v="0"/>
    <x v="1"/>
    <x v="6"/>
    <n v="0"/>
    <n v="0"/>
    <n v="0.1"/>
    <n v="0.1"/>
    <n v="0.1"/>
    <n v="0.1"/>
    <n v="0"/>
    <s v="CATIVO"/>
    <n v="0"/>
    <n v="0"/>
    <n v="29"/>
    <n v="66"/>
    <n v="0"/>
    <n v="285.89"/>
    <n v="283.83999999999997"/>
    <m/>
    <n v="421.49012534052349"/>
    <n v="308.98165505271993"/>
    <n v="0"/>
    <n v="7.7690000000000117"/>
    <n v="0"/>
    <n v="4.6625858322973048"/>
    <x v="1"/>
  </r>
  <r>
    <s v="Regular"/>
    <x v="2"/>
    <x v="3"/>
    <x v="1"/>
    <x v="7"/>
    <x v="2"/>
    <x v="0"/>
    <x v="1"/>
    <x v="7"/>
    <n v="0"/>
    <n v="0"/>
    <n v="2171.328"/>
    <n v="2171.328"/>
    <n v="2171.328"/>
    <n v="2171.328"/>
    <n v="0"/>
    <s v="CATIVO"/>
    <n v="0"/>
    <n v="0"/>
    <n v="29"/>
    <n v="66"/>
    <n v="0"/>
    <n v="285.89"/>
    <n v="283.83999999999997"/>
    <m/>
    <n v="421.49012534052349"/>
    <n v="308.98165505271993"/>
    <n v="0"/>
    <n v="168690.47232000023"/>
    <n v="0"/>
    <n v="101240.03170070442"/>
    <x v="1"/>
  </r>
  <r>
    <s v="Refaturamento - Regular"/>
    <x v="2"/>
    <x v="3"/>
    <x v="1"/>
    <x v="7"/>
    <x v="2"/>
    <x v="0"/>
    <x v="1"/>
    <x v="7"/>
    <n v="0"/>
    <n v="0"/>
    <n v="-1.71"/>
    <n v="-1.71"/>
    <n v="-1.71"/>
    <n v="-1.71"/>
    <n v="0"/>
    <s v="CATIVO"/>
    <n v="0"/>
    <n v="0"/>
    <n v="29"/>
    <n v="66"/>
    <n v="0"/>
    <n v="285.89"/>
    <n v="283.83999999999997"/>
    <m/>
    <n v="421.49012534052349"/>
    <n v="308.98165505271993"/>
    <n v="0"/>
    <n v="-132.84990000000019"/>
    <n v="0"/>
    <n v="-79.730217732283904"/>
    <x v="1"/>
  </r>
  <r>
    <s v="Sistema de Compensação"/>
    <x v="2"/>
    <x v="3"/>
    <x v="1"/>
    <x v="7"/>
    <x v="2"/>
    <x v="0"/>
    <x v="1"/>
    <x v="7"/>
    <n v="0"/>
    <n v="0"/>
    <n v="17.768000000000001"/>
    <n v="17.768000000000001"/>
    <n v="17.768000000000001"/>
    <n v="17.768000000000001"/>
    <n v="0"/>
    <s v="CATIVO"/>
    <n v="0"/>
    <n v="0"/>
    <n v="29"/>
    <n v="66"/>
    <n v="0"/>
    <n v="285.89"/>
    <n v="283.83999999999997"/>
    <m/>
    <n v="421.49012534052349"/>
    <n v="308.98165505271993"/>
    <n v="0"/>
    <n v="1380.395920000002"/>
    <n v="0"/>
    <n v="828.44825068258513"/>
    <x v="1"/>
  </r>
  <r>
    <s v="Regular"/>
    <x v="2"/>
    <x v="3"/>
    <x v="1"/>
    <x v="7"/>
    <x v="2"/>
    <x v="0"/>
    <x v="1"/>
    <x v="8"/>
    <n v="0"/>
    <n v="0"/>
    <n v="3103.2150000000001"/>
    <n v="3103.2150000000001"/>
    <n v="3103.2150000000001"/>
    <n v="3103.2150000000001"/>
    <n v="0"/>
    <s v="CATIVO"/>
    <n v="0"/>
    <n v="0"/>
    <n v="29"/>
    <n v="66"/>
    <n v="0"/>
    <n v="285.89"/>
    <n v="283.83999999999997"/>
    <m/>
    <n v="421.49012534052349"/>
    <n v="308.98165505271993"/>
    <n v="0"/>
    <n v="241088.77335000035"/>
    <n v="0"/>
    <n v="144690.0629357248"/>
    <x v="1"/>
  </r>
  <r>
    <s v="Refaturamento - Regular"/>
    <x v="2"/>
    <x v="3"/>
    <x v="1"/>
    <x v="7"/>
    <x v="2"/>
    <x v="0"/>
    <x v="1"/>
    <x v="8"/>
    <n v="0"/>
    <n v="0"/>
    <n v="-3.7570000000000001"/>
    <n v="-3.7570000000000001"/>
    <n v="-3.7570000000000001"/>
    <n v="-3.7570000000000001"/>
    <n v="0"/>
    <s v="CATIVO"/>
    <n v="0"/>
    <n v="0"/>
    <n v="29"/>
    <n v="66"/>
    <n v="0"/>
    <n v="285.89"/>
    <n v="283.83999999999997"/>
    <m/>
    <n v="421.49012534052349"/>
    <n v="308.98165505271993"/>
    <n v="0"/>
    <n v="-291.88133000000045"/>
    <n v="0"/>
    <n v="-175.17334971940974"/>
    <x v="1"/>
  </r>
  <r>
    <s v="Sistema de Compensação"/>
    <x v="2"/>
    <x v="3"/>
    <x v="1"/>
    <x v="7"/>
    <x v="2"/>
    <x v="0"/>
    <x v="1"/>
    <x v="8"/>
    <n v="0"/>
    <n v="0"/>
    <n v="28.504999999999999"/>
    <n v="28.504999999999999"/>
    <n v="28.504999999999999"/>
    <n v="28.504999999999999"/>
    <n v="0"/>
    <s v="CATIVO"/>
    <n v="0"/>
    <n v="0"/>
    <n v="29"/>
    <n v="66"/>
    <n v="0"/>
    <n v="285.89"/>
    <n v="283.83999999999997"/>
    <m/>
    <n v="421.49012534052349"/>
    <n v="308.98165505271993"/>
    <n v="0"/>
    <n v="2214.5534500000031"/>
    <n v="0"/>
    <n v="1329.0700914963465"/>
    <x v="1"/>
  </r>
  <r>
    <s v="Regular"/>
    <x v="2"/>
    <x v="3"/>
    <x v="1"/>
    <x v="7"/>
    <x v="2"/>
    <x v="0"/>
    <x v="1"/>
    <x v="9"/>
    <n v="0"/>
    <n v="0"/>
    <n v="2082.3110000000001"/>
    <n v="2082.3110000000001"/>
    <n v="2082.3110000000001"/>
    <n v="2082.3110000000001"/>
    <n v="0"/>
    <s v="CATIVO"/>
    <n v="0"/>
    <n v="0"/>
    <n v="29"/>
    <n v="66"/>
    <n v="0"/>
    <n v="285.89"/>
    <n v="283.83999999999997"/>
    <m/>
    <n v="421.49012534052349"/>
    <n v="308.98165505271993"/>
    <n v="0"/>
    <n v="161774.74159000025"/>
    <n v="0"/>
    <n v="97089.537670368329"/>
    <x v="1"/>
  </r>
  <r>
    <s v="Refaturamento - Regular"/>
    <x v="2"/>
    <x v="3"/>
    <x v="1"/>
    <x v="7"/>
    <x v="2"/>
    <x v="0"/>
    <x v="1"/>
    <x v="9"/>
    <n v="0"/>
    <n v="0"/>
    <n v="0.105"/>
    <n v="0.105"/>
    <n v="0.105"/>
    <n v="0.105"/>
    <n v="0"/>
    <s v="CATIVO"/>
    <n v="0"/>
    <n v="0"/>
    <n v="29"/>
    <n v="66"/>
    <n v="0"/>
    <n v="285.89"/>
    <n v="283.83999999999997"/>
    <m/>
    <n v="421.49012534052349"/>
    <n v="308.98165505271993"/>
    <n v="0"/>
    <n v="8.1574500000000114"/>
    <n v="0"/>
    <n v="4.8957151239121695"/>
    <x v="1"/>
  </r>
  <r>
    <s v="Sistema de Compensação"/>
    <x v="2"/>
    <x v="3"/>
    <x v="1"/>
    <x v="7"/>
    <x v="2"/>
    <x v="0"/>
    <x v="1"/>
    <x v="9"/>
    <n v="0"/>
    <n v="0"/>
    <n v="19.702999999999999"/>
    <n v="19.702999999999999"/>
    <n v="19.702999999999999"/>
    <n v="19.702999999999999"/>
    <n v="0"/>
    <s v="CATIVO"/>
    <n v="0"/>
    <n v="0"/>
    <n v="29"/>
    <n v="66"/>
    <n v="0"/>
    <n v="285.89"/>
    <n v="283.83999999999997"/>
    <m/>
    <n v="421.49012534052349"/>
    <n v="308.98165505271993"/>
    <n v="0"/>
    <n v="1530.7260700000022"/>
    <n v="0"/>
    <n v="918.66928653753791"/>
    <x v="1"/>
  </r>
  <r>
    <s v="Regular"/>
    <x v="2"/>
    <x v="3"/>
    <x v="1"/>
    <x v="7"/>
    <x v="2"/>
    <x v="0"/>
    <x v="1"/>
    <x v="10"/>
    <n v="0"/>
    <n v="0"/>
    <n v="2441.4639999999999"/>
    <n v="2441.4639999999999"/>
    <n v="2441.4639999999999"/>
    <n v="2441.4639999999999"/>
    <n v="0"/>
    <s v="CATIVO"/>
    <n v="0"/>
    <n v="0"/>
    <n v="29"/>
    <n v="66"/>
    <n v="0"/>
    <n v="285.89"/>
    <n v="283.83999999999997"/>
    <m/>
    <n v="421.49012534052349"/>
    <n v="308.98165505271993"/>
    <n v="0"/>
    <n v="189677.33816000028"/>
    <n v="0"/>
    <n v="113835.35456463906"/>
    <x v="1"/>
  </r>
  <r>
    <s v="Refaturamento - Regular"/>
    <x v="2"/>
    <x v="3"/>
    <x v="1"/>
    <x v="7"/>
    <x v="2"/>
    <x v="0"/>
    <x v="1"/>
    <x v="10"/>
    <n v="0"/>
    <n v="0"/>
    <n v="-4.4029999999999996"/>
    <n v="-4.4029999999999996"/>
    <n v="-4.4029999999999996"/>
    <n v="-4.4029999999999996"/>
    <n v="0"/>
    <s v="CATIVO"/>
    <n v="0"/>
    <n v="0"/>
    <n v="29"/>
    <n v="66"/>
    <n v="0"/>
    <n v="285.89"/>
    <n v="283.83999999999997"/>
    <m/>
    <n v="421.49012534052349"/>
    <n v="308.98165505271993"/>
    <n v="0"/>
    <n v="-342.06907000000047"/>
    <n v="0"/>
    <n v="-205.29365419605028"/>
    <x v="1"/>
  </r>
  <r>
    <s v="Sistema de Compensação"/>
    <x v="2"/>
    <x v="3"/>
    <x v="1"/>
    <x v="7"/>
    <x v="2"/>
    <x v="0"/>
    <x v="1"/>
    <x v="10"/>
    <n v="0"/>
    <n v="0"/>
    <n v="30.4"/>
    <n v="30.4"/>
    <n v="30.4"/>
    <n v="30.4"/>
    <n v="0"/>
    <s v="CATIVO"/>
    <n v="0"/>
    <n v="0"/>
    <n v="29"/>
    <n v="66"/>
    <n v="0"/>
    <n v="285.89"/>
    <n v="283.83999999999997"/>
    <m/>
    <n v="421.49012534052349"/>
    <n v="308.98165505271993"/>
    <n v="0"/>
    <n v="2361.7760000000035"/>
    <n v="0"/>
    <n v="1417.4260930183805"/>
    <x v="1"/>
  </r>
  <r>
    <s v="PROJETADO"/>
    <x v="2"/>
    <x v="3"/>
    <x v="1"/>
    <x v="7"/>
    <x v="2"/>
    <x v="0"/>
    <x v="1"/>
    <x v="11"/>
    <n v="0"/>
    <n v="0"/>
    <n v="2441.4639999999999"/>
    <n v="2441.4639999999999"/>
    <n v="2441.4639999999999"/>
    <n v="2441.4639999999999"/>
    <n v="0"/>
    <s v="CATIVO"/>
    <n v="0"/>
    <n v="0"/>
    <n v="29"/>
    <n v="66"/>
    <n v="0"/>
    <n v="285.89"/>
    <n v="283.83999999999997"/>
    <m/>
    <n v="421.49012534052349"/>
    <n v="308.98165505271993"/>
    <n v="0"/>
    <n v="189677.33816000028"/>
    <n v="0"/>
    <n v="113835.35456463906"/>
    <x v="1"/>
  </r>
  <r>
    <s v="PROJETADO"/>
    <x v="2"/>
    <x v="3"/>
    <x v="1"/>
    <x v="7"/>
    <x v="2"/>
    <x v="0"/>
    <x v="1"/>
    <x v="11"/>
    <n v="0"/>
    <n v="0"/>
    <n v="-4.4029999999999996"/>
    <n v="-4.4029999999999996"/>
    <n v="-4.4029999999999996"/>
    <n v="-4.4029999999999996"/>
    <n v="0"/>
    <s v="CATIVO"/>
    <n v="0"/>
    <n v="0"/>
    <n v="29"/>
    <n v="66"/>
    <n v="0"/>
    <n v="285.89"/>
    <n v="283.83999999999997"/>
    <m/>
    <n v="421.49012534052349"/>
    <n v="308.98165505271993"/>
    <n v="0"/>
    <n v="-342.06907000000047"/>
    <n v="0"/>
    <n v="-205.29365419605028"/>
    <x v="1"/>
  </r>
  <r>
    <s v="PROJETADO"/>
    <x v="2"/>
    <x v="3"/>
    <x v="1"/>
    <x v="7"/>
    <x v="2"/>
    <x v="0"/>
    <x v="1"/>
    <x v="11"/>
    <n v="0"/>
    <n v="0"/>
    <n v="30.4"/>
    <n v="30.4"/>
    <n v="30.4"/>
    <n v="30.4"/>
    <n v="0"/>
    <s v="CATIVO"/>
    <n v="0"/>
    <n v="0"/>
    <n v="29"/>
    <n v="66"/>
    <n v="0"/>
    <n v="285.89"/>
    <n v="283.83999999999997"/>
    <m/>
    <n v="421.49012534052349"/>
    <n v="308.98165505271993"/>
    <n v="0"/>
    <n v="2361.7760000000035"/>
    <n v="0"/>
    <n v="1417.4260930183805"/>
    <x v="1"/>
  </r>
  <r>
    <s v="Regular"/>
    <x v="2"/>
    <x v="3"/>
    <x v="1"/>
    <x v="7"/>
    <x v="3"/>
    <x v="0"/>
    <x v="1"/>
    <x v="0"/>
    <n v="0"/>
    <n v="0"/>
    <n v="9623.5360000000001"/>
    <n v="2598.3547199999998"/>
    <n v="9623.5360000000001"/>
    <n v="2598.3547199999998"/>
    <n v="0"/>
    <s v="CATIVO"/>
    <n v="0"/>
    <n v="0"/>
    <n v="29"/>
    <n v="66"/>
    <n v="0"/>
    <n v="285.89"/>
    <n v="283.83999999999997"/>
    <m/>
    <n v="421.49012534052349"/>
    <n v="308.98165505271993"/>
    <n v="0"/>
    <n v="4750109.0424944013"/>
    <n v="0"/>
    <n v="5580402.3032889161"/>
    <x v="6"/>
  </r>
  <r>
    <s v="Refaturamento - Regular"/>
    <x v="2"/>
    <x v="3"/>
    <x v="1"/>
    <x v="7"/>
    <x v="3"/>
    <x v="0"/>
    <x v="1"/>
    <x v="0"/>
    <n v="0"/>
    <n v="0"/>
    <n v="12.765000000000001"/>
    <n v="3.4465499999999998"/>
    <n v="12.765000000000001"/>
    <n v="3.4465499999999998"/>
    <n v="0"/>
    <s v="CATIVO"/>
    <n v="0"/>
    <n v="0"/>
    <n v="29"/>
    <n v="66"/>
    <n v="0"/>
    <n v="285.89"/>
    <n v="283.83999999999997"/>
    <m/>
    <n v="421.49012534052349"/>
    <n v="308.98165505271993"/>
    <n v="0"/>
    <n v="6300.7133685000017"/>
    <n v="0"/>
    <n v="7402.0438434981706"/>
    <x v="6"/>
  </r>
  <r>
    <s v="Sistema de Compensação"/>
    <x v="2"/>
    <x v="3"/>
    <x v="1"/>
    <x v="7"/>
    <x v="3"/>
    <x v="0"/>
    <x v="1"/>
    <x v="0"/>
    <n v="0"/>
    <n v="0"/>
    <n v="43.823999999999998"/>
    <n v="11.83248"/>
    <n v="43.823999999999998"/>
    <n v="11.83248"/>
    <n v="0"/>
    <s v="CATIVO"/>
    <n v="0"/>
    <n v="0"/>
    <n v="29"/>
    <n v="66"/>
    <n v="0"/>
    <n v="285.89"/>
    <n v="283.83999999999997"/>
    <m/>
    <n v="421.49012534052349"/>
    <n v="308.98165505271993"/>
    <n v="0"/>
    <n v="21631.215249600005"/>
    <n v="0"/>
    <n v="25412.234187032023"/>
    <x v="6"/>
  </r>
  <r>
    <s v="Regular"/>
    <x v="2"/>
    <x v="3"/>
    <x v="1"/>
    <x v="7"/>
    <x v="3"/>
    <x v="0"/>
    <x v="1"/>
    <x v="1"/>
    <n v="0"/>
    <n v="0"/>
    <n v="9792.9860000000008"/>
    <n v="2644.1062200000001"/>
    <n v="9792.9860000000008"/>
    <n v="2644.1062200000001"/>
    <n v="0"/>
    <s v="CATIVO"/>
    <n v="0"/>
    <n v="0"/>
    <n v="29"/>
    <n v="66"/>
    <n v="0"/>
    <n v="285.89"/>
    <n v="283.83999999999997"/>
    <m/>
    <n v="421.49012534052349"/>
    <n v="308.98165505271993"/>
    <n v="0"/>
    <n v="4833748.3593994025"/>
    <n v="0"/>
    <n v="5678661.3185087182"/>
    <x v="6"/>
  </r>
  <r>
    <s v="Refaturamento - Regular"/>
    <x v="2"/>
    <x v="3"/>
    <x v="1"/>
    <x v="7"/>
    <x v="3"/>
    <x v="0"/>
    <x v="1"/>
    <x v="1"/>
    <n v="0"/>
    <n v="0"/>
    <n v="1.034"/>
    <n v="0.27917999999999998"/>
    <n v="1.034"/>
    <n v="0.27917999999999998"/>
    <n v="0"/>
    <s v="CATIVO"/>
    <n v="0"/>
    <n v="0"/>
    <n v="29"/>
    <n v="66"/>
    <n v="0"/>
    <n v="285.89"/>
    <n v="283.83999999999997"/>
    <m/>
    <n v="421.49012534052349"/>
    <n v="308.98165505271993"/>
    <n v="0"/>
    <n v="510.37505860000016"/>
    <n v="0"/>
    <n v="599.58584678238208"/>
    <x v="6"/>
  </r>
  <r>
    <s v="Sistema de Compensação"/>
    <x v="2"/>
    <x v="3"/>
    <x v="1"/>
    <x v="7"/>
    <x v="3"/>
    <x v="0"/>
    <x v="1"/>
    <x v="1"/>
    <n v="0"/>
    <n v="0"/>
    <n v="52.6"/>
    <n v="14.202"/>
    <n v="52.6"/>
    <n v="14.202"/>
    <n v="0"/>
    <s v="CATIVO"/>
    <n v="0"/>
    <n v="0"/>
    <n v="29"/>
    <n v="66"/>
    <n v="0"/>
    <n v="285.89"/>
    <n v="283.83999999999997"/>
    <m/>
    <n v="421.49012534052349"/>
    <n v="308.98165505271993"/>
    <n v="0"/>
    <n v="25962.986540000009"/>
    <n v="0"/>
    <n v="30501.175571328145"/>
    <x v="6"/>
  </r>
  <r>
    <s v="Regular"/>
    <x v="2"/>
    <x v="3"/>
    <x v="1"/>
    <x v="7"/>
    <x v="3"/>
    <x v="0"/>
    <x v="1"/>
    <x v="2"/>
    <n v="0"/>
    <n v="0"/>
    <n v="1895.463"/>
    <n v="511.77501000000001"/>
    <n v="1895.463"/>
    <n v="511.77501000000001"/>
    <n v="0"/>
    <s v="CATIVO"/>
    <n v="0"/>
    <n v="0"/>
    <n v="29"/>
    <n v="66"/>
    <n v="0"/>
    <n v="285.89"/>
    <n v="283.83999999999997"/>
    <m/>
    <n v="421.49012534052349"/>
    <n v="308.98165505271993"/>
    <n v="0"/>
    <n v="935587.07901270024"/>
    <n v="0"/>
    <n v="1099122.6188584857"/>
    <x v="6"/>
  </r>
  <r>
    <s v="Refaturamento - Regular"/>
    <x v="2"/>
    <x v="3"/>
    <x v="1"/>
    <x v="7"/>
    <x v="3"/>
    <x v="0"/>
    <x v="1"/>
    <x v="2"/>
    <n v="0"/>
    <n v="0"/>
    <n v="4.5720000000000001"/>
    <n v="1.23444"/>
    <n v="4.5720000000000001"/>
    <n v="1.23444"/>
    <n v="0"/>
    <s v="CATIVO"/>
    <n v="0"/>
    <n v="0"/>
    <n v="29"/>
    <n v="66"/>
    <n v="0"/>
    <n v="285.89"/>
    <n v="283.83999999999997"/>
    <m/>
    <n v="421.49012534052349"/>
    <n v="308.98165505271993"/>
    <n v="0"/>
    <n v="2256.7067388000005"/>
    <n v="0"/>
    <n v="2651.1668196219061"/>
    <x v="6"/>
  </r>
  <r>
    <s v="Sistema de Compensação"/>
    <x v="2"/>
    <x v="3"/>
    <x v="1"/>
    <x v="7"/>
    <x v="3"/>
    <x v="0"/>
    <x v="1"/>
    <x v="2"/>
    <n v="0"/>
    <n v="0"/>
    <n v="3.0859999999999999"/>
    <n v="0.83321999999999996"/>
    <n v="3.0859999999999999"/>
    <n v="0.83321999999999996"/>
    <n v="0"/>
    <s v="CATIVO"/>
    <n v="0"/>
    <n v="0"/>
    <n v="29"/>
    <n v="66"/>
    <n v="0"/>
    <n v="285.89"/>
    <n v="283.83999999999997"/>
    <m/>
    <n v="421.49012534052349"/>
    <n v="308.98165505271993"/>
    <n v="0"/>
    <n v="1523.2276894000004"/>
    <n v="0"/>
    <n v="1789.4796162189857"/>
    <x v="6"/>
  </r>
  <r>
    <s v="Regular"/>
    <x v="2"/>
    <x v="3"/>
    <x v="1"/>
    <x v="7"/>
    <x v="3"/>
    <x v="0"/>
    <x v="1"/>
    <x v="3"/>
    <n v="0"/>
    <n v="0"/>
    <n v="1072.81"/>
    <n v="289.65870000000001"/>
    <n v="1072.81"/>
    <n v="289.65870000000001"/>
    <n v="0"/>
    <s v="CATIVO"/>
    <n v="0"/>
    <n v="0"/>
    <n v="29"/>
    <n v="66"/>
    <n v="0"/>
    <n v="285.89"/>
    <n v="283.83999999999997"/>
    <m/>
    <n v="421.49012534052349"/>
    <n v="308.98165505271993"/>
    <n v="0"/>
    <n v="529531.39904900012"/>
    <n v="0"/>
    <n v="622090.61149575189"/>
    <x v="6"/>
  </r>
  <r>
    <s v="Refaturamento - Regular"/>
    <x v="2"/>
    <x v="3"/>
    <x v="1"/>
    <x v="7"/>
    <x v="3"/>
    <x v="0"/>
    <x v="1"/>
    <x v="3"/>
    <n v="0"/>
    <n v="0"/>
    <n v="-7.9459999999999997"/>
    <n v="-2.1454200000000001"/>
    <n v="-7.9459999999999997"/>
    <n v="-2.1454200000000001"/>
    <n v="0"/>
    <s v="CATIVO"/>
    <n v="0"/>
    <n v="0"/>
    <n v="29"/>
    <n v="66"/>
    <n v="0"/>
    <n v="285.89"/>
    <n v="283.83999999999997"/>
    <m/>
    <n v="421.49012534052349"/>
    <n v="308.98165505271993"/>
    <n v="0"/>
    <n v="-3922.0891834000013"/>
    <n v="0"/>
    <n v="-4607.6490701477833"/>
    <x v="6"/>
  </r>
  <r>
    <s v="Sistema de Compensação"/>
    <x v="2"/>
    <x v="3"/>
    <x v="1"/>
    <x v="7"/>
    <x v="3"/>
    <x v="0"/>
    <x v="1"/>
    <x v="3"/>
    <n v="0"/>
    <n v="0"/>
    <n v="7.1970000000000001"/>
    <n v="1.94319"/>
    <n v="7.1970000000000001"/>
    <n v="1.94319"/>
    <n v="0"/>
    <s v="CATIVO"/>
    <n v="0"/>
    <n v="0"/>
    <n v="29"/>
    <n v="66"/>
    <n v="0"/>
    <n v="285.89"/>
    <n v="283.83999999999997"/>
    <m/>
    <n v="421.49012534052349"/>
    <n v="308.98165505271993"/>
    <n v="0"/>
    <n v="3552.3881013000009"/>
    <n v="0"/>
    <n v="4173.326246898263"/>
    <x v="6"/>
  </r>
  <r>
    <s v="Regular"/>
    <x v="2"/>
    <x v="3"/>
    <x v="1"/>
    <x v="7"/>
    <x v="3"/>
    <x v="0"/>
    <x v="1"/>
    <x v="4"/>
    <n v="0"/>
    <n v="0"/>
    <n v="1094.652"/>
    <n v="295.55604"/>
    <n v="1094.652"/>
    <n v="295.55604"/>
    <n v="0"/>
    <s v="CATIVO"/>
    <n v="0"/>
    <n v="0"/>
    <n v="29"/>
    <n v="66"/>
    <n v="0"/>
    <n v="285.89"/>
    <n v="283.83999999999997"/>
    <m/>
    <n v="421.49012534052349"/>
    <n v="308.98165505271993"/>
    <n v="0"/>
    <n v="540312.45517080021"/>
    <n v="0"/>
    <n v="634756.13767120719"/>
    <x v="6"/>
  </r>
  <r>
    <s v="Refaturamento - Regular"/>
    <x v="2"/>
    <x v="3"/>
    <x v="1"/>
    <x v="7"/>
    <x v="3"/>
    <x v="0"/>
    <x v="1"/>
    <x v="4"/>
    <n v="0"/>
    <n v="0"/>
    <n v="-4.165"/>
    <n v="-1.1245499999999999"/>
    <n v="-4.165"/>
    <n v="-1.1245499999999999"/>
    <n v="0"/>
    <s v="CATIVO"/>
    <n v="0"/>
    <n v="0"/>
    <n v="29"/>
    <n v="66"/>
    <n v="0"/>
    <n v="285.89"/>
    <n v="283.83999999999997"/>
    <m/>
    <n v="421.49012534052349"/>
    <n v="308.98165505271993"/>
    <n v="0"/>
    <n v="-2055.8144285000003"/>
    <n v="0"/>
    <n v="-2415.1596246118197"/>
    <x v="6"/>
  </r>
  <r>
    <s v="Sistema de Compensação"/>
    <x v="2"/>
    <x v="3"/>
    <x v="1"/>
    <x v="7"/>
    <x v="3"/>
    <x v="0"/>
    <x v="1"/>
    <x v="4"/>
    <n v="0"/>
    <n v="0"/>
    <n v="4.1390000000000002"/>
    <n v="1.1175299999999999"/>
    <n v="4.1390000000000002"/>
    <n v="1.1175299999999999"/>
    <n v="0"/>
    <s v="CATIVO"/>
    <n v="0"/>
    <n v="0"/>
    <n v="29"/>
    <n v="66"/>
    <n v="0"/>
    <n v="285.89"/>
    <n v="283.83999999999997"/>
    <m/>
    <n v="421.49012534052349"/>
    <n v="308.98165505271993"/>
    <n v="0"/>
    <n v="2042.9810131000006"/>
    <n v="0"/>
    <n v="2400.0829979035589"/>
    <x v="6"/>
  </r>
  <r>
    <s v="Sistema de Compensação"/>
    <x v="2"/>
    <x v="3"/>
    <x v="1"/>
    <x v="7"/>
    <x v="3"/>
    <x v="0"/>
    <x v="1"/>
    <x v="4"/>
    <n v="0"/>
    <n v="0"/>
    <n v="0.51200000000000001"/>
    <n v="0.13824"/>
    <n v="0.51200000000000001"/>
    <n v="0.13824"/>
    <n v="0"/>
    <s v="CATIVO"/>
    <n v="0"/>
    <n v="0"/>
    <n v="29"/>
    <n v="66"/>
    <n v="0"/>
    <n v="285.89"/>
    <n v="283.83999999999997"/>
    <m/>
    <n v="421.49012534052349"/>
    <n v="308.98165505271993"/>
    <n v="0"/>
    <n v="252.71956480000006"/>
    <n v="0"/>
    <n v="296.89357210114088"/>
    <x v="6"/>
  </r>
  <r>
    <s v="Regular"/>
    <x v="2"/>
    <x v="3"/>
    <x v="1"/>
    <x v="7"/>
    <x v="3"/>
    <x v="0"/>
    <x v="1"/>
    <x v="5"/>
    <n v="0"/>
    <n v="0"/>
    <n v="3305.2649999999999"/>
    <n v="892.42155000000002"/>
    <n v="3305.2649999999999"/>
    <n v="892.42155000000002"/>
    <n v="0"/>
    <s v="CATIVO"/>
    <n v="0"/>
    <n v="0"/>
    <n v="29"/>
    <n v="66"/>
    <n v="0"/>
    <n v="285.89"/>
    <n v="283.83999999999997"/>
    <m/>
    <n v="421.49012534052349"/>
    <n v="308.98165505271993"/>
    <n v="0"/>
    <n v="1631455.3366185003"/>
    <n v="0"/>
    <n v="1916624.8683415572"/>
    <x v="6"/>
  </r>
  <r>
    <s v="Refaturamento - Regular"/>
    <x v="2"/>
    <x v="3"/>
    <x v="1"/>
    <x v="7"/>
    <x v="3"/>
    <x v="0"/>
    <x v="1"/>
    <x v="5"/>
    <n v="0"/>
    <n v="0"/>
    <n v="-11.685"/>
    <n v="-3.1549499999999999"/>
    <n v="-11.685"/>
    <n v="-3.1549499999999999"/>
    <n v="0"/>
    <s v="CATIVO"/>
    <n v="0"/>
    <n v="0"/>
    <n v="29"/>
    <n v="66"/>
    <n v="0"/>
    <n v="285.89"/>
    <n v="283.83999999999997"/>
    <m/>
    <n v="421.49012534052349"/>
    <n v="308.98165505271993"/>
    <n v="0"/>
    <n v="-5767.6330365000022"/>
    <n v="0"/>
    <n v="-6775.7839648473264"/>
    <x v="6"/>
  </r>
  <r>
    <s v="Sistema de Compensação"/>
    <x v="2"/>
    <x v="3"/>
    <x v="1"/>
    <x v="7"/>
    <x v="3"/>
    <x v="0"/>
    <x v="1"/>
    <x v="5"/>
    <n v="0"/>
    <n v="0"/>
    <n v="13.602"/>
    <n v="3.6725400000000001"/>
    <n v="13.602"/>
    <n v="3.6725400000000001"/>
    <n v="0"/>
    <s v="CATIVO"/>
    <n v="0"/>
    <n v="0"/>
    <n v="29"/>
    <n v="66"/>
    <n v="0"/>
    <n v="285.89"/>
    <n v="283.83999999999997"/>
    <m/>
    <n v="421.49012534052349"/>
    <n v="308.98165505271993"/>
    <n v="0"/>
    <n v="6713.8506258000025"/>
    <n v="0"/>
    <n v="7887.3952494525747"/>
    <x v="6"/>
  </r>
  <r>
    <s v="Regular"/>
    <x v="2"/>
    <x v="3"/>
    <x v="1"/>
    <x v="7"/>
    <x v="3"/>
    <x v="0"/>
    <x v="1"/>
    <x v="6"/>
    <n v="0"/>
    <n v="0"/>
    <n v="2070.011"/>
    <n v="828.00440000000003"/>
    <n v="2070.011"/>
    <n v="828.00440000000003"/>
    <n v="0"/>
    <s v="CATIVO"/>
    <n v="0"/>
    <n v="0"/>
    <n v="29"/>
    <n v="66"/>
    <n v="0"/>
    <n v="285.89"/>
    <n v="283.83999999999997"/>
    <m/>
    <n v="421.49012534052349"/>
    <n v="308.98165505271993"/>
    <n v="0"/>
    <n v="868427.57480800012"/>
    <n v="0"/>
    <n v="1003766.8119751546"/>
    <x v="6"/>
  </r>
  <r>
    <s v="Refaturamento - Regular"/>
    <x v="2"/>
    <x v="3"/>
    <x v="1"/>
    <x v="7"/>
    <x v="3"/>
    <x v="0"/>
    <x v="1"/>
    <x v="6"/>
    <n v="0"/>
    <n v="0"/>
    <n v="-109.158"/>
    <n v="-43.663200000000003"/>
    <n v="-109.158"/>
    <n v="-43.663200000000003"/>
    <n v="0"/>
    <s v="CATIVO"/>
    <n v="0"/>
    <n v="0"/>
    <n v="29"/>
    <n v="66"/>
    <n v="0"/>
    <n v="285.89"/>
    <n v="283.83999999999997"/>
    <m/>
    <n v="421.49012534052349"/>
    <n v="308.98165505271993"/>
    <n v="0"/>
    <n v="-45794.837424000012"/>
    <n v="0"/>
    <n v="-52931.688605318494"/>
    <x v="6"/>
  </r>
  <r>
    <s v="Sistema de Compensação"/>
    <x v="2"/>
    <x v="3"/>
    <x v="1"/>
    <x v="7"/>
    <x v="3"/>
    <x v="0"/>
    <x v="1"/>
    <x v="6"/>
    <n v="0"/>
    <n v="0"/>
    <n v="21.001999999999999"/>
    <n v="8.4008000000000003"/>
    <n v="21.001999999999999"/>
    <n v="8.4008000000000003"/>
    <n v="0"/>
    <s v="CATIVO"/>
    <n v="0"/>
    <n v="0"/>
    <n v="29"/>
    <n v="66"/>
    <n v="0"/>
    <n v="285.89"/>
    <n v="283.83999999999997"/>
    <m/>
    <n v="421.49012534052349"/>
    <n v="308.98165505271993"/>
    <n v="0"/>
    <n v="8810.9270560000023"/>
    <n v="0"/>
    <n v="10184.057275590418"/>
    <x v="6"/>
  </r>
  <r>
    <s v="Sistema de Compensação"/>
    <x v="2"/>
    <x v="3"/>
    <x v="1"/>
    <x v="7"/>
    <x v="3"/>
    <x v="0"/>
    <x v="1"/>
    <x v="6"/>
    <n v="0"/>
    <n v="0"/>
    <n v="7.3999999999999996E-2"/>
    <n v="1.9980000000000001E-2"/>
    <n v="7.3999999999999996E-2"/>
    <n v="1.9980000000000001E-2"/>
    <n v="0"/>
    <s v="CATIVO"/>
    <n v="0"/>
    <n v="0"/>
    <n v="29"/>
    <n v="66"/>
    <n v="0"/>
    <n v="285.89"/>
    <n v="283.83999999999997"/>
    <m/>
    <n v="421.49012534052349"/>
    <n v="308.98165505271993"/>
    <n v="0"/>
    <n v="36.525874600000009"/>
    <n v="0"/>
    <n v="42.910399092743013"/>
    <x v="6"/>
  </r>
  <r>
    <s v="Regular"/>
    <x v="2"/>
    <x v="3"/>
    <x v="1"/>
    <x v="7"/>
    <x v="3"/>
    <x v="0"/>
    <x v="1"/>
    <x v="7"/>
    <n v="0"/>
    <n v="0"/>
    <n v="5306.0870000000004"/>
    <n v="2122.4348"/>
    <n v="5306.0870000000004"/>
    <n v="2122.4348"/>
    <n v="0"/>
    <s v="CATIVO"/>
    <n v="0"/>
    <n v="0"/>
    <n v="29"/>
    <n v="66"/>
    <n v="0"/>
    <n v="285.89"/>
    <n v="283.83999999999997"/>
    <m/>
    <n v="421.49012534052349"/>
    <n v="308.98165505271993"/>
    <n v="0"/>
    <n v="2226052.0669360007"/>
    <n v="0"/>
    <n v="2572968.9513982357"/>
    <x v="6"/>
  </r>
  <r>
    <s v="Refaturamento - Regular"/>
    <x v="2"/>
    <x v="3"/>
    <x v="1"/>
    <x v="7"/>
    <x v="3"/>
    <x v="0"/>
    <x v="1"/>
    <x v="7"/>
    <n v="0"/>
    <n v="0"/>
    <n v="-1.0529999999999999"/>
    <n v="-0.42120000000000002"/>
    <n v="-1.0529999999999999"/>
    <n v="-0.42120000000000002"/>
    <n v="0"/>
    <s v="CATIVO"/>
    <n v="0"/>
    <n v="0"/>
    <n v="29"/>
    <n v="66"/>
    <n v="0"/>
    <n v="285.89"/>
    <n v="283.83999999999997"/>
    <m/>
    <n v="421.49012534052349"/>
    <n v="308.98165505271993"/>
    <n v="0"/>
    <n v="-441.76298400000007"/>
    <n v="0"/>
    <n v="-510.60909966654174"/>
    <x v="6"/>
  </r>
  <r>
    <s v="Sistema de Compensação"/>
    <x v="2"/>
    <x v="3"/>
    <x v="1"/>
    <x v="7"/>
    <x v="3"/>
    <x v="0"/>
    <x v="1"/>
    <x v="7"/>
    <n v="0"/>
    <n v="0"/>
    <n v="61.082999999999998"/>
    <n v="24.433199999999999"/>
    <n v="61.082999999999998"/>
    <n v="24.433199999999999"/>
    <n v="0"/>
    <s v="CATIVO"/>
    <n v="0"/>
    <n v="0"/>
    <n v="29"/>
    <n v="66"/>
    <n v="0"/>
    <n v="285.89"/>
    <n v="283.83999999999997"/>
    <m/>
    <n v="421.49012534052349"/>
    <n v="308.98165505271993"/>
    <n v="0"/>
    <n v="25626.028824000008"/>
    <n v="0"/>
    <n v="29619.691960998454"/>
    <x v="6"/>
  </r>
  <r>
    <s v="Regular"/>
    <x v="2"/>
    <x v="3"/>
    <x v="1"/>
    <x v="7"/>
    <x v="3"/>
    <x v="0"/>
    <x v="1"/>
    <x v="8"/>
    <n v="0"/>
    <n v="0"/>
    <n v="8382.3169999999991"/>
    <n v="3352.9268000000002"/>
    <n v="8382.3169999999991"/>
    <n v="3352.9268000000002"/>
    <n v="0"/>
    <s v="CATIVO"/>
    <n v="0"/>
    <n v="0"/>
    <n v="29"/>
    <n v="66"/>
    <n v="0"/>
    <n v="285.89"/>
    <n v="283.83999999999997"/>
    <m/>
    <n v="421.49012534052349"/>
    <n v="308.98165505271993"/>
    <n v="0"/>
    <n v="3516616.6863760003"/>
    <n v="0"/>
    <n v="4064660.3385465778"/>
    <x v="6"/>
  </r>
  <r>
    <s v="Refaturamento - Regular"/>
    <x v="2"/>
    <x v="3"/>
    <x v="1"/>
    <x v="7"/>
    <x v="3"/>
    <x v="0"/>
    <x v="1"/>
    <x v="8"/>
    <n v="0"/>
    <n v="0"/>
    <n v="-0.59699999999999998"/>
    <n v="-0.16119"/>
    <n v="-0.59699999999999998"/>
    <n v="-0.16119"/>
    <n v="0"/>
    <s v="CATIVO"/>
    <n v="0"/>
    <n v="0"/>
    <n v="29"/>
    <n v="66"/>
    <n v="0"/>
    <n v="285.89"/>
    <n v="283.83999999999997"/>
    <m/>
    <n v="421.49012534052349"/>
    <n v="308.98165505271993"/>
    <n v="0"/>
    <n v="-294.67496130000006"/>
    <n v="0"/>
    <n v="-346.18254403199427"/>
    <x v="6"/>
  </r>
  <r>
    <s v="Sistema de Compensação"/>
    <x v="2"/>
    <x v="3"/>
    <x v="1"/>
    <x v="7"/>
    <x v="3"/>
    <x v="0"/>
    <x v="1"/>
    <x v="8"/>
    <n v="0"/>
    <n v="0"/>
    <n v="127.547"/>
    <n v="51.018799999999999"/>
    <n v="127.547"/>
    <n v="51.018799999999999"/>
    <n v="0"/>
    <s v="CATIVO"/>
    <n v="0"/>
    <n v="0"/>
    <n v="29"/>
    <n v="66"/>
    <n v="0"/>
    <n v="285.89"/>
    <n v="283.83999999999997"/>
    <m/>
    <n v="421.49012534052349"/>
    <n v="308.98165505271993"/>
    <n v="0"/>
    <n v="53509.537816000011"/>
    <n v="0"/>
    <n v="61848.678855810453"/>
    <x v="6"/>
  </r>
  <r>
    <s v="Sistema de Compensação"/>
    <x v="2"/>
    <x v="3"/>
    <x v="1"/>
    <x v="7"/>
    <x v="3"/>
    <x v="0"/>
    <x v="1"/>
    <x v="8"/>
    <n v="0"/>
    <n v="0"/>
    <n v="0.13"/>
    <n v="3.5099999999999999E-2"/>
    <n v="0.13"/>
    <n v="3.5099999999999999E-2"/>
    <n v="0"/>
    <s v="CATIVO"/>
    <n v="0"/>
    <n v="0"/>
    <n v="29"/>
    <n v="66"/>
    <n v="0"/>
    <n v="285.89"/>
    <n v="283.83999999999997"/>
    <m/>
    <n v="421.49012534052349"/>
    <n v="308.98165505271993"/>
    <n v="0"/>
    <n v="64.16707700000002"/>
    <n v="0"/>
    <n v="75.383133541305313"/>
    <x v="6"/>
  </r>
  <r>
    <s v="Regular"/>
    <x v="2"/>
    <x v="3"/>
    <x v="1"/>
    <x v="7"/>
    <x v="3"/>
    <x v="0"/>
    <x v="1"/>
    <x v="9"/>
    <n v="0"/>
    <n v="0"/>
    <n v="6080.9279999999999"/>
    <n v="2432.3712"/>
    <n v="6080.9279999999999"/>
    <n v="2432.3712"/>
    <n v="0"/>
    <s v="CATIVO"/>
    <n v="0"/>
    <n v="0"/>
    <n v="29"/>
    <n v="66"/>
    <n v="0"/>
    <n v="285.89"/>
    <n v="283.83999999999997"/>
    <m/>
    <n v="421.49012534052349"/>
    <n v="308.98165505271993"/>
    <n v="0"/>
    <n v="2551119.5619840007"/>
    <n v="0"/>
    <n v="2948696.2689620745"/>
    <x v="6"/>
  </r>
  <r>
    <s v="Refaturamento - Regular"/>
    <x v="2"/>
    <x v="3"/>
    <x v="1"/>
    <x v="7"/>
    <x v="3"/>
    <x v="0"/>
    <x v="1"/>
    <x v="9"/>
    <n v="0"/>
    <n v="0"/>
    <n v="2.972"/>
    <n v="0.80244000000000004"/>
    <n v="2.972"/>
    <n v="0.80244000000000004"/>
    <n v="0"/>
    <s v="CATIVO"/>
    <n v="0"/>
    <n v="0"/>
    <n v="29"/>
    <n v="66"/>
    <n v="0"/>
    <n v="285.89"/>
    <n v="283.83999999999997"/>
    <m/>
    <n v="421.49012534052349"/>
    <n v="308.98165505271993"/>
    <n v="0"/>
    <n v="1466.9580988000002"/>
    <n v="0"/>
    <n v="1723.3744068058409"/>
    <x v="6"/>
  </r>
  <r>
    <s v="Sistema de Compensação"/>
    <x v="2"/>
    <x v="3"/>
    <x v="1"/>
    <x v="7"/>
    <x v="3"/>
    <x v="0"/>
    <x v="1"/>
    <x v="9"/>
    <n v="0"/>
    <n v="0"/>
    <n v="75.545000000000002"/>
    <n v="30.218"/>
    <n v="75.545000000000002"/>
    <n v="30.218"/>
    <n v="0"/>
    <s v="CATIVO"/>
    <n v="0"/>
    <n v="0"/>
    <n v="29"/>
    <n v="66"/>
    <n v="0"/>
    <n v="285.89"/>
    <n v="283.83999999999997"/>
    <m/>
    <n v="421.49012534052349"/>
    <n v="308.98165505271993"/>
    <n v="0"/>
    <n v="31693.242760000008"/>
    <n v="0"/>
    <n v="36632.44485689354"/>
    <x v="6"/>
  </r>
  <r>
    <s v="Regular"/>
    <x v="2"/>
    <x v="3"/>
    <x v="1"/>
    <x v="7"/>
    <x v="3"/>
    <x v="0"/>
    <x v="1"/>
    <x v="10"/>
    <n v="0"/>
    <n v="0"/>
    <n v="7343.5330000000004"/>
    <n v="2937.4132"/>
    <n v="7343.5330000000004"/>
    <n v="2937.4132"/>
    <n v="0"/>
    <s v="CATIVO"/>
    <n v="0"/>
    <n v="0"/>
    <n v="29"/>
    <n v="66"/>
    <n v="0"/>
    <n v="285.89"/>
    <n v="283.83999999999997"/>
    <m/>
    <n v="421.49012534052349"/>
    <n v="308.98165505271993"/>
    <n v="0"/>
    <n v="3080817.7124240012"/>
    <n v="0"/>
    <n v="3560944.7041799994"/>
    <x v="6"/>
  </r>
  <r>
    <s v="Refaturamento - Regular"/>
    <x v="2"/>
    <x v="3"/>
    <x v="1"/>
    <x v="7"/>
    <x v="3"/>
    <x v="0"/>
    <x v="1"/>
    <x v="10"/>
    <n v="0"/>
    <n v="0"/>
    <n v="10.722"/>
    <n v="2.8949400000000001"/>
    <n v="10.722"/>
    <n v="2.8949400000000001"/>
    <n v="0"/>
    <s v="CATIVO"/>
    <n v="0"/>
    <n v="0"/>
    <n v="29"/>
    <n v="66"/>
    <n v="0"/>
    <n v="285.89"/>
    <n v="283.83999999999997"/>
    <m/>
    <n v="421.49012534052349"/>
    <n v="308.98165505271993"/>
    <n v="0"/>
    <n v="5292.3030738000007"/>
    <n v="0"/>
    <n v="6217.3689063836564"/>
    <x v="6"/>
  </r>
  <r>
    <s v="Sistema de Compensação"/>
    <x v="2"/>
    <x v="3"/>
    <x v="1"/>
    <x v="7"/>
    <x v="3"/>
    <x v="0"/>
    <x v="1"/>
    <x v="10"/>
    <n v="0"/>
    <n v="0"/>
    <n v="167.989"/>
    <n v="67.195599999999999"/>
    <n v="167.989"/>
    <n v="67.195599999999999"/>
    <n v="0"/>
    <s v="CATIVO"/>
    <n v="0"/>
    <n v="0"/>
    <n v="29"/>
    <n v="66"/>
    <n v="0"/>
    <n v="285.89"/>
    <n v="283.83999999999997"/>
    <m/>
    <n v="421.49012534052349"/>
    <n v="308.98165505271993"/>
    <n v="0"/>
    <n v="70476.089192000029"/>
    <n v="0"/>
    <n v="81459.365663706267"/>
    <x v="6"/>
  </r>
  <r>
    <s v="PROJETADO"/>
    <x v="2"/>
    <x v="3"/>
    <x v="1"/>
    <x v="7"/>
    <x v="3"/>
    <x v="0"/>
    <x v="1"/>
    <x v="11"/>
    <n v="0"/>
    <n v="0"/>
    <n v="7343.5330000000004"/>
    <n v="2937.4132"/>
    <n v="7343.5330000000004"/>
    <n v="2937.4132"/>
    <n v="0"/>
    <s v="CATIVO"/>
    <n v="0"/>
    <n v="0"/>
    <n v="29"/>
    <n v="66"/>
    <n v="0"/>
    <n v="285.89"/>
    <n v="283.83999999999997"/>
    <m/>
    <n v="421.49012534052349"/>
    <n v="308.98165505271993"/>
    <n v="0"/>
    <n v="3080817.7124240012"/>
    <n v="0"/>
    <n v="3560944.7041799994"/>
    <x v="6"/>
  </r>
  <r>
    <s v="PROJETADO"/>
    <x v="2"/>
    <x v="3"/>
    <x v="1"/>
    <x v="7"/>
    <x v="3"/>
    <x v="0"/>
    <x v="1"/>
    <x v="11"/>
    <n v="0"/>
    <n v="0"/>
    <n v="10.722"/>
    <n v="2.8949400000000001"/>
    <n v="10.722"/>
    <n v="2.8949400000000001"/>
    <n v="0"/>
    <s v="CATIVO"/>
    <n v="0"/>
    <n v="0"/>
    <n v="29"/>
    <n v="66"/>
    <n v="0"/>
    <n v="285.89"/>
    <n v="283.83999999999997"/>
    <m/>
    <n v="421.49012534052349"/>
    <n v="308.98165505271993"/>
    <n v="0"/>
    <n v="5292.3030738000007"/>
    <n v="0"/>
    <n v="6217.3689063836564"/>
    <x v="6"/>
  </r>
  <r>
    <s v="PROJETADO"/>
    <x v="2"/>
    <x v="3"/>
    <x v="1"/>
    <x v="7"/>
    <x v="3"/>
    <x v="0"/>
    <x v="1"/>
    <x v="11"/>
    <n v="0"/>
    <n v="0"/>
    <n v="167.989"/>
    <n v="67.195599999999999"/>
    <n v="167.989"/>
    <n v="67.195599999999999"/>
    <n v="0"/>
    <s v="CATIVO"/>
    <n v="0"/>
    <n v="0"/>
    <n v="29"/>
    <n v="66"/>
    <n v="0"/>
    <n v="285.89"/>
    <n v="283.83999999999997"/>
    <m/>
    <n v="421.49012534052349"/>
    <n v="308.98165505271993"/>
    <n v="0"/>
    <n v="70476.089192000029"/>
    <n v="0"/>
    <n v="81459.365663706267"/>
    <x v="6"/>
  </r>
  <r>
    <s v="Regular"/>
    <x v="2"/>
    <x v="3"/>
    <x v="1"/>
    <x v="0"/>
    <x v="1"/>
    <x v="0"/>
    <x v="1"/>
    <x v="0"/>
    <n v="0"/>
    <n v="0"/>
    <n v="7106.2569999999996"/>
    <n v="7106.2569999999996"/>
    <n v="7106.2569999999996"/>
    <n v="7106.2569999999996"/>
    <n v="24681"/>
    <s v="CATIVO"/>
    <n v="0"/>
    <n v="0"/>
    <n v="29"/>
    <n v="66"/>
    <n v="0"/>
    <n v="285.89"/>
    <n v="283.83999999999997"/>
    <m/>
    <n v="421.49012534052349"/>
    <n v="308.98165505271993"/>
    <n v="0"/>
    <n v="552085.1063300008"/>
    <n v="0"/>
    <n v="331335.33208863542"/>
    <x v="1"/>
  </r>
  <r>
    <s v="Refaturamento - Regular"/>
    <x v="2"/>
    <x v="3"/>
    <x v="1"/>
    <x v="0"/>
    <x v="1"/>
    <x v="0"/>
    <x v="1"/>
    <x v="0"/>
    <n v="0"/>
    <n v="0"/>
    <n v="-1.9510000000000001"/>
    <n v="-1.9510000000000001"/>
    <n v="-1.9510000000000001"/>
    <n v="-1.9510000000000001"/>
    <n v="-7"/>
    <s v="CATIVO"/>
    <n v="0"/>
    <n v="0"/>
    <n v="29"/>
    <n v="66"/>
    <n v="0"/>
    <n v="285.89"/>
    <n v="283.83999999999997"/>
    <m/>
    <n v="421.49012534052349"/>
    <n v="308.98165505271993"/>
    <n v="0"/>
    <n v="-151.57319000000021"/>
    <n v="0"/>
    <n v="-90.967049588120418"/>
    <x v="1"/>
  </r>
  <r>
    <s v="Sistema de Compensação"/>
    <x v="2"/>
    <x v="3"/>
    <x v="1"/>
    <x v="0"/>
    <x v="1"/>
    <x v="0"/>
    <x v="1"/>
    <x v="0"/>
    <n v="0"/>
    <n v="0"/>
    <n v="49.664999999999999"/>
    <n v="49.664999999999999"/>
    <n v="49.664999999999999"/>
    <n v="49.664999999999999"/>
    <n v="201"/>
    <s v="CATIVO"/>
    <n v="0"/>
    <n v="0"/>
    <n v="29"/>
    <n v="66"/>
    <n v="0"/>
    <n v="285.89"/>
    <n v="283.83999999999997"/>
    <m/>
    <n v="421.49012534052349"/>
    <n v="308.98165505271993"/>
    <n v="0"/>
    <n v="3858.4738500000053"/>
    <n v="0"/>
    <n v="2315.6732536104564"/>
    <x v="1"/>
  </r>
  <r>
    <s v="Regular"/>
    <x v="2"/>
    <x v="3"/>
    <x v="1"/>
    <x v="0"/>
    <x v="1"/>
    <x v="0"/>
    <x v="1"/>
    <x v="1"/>
    <n v="0"/>
    <n v="0"/>
    <n v="7352.8180000000002"/>
    <n v="7352.8180000000002"/>
    <n v="7352.8180000000002"/>
    <n v="7352.8180000000002"/>
    <n v="24594"/>
    <s v="CATIVO"/>
    <n v="0"/>
    <n v="0"/>
    <n v="29"/>
    <n v="66"/>
    <n v="0"/>
    <n v="285.89"/>
    <n v="283.83999999999997"/>
    <m/>
    <n v="421.49012534052349"/>
    <n v="308.98165505271993"/>
    <n v="0"/>
    <n v="571240.4304200008"/>
    <n v="0"/>
    <n v="342831.45034260605"/>
    <x v="1"/>
  </r>
  <r>
    <s v="Refaturamento - Regular"/>
    <x v="2"/>
    <x v="3"/>
    <x v="1"/>
    <x v="0"/>
    <x v="1"/>
    <x v="0"/>
    <x v="1"/>
    <x v="1"/>
    <n v="0"/>
    <n v="0"/>
    <n v="-2.5510000000000002"/>
    <n v="-2.5510000000000002"/>
    <n v="-2.5510000000000002"/>
    <n v="-2.5510000000000002"/>
    <n v="-16"/>
    <s v="CATIVO"/>
    <n v="0"/>
    <n v="0"/>
    <n v="29"/>
    <n v="66"/>
    <n v="0"/>
    <n v="285.89"/>
    <n v="283.83999999999997"/>
    <m/>
    <n v="421.49012534052349"/>
    <n v="308.98165505271993"/>
    <n v="0"/>
    <n v="-198.1871900000003"/>
    <n v="0"/>
    <n v="-118.94256458190425"/>
    <x v="1"/>
  </r>
  <r>
    <s v="Sistema de Compensação"/>
    <x v="2"/>
    <x v="3"/>
    <x v="1"/>
    <x v="0"/>
    <x v="1"/>
    <x v="0"/>
    <x v="1"/>
    <x v="1"/>
    <n v="0"/>
    <n v="0"/>
    <n v="58.216999999999999"/>
    <n v="58.216999999999999"/>
    <n v="58.216999999999999"/>
    <n v="58.216999999999999"/>
    <n v="227"/>
    <s v="CATIVO"/>
    <n v="0"/>
    <n v="0"/>
    <n v="29"/>
    <n v="66"/>
    <n v="0"/>
    <n v="285.89"/>
    <n v="283.83999999999997"/>
    <m/>
    <n v="421.49012534052349"/>
    <n v="308.98165505271993"/>
    <n v="0"/>
    <n v="4522.8787300000067"/>
    <n v="0"/>
    <n v="2714.4175939885217"/>
    <x v="1"/>
  </r>
  <r>
    <s v="Regular"/>
    <x v="2"/>
    <x v="3"/>
    <x v="1"/>
    <x v="0"/>
    <x v="1"/>
    <x v="0"/>
    <x v="1"/>
    <x v="2"/>
    <n v="0"/>
    <n v="0"/>
    <n v="6247.442"/>
    <n v="6247.442"/>
    <n v="6247.442"/>
    <n v="6247.442"/>
    <n v="26289"/>
    <s v="CATIVO"/>
    <n v="0"/>
    <n v="0"/>
    <n v="29"/>
    <n v="66"/>
    <n v="0"/>
    <n v="285.89"/>
    <n v="283.83999999999997"/>
    <m/>
    <n v="421.49012534052349"/>
    <n v="308.98165505271993"/>
    <n v="0"/>
    <n v="485363.76898000069"/>
    <n v="0"/>
    <n v="291292.34557299135"/>
    <x v="1"/>
  </r>
  <r>
    <s v="Refaturamento - Regular"/>
    <x v="2"/>
    <x v="3"/>
    <x v="1"/>
    <x v="0"/>
    <x v="1"/>
    <x v="0"/>
    <x v="1"/>
    <x v="2"/>
    <n v="0"/>
    <n v="0"/>
    <n v="-5.1539999999999999"/>
    <n v="-5.1539999999999999"/>
    <n v="-5.1539999999999999"/>
    <n v="-5.1539999999999999"/>
    <n v="-1"/>
    <s v="CATIVO"/>
    <n v="0"/>
    <n v="0"/>
    <n v="29"/>
    <n v="66"/>
    <n v="0"/>
    <n v="285.89"/>
    <n v="283.83999999999997"/>
    <m/>
    <n v="421.49012534052349"/>
    <n v="308.98165505271993"/>
    <n v="0"/>
    <n v="-400.41426000000058"/>
    <n v="0"/>
    <n v="-240.30967379660308"/>
    <x v="1"/>
  </r>
  <r>
    <s v="Sistema de Compensação"/>
    <x v="2"/>
    <x v="3"/>
    <x v="1"/>
    <x v="0"/>
    <x v="1"/>
    <x v="0"/>
    <x v="1"/>
    <x v="2"/>
    <n v="0"/>
    <n v="0"/>
    <n v="51.704000000000001"/>
    <n v="51.704000000000001"/>
    <n v="51.704000000000001"/>
    <n v="51.704000000000001"/>
    <n v="274"/>
    <s v="CATIVO"/>
    <n v="0"/>
    <n v="0"/>
    <n v="29"/>
    <n v="66"/>
    <n v="0"/>
    <n v="285.89"/>
    <n v="283.83999999999997"/>
    <m/>
    <n v="421.49012534052349"/>
    <n v="308.98165505271993"/>
    <n v="0"/>
    <n v="4016.8837600000056"/>
    <n v="0"/>
    <n v="2410.7433787309983"/>
    <x v="1"/>
  </r>
  <r>
    <s v="Regular"/>
    <x v="2"/>
    <x v="3"/>
    <x v="1"/>
    <x v="0"/>
    <x v="1"/>
    <x v="0"/>
    <x v="1"/>
    <x v="3"/>
    <n v="0"/>
    <n v="0"/>
    <n v="6314.4870000000001"/>
    <n v="6314.4870000000001"/>
    <n v="6314.4870000000001"/>
    <n v="6314.4870000000001"/>
    <n v="27205"/>
    <s v="CATIVO"/>
    <n v="0"/>
    <n v="0"/>
    <n v="29"/>
    <n v="66"/>
    <n v="0"/>
    <n v="285.89"/>
    <n v="283.83999999999997"/>
    <m/>
    <n v="421.49012534052349"/>
    <n v="308.98165505271993"/>
    <n v="0"/>
    <n v="490572.49503000069"/>
    <n v="0"/>
    <n v="294418.37624425511"/>
    <x v="1"/>
  </r>
  <r>
    <s v="Refaturamento - Regular"/>
    <x v="2"/>
    <x v="3"/>
    <x v="1"/>
    <x v="0"/>
    <x v="1"/>
    <x v="0"/>
    <x v="1"/>
    <x v="3"/>
    <n v="0"/>
    <n v="0"/>
    <n v="-2.6829999999999998"/>
    <n v="-2.6829999999999998"/>
    <n v="-2.6829999999999998"/>
    <n v="-2.6829999999999998"/>
    <n v="4"/>
    <s v="CATIVO"/>
    <n v="0"/>
    <n v="0"/>
    <n v="29"/>
    <n v="66"/>
    <n v="0"/>
    <n v="285.89"/>
    <n v="283.83999999999997"/>
    <m/>
    <n v="421.49012534052349"/>
    <n v="308.98165505271993"/>
    <n v="0"/>
    <n v="-208.44227000000029"/>
    <n v="0"/>
    <n v="-125.09717788053668"/>
    <x v="1"/>
  </r>
  <r>
    <s v="Sistema de Compensação"/>
    <x v="2"/>
    <x v="3"/>
    <x v="1"/>
    <x v="0"/>
    <x v="1"/>
    <x v="0"/>
    <x v="1"/>
    <x v="3"/>
    <n v="0"/>
    <n v="0"/>
    <n v="50.966000000000001"/>
    <n v="50.966000000000001"/>
    <n v="50.966000000000001"/>
    <n v="50.966000000000001"/>
    <n v="325"/>
    <s v="CATIVO"/>
    <n v="0"/>
    <n v="0"/>
    <n v="29"/>
    <n v="66"/>
    <n v="0"/>
    <n v="285.89"/>
    <n v="283.83999999999997"/>
    <m/>
    <n v="421.49012534052349"/>
    <n v="308.98165505271993"/>
    <n v="0"/>
    <n v="3959.5485400000057"/>
    <n v="0"/>
    <n v="2376.3334952886444"/>
    <x v="1"/>
  </r>
  <r>
    <s v="Regular"/>
    <x v="2"/>
    <x v="3"/>
    <x v="1"/>
    <x v="0"/>
    <x v="1"/>
    <x v="0"/>
    <x v="1"/>
    <x v="4"/>
    <n v="0"/>
    <n v="0"/>
    <n v="6613.875"/>
    <n v="6613.875"/>
    <n v="6613.875"/>
    <n v="6613.875"/>
    <n v="27060"/>
    <s v="CATIVO"/>
    <n v="0"/>
    <n v="0"/>
    <n v="29"/>
    <n v="66"/>
    <n v="0"/>
    <n v="285.89"/>
    <n v="283.83999999999997"/>
    <m/>
    <n v="421.49012534052349"/>
    <n v="308.98165505271993"/>
    <n v="0"/>
    <n v="513831.94875000074"/>
    <n v="0"/>
    <n v="308377.59871585335"/>
    <x v="1"/>
  </r>
  <r>
    <s v="Refaturamento - Regular"/>
    <x v="2"/>
    <x v="3"/>
    <x v="1"/>
    <x v="0"/>
    <x v="1"/>
    <x v="0"/>
    <x v="1"/>
    <x v="4"/>
    <n v="0"/>
    <n v="0"/>
    <n v="-9.1020000000000003"/>
    <n v="-9.1020000000000003"/>
    <n v="-9.1020000000000003"/>
    <n v="-9.1020000000000003"/>
    <n v="8"/>
    <s v="CATIVO"/>
    <n v="0"/>
    <n v="0"/>
    <n v="29"/>
    <n v="66"/>
    <n v="0"/>
    <n v="285.89"/>
    <n v="283.83999999999997"/>
    <m/>
    <n v="421.49012534052349"/>
    <n v="308.98165505271993"/>
    <n v="0"/>
    <n v="-707.13438000000099"/>
    <n v="0"/>
    <n v="-424.38856245570065"/>
    <x v="1"/>
  </r>
  <r>
    <s v="Sistema de Compensação"/>
    <x v="2"/>
    <x v="3"/>
    <x v="1"/>
    <x v="0"/>
    <x v="1"/>
    <x v="0"/>
    <x v="1"/>
    <x v="4"/>
    <n v="0"/>
    <n v="0"/>
    <n v="48.07"/>
    <n v="48.07"/>
    <n v="48.07"/>
    <n v="48.07"/>
    <n v="369"/>
    <s v="CATIVO"/>
    <n v="0"/>
    <n v="0"/>
    <n v="29"/>
    <n v="66"/>
    <n v="0"/>
    <n v="285.89"/>
    <n v="283.83999999999997"/>
    <m/>
    <n v="421.49012534052349"/>
    <n v="308.98165505271993"/>
    <n v="0"/>
    <n v="3734.5583000000056"/>
    <n v="0"/>
    <n v="2241.3050095853141"/>
    <x v="1"/>
  </r>
  <r>
    <s v="Regular"/>
    <x v="2"/>
    <x v="3"/>
    <x v="1"/>
    <x v="0"/>
    <x v="1"/>
    <x v="0"/>
    <x v="1"/>
    <x v="5"/>
    <n v="0"/>
    <n v="0"/>
    <n v="6744.0609999999997"/>
    <n v="6744.0609999999997"/>
    <n v="6744.0609999999997"/>
    <n v="6744.0609999999997"/>
    <n v="25766"/>
    <s v="CATIVO"/>
    <n v="0"/>
    <n v="0"/>
    <n v="29"/>
    <n v="66"/>
    <n v="0"/>
    <n v="285.89"/>
    <n v="283.83999999999997"/>
    <m/>
    <n v="421.49012534052349"/>
    <n v="308.98165505271993"/>
    <n v="0"/>
    <n v="523946.09909000073"/>
    <n v="0"/>
    <n v="314447.63270748791"/>
    <x v="1"/>
  </r>
  <r>
    <s v="Refaturamento - Regular"/>
    <x v="2"/>
    <x v="3"/>
    <x v="1"/>
    <x v="0"/>
    <x v="1"/>
    <x v="0"/>
    <x v="1"/>
    <x v="5"/>
    <n v="0"/>
    <n v="0"/>
    <n v="-0.91900000000000004"/>
    <n v="-0.91900000000000004"/>
    <n v="-0.91900000000000004"/>
    <n v="-0.91900000000000004"/>
    <n v="0"/>
    <s v="CATIVO"/>
    <n v="0"/>
    <n v="0"/>
    <n v="29"/>
    <n v="66"/>
    <n v="0"/>
    <n v="285.89"/>
    <n v="283.83999999999997"/>
    <m/>
    <n v="421.49012534052349"/>
    <n v="308.98165505271993"/>
    <n v="0"/>
    <n v="-71.397110000000112"/>
    <n v="0"/>
    <n v="-42.849163798812228"/>
    <x v="1"/>
  </r>
  <r>
    <s v="Sistema de Compensação"/>
    <x v="2"/>
    <x v="3"/>
    <x v="1"/>
    <x v="0"/>
    <x v="1"/>
    <x v="0"/>
    <x v="1"/>
    <x v="5"/>
    <n v="0"/>
    <n v="0"/>
    <n v="54.429000000000002"/>
    <n v="54.429000000000002"/>
    <n v="54.429000000000002"/>
    <n v="54.429000000000002"/>
    <n v="407"/>
    <s v="CATIVO"/>
    <n v="0"/>
    <n v="0"/>
    <n v="29"/>
    <n v="66"/>
    <n v="0"/>
    <n v="285.89"/>
    <n v="283.83999999999997"/>
    <m/>
    <n v="421.49012534052349"/>
    <n v="308.98165505271993"/>
    <n v="0"/>
    <n v="4228.5890100000061"/>
    <n v="0"/>
    <n v="2537.7988426611"/>
    <x v="1"/>
  </r>
  <r>
    <s v="Sistema de Compensação"/>
    <x v="2"/>
    <x v="3"/>
    <x v="1"/>
    <x v="0"/>
    <x v="1"/>
    <x v="0"/>
    <x v="1"/>
    <x v="5"/>
    <n v="0"/>
    <n v="0"/>
    <n v="6.9020000000000001"/>
    <n v="6.9020000000000001"/>
    <n v="6.9020000000000001"/>
    <n v="6.9020000000000001"/>
    <n v="0"/>
    <s v="CATIVO"/>
    <n v="0"/>
    <n v="0"/>
    <n v="29"/>
    <n v="66"/>
    <n v="0"/>
    <n v="285.89"/>
    <n v="283.83999999999997"/>
    <m/>
    <n v="421.49012534052349"/>
    <n v="308.98165505271993"/>
    <n v="0"/>
    <n v="536.21638000000075"/>
    <n v="0"/>
    <n v="321.81167414515994"/>
    <x v="1"/>
  </r>
  <r>
    <s v="Regular"/>
    <x v="2"/>
    <x v="3"/>
    <x v="1"/>
    <x v="0"/>
    <x v="1"/>
    <x v="0"/>
    <x v="1"/>
    <x v="6"/>
    <n v="0"/>
    <n v="0"/>
    <n v="6840.9759999999997"/>
    <n v="6840.9759999999997"/>
    <n v="6840.9759999999997"/>
    <n v="6840.9759999999997"/>
    <n v="26577"/>
    <s v="CATIVO"/>
    <n v="0"/>
    <n v="0"/>
    <n v="29"/>
    <n v="66"/>
    <n v="0"/>
    <n v="285.89"/>
    <n v="283.83999999999997"/>
    <m/>
    <n v="421.49012534052349"/>
    <n v="308.98165505271993"/>
    <n v="0"/>
    <n v="531475.42544000072"/>
    <n v="0"/>
    <n v="318966.37776685884"/>
    <x v="1"/>
  </r>
  <r>
    <s v="Refaturamento - Regular"/>
    <x v="2"/>
    <x v="3"/>
    <x v="1"/>
    <x v="0"/>
    <x v="1"/>
    <x v="0"/>
    <x v="1"/>
    <x v="6"/>
    <n v="0"/>
    <n v="0"/>
    <n v="-14.576000000000001"/>
    <n v="-14.576000000000001"/>
    <n v="-14.576000000000001"/>
    <n v="-14.576000000000001"/>
    <n v="2"/>
    <s v="CATIVO"/>
    <n v="0"/>
    <n v="0"/>
    <n v="29"/>
    <n v="66"/>
    <n v="0"/>
    <n v="285.89"/>
    <n v="283.83999999999997"/>
    <m/>
    <n v="421.49012534052349"/>
    <n v="308.98165505271993"/>
    <n v="0"/>
    <n v="-1132.4094400000017"/>
    <n v="0"/>
    <n v="-679.61851091565518"/>
    <x v="1"/>
  </r>
  <r>
    <s v="Sistema de Compensação"/>
    <x v="2"/>
    <x v="3"/>
    <x v="1"/>
    <x v="0"/>
    <x v="1"/>
    <x v="0"/>
    <x v="1"/>
    <x v="6"/>
    <n v="0"/>
    <n v="0"/>
    <n v="60.368000000000002"/>
    <n v="60.368000000000002"/>
    <n v="60.368000000000002"/>
    <n v="60.368000000000002"/>
    <n v="471"/>
    <s v="CATIVO"/>
    <n v="0"/>
    <n v="0"/>
    <n v="29"/>
    <n v="66"/>
    <n v="0"/>
    <n v="285.89"/>
    <n v="283.83999999999997"/>
    <m/>
    <n v="421.49012534052349"/>
    <n v="308.98165505271993"/>
    <n v="0"/>
    <n v="4689.9899200000073"/>
    <n v="0"/>
    <n v="2814.7098152412368"/>
    <x v="1"/>
  </r>
  <r>
    <s v="Regular"/>
    <x v="2"/>
    <x v="3"/>
    <x v="1"/>
    <x v="0"/>
    <x v="1"/>
    <x v="0"/>
    <x v="1"/>
    <x v="7"/>
    <n v="0"/>
    <n v="0"/>
    <n v="7022.2060000000001"/>
    <n v="7022.2060000000001"/>
    <n v="7022.2060000000001"/>
    <n v="7022.2060000000001"/>
    <n v="25443"/>
    <s v="CATIVO"/>
    <n v="0"/>
    <n v="0"/>
    <n v="29"/>
    <n v="66"/>
    <n v="0"/>
    <n v="285.89"/>
    <n v="283.83999999999997"/>
    <m/>
    <n v="421.49012534052349"/>
    <n v="308.98165505271993"/>
    <n v="0"/>
    <n v="545555.18414000084"/>
    <n v="0"/>
    <n v="327416.38207073126"/>
    <x v="1"/>
  </r>
  <r>
    <s v="Refaturamento - Regular"/>
    <x v="2"/>
    <x v="3"/>
    <x v="1"/>
    <x v="0"/>
    <x v="1"/>
    <x v="0"/>
    <x v="1"/>
    <x v="7"/>
    <n v="0"/>
    <n v="0"/>
    <n v="-10.545999999999999"/>
    <n v="-10.545999999999999"/>
    <n v="-10.545999999999999"/>
    <n v="-10.545999999999999"/>
    <n v="5"/>
    <s v="CATIVO"/>
    <n v="0"/>
    <n v="0"/>
    <n v="29"/>
    <n v="66"/>
    <n v="0"/>
    <n v="285.89"/>
    <n v="283.83999999999997"/>
    <m/>
    <n v="421.49012534052349"/>
    <n v="308.98165505271993"/>
    <n v="0"/>
    <n v="-819.31874000000107"/>
    <n v="0"/>
    <n v="-491.71630187407368"/>
    <x v="1"/>
  </r>
  <r>
    <s v="Sistema de Compensação"/>
    <x v="2"/>
    <x v="3"/>
    <x v="1"/>
    <x v="0"/>
    <x v="1"/>
    <x v="0"/>
    <x v="1"/>
    <x v="7"/>
    <n v="0"/>
    <n v="0"/>
    <n v="71.492999999999995"/>
    <n v="71.492999999999995"/>
    <n v="71.492999999999995"/>
    <n v="71.492999999999995"/>
    <n v="537"/>
    <s v="CATIVO"/>
    <n v="0"/>
    <n v="0"/>
    <n v="29"/>
    <n v="66"/>
    <n v="0"/>
    <n v="285.89"/>
    <n v="283.83999999999997"/>
    <m/>
    <n v="421.49012534052349"/>
    <n v="308.98165505271993"/>
    <n v="0"/>
    <n v="5554.2911700000077"/>
    <n v="0"/>
    <n v="3333.4224890843116"/>
    <x v="1"/>
  </r>
  <r>
    <s v="Sistema de Compensação"/>
    <x v="2"/>
    <x v="3"/>
    <x v="1"/>
    <x v="0"/>
    <x v="1"/>
    <x v="0"/>
    <x v="1"/>
    <x v="7"/>
    <n v="0"/>
    <n v="0"/>
    <n v="1.1299999999999999"/>
    <n v="1.1299999999999999"/>
    <n v="1.1299999999999999"/>
    <n v="1.1299999999999999"/>
    <n v="3"/>
    <s v="CATIVO"/>
    <n v="0"/>
    <n v="0"/>
    <n v="29"/>
    <n v="66"/>
    <n v="0"/>
    <n v="285.89"/>
    <n v="283.83999999999997"/>
    <m/>
    <n v="421.49012534052349"/>
    <n v="308.98165505271993"/>
    <n v="0"/>
    <n v="87.789700000000124"/>
    <n v="0"/>
    <n v="52.687219904959534"/>
    <x v="1"/>
  </r>
  <r>
    <s v="Regular"/>
    <x v="2"/>
    <x v="3"/>
    <x v="1"/>
    <x v="0"/>
    <x v="1"/>
    <x v="0"/>
    <x v="1"/>
    <x v="8"/>
    <n v="0"/>
    <n v="0"/>
    <n v="8529.67"/>
    <n v="8529.67"/>
    <n v="8529.67"/>
    <n v="8529.67"/>
    <n v="24910"/>
    <s v="CATIVO"/>
    <n v="0"/>
    <n v="0"/>
    <n v="29"/>
    <n v="66"/>
    <n v="0"/>
    <n v="285.89"/>
    <n v="283.83999999999997"/>
    <m/>
    <n v="421.49012534052349"/>
    <n v="308.98165505271993"/>
    <n v="0"/>
    <n v="662670.06230000092"/>
    <n v="0"/>
    <n v="397703.1849617135"/>
    <x v="1"/>
  </r>
  <r>
    <s v="Refaturamento - Regular"/>
    <x v="2"/>
    <x v="3"/>
    <x v="1"/>
    <x v="0"/>
    <x v="1"/>
    <x v="0"/>
    <x v="1"/>
    <x v="8"/>
    <n v="0"/>
    <n v="0"/>
    <n v="0.58399999999999996"/>
    <n v="0.58399999999999996"/>
    <n v="0.58399999999999996"/>
    <n v="0.58399999999999996"/>
    <n v="12"/>
    <s v="CATIVO"/>
    <n v="0"/>
    <n v="0"/>
    <n v="29"/>
    <n v="66"/>
    <n v="0"/>
    <n v="285.89"/>
    <n v="283.83999999999997"/>
    <m/>
    <n v="421.49012534052349"/>
    <n v="308.98165505271993"/>
    <n v="0"/>
    <n v="45.370960000000061"/>
    <n v="0"/>
    <n v="27.229501260616257"/>
    <x v="1"/>
  </r>
  <r>
    <s v="Sistema de Compensação"/>
    <x v="2"/>
    <x v="3"/>
    <x v="1"/>
    <x v="0"/>
    <x v="1"/>
    <x v="0"/>
    <x v="1"/>
    <x v="8"/>
    <n v="0"/>
    <n v="0"/>
    <n v="109.31399999999999"/>
    <n v="109.31399999999999"/>
    <n v="109.31399999999999"/>
    <n v="109.31399999999999"/>
    <n v="585"/>
    <s v="CATIVO"/>
    <n v="0"/>
    <n v="0"/>
    <n v="29"/>
    <n v="66"/>
    <n v="0"/>
    <n v="285.89"/>
    <n v="283.83999999999997"/>
    <m/>
    <n v="421.49012534052349"/>
    <n v="308.98165505271993"/>
    <n v="0"/>
    <n v="8492.6046600000118"/>
    <n v="0"/>
    <n v="5096.8590767174746"/>
    <x v="1"/>
  </r>
  <r>
    <s v="Regular"/>
    <x v="2"/>
    <x v="3"/>
    <x v="1"/>
    <x v="0"/>
    <x v="1"/>
    <x v="0"/>
    <x v="1"/>
    <x v="9"/>
    <n v="0"/>
    <n v="0"/>
    <n v="10383.521000000001"/>
    <n v="10383.521000000001"/>
    <n v="10383.521000000001"/>
    <n v="10383.521000000001"/>
    <n v="25200"/>
    <s v="CATIVO"/>
    <n v="0"/>
    <n v="0"/>
    <n v="29"/>
    <n v="66"/>
    <n v="0"/>
    <n v="285.89"/>
    <n v="283.83999999999997"/>
    <m/>
    <n v="421.49012534052349"/>
    <n v="308.98165505271993"/>
    <n v="0"/>
    <n v="806695.74649000121"/>
    <n v="0"/>
    <n v="484140.5790396154"/>
    <x v="1"/>
  </r>
  <r>
    <s v="Refaturamento - Regular"/>
    <x v="2"/>
    <x v="3"/>
    <x v="1"/>
    <x v="0"/>
    <x v="1"/>
    <x v="0"/>
    <x v="1"/>
    <x v="9"/>
    <n v="0"/>
    <n v="0"/>
    <n v="0.182"/>
    <n v="0.182"/>
    <n v="0.182"/>
    <n v="0.182"/>
    <n v="4"/>
    <s v="CATIVO"/>
    <n v="0"/>
    <n v="0"/>
    <n v="29"/>
    <n v="66"/>
    <n v="0"/>
    <n v="285.89"/>
    <n v="283.83999999999997"/>
    <m/>
    <n v="421.49012534052349"/>
    <n v="308.98165505271993"/>
    <n v="0"/>
    <n v="14.13958000000002"/>
    <n v="0"/>
    <n v="8.4859062147810942"/>
    <x v="1"/>
  </r>
  <r>
    <s v="Sistema de Compensação"/>
    <x v="2"/>
    <x v="3"/>
    <x v="1"/>
    <x v="0"/>
    <x v="1"/>
    <x v="0"/>
    <x v="1"/>
    <x v="9"/>
    <n v="0"/>
    <n v="0"/>
    <n v="229.316"/>
    <n v="229.316"/>
    <n v="229.316"/>
    <n v="229.316"/>
    <n v="640"/>
    <s v="CATIVO"/>
    <n v="0"/>
    <n v="0"/>
    <n v="29"/>
    <n v="66"/>
    <n v="0"/>
    <n v="285.89"/>
    <n v="283.83999999999997"/>
    <m/>
    <n v="421.49012534052349"/>
    <n v="308.98165505271993"/>
    <n v="0"/>
    <n v="17815.560040000026"/>
    <n v="0"/>
    <n v="10692.055327190887"/>
    <x v="1"/>
  </r>
  <r>
    <s v="Regular"/>
    <x v="2"/>
    <x v="3"/>
    <x v="1"/>
    <x v="0"/>
    <x v="1"/>
    <x v="0"/>
    <x v="1"/>
    <x v="10"/>
    <n v="0"/>
    <n v="0"/>
    <n v="9415.5849999999991"/>
    <n v="9415.5849999999991"/>
    <n v="9415.5849999999991"/>
    <n v="9415.5849999999991"/>
    <n v="25128"/>
    <s v="CATIVO"/>
    <n v="0"/>
    <n v="0"/>
    <n v="29"/>
    <n v="66"/>
    <n v="0"/>
    <n v="285.89"/>
    <n v="283.83999999999997"/>
    <m/>
    <n v="421.49012534052349"/>
    <n v="308.98165505271993"/>
    <n v="0"/>
    <n v="731496.79865000094"/>
    <n v="0"/>
    <n v="439009.7322379101"/>
    <x v="1"/>
  </r>
  <r>
    <s v="Refaturamento - Regular"/>
    <x v="2"/>
    <x v="3"/>
    <x v="1"/>
    <x v="0"/>
    <x v="1"/>
    <x v="0"/>
    <x v="1"/>
    <x v="10"/>
    <n v="0"/>
    <n v="0"/>
    <n v="-7.2789999999999999"/>
    <n v="-7.2789999999999999"/>
    <n v="-7.2789999999999999"/>
    <n v="-7.2789999999999999"/>
    <n v="9"/>
    <s v="CATIVO"/>
    <n v="0"/>
    <n v="0"/>
    <n v="29"/>
    <n v="66"/>
    <n v="0"/>
    <n v="285.89"/>
    <n v="283.83999999999997"/>
    <m/>
    <n v="421.49012534052349"/>
    <n v="308.98165505271993"/>
    <n v="0"/>
    <n v="-565.50551000000075"/>
    <n v="0"/>
    <n v="-339.38962273292077"/>
    <x v="1"/>
  </r>
  <r>
    <s v="Sistema de Compensação"/>
    <x v="2"/>
    <x v="3"/>
    <x v="1"/>
    <x v="0"/>
    <x v="1"/>
    <x v="0"/>
    <x v="1"/>
    <x v="10"/>
    <n v="0"/>
    <n v="0"/>
    <n v="267.82900000000001"/>
    <n v="267.82900000000001"/>
    <n v="267.82900000000001"/>
    <n v="267.82900000000001"/>
    <n v="683"/>
    <s v="CATIVO"/>
    <n v="0"/>
    <n v="0"/>
    <n v="29"/>
    <n v="66"/>
    <n v="0"/>
    <n v="285.89"/>
    <n v="283.83999999999997"/>
    <m/>
    <n v="421.49012534052349"/>
    <n v="308.98165505271993"/>
    <n v="0"/>
    <n v="20807.635010000031"/>
    <n v="0"/>
    <n v="12487.757008783548"/>
    <x v="1"/>
  </r>
  <r>
    <s v="PROJETADO"/>
    <x v="2"/>
    <x v="3"/>
    <x v="1"/>
    <x v="0"/>
    <x v="1"/>
    <x v="0"/>
    <x v="1"/>
    <x v="11"/>
    <n v="0"/>
    <n v="0"/>
    <n v="9415.5849999999991"/>
    <n v="9415.5849999999991"/>
    <n v="9415.5849999999991"/>
    <n v="9415.5849999999991"/>
    <n v="25128"/>
    <s v="CATIVO"/>
    <n v="0"/>
    <n v="0"/>
    <n v="29"/>
    <n v="66"/>
    <n v="0"/>
    <n v="285.89"/>
    <n v="283.83999999999997"/>
    <m/>
    <n v="421.49012534052349"/>
    <n v="308.98165505271993"/>
    <n v="0"/>
    <n v="731496.79865000094"/>
    <n v="0"/>
    <n v="439009.7322379101"/>
    <x v="1"/>
  </r>
  <r>
    <s v="PROJETADO"/>
    <x v="2"/>
    <x v="3"/>
    <x v="1"/>
    <x v="0"/>
    <x v="1"/>
    <x v="0"/>
    <x v="1"/>
    <x v="11"/>
    <n v="0"/>
    <n v="0"/>
    <n v="-7.2789999999999999"/>
    <n v="-7.2789999999999999"/>
    <n v="-7.2789999999999999"/>
    <n v="-7.2789999999999999"/>
    <n v="9"/>
    <s v="CATIVO"/>
    <n v="0"/>
    <n v="0"/>
    <n v="29"/>
    <n v="66"/>
    <n v="0"/>
    <n v="285.89"/>
    <n v="283.83999999999997"/>
    <m/>
    <n v="421.49012534052349"/>
    <n v="308.98165505271993"/>
    <n v="0"/>
    <n v="-565.50551000000075"/>
    <n v="0"/>
    <n v="-339.38962273292077"/>
    <x v="1"/>
  </r>
  <r>
    <s v="PROJETADO"/>
    <x v="2"/>
    <x v="3"/>
    <x v="1"/>
    <x v="0"/>
    <x v="1"/>
    <x v="0"/>
    <x v="1"/>
    <x v="11"/>
    <n v="0"/>
    <n v="0"/>
    <n v="267.82900000000001"/>
    <n v="267.82900000000001"/>
    <n v="267.82900000000001"/>
    <n v="267.82900000000001"/>
    <n v="683"/>
    <s v="CATIVO"/>
    <n v="0"/>
    <n v="0"/>
    <n v="29"/>
    <n v="66"/>
    <n v="0"/>
    <n v="285.89"/>
    <n v="283.83999999999997"/>
    <m/>
    <n v="421.49012534052349"/>
    <n v="308.98165505271993"/>
    <n v="0"/>
    <n v="20807.635010000031"/>
    <n v="0"/>
    <n v="12487.757008783548"/>
    <x v="1"/>
  </r>
  <r>
    <s v="Regular"/>
    <x v="2"/>
    <x v="3"/>
    <x v="1"/>
    <x v="8"/>
    <x v="2"/>
    <x v="0"/>
    <x v="1"/>
    <x v="0"/>
    <n v="0"/>
    <n v="0"/>
    <n v="1.968"/>
    <n v="1.968"/>
    <n v="1.968"/>
    <n v="1.968"/>
    <n v="0"/>
    <s v="CATIVO"/>
    <n v="0"/>
    <n v="0"/>
    <n v="37"/>
    <n v="74"/>
    <n v="0"/>
    <n v="272.89999999999998"/>
    <n v="270.94"/>
    <m/>
    <n v="376.65075030429762"/>
    <n v="276.11126621732421"/>
    <n v="0"/>
    <n v="203.8454400000002"/>
    <n v="0"/>
    <n v="244.69250447896223"/>
    <x v="1"/>
  </r>
  <r>
    <s v="Regular"/>
    <x v="2"/>
    <x v="3"/>
    <x v="1"/>
    <x v="8"/>
    <x v="2"/>
    <x v="0"/>
    <x v="1"/>
    <x v="1"/>
    <n v="0"/>
    <n v="0"/>
    <n v="2.2549999999999999"/>
    <n v="2.2549999999999999"/>
    <n v="2.2549999999999999"/>
    <n v="2.2549999999999999"/>
    <n v="0"/>
    <s v="CATIVO"/>
    <n v="0"/>
    <n v="0"/>
    <n v="37"/>
    <n v="74"/>
    <n v="0"/>
    <n v="272.89999999999998"/>
    <n v="270.94"/>
    <m/>
    <n v="376.65075030429762"/>
    <n v="276.11126621732421"/>
    <n v="0"/>
    <n v="233.5729000000002"/>
    <n v="0"/>
    <n v="280.37682804881086"/>
    <x v="1"/>
  </r>
  <r>
    <s v="Regular"/>
    <x v="2"/>
    <x v="3"/>
    <x v="1"/>
    <x v="8"/>
    <x v="2"/>
    <x v="0"/>
    <x v="1"/>
    <x v="2"/>
    <n v="0"/>
    <n v="0"/>
    <n v="0.1"/>
    <n v="0.1"/>
    <n v="0.1"/>
    <n v="0.1"/>
    <n v="0"/>
    <s v="CATIVO"/>
    <n v="0"/>
    <n v="0"/>
    <n v="37"/>
    <n v="74"/>
    <n v="0"/>
    <n v="272.89999999999998"/>
    <n v="270.94"/>
    <m/>
    <n v="376.65075030429762"/>
    <n v="276.11126621732421"/>
    <n v="0"/>
    <n v="10.358000000000011"/>
    <n v="0"/>
    <n v="12.433562219459464"/>
    <x v="1"/>
  </r>
  <r>
    <s v="Regular"/>
    <x v="2"/>
    <x v="3"/>
    <x v="1"/>
    <x v="8"/>
    <x v="2"/>
    <x v="0"/>
    <x v="1"/>
    <x v="3"/>
    <n v="0"/>
    <n v="0"/>
    <n v="4.1000000000000002E-2"/>
    <n v="4.1000000000000002E-2"/>
    <n v="4.1000000000000002E-2"/>
    <n v="4.1000000000000002E-2"/>
    <n v="0"/>
    <s v="CATIVO"/>
    <n v="0"/>
    <n v="0"/>
    <n v="37"/>
    <n v="74"/>
    <n v="0"/>
    <n v="272.89999999999998"/>
    <n v="270.94"/>
    <m/>
    <n v="376.65075030429762"/>
    <n v="276.11126621732421"/>
    <n v="0"/>
    <n v="4.2467800000000038"/>
    <n v="0"/>
    <n v="5.0977605099783805"/>
    <x v="1"/>
  </r>
  <r>
    <s v="Regular"/>
    <x v="2"/>
    <x v="3"/>
    <x v="1"/>
    <x v="8"/>
    <x v="2"/>
    <x v="0"/>
    <x v="1"/>
    <x v="4"/>
    <n v="0"/>
    <n v="0"/>
    <n v="0.67"/>
    <n v="0.67"/>
    <n v="0.67"/>
    <n v="0.67"/>
    <n v="0"/>
    <s v="CATIVO"/>
    <n v="0"/>
    <n v="0"/>
    <n v="37"/>
    <n v="74"/>
    <n v="0"/>
    <n v="272.89999999999998"/>
    <n v="270.94"/>
    <m/>
    <n v="376.65075030429762"/>
    <n v="276.11126621732421"/>
    <n v="0"/>
    <n v="69.398600000000073"/>
    <n v="0"/>
    <n v="83.304866870378405"/>
    <x v="1"/>
  </r>
  <r>
    <s v="Regular"/>
    <x v="2"/>
    <x v="3"/>
    <x v="1"/>
    <x v="8"/>
    <x v="2"/>
    <x v="0"/>
    <x v="1"/>
    <x v="5"/>
    <n v="0"/>
    <n v="0"/>
    <n v="0.71699999999999997"/>
    <n v="0.71699999999999997"/>
    <n v="0.71699999999999997"/>
    <n v="0.71699999999999997"/>
    <n v="0"/>
    <s v="CATIVO"/>
    <n v="0"/>
    <n v="0"/>
    <n v="37"/>
    <n v="74"/>
    <n v="0"/>
    <n v="272.89999999999998"/>
    <n v="270.94"/>
    <m/>
    <n v="376.65075030429762"/>
    <n v="276.11126621732421"/>
    <n v="0"/>
    <n v="74.266860000000065"/>
    <n v="0"/>
    <n v="89.148641113524349"/>
    <x v="1"/>
  </r>
  <r>
    <s v="Regular"/>
    <x v="2"/>
    <x v="3"/>
    <x v="1"/>
    <x v="8"/>
    <x v="2"/>
    <x v="0"/>
    <x v="1"/>
    <x v="6"/>
    <n v="0"/>
    <n v="0"/>
    <n v="2.8000000000000001E-2"/>
    <n v="2.8000000000000001E-2"/>
    <n v="2.8000000000000001E-2"/>
    <n v="2.8000000000000001E-2"/>
    <n v="0"/>
    <s v="CATIVO"/>
    <n v="0"/>
    <n v="0"/>
    <n v="37"/>
    <n v="74"/>
    <n v="0"/>
    <n v="272.89999999999998"/>
    <n v="270.94"/>
    <m/>
    <n v="376.65075030429762"/>
    <n v="276.11126621732421"/>
    <n v="0"/>
    <n v="2.9002400000000028"/>
    <n v="0"/>
    <n v="3.4813974214486501"/>
    <x v="1"/>
  </r>
  <r>
    <s v="Regular"/>
    <x v="2"/>
    <x v="3"/>
    <x v="1"/>
    <x v="8"/>
    <x v="2"/>
    <x v="0"/>
    <x v="1"/>
    <x v="7"/>
    <n v="0"/>
    <n v="0"/>
    <n v="1.4350000000000001"/>
    <n v="1.4350000000000001"/>
    <n v="1.4350000000000001"/>
    <n v="1.4350000000000001"/>
    <n v="0"/>
    <s v="CATIVO"/>
    <n v="0"/>
    <n v="0"/>
    <n v="37"/>
    <n v="74"/>
    <n v="0"/>
    <n v="272.89999999999998"/>
    <n v="270.94"/>
    <m/>
    <n v="376.65075030429762"/>
    <n v="276.11126621732421"/>
    <n v="0"/>
    <n v="148.63730000000015"/>
    <n v="0"/>
    <n v="178.42161784924332"/>
    <x v="1"/>
  </r>
  <r>
    <s v="Regular"/>
    <x v="2"/>
    <x v="3"/>
    <x v="1"/>
    <x v="8"/>
    <x v="2"/>
    <x v="0"/>
    <x v="1"/>
    <x v="8"/>
    <n v="0"/>
    <n v="0"/>
    <n v="1.353"/>
    <n v="1.353"/>
    <n v="1.353"/>
    <n v="1.353"/>
    <n v="0"/>
    <s v="CATIVO"/>
    <n v="0"/>
    <n v="0"/>
    <n v="37"/>
    <n v="74"/>
    <n v="0"/>
    <n v="272.89999999999998"/>
    <n v="270.94"/>
    <m/>
    <n v="376.65075030429762"/>
    <n v="276.11126621732421"/>
    <n v="0"/>
    <n v="140.14374000000012"/>
    <n v="0"/>
    <n v="168.22609682928655"/>
    <x v="1"/>
  </r>
  <r>
    <s v="Regular"/>
    <x v="2"/>
    <x v="3"/>
    <x v="1"/>
    <x v="8"/>
    <x v="2"/>
    <x v="0"/>
    <x v="1"/>
    <x v="9"/>
    <n v="0"/>
    <n v="0"/>
    <n v="0.246"/>
    <n v="0.246"/>
    <n v="0.246"/>
    <n v="0.246"/>
    <n v="0"/>
    <s v="CATIVO"/>
    <n v="0"/>
    <n v="0"/>
    <n v="37"/>
    <n v="74"/>
    <n v="0"/>
    <n v="272.89999999999998"/>
    <n v="270.94"/>
    <m/>
    <n v="376.65075030429762"/>
    <n v="276.11126621732421"/>
    <n v="0"/>
    <n v="25.480680000000024"/>
    <n v="0"/>
    <n v="30.586563059870279"/>
    <x v="1"/>
  </r>
  <r>
    <s v="Regular"/>
    <x v="2"/>
    <x v="3"/>
    <x v="1"/>
    <x v="8"/>
    <x v="2"/>
    <x v="0"/>
    <x v="1"/>
    <x v="10"/>
    <n v="0"/>
    <n v="0"/>
    <n v="0.20499999999999999"/>
    <n v="0.20499999999999999"/>
    <n v="0.20499999999999999"/>
    <n v="0.20499999999999999"/>
    <n v="0"/>
    <s v="CATIVO"/>
    <n v="0"/>
    <n v="0"/>
    <n v="37"/>
    <n v="74"/>
    <n v="0"/>
    <n v="272.89999999999998"/>
    <n v="270.94"/>
    <m/>
    <n v="376.65075030429762"/>
    <n v="276.11126621732421"/>
    <n v="0"/>
    <n v="21.23390000000002"/>
    <n v="0"/>
    <n v="25.488802549891897"/>
    <x v="1"/>
  </r>
  <r>
    <s v="PROJETADO"/>
    <x v="2"/>
    <x v="3"/>
    <x v="1"/>
    <x v="8"/>
    <x v="2"/>
    <x v="0"/>
    <x v="1"/>
    <x v="11"/>
    <n v="0"/>
    <n v="0"/>
    <n v="0.20499999999999999"/>
    <n v="0.20499999999999999"/>
    <n v="0.20499999999999999"/>
    <n v="0.20499999999999999"/>
    <n v="0"/>
    <s v="CATIVO"/>
    <n v="0"/>
    <n v="0"/>
    <n v="37"/>
    <n v="74"/>
    <n v="0"/>
    <n v="272.89999999999998"/>
    <n v="270.94"/>
    <m/>
    <n v="376.65075030429762"/>
    <n v="276.11126621732421"/>
    <n v="0"/>
    <n v="21.23390000000002"/>
    <n v="0"/>
    <n v="25.488802549891897"/>
    <x v="1"/>
  </r>
  <r>
    <s v="Regular"/>
    <x v="2"/>
    <x v="3"/>
    <x v="1"/>
    <x v="8"/>
    <x v="3"/>
    <x v="0"/>
    <x v="1"/>
    <x v="0"/>
    <n v="0"/>
    <n v="0"/>
    <n v="3.403"/>
    <n v="0.91881000000000002"/>
    <n v="3.403"/>
    <n v="0.91881000000000002"/>
    <n v="0"/>
    <s v="CATIVO"/>
    <n v="0"/>
    <n v="0"/>
    <n v="37"/>
    <n v="74"/>
    <n v="0"/>
    <n v="272.89999999999998"/>
    <n v="270.94"/>
    <m/>
    <n v="421.49012534052349"/>
    <n v="308.98165505271993"/>
    <n v="0"/>
    <n v="1703.4846296000001"/>
    <n v="0"/>
    <n v="1973.2984880081685"/>
    <x v="6"/>
  </r>
  <r>
    <s v="Regular"/>
    <x v="2"/>
    <x v="3"/>
    <x v="1"/>
    <x v="8"/>
    <x v="3"/>
    <x v="0"/>
    <x v="1"/>
    <x v="1"/>
    <n v="0"/>
    <n v="0"/>
    <n v="4.4690000000000003"/>
    <n v="1.2066300000000001"/>
    <n v="4.4690000000000003"/>
    <n v="1.2066300000000001"/>
    <n v="0"/>
    <s v="CATIVO"/>
    <n v="0"/>
    <n v="0"/>
    <n v="37"/>
    <n v="74"/>
    <n v="0"/>
    <n v="272.89999999999998"/>
    <n v="270.94"/>
    <m/>
    <n v="421.49012534052349"/>
    <n v="308.98165505271993"/>
    <n v="0"/>
    <n v="2237.1063208"/>
    <n v="0"/>
    <n v="2591.4401830468723"/>
    <x v="6"/>
  </r>
  <r>
    <s v="Regular"/>
    <x v="2"/>
    <x v="3"/>
    <x v="1"/>
    <x v="8"/>
    <x v="3"/>
    <x v="0"/>
    <x v="1"/>
    <x v="2"/>
    <n v="0"/>
    <n v="0"/>
    <n v="4.1000000000000002E-2"/>
    <n v="1.107E-2"/>
    <n v="4.1000000000000002E-2"/>
    <n v="1.107E-2"/>
    <n v="0"/>
    <s v="CATIVO"/>
    <n v="0"/>
    <n v="0"/>
    <n v="37"/>
    <n v="74"/>
    <n v="0"/>
    <n v="272.89999999999998"/>
    <n v="270.94"/>
    <m/>
    <n v="421.49012534052349"/>
    <n v="308.98165505271993"/>
    <n v="0"/>
    <n v="20.523911200000004"/>
    <n v="0"/>
    <n v="23.774680578411672"/>
    <x v="6"/>
  </r>
  <r>
    <s v="Regular"/>
    <x v="2"/>
    <x v="3"/>
    <x v="1"/>
    <x v="8"/>
    <x v="3"/>
    <x v="0"/>
    <x v="1"/>
    <x v="3"/>
    <n v="0"/>
    <n v="0"/>
    <n v="0.73799999999999999"/>
    <n v="0.19925999999999999"/>
    <n v="0.73799999999999999"/>
    <n v="0.19925999999999999"/>
    <n v="0"/>
    <s v="CATIVO"/>
    <n v="0"/>
    <n v="0"/>
    <n v="37"/>
    <n v="74"/>
    <n v="0"/>
    <n v="272.89999999999998"/>
    <n v="270.94"/>
    <m/>
    <n v="421.49012534052349"/>
    <n v="308.98165505271993"/>
    <n v="0"/>
    <n v="369.43040160000004"/>
    <n v="0"/>
    <n v="427.94425041141005"/>
    <x v="6"/>
  </r>
  <r>
    <s v="Regular"/>
    <x v="2"/>
    <x v="3"/>
    <x v="1"/>
    <x v="8"/>
    <x v="3"/>
    <x v="0"/>
    <x v="1"/>
    <x v="4"/>
    <n v="0"/>
    <n v="0"/>
    <n v="1.3939999999999999"/>
    <n v="0.37637999999999999"/>
    <n v="1.3939999999999999"/>
    <n v="0.37637999999999999"/>
    <n v="0"/>
    <s v="CATIVO"/>
    <n v="0"/>
    <n v="0"/>
    <n v="37"/>
    <n v="74"/>
    <n v="0"/>
    <n v="272.89999999999998"/>
    <n v="270.94"/>
    <m/>
    <n v="421.49012534052349"/>
    <n v="308.98165505271993"/>
    <n v="0"/>
    <n v="697.8129808000001"/>
    <n v="0"/>
    <n v="808.33913966599675"/>
    <x v="6"/>
  </r>
  <r>
    <s v="Regular"/>
    <x v="2"/>
    <x v="3"/>
    <x v="1"/>
    <x v="8"/>
    <x v="3"/>
    <x v="0"/>
    <x v="1"/>
    <x v="5"/>
    <n v="0"/>
    <n v="0"/>
    <n v="2.2050000000000001"/>
    <n v="0.59535000000000005"/>
    <n v="2.2050000000000001"/>
    <n v="0.59535000000000005"/>
    <n v="0"/>
    <s v="CATIVO"/>
    <n v="0"/>
    <n v="0"/>
    <n v="37"/>
    <n v="74"/>
    <n v="0"/>
    <n v="272.89999999999998"/>
    <n v="270.94"/>
    <m/>
    <n v="421.49012534052349"/>
    <n v="308.98165505271993"/>
    <n v="0"/>
    <n v="1103.7859560000002"/>
    <n v="0"/>
    <n v="1278.6139189121398"/>
    <x v="6"/>
  </r>
  <r>
    <s v="Regular"/>
    <x v="2"/>
    <x v="3"/>
    <x v="1"/>
    <x v="8"/>
    <x v="3"/>
    <x v="0"/>
    <x v="1"/>
    <x v="6"/>
    <n v="0"/>
    <n v="0"/>
    <n v="0.58399999999999996"/>
    <n v="0.2336"/>
    <n v="0.58399999999999996"/>
    <n v="0.2336"/>
    <n v="0"/>
    <s v="CATIVO"/>
    <n v="0"/>
    <n v="0"/>
    <n v="37"/>
    <n v="74"/>
    <n v="0"/>
    <n v="272.89999999999998"/>
    <n v="270.94"/>
    <m/>
    <n v="421.49012534052349"/>
    <n v="308.98165505271993"/>
    <n v="0"/>
    <n v="251.052256"/>
    <n v="0"/>
    <n v="283.18681311040871"/>
    <x v="6"/>
  </r>
  <r>
    <s v="Regular"/>
    <x v="2"/>
    <x v="3"/>
    <x v="1"/>
    <x v="8"/>
    <x v="3"/>
    <x v="0"/>
    <x v="1"/>
    <x v="7"/>
    <n v="0"/>
    <n v="0"/>
    <n v="2.5009999999999999"/>
    <n v="0.67527000000000004"/>
    <n v="2.5009999999999999"/>
    <n v="0.67527000000000004"/>
    <n v="0"/>
    <s v="CATIVO"/>
    <n v="0"/>
    <n v="0"/>
    <n v="37"/>
    <n v="74"/>
    <n v="0"/>
    <n v="272.89999999999998"/>
    <n v="270.94"/>
    <m/>
    <n v="421.49012534052349"/>
    <n v="308.98165505271993"/>
    <n v="0"/>
    <n v="1251.9585832"/>
    <n v="0"/>
    <n v="1450.2555152831117"/>
    <x v="6"/>
  </r>
  <r>
    <s v="Regular"/>
    <x v="2"/>
    <x v="3"/>
    <x v="1"/>
    <x v="8"/>
    <x v="3"/>
    <x v="0"/>
    <x v="1"/>
    <x v="8"/>
    <n v="0"/>
    <n v="0"/>
    <n v="3.3210000000000002"/>
    <n v="0.89666999999999997"/>
    <n v="3.3210000000000002"/>
    <n v="0.89666999999999997"/>
    <n v="0"/>
    <s v="CATIVO"/>
    <n v="0"/>
    <n v="0"/>
    <n v="37"/>
    <n v="74"/>
    <n v="0"/>
    <n v="272.89999999999998"/>
    <n v="270.94"/>
    <m/>
    <n v="421.49012534052349"/>
    <n v="308.98165505271993"/>
    <n v="0"/>
    <n v="1662.4368072000002"/>
    <n v="0"/>
    <n v="1925.7491268513454"/>
    <x v="6"/>
  </r>
  <r>
    <s v="Regular"/>
    <x v="2"/>
    <x v="3"/>
    <x v="1"/>
    <x v="8"/>
    <x v="3"/>
    <x v="0"/>
    <x v="1"/>
    <x v="9"/>
    <n v="0"/>
    <n v="0"/>
    <n v="0.73799999999999999"/>
    <n v="0.19925999999999999"/>
    <n v="0.73799999999999999"/>
    <n v="0.19925999999999999"/>
    <n v="0"/>
    <s v="CATIVO"/>
    <n v="0"/>
    <n v="0"/>
    <n v="37"/>
    <n v="74"/>
    <n v="0"/>
    <n v="272.89999999999998"/>
    <n v="270.94"/>
    <m/>
    <n v="421.49012534052349"/>
    <n v="308.98165505271993"/>
    <n v="0"/>
    <n v="369.43040160000004"/>
    <n v="0"/>
    <n v="427.94425041141005"/>
    <x v="6"/>
  </r>
  <r>
    <s v="Regular"/>
    <x v="2"/>
    <x v="3"/>
    <x v="1"/>
    <x v="8"/>
    <x v="3"/>
    <x v="0"/>
    <x v="1"/>
    <x v="10"/>
    <n v="0"/>
    <n v="0"/>
    <n v="0.65600000000000003"/>
    <n v="0.17712"/>
    <n v="0.65600000000000003"/>
    <n v="0.17712"/>
    <n v="0"/>
    <s v="CATIVO"/>
    <n v="0"/>
    <n v="0"/>
    <n v="37"/>
    <n v="74"/>
    <n v="0"/>
    <n v="272.89999999999998"/>
    <n v="270.94"/>
    <m/>
    <n v="421.49012534052349"/>
    <n v="308.98165505271993"/>
    <n v="0"/>
    <n v="328.38257920000007"/>
    <n v="0"/>
    <n v="380.39488925458676"/>
    <x v="6"/>
  </r>
  <r>
    <s v="PROJETADO"/>
    <x v="2"/>
    <x v="3"/>
    <x v="1"/>
    <x v="8"/>
    <x v="3"/>
    <x v="0"/>
    <x v="1"/>
    <x v="11"/>
    <n v="0"/>
    <n v="0"/>
    <n v="0.65600000000000003"/>
    <n v="0.17712"/>
    <n v="0.65600000000000003"/>
    <n v="0.17712"/>
    <n v="0"/>
    <s v="CATIVO"/>
    <n v="0"/>
    <n v="0"/>
    <n v="37"/>
    <n v="74"/>
    <n v="0"/>
    <n v="272.89999999999998"/>
    <n v="270.94"/>
    <m/>
    <n v="421.49012534052349"/>
    <n v="308.98165505271993"/>
    <n v="0"/>
    <n v="328.38257920000007"/>
    <n v="0"/>
    <n v="380.39488925458676"/>
    <x v="6"/>
  </r>
  <r>
    <s v="Regular"/>
    <x v="3"/>
    <x v="3"/>
    <x v="2"/>
    <x v="1"/>
    <x v="1"/>
    <x v="0"/>
    <x v="1"/>
    <x v="0"/>
    <n v="0"/>
    <n v="0"/>
    <n v="284.67500000000001"/>
    <n v="267.59449999999998"/>
    <n v="284.67500000000001"/>
    <n v="267.59449999999998"/>
    <n v="154"/>
    <s v="CATIVO"/>
    <n v="0"/>
    <n v="0"/>
    <n v="44"/>
    <n v="81"/>
    <n v="0"/>
    <n v="324.88"/>
    <n v="322.54000000000002"/>
    <m/>
    <n v="448.39375036225908"/>
    <n v="328.70388835395738"/>
    <n v="0"/>
    <n v="11058.257310000019"/>
    <n v="0"/>
    <n v="13273.216218092359"/>
    <x v="2"/>
  </r>
  <r>
    <s v="Regular"/>
    <x v="3"/>
    <x v="3"/>
    <x v="2"/>
    <x v="1"/>
    <x v="1"/>
    <x v="0"/>
    <x v="1"/>
    <x v="1"/>
    <n v="0"/>
    <n v="0"/>
    <n v="304.09500000000003"/>
    <n v="285.84930000000003"/>
    <n v="304.09500000000003"/>
    <n v="285.84930000000003"/>
    <n v="156"/>
    <s v="CATIVO"/>
    <n v="0"/>
    <n v="0"/>
    <n v="44"/>
    <n v="81"/>
    <n v="0"/>
    <n v="324.88"/>
    <n v="322.54000000000002"/>
    <m/>
    <n v="448.39375036225908"/>
    <n v="328.70388835395738"/>
    <n v="0"/>
    <n v="11812.631094"/>
    <n v="0"/>
    <n v="14178.690386724469"/>
    <x v="2"/>
  </r>
  <r>
    <s v="Regular"/>
    <x v="3"/>
    <x v="3"/>
    <x v="2"/>
    <x v="1"/>
    <x v="1"/>
    <x v="0"/>
    <x v="1"/>
    <x v="2"/>
    <n v="0"/>
    <n v="0"/>
    <n v="272.60000000000002"/>
    <n v="256.24400000000003"/>
    <n v="272.60000000000002"/>
    <n v="256.24400000000003"/>
    <n v="156"/>
    <s v="CATIVO"/>
    <n v="0"/>
    <n v="0"/>
    <n v="44"/>
    <n v="81"/>
    <n v="0"/>
    <n v="324.88"/>
    <n v="322.54000000000002"/>
    <m/>
    <n v="448.39375036225908"/>
    <n v="328.70388835395738"/>
    <n v="0"/>
    <n v="10589.201519999997"/>
    <n v="0"/>
    <n v="12710.208978842431"/>
    <x v="2"/>
  </r>
  <r>
    <s v="Regular"/>
    <x v="3"/>
    <x v="3"/>
    <x v="2"/>
    <x v="1"/>
    <x v="1"/>
    <x v="0"/>
    <x v="1"/>
    <x v="3"/>
    <n v="0"/>
    <n v="0"/>
    <n v="264.46300000000002"/>
    <n v="248.59522000000001"/>
    <n v="264.46300000000002"/>
    <n v="248.59522000000001"/>
    <n v="158"/>
    <s v="CATIVO"/>
    <n v="0"/>
    <n v="0"/>
    <n v="44"/>
    <n v="81"/>
    <n v="0"/>
    <n v="324.88"/>
    <n v="322.54000000000002"/>
    <m/>
    <n v="448.39375036225908"/>
    <n v="328.70388835395738"/>
    <n v="0"/>
    <n v="10273.118127600006"/>
    <n v="0"/>
    <n v="12330.814369668413"/>
    <x v="2"/>
  </r>
  <r>
    <s v="Regular"/>
    <x v="3"/>
    <x v="3"/>
    <x v="2"/>
    <x v="1"/>
    <x v="1"/>
    <x v="0"/>
    <x v="1"/>
    <x v="4"/>
    <n v="0"/>
    <n v="0"/>
    <n v="266.50799999999998"/>
    <n v="250.51751999999999"/>
    <n v="266.50799999999998"/>
    <n v="250.51751999999999"/>
    <n v="158"/>
    <s v="CATIVO"/>
    <n v="0"/>
    <n v="0"/>
    <n v="44"/>
    <n v="81"/>
    <n v="0"/>
    <n v="324.88"/>
    <n v="322.54000000000002"/>
    <m/>
    <n v="448.39375036225908"/>
    <n v="328.70388835395738"/>
    <n v="0"/>
    <n v="10352.556561599995"/>
    <n v="0"/>
    <n v="12426.164249938876"/>
    <x v="2"/>
  </r>
  <r>
    <s v="Regular"/>
    <x v="3"/>
    <x v="3"/>
    <x v="2"/>
    <x v="1"/>
    <x v="1"/>
    <x v="0"/>
    <x v="1"/>
    <x v="5"/>
    <n v="0"/>
    <n v="0"/>
    <n v="276.43200000000002"/>
    <n v="259.84607999999997"/>
    <n v="276.43200000000002"/>
    <n v="259.84607999999997"/>
    <n v="158"/>
    <s v="CATIVO"/>
    <n v="0"/>
    <n v="0"/>
    <n v="44"/>
    <n v="81"/>
    <n v="0"/>
    <n v="324.88"/>
    <n v="322.54000000000002"/>
    <m/>
    <n v="448.39375036225908"/>
    <n v="328.70388835395738"/>
    <n v="0"/>
    <n v="10738.056326400028"/>
    <n v="0"/>
    <n v="12888.879267936103"/>
    <x v="2"/>
  </r>
  <r>
    <s v="Regular"/>
    <x v="3"/>
    <x v="3"/>
    <x v="2"/>
    <x v="1"/>
    <x v="1"/>
    <x v="0"/>
    <x v="1"/>
    <x v="6"/>
    <n v="0"/>
    <n v="0"/>
    <n v="284.267"/>
    <n v="267.21098000000001"/>
    <n v="284.267"/>
    <n v="267.21098000000001"/>
    <n v="158"/>
    <s v="CATIVO"/>
    <n v="0"/>
    <n v="0"/>
    <n v="44"/>
    <n v="81"/>
    <n v="0"/>
    <n v="324.88"/>
    <n v="322.54000000000002"/>
    <m/>
    <n v="448.39375036225908"/>
    <n v="328.70388835395738"/>
    <n v="0"/>
    <n v="11042.408468399994"/>
    <n v="0"/>
    <n v="13254.192867896554"/>
    <x v="2"/>
  </r>
  <r>
    <s v="Regular"/>
    <x v="3"/>
    <x v="3"/>
    <x v="2"/>
    <x v="1"/>
    <x v="1"/>
    <x v="0"/>
    <x v="1"/>
    <x v="7"/>
    <n v="0"/>
    <n v="0"/>
    <n v="286.23700000000002"/>
    <n v="269.06277999999998"/>
    <n v="286.23700000000002"/>
    <n v="269.06277999999998"/>
    <n v="158"/>
    <s v="CATIVO"/>
    <n v="0"/>
    <n v="0"/>
    <n v="44"/>
    <n v="81"/>
    <n v="0"/>
    <n v="324.88"/>
    <n v="322.54000000000002"/>
    <m/>
    <n v="448.39375036225908"/>
    <n v="328.70388835395738"/>
    <n v="0"/>
    <n v="11118.933512400032"/>
    <n v="0"/>
    <n v="13346.045808792856"/>
    <x v="2"/>
  </r>
  <r>
    <s v="Regular"/>
    <x v="3"/>
    <x v="3"/>
    <x v="2"/>
    <x v="1"/>
    <x v="1"/>
    <x v="0"/>
    <x v="1"/>
    <x v="8"/>
    <n v="0"/>
    <n v="0"/>
    <n v="278.096"/>
    <n v="261.41023999999999"/>
    <n v="278.096"/>
    <n v="261.41023999999999"/>
    <n v="158"/>
    <s v="CATIVO"/>
    <n v="0"/>
    <n v="0"/>
    <n v="44"/>
    <n v="81"/>
    <n v="0"/>
    <n v="324.88"/>
    <n v="322.54000000000002"/>
    <m/>
    <n v="448.39375036225908"/>
    <n v="328.70388835395738"/>
    <n v="0"/>
    <n v="10802.694739200011"/>
    <n v="0"/>
    <n v="12966.464696185509"/>
    <x v="2"/>
  </r>
  <r>
    <s v="Regular"/>
    <x v="3"/>
    <x v="3"/>
    <x v="2"/>
    <x v="1"/>
    <x v="1"/>
    <x v="0"/>
    <x v="1"/>
    <x v="9"/>
    <n v="0"/>
    <n v="0"/>
    <n v="285.26499999999999"/>
    <n v="268.14909999999998"/>
    <n v="285.26499999999999"/>
    <n v="268.14909999999998"/>
    <n v="159"/>
    <s v="CATIVO"/>
    <n v="0"/>
    <n v="0"/>
    <n v="44"/>
    <n v="81"/>
    <n v="0"/>
    <n v="324.88"/>
    <n v="322.54000000000002"/>
    <m/>
    <n v="448.39375036225908"/>
    <n v="328.70388835395738"/>
    <n v="0"/>
    <n v="11081.175978000007"/>
    <n v="0"/>
    <n v="13300.725474502899"/>
    <x v="2"/>
  </r>
  <r>
    <s v="Regular"/>
    <x v="3"/>
    <x v="3"/>
    <x v="2"/>
    <x v="1"/>
    <x v="1"/>
    <x v="0"/>
    <x v="1"/>
    <x v="10"/>
    <n v="0"/>
    <n v="0"/>
    <n v="276.90499999999997"/>
    <n v="260.29070000000002"/>
    <n v="276.90499999999997"/>
    <n v="260.29070000000002"/>
    <n v="159"/>
    <s v="CATIVO"/>
    <n v="0"/>
    <n v="0"/>
    <n v="44"/>
    <n v="81"/>
    <n v="0"/>
    <n v="324.88"/>
    <n v="322.54000000000002"/>
    <m/>
    <n v="448.39375036225908"/>
    <n v="328.70388835395738"/>
    <n v="0"/>
    <n v="10756.430105999974"/>
    <n v="0"/>
    <n v="12910.933298922802"/>
    <x v="2"/>
  </r>
  <r>
    <s v="PROJETADO"/>
    <x v="3"/>
    <x v="3"/>
    <x v="2"/>
    <x v="1"/>
    <x v="1"/>
    <x v="0"/>
    <x v="1"/>
    <x v="11"/>
    <n v="0"/>
    <n v="0"/>
    <n v="276.90499999999997"/>
    <n v="260.29070000000002"/>
    <n v="276.90499999999997"/>
    <n v="260.29070000000002"/>
    <n v="159"/>
    <s v="CATIVO"/>
    <n v="0"/>
    <n v="0"/>
    <n v="44"/>
    <n v="81"/>
    <n v="0"/>
    <n v="324.88"/>
    <n v="322.54000000000002"/>
    <m/>
    <n v="448.39375036225908"/>
    <n v="328.70388835395738"/>
    <n v="0"/>
    <n v="10756.430105999974"/>
    <n v="0"/>
    <n v="12910.93329892280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FDF52-F85B-4774-92CA-1B741C819696}" name="Efeito Resumo" cacheId="138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J960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6">
        <item x="0"/>
        <item x="3"/>
        <item x="4"/>
        <item x="1"/>
        <item x="2"/>
        <item t="default"/>
      </items>
    </pivotField>
    <pivotField axis="axisRow" showAll="0">
      <items count="10">
        <item x="0"/>
        <item x="6"/>
        <item x="8"/>
        <item x="1"/>
        <item x="5"/>
        <item x="2"/>
        <item x="7"/>
        <item x="3"/>
        <item x="4"/>
        <item t="default"/>
      </items>
    </pivotField>
    <pivotField axis="axisRow" showAll="0">
      <items count="11">
        <item x="7"/>
        <item x="1"/>
        <item x="9"/>
        <item x="0"/>
        <item x="2"/>
        <item x="3"/>
        <item x="4"/>
        <item x="5"/>
        <item x="6"/>
        <item x="8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0"/>
        <item x="2"/>
        <item x="1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959">
    <i>
      <x/>
    </i>
    <i r="1">
      <x/>
    </i>
    <i r="2">
      <x/>
    </i>
    <i r="3">
      <x/>
    </i>
    <i r="4">
      <x v="3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3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3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1"/>
    </i>
    <i r="3">
      <x v="6"/>
    </i>
    <i r="4">
      <x v="4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 v="4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7"/>
    </i>
    <i r="4">
      <x v="3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7"/>
    </i>
    <i r="4">
      <x/>
    </i>
    <i r="5">
      <x v="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/>
    </i>
    <i r="4">
      <x v="3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3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2"/>
    </i>
    <i r="3">
      <x v="2"/>
    </i>
    <i r="4">
      <x v="2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3"/>
    </i>
    <i r="3">
      <x v="4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 v="3"/>
    </i>
    <i r="4">
      <x v="3"/>
    </i>
    <i r="5">
      <x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3"/>
    </i>
    <i r="4">
      <x v="3"/>
    </i>
    <i r="5">
      <x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424">
    <format dxfId="837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83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835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834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833">
      <pivotArea type="all" dataOnly="0" outline="0" fieldPosition="0"/>
    </format>
    <format dxfId="832">
      <pivotArea outline="0" collapsedLevelsAreSubtotals="1" fieldPosition="0"/>
    </format>
    <format dxfId="831">
      <pivotArea field="16" type="button" dataOnly="0" labelOnly="1" outline="0" axis="axisRow" fieldPosition="0"/>
    </format>
    <format dxfId="830">
      <pivotArea dataOnly="0" labelOnly="1" fieldPosition="0">
        <references count="1">
          <reference field="16" count="0"/>
        </references>
      </pivotArea>
    </format>
    <format dxfId="829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828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827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826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825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24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23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22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821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820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81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4">
            <x v="0"/>
            <x v="5"/>
            <x v="7"/>
            <x v="8"/>
          </reference>
          <reference field="16" count="1" selected="0">
            <x v="0"/>
          </reference>
        </references>
      </pivotArea>
    </format>
    <format dxfId="818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81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816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81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814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813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812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811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81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80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808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80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0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0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0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03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02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01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00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9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98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97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796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5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3"/>
            <x v="9"/>
          </reference>
          <reference field="16" count="1" selected="0">
            <x v="0"/>
          </reference>
        </references>
      </pivotArea>
    </format>
    <format dxfId="79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0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8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8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8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8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78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84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8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9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8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7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6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5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9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76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764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75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754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75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5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5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5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49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48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47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46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45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4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4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41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4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3">
            <x v="0"/>
            <x v="1"/>
            <x v="3"/>
          </reference>
          <reference field="16" count="1" selected="0">
            <x v="1"/>
          </reference>
        </references>
      </pivotArea>
    </format>
    <format dxfId="72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2"/>
          </reference>
          <reference field="16" count="1" selected="0">
            <x v="2"/>
          </reference>
        </references>
      </pivotArea>
    </format>
    <format dxfId="722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2"/>
          </reference>
          <reference field="16" count="1" selected="0">
            <x v="2"/>
          </reference>
        </references>
      </pivotArea>
    </format>
    <format dxfId="72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71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0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69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69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9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9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8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8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8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8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8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8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6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5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4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3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3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3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3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2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2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2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2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10"/>
            <x v="11"/>
          </reference>
          <reference field="16" count="1" selected="0">
            <x v="2"/>
          </reference>
        </references>
      </pivotArea>
    </format>
    <format dxfId="62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24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23">
      <pivotArea type="all" dataOnly="0" outline="0" fieldPosition="0"/>
    </format>
    <format dxfId="622">
      <pivotArea outline="0" collapsedLevelsAreSubtotals="1" fieldPosition="0"/>
    </format>
    <format dxfId="621">
      <pivotArea field="16" type="button" dataOnly="0" labelOnly="1" outline="0" axis="axisRow" fieldPosition="0"/>
    </format>
    <format dxfId="620">
      <pivotArea dataOnly="0" labelOnly="1" fieldPosition="0">
        <references count="1">
          <reference field="16" count="0"/>
        </references>
      </pivotArea>
    </format>
    <format dxfId="619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618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617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616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615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13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12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11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610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60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4">
            <x v="0"/>
            <x v="5"/>
            <x v="7"/>
            <x v="8"/>
          </reference>
          <reference field="16" count="1" selected="0">
            <x v="0"/>
          </reference>
        </references>
      </pivotArea>
    </format>
    <format dxfId="608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60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06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0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604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603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602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601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60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59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598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59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9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9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9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93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92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91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90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3"/>
            <x v="9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57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574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57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9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8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7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6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5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9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5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54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54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544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54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4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4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4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9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8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7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6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5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2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1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1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1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1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1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1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3">
            <x v="0"/>
            <x v="1"/>
            <x v="3"/>
          </reference>
          <reference field="16" count="1" selected="0">
            <x v="1"/>
          </reference>
        </references>
      </pivotArea>
    </format>
    <format dxfId="51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2"/>
          </reference>
          <reference field="16" count="1" selected="0">
            <x v="2"/>
          </reference>
        </references>
      </pivotArea>
    </format>
    <format dxfId="512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2"/>
          </reference>
          <reference field="16" count="1" selected="0">
            <x v="2"/>
          </reference>
        </references>
      </pivotArea>
    </format>
    <format dxfId="51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1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50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9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9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9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9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9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48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48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48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48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47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7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7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7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7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7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6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6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6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6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6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6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6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5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5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5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5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5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5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4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4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4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3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3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2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2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2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2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41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41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41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41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10"/>
            <x v="11"/>
          </reference>
          <reference field="16" count="1" selected="0">
            <x v="2"/>
          </reference>
        </references>
      </pivotArea>
    </format>
    <format dxfId="41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414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8AA4B-6475-41D2-A440-E04750904056}" name="Subsidio Resumo" cacheId="139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G475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6">
        <item x="0"/>
        <item x="4"/>
        <item x="3"/>
        <item x="1"/>
        <item x="2"/>
        <item t="default"/>
      </items>
    </pivotField>
    <pivotField axis="axisRow" showAll="0">
      <items count="6">
        <item x="0"/>
        <item x="3"/>
        <item x="4"/>
        <item x="1"/>
        <item x="2"/>
        <item t="default"/>
      </items>
    </pivotField>
    <pivotField axis="axisRow" showAll="0">
      <items count="10">
        <item x="7"/>
        <item x="1"/>
        <item x="0"/>
        <item x="2"/>
        <item x="3"/>
        <item x="4"/>
        <item x="5"/>
        <item x="6"/>
        <item x="8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2"/>
        <item x="5"/>
        <item x="0"/>
        <item x="3"/>
        <item x="6"/>
        <item x="1"/>
        <item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474">
    <i>
      <x/>
    </i>
    <i r="1">
      <x/>
    </i>
    <i r="2">
      <x/>
    </i>
    <i r="3">
      <x v="4"/>
    </i>
    <i r="4">
      <x v="1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4"/>
    </i>
    <i r="4">
      <x v="1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2"/>
    </i>
    <i r="3">
      <x v="4"/>
    </i>
    <i r="4">
      <x v="1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2"/>
    </i>
    <i r="3">
      <x v="2"/>
    </i>
    <i r="4">
      <x v="4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2"/>
    </i>
    <i r="5">
      <x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2"/>
    </i>
    <i r="5">
      <x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3"/>
    </i>
    <i r="3">
      <x v="1"/>
    </i>
    <i r="4">
      <x v="2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2"/>
    </i>
    <i r="2">
      <x v="2"/>
    </i>
    <i r="3">
      <x v="3"/>
    </i>
    <i r="4">
      <x/>
    </i>
    <i r="5">
      <x v="2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2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/>
    </i>
    <i r="2">
      <x/>
    </i>
    <i r="3">
      <x v="3"/>
    </i>
    <i r="4">
      <x v="2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3"/>
    </i>
    <i r="4">
      <x v="2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3"/>
    </i>
    <i r="4">
      <x/>
    </i>
    <i r="5">
      <x v="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1"/>
    </i>
    <i r="2">
      <x v="2"/>
    </i>
    <i r="3">
      <x v="2"/>
    </i>
    <i r="4">
      <x v="3"/>
    </i>
    <i r="5">
      <x v="3"/>
    </i>
    <i r="6">
      <x v="2"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64">
    <format dxfId="413">
      <pivotArea outline="0" collapsedLevelsAreSubtotals="1" fieldPosition="0"/>
    </format>
    <format dxfId="41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11">
      <pivotArea type="all" dataOnly="0" outline="0" fieldPosition="0"/>
    </format>
    <format dxfId="410">
      <pivotArea outline="0" collapsedLevelsAreSubtotals="1" fieldPosition="0"/>
    </format>
    <format dxfId="409">
      <pivotArea field="31" type="button" dataOnly="0" labelOnly="1" outline="0" axis="axisRow" fieldPosition="0"/>
    </format>
    <format dxfId="408">
      <pivotArea dataOnly="0" labelOnly="1" fieldPosition="0">
        <references count="1">
          <reference field="31" count="0"/>
        </references>
      </pivotArea>
    </format>
    <format dxfId="407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406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405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404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403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402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401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400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399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98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397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396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95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394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393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392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391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90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89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88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8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86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8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84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8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8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81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80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7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78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7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76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7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74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7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372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8"/>
          </reference>
          <reference field="31" count="1" selected="0">
            <x v="4"/>
          </reference>
        </references>
      </pivotArea>
    </format>
    <format dxfId="37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37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369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3">
            <x v="0"/>
            <x v="2"/>
            <x v="8"/>
          </reference>
          <reference field="31" count="1" selected="0">
            <x v="5"/>
          </reference>
        </references>
      </pivotArea>
    </format>
    <format dxfId="368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36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66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6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6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6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6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6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6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59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5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5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5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5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5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5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5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5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5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34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348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34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34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34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34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34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34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2"/>
          </reference>
          <reference field="31" count="1" selected="0">
            <x v="2"/>
          </reference>
        </references>
      </pivotArea>
    </format>
    <format dxfId="341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2"/>
          </reference>
          <reference field="31" count="1" selected="0">
            <x v="2"/>
          </reference>
        </references>
      </pivotArea>
    </format>
    <format dxfId="34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3">
            <x v="0"/>
            <x v="1"/>
            <x v="3"/>
          </reference>
          <reference field="31" count="1" selected="0">
            <x v="3"/>
          </reference>
        </references>
      </pivotArea>
    </format>
    <format dxfId="33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33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33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3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3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3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3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32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6"/>
          </reference>
        </references>
      </pivotArea>
    </format>
    <format dxfId="33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33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32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32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2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2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2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2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32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32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32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32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31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31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31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31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31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31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31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31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31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1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0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0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0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0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0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0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0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0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0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0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9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9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9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10"/>
            <x v="11"/>
          </reference>
          <reference field="31" count="1" selected="0">
            <x v="2"/>
          </reference>
        </references>
      </pivotArea>
    </format>
    <format dxfId="29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9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9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9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9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9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9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8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28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8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8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28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8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8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8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28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80">
      <pivotArea type="all" dataOnly="0" outline="0" fieldPosition="0"/>
    </format>
    <format dxfId="279">
      <pivotArea outline="0" collapsedLevelsAreSubtotals="1" fieldPosition="0"/>
    </format>
    <format dxfId="278">
      <pivotArea field="31" type="button" dataOnly="0" labelOnly="1" outline="0" axis="axisRow" fieldPosition="0"/>
    </format>
    <format dxfId="277">
      <pivotArea dataOnly="0" labelOnly="1" fieldPosition="0">
        <references count="1">
          <reference field="31" count="0"/>
        </references>
      </pivotArea>
    </format>
    <format dxfId="276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275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274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273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272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271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270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269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268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267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266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265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264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263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262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261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260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59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58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57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256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55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5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253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5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51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50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49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24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47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46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45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24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43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4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241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8"/>
          </reference>
          <reference field="31" count="1" selected="0">
            <x v="4"/>
          </reference>
        </references>
      </pivotArea>
    </format>
    <format dxfId="24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239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238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3">
            <x v="0"/>
            <x v="2"/>
            <x v="8"/>
          </reference>
          <reference field="31" count="1" selected="0">
            <x v="5"/>
          </reference>
        </references>
      </pivotArea>
    </format>
    <format dxfId="237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23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35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3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3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3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3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3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2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28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2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2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2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2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2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2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2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2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19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21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217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21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21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21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21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212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21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2"/>
          </reference>
          <reference field="31" count="1" selected="0">
            <x v="2"/>
          </reference>
        </references>
      </pivotArea>
    </format>
    <format dxfId="210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2"/>
          </reference>
          <reference field="31" count="1" selected="0">
            <x v="2"/>
          </reference>
        </references>
      </pivotArea>
    </format>
    <format dxfId="20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3">
            <x v="0"/>
            <x v="1"/>
            <x v="3"/>
          </reference>
          <reference field="31" count="1" selected="0">
            <x v="3"/>
          </reference>
        </references>
      </pivotArea>
    </format>
    <format dxfId="20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20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20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20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20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20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20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201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6"/>
          </reference>
        </references>
      </pivotArea>
    </format>
    <format dxfId="20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199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19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19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19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19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19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19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192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19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19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18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18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18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18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18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18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18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18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18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18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7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7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7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7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7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7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7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7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7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7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6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6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6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6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10"/>
            <x v="11"/>
          </reference>
          <reference field="31" count="1" selected="0">
            <x v="2"/>
          </reference>
        </references>
      </pivotArea>
    </format>
    <format dxfId="16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6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6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5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5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5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5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15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8E06065-35D6-4874-825A-BA76FA3EBFA2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F5D748ED-9C3D-4A94-A30D-A9735588C82E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3C1DFFA4-964E-439B-B36F-A9167332BCF4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A6390E-C47E-4A26-852B-F69D523CF040}" name="Efeito" displayName="Efeito" ref="A1:AG1261" totalsRowShown="0" headerRowDxfId="906" dataDxfId="905">
  <autoFilter ref="A1:AG1261" xr:uid="{70A6390E-C47E-4A26-852B-F69D523CF040}"/>
  <tableColumns count="33">
    <tableColumn id="1" xr3:uid="{12D345BC-8A98-49BF-A903-725268CF498E}" name="TipoMercado" dataDxfId="904"/>
    <tableColumn id="2" xr3:uid="{990CD501-7DF7-4B78-B71F-CE567967EE03}" name="Subgrupo" dataDxfId="903"/>
    <tableColumn id="3" xr3:uid="{7D655C36-E4C2-4FB0-B0EE-3B865D4553DB}" name="Modalidade" dataDxfId="902"/>
    <tableColumn id="4" xr3:uid="{18B057A0-4ACB-4C08-A085-8E72A6785511}" name="Classe" dataDxfId="901"/>
    <tableColumn id="5" xr3:uid="{86FD8B33-B4CC-44E5-A3CE-BEF7F059A1BD}" name="Subclasse" dataDxfId="900"/>
    <tableColumn id="6" xr3:uid="{B4B938E3-3D18-43F5-929E-955E9854B365}" name="Detalhe" dataDxfId="899"/>
    <tableColumn id="7" xr3:uid="{F14CC423-E5A1-408A-9EA2-53402C54A5B8}" name="Agente" dataDxfId="898"/>
    <tableColumn id="8" xr3:uid="{C8C4ADAC-5B32-4950-ABB0-5B58E296C097}" name="Posto" dataDxfId="897"/>
    <tableColumn id="9" xr3:uid="{924884AD-81C1-4AF0-9697-1A6AC692C586}" name="AnoMes" dataDxfId="896"/>
    <tableColumn id="10" xr3:uid="{E3D4BE7C-3535-47FE-B72A-11084B952632}" name="D" dataDxfId="895"/>
    <tableColumn id="11" xr3:uid="{0C8ECFAD-6F89-4B7D-817D-81275FEE21A8}" name="Daj" dataDxfId="894"/>
    <tableColumn id="12" xr3:uid="{29A159F9-B3BB-40C0-ACEC-85703D013D31}" name="TUSD_E" dataDxfId="893"/>
    <tableColumn id="13" xr3:uid="{AAD8BDB5-7DF8-402B-BA8A-EE484D84FB23}" name="TUSD_Eaj" dataDxfId="892"/>
    <tableColumn id="14" xr3:uid="{775F56D6-D3EF-48C2-8831-43E88FEE75C3}" name="TE_E" dataDxfId="891"/>
    <tableColumn id="15" xr3:uid="{CA840B5C-B355-4FFF-90EB-C774343C830E}" name="TE_Eaj" dataDxfId="890"/>
    <tableColumn id="16" xr3:uid="{7222EBBB-33AA-498D-A7A3-414008A1689F}" name="UC" dataDxfId="889"/>
    <tableColumn id="17" xr3:uid="{1218B630-A8AD-409F-B88A-3C466C4546F8}" name="OPÇÃO" dataDxfId="888"/>
    <tableColumn id="18" xr3:uid="{2C623497-6BAF-4CCD-A928-7A712D8CAFF8}" name="CóD. AUX." dataDxfId="887"/>
    <tableColumn id="19" xr3:uid="{48DEE537-DC07-438D-BAE7-33B310E41405}" name="CóD. AUX. TUSD R$/kW" dataDxfId="886"/>
    <tableColumn id="20" xr3:uid="{BF2DE593-FFC4-4C72-94CF-372BB3A99AC7}" name="CóD. AUX. TUSD R$/MWh" dataDxfId="885"/>
    <tableColumn id="21" xr3:uid="{4DECBA8E-6227-4971-9D3D-6F204AA35EDF}" name="CóD. AUX. TE R$/MWh" dataDxfId="884"/>
    <tableColumn id="22" xr3:uid="{9DBB83DC-F4EE-4AC4-839D-D92103EDD85B}" name="TUSD (R$/kW)" dataDxfId="883"/>
    <tableColumn id="23" xr3:uid="{A84DEBEA-4867-4447-99E4-9AE1A2FB375C}" name="TUSD (R$/MWh)" dataDxfId="882"/>
    <tableColumn id="24" xr3:uid="{EAD80E25-C020-498F-ACF2-DDAE8FA6D674}" name="TE (R$/MWh)" dataDxfId="881"/>
    <tableColumn id="25" xr3:uid="{AEE5538B-7E23-4715-ACF5-4CCEAFEB7D6B}" name="TUSD (R$/kW) NOVA" dataDxfId="880"/>
    <tableColumn id="26" xr3:uid="{8FF321F7-90F5-4C28-B36E-4660E662C0B0}" name="TUSD (R$/MWh) NOVA" dataDxfId="879">
      <calculatedColumnFormula>('TUSD BE'!$AM$50+'TUSD BF'!$AM$50+'TUSD CVA'!$AM$50)*1</calculatedColumnFormula>
    </tableColumn>
    <tableColumn id="27" xr3:uid="{22F1593C-F898-4CE8-9410-04F7EC8C5951}" name="TE (R$/MWh) NOVA" dataDxfId="878">
      <calculatedColumnFormula>('TE BE'!$AB$40+'TE BF'!$AB$40+'TE CVA'!$AB$40)*1</calculatedColumnFormula>
    </tableColumn>
    <tableColumn id="28" xr3:uid="{9A96B067-835A-441B-B759-F58F081877B4}" name="RA0 ou RV - TUSD (kW)" dataDxfId="877"/>
    <tableColumn id="29" xr3:uid="{A7B2C827-0801-4A9D-AE8F-941459892494}" name="RA0 ou RV - TUSD (MWh)" dataDxfId="876"/>
    <tableColumn id="30" xr3:uid="{FE086497-89D1-4E49-BFB6-607FF113AB71}" name="RA0 ou RV - TE (MWh)" dataDxfId="875"/>
    <tableColumn id="31" xr3:uid="{5F5CF814-2EC3-4F1A-81BA-909B58CFDCA5}" name="RA1 ou RRD - TUSD (kW)" dataDxfId="874"/>
    <tableColumn id="32" xr3:uid="{7A6E710D-B69F-493A-9D5A-1B3E695A2F8E}" name="RA1 ou RRD - TUSD (MWh)" dataDxfId="873"/>
    <tableColumn id="33" xr3:uid="{EC5573C8-80AD-487A-AC5B-5F4D6C205D76}" name="RA1 ou RRD - TE (MWh)" dataDxfId="87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051B6A-149D-4F64-8658-514AD649E160}" name="Subsidio" displayName="Subsidio" ref="A1:AF510" totalsRowShown="0" headerRowDxfId="871" dataDxfId="870">
  <autoFilter ref="A1:AF510" xr:uid="{20051B6A-149D-4F64-8658-514AD649E160}"/>
  <tableColumns count="32">
    <tableColumn id="1" xr3:uid="{A626550A-7B98-4250-AC4C-B4904A2A738A}" name="TipoMercado" dataDxfId="869"/>
    <tableColumn id="2" xr3:uid="{3AD4FB55-E987-4F1D-A55C-F985860CB3FF}" name="Subgrupo" dataDxfId="868"/>
    <tableColumn id="3" xr3:uid="{1ED49DF1-082F-47BB-A4B5-B738AE941884}" name="Modalidade" dataDxfId="867"/>
    <tableColumn id="4" xr3:uid="{32077EA6-1EE8-4DDF-A6DA-D74E4C24CF4D}" name="Classe" dataDxfId="866"/>
    <tableColumn id="5" xr3:uid="{5A5B15F0-7B84-4F96-9FE0-7065F813C014}" name="Subclasse" dataDxfId="865"/>
    <tableColumn id="6" xr3:uid="{689D21C4-77FF-4DF7-9083-1054D4E3E94E}" name="Detalhe" dataDxfId="864"/>
    <tableColumn id="7" xr3:uid="{B4E682AC-2641-4AC6-AA65-7B0B93BEB36B}" name="Agente" dataDxfId="863"/>
    <tableColumn id="8" xr3:uid="{34CD5729-3FEA-4BFE-98CC-A158ECD8A235}" name="Posto" dataDxfId="862"/>
    <tableColumn id="9" xr3:uid="{5E4042C3-CE04-490F-B636-7526C5E07ABB}" name="AnoMes" dataDxfId="861"/>
    <tableColumn id="10" xr3:uid="{9FCD1DC0-F8B8-4719-892C-6464FA359E48}" name="D" dataDxfId="860"/>
    <tableColumn id="11" xr3:uid="{8F027F45-297F-4520-874D-834B07D6005C}" name="Daj" dataDxfId="859"/>
    <tableColumn id="12" xr3:uid="{AEB11AFE-3E62-438E-A449-6FCF1573E7DE}" name="TUSD_E" dataDxfId="858"/>
    <tableColumn id="13" xr3:uid="{037FFD00-121A-4546-9AA5-D334043A63DA}" name="TUSD_Eaj" dataDxfId="857"/>
    <tableColumn id="14" xr3:uid="{A071DA4B-7606-4AEE-8ADF-3EA06F402669}" name="TE_E" dataDxfId="856"/>
    <tableColumn id="15" xr3:uid="{9EADED67-AB0A-49B0-861A-3CDEA35A88DC}" name="TE_Eaj" dataDxfId="855"/>
    <tableColumn id="16" xr3:uid="{54B4FA58-1020-4CBE-AD9E-42F46168875E}" name="UC" dataDxfId="854"/>
    <tableColumn id="17" xr3:uid="{C2161DE4-B93A-41E1-B843-506BE688D920}" name="OPÇÃO" dataDxfId="853"/>
    <tableColumn id="18" xr3:uid="{FF22DA46-E932-4E05-9BD9-FFE35C7C7474}" name="CóD. AUX." dataDxfId="852"/>
    <tableColumn id="19" xr3:uid="{EA99C24E-86F0-4B9D-AC22-F068E3F34172}" name="CóD. AUX. TUSD R$/kW" dataDxfId="851"/>
    <tableColumn id="20" xr3:uid="{155215C0-333D-474E-824C-911CBABEE69F}" name="CóD. AUX. TUSD R$/MWh" dataDxfId="850"/>
    <tableColumn id="21" xr3:uid="{89ED7EAE-EFD8-4296-B7D7-9FCFEC19CA17}" name="CóD. AUX. TE R$/MWh" dataDxfId="849"/>
    <tableColumn id="22" xr3:uid="{EF6FD99A-B7F7-4238-BD08-A80F6C211A8A}" name="TUSD (R$/kW)" dataDxfId="848"/>
    <tableColumn id="23" xr3:uid="{F0698C07-719D-40B9-BDBB-08B1F55654B6}" name="TUSD (R$/MWh)" dataDxfId="847"/>
    <tableColumn id="24" xr3:uid="{07DB97C9-4DC9-4778-9BFE-FE214715C6A5}" name="TE (R$/MWh)" dataDxfId="846"/>
    <tableColumn id="25" xr3:uid="{6F69C587-1E3F-4000-AEF9-0BEB26D218AF}" name="TUSD (R$/kW) NOVA" dataDxfId="845"/>
    <tableColumn id="26" xr3:uid="{0EFE4717-ECCB-4C3A-A4C3-8F07BFACEECE}" name="TUSD (R$/MWh) NOVA" dataDxfId="844">
      <calculatedColumnFormula>('TUSD BE'!$AM$48+'TUSD BF'!$AM$48+'TUSD CVA'!$AM$48)*1</calculatedColumnFormula>
    </tableColumn>
    <tableColumn id="27" xr3:uid="{0647DBC1-6D4A-4AAB-B1C0-E9DBE110508C}" name="TE (R$/MWh) NOVA" dataDxfId="843">
      <calculatedColumnFormula>('TE BE'!$AB$38+'TE BF'!$AB$38+'TE CVA'!$AB$38)*1</calculatedColumnFormula>
    </tableColumn>
    <tableColumn id="28" xr3:uid="{30B3D74E-18F3-45AC-B380-CCFDDE5D8650}" name="SUBSIDIO kW - TV" dataDxfId="842">
      <calculatedColumnFormula>(J2-K2)*V2</calculatedColumnFormula>
    </tableColumn>
    <tableColumn id="29" xr3:uid="{833C890E-81D7-4DC2-AB58-B6833E7A1B41}" name="SUBSIDIO MWh - TV" dataDxfId="841">
      <calculatedColumnFormula>(L2-M2)*W2+(N2-O2)*X2</calculatedColumnFormula>
    </tableColumn>
    <tableColumn id="30" xr3:uid="{88C84A62-E186-4211-92D1-59E9D3434358}" name="SUBSIDIO kW - TN" dataDxfId="840">
      <calculatedColumnFormula>(J2-K2)*Y2</calculatedColumnFormula>
    </tableColumn>
    <tableColumn id="31" xr3:uid="{14EC6676-977E-4287-9962-FBD7691932EB}" name="SUBSIDIO MWh - TN" dataDxfId="839">
      <calculatedColumnFormula>(L2-M2)*Z2+(N2-O2)*AA2</calculatedColumnFormula>
    </tableColumn>
    <tableColumn id="32" xr3:uid="{2EBA15B8-0C64-401A-AB73-6F7B3158ED58}" name="TIPO" dataDxfId="83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FB7843-46EA-40B1-A930-AE09EF8AF363}" name="TabelaFin" displayName="TabelaFin" ref="B3:AT49" tableType="queryTable" totalsRowShown="0" headerRowDxfId="101" dataDxfId="100" headerRowBorderDxfId="148" tableBorderDxfId="149" totalsRowBorderDxfId="147">
  <autoFilter ref="B3:AT49" xr:uid="{CAFB7843-46EA-40B1-A930-AE09EF8AF363}"/>
  <sortState xmlns:xlrd2="http://schemas.microsoft.com/office/spreadsheetml/2017/richdata2" ref="B4:AT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5">
    <tableColumn id="46" xr3:uid="{AF958C8E-FA82-4293-B3DE-8E462359B958}" uniqueName="46" name="SUBGRUPO" queryTableFieldId="1" dataDxfId="146"/>
    <tableColumn id="47" xr3:uid="{3692A189-3197-4E5D-A6AF-8285B68A7825}" uniqueName="47" name="MODALIDADE" queryTableFieldId="2" dataDxfId="145"/>
    <tableColumn id="48" xr3:uid="{BD803F66-97CE-448C-9452-A480309E247D}" uniqueName="48" name="CLASSE" queryTableFieldId="3" dataDxfId="144"/>
    <tableColumn id="49" xr3:uid="{E3022EC7-DCBD-4F94-9DAB-BE171E6ED7E9}" uniqueName="49" name="SUBCLASSE" queryTableFieldId="4" dataDxfId="143"/>
    <tableColumn id="50" xr3:uid="{EF749856-EADE-48A1-8E01-F4AF31CEF54B}" uniqueName="50" name="DETALHE" queryTableFieldId="5" dataDxfId="142"/>
    <tableColumn id="51" xr3:uid="{0C1D8CF3-2F28-424F-8E7F-BDBAAAAF7F9B}" uniqueName="51" name="POSTO" queryTableFieldId="6" dataDxfId="141"/>
    <tableColumn id="52" xr3:uid="{92D986DA-A558-4336-8F49-04B3E05F7920}" uniqueName="52" name="UNIDADE" queryTableFieldId="7" dataDxfId="140"/>
    <tableColumn id="53" xr3:uid="{DDCF79B5-CEB9-4733-9809-C54F9964EE32}" uniqueName="53" name="ACESSANTE" queryTableFieldId="8" dataDxfId="139"/>
    <tableColumn id="54" xr3:uid="{412ABF86-D560-45F7-BE6A-857E3DB66627}" uniqueName="54" name="Total TUSD" queryTableFieldId="9" dataDxfId="138"/>
    <tableColumn id="55" xr3:uid="{3CA56DDA-2292-4860-BE6B-342D4CE8E1CE}" uniqueName="55" name="Total TE" queryTableFieldId="10" dataDxfId="137"/>
    <tableColumn id="56" xr3:uid="{5F5F1739-C676-4B85-A585-D437445A0F40}" uniqueName="56" name="TUSD_CDE_COVID" queryTableFieldId="11" dataDxfId="136"/>
    <tableColumn id="57" xr3:uid="{827F09E0-9377-42B3-ABED-F59341ADD717}" uniqueName="57" name="TUSD_TFSEE" queryTableFieldId="12" dataDxfId="135"/>
    <tableColumn id="58" xr3:uid="{7D6B909A-3994-4C85-9FFB-13F76BE2ED10}" uniqueName="58" name="TUSD_PeD" queryTableFieldId="13" dataDxfId="134"/>
    <tableColumn id="59" xr3:uid="{84B31267-446D-4BE0-923C-6A011ECF8C00}" uniqueName="59" name="TUSD_ONS" queryTableFieldId="14" dataDxfId="133"/>
    <tableColumn id="60" xr3:uid="{6BA1D211-5046-48F6-A055-35D20FAE4FA4}" uniqueName="60" name="TUSD_CCC" queryTableFieldId="15" dataDxfId="132"/>
    <tableColumn id="61" xr3:uid="{0463FA7A-EAE8-48F4-B976-3078351DE39F}" uniqueName="61" name="TUSD_CDE" queryTableFieldId="16" dataDxfId="131"/>
    <tableColumn id="62" xr3:uid="{4FF3B906-5861-4062-9C1E-2B4BCFECFD53}" uniqueName="62" name="TUSD_PROINFA" queryTableFieldId="17" dataDxfId="130"/>
    <tableColumn id="63" xr3:uid="{61B62B24-A81F-48C1-BF8B-8C1FD05F78FC}" uniqueName="63" name="Liminar1" queryTableFieldId="18" dataDxfId="129"/>
    <tableColumn id="64" xr3:uid="{2C42BD2D-1E01-4CDB-9CE0-21A875094992}" uniqueName="64" name="TUSD_RB" queryTableFieldId="19" dataDxfId="128"/>
    <tableColumn id="65" xr3:uid="{77CFAF6B-C996-4A7F-A496-DE183A6B2B28}" uniqueName="65" name="TUSD_FR" queryTableFieldId="20" dataDxfId="127"/>
    <tableColumn id="66" xr3:uid="{41E98F9B-26BD-44E3-BED4-C7798CB6F7B2}" uniqueName="66" name="TUSD_CCT" queryTableFieldId="21" dataDxfId="126"/>
    <tableColumn id="67" xr3:uid="{7CA1BA4F-EFFA-4452-A951-F1C40EEEC618}" uniqueName="67" name="TUSD_CCD" queryTableFieldId="22" dataDxfId="125"/>
    <tableColumn id="68" xr3:uid="{7AB9C94E-F977-46A2-A833-C527722629E1}" uniqueName="68" name="TUSD_CUSD" queryTableFieldId="23" dataDxfId="124"/>
    <tableColumn id="69" xr3:uid="{EDD1742D-9A17-41AC-9B8F-B4B1FC5CEA49}" uniqueName="69" name="TUSDG_T" queryTableFieldId="24" dataDxfId="123"/>
    <tableColumn id="70" xr3:uid="{2C22A5B3-B1FC-4CF8-8B97-B43DB792DE84}" uniqueName="70" name="TUSDG_ONS" queryTableFieldId="25" dataDxfId="122"/>
    <tableColumn id="71" xr3:uid="{C10516A3-5D7B-427C-9118-CA0CD60DD69A}" uniqueName="71" name="TUSD_FioB" queryTableFieldId="26" dataDxfId="121"/>
    <tableColumn id="72" xr3:uid="{774FBBAB-4AEA-4780-B60B-8D8C1A2B232C}" uniqueName="72" name="TUSD Subsidio" queryTableFieldId="27" dataDxfId="120"/>
    <tableColumn id="73" xr3:uid="{522BF5F2-942A-4EA2-8CEC-F01B920B0F7E}" uniqueName="73" name="TUSD BENEFICIO_L14299" queryTableFieldId="28" dataDxfId="119"/>
    <tableColumn id="74" xr3:uid="{BE9DC815-2326-466F-B4DB-68D49FE7C178}" uniqueName="74" name="TUSD Outros" queryTableFieldId="29" dataDxfId="118"/>
    <tableColumn id="75" xr3:uid="{7A2B16FA-7D5B-429C-BEA3-69C99CE7DE2D}" uniqueName="75" name="TUSD_PT" queryTableFieldId="30" dataDxfId="117"/>
    <tableColumn id="76" xr3:uid="{2A9E7DFF-DE79-44BF-8636-E00BEEC08534}" uniqueName="76" name="TUSD_Per_RB_D" queryTableFieldId="31" dataDxfId="116"/>
    <tableColumn id="77" xr3:uid="{98284FD4-B068-4844-BD12-4C98EFFA11E5}" uniqueName="77" name="TUSD_PNT" queryTableFieldId="32" dataDxfId="115"/>
    <tableColumn id="78" xr3:uid="{98A5BEA1-5E04-435E-B9FF-CF35A70E7B53}" uniqueName="78" name="TUSD_RI" queryTableFieldId="33" dataDxfId="114"/>
    <tableColumn id="79" xr3:uid="{905F2774-9A2C-4640-A28B-703B947E8A8B}" uniqueName="79" name="TE_CDE_COVID" queryTableFieldId="34" dataDxfId="113"/>
    <tableColumn id="80" xr3:uid="{77100D97-D897-4148-B88F-BBF4044C1274}" uniqueName="80" name="TE_CDE_ELET" queryTableFieldId="35" dataDxfId="112"/>
    <tableColumn id="81" xr3:uid="{DE0B1F0A-CC5A-4264-A636-A36ED5C3E609}" uniqueName="81" name="TE_PeD" queryTableFieldId="36" dataDxfId="111"/>
    <tableColumn id="82" xr3:uid="{1A6F4A1B-6059-4E84-B69C-4B558F7C5CA6}" uniqueName="82" name="TE_ESSERR" queryTableFieldId="37" dataDxfId="110"/>
    <tableColumn id="83" xr3:uid="{0B3315EE-9953-4BA7-B256-96709AFC96A8}" uniqueName="83" name="TE_CFURH" queryTableFieldId="38" dataDxfId="109"/>
    <tableColumn id="84" xr3:uid="{A143B9D6-5507-4F26-B978-1CA30D35EF90}" uniqueName="84" name="TE_ENERGIA" queryTableFieldId="39" dataDxfId="108"/>
    <tableColumn id="85" xr3:uid="{72466FEC-2212-4700-951D-E58A1259F19E}" uniqueName="85" name="TE_TRANSPORTE_ITAIPU" queryTableFieldId="40" dataDxfId="107"/>
    <tableColumn id="86" xr3:uid="{A8258EA2-8E0C-475E-B504-206A7130D5D6}" uniqueName="86" name="TE_TUST_ITAIPU" queryTableFieldId="41" dataDxfId="106"/>
    <tableColumn id="87" xr3:uid="{FE683DE4-71ED-46E6-B0B6-054356AC3349}" uniqueName="87" name="TE_TUST_CI" queryTableFieldId="42" dataDxfId="105"/>
    <tableColumn id="88" xr3:uid="{4B042325-E971-41D0-B57F-6CE7D8907D37}" uniqueName="88" name="TE Subsidio" queryTableFieldId="43" dataDxfId="104"/>
    <tableColumn id="89" xr3:uid="{CCF69CFA-3D5B-4380-82F1-B6319B9EE891}" uniqueName="89" name="TE BENEFICIO_L14299" queryTableFieldId="44" dataDxfId="103"/>
    <tableColumn id="90" xr3:uid="{A5EB4F84-E715-45D1-801E-7CE281316C24}" uniqueName="90" name="TE_Per_RB" queryTableFieldId="45" dataDxfId="10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AC8BDEB-37B4-4B20-A797-C6286A6A0F44}" name="TabelaEc" displayName="TabelaEc" ref="B3:AT49" tableType="queryTable" totalsRowShown="0" headerRowDxfId="51" dataDxfId="50" headerRowBorderDxfId="98" tableBorderDxfId="99" totalsRowBorderDxfId="97">
  <autoFilter ref="B3:AT49" xr:uid="{3AC8BDEB-37B4-4B20-A797-C6286A6A0F44}"/>
  <sortState xmlns:xlrd2="http://schemas.microsoft.com/office/spreadsheetml/2017/richdata2" ref="B4:AT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5">
    <tableColumn id="46" xr3:uid="{085408F9-B471-4C8D-A82E-8A55481295B1}" uniqueName="46" name="SUBGRUPO" queryTableFieldId="1" dataDxfId="96"/>
    <tableColumn id="47" xr3:uid="{7B15BEB3-EC09-4F60-87F8-F8C0121F921B}" uniqueName="47" name="MODALIDADE" queryTableFieldId="2" dataDxfId="95"/>
    <tableColumn id="48" xr3:uid="{CF8B7DD1-E331-4C19-8E82-8F01B040984B}" uniqueName="48" name="CLASSE" queryTableFieldId="3" dataDxfId="94"/>
    <tableColumn id="49" xr3:uid="{8CFE1126-9F0D-4980-9AD3-89751345E732}" uniqueName="49" name="SUBCLASSE" queryTableFieldId="4" dataDxfId="93"/>
    <tableColumn id="50" xr3:uid="{8A67C516-5ADE-4BE0-9498-FECA4AFAF94B}" uniqueName="50" name="DETALHE" queryTableFieldId="5" dataDxfId="92"/>
    <tableColumn id="51" xr3:uid="{65647C68-1CA1-4DCE-8BE4-F08B5C86175A}" uniqueName="51" name="POSTO" queryTableFieldId="6" dataDxfId="91"/>
    <tableColumn id="52" xr3:uid="{CE93EBF8-ED24-439A-A140-FE2346A0CE80}" uniqueName="52" name="UNIDADE" queryTableFieldId="7" dataDxfId="90"/>
    <tableColumn id="53" xr3:uid="{22E48F7B-8050-4C51-92C2-372777690167}" uniqueName="53" name="ACESSANTE" queryTableFieldId="8" dataDxfId="89"/>
    <tableColumn id="54" xr3:uid="{5B75F552-F3BE-439A-AC5D-1CB012A52A20}" uniqueName="54" name="Total TUSD" queryTableFieldId="9" dataDxfId="88"/>
    <tableColumn id="55" xr3:uid="{8E2092EA-6831-43D1-ADEC-DB2699DA2707}" uniqueName="55" name="Total TE" queryTableFieldId="10" dataDxfId="87"/>
    <tableColumn id="56" xr3:uid="{0BBDB2E7-B52A-40F2-8200-D55ACD9BF564}" uniqueName="56" name="TUSD_CDE_COVID" queryTableFieldId="11" dataDxfId="86"/>
    <tableColumn id="57" xr3:uid="{B88D55AE-6642-4BC1-B2AC-8669ADBB9062}" uniqueName="57" name="TUSD_TFSEE" queryTableFieldId="12" dataDxfId="85"/>
    <tableColumn id="58" xr3:uid="{2EA2AD71-F228-4B2F-954A-57C3986A0B85}" uniqueName="58" name="TUSD_PeD" queryTableFieldId="13" dataDxfId="84"/>
    <tableColumn id="59" xr3:uid="{53CA1DDF-84C0-4063-9B58-12FD347174D3}" uniqueName="59" name="TUSD_ONS" queryTableFieldId="14" dataDxfId="83"/>
    <tableColumn id="60" xr3:uid="{CEE90E82-AF25-4BE8-8838-7030FAD3D32F}" uniqueName="60" name="TUSD_CCC" queryTableFieldId="15" dataDxfId="82"/>
    <tableColumn id="61" xr3:uid="{8C7C9DB5-68FD-4A00-97E7-2B86E3062E05}" uniqueName="61" name="TUSD_CDE" queryTableFieldId="16" dataDxfId="81"/>
    <tableColumn id="62" xr3:uid="{1862959A-CAAD-42E1-9888-FC29A5C52ACE}" uniqueName="62" name="TUSD_PROINFA" queryTableFieldId="17" dataDxfId="80"/>
    <tableColumn id="63" xr3:uid="{B4F6514C-64BC-4F46-920A-4916FE6C7F6B}" uniqueName="63" name="Liminar1" queryTableFieldId="18" dataDxfId="79"/>
    <tableColumn id="64" xr3:uid="{1DF24114-A6BE-4945-B6AE-F579A2F5837D}" uniqueName="64" name="TUSD_RB" queryTableFieldId="19" dataDxfId="78"/>
    <tableColumn id="65" xr3:uid="{A8137248-E67F-4CEF-89AD-ED01ADF5565C}" uniqueName="65" name="TUSD_FR" queryTableFieldId="20" dataDxfId="77"/>
    <tableColumn id="66" xr3:uid="{2A322CAF-F76F-4FA9-82B0-13CA03D76EA7}" uniqueName="66" name="TUSD_CCT" queryTableFieldId="21" dataDxfId="76"/>
    <tableColumn id="67" xr3:uid="{33A4B1FD-02BB-402C-A9C3-8583DCA21495}" uniqueName="67" name="TUSD_CCD" queryTableFieldId="22" dataDxfId="75"/>
    <tableColumn id="68" xr3:uid="{AB07BDEA-8FC7-4187-9AD6-910E0F8A94DC}" uniqueName="68" name="TUSD_CUSD" queryTableFieldId="23" dataDxfId="74"/>
    <tableColumn id="69" xr3:uid="{F61F8EF9-0BF4-4AD1-9D1E-348053150FF0}" uniqueName="69" name="TUSDG_T" queryTableFieldId="24" dataDxfId="73"/>
    <tableColumn id="70" xr3:uid="{6E8A0629-36BC-40F0-B1F5-5ABC49D21C4B}" uniqueName="70" name="TUSDG_ONS" queryTableFieldId="25" dataDxfId="72"/>
    <tableColumn id="71" xr3:uid="{93232D7B-2C54-4E37-87D6-CE3B54660615}" uniqueName="71" name="TUSD_FioB" queryTableFieldId="26" dataDxfId="71"/>
    <tableColumn id="72" xr3:uid="{4854F1C6-C9BA-48C4-BD6C-6B04215E0019}" uniqueName="72" name="TUSD Subsidio" queryTableFieldId="27" dataDxfId="70"/>
    <tableColumn id="73" xr3:uid="{A9B9A1C6-A0FC-483F-AD8E-6334CF349899}" uniqueName="73" name="TUSD BENEFICIO_L14299" queryTableFieldId="28" dataDxfId="69"/>
    <tableColumn id="74" xr3:uid="{CCFE42E2-E332-467C-B0C3-5FC59A5EE563}" uniqueName="74" name="TUSD Outros" queryTableFieldId="29" dataDxfId="68"/>
    <tableColumn id="75" xr3:uid="{23EEBD80-D676-4ECB-B21A-FEDBCAB022FB}" uniqueName="75" name="TUSD_PT" queryTableFieldId="30" dataDxfId="67"/>
    <tableColumn id="76" xr3:uid="{E6F636D6-4A70-4608-9C96-C00D4473F01A}" uniqueName="76" name="TUSD_Per_RB_D" queryTableFieldId="31" dataDxfId="66"/>
    <tableColumn id="77" xr3:uid="{77D3B822-1688-4B8A-B1AD-1D024E70AC37}" uniqueName="77" name="TUSD_PNT" queryTableFieldId="32" dataDxfId="65"/>
    <tableColumn id="78" xr3:uid="{2BEAB283-68BF-48E3-BE69-F164ED311D30}" uniqueName="78" name="TUSD_RI" queryTableFieldId="33" dataDxfId="64"/>
    <tableColumn id="79" xr3:uid="{0ADC8157-C82D-48BD-95FB-B474FF9FD82C}" uniqueName="79" name="TE_CDE_COVID" queryTableFieldId="34" dataDxfId="63"/>
    <tableColumn id="80" xr3:uid="{CBC949C5-5FB7-461F-81D8-32DA3253DFC9}" uniqueName="80" name="TE_CDE_ELET" queryTableFieldId="35" dataDxfId="62"/>
    <tableColumn id="81" xr3:uid="{3EA45811-A37B-4B8E-91D5-66F083948901}" uniqueName="81" name="TE_PeD" queryTableFieldId="36" dataDxfId="61"/>
    <tableColumn id="82" xr3:uid="{DB3C6E33-48F6-4ADC-8B1B-F5915BBE1539}" uniqueName="82" name="TE_ESSERR" queryTableFieldId="37" dataDxfId="60"/>
    <tableColumn id="83" xr3:uid="{DC79C295-4B06-4E24-AA8B-FBE6F7973A67}" uniqueName="83" name="TE_CFURH" queryTableFieldId="38" dataDxfId="59"/>
    <tableColumn id="84" xr3:uid="{1D3E10F9-E4B9-4387-BB68-CB85FAD86592}" uniqueName="84" name="TE_ENERGIA" queryTableFieldId="39" dataDxfId="58"/>
    <tableColumn id="85" xr3:uid="{7C2DC2F6-3BFA-48FD-BC1D-470CC94CCB1D}" uniqueName="85" name="TE_TRANSPORTE_ITAIPU" queryTableFieldId="40" dataDxfId="57"/>
    <tableColumn id="86" xr3:uid="{BB1815AD-C4E1-410D-A363-4D828086554E}" uniqueName="86" name="TE_TUST_ITAIPU" queryTableFieldId="41" dataDxfId="56"/>
    <tableColumn id="87" xr3:uid="{600E38B0-7975-49DC-B6CD-D237A6731E44}" uniqueName="87" name="TE_TUST_CI" queryTableFieldId="42" dataDxfId="55"/>
    <tableColumn id="88" xr3:uid="{69D53985-1B42-4653-AAC3-EC52EAFF3F7C}" uniqueName="88" name="TE Subsidio" queryTableFieldId="43" dataDxfId="54"/>
    <tableColumn id="89" xr3:uid="{DBA948D4-623F-40BB-B763-44237EE2D772}" uniqueName="89" name="TE BENEFICIO_L14299" queryTableFieldId="44" dataDxfId="53"/>
    <tableColumn id="90" xr3:uid="{747BE22B-9615-4EF2-8BAB-E87CB555E557}" uniqueName="90" name="TE_Per_RB" queryTableFieldId="45" dataDxfId="5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3D3AA66-5C6C-4948-953D-CCB5FFD6070A}" name="TabelaCVA" displayName="TabelaCVA" ref="B3:AT49" tableType="queryTable" totalsRowShown="0" headerRowDxfId="1" dataDxfId="0" headerRowBorderDxfId="48" tableBorderDxfId="49" totalsRowBorderDxfId="47">
  <autoFilter ref="B3:AT49" xr:uid="{83D3AA66-5C6C-4948-953D-CCB5FFD6070A}"/>
  <sortState xmlns:xlrd2="http://schemas.microsoft.com/office/spreadsheetml/2017/richdata2" ref="B4:AT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5">
    <tableColumn id="46" xr3:uid="{0F3CED3D-9ACE-4E18-B69B-D65038150B2F}" uniqueName="46" name="SUBGRUPO" queryTableFieldId="1" dataDxfId="46"/>
    <tableColumn id="47" xr3:uid="{34DC9A40-300F-455F-946C-661DFE6B8545}" uniqueName="47" name="MODALIDADE" queryTableFieldId="2" dataDxfId="45"/>
    <tableColumn id="48" xr3:uid="{F9E77053-ADE3-4CDB-824B-DB668B3E9038}" uniqueName="48" name="CLASSE" queryTableFieldId="3" dataDxfId="44"/>
    <tableColumn id="49" xr3:uid="{A48CD32A-24DA-488C-9F24-4DDEE6B4F338}" uniqueName="49" name="SUBCLASSE" queryTableFieldId="4" dataDxfId="43"/>
    <tableColumn id="50" xr3:uid="{55FDDE9E-3808-45D0-9C78-58AB352E11F1}" uniqueName="50" name="DETALHE" queryTableFieldId="5" dataDxfId="42"/>
    <tableColumn id="51" xr3:uid="{124222EB-0DC7-4A9E-9A4A-353442C1E9C5}" uniqueName="51" name="POSTO" queryTableFieldId="6" dataDxfId="41"/>
    <tableColumn id="52" xr3:uid="{84B07706-099A-4A5A-8757-9DCB0109C3C6}" uniqueName="52" name="UNIDADE" queryTableFieldId="7" dataDxfId="40"/>
    <tableColumn id="53" xr3:uid="{58CD7413-92AA-457A-A6F5-36EE37896522}" uniqueName="53" name="ACESSANTE" queryTableFieldId="8" dataDxfId="39"/>
    <tableColumn id="54" xr3:uid="{476F16DB-3342-4D21-8398-BF28B7F417B9}" uniqueName="54" name="Total TUSD" queryTableFieldId="9" dataDxfId="38"/>
    <tableColumn id="55" xr3:uid="{50609080-B327-430A-AD1F-326F1F41A8C2}" uniqueName="55" name="Total TE" queryTableFieldId="10" dataDxfId="37"/>
    <tableColumn id="56" xr3:uid="{1F3CE99B-ED77-421F-B839-E66072746444}" uniqueName="56" name="TUSD_CDE_COVID" queryTableFieldId="11" dataDxfId="36"/>
    <tableColumn id="57" xr3:uid="{3687EAFB-C377-43BA-9CFE-0B04B2AFA7C0}" uniqueName="57" name="TUSD_TFSEE" queryTableFieldId="12" dataDxfId="35"/>
    <tableColumn id="58" xr3:uid="{CA49F6F4-9D8F-4766-AE5C-9CD7A134583D}" uniqueName="58" name="TUSD_PeD" queryTableFieldId="13" dataDxfId="34"/>
    <tableColumn id="59" xr3:uid="{754CB866-D196-41AD-BC12-3567168C5032}" uniqueName="59" name="TUSD_ONS" queryTableFieldId="14" dataDxfId="33"/>
    <tableColumn id="60" xr3:uid="{3E7CE3FF-D7EE-4A7D-9364-FEB6789B31A5}" uniqueName="60" name="TUSD_CCC" queryTableFieldId="15" dataDxfId="32"/>
    <tableColumn id="61" xr3:uid="{44442145-16BB-4505-A720-786C54431F1B}" uniqueName="61" name="TUSD_CDE" queryTableFieldId="16" dataDxfId="31"/>
    <tableColumn id="62" xr3:uid="{CC43A097-D23D-4791-AE13-79B76043D6DA}" uniqueName="62" name="TUSD_PROINFA" queryTableFieldId="17" dataDxfId="30"/>
    <tableColumn id="63" xr3:uid="{031BE996-0399-42C8-A698-21DD339ED978}" uniqueName="63" name="Liminar1" queryTableFieldId="18" dataDxfId="29"/>
    <tableColumn id="64" xr3:uid="{DE26B8F8-FA7D-4F8B-9008-9DEF8F007D29}" uniqueName="64" name="TUSD_RB" queryTableFieldId="19" dataDxfId="28"/>
    <tableColumn id="65" xr3:uid="{EC938966-9E76-47AD-8574-0876ECE52778}" uniqueName="65" name="TUSD_FR" queryTableFieldId="20" dataDxfId="27"/>
    <tableColumn id="66" xr3:uid="{A0E0E79A-F428-43E5-9147-DE4D9472DA87}" uniqueName="66" name="TUSD_CCT" queryTableFieldId="21" dataDxfId="26"/>
    <tableColumn id="67" xr3:uid="{714A999D-D017-4187-B74D-84512A23E505}" uniqueName="67" name="TUSD_CCD" queryTableFieldId="22" dataDxfId="25"/>
    <tableColumn id="68" xr3:uid="{40053A4B-80E4-4583-A5F0-FDB8EF5519E1}" uniqueName="68" name="TUSD_CUSD" queryTableFieldId="23" dataDxfId="24"/>
    <tableColumn id="69" xr3:uid="{8EB72DBC-FC34-4729-8E7C-D72B6423E066}" uniqueName="69" name="TUSDG_T" queryTableFieldId="24" dataDxfId="23"/>
    <tableColumn id="70" xr3:uid="{8AF286FF-352D-4093-9DEF-E206618A86CE}" uniqueName="70" name="TUSDG_ONS" queryTableFieldId="25" dataDxfId="22"/>
    <tableColumn id="71" xr3:uid="{0F88DA7F-D9D7-41E1-8E68-A85A183D27BA}" uniqueName="71" name="TUSD_FioB" queryTableFieldId="26" dataDxfId="21"/>
    <tableColumn id="72" xr3:uid="{D40C2BEF-1B73-45A7-A11C-5BCB3649E53F}" uniqueName="72" name="TUSD Subsidio" queryTableFieldId="27" dataDxfId="20"/>
    <tableColumn id="73" xr3:uid="{E9BD9295-63FF-4F3E-8FB8-6BA027978ACA}" uniqueName="73" name="TUSD BENEFICIO_L14299" queryTableFieldId="28" dataDxfId="19"/>
    <tableColumn id="74" xr3:uid="{4070ED85-5EDD-4892-9362-D09B861D45A8}" uniqueName="74" name="TUSD Outros" queryTableFieldId="29" dataDxfId="18"/>
    <tableColumn id="75" xr3:uid="{5CC6342F-65F0-409B-A3F8-82E1D632E746}" uniqueName="75" name="TUSD_PT" queryTableFieldId="30" dataDxfId="17"/>
    <tableColumn id="76" xr3:uid="{79E86282-F018-412B-B154-D77A1F6212E0}" uniqueName="76" name="TUSD_Per_RB_D" queryTableFieldId="31" dataDxfId="16"/>
    <tableColumn id="77" xr3:uid="{0CCBD14B-B700-46C3-82BF-876EDCEFB0B3}" uniqueName="77" name="TUSD_PNT" queryTableFieldId="32" dataDxfId="15"/>
    <tableColumn id="78" xr3:uid="{7DA563EB-F075-42FB-8367-C3607578227C}" uniqueName="78" name="TUSD_RI" queryTableFieldId="33" dataDxfId="14"/>
    <tableColumn id="79" xr3:uid="{134D4F49-379C-4028-A120-7852B7E83BC9}" uniqueName="79" name="TE_CDE_COVID" queryTableFieldId="34" dataDxfId="13"/>
    <tableColumn id="80" xr3:uid="{6DD630D8-8C6E-4DCD-A4D9-C3DEE1E6B0CE}" uniqueName="80" name="TE_CDE_ELET" queryTableFieldId="35" dataDxfId="12"/>
    <tableColumn id="81" xr3:uid="{8B348C92-4708-4A9E-8635-4FFF6660D439}" uniqueName="81" name="TE_PeD" queryTableFieldId="36" dataDxfId="11"/>
    <tableColumn id="82" xr3:uid="{73E93BA0-B2FC-4AFD-9596-BAAF244B10AD}" uniqueName="82" name="TE_ESSERR" queryTableFieldId="37" dataDxfId="10"/>
    <tableColumn id="83" xr3:uid="{A368F9AC-867D-416C-93F8-B481B09A29E7}" uniqueName="83" name="TE_CFURH" queryTableFieldId="38" dataDxfId="9"/>
    <tableColumn id="84" xr3:uid="{4F54545F-EECC-4787-8349-495FF5FEC3AE}" uniqueName="84" name="TE_ENERGIA" queryTableFieldId="39" dataDxfId="8"/>
    <tableColumn id="85" xr3:uid="{C0A780C0-6ECA-4991-8B16-3A5F1BFC5CE6}" uniqueName="85" name="TE_TRANSPORTE_ITAIPU" queryTableFieldId="40" dataDxfId="7"/>
    <tableColumn id="86" xr3:uid="{34BE88EF-2F2A-44CA-934A-CA8288DDF9FC}" uniqueName="86" name="TE_TUST_ITAIPU" queryTableFieldId="41" dataDxfId="6"/>
    <tableColumn id="87" xr3:uid="{EA22C9CE-F04A-425B-9CD4-E0484C4D8B93}" uniqueName="87" name="TE_TUST_CI" queryTableFieldId="42" dataDxfId="5"/>
    <tableColumn id="88" xr3:uid="{6D7A2BF4-DB0D-4D87-BC36-84D343DA4F82}" uniqueName="88" name="TE Subsidio" queryTableFieldId="43" dataDxfId="4"/>
    <tableColumn id="89" xr3:uid="{8A1F7353-D680-4AF1-AC2E-9A9283A0FF1F}" uniqueName="89" name="TE BENEFICIO_L14299" queryTableFieldId="44" dataDxfId="3"/>
    <tableColumn id="90" xr3:uid="{11810B37-F13D-4382-B76C-C2171A779360}" uniqueName="90" name="TE_Per_RB" queryTableFieldId="45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4A2BF-FC7E-48EA-BD42-AD89295F45A4}">
  <dimension ref="A1:W1261"/>
  <sheetViews>
    <sheetView showGridLines="0" topLeftCell="J1246" workbookViewId="0">
      <selection activeCell="T1262" sqref="T1262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27.85546875" style="4" bestFit="1" customWidth="1"/>
    <col min="8" max="8" width="10.28515625" style="4" bestFit="1" customWidth="1"/>
    <col min="9" max="9" width="8.7109375" style="5" bestFit="1" customWidth="1"/>
    <col min="10" max="12" width="7.85546875" style="6" bestFit="1" customWidth="1"/>
    <col min="13" max="13" width="8" style="6" bestFit="1" customWidth="1"/>
    <col min="14" max="16" width="7.85546875" style="6" bestFit="1" customWidth="1"/>
    <col min="17" max="17" width="8.42578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97</v>
      </c>
      <c r="T1" s="1" t="s">
        <v>398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39</v>
      </c>
      <c r="C2" s="4" t="s">
        <v>42</v>
      </c>
      <c r="D2" s="4" t="s">
        <v>41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44440</v>
      </c>
      <c r="J2" s="6">
        <v>424</v>
      </c>
      <c r="K2" s="6">
        <v>424</v>
      </c>
      <c r="L2" s="6">
        <v>116.837</v>
      </c>
      <c r="M2" s="6">
        <v>116.837</v>
      </c>
      <c r="N2" s="6">
        <v>116.837</v>
      </c>
      <c r="O2" s="6">
        <v>116.837</v>
      </c>
      <c r="P2" s="6">
        <v>0</v>
      </c>
      <c r="Q2" s="4" t="s">
        <v>26</v>
      </c>
      <c r="R2" s="4">
        <v>0</v>
      </c>
      <c r="S2" s="4" t="s">
        <v>98</v>
      </c>
      <c r="T2" s="4" t="s">
        <v>399</v>
      </c>
      <c r="U2" s="4">
        <v>2</v>
      </c>
      <c r="V2" s="4">
        <v>3</v>
      </c>
      <c r="W2" s="4">
        <v>49</v>
      </c>
    </row>
    <row r="3" spans="1:23" ht="11.25" customHeight="1" x14ac:dyDescent="0.25">
      <c r="A3" s="4" t="s">
        <v>28</v>
      </c>
      <c r="B3" s="4" t="s">
        <v>39</v>
      </c>
      <c r="C3" s="4" t="s">
        <v>42</v>
      </c>
      <c r="D3" s="4" t="s">
        <v>41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44440</v>
      </c>
      <c r="J3" s="6">
        <v>38</v>
      </c>
      <c r="K3" s="6">
        <v>38</v>
      </c>
      <c r="L3" s="6">
        <v>5.8490000000000002</v>
      </c>
      <c r="M3" s="6">
        <v>5.8490000000000002</v>
      </c>
      <c r="N3" s="6">
        <v>5.8490000000000002</v>
      </c>
      <c r="O3" s="6">
        <v>5.8490000000000002</v>
      </c>
      <c r="P3" s="6">
        <v>0</v>
      </c>
      <c r="Q3" s="4" t="s">
        <v>26</v>
      </c>
      <c r="R3" s="4">
        <v>0</v>
      </c>
      <c r="S3" s="4" t="s">
        <v>98</v>
      </c>
      <c r="T3" s="4" t="s">
        <v>399</v>
      </c>
      <c r="U3" s="4">
        <v>2</v>
      </c>
      <c r="V3" s="4">
        <v>3</v>
      </c>
      <c r="W3" s="4">
        <v>49</v>
      </c>
    </row>
    <row r="4" spans="1:23" ht="11.25" customHeight="1" x14ac:dyDescent="0.25">
      <c r="A4" s="4" t="s">
        <v>21</v>
      </c>
      <c r="B4" s="4" t="s">
        <v>39</v>
      </c>
      <c r="C4" s="4" t="s">
        <v>42</v>
      </c>
      <c r="D4" s="4" t="s">
        <v>41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44470</v>
      </c>
      <c r="J4" s="6">
        <v>439</v>
      </c>
      <c r="K4" s="6">
        <v>439</v>
      </c>
      <c r="L4" s="6">
        <v>141.21700000000001</v>
      </c>
      <c r="M4" s="6">
        <v>141.21700000000001</v>
      </c>
      <c r="N4" s="6">
        <v>141.21700000000001</v>
      </c>
      <c r="O4" s="6">
        <v>141.21700000000001</v>
      </c>
      <c r="P4" s="6">
        <v>0</v>
      </c>
      <c r="Q4" s="4" t="s">
        <v>26</v>
      </c>
      <c r="R4" s="4">
        <v>0</v>
      </c>
      <c r="S4" s="4" t="s">
        <v>99</v>
      </c>
      <c r="T4" s="4" t="s">
        <v>400</v>
      </c>
      <c r="U4" s="4">
        <v>2</v>
      </c>
      <c r="V4" s="4">
        <v>3</v>
      </c>
      <c r="W4" s="4">
        <v>49</v>
      </c>
    </row>
    <row r="5" spans="1:23" ht="11.25" customHeight="1" x14ac:dyDescent="0.25">
      <c r="A5" s="4" t="s">
        <v>28</v>
      </c>
      <c r="B5" s="4" t="s">
        <v>39</v>
      </c>
      <c r="C5" s="4" t="s">
        <v>42</v>
      </c>
      <c r="D5" s="4" t="s">
        <v>41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44470</v>
      </c>
      <c r="J5" s="6">
        <v>38</v>
      </c>
      <c r="K5" s="6">
        <v>38</v>
      </c>
      <c r="L5" s="6">
        <v>6.657</v>
      </c>
      <c r="M5" s="6">
        <v>6.657</v>
      </c>
      <c r="N5" s="6">
        <v>6.657</v>
      </c>
      <c r="O5" s="6">
        <v>6.657</v>
      </c>
      <c r="P5" s="6">
        <v>0</v>
      </c>
      <c r="Q5" s="4" t="s">
        <v>26</v>
      </c>
      <c r="R5" s="4">
        <v>0</v>
      </c>
      <c r="S5" s="4" t="s">
        <v>99</v>
      </c>
      <c r="T5" s="4" t="s">
        <v>400</v>
      </c>
      <c r="U5" s="4">
        <v>2</v>
      </c>
      <c r="V5" s="4">
        <v>3</v>
      </c>
      <c r="W5" s="4">
        <v>49</v>
      </c>
    </row>
    <row r="6" spans="1:23" ht="11.25" customHeight="1" x14ac:dyDescent="0.25">
      <c r="A6" s="4" t="s">
        <v>21</v>
      </c>
      <c r="B6" s="4" t="s">
        <v>39</v>
      </c>
      <c r="C6" s="4" t="s">
        <v>42</v>
      </c>
      <c r="D6" s="4" t="s">
        <v>41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44501</v>
      </c>
      <c r="J6" s="6">
        <v>478</v>
      </c>
      <c r="K6" s="6">
        <v>478</v>
      </c>
      <c r="L6" s="6">
        <v>145.85300000000001</v>
      </c>
      <c r="M6" s="6">
        <v>145.85300000000001</v>
      </c>
      <c r="N6" s="6">
        <v>145.85300000000001</v>
      </c>
      <c r="O6" s="6">
        <v>145.85300000000001</v>
      </c>
      <c r="P6" s="6">
        <v>0</v>
      </c>
      <c r="Q6" s="4" t="s">
        <v>26</v>
      </c>
      <c r="R6" s="4">
        <v>0</v>
      </c>
      <c r="S6" s="4" t="s">
        <v>100</v>
      </c>
      <c r="T6" s="4" t="s">
        <v>401</v>
      </c>
      <c r="U6" s="4">
        <v>2</v>
      </c>
      <c r="V6" s="4">
        <v>3</v>
      </c>
      <c r="W6" s="4">
        <v>49</v>
      </c>
    </row>
    <row r="7" spans="1:23" ht="11.25" customHeight="1" x14ac:dyDescent="0.25">
      <c r="A7" s="4" t="s">
        <v>28</v>
      </c>
      <c r="B7" s="4" t="s">
        <v>39</v>
      </c>
      <c r="C7" s="4" t="s">
        <v>42</v>
      </c>
      <c r="D7" s="4" t="s">
        <v>41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44501</v>
      </c>
      <c r="J7" s="6">
        <v>38</v>
      </c>
      <c r="K7" s="6">
        <v>38</v>
      </c>
      <c r="L7" s="6">
        <v>5.758</v>
      </c>
      <c r="M7" s="6">
        <v>5.758</v>
      </c>
      <c r="N7" s="6">
        <v>5.758</v>
      </c>
      <c r="O7" s="6">
        <v>5.758</v>
      </c>
      <c r="P7" s="6">
        <v>0</v>
      </c>
      <c r="Q7" s="4" t="s">
        <v>26</v>
      </c>
      <c r="R7" s="4">
        <v>0</v>
      </c>
      <c r="S7" s="4" t="s">
        <v>100</v>
      </c>
      <c r="T7" s="4" t="s">
        <v>401</v>
      </c>
      <c r="U7" s="4">
        <v>2</v>
      </c>
      <c r="V7" s="4">
        <v>3</v>
      </c>
      <c r="W7" s="4">
        <v>49</v>
      </c>
    </row>
    <row r="8" spans="1:23" ht="11.25" customHeight="1" x14ac:dyDescent="0.25">
      <c r="A8" s="4" t="s">
        <v>21</v>
      </c>
      <c r="B8" s="4" t="s">
        <v>39</v>
      </c>
      <c r="C8" s="4" t="s">
        <v>42</v>
      </c>
      <c r="D8" s="4" t="s">
        <v>41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44531</v>
      </c>
      <c r="J8" s="6">
        <v>452</v>
      </c>
      <c r="K8" s="6">
        <v>452</v>
      </c>
      <c r="L8" s="6">
        <v>136.70400000000001</v>
      </c>
      <c r="M8" s="6">
        <v>136.70400000000001</v>
      </c>
      <c r="N8" s="6">
        <v>136.70400000000001</v>
      </c>
      <c r="O8" s="6">
        <v>136.70400000000001</v>
      </c>
      <c r="P8" s="6">
        <v>0</v>
      </c>
      <c r="Q8" s="4" t="s">
        <v>26</v>
      </c>
      <c r="R8" s="4">
        <v>0</v>
      </c>
      <c r="S8" s="4" t="s">
        <v>101</v>
      </c>
      <c r="T8" s="4" t="s">
        <v>402</v>
      </c>
      <c r="U8" s="4">
        <v>2</v>
      </c>
      <c r="V8" s="4">
        <v>3</v>
      </c>
      <c r="W8" s="4">
        <v>49</v>
      </c>
    </row>
    <row r="9" spans="1:23" ht="11.25" customHeight="1" x14ac:dyDescent="0.25">
      <c r="A9" s="4" t="s">
        <v>28</v>
      </c>
      <c r="B9" s="4" t="s">
        <v>39</v>
      </c>
      <c r="C9" s="4" t="s">
        <v>42</v>
      </c>
      <c r="D9" s="4" t="s">
        <v>41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44531</v>
      </c>
      <c r="J9" s="6">
        <v>38</v>
      </c>
      <c r="K9" s="6">
        <v>38</v>
      </c>
      <c r="L9" s="6">
        <v>6.64</v>
      </c>
      <c r="M9" s="6">
        <v>6.64</v>
      </c>
      <c r="N9" s="6">
        <v>6.64</v>
      </c>
      <c r="O9" s="6">
        <v>6.64</v>
      </c>
      <c r="P9" s="6">
        <v>0</v>
      </c>
      <c r="Q9" s="4" t="s">
        <v>26</v>
      </c>
      <c r="R9" s="4">
        <v>0</v>
      </c>
      <c r="S9" s="4" t="s">
        <v>101</v>
      </c>
      <c r="T9" s="4" t="s">
        <v>402</v>
      </c>
      <c r="U9" s="4">
        <v>2</v>
      </c>
      <c r="V9" s="4">
        <v>3</v>
      </c>
      <c r="W9" s="4">
        <v>49</v>
      </c>
    </row>
    <row r="10" spans="1:23" ht="11.25" customHeight="1" x14ac:dyDescent="0.25">
      <c r="A10" s="4" t="s">
        <v>21</v>
      </c>
      <c r="B10" s="4" t="s">
        <v>39</v>
      </c>
      <c r="C10" s="4" t="s">
        <v>42</v>
      </c>
      <c r="D10" s="4" t="s">
        <v>41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44562</v>
      </c>
      <c r="J10" s="6">
        <v>469</v>
      </c>
      <c r="K10" s="6">
        <v>469</v>
      </c>
      <c r="L10" s="6">
        <v>150.32599999999999</v>
      </c>
      <c r="M10" s="6">
        <v>150.32599999999999</v>
      </c>
      <c r="N10" s="6">
        <v>150.32599999999999</v>
      </c>
      <c r="O10" s="6">
        <v>150.32599999999999</v>
      </c>
      <c r="P10" s="6">
        <v>0</v>
      </c>
      <c r="Q10" s="4" t="s">
        <v>26</v>
      </c>
      <c r="R10" s="4">
        <v>0</v>
      </c>
      <c r="S10" s="4" t="s">
        <v>102</v>
      </c>
      <c r="T10" s="4" t="s">
        <v>403</v>
      </c>
      <c r="U10" s="4">
        <v>2</v>
      </c>
      <c r="V10" s="4">
        <v>3</v>
      </c>
      <c r="W10" s="4">
        <v>49</v>
      </c>
    </row>
    <row r="11" spans="1:23" ht="11.25" customHeight="1" x14ac:dyDescent="0.25">
      <c r="A11" s="4" t="s">
        <v>28</v>
      </c>
      <c r="B11" s="4" t="s">
        <v>39</v>
      </c>
      <c r="C11" s="4" t="s">
        <v>42</v>
      </c>
      <c r="D11" s="4" t="s">
        <v>41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44562</v>
      </c>
      <c r="J11" s="6">
        <v>38</v>
      </c>
      <c r="K11" s="6">
        <v>38</v>
      </c>
      <c r="L11" s="6">
        <v>6.16</v>
      </c>
      <c r="M11" s="6">
        <v>6.16</v>
      </c>
      <c r="N11" s="6">
        <v>6.16</v>
      </c>
      <c r="O11" s="6">
        <v>6.16</v>
      </c>
      <c r="P11" s="6">
        <v>0</v>
      </c>
      <c r="Q11" s="4" t="s">
        <v>26</v>
      </c>
      <c r="R11" s="4">
        <v>0</v>
      </c>
      <c r="S11" s="4" t="s">
        <v>102</v>
      </c>
      <c r="T11" s="4" t="s">
        <v>403</v>
      </c>
      <c r="U11" s="4">
        <v>2</v>
      </c>
      <c r="V11" s="4">
        <v>3</v>
      </c>
      <c r="W11" s="4">
        <v>49</v>
      </c>
    </row>
    <row r="12" spans="1:23" ht="11.25" customHeight="1" x14ac:dyDescent="0.25">
      <c r="A12" s="4" t="s">
        <v>21</v>
      </c>
      <c r="B12" s="4" t="s">
        <v>39</v>
      </c>
      <c r="C12" s="4" t="s">
        <v>42</v>
      </c>
      <c r="D12" s="4" t="s">
        <v>41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44593</v>
      </c>
      <c r="J12" s="6">
        <v>497</v>
      </c>
      <c r="K12" s="6">
        <v>497</v>
      </c>
      <c r="L12" s="6">
        <v>141.53299999999999</v>
      </c>
      <c r="M12" s="6">
        <v>141.53299999999999</v>
      </c>
      <c r="N12" s="6">
        <v>141.53299999999999</v>
      </c>
      <c r="O12" s="6">
        <v>141.53299999999999</v>
      </c>
      <c r="P12" s="6">
        <v>0</v>
      </c>
      <c r="Q12" s="4" t="s">
        <v>26</v>
      </c>
      <c r="R12" s="4">
        <v>0</v>
      </c>
      <c r="S12" s="4" t="s">
        <v>103</v>
      </c>
      <c r="T12" s="4" t="s">
        <v>404</v>
      </c>
      <c r="U12" s="4">
        <v>2</v>
      </c>
      <c r="V12" s="4">
        <v>3</v>
      </c>
      <c r="W12" s="4">
        <v>49</v>
      </c>
    </row>
    <row r="13" spans="1:23" ht="11.25" customHeight="1" x14ac:dyDescent="0.25">
      <c r="A13" s="4" t="s">
        <v>28</v>
      </c>
      <c r="B13" s="4" t="s">
        <v>39</v>
      </c>
      <c r="C13" s="4" t="s">
        <v>42</v>
      </c>
      <c r="D13" s="4" t="s">
        <v>41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44593</v>
      </c>
      <c r="J13" s="6">
        <v>38</v>
      </c>
      <c r="K13" s="6">
        <v>38</v>
      </c>
      <c r="L13" s="6">
        <v>6.1369999999999996</v>
      </c>
      <c r="M13" s="6">
        <v>6.1369999999999996</v>
      </c>
      <c r="N13" s="6">
        <v>6.1369999999999996</v>
      </c>
      <c r="O13" s="6">
        <v>6.1369999999999996</v>
      </c>
      <c r="P13" s="6">
        <v>0</v>
      </c>
      <c r="Q13" s="4" t="s">
        <v>26</v>
      </c>
      <c r="R13" s="4">
        <v>0</v>
      </c>
      <c r="S13" s="4" t="s">
        <v>103</v>
      </c>
      <c r="T13" s="4" t="s">
        <v>404</v>
      </c>
      <c r="U13" s="4">
        <v>2</v>
      </c>
      <c r="V13" s="4">
        <v>3</v>
      </c>
      <c r="W13" s="4">
        <v>49</v>
      </c>
    </row>
    <row r="14" spans="1:23" ht="11.25" customHeight="1" x14ac:dyDescent="0.25">
      <c r="A14" s="4" t="s">
        <v>21</v>
      </c>
      <c r="B14" s="4" t="s">
        <v>39</v>
      </c>
      <c r="C14" s="4" t="s">
        <v>42</v>
      </c>
      <c r="D14" s="4" t="s">
        <v>41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44621</v>
      </c>
      <c r="J14" s="6">
        <v>420</v>
      </c>
      <c r="K14" s="6">
        <v>420</v>
      </c>
      <c r="L14" s="6">
        <v>134.22800000000001</v>
      </c>
      <c r="M14" s="6">
        <v>134.22800000000001</v>
      </c>
      <c r="N14" s="6">
        <v>134.22800000000001</v>
      </c>
      <c r="O14" s="6">
        <v>134.22800000000001</v>
      </c>
      <c r="P14" s="6">
        <v>0</v>
      </c>
      <c r="Q14" s="4" t="s">
        <v>26</v>
      </c>
      <c r="R14" s="4">
        <v>0</v>
      </c>
      <c r="S14" s="4" t="s">
        <v>104</v>
      </c>
      <c r="T14" s="4" t="s">
        <v>405</v>
      </c>
      <c r="U14" s="4">
        <v>2</v>
      </c>
      <c r="V14" s="4">
        <v>3</v>
      </c>
      <c r="W14" s="4">
        <v>49</v>
      </c>
    </row>
    <row r="15" spans="1:23" ht="11.25" customHeight="1" x14ac:dyDescent="0.25">
      <c r="A15" s="4" t="s">
        <v>28</v>
      </c>
      <c r="B15" s="4" t="s">
        <v>39</v>
      </c>
      <c r="C15" s="4" t="s">
        <v>42</v>
      </c>
      <c r="D15" s="4" t="s">
        <v>41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44621</v>
      </c>
      <c r="J15" s="6">
        <v>38</v>
      </c>
      <c r="K15" s="6">
        <v>38</v>
      </c>
      <c r="L15" s="6">
        <v>6.1369999999999996</v>
      </c>
      <c r="M15" s="6">
        <v>6.1369999999999996</v>
      </c>
      <c r="N15" s="6">
        <v>6.1369999999999996</v>
      </c>
      <c r="O15" s="6">
        <v>6.1369999999999996</v>
      </c>
      <c r="P15" s="6">
        <v>0</v>
      </c>
      <c r="Q15" s="4" t="s">
        <v>26</v>
      </c>
      <c r="R15" s="4">
        <v>0</v>
      </c>
      <c r="S15" s="4" t="s">
        <v>104</v>
      </c>
      <c r="T15" s="4" t="s">
        <v>405</v>
      </c>
      <c r="U15" s="4">
        <v>2</v>
      </c>
      <c r="V15" s="4">
        <v>3</v>
      </c>
      <c r="W15" s="4">
        <v>49</v>
      </c>
    </row>
    <row r="16" spans="1:23" ht="11.25" customHeight="1" x14ac:dyDescent="0.25">
      <c r="A16" s="4" t="s">
        <v>21</v>
      </c>
      <c r="B16" s="4" t="s">
        <v>39</v>
      </c>
      <c r="C16" s="4" t="s">
        <v>42</v>
      </c>
      <c r="D16" s="4" t="s">
        <v>41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44652</v>
      </c>
      <c r="J16" s="6">
        <v>406</v>
      </c>
      <c r="K16" s="6">
        <v>406</v>
      </c>
      <c r="L16" s="6">
        <v>122.193</v>
      </c>
      <c r="M16" s="6">
        <v>122.193</v>
      </c>
      <c r="N16" s="6">
        <v>122.193</v>
      </c>
      <c r="O16" s="6">
        <v>122.193</v>
      </c>
      <c r="P16" s="6">
        <v>0</v>
      </c>
      <c r="Q16" s="4" t="s">
        <v>26</v>
      </c>
      <c r="R16" s="4">
        <v>0</v>
      </c>
      <c r="S16" s="4" t="s">
        <v>105</v>
      </c>
      <c r="T16" s="4" t="s">
        <v>406</v>
      </c>
      <c r="U16" s="4">
        <v>2</v>
      </c>
      <c r="V16" s="4">
        <v>3</v>
      </c>
      <c r="W16" s="4">
        <v>49</v>
      </c>
    </row>
    <row r="17" spans="1:23" ht="11.25" customHeight="1" x14ac:dyDescent="0.25">
      <c r="A17" s="4" t="s">
        <v>28</v>
      </c>
      <c r="B17" s="4" t="s">
        <v>39</v>
      </c>
      <c r="C17" s="4" t="s">
        <v>42</v>
      </c>
      <c r="D17" s="4" t="s">
        <v>41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44652</v>
      </c>
      <c r="J17" s="6">
        <v>38</v>
      </c>
      <c r="K17" s="6">
        <v>38</v>
      </c>
      <c r="L17" s="6">
        <v>5.8639999999999999</v>
      </c>
      <c r="M17" s="6">
        <v>5.8639999999999999</v>
      </c>
      <c r="N17" s="6">
        <v>5.8639999999999999</v>
      </c>
      <c r="O17" s="6">
        <v>5.8639999999999999</v>
      </c>
      <c r="P17" s="6">
        <v>0</v>
      </c>
      <c r="Q17" s="4" t="s">
        <v>26</v>
      </c>
      <c r="R17" s="4">
        <v>0</v>
      </c>
      <c r="S17" s="4" t="s">
        <v>105</v>
      </c>
      <c r="T17" s="4" t="s">
        <v>406</v>
      </c>
      <c r="U17" s="4">
        <v>2</v>
      </c>
      <c r="V17" s="4">
        <v>3</v>
      </c>
      <c r="W17" s="4">
        <v>49</v>
      </c>
    </row>
    <row r="18" spans="1:23" ht="11.25" customHeight="1" x14ac:dyDescent="0.25">
      <c r="A18" s="4" t="s">
        <v>21</v>
      </c>
      <c r="B18" s="4" t="s">
        <v>39</v>
      </c>
      <c r="C18" s="4" t="s">
        <v>42</v>
      </c>
      <c r="D18" s="4" t="s">
        <v>41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44682</v>
      </c>
      <c r="J18" s="6">
        <v>432</v>
      </c>
      <c r="K18" s="6">
        <v>432</v>
      </c>
      <c r="L18" s="6">
        <v>107.605</v>
      </c>
      <c r="M18" s="6">
        <v>107.605</v>
      </c>
      <c r="N18" s="6">
        <v>107.605</v>
      </c>
      <c r="O18" s="6">
        <v>107.605</v>
      </c>
      <c r="P18" s="6">
        <v>0</v>
      </c>
      <c r="Q18" s="4" t="s">
        <v>26</v>
      </c>
      <c r="R18" s="4">
        <v>0</v>
      </c>
      <c r="S18" s="4" t="s">
        <v>106</v>
      </c>
      <c r="T18" s="4" t="s">
        <v>407</v>
      </c>
      <c r="U18" s="4">
        <v>2</v>
      </c>
      <c r="V18" s="4">
        <v>3</v>
      </c>
      <c r="W18" s="4">
        <v>49</v>
      </c>
    </row>
    <row r="19" spans="1:23" ht="11.25" customHeight="1" x14ac:dyDescent="0.25">
      <c r="A19" s="4" t="s">
        <v>28</v>
      </c>
      <c r="B19" s="4" t="s">
        <v>39</v>
      </c>
      <c r="C19" s="4" t="s">
        <v>42</v>
      </c>
      <c r="D19" s="4" t="s">
        <v>41</v>
      </c>
      <c r="E19" s="4" t="s">
        <v>25</v>
      </c>
      <c r="F19" s="4" t="s">
        <v>25</v>
      </c>
      <c r="G19" s="4" t="s">
        <v>25</v>
      </c>
      <c r="H19" s="4" t="s">
        <v>35</v>
      </c>
      <c r="I19" s="5">
        <v>44682</v>
      </c>
      <c r="J19" s="6">
        <v>38</v>
      </c>
      <c r="K19" s="6">
        <v>38</v>
      </c>
      <c r="L19" s="6">
        <v>5.6070000000000002</v>
      </c>
      <c r="M19" s="6">
        <v>5.6070000000000002</v>
      </c>
      <c r="N19" s="6">
        <v>5.6070000000000002</v>
      </c>
      <c r="O19" s="6">
        <v>5.6070000000000002</v>
      </c>
      <c r="P19" s="6">
        <v>0</v>
      </c>
      <c r="Q19" s="4" t="s">
        <v>26</v>
      </c>
      <c r="R19" s="4">
        <v>0</v>
      </c>
      <c r="S19" s="4" t="s">
        <v>106</v>
      </c>
      <c r="T19" s="4" t="s">
        <v>407</v>
      </c>
      <c r="U19" s="4">
        <v>2</v>
      </c>
      <c r="V19" s="4">
        <v>3</v>
      </c>
      <c r="W19" s="4">
        <v>49</v>
      </c>
    </row>
    <row r="20" spans="1:23" ht="11.25" customHeight="1" x14ac:dyDescent="0.25">
      <c r="A20" s="4" t="s">
        <v>21</v>
      </c>
      <c r="B20" s="4" t="s">
        <v>39</v>
      </c>
      <c r="C20" s="4" t="s">
        <v>42</v>
      </c>
      <c r="D20" s="4" t="s">
        <v>41</v>
      </c>
      <c r="E20" s="4" t="s">
        <v>25</v>
      </c>
      <c r="F20" s="4" t="s">
        <v>25</v>
      </c>
      <c r="G20" s="4" t="s">
        <v>25</v>
      </c>
      <c r="H20" s="4" t="s">
        <v>35</v>
      </c>
      <c r="I20" s="5">
        <v>44713</v>
      </c>
      <c r="J20" s="6">
        <v>400</v>
      </c>
      <c r="K20" s="6">
        <v>400</v>
      </c>
      <c r="L20" s="6">
        <v>104.86</v>
      </c>
      <c r="M20" s="6">
        <v>104.86</v>
      </c>
      <c r="N20" s="6">
        <v>104.86</v>
      </c>
      <c r="O20" s="6">
        <v>104.86</v>
      </c>
      <c r="P20" s="6">
        <v>0</v>
      </c>
      <c r="Q20" s="4" t="s">
        <v>26</v>
      </c>
      <c r="R20" s="4">
        <v>0</v>
      </c>
      <c r="S20" s="4" t="s">
        <v>107</v>
      </c>
      <c r="T20" s="4" t="s">
        <v>408</v>
      </c>
      <c r="U20" s="4">
        <v>2</v>
      </c>
      <c r="V20" s="4">
        <v>3</v>
      </c>
      <c r="W20" s="4">
        <v>49</v>
      </c>
    </row>
    <row r="21" spans="1:23" ht="11.25" customHeight="1" x14ac:dyDescent="0.25">
      <c r="A21" s="4" t="s">
        <v>28</v>
      </c>
      <c r="B21" s="4" t="s">
        <v>39</v>
      </c>
      <c r="C21" s="4" t="s">
        <v>42</v>
      </c>
      <c r="D21" s="4" t="s">
        <v>41</v>
      </c>
      <c r="E21" s="4" t="s">
        <v>25</v>
      </c>
      <c r="F21" s="4" t="s">
        <v>25</v>
      </c>
      <c r="G21" s="4" t="s">
        <v>25</v>
      </c>
      <c r="H21" s="4" t="s">
        <v>35</v>
      </c>
      <c r="I21" s="5">
        <v>44713</v>
      </c>
      <c r="J21" s="6">
        <v>38</v>
      </c>
      <c r="K21" s="6">
        <v>38</v>
      </c>
      <c r="L21" s="6">
        <v>5.0999999999999996</v>
      </c>
      <c r="M21" s="6">
        <v>5.0999999999999996</v>
      </c>
      <c r="N21" s="6">
        <v>5.0999999999999996</v>
      </c>
      <c r="O21" s="6">
        <v>5.0999999999999996</v>
      </c>
      <c r="P21" s="6">
        <v>0</v>
      </c>
      <c r="Q21" s="4" t="s">
        <v>26</v>
      </c>
      <c r="R21" s="4">
        <v>0</v>
      </c>
      <c r="S21" s="4" t="s">
        <v>107</v>
      </c>
      <c r="T21" s="4" t="s">
        <v>408</v>
      </c>
      <c r="U21" s="4">
        <v>2</v>
      </c>
      <c r="V21" s="4">
        <v>3</v>
      </c>
      <c r="W21" s="4">
        <v>49</v>
      </c>
    </row>
    <row r="22" spans="1:23" ht="11.25" customHeight="1" x14ac:dyDescent="0.25">
      <c r="A22" s="4" t="s">
        <v>21</v>
      </c>
      <c r="B22" s="4" t="s">
        <v>39</v>
      </c>
      <c r="C22" s="4" t="s">
        <v>42</v>
      </c>
      <c r="D22" s="4" t="s">
        <v>41</v>
      </c>
      <c r="E22" s="4" t="s">
        <v>25</v>
      </c>
      <c r="F22" s="4" t="s">
        <v>25</v>
      </c>
      <c r="G22" s="4" t="s">
        <v>25</v>
      </c>
      <c r="H22" s="4" t="s">
        <v>35</v>
      </c>
      <c r="I22" s="5">
        <v>44743</v>
      </c>
      <c r="J22" s="6">
        <v>406</v>
      </c>
      <c r="K22" s="6">
        <v>406</v>
      </c>
      <c r="L22" s="6">
        <v>105.598</v>
      </c>
      <c r="M22" s="6">
        <v>105.598</v>
      </c>
      <c r="N22" s="6">
        <v>105.598</v>
      </c>
      <c r="O22" s="6">
        <v>105.598</v>
      </c>
      <c r="P22" s="6">
        <v>0</v>
      </c>
      <c r="Q22" s="4" t="s">
        <v>26</v>
      </c>
      <c r="R22" s="4">
        <v>0</v>
      </c>
      <c r="S22" s="4" t="s">
        <v>108</v>
      </c>
      <c r="T22" s="4" t="s">
        <v>409</v>
      </c>
      <c r="U22" s="4">
        <v>2</v>
      </c>
      <c r="V22" s="4">
        <v>3</v>
      </c>
      <c r="W22" s="4">
        <v>49</v>
      </c>
    </row>
    <row r="23" spans="1:23" ht="11.25" customHeight="1" x14ac:dyDescent="0.25">
      <c r="A23" s="4" t="s">
        <v>28</v>
      </c>
      <c r="B23" s="4" t="s">
        <v>39</v>
      </c>
      <c r="C23" s="4" t="s">
        <v>42</v>
      </c>
      <c r="D23" s="4" t="s">
        <v>41</v>
      </c>
      <c r="E23" s="4" t="s">
        <v>25</v>
      </c>
      <c r="F23" s="4" t="s">
        <v>25</v>
      </c>
      <c r="G23" s="4" t="s">
        <v>25</v>
      </c>
      <c r="H23" s="4" t="s">
        <v>35</v>
      </c>
      <c r="I23" s="5">
        <v>44743</v>
      </c>
      <c r="J23" s="6">
        <v>38</v>
      </c>
      <c r="K23" s="6">
        <v>38</v>
      </c>
      <c r="L23" s="6">
        <v>5.359</v>
      </c>
      <c r="M23" s="6">
        <v>5.359</v>
      </c>
      <c r="N23" s="6">
        <v>5.359</v>
      </c>
      <c r="O23" s="6">
        <v>5.359</v>
      </c>
      <c r="P23" s="6">
        <v>0</v>
      </c>
      <c r="Q23" s="4" t="s">
        <v>26</v>
      </c>
      <c r="R23" s="4">
        <v>0</v>
      </c>
      <c r="S23" s="4" t="s">
        <v>108</v>
      </c>
      <c r="T23" s="4" t="s">
        <v>409</v>
      </c>
      <c r="U23" s="4">
        <v>2</v>
      </c>
      <c r="V23" s="4">
        <v>3</v>
      </c>
      <c r="W23" s="4">
        <v>49</v>
      </c>
    </row>
    <row r="24" spans="1:23" ht="11.25" customHeight="1" x14ac:dyDescent="0.25">
      <c r="A24" s="4" t="s">
        <v>56</v>
      </c>
      <c r="B24" s="4" t="s">
        <v>39</v>
      </c>
      <c r="C24" s="4" t="s">
        <v>42</v>
      </c>
      <c r="D24" s="4" t="s">
        <v>41</v>
      </c>
      <c r="E24" s="4" t="s">
        <v>25</v>
      </c>
      <c r="F24" s="4" t="s">
        <v>25</v>
      </c>
      <c r="G24" s="4" t="s">
        <v>25</v>
      </c>
      <c r="H24" s="4" t="s">
        <v>35</v>
      </c>
      <c r="I24" s="5">
        <v>44774</v>
      </c>
      <c r="J24" s="6">
        <v>406</v>
      </c>
      <c r="K24" s="6">
        <v>406</v>
      </c>
      <c r="L24" s="6">
        <v>105.598</v>
      </c>
      <c r="M24" s="6">
        <v>105.598</v>
      </c>
      <c r="N24" s="6">
        <v>105.598</v>
      </c>
      <c r="O24" s="6">
        <v>105.598</v>
      </c>
      <c r="P24" s="6">
        <v>0</v>
      </c>
      <c r="Q24" s="4" t="s">
        <v>26</v>
      </c>
      <c r="R24" s="4">
        <v>0</v>
      </c>
      <c r="S24" s="4" t="s">
        <v>109</v>
      </c>
      <c r="T24" s="4" t="s">
        <v>410</v>
      </c>
      <c r="U24" s="4">
        <v>2</v>
      </c>
      <c r="V24" s="4">
        <v>3</v>
      </c>
      <c r="W24" s="4">
        <v>49</v>
      </c>
    </row>
    <row r="25" spans="1:23" ht="11.25" customHeight="1" x14ac:dyDescent="0.25">
      <c r="A25" s="4" t="s">
        <v>56</v>
      </c>
      <c r="B25" s="4" t="s">
        <v>39</v>
      </c>
      <c r="C25" s="4" t="s">
        <v>42</v>
      </c>
      <c r="D25" s="4" t="s">
        <v>41</v>
      </c>
      <c r="E25" s="4" t="s">
        <v>25</v>
      </c>
      <c r="F25" s="4" t="s">
        <v>25</v>
      </c>
      <c r="G25" s="4" t="s">
        <v>25</v>
      </c>
      <c r="H25" s="4" t="s">
        <v>35</v>
      </c>
      <c r="I25" s="5">
        <v>44774</v>
      </c>
      <c r="J25" s="6">
        <v>38</v>
      </c>
      <c r="K25" s="6">
        <v>38</v>
      </c>
      <c r="L25" s="6">
        <v>5.359</v>
      </c>
      <c r="M25" s="6">
        <v>5.359</v>
      </c>
      <c r="N25" s="6">
        <v>5.359</v>
      </c>
      <c r="O25" s="6">
        <v>5.359</v>
      </c>
      <c r="P25" s="6">
        <v>0</v>
      </c>
      <c r="Q25" s="4" t="s">
        <v>26</v>
      </c>
      <c r="R25" s="4">
        <v>0</v>
      </c>
      <c r="S25" s="4" t="s">
        <v>109</v>
      </c>
      <c r="T25" s="4" t="s">
        <v>410</v>
      </c>
      <c r="U25" s="4">
        <v>2</v>
      </c>
      <c r="V25" s="4">
        <v>3</v>
      </c>
      <c r="W25" s="4">
        <v>49</v>
      </c>
    </row>
    <row r="26" spans="1:23" ht="11.25" customHeight="1" x14ac:dyDescent="0.25">
      <c r="A26" s="4" t="s">
        <v>21</v>
      </c>
      <c r="B26" s="4" t="s">
        <v>39</v>
      </c>
      <c r="C26" s="4" t="s">
        <v>42</v>
      </c>
      <c r="D26" s="4" t="s">
        <v>41</v>
      </c>
      <c r="E26" s="4" t="s">
        <v>25</v>
      </c>
      <c r="F26" s="4" t="s">
        <v>25</v>
      </c>
      <c r="G26" s="4" t="s">
        <v>25</v>
      </c>
      <c r="H26" s="4" t="s">
        <v>34</v>
      </c>
      <c r="I26" s="5">
        <v>44440</v>
      </c>
      <c r="J26" s="6">
        <v>322</v>
      </c>
      <c r="K26" s="6">
        <v>322</v>
      </c>
      <c r="L26" s="6">
        <v>10.805</v>
      </c>
      <c r="M26" s="6">
        <v>10.805</v>
      </c>
      <c r="N26" s="6">
        <v>10.805</v>
      </c>
      <c r="O26" s="6">
        <v>10.805</v>
      </c>
      <c r="P26" s="6">
        <v>0</v>
      </c>
      <c r="Q26" s="4" t="s">
        <v>26</v>
      </c>
      <c r="R26" s="4">
        <v>0</v>
      </c>
      <c r="S26" s="4" t="s">
        <v>110</v>
      </c>
      <c r="T26" s="4" t="s">
        <v>411</v>
      </c>
      <c r="U26" s="4">
        <v>1</v>
      </c>
      <c r="V26" s="4">
        <v>3</v>
      </c>
      <c r="W26" s="4">
        <v>48</v>
      </c>
    </row>
    <row r="27" spans="1:23" ht="11.25" customHeight="1" x14ac:dyDescent="0.25">
      <c r="A27" s="4" t="s">
        <v>28</v>
      </c>
      <c r="B27" s="4" t="s">
        <v>39</v>
      </c>
      <c r="C27" s="4" t="s">
        <v>42</v>
      </c>
      <c r="D27" s="4" t="s">
        <v>41</v>
      </c>
      <c r="E27" s="4" t="s">
        <v>25</v>
      </c>
      <c r="F27" s="4" t="s">
        <v>25</v>
      </c>
      <c r="G27" s="4" t="s">
        <v>25</v>
      </c>
      <c r="H27" s="4" t="s">
        <v>34</v>
      </c>
      <c r="I27" s="5">
        <v>44440</v>
      </c>
      <c r="J27" s="6">
        <v>38</v>
      </c>
      <c r="K27" s="6">
        <v>38</v>
      </c>
      <c r="L27" s="6">
        <v>0.81599999999999995</v>
      </c>
      <c r="M27" s="6">
        <v>0.81599999999999995</v>
      </c>
      <c r="N27" s="6">
        <v>0.81599999999999995</v>
      </c>
      <c r="O27" s="6">
        <v>0.81599999999999995</v>
      </c>
      <c r="P27" s="6">
        <v>0</v>
      </c>
      <c r="Q27" s="4" t="s">
        <v>26</v>
      </c>
      <c r="R27" s="4">
        <v>0</v>
      </c>
      <c r="S27" s="4" t="s">
        <v>110</v>
      </c>
      <c r="T27" s="4" t="s">
        <v>411</v>
      </c>
      <c r="U27" s="4">
        <v>1</v>
      </c>
      <c r="V27" s="4">
        <v>3</v>
      </c>
      <c r="W27" s="4">
        <v>48</v>
      </c>
    </row>
    <row r="28" spans="1:23" ht="11.25" customHeight="1" x14ac:dyDescent="0.25">
      <c r="A28" s="4" t="s">
        <v>21</v>
      </c>
      <c r="B28" s="4" t="s">
        <v>39</v>
      </c>
      <c r="C28" s="4" t="s">
        <v>42</v>
      </c>
      <c r="D28" s="4" t="s">
        <v>41</v>
      </c>
      <c r="E28" s="4" t="s">
        <v>25</v>
      </c>
      <c r="F28" s="4" t="s">
        <v>25</v>
      </c>
      <c r="G28" s="4" t="s">
        <v>25</v>
      </c>
      <c r="H28" s="4" t="s">
        <v>34</v>
      </c>
      <c r="I28" s="5">
        <v>44470</v>
      </c>
      <c r="J28" s="6">
        <v>339</v>
      </c>
      <c r="K28" s="6">
        <v>339</v>
      </c>
      <c r="L28" s="6">
        <v>12.157999999999999</v>
      </c>
      <c r="M28" s="6">
        <v>12.157999999999999</v>
      </c>
      <c r="N28" s="6">
        <v>12.157999999999999</v>
      </c>
      <c r="O28" s="6">
        <v>12.157999999999999</v>
      </c>
      <c r="P28" s="6">
        <v>0</v>
      </c>
      <c r="Q28" s="4" t="s">
        <v>26</v>
      </c>
      <c r="R28" s="4">
        <v>0</v>
      </c>
      <c r="S28" s="4" t="s">
        <v>111</v>
      </c>
      <c r="T28" s="4" t="s">
        <v>412</v>
      </c>
      <c r="U28" s="4">
        <v>1</v>
      </c>
      <c r="V28" s="4">
        <v>3</v>
      </c>
      <c r="W28" s="4">
        <v>48</v>
      </c>
    </row>
    <row r="29" spans="1:23" ht="11.25" customHeight="1" x14ac:dyDescent="0.25">
      <c r="A29" s="4" t="s">
        <v>28</v>
      </c>
      <c r="B29" s="4" t="s">
        <v>39</v>
      </c>
      <c r="C29" s="4" t="s">
        <v>42</v>
      </c>
      <c r="D29" s="4" t="s">
        <v>41</v>
      </c>
      <c r="E29" s="4" t="s">
        <v>25</v>
      </c>
      <c r="F29" s="4" t="s">
        <v>25</v>
      </c>
      <c r="G29" s="4" t="s">
        <v>25</v>
      </c>
      <c r="H29" s="4" t="s">
        <v>34</v>
      </c>
      <c r="I29" s="5">
        <v>44470</v>
      </c>
      <c r="J29" s="6">
        <v>38</v>
      </c>
      <c r="K29" s="6">
        <v>38</v>
      </c>
      <c r="L29" s="6">
        <v>0.80400000000000005</v>
      </c>
      <c r="M29" s="6">
        <v>0.80400000000000005</v>
      </c>
      <c r="N29" s="6">
        <v>0.80400000000000005</v>
      </c>
      <c r="O29" s="6">
        <v>0.80400000000000005</v>
      </c>
      <c r="P29" s="6">
        <v>0</v>
      </c>
      <c r="Q29" s="4" t="s">
        <v>26</v>
      </c>
      <c r="R29" s="4">
        <v>0</v>
      </c>
      <c r="S29" s="4" t="s">
        <v>111</v>
      </c>
      <c r="T29" s="4" t="s">
        <v>412</v>
      </c>
      <c r="U29" s="4">
        <v>1</v>
      </c>
      <c r="V29" s="4">
        <v>3</v>
      </c>
      <c r="W29" s="4">
        <v>48</v>
      </c>
    </row>
    <row r="30" spans="1:23" ht="11.25" customHeight="1" x14ac:dyDescent="0.25">
      <c r="A30" s="4" t="s">
        <v>21</v>
      </c>
      <c r="B30" s="4" t="s">
        <v>39</v>
      </c>
      <c r="C30" s="4" t="s">
        <v>42</v>
      </c>
      <c r="D30" s="4" t="s">
        <v>41</v>
      </c>
      <c r="E30" s="4" t="s">
        <v>25</v>
      </c>
      <c r="F30" s="4" t="s">
        <v>25</v>
      </c>
      <c r="G30" s="4" t="s">
        <v>25</v>
      </c>
      <c r="H30" s="4" t="s">
        <v>34</v>
      </c>
      <c r="I30" s="5">
        <v>44501</v>
      </c>
      <c r="J30" s="6">
        <v>378</v>
      </c>
      <c r="K30" s="6">
        <v>378</v>
      </c>
      <c r="L30" s="6">
        <v>12.619</v>
      </c>
      <c r="M30" s="6">
        <v>12.619</v>
      </c>
      <c r="N30" s="6">
        <v>12.619</v>
      </c>
      <c r="O30" s="6">
        <v>12.619</v>
      </c>
      <c r="P30" s="6">
        <v>0</v>
      </c>
      <c r="Q30" s="4" t="s">
        <v>26</v>
      </c>
      <c r="R30" s="4">
        <v>0</v>
      </c>
      <c r="S30" s="4" t="s">
        <v>112</v>
      </c>
      <c r="T30" s="4" t="s">
        <v>413</v>
      </c>
      <c r="U30" s="4">
        <v>1</v>
      </c>
      <c r="V30" s="4">
        <v>3</v>
      </c>
      <c r="W30" s="4">
        <v>48</v>
      </c>
    </row>
    <row r="31" spans="1:23" ht="11.25" customHeight="1" x14ac:dyDescent="0.25">
      <c r="A31" s="4" t="s">
        <v>28</v>
      </c>
      <c r="B31" s="4" t="s">
        <v>39</v>
      </c>
      <c r="C31" s="4" t="s">
        <v>42</v>
      </c>
      <c r="D31" s="4" t="s">
        <v>41</v>
      </c>
      <c r="E31" s="4" t="s">
        <v>25</v>
      </c>
      <c r="F31" s="4" t="s">
        <v>25</v>
      </c>
      <c r="G31" s="4" t="s">
        <v>25</v>
      </c>
      <c r="H31" s="4" t="s">
        <v>34</v>
      </c>
      <c r="I31" s="5">
        <v>44501</v>
      </c>
      <c r="J31" s="6">
        <v>38</v>
      </c>
      <c r="K31" s="6">
        <v>38</v>
      </c>
      <c r="L31" s="6">
        <v>0.71499999999999997</v>
      </c>
      <c r="M31" s="6">
        <v>0.71499999999999997</v>
      </c>
      <c r="N31" s="6">
        <v>0.71499999999999997</v>
      </c>
      <c r="O31" s="6">
        <v>0.71499999999999997</v>
      </c>
      <c r="P31" s="6">
        <v>0</v>
      </c>
      <c r="Q31" s="4" t="s">
        <v>26</v>
      </c>
      <c r="R31" s="4">
        <v>0</v>
      </c>
      <c r="S31" s="4" t="s">
        <v>112</v>
      </c>
      <c r="T31" s="4" t="s">
        <v>413</v>
      </c>
      <c r="U31" s="4">
        <v>1</v>
      </c>
      <c r="V31" s="4">
        <v>3</v>
      </c>
      <c r="W31" s="4">
        <v>48</v>
      </c>
    </row>
    <row r="32" spans="1:23" ht="11.25" customHeight="1" x14ac:dyDescent="0.25">
      <c r="A32" s="4" t="s">
        <v>21</v>
      </c>
      <c r="B32" s="4" t="s">
        <v>39</v>
      </c>
      <c r="C32" s="4" t="s">
        <v>42</v>
      </c>
      <c r="D32" s="4" t="s">
        <v>41</v>
      </c>
      <c r="E32" s="4" t="s">
        <v>25</v>
      </c>
      <c r="F32" s="4" t="s">
        <v>25</v>
      </c>
      <c r="G32" s="4" t="s">
        <v>25</v>
      </c>
      <c r="H32" s="4" t="s">
        <v>34</v>
      </c>
      <c r="I32" s="5">
        <v>44531</v>
      </c>
      <c r="J32" s="6">
        <v>379</v>
      </c>
      <c r="K32" s="6">
        <v>379</v>
      </c>
      <c r="L32" s="6">
        <v>12.819000000000001</v>
      </c>
      <c r="M32" s="6">
        <v>12.819000000000001</v>
      </c>
      <c r="N32" s="6">
        <v>12.819000000000001</v>
      </c>
      <c r="O32" s="6">
        <v>12.819000000000001</v>
      </c>
      <c r="P32" s="6">
        <v>0</v>
      </c>
      <c r="Q32" s="4" t="s">
        <v>26</v>
      </c>
      <c r="R32" s="4">
        <v>0</v>
      </c>
      <c r="S32" s="4" t="s">
        <v>113</v>
      </c>
      <c r="T32" s="4" t="s">
        <v>414</v>
      </c>
      <c r="U32" s="4">
        <v>1</v>
      </c>
      <c r="V32" s="4">
        <v>3</v>
      </c>
      <c r="W32" s="4">
        <v>48</v>
      </c>
    </row>
    <row r="33" spans="1:23" ht="11.25" customHeight="1" x14ac:dyDescent="0.25">
      <c r="A33" s="4" t="s">
        <v>28</v>
      </c>
      <c r="B33" s="4" t="s">
        <v>39</v>
      </c>
      <c r="C33" s="4" t="s">
        <v>42</v>
      </c>
      <c r="D33" s="4" t="s">
        <v>41</v>
      </c>
      <c r="E33" s="4" t="s">
        <v>25</v>
      </c>
      <c r="F33" s="4" t="s">
        <v>25</v>
      </c>
      <c r="G33" s="4" t="s">
        <v>25</v>
      </c>
      <c r="H33" s="4" t="s">
        <v>34</v>
      </c>
      <c r="I33" s="5">
        <v>44531</v>
      </c>
      <c r="J33" s="6">
        <v>38</v>
      </c>
      <c r="K33" s="6">
        <v>38</v>
      </c>
      <c r="L33" s="6">
        <v>0.96399999999999997</v>
      </c>
      <c r="M33" s="6">
        <v>0.96399999999999997</v>
      </c>
      <c r="N33" s="6">
        <v>0.96399999999999997</v>
      </c>
      <c r="O33" s="6">
        <v>0.96399999999999997</v>
      </c>
      <c r="P33" s="6">
        <v>0</v>
      </c>
      <c r="Q33" s="4" t="s">
        <v>26</v>
      </c>
      <c r="R33" s="4">
        <v>0</v>
      </c>
      <c r="S33" s="4" t="s">
        <v>113</v>
      </c>
      <c r="T33" s="4" t="s">
        <v>414</v>
      </c>
      <c r="U33" s="4">
        <v>1</v>
      </c>
      <c r="V33" s="4">
        <v>3</v>
      </c>
      <c r="W33" s="4">
        <v>48</v>
      </c>
    </row>
    <row r="34" spans="1:23" ht="11.25" customHeight="1" x14ac:dyDescent="0.25">
      <c r="A34" s="4" t="s">
        <v>21</v>
      </c>
      <c r="B34" s="4" t="s">
        <v>39</v>
      </c>
      <c r="C34" s="4" t="s">
        <v>42</v>
      </c>
      <c r="D34" s="4" t="s">
        <v>41</v>
      </c>
      <c r="E34" s="4" t="s">
        <v>25</v>
      </c>
      <c r="F34" s="4" t="s">
        <v>25</v>
      </c>
      <c r="G34" s="4" t="s">
        <v>25</v>
      </c>
      <c r="H34" s="4" t="s">
        <v>34</v>
      </c>
      <c r="I34" s="5">
        <v>44562</v>
      </c>
      <c r="J34" s="6">
        <v>386</v>
      </c>
      <c r="K34" s="6">
        <v>386</v>
      </c>
      <c r="L34" s="6">
        <v>12.451000000000001</v>
      </c>
      <c r="M34" s="6">
        <v>12.451000000000001</v>
      </c>
      <c r="N34" s="6">
        <v>12.451000000000001</v>
      </c>
      <c r="O34" s="6">
        <v>12.451000000000001</v>
      </c>
      <c r="P34" s="6">
        <v>0</v>
      </c>
      <c r="Q34" s="4" t="s">
        <v>26</v>
      </c>
      <c r="R34" s="4">
        <v>0</v>
      </c>
      <c r="S34" s="4" t="s">
        <v>114</v>
      </c>
      <c r="T34" s="4" t="s">
        <v>415</v>
      </c>
      <c r="U34" s="4">
        <v>1</v>
      </c>
      <c r="V34" s="4">
        <v>3</v>
      </c>
      <c r="W34" s="4">
        <v>48</v>
      </c>
    </row>
    <row r="35" spans="1:23" ht="11.25" customHeight="1" x14ac:dyDescent="0.25">
      <c r="A35" s="4" t="s">
        <v>28</v>
      </c>
      <c r="B35" s="4" t="s">
        <v>39</v>
      </c>
      <c r="C35" s="4" t="s">
        <v>42</v>
      </c>
      <c r="D35" s="4" t="s">
        <v>41</v>
      </c>
      <c r="E35" s="4" t="s">
        <v>25</v>
      </c>
      <c r="F35" s="4" t="s">
        <v>25</v>
      </c>
      <c r="G35" s="4" t="s">
        <v>25</v>
      </c>
      <c r="H35" s="4" t="s">
        <v>34</v>
      </c>
      <c r="I35" s="5">
        <v>44562</v>
      </c>
      <c r="J35" s="6">
        <v>38</v>
      </c>
      <c r="K35" s="6">
        <v>38</v>
      </c>
      <c r="L35" s="6">
        <v>0.88800000000000001</v>
      </c>
      <c r="M35" s="6">
        <v>0.88800000000000001</v>
      </c>
      <c r="N35" s="6">
        <v>0.88800000000000001</v>
      </c>
      <c r="O35" s="6">
        <v>0.88800000000000001</v>
      </c>
      <c r="P35" s="6">
        <v>0</v>
      </c>
      <c r="Q35" s="4" t="s">
        <v>26</v>
      </c>
      <c r="R35" s="4">
        <v>0</v>
      </c>
      <c r="S35" s="4" t="s">
        <v>114</v>
      </c>
      <c r="T35" s="4" t="s">
        <v>415</v>
      </c>
      <c r="U35" s="4">
        <v>1</v>
      </c>
      <c r="V35" s="4">
        <v>3</v>
      </c>
      <c r="W35" s="4">
        <v>48</v>
      </c>
    </row>
    <row r="36" spans="1:23" ht="11.25" customHeight="1" x14ac:dyDescent="0.25">
      <c r="A36" s="4" t="s">
        <v>21</v>
      </c>
      <c r="B36" s="4" t="s">
        <v>39</v>
      </c>
      <c r="C36" s="4" t="s">
        <v>42</v>
      </c>
      <c r="D36" s="4" t="s">
        <v>41</v>
      </c>
      <c r="E36" s="4" t="s">
        <v>25</v>
      </c>
      <c r="F36" s="4" t="s">
        <v>25</v>
      </c>
      <c r="G36" s="4" t="s">
        <v>25</v>
      </c>
      <c r="H36" s="4" t="s">
        <v>34</v>
      </c>
      <c r="I36" s="5">
        <v>44593</v>
      </c>
      <c r="J36" s="6">
        <v>364</v>
      </c>
      <c r="K36" s="6">
        <v>364</v>
      </c>
      <c r="L36" s="6">
        <v>11.98</v>
      </c>
      <c r="M36" s="6">
        <v>11.98</v>
      </c>
      <c r="N36" s="6">
        <v>11.98</v>
      </c>
      <c r="O36" s="6">
        <v>11.98</v>
      </c>
      <c r="P36" s="6">
        <v>0</v>
      </c>
      <c r="Q36" s="4" t="s">
        <v>26</v>
      </c>
      <c r="R36" s="4">
        <v>0</v>
      </c>
      <c r="S36" s="4" t="s">
        <v>115</v>
      </c>
      <c r="T36" s="4" t="s">
        <v>416</v>
      </c>
      <c r="U36" s="4">
        <v>1</v>
      </c>
      <c r="V36" s="4">
        <v>3</v>
      </c>
      <c r="W36" s="4">
        <v>48</v>
      </c>
    </row>
    <row r="37" spans="1:23" ht="11.25" customHeight="1" x14ac:dyDescent="0.25">
      <c r="A37" s="4" t="s">
        <v>28</v>
      </c>
      <c r="B37" s="4" t="s">
        <v>39</v>
      </c>
      <c r="C37" s="4" t="s">
        <v>42</v>
      </c>
      <c r="D37" s="4" t="s">
        <v>41</v>
      </c>
      <c r="E37" s="4" t="s">
        <v>25</v>
      </c>
      <c r="F37" s="4" t="s">
        <v>25</v>
      </c>
      <c r="G37" s="4" t="s">
        <v>25</v>
      </c>
      <c r="H37" s="4" t="s">
        <v>34</v>
      </c>
      <c r="I37" s="5">
        <v>44593</v>
      </c>
      <c r="J37" s="6">
        <v>38</v>
      </c>
      <c r="K37" s="6">
        <v>38</v>
      </c>
      <c r="L37" s="6">
        <v>0.88400000000000001</v>
      </c>
      <c r="M37" s="6">
        <v>0.88400000000000001</v>
      </c>
      <c r="N37" s="6">
        <v>0.88400000000000001</v>
      </c>
      <c r="O37" s="6">
        <v>0.88400000000000001</v>
      </c>
      <c r="P37" s="6">
        <v>0</v>
      </c>
      <c r="Q37" s="4" t="s">
        <v>26</v>
      </c>
      <c r="R37" s="4">
        <v>0</v>
      </c>
      <c r="S37" s="4" t="s">
        <v>115</v>
      </c>
      <c r="T37" s="4" t="s">
        <v>416</v>
      </c>
      <c r="U37" s="4">
        <v>1</v>
      </c>
      <c r="V37" s="4">
        <v>3</v>
      </c>
      <c r="W37" s="4">
        <v>48</v>
      </c>
    </row>
    <row r="38" spans="1:23" ht="11.25" customHeight="1" x14ac:dyDescent="0.25">
      <c r="A38" s="4" t="s">
        <v>21</v>
      </c>
      <c r="B38" s="4" t="s">
        <v>39</v>
      </c>
      <c r="C38" s="4" t="s">
        <v>42</v>
      </c>
      <c r="D38" s="4" t="s">
        <v>41</v>
      </c>
      <c r="E38" s="4" t="s">
        <v>25</v>
      </c>
      <c r="F38" s="4" t="s">
        <v>25</v>
      </c>
      <c r="G38" s="4" t="s">
        <v>25</v>
      </c>
      <c r="H38" s="4" t="s">
        <v>34</v>
      </c>
      <c r="I38" s="5">
        <v>44621</v>
      </c>
      <c r="J38" s="6">
        <v>337</v>
      </c>
      <c r="K38" s="6">
        <v>337</v>
      </c>
      <c r="L38" s="6">
        <v>12.975</v>
      </c>
      <c r="M38" s="6">
        <v>12.975</v>
      </c>
      <c r="N38" s="6">
        <v>12.975</v>
      </c>
      <c r="O38" s="6">
        <v>12.975</v>
      </c>
      <c r="P38" s="6">
        <v>0</v>
      </c>
      <c r="Q38" s="4" t="s">
        <v>26</v>
      </c>
      <c r="R38" s="4">
        <v>0</v>
      </c>
      <c r="S38" s="4" t="s">
        <v>116</v>
      </c>
      <c r="T38" s="4" t="s">
        <v>417</v>
      </c>
      <c r="U38" s="4">
        <v>1</v>
      </c>
      <c r="V38" s="4">
        <v>3</v>
      </c>
      <c r="W38" s="4">
        <v>48</v>
      </c>
    </row>
    <row r="39" spans="1:23" ht="11.25" customHeight="1" x14ac:dyDescent="0.25">
      <c r="A39" s="4" t="s">
        <v>28</v>
      </c>
      <c r="B39" s="4" t="s">
        <v>39</v>
      </c>
      <c r="C39" s="4" t="s">
        <v>42</v>
      </c>
      <c r="D39" s="4" t="s">
        <v>41</v>
      </c>
      <c r="E39" s="4" t="s">
        <v>25</v>
      </c>
      <c r="F39" s="4" t="s">
        <v>25</v>
      </c>
      <c r="G39" s="4" t="s">
        <v>25</v>
      </c>
      <c r="H39" s="4" t="s">
        <v>34</v>
      </c>
      <c r="I39" s="5">
        <v>44621</v>
      </c>
      <c r="J39" s="6">
        <v>38</v>
      </c>
      <c r="K39" s="6">
        <v>38</v>
      </c>
      <c r="L39" s="6">
        <v>0.95</v>
      </c>
      <c r="M39" s="6">
        <v>0.95</v>
      </c>
      <c r="N39" s="6">
        <v>0.95</v>
      </c>
      <c r="O39" s="6">
        <v>0.95</v>
      </c>
      <c r="P39" s="6">
        <v>0</v>
      </c>
      <c r="Q39" s="4" t="s">
        <v>26</v>
      </c>
      <c r="R39" s="4">
        <v>0</v>
      </c>
      <c r="S39" s="4" t="s">
        <v>116</v>
      </c>
      <c r="T39" s="4" t="s">
        <v>417</v>
      </c>
      <c r="U39" s="4">
        <v>1</v>
      </c>
      <c r="V39" s="4">
        <v>3</v>
      </c>
      <c r="W39" s="4">
        <v>48</v>
      </c>
    </row>
    <row r="40" spans="1:23" ht="11.25" customHeight="1" x14ac:dyDescent="0.25">
      <c r="A40" s="4" t="s">
        <v>21</v>
      </c>
      <c r="B40" s="4" t="s">
        <v>39</v>
      </c>
      <c r="C40" s="4" t="s">
        <v>42</v>
      </c>
      <c r="D40" s="4" t="s">
        <v>41</v>
      </c>
      <c r="E40" s="4" t="s">
        <v>25</v>
      </c>
      <c r="F40" s="4" t="s">
        <v>25</v>
      </c>
      <c r="G40" s="4" t="s">
        <v>25</v>
      </c>
      <c r="H40" s="4" t="s">
        <v>34</v>
      </c>
      <c r="I40" s="5">
        <v>44652</v>
      </c>
      <c r="J40" s="6">
        <v>328</v>
      </c>
      <c r="K40" s="6">
        <v>328</v>
      </c>
      <c r="L40" s="6">
        <v>12.076000000000001</v>
      </c>
      <c r="M40" s="6">
        <v>12.076000000000001</v>
      </c>
      <c r="N40" s="6">
        <v>12.076000000000001</v>
      </c>
      <c r="O40" s="6">
        <v>12.076000000000001</v>
      </c>
      <c r="P40" s="6">
        <v>0</v>
      </c>
      <c r="Q40" s="4" t="s">
        <v>26</v>
      </c>
      <c r="R40" s="4">
        <v>0</v>
      </c>
      <c r="S40" s="4" t="s">
        <v>117</v>
      </c>
      <c r="T40" s="4" t="s">
        <v>418</v>
      </c>
      <c r="U40" s="4">
        <v>1</v>
      </c>
      <c r="V40" s="4">
        <v>3</v>
      </c>
      <c r="W40" s="4">
        <v>48</v>
      </c>
    </row>
    <row r="41" spans="1:23" ht="11.25" customHeight="1" x14ac:dyDescent="0.25">
      <c r="A41" s="4" t="s">
        <v>28</v>
      </c>
      <c r="B41" s="4" t="s">
        <v>39</v>
      </c>
      <c r="C41" s="4" t="s">
        <v>42</v>
      </c>
      <c r="D41" s="4" t="s">
        <v>41</v>
      </c>
      <c r="E41" s="4" t="s">
        <v>25</v>
      </c>
      <c r="F41" s="4" t="s">
        <v>25</v>
      </c>
      <c r="G41" s="4" t="s">
        <v>25</v>
      </c>
      <c r="H41" s="4" t="s">
        <v>34</v>
      </c>
      <c r="I41" s="5">
        <v>44652</v>
      </c>
      <c r="J41" s="6">
        <v>38</v>
      </c>
      <c r="K41" s="6">
        <v>38</v>
      </c>
      <c r="L41" s="6">
        <v>0.84299999999999997</v>
      </c>
      <c r="M41" s="6">
        <v>0.84299999999999997</v>
      </c>
      <c r="N41" s="6">
        <v>0.84299999999999997</v>
      </c>
      <c r="O41" s="6">
        <v>0.84299999999999997</v>
      </c>
      <c r="P41" s="6">
        <v>0</v>
      </c>
      <c r="Q41" s="4" t="s">
        <v>26</v>
      </c>
      <c r="R41" s="4">
        <v>0</v>
      </c>
      <c r="S41" s="4" t="s">
        <v>117</v>
      </c>
      <c r="T41" s="4" t="s">
        <v>418</v>
      </c>
      <c r="U41" s="4">
        <v>1</v>
      </c>
      <c r="V41" s="4">
        <v>3</v>
      </c>
      <c r="W41" s="4">
        <v>48</v>
      </c>
    </row>
    <row r="42" spans="1:23" ht="11.25" customHeight="1" x14ac:dyDescent="0.25">
      <c r="A42" s="4" t="s">
        <v>21</v>
      </c>
      <c r="B42" s="4" t="s">
        <v>39</v>
      </c>
      <c r="C42" s="4" t="s">
        <v>42</v>
      </c>
      <c r="D42" s="4" t="s">
        <v>41</v>
      </c>
      <c r="E42" s="4" t="s">
        <v>25</v>
      </c>
      <c r="F42" s="4" t="s">
        <v>25</v>
      </c>
      <c r="G42" s="4" t="s">
        <v>25</v>
      </c>
      <c r="H42" s="4" t="s">
        <v>34</v>
      </c>
      <c r="I42" s="5">
        <v>44682</v>
      </c>
      <c r="J42" s="6">
        <v>320</v>
      </c>
      <c r="K42" s="6">
        <v>320</v>
      </c>
      <c r="L42" s="6">
        <v>9.9960000000000004</v>
      </c>
      <c r="M42" s="6">
        <v>9.9960000000000004</v>
      </c>
      <c r="N42" s="6">
        <v>9.9960000000000004</v>
      </c>
      <c r="O42" s="6">
        <v>9.9960000000000004</v>
      </c>
      <c r="P42" s="6">
        <v>0</v>
      </c>
      <c r="Q42" s="4" t="s">
        <v>26</v>
      </c>
      <c r="R42" s="4">
        <v>0</v>
      </c>
      <c r="S42" s="4" t="s">
        <v>118</v>
      </c>
      <c r="T42" s="4" t="s">
        <v>419</v>
      </c>
      <c r="U42" s="4">
        <v>1</v>
      </c>
      <c r="V42" s="4">
        <v>3</v>
      </c>
      <c r="W42" s="4">
        <v>48</v>
      </c>
    </row>
    <row r="43" spans="1:23" ht="11.25" customHeight="1" x14ac:dyDescent="0.25">
      <c r="A43" s="4" t="s">
        <v>28</v>
      </c>
      <c r="B43" s="4" t="s">
        <v>39</v>
      </c>
      <c r="C43" s="4" t="s">
        <v>42</v>
      </c>
      <c r="D43" s="4" t="s">
        <v>41</v>
      </c>
      <c r="E43" s="4" t="s">
        <v>25</v>
      </c>
      <c r="F43" s="4" t="s">
        <v>25</v>
      </c>
      <c r="G43" s="4" t="s">
        <v>25</v>
      </c>
      <c r="H43" s="4" t="s">
        <v>34</v>
      </c>
      <c r="I43" s="5">
        <v>44682</v>
      </c>
      <c r="J43" s="6">
        <v>38</v>
      </c>
      <c r="K43" s="6">
        <v>38</v>
      </c>
      <c r="L43" s="6">
        <v>0.67300000000000004</v>
      </c>
      <c r="M43" s="6">
        <v>0.67300000000000004</v>
      </c>
      <c r="N43" s="6">
        <v>0.67300000000000004</v>
      </c>
      <c r="O43" s="6">
        <v>0.67300000000000004</v>
      </c>
      <c r="P43" s="6">
        <v>0</v>
      </c>
      <c r="Q43" s="4" t="s">
        <v>26</v>
      </c>
      <c r="R43" s="4">
        <v>0</v>
      </c>
      <c r="S43" s="4" t="s">
        <v>118</v>
      </c>
      <c r="T43" s="4" t="s">
        <v>419</v>
      </c>
      <c r="U43" s="4">
        <v>1</v>
      </c>
      <c r="V43" s="4">
        <v>3</v>
      </c>
      <c r="W43" s="4">
        <v>48</v>
      </c>
    </row>
    <row r="44" spans="1:23" ht="11.25" customHeight="1" x14ac:dyDescent="0.25">
      <c r="A44" s="4" t="s">
        <v>21</v>
      </c>
      <c r="B44" s="4" t="s">
        <v>39</v>
      </c>
      <c r="C44" s="4" t="s">
        <v>42</v>
      </c>
      <c r="D44" s="4" t="s">
        <v>41</v>
      </c>
      <c r="E44" s="4" t="s">
        <v>25</v>
      </c>
      <c r="F44" s="4" t="s">
        <v>25</v>
      </c>
      <c r="G44" s="4" t="s">
        <v>25</v>
      </c>
      <c r="H44" s="4" t="s">
        <v>34</v>
      </c>
      <c r="I44" s="5">
        <v>44713</v>
      </c>
      <c r="J44" s="6">
        <v>320</v>
      </c>
      <c r="K44" s="6">
        <v>320</v>
      </c>
      <c r="L44" s="6">
        <v>10.569000000000001</v>
      </c>
      <c r="M44" s="6">
        <v>10.569000000000001</v>
      </c>
      <c r="N44" s="6">
        <v>10.569000000000001</v>
      </c>
      <c r="O44" s="6">
        <v>10.569000000000001</v>
      </c>
      <c r="P44" s="6">
        <v>0</v>
      </c>
      <c r="Q44" s="4" t="s">
        <v>26</v>
      </c>
      <c r="R44" s="4">
        <v>0</v>
      </c>
      <c r="S44" s="4" t="s">
        <v>119</v>
      </c>
      <c r="T44" s="4" t="s">
        <v>420</v>
      </c>
      <c r="U44" s="4">
        <v>1</v>
      </c>
      <c r="V44" s="4">
        <v>3</v>
      </c>
      <c r="W44" s="4">
        <v>48</v>
      </c>
    </row>
    <row r="45" spans="1:23" ht="11.25" customHeight="1" x14ac:dyDescent="0.25">
      <c r="A45" s="4" t="s">
        <v>28</v>
      </c>
      <c r="B45" s="4" t="s">
        <v>39</v>
      </c>
      <c r="C45" s="4" t="s">
        <v>42</v>
      </c>
      <c r="D45" s="4" t="s">
        <v>41</v>
      </c>
      <c r="E45" s="4" t="s">
        <v>25</v>
      </c>
      <c r="F45" s="4" t="s">
        <v>25</v>
      </c>
      <c r="G45" s="4" t="s">
        <v>25</v>
      </c>
      <c r="H45" s="4" t="s">
        <v>34</v>
      </c>
      <c r="I45" s="5">
        <v>44713</v>
      </c>
      <c r="J45" s="6">
        <v>38</v>
      </c>
      <c r="K45" s="6">
        <v>38</v>
      </c>
      <c r="L45" s="6">
        <v>0.66600000000000004</v>
      </c>
      <c r="M45" s="6">
        <v>0.66600000000000004</v>
      </c>
      <c r="N45" s="6">
        <v>0.66600000000000004</v>
      </c>
      <c r="O45" s="6">
        <v>0.66600000000000004</v>
      </c>
      <c r="P45" s="6">
        <v>0</v>
      </c>
      <c r="Q45" s="4" t="s">
        <v>26</v>
      </c>
      <c r="R45" s="4">
        <v>0</v>
      </c>
      <c r="S45" s="4" t="s">
        <v>119</v>
      </c>
      <c r="T45" s="4" t="s">
        <v>420</v>
      </c>
      <c r="U45" s="4">
        <v>1</v>
      </c>
      <c r="V45" s="4">
        <v>3</v>
      </c>
      <c r="W45" s="4">
        <v>48</v>
      </c>
    </row>
    <row r="46" spans="1:23" ht="11.25" customHeight="1" x14ac:dyDescent="0.25">
      <c r="A46" s="4" t="s">
        <v>21</v>
      </c>
      <c r="B46" s="4" t="s">
        <v>39</v>
      </c>
      <c r="C46" s="4" t="s">
        <v>42</v>
      </c>
      <c r="D46" s="4" t="s">
        <v>41</v>
      </c>
      <c r="E46" s="4" t="s">
        <v>25</v>
      </c>
      <c r="F46" s="4" t="s">
        <v>25</v>
      </c>
      <c r="G46" s="4" t="s">
        <v>25</v>
      </c>
      <c r="H46" s="4" t="s">
        <v>34</v>
      </c>
      <c r="I46" s="5">
        <v>44743</v>
      </c>
      <c r="J46" s="6">
        <v>320</v>
      </c>
      <c r="K46" s="6">
        <v>320</v>
      </c>
      <c r="L46" s="6">
        <v>10.477</v>
      </c>
      <c r="M46" s="6">
        <v>10.477</v>
      </c>
      <c r="N46" s="6">
        <v>10.477</v>
      </c>
      <c r="O46" s="6">
        <v>10.477</v>
      </c>
      <c r="P46" s="6">
        <v>0</v>
      </c>
      <c r="Q46" s="4" t="s">
        <v>26</v>
      </c>
      <c r="R46" s="4">
        <v>0</v>
      </c>
      <c r="S46" s="4" t="s">
        <v>120</v>
      </c>
      <c r="T46" s="4" t="s">
        <v>421</v>
      </c>
      <c r="U46" s="4">
        <v>1</v>
      </c>
      <c r="V46" s="4">
        <v>3</v>
      </c>
      <c r="W46" s="4">
        <v>48</v>
      </c>
    </row>
    <row r="47" spans="1:23" ht="11.25" customHeight="1" x14ac:dyDescent="0.25">
      <c r="A47" s="4" t="s">
        <v>28</v>
      </c>
      <c r="B47" s="4" t="s">
        <v>39</v>
      </c>
      <c r="C47" s="4" t="s">
        <v>42</v>
      </c>
      <c r="D47" s="4" t="s">
        <v>41</v>
      </c>
      <c r="E47" s="4" t="s">
        <v>25</v>
      </c>
      <c r="F47" s="4" t="s">
        <v>25</v>
      </c>
      <c r="G47" s="4" t="s">
        <v>25</v>
      </c>
      <c r="H47" s="4" t="s">
        <v>34</v>
      </c>
      <c r="I47" s="5">
        <v>44743</v>
      </c>
      <c r="J47" s="6">
        <v>38</v>
      </c>
      <c r="K47" s="6">
        <v>38</v>
      </c>
      <c r="L47" s="6">
        <v>0.67800000000000005</v>
      </c>
      <c r="M47" s="6">
        <v>0.67800000000000005</v>
      </c>
      <c r="N47" s="6">
        <v>0.67800000000000005</v>
      </c>
      <c r="O47" s="6">
        <v>0.67800000000000005</v>
      </c>
      <c r="P47" s="6">
        <v>0</v>
      </c>
      <c r="Q47" s="4" t="s">
        <v>26</v>
      </c>
      <c r="R47" s="4">
        <v>0</v>
      </c>
      <c r="S47" s="4" t="s">
        <v>120</v>
      </c>
      <c r="T47" s="4" t="s">
        <v>421</v>
      </c>
      <c r="U47" s="4">
        <v>1</v>
      </c>
      <c r="V47" s="4">
        <v>3</v>
      </c>
      <c r="W47" s="4">
        <v>48</v>
      </c>
    </row>
    <row r="48" spans="1:23" ht="11.25" customHeight="1" x14ac:dyDescent="0.25">
      <c r="A48" s="4" t="s">
        <v>56</v>
      </c>
      <c r="B48" s="4" t="s">
        <v>39</v>
      </c>
      <c r="C48" s="4" t="s">
        <v>42</v>
      </c>
      <c r="D48" s="4" t="s">
        <v>41</v>
      </c>
      <c r="E48" s="4" t="s">
        <v>25</v>
      </c>
      <c r="F48" s="4" t="s">
        <v>25</v>
      </c>
      <c r="G48" s="4" t="s">
        <v>25</v>
      </c>
      <c r="H48" s="4" t="s">
        <v>34</v>
      </c>
      <c r="I48" s="5">
        <v>44774</v>
      </c>
      <c r="J48" s="6">
        <v>320</v>
      </c>
      <c r="K48" s="6">
        <v>320</v>
      </c>
      <c r="L48" s="6">
        <v>10.477</v>
      </c>
      <c r="M48" s="6">
        <v>10.477</v>
      </c>
      <c r="N48" s="6">
        <v>10.477</v>
      </c>
      <c r="O48" s="6">
        <v>10.477</v>
      </c>
      <c r="P48" s="6">
        <v>0</v>
      </c>
      <c r="Q48" s="4" t="s">
        <v>26</v>
      </c>
      <c r="R48" s="4">
        <v>0</v>
      </c>
      <c r="S48" s="4" t="s">
        <v>121</v>
      </c>
      <c r="T48" s="4" t="s">
        <v>422</v>
      </c>
      <c r="U48" s="4">
        <v>1</v>
      </c>
      <c r="V48" s="4">
        <v>3</v>
      </c>
      <c r="W48" s="4">
        <v>48</v>
      </c>
    </row>
    <row r="49" spans="1:23" ht="11.25" customHeight="1" x14ac:dyDescent="0.25">
      <c r="A49" s="4" t="s">
        <v>56</v>
      </c>
      <c r="B49" s="4" t="s">
        <v>39</v>
      </c>
      <c r="C49" s="4" t="s">
        <v>42</v>
      </c>
      <c r="D49" s="4" t="s">
        <v>41</v>
      </c>
      <c r="E49" s="4" t="s">
        <v>25</v>
      </c>
      <c r="F49" s="4" t="s">
        <v>25</v>
      </c>
      <c r="G49" s="4" t="s">
        <v>25</v>
      </c>
      <c r="H49" s="4" t="s">
        <v>34</v>
      </c>
      <c r="I49" s="5">
        <v>44774</v>
      </c>
      <c r="J49" s="6">
        <v>38</v>
      </c>
      <c r="K49" s="6">
        <v>38</v>
      </c>
      <c r="L49" s="6">
        <v>0.67800000000000005</v>
      </c>
      <c r="M49" s="6">
        <v>0.67800000000000005</v>
      </c>
      <c r="N49" s="6">
        <v>0.67800000000000005</v>
      </c>
      <c r="O49" s="6">
        <v>0.67800000000000005</v>
      </c>
      <c r="P49" s="6">
        <v>0</v>
      </c>
      <c r="Q49" s="4" t="s">
        <v>26</v>
      </c>
      <c r="R49" s="4">
        <v>0</v>
      </c>
      <c r="S49" s="4" t="s">
        <v>121</v>
      </c>
      <c r="T49" s="4" t="s">
        <v>422</v>
      </c>
      <c r="U49" s="4">
        <v>1</v>
      </c>
      <c r="V49" s="4">
        <v>3</v>
      </c>
      <c r="W49" s="4">
        <v>48</v>
      </c>
    </row>
    <row r="50" spans="1:23" ht="11.25" customHeight="1" x14ac:dyDescent="0.25">
      <c r="A50" s="4" t="s">
        <v>21</v>
      </c>
      <c r="B50" s="4" t="s">
        <v>39</v>
      </c>
      <c r="C50" s="4" t="s">
        <v>42</v>
      </c>
      <c r="D50" s="4" t="s">
        <v>38</v>
      </c>
      <c r="E50" s="4" t="s">
        <v>25</v>
      </c>
      <c r="F50" s="4" t="s">
        <v>57</v>
      </c>
      <c r="G50" s="4" t="s">
        <v>25</v>
      </c>
      <c r="H50" s="4" t="s">
        <v>35</v>
      </c>
      <c r="I50" s="5">
        <v>44440</v>
      </c>
      <c r="J50" s="6">
        <v>3080</v>
      </c>
      <c r="K50" s="6">
        <v>1540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58</v>
      </c>
      <c r="R50" s="4">
        <v>0</v>
      </c>
      <c r="S50" s="4" t="s">
        <v>98</v>
      </c>
      <c r="U50" s="4">
        <v>2</v>
      </c>
      <c r="V50" s="4">
        <v>0</v>
      </c>
      <c r="W50" s="4">
        <v>0</v>
      </c>
    </row>
    <row r="51" spans="1:23" ht="11.25" customHeight="1" x14ac:dyDescent="0.25">
      <c r="A51" s="4" t="s">
        <v>21</v>
      </c>
      <c r="B51" s="4" t="s">
        <v>39</v>
      </c>
      <c r="C51" s="4" t="s">
        <v>42</v>
      </c>
      <c r="D51" s="4" t="s">
        <v>38</v>
      </c>
      <c r="E51" s="4" t="s">
        <v>25</v>
      </c>
      <c r="F51" s="4" t="s">
        <v>57</v>
      </c>
      <c r="G51" s="4" t="s">
        <v>25</v>
      </c>
      <c r="H51" s="4" t="s">
        <v>35</v>
      </c>
      <c r="I51" s="5">
        <v>44470</v>
      </c>
      <c r="J51" s="6">
        <v>3080</v>
      </c>
      <c r="K51" s="6">
        <v>1544.62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58</v>
      </c>
      <c r="R51" s="4">
        <v>0</v>
      </c>
      <c r="S51" s="4" t="s">
        <v>99</v>
      </c>
      <c r="U51" s="4">
        <v>2</v>
      </c>
      <c r="V51" s="4">
        <v>0</v>
      </c>
      <c r="W51" s="4">
        <v>0</v>
      </c>
    </row>
    <row r="52" spans="1:23" ht="11.25" customHeight="1" x14ac:dyDescent="0.25">
      <c r="A52" s="4" t="s">
        <v>21</v>
      </c>
      <c r="B52" s="4" t="s">
        <v>39</v>
      </c>
      <c r="C52" s="4" t="s">
        <v>42</v>
      </c>
      <c r="D52" s="4" t="s">
        <v>38</v>
      </c>
      <c r="E52" s="4" t="s">
        <v>25</v>
      </c>
      <c r="F52" s="4" t="s">
        <v>57</v>
      </c>
      <c r="G52" s="4" t="s">
        <v>25</v>
      </c>
      <c r="H52" s="4" t="s">
        <v>35</v>
      </c>
      <c r="I52" s="5">
        <v>44501</v>
      </c>
      <c r="J52" s="6">
        <v>3232</v>
      </c>
      <c r="K52" s="6">
        <v>1618.9087999999999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58</v>
      </c>
      <c r="R52" s="4">
        <v>0</v>
      </c>
      <c r="S52" s="4" t="s">
        <v>100</v>
      </c>
      <c r="U52" s="4">
        <v>2</v>
      </c>
      <c r="V52" s="4">
        <v>0</v>
      </c>
      <c r="W52" s="4">
        <v>0</v>
      </c>
    </row>
    <row r="53" spans="1:23" ht="11.25" customHeight="1" x14ac:dyDescent="0.25">
      <c r="A53" s="4" t="s">
        <v>21</v>
      </c>
      <c r="B53" s="4" t="s">
        <v>39</v>
      </c>
      <c r="C53" s="4" t="s">
        <v>42</v>
      </c>
      <c r="D53" s="4" t="s">
        <v>38</v>
      </c>
      <c r="E53" s="4" t="s">
        <v>25</v>
      </c>
      <c r="F53" s="4" t="s">
        <v>57</v>
      </c>
      <c r="G53" s="4" t="s">
        <v>25</v>
      </c>
      <c r="H53" s="4" t="s">
        <v>35</v>
      </c>
      <c r="I53" s="5">
        <v>44531</v>
      </c>
      <c r="J53" s="6">
        <v>3080</v>
      </c>
      <c r="K53" s="6">
        <v>1549.24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58</v>
      </c>
      <c r="R53" s="4">
        <v>0</v>
      </c>
      <c r="S53" s="4" t="s">
        <v>101</v>
      </c>
      <c r="U53" s="4">
        <v>2</v>
      </c>
      <c r="V53" s="4">
        <v>0</v>
      </c>
      <c r="W53" s="4">
        <v>0</v>
      </c>
    </row>
    <row r="54" spans="1:23" ht="11.25" customHeight="1" x14ac:dyDescent="0.25">
      <c r="A54" s="4" t="s">
        <v>21</v>
      </c>
      <c r="B54" s="4" t="s">
        <v>39</v>
      </c>
      <c r="C54" s="4" t="s">
        <v>42</v>
      </c>
      <c r="D54" s="4" t="s">
        <v>38</v>
      </c>
      <c r="E54" s="4" t="s">
        <v>25</v>
      </c>
      <c r="F54" s="4" t="s">
        <v>57</v>
      </c>
      <c r="G54" s="4" t="s">
        <v>25</v>
      </c>
      <c r="H54" s="4" t="s">
        <v>35</v>
      </c>
      <c r="I54" s="5">
        <v>44562</v>
      </c>
      <c r="J54" s="6">
        <v>3216</v>
      </c>
      <c r="K54" s="6">
        <v>1612.5024000000001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58</v>
      </c>
      <c r="R54" s="4">
        <v>0</v>
      </c>
      <c r="S54" s="4" t="s">
        <v>102</v>
      </c>
      <c r="U54" s="4">
        <v>2</v>
      </c>
      <c r="V54" s="4">
        <v>0</v>
      </c>
      <c r="W54" s="4">
        <v>0</v>
      </c>
    </row>
    <row r="55" spans="1:23" ht="11.25" customHeight="1" x14ac:dyDescent="0.25">
      <c r="A55" s="4" t="s">
        <v>21</v>
      </c>
      <c r="B55" s="4" t="s">
        <v>39</v>
      </c>
      <c r="C55" s="4" t="s">
        <v>42</v>
      </c>
      <c r="D55" s="4" t="s">
        <v>38</v>
      </c>
      <c r="E55" s="4" t="s">
        <v>25</v>
      </c>
      <c r="F55" s="4" t="s">
        <v>57</v>
      </c>
      <c r="G55" s="4" t="s">
        <v>25</v>
      </c>
      <c r="H55" s="4" t="s">
        <v>35</v>
      </c>
      <c r="I55" s="5">
        <v>44593</v>
      </c>
      <c r="J55" s="6">
        <v>3097</v>
      </c>
      <c r="K55" s="6">
        <v>1555.6231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58</v>
      </c>
      <c r="R55" s="4">
        <v>0</v>
      </c>
      <c r="S55" s="4" t="s">
        <v>103</v>
      </c>
      <c r="U55" s="4">
        <v>2</v>
      </c>
      <c r="V55" s="4">
        <v>0</v>
      </c>
      <c r="W55" s="4">
        <v>0</v>
      </c>
    </row>
    <row r="56" spans="1:23" ht="11.25" customHeight="1" x14ac:dyDescent="0.25">
      <c r="A56" s="4" t="s">
        <v>21</v>
      </c>
      <c r="B56" s="4" t="s">
        <v>39</v>
      </c>
      <c r="C56" s="4" t="s">
        <v>42</v>
      </c>
      <c r="D56" s="4" t="s">
        <v>38</v>
      </c>
      <c r="E56" s="4" t="s">
        <v>25</v>
      </c>
      <c r="F56" s="4" t="s">
        <v>57</v>
      </c>
      <c r="G56" s="4" t="s">
        <v>25</v>
      </c>
      <c r="H56" s="4" t="s">
        <v>35</v>
      </c>
      <c r="I56" s="5">
        <v>44621</v>
      </c>
      <c r="J56" s="6">
        <v>3232</v>
      </c>
      <c r="K56" s="6">
        <v>1619.5552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58</v>
      </c>
      <c r="R56" s="4">
        <v>0</v>
      </c>
      <c r="S56" s="4" t="s">
        <v>104</v>
      </c>
      <c r="U56" s="4">
        <v>2</v>
      </c>
      <c r="V56" s="4">
        <v>0</v>
      </c>
      <c r="W56" s="4">
        <v>0</v>
      </c>
    </row>
    <row r="57" spans="1:23" ht="11.25" customHeight="1" x14ac:dyDescent="0.25">
      <c r="A57" s="4" t="s">
        <v>21</v>
      </c>
      <c r="B57" s="4" t="s">
        <v>39</v>
      </c>
      <c r="C57" s="4" t="s">
        <v>42</v>
      </c>
      <c r="D57" s="4" t="s">
        <v>38</v>
      </c>
      <c r="E57" s="4" t="s">
        <v>25</v>
      </c>
      <c r="F57" s="4" t="s">
        <v>57</v>
      </c>
      <c r="G57" s="4" t="s">
        <v>25</v>
      </c>
      <c r="H57" s="4" t="s">
        <v>35</v>
      </c>
      <c r="I57" s="5">
        <v>44652</v>
      </c>
      <c r="J57" s="6">
        <v>3296</v>
      </c>
      <c r="K57" s="6">
        <v>1662.5024000000001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58</v>
      </c>
      <c r="R57" s="4">
        <v>0</v>
      </c>
      <c r="S57" s="4" t="s">
        <v>105</v>
      </c>
      <c r="U57" s="4">
        <v>2</v>
      </c>
      <c r="V57" s="4">
        <v>0</v>
      </c>
      <c r="W57" s="4">
        <v>0</v>
      </c>
    </row>
    <row r="58" spans="1:23" ht="11.25" customHeight="1" x14ac:dyDescent="0.25">
      <c r="A58" s="4" t="s">
        <v>21</v>
      </c>
      <c r="B58" s="4" t="s">
        <v>39</v>
      </c>
      <c r="C58" s="4" t="s">
        <v>42</v>
      </c>
      <c r="D58" s="4" t="s">
        <v>38</v>
      </c>
      <c r="E58" s="4" t="s">
        <v>25</v>
      </c>
      <c r="F58" s="4" t="s">
        <v>57</v>
      </c>
      <c r="G58" s="4" t="s">
        <v>25</v>
      </c>
      <c r="H58" s="4" t="s">
        <v>35</v>
      </c>
      <c r="I58" s="5">
        <v>44682</v>
      </c>
      <c r="J58" s="6">
        <v>3378</v>
      </c>
      <c r="K58" s="6">
        <v>1695.4182000000001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58</v>
      </c>
      <c r="R58" s="4">
        <v>0</v>
      </c>
      <c r="S58" s="4" t="s">
        <v>106</v>
      </c>
      <c r="U58" s="4">
        <v>2</v>
      </c>
      <c r="V58" s="4">
        <v>0</v>
      </c>
      <c r="W58" s="4">
        <v>0</v>
      </c>
    </row>
    <row r="59" spans="1:23" ht="11.25" customHeight="1" x14ac:dyDescent="0.25">
      <c r="A59" s="4" t="s">
        <v>21</v>
      </c>
      <c r="B59" s="4" t="s">
        <v>39</v>
      </c>
      <c r="C59" s="4" t="s">
        <v>42</v>
      </c>
      <c r="D59" s="4" t="s">
        <v>38</v>
      </c>
      <c r="E59" s="4" t="s">
        <v>25</v>
      </c>
      <c r="F59" s="4" t="s">
        <v>57</v>
      </c>
      <c r="G59" s="4" t="s">
        <v>25</v>
      </c>
      <c r="H59" s="4" t="s">
        <v>35</v>
      </c>
      <c r="I59" s="5">
        <v>44713</v>
      </c>
      <c r="J59" s="6">
        <v>3302</v>
      </c>
      <c r="K59" s="6">
        <v>1653.9718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58</v>
      </c>
      <c r="R59" s="4">
        <v>0</v>
      </c>
      <c r="S59" s="4" t="s">
        <v>107</v>
      </c>
      <c r="U59" s="4">
        <v>2</v>
      </c>
      <c r="V59" s="4">
        <v>0</v>
      </c>
      <c r="W59" s="4">
        <v>0</v>
      </c>
    </row>
    <row r="60" spans="1:23" ht="11.25" customHeight="1" x14ac:dyDescent="0.25">
      <c r="A60" s="4" t="s">
        <v>21</v>
      </c>
      <c r="B60" s="4" t="s">
        <v>39</v>
      </c>
      <c r="C60" s="4" t="s">
        <v>42</v>
      </c>
      <c r="D60" s="4" t="s">
        <v>38</v>
      </c>
      <c r="E60" s="4" t="s">
        <v>25</v>
      </c>
      <c r="F60" s="4" t="s">
        <v>57</v>
      </c>
      <c r="G60" s="4" t="s">
        <v>25</v>
      </c>
      <c r="H60" s="4" t="s">
        <v>35</v>
      </c>
      <c r="I60" s="5">
        <v>44743</v>
      </c>
      <c r="J60" s="6">
        <v>3300</v>
      </c>
      <c r="K60" s="6">
        <v>1663.2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58</v>
      </c>
      <c r="R60" s="4">
        <v>0</v>
      </c>
      <c r="S60" s="4" t="s">
        <v>108</v>
      </c>
      <c r="U60" s="4">
        <v>2</v>
      </c>
      <c r="V60" s="4">
        <v>0</v>
      </c>
      <c r="W60" s="4">
        <v>0</v>
      </c>
    </row>
    <row r="61" spans="1:23" ht="11.25" customHeight="1" x14ac:dyDescent="0.25">
      <c r="A61" s="4" t="s">
        <v>56</v>
      </c>
      <c r="B61" s="4" t="s">
        <v>39</v>
      </c>
      <c r="C61" s="4" t="s">
        <v>42</v>
      </c>
      <c r="D61" s="4" t="s">
        <v>38</v>
      </c>
      <c r="E61" s="4" t="s">
        <v>25</v>
      </c>
      <c r="F61" s="4" t="s">
        <v>57</v>
      </c>
      <c r="G61" s="4" t="s">
        <v>25</v>
      </c>
      <c r="H61" s="4" t="s">
        <v>35</v>
      </c>
      <c r="I61" s="5">
        <v>44774</v>
      </c>
      <c r="J61" s="6">
        <v>3300</v>
      </c>
      <c r="K61" s="6">
        <v>1663.2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58</v>
      </c>
      <c r="R61" s="4">
        <v>0</v>
      </c>
      <c r="S61" s="4" t="s">
        <v>109</v>
      </c>
      <c r="U61" s="4">
        <v>2</v>
      </c>
      <c r="V61" s="4">
        <v>0</v>
      </c>
      <c r="W61" s="4">
        <v>0</v>
      </c>
    </row>
    <row r="62" spans="1:23" ht="11.25" customHeight="1" x14ac:dyDescent="0.25">
      <c r="A62" s="4" t="s">
        <v>21</v>
      </c>
      <c r="B62" s="4" t="s">
        <v>39</v>
      </c>
      <c r="C62" s="4" t="s">
        <v>42</v>
      </c>
      <c r="D62" s="4" t="s">
        <v>38</v>
      </c>
      <c r="E62" s="4" t="s">
        <v>25</v>
      </c>
      <c r="F62" s="4" t="s">
        <v>57</v>
      </c>
      <c r="G62" s="4" t="s">
        <v>25</v>
      </c>
      <c r="H62" s="4" t="s">
        <v>25</v>
      </c>
      <c r="I62" s="5">
        <v>44440</v>
      </c>
      <c r="J62" s="6">
        <v>0</v>
      </c>
      <c r="K62" s="6">
        <v>0</v>
      </c>
      <c r="L62" s="6">
        <v>1381.643</v>
      </c>
      <c r="M62" s="6">
        <v>1381.643</v>
      </c>
      <c r="N62" s="6">
        <v>0</v>
      </c>
      <c r="O62" s="6">
        <v>0</v>
      </c>
      <c r="P62" s="6">
        <v>1</v>
      </c>
      <c r="Q62" s="4" t="s">
        <v>58</v>
      </c>
      <c r="R62" s="4">
        <v>0</v>
      </c>
      <c r="S62" s="4" t="s">
        <v>122</v>
      </c>
      <c r="U62" s="4">
        <v>0</v>
      </c>
      <c r="V62" s="4">
        <v>3</v>
      </c>
      <c r="W62" s="4">
        <v>0</v>
      </c>
    </row>
    <row r="63" spans="1:23" ht="11.25" customHeight="1" x14ac:dyDescent="0.25">
      <c r="A63" s="4" t="s">
        <v>21</v>
      </c>
      <c r="B63" s="4" t="s">
        <v>39</v>
      </c>
      <c r="C63" s="4" t="s">
        <v>42</v>
      </c>
      <c r="D63" s="4" t="s">
        <v>38</v>
      </c>
      <c r="E63" s="4" t="s">
        <v>25</v>
      </c>
      <c r="F63" s="4" t="s">
        <v>57</v>
      </c>
      <c r="G63" s="4" t="s">
        <v>25</v>
      </c>
      <c r="H63" s="4" t="s">
        <v>25</v>
      </c>
      <c r="I63" s="5">
        <v>44470</v>
      </c>
      <c r="J63" s="6">
        <v>0</v>
      </c>
      <c r="K63" s="6">
        <v>0</v>
      </c>
      <c r="L63" s="6">
        <v>1397.3150000000001</v>
      </c>
      <c r="M63" s="6">
        <v>1397.3150000000001</v>
      </c>
      <c r="N63" s="6">
        <v>0</v>
      </c>
      <c r="O63" s="6">
        <v>0</v>
      </c>
      <c r="P63" s="6">
        <v>1</v>
      </c>
      <c r="Q63" s="4" t="s">
        <v>58</v>
      </c>
      <c r="R63" s="4">
        <v>0</v>
      </c>
      <c r="S63" s="4" t="s">
        <v>123</v>
      </c>
      <c r="U63" s="4">
        <v>0</v>
      </c>
      <c r="V63" s="4">
        <v>3</v>
      </c>
      <c r="W63" s="4">
        <v>0</v>
      </c>
    </row>
    <row r="64" spans="1:23" ht="11.25" customHeight="1" x14ac:dyDescent="0.25">
      <c r="A64" s="4" t="s">
        <v>21</v>
      </c>
      <c r="B64" s="4" t="s">
        <v>39</v>
      </c>
      <c r="C64" s="4" t="s">
        <v>42</v>
      </c>
      <c r="D64" s="4" t="s">
        <v>38</v>
      </c>
      <c r="E64" s="4" t="s">
        <v>25</v>
      </c>
      <c r="F64" s="4" t="s">
        <v>57</v>
      </c>
      <c r="G64" s="4" t="s">
        <v>25</v>
      </c>
      <c r="H64" s="4" t="s">
        <v>25</v>
      </c>
      <c r="I64" s="5">
        <v>44501</v>
      </c>
      <c r="J64" s="6">
        <v>0</v>
      </c>
      <c r="K64" s="6">
        <v>0</v>
      </c>
      <c r="L64" s="6">
        <v>1422.104</v>
      </c>
      <c r="M64" s="6">
        <v>1422.104</v>
      </c>
      <c r="N64" s="6">
        <v>0</v>
      </c>
      <c r="O64" s="6">
        <v>0</v>
      </c>
      <c r="P64" s="6">
        <v>1</v>
      </c>
      <c r="Q64" s="4" t="s">
        <v>58</v>
      </c>
      <c r="R64" s="4">
        <v>0</v>
      </c>
      <c r="S64" s="4" t="s">
        <v>124</v>
      </c>
      <c r="U64" s="4">
        <v>0</v>
      </c>
      <c r="V64" s="4">
        <v>3</v>
      </c>
      <c r="W64" s="4">
        <v>0</v>
      </c>
    </row>
    <row r="65" spans="1:23" ht="11.25" customHeight="1" x14ac:dyDescent="0.25">
      <c r="A65" s="4" t="s">
        <v>21</v>
      </c>
      <c r="B65" s="4" t="s">
        <v>39</v>
      </c>
      <c r="C65" s="4" t="s">
        <v>42</v>
      </c>
      <c r="D65" s="4" t="s">
        <v>38</v>
      </c>
      <c r="E65" s="4" t="s">
        <v>25</v>
      </c>
      <c r="F65" s="4" t="s">
        <v>57</v>
      </c>
      <c r="G65" s="4" t="s">
        <v>25</v>
      </c>
      <c r="H65" s="4" t="s">
        <v>25</v>
      </c>
      <c r="I65" s="5">
        <v>44531</v>
      </c>
      <c r="J65" s="6">
        <v>0</v>
      </c>
      <c r="K65" s="6">
        <v>0</v>
      </c>
      <c r="L65" s="6">
        <v>1390.7560000000001</v>
      </c>
      <c r="M65" s="6">
        <v>1390.7560000000001</v>
      </c>
      <c r="N65" s="6">
        <v>0</v>
      </c>
      <c r="O65" s="6">
        <v>0</v>
      </c>
      <c r="P65" s="6">
        <v>1</v>
      </c>
      <c r="Q65" s="4" t="s">
        <v>58</v>
      </c>
      <c r="R65" s="4">
        <v>0</v>
      </c>
      <c r="S65" s="4" t="s">
        <v>125</v>
      </c>
      <c r="U65" s="4">
        <v>0</v>
      </c>
      <c r="V65" s="4">
        <v>3</v>
      </c>
      <c r="W65" s="4">
        <v>0</v>
      </c>
    </row>
    <row r="66" spans="1:23" ht="11.25" customHeight="1" x14ac:dyDescent="0.25">
      <c r="A66" s="4" t="s">
        <v>21</v>
      </c>
      <c r="B66" s="4" t="s">
        <v>39</v>
      </c>
      <c r="C66" s="4" t="s">
        <v>42</v>
      </c>
      <c r="D66" s="4" t="s">
        <v>38</v>
      </c>
      <c r="E66" s="4" t="s">
        <v>25</v>
      </c>
      <c r="F66" s="4" t="s">
        <v>57</v>
      </c>
      <c r="G66" s="4" t="s">
        <v>25</v>
      </c>
      <c r="H66" s="4" t="s">
        <v>25</v>
      </c>
      <c r="I66" s="5">
        <v>44562</v>
      </c>
      <c r="J66" s="6">
        <v>0</v>
      </c>
      <c r="K66" s="6">
        <v>0</v>
      </c>
      <c r="L66" s="6">
        <v>1568.508</v>
      </c>
      <c r="M66" s="6">
        <v>1568.508</v>
      </c>
      <c r="N66" s="6">
        <v>0</v>
      </c>
      <c r="O66" s="6">
        <v>0</v>
      </c>
      <c r="P66" s="6">
        <v>1</v>
      </c>
      <c r="Q66" s="4" t="s">
        <v>58</v>
      </c>
      <c r="R66" s="4">
        <v>0</v>
      </c>
      <c r="S66" s="4" t="s">
        <v>126</v>
      </c>
      <c r="U66" s="4">
        <v>0</v>
      </c>
      <c r="V66" s="4">
        <v>3</v>
      </c>
      <c r="W66" s="4">
        <v>0</v>
      </c>
    </row>
    <row r="67" spans="1:23" ht="11.25" customHeight="1" x14ac:dyDescent="0.25">
      <c r="A67" s="4" t="s">
        <v>21</v>
      </c>
      <c r="B67" s="4" t="s">
        <v>39</v>
      </c>
      <c r="C67" s="4" t="s">
        <v>42</v>
      </c>
      <c r="D67" s="4" t="s">
        <v>38</v>
      </c>
      <c r="E67" s="4" t="s">
        <v>25</v>
      </c>
      <c r="F67" s="4" t="s">
        <v>57</v>
      </c>
      <c r="G67" s="4" t="s">
        <v>25</v>
      </c>
      <c r="H67" s="4" t="s">
        <v>25</v>
      </c>
      <c r="I67" s="5">
        <v>44593</v>
      </c>
      <c r="J67" s="6">
        <v>0</v>
      </c>
      <c r="K67" s="6">
        <v>0</v>
      </c>
      <c r="L67" s="6">
        <v>1495.627</v>
      </c>
      <c r="M67" s="6">
        <v>1495.627</v>
      </c>
      <c r="N67" s="6">
        <v>0</v>
      </c>
      <c r="O67" s="6">
        <v>0</v>
      </c>
      <c r="P67" s="6">
        <v>1</v>
      </c>
      <c r="Q67" s="4" t="s">
        <v>58</v>
      </c>
      <c r="R67" s="4">
        <v>0</v>
      </c>
      <c r="S67" s="4" t="s">
        <v>127</v>
      </c>
      <c r="U67" s="4">
        <v>0</v>
      </c>
      <c r="V67" s="4">
        <v>3</v>
      </c>
      <c r="W67" s="4">
        <v>0</v>
      </c>
    </row>
    <row r="68" spans="1:23" ht="11.25" customHeight="1" x14ac:dyDescent="0.25">
      <c r="A68" s="4" t="s">
        <v>21</v>
      </c>
      <c r="B68" s="4" t="s">
        <v>39</v>
      </c>
      <c r="C68" s="4" t="s">
        <v>42</v>
      </c>
      <c r="D68" s="4" t="s">
        <v>38</v>
      </c>
      <c r="E68" s="4" t="s">
        <v>25</v>
      </c>
      <c r="F68" s="4" t="s">
        <v>57</v>
      </c>
      <c r="G68" s="4" t="s">
        <v>25</v>
      </c>
      <c r="H68" s="4" t="s">
        <v>25</v>
      </c>
      <c r="I68" s="5">
        <v>44621</v>
      </c>
      <c r="J68" s="6">
        <v>0</v>
      </c>
      <c r="K68" s="6">
        <v>0</v>
      </c>
      <c r="L68" s="6">
        <v>1423.7270000000001</v>
      </c>
      <c r="M68" s="6">
        <v>1423.7270000000001</v>
      </c>
      <c r="N68" s="6">
        <v>0</v>
      </c>
      <c r="O68" s="6">
        <v>0</v>
      </c>
      <c r="P68" s="6">
        <v>1</v>
      </c>
      <c r="Q68" s="4" t="s">
        <v>58</v>
      </c>
      <c r="R68" s="4">
        <v>0</v>
      </c>
      <c r="S68" s="4" t="s">
        <v>128</v>
      </c>
      <c r="U68" s="4">
        <v>0</v>
      </c>
      <c r="V68" s="4">
        <v>3</v>
      </c>
      <c r="W68" s="4">
        <v>0</v>
      </c>
    </row>
    <row r="69" spans="1:23" ht="11.25" customHeight="1" x14ac:dyDescent="0.25">
      <c r="A69" s="4" t="s">
        <v>21</v>
      </c>
      <c r="B69" s="4" t="s">
        <v>39</v>
      </c>
      <c r="C69" s="4" t="s">
        <v>42</v>
      </c>
      <c r="D69" s="4" t="s">
        <v>38</v>
      </c>
      <c r="E69" s="4" t="s">
        <v>25</v>
      </c>
      <c r="F69" s="4" t="s">
        <v>57</v>
      </c>
      <c r="G69" s="4" t="s">
        <v>25</v>
      </c>
      <c r="H69" s="4" t="s">
        <v>25</v>
      </c>
      <c r="I69" s="5">
        <v>44652</v>
      </c>
      <c r="J69" s="6">
        <v>0</v>
      </c>
      <c r="K69" s="6">
        <v>0</v>
      </c>
      <c r="L69" s="6">
        <v>1682.0219999999999</v>
      </c>
      <c r="M69" s="6">
        <v>1682.0219999999999</v>
      </c>
      <c r="N69" s="6">
        <v>0</v>
      </c>
      <c r="O69" s="6">
        <v>0</v>
      </c>
      <c r="P69" s="6">
        <v>1</v>
      </c>
      <c r="Q69" s="4" t="s">
        <v>58</v>
      </c>
      <c r="R69" s="4">
        <v>0</v>
      </c>
      <c r="S69" s="4" t="s">
        <v>129</v>
      </c>
      <c r="U69" s="4">
        <v>0</v>
      </c>
      <c r="V69" s="4">
        <v>3</v>
      </c>
      <c r="W69" s="4">
        <v>0</v>
      </c>
    </row>
    <row r="70" spans="1:23" ht="11.25" customHeight="1" x14ac:dyDescent="0.25">
      <c r="A70" s="4" t="s">
        <v>21</v>
      </c>
      <c r="B70" s="4" t="s">
        <v>39</v>
      </c>
      <c r="C70" s="4" t="s">
        <v>42</v>
      </c>
      <c r="D70" s="4" t="s">
        <v>38</v>
      </c>
      <c r="E70" s="4" t="s">
        <v>25</v>
      </c>
      <c r="F70" s="4" t="s">
        <v>57</v>
      </c>
      <c r="G70" s="4" t="s">
        <v>25</v>
      </c>
      <c r="H70" s="4" t="s">
        <v>25</v>
      </c>
      <c r="I70" s="5">
        <v>44682</v>
      </c>
      <c r="J70" s="6">
        <v>0</v>
      </c>
      <c r="K70" s="6">
        <v>0</v>
      </c>
      <c r="L70" s="6">
        <v>1448.614</v>
      </c>
      <c r="M70" s="6">
        <v>1448.614</v>
      </c>
      <c r="N70" s="6">
        <v>0</v>
      </c>
      <c r="O70" s="6">
        <v>0</v>
      </c>
      <c r="P70" s="6">
        <v>1</v>
      </c>
      <c r="Q70" s="4" t="s">
        <v>58</v>
      </c>
      <c r="R70" s="4">
        <v>0</v>
      </c>
      <c r="S70" s="4" t="s">
        <v>130</v>
      </c>
      <c r="U70" s="4">
        <v>0</v>
      </c>
      <c r="V70" s="4">
        <v>3</v>
      </c>
      <c r="W70" s="4">
        <v>0</v>
      </c>
    </row>
    <row r="71" spans="1:23" ht="11.25" customHeight="1" x14ac:dyDescent="0.25">
      <c r="A71" s="4" t="s">
        <v>21</v>
      </c>
      <c r="B71" s="4" t="s">
        <v>39</v>
      </c>
      <c r="C71" s="4" t="s">
        <v>42</v>
      </c>
      <c r="D71" s="4" t="s">
        <v>38</v>
      </c>
      <c r="E71" s="4" t="s">
        <v>25</v>
      </c>
      <c r="F71" s="4" t="s">
        <v>57</v>
      </c>
      <c r="G71" s="4" t="s">
        <v>25</v>
      </c>
      <c r="H71" s="4" t="s">
        <v>25</v>
      </c>
      <c r="I71" s="5">
        <v>44713</v>
      </c>
      <c r="J71" s="6">
        <v>0</v>
      </c>
      <c r="K71" s="6">
        <v>0</v>
      </c>
      <c r="L71" s="6">
        <v>1654.537</v>
      </c>
      <c r="M71" s="6">
        <v>1654.537</v>
      </c>
      <c r="N71" s="6">
        <v>0</v>
      </c>
      <c r="O71" s="6">
        <v>0</v>
      </c>
      <c r="P71" s="6">
        <v>1</v>
      </c>
      <c r="Q71" s="4" t="s">
        <v>58</v>
      </c>
      <c r="R71" s="4">
        <v>0</v>
      </c>
      <c r="S71" s="4" t="s">
        <v>131</v>
      </c>
      <c r="U71" s="4">
        <v>0</v>
      </c>
      <c r="V71" s="4">
        <v>3</v>
      </c>
      <c r="W71" s="4">
        <v>0</v>
      </c>
    </row>
    <row r="72" spans="1:23" ht="11.25" customHeight="1" x14ac:dyDescent="0.25">
      <c r="A72" s="4" t="s">
        <v>21</v>
      </c>
      <c r="B72" s="4" t="s">
        <v>39</v>
      </c>
      <c r="C72" s="4" t="s">
        <v>42</v>
      </c>
      <c r="D72" s="4" t="s">
        <v>38</v>
      </c>
      <c r="E72" s="4" t="s">
        <v>25</v>
      </c>
      <c r="F72" s="4" t="s">
        <v>57</v>
      </c>
      <c r="G72" s="4" t="s">
        <v>25</v>
      </c>
      <c r="H72" s="4" t="s">
        <v>25</v>
      </c>
      <c r="I72" s="5">
        <v>44743</v>
      </c>
      <c r="J72" s="6">
        <v>0</v>
      </c>
      <c r="K72" s="6">
        <v>0</v>
      </c>
      <c r="L72" s="6">
        <v>1529.9929999999999</v>
      </c>
      <c r="M72" s="6">
        <v>1529.9929999999999</v>
      </c>
      <c r="N72" s="6">
        <v>0</v>
      </c>
      <c r="O72" s="6">
        <v>0</v>
      </c>
      <c r="P72" s="6">
        <v>1</v>
      </c>
      <c r="Q72" s="4" t="s">
        <v>58</v>
      </c>
      <c r="R72" s="4">
        <v>0</v>
      </c>
      <c r="S72" s="4" t="s">
        <v>132</v>
      </c>
      <c r="U72" s="4">
        <v>0</v>
      </c>
      <c r="V72" s="4">
        <v>3</v>
      </c>
      <c r="W72" s="4">
        <v>0</v>
      </c>
    </row>
    <row r="73" spans="1:23" ht="11.25" customHeight="1" x14ac:dyDescent="0.25">
      <c r="A73" s="4" t="s">
        <v>56</v>
      </c>
      <c r="B73" s="4" t="s">
        <v>39</v>
      </c>
      <c r="C73" s="4" t="s">
        <v>42</v>
      </c>
      <c r="D73" s="4" t="s">
        <v>38</v>
      </c>
      <c r="E73" s="4" t="s">
        <v>25</v>
      </c>
      <c r="F73" s="4" t="s">
        <v>57</v>
      </c>
      <c r="G73" s="4" t="s">
        <v>25</v>
      </c>
      <c r="H73" s="4" t="s">
        <v>25</v>
      </c>
      <c r="I73" s="5">
        <v>44774</v>
      </c>
      <c r="J73" s="6">
        <v>0</v>
      </c>
      <c r="K73" s="6">
        <v>0</v>
      </c>
      <c r="L73" s="6">
        <v>1529.9929999999999</v>
      </c>
      <c r="M73" s="6">
        <v>1529.9929999999999</v>
      </c>
      <c r="N73" s="6">
        <v>0</v>
      </c>
      <c r="O73" s="6">
        <v>0</v>
      </c>
      <c r="P73" s="6">
        <v>1</v>
      </c>
      <c r="Q73" s="4" t="s">
        <v>58</v>
      </c>
      <c r="R73" s="4">
        <v>0</v>
      </c>
      <c r="S73" s="4" t="s">
        <v>133</v>
      </c>
      <c r="U73" s="4">
        <v>0</v>
      </c>
      <c r="V73" s="4">
        <v>3</v>
      </c>
      <c r="W73" s="4">
        <v>0</v>
      </c>
    </row>
    <row r="74" spans="1:23" ht="11.25" customHeight="1" x14ac:dyDescent="0.25">
      <c r="A74" s="4" t="s">
        <v>21</v>
      </c>
      <c r="B74" s="4" t="s">
        <v>39</v>
      </c>
      <c r="C74" s="4" t="s">
        <v>42</v>
      </c>
      <c r="D74" s="4" t="s">
        <v>38</v>
      </c>
      <c r="E74" s="4" t="s">
        <v>25</v>
      </c>
      <c r="F74" s="4" t="s">
        <v>57</v>
      </c>
      <c r="G74" s="4" t="s">
        <v>25</v>
      </c>
      <c r="H74" s="4" t="s">
        <v>34</v>
      </c>
      <c r="I74" s="5">
        <v>44440</v>
      </c>
      <c r="J74" s="6">
        <v>2805</v>
      </c>
      <c r="K74" s="6">
        <v>1402.5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58</v>
      </c>
      <c r="R74" s="4">
        <v>0</v>
      </c>
      <c r="S74" s="4" t="s">
        <v>110</v>
      </c>
      <c r="U74" s="4">
        <v>1</v>
      </c>
      <c r="V74" s="4">
        <v>0</v>
      </c>
      <c r="W74" s="4">
        <v>0</v>
      </c>
    </row>
    <row r="75" spans="1:23" ht="11.25" customHeight="1" x14ac:dyDescent="0.25">
      <c r="A75" s="4" t="s">
        <v>21</v>
      </c>
      <c r="B75" s="4" t="s">
        <v>39</v>
      </c>
      <c r="C75" s="4" t="s">
        <v>42</v>
      </c>
      <c r="D75" s="4" t="s">
        <v>38</v>
      </c>
      <c r="E75" s="4" t="s">
        <v>25</v>
      </c>
      <c r="F75" s="4" t="s">
        <v>57</v>
      </c>
      <c r="G75" s="4" t="s">
        <v>25</v>
      </c>
      <c r="H75" s="4" t="s">
        <v>34</v>
      </c>
      <c r="I75" s="5">
        <v>44470</v>
      </c>
      <c r="J75" s="6">
        <v>2805</v>
      </c>
      <c r="K75" s="6">
        <v>1406.7075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58</v>
      </c>
      <c r="R75" s="4">
        <v>0</v>
      </c>
      <c r="S75" s="4" t="s">
        <v>111</v>
      </c>
      <c r="U75" s="4">
        <v>1</v>
      </c>
      <c r="V75" s="4">
        <v>0</v>
      </c>
      <c r="W75" s="4">
        <v>0</v>
      </c>
    </row>
    <row r="76" spans="1:23" ht="11.25" customHeight="1" x14ac:dyDescent="0.25">
      <c r="A76" s="4" t="s">
        <v>21</v>
      </c>
      <c r="B76" s="4" t="s">
        <v>39</v>
      </c>
      <c r="C76" s="4" t="s">
        <v>42</v>
      </c>
      <c r="D76" s="4" t="s">
        <v>38</v>
      </c>
      <c r="E76" s="4" t="s">
        <v>25</v>
      </c>
      <c r="F76" s="4" t="s">
        <v>57</v>
      </c>
      <c r="G76" s="4" t="s">
        <v>25</v>
      </c>
      <c r="H76" s="4" t="s">
        <v>34</v>
      </c>
      <c r="I76" s="5">
        <v>44501</v>
      </c>
      <c r="J76" s="6">
        <v>2805</v>
      </c>
      <c r="K76" s="6">
        <v>1405.0245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58</v>
      </c>
      <c r="R76" s="4">
        <v>0</v>
      </c>
      <c r="S76" s="4" t="s">
        <v>112</v>
      </c>
      <c r="U76" s="4">
        <v>1</v>
      </c>
      <c r="V76" s="4">
        <v>0</v>
      </c>
      <c r="W76" s="4">
        <v>0</v>
      </c>
    </row>
    <row r="77" spans="1:23" ht="11.25" customHeight="1" x14ac:dyDescent="0.25">
      <c r="A77" s="4" t="s">
        <v>21</v>
      </c>
      <c r="B77" s="4" t="s">
        <v>39</v>
      </c>
      <c r="C77" s="4" t="s">
        <v>42</v>
      </c>
      <c r="D77" s="4" t="s">
        <v>38</v>
      </c>
      <c r="E77" s="4" t="s">
        <v>25</v>
      </c>
      <c r="F77" s="4" t="s">
        <v>57</v>
      </c>
      <c r="G77" s="4" t="s">
        <v>25</v>
      </c>
      <c r="H77" s="4" t="s">
        <v>34</v>
      </c>
      <c r="I77" s="5">
        <v>44531</v>
      </c>
      <c r="J77" s="6">
        <v>2805</v>
      </c>
      <c r="K77" s="6">
        <v>1410.915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58</v>
      </c>
      <c r="R77" s="4">
        <v>0</v>
      </c>
      <c r="S77" s="4" t="s">
        <v>113</v>
      </c>
      <c r="U77" s="4">
        <v>1</v>
      </c>
      <c r="V77" s="4">
        <v>0</v>
      </c>
      <c r="W77" s="4">
        <v>0</v>
      </c>
    </row>
    <row r="78" spans="1:23" ht="11.25" customHeight="1" x14ac:dyDescent="0.25">
      <c r="A78" s="4" t="s">
        <v>21</v>
      </c>
      <c r="B78" s="4" t="s">
        <v>39</v>
      </c>
      <c r="C78" s="4" t="s">
        <v>42</v>
      </c>
      <c r="D78" s="4" t="s">
        <v>38</v>
      </c>
      <c r="E78" s="4" t="s">
        <v>25</v>
      </c>
      <c r="F78" s="4" t="s">
        <v>57</v>
      </c>
      <c r="G78" s="4" t="s">
        <v>25</v>
      </c>
      <c r="H78" s="4" t="s">
        <v>34</v>
      </c>
      <c r="I78" s="5">
        <v>44562</v>
      </c>
      <c r="J78" s="6">
        <v>2805</v>
      </c>
      <c r="K78" s="6">
        <v>1406.4269999999999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58</v>
      </c>
      <c r="R78" s="4">
        <v>0</v>
      </c>
      <c r="S78" s="4" t="s">
        <v>114</v>
      </c>
      <c r="U78" s="4">
        <v>1</v>
      </c>
      <c r="V78" s="4">
        <v>0</v>
      </c>
      <c r="W78" s="4">
        <v>0</v>
      </c>
    </row>
    <row r="79" spans="1:23" ht="11.25" customHeight="1" x14ac:dyDescent="0.25">
      <c r="A79" s="4" t="s">
        <v>21</v>
      </c>
      <c r="B79" s="4" t="s">
        <v>39</v>
      </c>
      <c r="C79" s="4" t="s">
        <v>42</v>
      </c>
      <c r="D79" s="4" t="s">
        <v>38</v>
      </c>
      <c r="E79" s="4" t="s">
        <v>25</v>
      </c>
      <c r="F79" s="4" t="s">
        <v>57</v>
      </c>
      <c r="G79" s="4" t="s">
        <v>25</v>
      </c>
      <c r="H79" s="4" t="s">
        <v>34</v>
      </c>
      <c r="I79" s="5">
        <v>44593</v>
      </c>
      <c r="J79" s="6">
        <v>2870</v>
      </c>
      <c r="K79" s="6">
        <v>1441.6010000000001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58</v>
      </c>
      <c r="R79" s="4">
        <v>0</v>
      </c>
      <c r="S79" s="4" t="s">
        <v>115</v>
      </c>
      <c r="U79" s="4">
        <v>1</v>
      </c>
      <c r="V79" s="4">
        <v>0</v>
      </c>
      <c r="W79" s="4">
        <v>0</v>
      </c>
    </row>
    <row r="80" spans="1:23" ht="11.25" customHeight="1" x14ac:dyDescent="0.25">
      <c r="A80" s="4" t="s">
        <v>21</v>
      </c>
      <c r="B80" s="4" t="s">
        <v>39</v>
      </c>
      <c r="C80" s="4" t="s">
        <v>42</v>
      </c>
      <c r="D80" s="4" t="s">
        <v>38</v>
      </c>
      <c r="E80" s="4" t="s">
        <v>25</v>
      </c>
      <c r="F80" s="4" t="s">
        <v>57</v>
      </c>
      <c r="G80" s="4" t="s">
        <v>25</v>
      </c>
      <c r="H80" s="4" t="s">
        <v>34</v>
      </c>
      <c r="I80" s="5">
        <v>44621</v>
      </c>
      <c r="J80" s="6">
        <v>2805</v>
      </c>
      <c r="K80" s="6">
        <v>1405.5854999999999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58</v>
      </c>
      <c r="R80" s="4">
        <v>0</v>
      </c>
      <c r="S80" s="4" t="s">
        <v>116</v>
      </c>
      <c r="U80" s="4">
        <v>1</v>
      </c>
      <c r="V80" s="4">
        <v>0</v>
      </c>
      <c r="W80" s="4">
        <v>0</v>
      </c>
    </row>
    <row r="81" spans="1:23" ht="11.25" customHeight="1" x14ac:dyDescent="0.25">
      <c r="A81" s="4" t="s">
        <v>21</v>
      </c>
      <c r="B81" s="4" t="s">
        <v>39</v>
      </c>
      <c r="C81" s="4" t="s">
        <v>42</v>
      </c>
      <c r="D81" s="4" t="s">
        <v>38</v>
      </c>
      <c r="E81" s="4" t="s">
        <v>25</v>
      </c>
      <c r="F81" s="4" t="s">
        <v>57</v>
      </c>
      <c r="G81" s="4" t="s">
        <v>25</v>
      </c>
      <c r="H81" s="4" t="s">
        <v>34</v>
      </c>
      <c r="I81" s="5">
        <v>44652</v>
      </c>
      <c r="J81" s="6">
        <v>2865</v>
      </c>
      <c r="K81" s="6">
        <v>1445.106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58</v>
      </c>
      <c r="R81" s="4">
        <v>0</v>
      </c>
      <c r="S81" s="4" t="s">
        <v>117</v>
      </c>
      <c r="U81" s="4">
        <v>1</v>
      </c>
      <c r="V81" s="4">
        <v>0</v>
      </c>
      <c r="W81" s="4">
        <v>0</v>
      </c>
    </row>
    <row r="82" spans="1:23" ht="11.25" customHeight="1" x14ac:dyDescent="0.25">
      <c r="A82" s="4" t="s">
        <v>21</v>
      </c>
      <c r="B82" s="4" t="s">
        <v>39</v>
      </c>
      <c r="C82" s="4" t="s">
        <v>42</v>
      </c>
      <c r="D82" s="4" t="s">
        <v>38</v>
      </c>
      <c r="E82" s="4" t="s">
        <v>25</v>
      </c>
      <c r="F82" s="4" t="s">
        <v>57</v>
      </c>
      <c r="G82" s="4" t="s">
        <v>25</v>
      </c>
      <c r="H82" s="4" t="s">
        <v>34</v>
      </c>
      <c r="I82" s="5">
        <v>44682</v>
      </c>
      <c r="J82" s="6">
        <v>2966</v>
      </c>
      <c r="K82" s="6">
        <v>1488.6353999999999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58</v>
      </c>
      <c r="R82" s="4">
        <v>0</v>
      </c>
      <c r="S82" s="4" t="s">
        <v>118</v>
      </c>
      <c r="U82" s="4">
        <v>1</v>
      </c>
      <c r="V82" s="4">
        <v>0</v>
      </c>
      <c r="W82" s="4">
        <v>0</v>
      </c>
    </row>
    <row r="83" spans="1:23" ht="11.25" customHeight="1" x14ac:dyDescent="0.25">
      <c r="A83" s="4" t="s">
        <v>21</v>
      </c>
      <c r="B83" s="4" t="s">
        <v>39</v>
      </c>
      <c r="C83" s="4" t="s">
        <v>42</v>
      </c>
      <c r="D83" s="4" t="s">
        <v>38</v>
      </c>
      <c r="E83" s="4" t="s">
        <v>25</v>
      </c>
      <c r="F83" s="4" t="s">
        <v>57</v>
      </c>
      <c r="G83" s="4" t="s">
        <v>25</v>
      </c>
      <c r="H83" s="4" t="s">
        <v>34</v>
      </c>
      <c r="I83" s="5">
        <v>44713</v>
      </c>
      <c r="J83" s="6">
        <v>2900</v>
      </c>
      <c r="K83" s="6">
        <v>1452.61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58</v>
      </c>
      <c r="R83" s="4">
        <v>0</v>
      </c>
      <c r="S83" s="4" t="s">
        <v>119</v>
      </c>
      <c r="U83" s="4">
        <v>1</v>
      </c>
      <c r="V83" s="4">
        <v>0</v>
      </c>
      <c r="W83" s="4">
        <v>0</v>
      </c>
    </row>
    <row r="84" spans="1:23" ht="11.25" customHeight="1" x14ac:dyDescent="0.25">
      <c r="A84" s="4" t="s">
        <v>21</v>
      </c>
      <c r="B84" s="4" t="s">
        <v>39</v>
      </c>
      <c r="C84" s="4" t="s">
        <v>42</v>
      </c>
      <c r="D84" s="4" t="s">
        <v>38</v>
      </c>
      <c r="E84" s="4" t="s">
        <v>25</v>
      </c>
      <c r="F84" s="4" t="s">
        <v>57</v>
      </c>
      <c r="G84" s="4" t="s">
        <v>25</v>
      </c>
      <c r="H84" s="4" t="s">
        <v>34</v>
      </c>
      <c r="I84" s="5">
        <v>44743</v>
      </c>
      <c r="J84" s="6">
        <v>2900</v>
      </c>
      <c r="K84" s="6">
        <v>1461.6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58</v>
      </c>
      <c r="R84" s="4">
        <v>0</v>
      </c>
      <c r="S84" s="4" t="s">
        <v>120</v>
      </c>
      <c r="U84" s="4">
        <v>1</v>
      </c>
      <c r="V84" s="4">
        <v>0</v>
      </c>
      <c r="W84" s="4">
        <v>0</v>
      </c>
    </row>
    <row r="85" spans="1:23" ht="11.25" customHeight="1" x14ac:dyDescent="0.25">
      <c r="A85" s="4" t="s">
        <v>56</v>
      </c>
      <c r="B85" s="4" t="s">
        <v>39</v>
      </c>
      <c r="C85" s="4" t="s">
        <v>42</v>
      </c>
      <c r="D85" s="4" t="s">
        <v>38</v>
      </c>
      <c r="E85" s="4" t="s">
        <v>25</v>
      </c>
      <c r="F85" s="4" t="s">
        <v>57</v>
      </c>
      <c r="G85" s="4" t="s">
        <v>25</v>
      </c>
      <c r="H85" s="4" t="s">
        <v>34</v>
      </c>
      <c r="I85" s="5">
        <v>44774</v>
      </c>
      <c r="J85" s="6">
        <v>2900</v>
      </c>
      <c r="K85" s="6">
        <v>1461.6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58</v>
      </c>
      <c r="R85" s="4">
        <v>0</v>
      </c>
      <c r="S85" s="4" t="s">
        <v>121</v>
      </c>
      <c r="U85" s="4">
        <v>1</v>
      </c>
      <c r="V85" s="4">
        <v>0</v>
      </c>
      <c r="W85" s="4">
        <v>0</v>
      </c>
    </row>
    <row r="86" spans="1:23" ht="11.25" customHeight="1" x14ac:dyDescent="0.25">
      <c r="A86" s="4" t="s">
        <v>21</v>
      </c>
      <c r="B86" s="4" t="s">
        <v>39</v>
      </c>
      <c r="C86" s="4" t="s">
        <v>42</v>
      </c>
      <c r="D86" s="4" t="s">
        <v>45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44440</v>
      </c>
      <c r="J86" s="6">
        <v>219</v>
      </c>
      <c r="K86" s="6">
        <v>219</v>
      </c>
      <c r="L86" s="6">
        <v>56.886000000000003</v>
      </c>
      <c r="M86" s="6">
        <v>56.886000000000003</v>
      </c>
      <c r="N86" s="6">
        <v>56.886000000000003</v>
      </c>
      <c r="O86" s="6">
        <v>56.886000000000003</v>
      </c>
      <c r="P86" s="6">
        <v>0</v>
      </c>
      <c r="Q86" s="4" t="s">
        <v>26</v>
      </c>
      <c r="R86" s="4">
        <v>0</v>
      </c>
      <c r="S86" s="4" t="s">
        <v>98</v>
      </c>
      <c r="T86" s="4" t="s">
        <v>399</v>
      </c>
      <c r="U86" s="4">
        <v>2</v>
      </c>
      <c r="V86" s="4">
        <v>3</v>
      </c>
      <c r="W86" s="4">
        <v>49</v>
      </c>
    </row>
    <row r="87" spans="1:23" ht="11.25" customHeight="1" x14ac:dyDescent="0.25">
      <c r="A87" s="4" t="s">
        <v>28</v>
      </c>
      <c r="B87" s="4" t="s">
        <v>39</v>
      </c>
      <c r="C87" s="4" t="s">
        <v>42</v>
      </c>
      <c r="D87" s="4" t="s">
        <v>45</v>
      </c>
      <c r="E87" s="4" t="s">
        <v>25</v>
      </c>
      <c r="F87" s="4" t="s">
        <v>25</v>
      </c>
      <c r="G87" s="4" t="s">
        <v>25</v>
      </c>
      <c r="H87" s="4" t="s">
        <v>35</v>
      </c>
      <c r="I87" s="5">
        <v>44440</v>
      </c>
      <c r="J87" s="6">
        <v>79</v>
      </c>
      <c r="K87" s="6">
        <v>79</v>
      </c>
      <c r="L87" s="6">
        <v>7.5</v>
      </c>
      <c r="M87" s="6">
        <v>7.5</v>
      </c>
      <c r="N87" s="6">
        <v>7.5</v>
      </c>
      <c r="O87" s="6">
        <v>7.5</v>
      </c>
      <c r="P87" s="6">
        <v>0</v>
      </c>
      <c r="Q87" s="4" t="s">
        <v>26</v>
      </c>
      <c r="R87" s="4">
        <v>0</v>
      </c>
      <c r="S87" s="4" t="s">
        <v>98</v>
      </c>
      <c r="T87" s="4" t="s">
        <v>399</v>
      </c>
      <c r="U87" s="4">
        <v>2</v>
      </c>
      <c r="V87" s="4">
        <v>3</v>
      </c>
      <c r="W87" s="4">
        <v>49</v>
      </c>
    </row>
    <row r="88" spans="1:23" ht="11.25" customHeight="1" x14ac:dyDescent="0.25">
      <c r="A88" s="4" t="s">
        <v>21</v>
      </c>
      <c r="B88" s="4" t="s">
        <v>39</v>
      </c>
      <c r="C88" s="4" t="s">
        <v>42</v>
      </c>
      <c r="D88" s="4" t="s">
        <v>45</v>
      </c>
      <c r="E88" s="4" t="s">
        <v>25</v>
      </c>
      <c r="F88" s="4" t="s">
        <v>25</v>
      </c>
      <c r="G88" s="4" t="s">
        <v>25</v>
      </c>
      <c r="H88" s="4" t="s">
        <v>35</v>
      </c>
      <c r="I88" s="5">
        <v>44470</v>
      </c>
      <c r="J88" s="6">
        <v>225</v>
      </c>
      <c r="K88" s="6">
        <v>225</v>
      </c>
      <c r="L88" s="6">
        <v>61.927</v>
      </c>
      <c r="M88" s="6">
        <v>61.927</v>
      </c>
      <c r="N88" s="6">
        <v>61.927</v>
      </c>
      <c r="O88" s="6">
        <v>61.927</v>
      </c>
      <c r="P88" s="6">
        <v>0</v>
      </c>
      <c r="Q88" s="4" t="s">
        <v>26</v>
      </c>
      <c r="R88" s="4">
        <v>0</v>
      </c>
      <c r="S88" s="4" t="s">
        <v>99</v>
      </c>
      <c r="T88" s="4" t="s">
        <v>400</v>
      </c>
      <c r="U88" s="4">
        <v>2</v>
      </c>
      <c r="V88" s="4">
        <v>3</v>
      </c>
      <c r="W88" s="4">
        <v>49</v>
      </c>
    </row>
    <row r="89" spans="1:23" ht="11.25" customHeight="1" x14ac:dyDescent="0.25">
      <c r="A89" s="4" t="s">
        <v>28</v>
      </c>
      <c r="B89" s="4" t="s">
        <v>39</v>
      </c>
      <c r="C89" s="4" t="s">
        <v>42</v>
      </c>
      <c r="D89" s="4" t="s">
        <v>45</v>
      </c>
      <c r="E89" s="4" t="s">
        <v>25</v>
      </c>
      <c r="F89" s="4" t="s">
        <v>25</v>
      </c>
      <c r="G89" s="4" t="s">
        <v>25</v>
      </c>
      <c r="H89" s="4" t="s">
        <v>35</v>
      </c>
      <c r="I89" s="5">
        <v>44470</v>
      </c>
      <c r="J89" s="6">
        <v>138</v>
      </c>
      <c r="K89" s="6">
        <v>138</v>
      </c>
      <c r="L89" s="6">
        <v>17.484999999999999</v>
      </c>
      <c r="M89" s="6">
        <v>17.484999999999999</v>
      </c>
      <c r="N89" s="6">
        <v>17.484999999999999</v>
      </c>
      <c r="O89" s="6">
        <v>17.484999999999999</v>
      </c>
      <c r="P89" s="6">
        <v>0</v>
      </c>
      <c r="Q89" s="4" t="s">
        <v>26</v>
      </c>
      <c r="R89" s="4">
        <v>0</v>
      </c>
      <c r="S89" s="4" t="s">
        <v>99</v>
      </c>
      <c r="T89" s="4" t="s">
        <v>400</v>
      </c>
      <c r="U89" s="4">
        <v>2</v>
      </c>
      <c r="V89" s="4">
        <v>3</v>
      </c>
      <c r="W89" s="4">
        <v>49</v>
      </c>
    </row>
    <row r="90" spans="1:23" ht="11.25" customHeight="1" x14ac:dyDescent="0.25">
      <c r="A90" s="4" t="s">
        <v>21</v>
      </c>
      <c r="B90" s="4" t="s">
        <v>39</v>
      </c>
      <c r="C90" s="4" t="s">
        <v>42</v>
      </c>
      <c r="D90" s="4" t="s">
        <v>45</v>
      </c>
      <c r="E90" s="4" t="s">
        <v>25</v>
      </c>
      <c r="F90" s="4" t="s">
        <v>25</v>
      </c>
      <c r="G90" s="4" t="s">
        <v>25</v>
      </c>
      <c r="H90" s="4" t="s">
        <v>35</v>
      </c>
      <c r="I90" s="5">
        <v>44501</v>
      </c>
      <c r="J90" s="6">
        <v>208</v>
      </c>
      <c r="K90" s="6">
        <v>208</v>
      </c>
      <c r="L90" s="6">
        <v>56.749000000000002</v>
      </c>
      <c r="M90" s="6">
        <v>56.749000000000002</v>
      </c>
      <c r="N90" s="6">
        <v>56.749000000000002</v>
      </c>
      <c r="O90" s="6">
        <v>56.749000000000002</v>
      </c>
      <c r="P90" s="6">
        <v>0</v>
      </c>
      <c r="Q90" s="4" t="s">
        <v>26</v>
      </c>
      <c r="R90" s="4">
        <v>0</v>
      </c>
      <c r="S90" s="4" t="s">
        <v>100</v>
      </c>
      <c r="T90" s="4" t="s">
        <v>401</v>
      </c>
      <c r="U90" s="4">
        <v>2</v>
      </c>
      <c r="V90" s="4">
        <v>3</v>
      </c>
      <c r="W90" s="4">
        <v>49</v>
      </c>
    </row>
    <row r="91" spans="1:23" ht="11.25" customHeight="1" x14ac:dyDescent="0.25">
      <c r="A91" s="4" t="s">
        <v>28</v>
      </c>
      <c r="B91" s="4" t="s">
        <v>39</v>
      </c>
      <c r="C91" s="4" t="s">
        <v>42</v>
      </c>
      <c r="D91" s="4" t="s">
        <v>45</v>
      </c>
      <c r="E91" s="4" t="s">
        <v>25</v>
      </c>
      <c r="F91" s="4" t="s">
        <v>25</v>
      </c>
      <c r="G91" s="4" t="s">
        <v>25</v>
      </c>
      <c r="H91" s="4" t="s">
        <v>35</v>
      </c>
      <c r="I91" s="5">
        <v>44501</v>
      </c>
      <c r="J91" s="6">
        <v>157</v>
      </c>
      <c r="K91" s="6">
        <v>157</v>
      </c>
      <c r="L91" s="6">
        <v>16.108000000000001</v>
      </c>
      <c r="M91" s="6">
        <v>16.108000000000001</v>
      </c>
      <c r="N91" s="6">
        <v>16.108000000000001</v>
      </c>
      <c r="O91" s="6">
        <v>16.108000000000001</v>
      </c>
      <c r="P91" s="6">
        <v>0</v>
      </c>
      <c r="Q91" s="4" t="s">
        <v>26</v>
      </c>
      <c r="R91" s="4">
        <v>0</v>
      </c>
      <c r="S91" s="4" t="s">
        <v>100</v>
      </c>
      <c r="T91" s="4" t="s">
        <v>401</v>
      </c>
      <c r="U91" s="4">
        <v>2</v>
      </c>
      <c r="V91" s="4">
        <v>3</v>
      </c>
      <c r="W91" s="4">
        <v>49</v>
      </c>
    </row>
    <row r="92" spans="1:23" ht="11.25" customHeight="1" x14ac:dyDescent="0.25">
      <c r="A92" s="4" t="s">
        <v>21</v>
      </c>
      <c r="B92" s="4" t="s">
        <v>39</v>
      </c>
      <c r="C92" s="4" t="s">
        <v>42</v>
      </c>
      <c r="D92" s="4" t="s">
        <v>45</v>
      </c>
      <c r="E92" s="4" t="s">
        <v>25</v>
      </c>
      <c r="F92" s="4" t="s">
        <v>25</v>
      </c>
      <c r="G92" s="4" t="s">
        <v>25</v>
      </c>
      <c r="H92" s="4" t="s">
        <v>35</v>
      </c>
      <c r="I92" s="5">
        <v>44531</v>
      </c>
      <c r="J92" s="6">
        <v>211</v>
      </c>
      <c r="K92" s="6">
        <v>211</v>
      </c>
      <c r="L92" s="6">
        <v>61.174999999999997</v>
      </c>
      <c r="M92" s="6">
        <v>61.174999999999997</v>
      </c>
      <c r="N92" s="6">
        <v>61.174999999999997</v>
      </c>
      <c r="O92" s="6">
        <v>61.174999999999997</v>
      </c>
      <c r="P92" s="6">
        <v>0</v>
      </c>
      <c r="Q92" s="4" t="s">
        <v>26</v>
      </c>
      <c r="R92" s="4">
        <v>0</v>
      </c>
      <c r="S92" s="4" t="s">
        <v>101</v>
      </c>
      <c r="T92" s="4" t="s">
        <v>402</v>
      </c>
      <c r="U92" s="4">
        <v>2</v>
      </c>
      <c r="V92" s="4">
        <v>3</v>
      </c>
      <c r="W92" s="4">
        <v>49</v>
      </c>
    </row>
    <row r="93" spans="1:23" ht="11.25" customHeight="1" x14ac:dyDescent="0.25">
      <c r="A93" s="4" t="s">
        <v>28</v>
      </c>
      <c r="B93" s="4" t="s">
        <v>39</v>
      </c>
      <c r="C93" s="4" t="s">
        <v>42</v>
      </c>
      <c r="D93" s="4" t="s">
        <v>45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44531</v>
      </c>
      <c r="J93" s="6">
        <v>165</v>
      </c>
      <c r="K93" s="6">
        <v>165</v>
      </c>
      <c r="L93" s="6">
        <v>14.747</v>
      </c>
      <c r="M93" s="6">
        <v>14.747</v>
      </c>
      <c r="N93" s="6">
        <v>14.747</v>
      </c>
      <c r="O93" s="6">
        <v>14.747</v>
      </c>
      <c r="P93" s="6">
        <v>0</v>
      </c>
      <c r="Q93" s="4" t="s">
        <v>26</v>
      </c>
      <c r="R93" s="4">
        <v>0</v>
      </c>
      <c r="S93" s="4" t="s">
        <v>101</v>
      </c>
      <c r="T93" s="4" t="s">
        <v>402</v>
      </c>
      <c r="U93" s="4">
        <v>2</v>
      </c>
      <c r="V93" s="4">
        <v>3</v>
      </c>
      <c r="W93" s="4">
        <v>49</v>
      </c>
    </row>
    <row r="94" spans="1:23" ht="11.25" customHeight="1" x14ac:dyDescent="0.25">
      <c r="A94" s="4" t="s">
        <v>21</v>
      </c>
      <c r="B94" s="4" t="s">
        <v>39</v>
      </c>
      <c r="C94" s="4" t="s">
        <v>42</v>
      </c>
      <c r="D94" s="4" t="s">
        <v>45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44562</v>
      </c>
      <c r="J94" s="6">
        <v>212</v>
      </c>
      <c r="K94" s="6">
        <v>212</v>
      </c>
      <c r="L94" s="6">
        <v>59.747999999999998</v>
      </c>
      <c r="M94" s="6">
        <v>59.747999999999998</v>
      </c>
      <c r="N94" s="6">
        <v>59.747999999999998</v>
      </c>
      <c r="O94" s="6">
        <v>59.747999999999998</v>
      </c>
      <c r="P94" s="6">
        <v>0</v>
      </c>
      <c r="Q94" s="4" t="s">
        <v>26</v>
      </c>
      <c r="R94" s="4">
        <v>0</v>
      </c>
      <c r="S94" s="4" t="s">
        <v>102</v>
      </c>
      <c r="T94" s="4" t="s">
        <v>403</v>
      </c>
      <c r="U94" s="4">
        <v>2</v>
      </c>
      <c r="V94" s="4">
        <v>3</v>
      </c>
      <c r="W94" s="4">
        <v>49</v>
      </c>
    </row>
    <row r="95" spans="1:23" ht="11.25" customHeight="1" x14ac:dyDescent="0.25">
      <c r="A95" s="4" t="s">
        <v>28</v>
      </c>
      <c r="B95" s="4" t="s">
        <v>39</v>
      </c>
      <c r="C95" s="4" t="s">
        <v>42</v>
      </c>
      <c r="D95" s="4" t="s">
        <v>45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44562</v>
      </c>
      <c r="J95" s="6">
        <v>56</v>
      </c>
      <c r="K95" s="6">
        <v>56</v>
      </c>
      <c r="L95" s="6">
        <v>2.44</v>
      </c>
      <c r="M95" s="6">
        <v>2.44</v>
      </c>
      <c r="N95" s="6">
        <v>2.44</v>
      </c>
      <c r="O95" s="6">
        <v>2.44</v>
      </c>
      <c r="P95" s="6">
        <v>0</v>
      </c>
      <c r="Q95" s="4" t="s">
        <v>26</v>
      </c>
      <c r="R95" s="4">
        <v>0</v>
      </c>
      <c r="S95" s="4" t="s">
        <v>102</v>
      </c>
      <c r="T95" s="4" t="s">
        <v>403</v>
      </c>
      <c r="U95" s="4">
        <v>2</v>
      </c>
      <c r="V95" s="4">
        <v>3</v>
      </c>
      <c r="W95" s="4">
        <v>49</v>
      </c>
    </row>
    <row r="96" spans="1:23" ht="11.25" customHeight="1" x14ac:dyDescent="0.25">
      <c r="A96" s="4" t="s">
        <v>21</v>
      </c>
      <c r="B96" s="4" t="s">
        <v>39</v>
      </c>
      <c r="C96" s="4" t="s">
        <v>42</v>
      </c>
      <c r="D96" s="4" t="s">
        <v>45</v>
      </c>
      <c r="E96" s="4" t="s">
        <v>25</v>
      </c>
      <c r="F96" s="4" t="s">
        <v>25</v>
      </c>
      <c r="G96" s="4" t="s">
        <v>25</v>
      </c>
      <c r="H96" s="4" t="s">
        <v>35</v>
      </c>
      <c r="I96" s="5">
        <v>44593</v>
      </c>
      <c r="J96" s="6">
        <v>224</v>
      </c>
      <c r="K96" s="6">
        <v>224</v>
      </c>
      <c r="L96" s="6">
        <v>62.795000000000002</v>
      </c>
      <c r="M96" s="6">
        <v>62.795000000000002</v>
      </c>
      <c r="N96" s="6">
        <v>62.795000000000002</v>
      </c>
      <c r="O96" s="6">
        <v>62.795000000000002</v>
      </c>
      <c r="P96" s="6">
        <v>0</v>
      </c>
      <c r="Q96" s="4" t="s">
        <v>26</v>
      </c>
      <c r="R96" s="4">
        <v>0</v>
      </c>
      <c r="S96" s="4" t="s">
        <v>103</v>
      </c>
      <c r="T96" s="4" t="s">
        <v>404</v>
      </c>
      <c r="U96" s="4">
        <v>2</v>
      </c>
      <c r="V96" s="4">
        <v>3</v>
      </c>
      <c r="W96" s="4">
        <v>49</v>
      </c>
    </row>
    <row r="97" spans="1:23" ht="11.25" customHeight="1" x14ac:dyDescent="0.25">
      <c r="A97" s="4" t="s">
        <v>28</v>
      </c>
      <c r="B97" s="4" t="s">
        <v>39</v>
      </c>
      <c r="C97" s="4" t="s">
        <v>42</v>
      </c>
      <c r="D97" s="4" t="s">
        <v>45</v>
      </c>
      <c r="E97" s="4" t="s">
        <v>25</v>
      </c>
      <c r="F97" s="4" t="s">
        <v>25</v>
      </c>
      <c r="G97" s="4" t="s">
        <v>25</v>
      </c>
      <c r="H97" s="4" t="s">
        <v>35</v>
      </c>
      <c r="I97" s="5">
        <v>44593</v>
      </c>
      <c r="J97" s="6">
        <v>144</v>
      </c>
      <c r="K97" s="6">
        <v>144</v>
      </c>
      <c r="L97" s="6">
        <v>19.504000000000001</v>
      </c>
      <c r="M97" s="6">
        <v>19.504000000000001</v>
      </c>
      <c r="N97" s="6">
        <v>19.504000000000001</v>
      </c>
      <c r="O97" s="6">
        <v>19.504000000000001</v>
      </c>
      <c r="P97" s="6">
        <v>0</v>
      </c>
      <c r="Q97" s="4" t="s">
        <v>26</v>
      </c>
      <c r="R97" s="4">
        <v>0</v>
      </c>
      <c r="S97" s="4" t="s">
        <v>103</v>
      </c>
      <c r="T97" s="4" t="s">
        <v>404</v>
      </c>
      <c r="U97" s="4">
        <v>2</v>
      </c>
      <c r="V97" s="4">
        <v>3</v>
      </c>
      <c r="W97" s="4">
        <v>49</v>
      </c>
    </row>
    <row r="98" spans="1:23" ht="11.25" customHeight="1" x14ac:dyDescent="0.25">
      <c r="A98" s="4" t="s">
        <v>21</v>
      </c>
      <c r="B98" s="4" t="s">
        <v>39</v>
      </c>
      <c r="C98" s="4" t="s">
        <v>42</v>
      </c>
      <c r="D98" s="4" t="s">
        <v>45</v>
      </c>
      <c r="E98" s="4" t="s">
        <v>25</v>
      </c>
      <c r="F98" s="4" t="s">
        <v>25</v>
      </c>
      <c r="G98" s="4" t="s">
        <v>25</v>
      </c>
      <c r="H98" s="4" t="s">
        <v>35</v>
      </c>
      <c r="I98" s="5">
        <v>44621</v>
      </c>
      <c r="J98" s="6">
        <v>222</v>
      </c>
      <c r="K98" s="6">
        <v>222</v>
      </c>
      <c r="L98" s="6">
        <v>74.301000000000002</v>
      </c>
      <c r="M98" s="6">
        <v>74.301000000000002</v>
      </c>
      <c r="N98" s="6">
        <v>74.301000000000002</v>
      </c>
      <c r="O98" s="6">
        <v>74.301000000000002</v>
      </c>
      <c r="P98" s="6">
        <v>0</v>
      </c>
      <c r="Q98" s="4" t="s">
        <v>26</v>
      </c>
      <c r="R98" s="4">
        <v>0</v>
      </c>
      <c r="S98" s="4" t="s">
        <v>104</v>
      </c>
      <c r="T98" s="4" t="s">
        <v>405</v>
      </c>
      <c r="U98" s="4">
        <v>2</v>
      </c>
      <c r="V98" s="4">
        <v>3</v>
      </c>
      <c r="W98" s="4">
        <v>49</v>
      </c>
    </row>
    <row r="99" spans="1:23" ht="11.25" customHeight="1" x14ac:dyDescent="0.25">
      <c r="A99" s="4" t="s">
        <v>28</v>
      </c>
      <c r="B99" s="4" t="s">
        <v>39</v>
      </c>
      <c r="C99" s="4" t="s">
        <v>42</v>
      </c>
      <c r="D99" s="4" t="s">
        <v>45</v>
      </c>
      <c r="E99" s="4" t="s">
        <v>25</v>
      </c>
      <c r="F99" s="4" t="s">
        <v>25</v>
      </c>
      <c r="G99" s="4" t="s">
        <v>25</v>
      </c>
      <c r="H99" s="4" t="s">
        <v>35</v>
      </c>
      <c r="I99" s="5">
        <v>44621</v>
      </c>
      <c r="J99" s="6">
        <v>181</v>
      </c>
      <c r="K99" s="6">
        <v>181</v>
      </c>
      <c r="L99" s="6">
        <v>27.297000000000001</v>
      </c>
      <c r="M99" s="6">
        <v>27.297000000000001</v>
      </c>
      <c r="N99" s="6">
        <v>27.297000000000001</v>
      </c>
      <c r="O99" s="6">
        <v>27.297000000000001</v>
      </c>
      <c r="P99" s="6">
        <v>0</v>
      </c>
      <c r="Q99" s="4" t="s">
        <v>26</v>
      </c>
      <c r="R99" s="4">
        <v>0</v>
      </c>
      <c r="S99" s="4" t="s">
        <v>104</v>
      </c>
      <c r="T99" s="4" t="s">
        <v>405</v>
      </c>
      <c r="U99" s="4">
        <v>2</v>
      </c>
      <c r="V99" s="4">
        <v>3</v>
      </c>
      <c r="W99" s="4">
        <v>49</v>
      </c>
    </row>
    <row r="100" spans="1:23" ht="11.25" customHeight="1" x14ac:dyDescent="0.25">
      <c r="A100" s="4" t="s">
        <v>21</v>
      </c>
      <c r="B100" s="4" t="s">
        <v>39</v>
      </c>
      <c r="C100" s="4" t="s">
        <v>42</v>
      </c>
      <c r="D100" s="4" t="s">
        <v>45</v>
      </c>
      <c r="E100" s="4" t="s">
        <v>25</v>
      </c>
      <c r="F100" s="4" t="s">
        <v>25</v>
      </c>
      <c r="G100" s="4" t="s">
        <v>25</v>
      </c>
      <c r="H100" s="4" t="s">
        <v>35</v>
      </c>
      <c r="I100" s="5">
        <v>44652</v>
      </c>
      <c r="J100" s="6">
        <v>227</v>
      </c>
      <c r="K100" s="6">
        <v>227</v>
      </c>
      <c r="L100" s="6">
        <v>68.061000000000007</v>
      </c>
      <c r="M100" s="6">
        <v>68.061000000000007</v>
      </c>
      <c r="N100" s="6">
        <v>68.061000000000007</v>
      </c>
      <c r="O100" s="6">
        <v>68.061000000000007</v>
      </c>
      <c r="P100" s="6">
        <v>0</v>
      </c>
      <c r="Q100" s="4" t="s">
        <v>26</v>
      </c>
      <c r="R100" s="4">
        <v>0</v>
      </c>
      <c r="S100" s="4" t="s">
        <v>105</v>
      </c>
      <c r="T100" s="4" t="s">
        <v>406</v>
      </c>
      <c r="U100" s="4">
        <v>2</v>
      </c>
      <c r="V100" s="4">
        <v>3</v>
      </c>
      <c r="W100" s="4">
        <v>49</v>
      </c>
    </row>
    <row r="101" spans="1:23" ht="11.25" customHeight="1" x14ac:dyDescent="0.25">
      <c r="A101" s="4" t="s">
        <v>28</v>
      </c>
      <c r="B101" s="4" t="s">
        <v>39</v>
      </c>
      <c r="C101" s="4" t="s">
        <v>42</v>
      </c>
      <c r="D101" s="4" t="s">
        <v>45</v>
      </c>
      <c r="E101" s="4" t="s">
        <v>25</v>
      </c>
      <c r="F101" s="4" t="s">
        <v>25</v>
      </c>
      <c r="G101" s="4" t="s">
        <v>25</v>
      </c>
      <c r="H101" s="4" t="s">
        <v>35</v>
      </c>
      <c r="I101" s="5">
        <v>44652</v>
      </c>
      <c r="J101" s="6">
        <v>189</v>
      </c>
      <c r="K101" s="6">
        <v>189</v>
      </c>
      <c r="L101" s="6">
        <v>25.547000000000001</v>
      </c>
      <c r="M101" s="6">
        <v>25.547000000000001</v>
      </c>
      <c r="N101" s="6">
        <v>25.547000000000001</v>
      </c>
      <c r="O101" s="6">
        <v>25.547000000000001</v>
      </c>
      <c r="P101" s="6">
        <v>0</v>
      </c>
      <c r="Q101" s="4" t="s">
        <v>26</v>
      </c>
      <c r="R101" s="4">
        <v>0</v>
      </c>
      <c r="S101" s="4" t="s">
        <v>105</v>
      </c>
      <c r="T101" s="4" t="s">
        <v>406</v>
      </c>
      <c r="U101" s="4">
        <v>2</v>
      </c>
      <c r="V101" s="4">
        <v>3</v>
      </c>
      <c r="W101" s="4">
        <v>49</v>
      </c>
    </row>
    <row r="102" spans="1:23" ht="11.25" customHeight="1" x14ac:dyDescent="0.25">
      <c r="A102" s="4" t="s">
        <v>21</v>
      </c>
      <c r="B102" s="4" t="s">
        <v>39</v>
      </c>
      <c r="C102" s="4" t="s">
        <v>42</v>
      </c>
      <c r="D102" s="4" t="s">
        <v>45</v>
      </c>
      <c r="E102" s="4" t="s">
        <v>25</v>
      </c>
      <c r="F102" s="4" t="s">
        <v>25</v>
      </c>
      <c r="G102" s="4" t="s">
        <v>25</v>
      </c>
      <c r="H102" s="4" t="s">
        <v>35</v>
      </c>
      <c r="I102" s="5">
        <v>44682</v>
      </c>
      <c r="J102" s="6">
        <v>213</v>
      </c>
      <c r="K102" s="6">
        <v>213</v>
      </c>
      <c r="L102" s="6">
        <v>50.048999999999999</v>
      </c>
      <c r="M102" s="6">
        <v>50.048999999999999</v>
      </c>
      <c r="N102" s="6">
        <v>50.048999999999999</v>
      </c>
      <c r="O102" s="6">
        <v>50.048999999999999</v>
      </c>
      <c r="P102" s="6">
        <v>0</v>
      </c>
      <c r="Q102" s="4" t="s">
        <v>26</v>
      </c>
      <c r="R102" s="4">
        <v>0</v>
      </c>
      <c r="S102" s="4" t="s">
        <v>106</v>
      </c>
      <c r="T102" s="4" t="s">
        <v>407</v>
      </c>
      <c r="U102" s="4">
        <v>2</v>
      </c>
      <c r="V102" s="4">
        <v>3</v>
      </c>
      <c r="W102" s="4">
        <v>49</v>
      </c>
    </row>
    <row r="103" spans="1:23" ht="11.25" customHeight="1" x14ac:dyDescent="0.25">
      <c r="A103" s="4" t="s">
        <v>28</v>
      </c>
      <c r="B103" s="4" t="s">
        <v>39</v>
      </c>
      <c r="C103" s="4" t="s">
        <v>42</v>
      </c>
      <c r="D103" s="4" t="s">
        <v>45</v>
      </c>
      <c r="E103" s="4" t="s">
        <v>25</v>
      </c>
      <c r="F103" s="4" t="s">
        <v>25</v>
      </c>
      <c r="G103" s="4" t="s">
        <v>25</v>
      </c>
      <c r="H103" s="4" t="s">
        <v>35</v>
      </c>
      <c r="I103" s="5">
        <v>44682</v>
      </c>
      <c r="J103" s="6">
        <v>184</v>
      </c>
      <c r="K103" s="6">
        <v>184</v>
      </c>
      <c r="L103" s="6">
        <v>20.768000000000001</v>
      </c>
      <c r="M103" s="6">
        <v>20.768000000000001</v>
      </c>
      <c r="N103" s="6">
        <v>20.768000000000001</v>
      </c>
      <c r="O103" s="6">
        <v>20.768000000000001</v>
      </c>
      <c r="P103" s="6">
        <v>0</v>
      </c>
      <c r="Q103" s="4" t="s">
        <v>26</v>
      </c>
      <c r="R103" s="4">
        <v>0</v>
      </c>
      <c r="S103" s="4" t="s">
        <v>106</v>
      </c>
      <c r="T103" s="4" t="s">
        <v>407</v>
      </c>
      <c r="U103" s="4">
        <v>2</v>
      </c>
      <c r="V103" s="4">
        <v>3</v>
      </c>
      <c r="W103" s="4">
        <v>49</v>
      </c>
    </row>
    <row r="104" spans="1:23" ht="11.25" customHeight="1" x14ac:dyDescent="0.25">
      <c r="A104" s="4" t="s">
        <v>21</v>
      </c>
      <c r="B104" s="4" t="s">
        <v>39</v>
      </c>
      <c r="C104" s="4" t="s">
        <v>42</v>
      </c>
      <c r="D104" s="4" t="s">
        <v>45</v>
      </c>
      <c r="E104" s="4" t="s">
        <v>25</v>
      </c>
      <c r="F104" s="4" t="s">
        <v>25</v>
      </c>
      <c r="G104" s="4" t="s">
        <v>25</v>
      </c>
      <c r="H104" s="4" t="s">
        <v>35</v>
      </c>
      <c r="I104" s="5">
        <v>44713</v>
      </c>
      <c r="J104" s="6">
        <v>180</v>
      </c>
      <c r="K104" s="6">
        <v>180</v>
      </c>
      <c r="L104" s="6">
        <v>37.116999999999997</v>
      </c>
      <c r="M104" s="6">
        <v>37.116999999999997</v>
      </c>
      <c r="N104" s="6">
        <v>37.116999999999997</v>
      </c>
      <c r="O104" s="6">
        <v>37.116999999999997</v>
      </c>
      <c r="P104" s="6">
        <v>0</v>
      </c>
      <c r="Q104" s="4" t="s">
        <v>26</v>
      </c>
      <c r="R104" s="4">
        <v>0</v>
      </c>
      <c r="S104" s="4" t="s">
        <v>107</v>
      </c>
      <c r="T104" s="4" t="s">
        <v>408</v>
      </c>
      <c r="U104" s="4">
        <v>2</v>
      </c>
      <c r="V104" s="4">
        <v>3</v>
      </c>
      <c r="W104" s="4">
        <v>49</v>
      </c>
    </row>
    <row r="105" spans="1:23" ht="11.25" customHeight="1" x14ac:dyDescent="0.25">
      <c r="A105" s="4" t="s">
        <v>28</v>
      </c>
      <c r="B105" s="4" t="s">
        <v>39</v>
      </c>
      <c r="C105" s="4" t="s">
        <v>42</v>
      </c>
      <c r="D105" s="4" t="s">
        <v>45</v>
      </c>
      <c r="E105" s="4" t="s">
        <v>25</v>
      </c>
      <c r="F105" s="4" t="s">
        <v>25</v>
      </c>
      <c r="G105" s="4" t="s">
        <v>25</v>
      </c>
      <c r="H105" s="4" t="s">
        <v>35</v>
      </c>
      <c r="I105" s="5">
        <v>44713</v>
      </c>
      <c r="J105" s="6">
        <v>160</v>
      </c>
      <c r="K105" s="6">
        <v>160</v>
      </c>
      <c r="L105" s="6">
        <v>12.603</v>
      </c>
      <c r="M105" s="6">
        <v>12.603</v>
      </c>
      <c r="N105" s="6">
        <v>12.603</v>
      </c>
      <c r="O105" s="6">
        <v>12.603</v>
      </c>
      <c r="P105" s="6">
        <v>0</v>
      </c>
      <c r="Q105" s="4" t="s">
        <v>26</v>
      </c>
      <c r="R105" s="4">
        <v>0</v>
      </c>
      <c r="S105" s="4" t="s">
        <v>107</v>
      </c>
      <c r="T105" s="4" t="s">
        <v>408</v>
      </c>
      <c r="U105" s="4">
        <v>2</v>
      </c>
      <c r="V105" s="4">
        <v>3</v>
      </c>
      <c r="W105" s="4">
        <v>49</v>
      </c>
    </row>
    <row r="106" spans="1:23" ht="11.25" customHeight="1" x14ac:dyDescent="0.25">
      <c r="A106" s="4" t="s">
        <v>21</v>
      </c>
      <c r="B106" s="4" t="s">
        <v>39</v>
      </c>
      <c r="C106" s="4" t="s">
        <v>42</v>
      </c>
      <c r="D106" s="4" t="s">
        <v>45</v>
      </c>
      <c r="E106" s="4" t="s">
        <v>25</v>
      </c>
      <c r="F106" s="4" t="s">
        <v>25</v>
      </c>
      <c r="G106" s="4" t="s">
        <v>25</v>
      </c>
      <c r="H106" s="4" t="s">
        <v>35</v>
      </c>
      <c r="I106" s="5">
        <v>44743</v>
      </c>
      <c r="J106" s="6">
        <v>181</v>
      </c>
      <c r="K106" s="6">
        <v>181</v>
      </c>
      <c r="L106" s="6">
        <v>40.564</v>
      </c>
      <c r="M106" s="6">
        <v>40.564</v>
      </c>
      <c r="N106" s="6">
        <v>40.564</v>
      </c>
      <c r="O106" s="6">
        <v>40.564</v>
      </c>
      <c r="P106" s="6">
        <v>0</v>
      </c>
      <c r="Q106" s="4" t="s">
        <v>26</v>
      </c>
      <c r="R106" s="4">
        <v>0</v>
      </c>
      <c r="S106" s="4" t="s">
        <v>108</v>
      </c>
      <c r="T106" s="4" t="s">
        <v>409</v>
      </c>
      <c r="U106" s="4">
        <v>2</v>
      </c>
      <c r="V106" s="4">
        <v>3</v>
      </c>
      <c r="W106" s="4">
        <v>49</v>
      </c>
    </row>
    <row r="107" spans="1:23" ht="11.25" customHeight="1" x14ac:dyDescent="0.25">
      <c r="A107" s="4" t="s">
        <v>28</v>
      </c>
      <c r="B107" s="4" t="s">
        <v>39</v>
      </c>
      <c r="C107" s="4" t="s">
        <v>42</v>
      </c>
      <c r="D107" s="4" t="s">
        <v>45</v>
      </c>
      <c r="E107" s="4" t="s">
        <v>25</v>
      </c>
      <c r="F107" s="4" t="s">
        <v>25</v>
      </c>
      <c r="G107" s="4" t="s">
        <v>25</v>
      </c>
      <c r="H107" s="4" t="s">
        <v>35</v>
      </c>
      <c r="I107" s="5">
        <v>44743</v>
      </c>
      <c r="J107" s="6">
        <v>160</v>
      </c>
      <c r="K107" s="6">
        <v>160</v>
      </c>
      <c r="L107" s="6">
        <v>7.3109999999999999</v>
      </c>
      <c r="M107" s="6">
        <v>7.3109999999999999</v>
      </c>
      <c r="N107" s="6">
        <v>7.3109999999999999</v>
      </c>
      <c r="O107" s="6">
        <v>7.3109999999999999</v>
      </c>
      <c r="P107" s="6">
        <v>0</v>
      </c>
      <c r="Q107" s="4" t="s">
        <v>26</v>
      </c>
      <c r="R107" s="4">
        <v>0</v>
      </c>
      <c r="S107" s="4" t="s">
        <v>108</v>
      </c>
      <c r="T107" s="4" t="s">
        <v>409</v>
      </c>
      <c r="U107" s="4">
        <v>2</v>
      </c>
      <c r="V107" s="4">
        <v>3</v>
      </c>
      <c r="W107" s="4">
        <v>49</v>
      </c>
    </row>
    <row r="108" spans="1:23" ht="11.25" customHeight="1" x14ac:dyDescent="0.25">
      <c r="A108" s="4" t="s">
        <v>56</v>
      </c>
      <c r="B108" s="4" t="s">
        <v>39</v>
      </c>
      <c r="C108" s="4" t="s">
        <v>42</v>
      </c>
      <c r="D108" s="4" t="s">
        <v>45</v>
      </c>
      <c r="E108" s="4" t="s">
        <v>25</v>
      </c>
      <c r="F108" s="4" t="s">
        <v>25</v>
      </c>
      <c r="G108" s="4" t="s">
        <v>25</v>
      </c>
      <c r="H108" s="4" t="s">
        <v>35</v>
      </c>
      <c r="I108" s="5">
        <v>44774</v>
      </c>
      <c r="J108" s="6">
        <v>181</v>
      </c>
      <c r="K108" s="6">
        <v>181</v>
      </c>
      <c r="L108" s="6">
        <v>40.564</v>
      </c>
      <c r="M108" s="6">
        <v>40.564</v>
      </c>
      <c r="N108" s="6">
        <v>40.564</v>
      </c>
      <c r="O108" s="6">
        <v>40.564</v>
      </c>
      <c r="P108" s="6">
        <v>0</v>
      </c>
      <c r="Q108" s="4" t="s">
        <v>26</v>
      </c>
      <c r="R108" s="4">
        <v>0</v>
      </c>
      <c r="S108" s="4" t="s">
        <v>109</v>
      </c>
      <c r="T108" s="4" t="s">
        <v>410</v>
      </c>
      <c r="U108" s="4">
        <v>2</v>
      </c>
      <c r="V108" s="4">
        <v>3</v>
      </c>
      <c r="W108" s="4">
        <v>49</v>
      </c>
    </row>
    <row r="109" spans="1:23" ht="11.25" customHeight="1" x14ac:dyDescent="0.25">
      <c r="A109" s="4" t="s">
        <v>56</v>
      </c>
      <c r="B109" s="4" t="s">
        <v>39</v>
      </c>
      <c r="C109" s="4" t="s">
        <v>42</v>
      </c>
      <c r="D109" s="4" t="s">
        <v>45</v>
      </c>
      <c r="E109" s="4" t="s">
        <v>25</v>
      </c>
      <c r="F109" s="4" t="s">
        <v>25</v>
      </c>
      <c r="G109" s="4" t="s">
        <v>25</v>
      </c>
      <c r="H109" s="4" t="s">
        <v>35</v>
      </c>
      <c r="I109" s="5">
        <v>44774</v>
      </c>
      <c r="J109" s="6">
        <v>160</v>
      </c>
      <c r="K109" s="6">
        <v>160</v>
      </c>
      <c r="L109" s="6">
        <v>7.3109999999999999</v>
      </c>
      <c r="M109" s="6">
        <v>7.3109999999999999</v>
      </c>
      <c r="N109" s="6">
        <v>7.3109999999999999</v>
      </c>
      <c r="O109" s="6">
        <v>7.3109999999999999</v>
      </c>
      <c r="P109" s="6">
        <v>0</v>
      </c>
      <c r="Q109" s="4" t="s">
        <v>26</v>
      </c>
      <c r="R109" s="4">
        <v>0</v>
      </c>
      <c r="S109" s="4" t="s">
        <v>109</v>
      </c>
      <c r="T109" s="4" t="s">
        <v>410</v>
      </c>
      <c r="U109" s="4">
        <v>2</v>
      </c>
      <c r="V109" s="4">
        <v>3</v>
      </c>
      <c r="W109" s="4">
        <v>49</v>
      </c>
    </row>
    <row r="110" spans="1:23" ht="11.25" customHeight="1" x14ac:dyDescent="0.25">
      <c r="A110" s="4" t="s">
        <v>21</v>
      </c>
      <c r="B110" s="4" t="s">
        <v>39</v>
      </c>
      <c r="C110" s="4" t="s">
        <v>42</v>
      </c>
      <c r="D110" s="4" t="s">
        <v>45</v>
      </c>
      <c r="E110" s="4" t="s">
        <v>25</v>
      </c>
      <c r="F110" s="4" t="s">
        <v>25</v>
      </c>
      <c r="G110" s="4" t="s">
        <v>25</v>
      </c>
      <c r="H110" s="4" t="s">
        <v>34</v>
      </c>
      <c r="I110" s="5">
        <v>44440</v>
      </c>
      <c r="J110" s="6">
        <v>216</v>
      </c>
      <c r="K110" s="6">
        <v>216</v>
      </c>
      <c r="L110" s="6">
        <v>6.6310000000000002</v>
      </c>
      <c r="M110" s="6">
        <v>6.6310000000000002</v>
      </c>
      <c r="N110" s="6">
        <v>6.6310000000000002</v>
      </c>
      <c r="O110" s="6">
        <v>6.6310000000000002</v>
      </c>
      <c r="P110" s="6">
        <v>0</v>
      </c>
      <c r="Q110" s="4" t="s">
        <v>26</v>
      </c>
      <c r="R110" s="4">
        <v>0</v>
      </c>
      <c r="S110" s="4" t="s">
        <v>110</v>
      </c>
      <c r="T110" s="4" t="s">
        <v>411</v>
      </c>
      <c r="U110" s="4">
        <v>1</v>
      </c>
      <c r="V110" s="4">
        <v>3</v>
      </c>
      <c r="W110" s="4">
        <v>48</v>
      </c>
    </row>
    <row r="111" spans="1:23" ht="11.25" customHeight="1" x14ac:dyDescent="0.25">
      <c r="A111" s="4" t="s">
        <v>28</v>
      </c>
      <c r="B111" s="4" t="s">
        <v>39</v>
      </c>
      <c r="C111" s="4" t="s">
        <v>42</v>
      </c>
      <c r="D111" s="4" t="s">
        <v>45</v>
      </c>
      <c r="E111" s="4" t="s">
        <v>25</v>
      </c>
      <c r="F111" s="4" t="s">
        <v>25</v>
      </c>
      <c r="G111" s="4" t="s">
        <v>25</v>
      </c>
      <c r="H111" s="4" t="s">
        <v>34</v>
      </c>
      <c r="I111" s="5">
        <v>44440</v>
      </c>
      <c r="J111" s="6">
        <v>81</v>
      </c>
      <c r="K111" s="6">
        <v>81</v>
      </c>
      <c r="L111" s="6">
        <v>2.5110000000000001</v>
      </c>
      <c r="M111" s="6">
        <v>2.5110000000000001</v>
      </c>
      <c r="N111" s="6">
        <v>2.5110000000000001</v>
      </c>
      <c r="O111" s="6">
        <v>2.5110000000000001</v>
      </c>
      <c r="P111" s="6">
        <v>0</v>
      </c>
      <c r="Q111" s="4" t="s">
        <v>26</v>
      </c>
      <c r="R111" s="4">
        <v>0</v>
      </c>
      <c r="S111" s="4" t="s">
        <v>110</v>
      </c>
      <c r="T111" s="4" t="s">
        <v>411</v>
      </c>
      <c r="U111" s="4">
        <v>1</v>
      </c>
      <c r="V111" s="4">
        <v>3</v>
      </c>
      <c r="W111" s="4">
        <v>48</v>
      </c>
    </row>
    <row r="112" spans="1:23" ht="11.25" customHeight="1" x14ac:dyDescent="0.25">
      <c r="A112" s="4" t="s">
        <v>21</v>
      </c>
      <c r="B112" s="4" t="s">
        <v>39</v>
      </c>
      <c r="C112" s="4" t="s">
        <v>42</v>
      </c>
      <c r="D112" s="4" t="s">
        <v>45</v>
      </c>
      <c r="E112" s="4" t="s">
        <v>25</v>
      </c>
      <c r="F112" s="4" t="s">
        <v>25</v>
      </c>
      <c r="G112" s="4" t="s">
        <v>25</v>
      </c>
      <c r="H112" s="4" t="s">
        <v>34</v>
      </c>
      <c r="I112" s="5">
        <v>44470</v>
      </c>
      <c r="J112" s="6">
        <v>207</v>
      </c>
      <c r="K112" s="6">
        <v>207</v>
      </c>
      <c r="L112" s="6">
        <v>6.633</v>
      </c>
      <c r="M112" s="6">
        <v>6.633</v>
      </c>
      <c r="N112" s="6">
        <v>6.633</v>
      </c>
      <c r="O112" s="6">
        <v>6.633</v>
      </c>
      <c r="P112" s="6">
        <v>0</v>
      </c>
      <c r="Q112" s="4" t="s">
        <v>26</v>
      </c>
      <c r="R112" s="4">
        <v>0</v>
      </c>
      <c r="S112" s="4" t="s">
        <v>111</v>
      </c>
      <c r="T112" s="4" t="s">
        <v>412</v>
      </c>
      <c r="U112" s="4">
        <v>1</v>
      </c>
      <c r="V112" s="4">
        <v>3</v>
      </c>
      <c r="W112" s="4">
        <v>48</v>
      </c>
    </row>
    <row r="113" spans="1:23" ht="11.25" customHeight="1" x14ac:dyDescent="0.25">
      <c r="A113" s="4" t="s">
        <v>28</v>
      </c>
      <c r="B113" s="4" t="s">
        <v>39</v>
      </c>
      <c r="C113" s="4" t="s">
        <v>42</v>
      </c>
      <c r="D113" s="4" t="s">
        <v>45</v>
      </c>
      <c r="E113" s="4" t="s">
        <v>25</v>
      </c>
      <c r="F113" s="4" t="s">
        <v>25</v>
      </c>
      <c r="G113" s="4" t="s">
        <v>25</v>
      </c>
      <c r="H113" s="4" t="s">
        <v>34</v>
      </c>
      <c r="I113" s="5">
        <v>44470</v>
      </c>
      <c r="J113" s="6">
        <v>110</v>
      </c>
      <c r="K113" s="6">
        <v>110</v>
      </c>
      <c r="L113" s="6">
        <v>3.2629999999999999</v>
      </c>
      <c r="M113" s="6">
        <v>3.2629999999999999</v>
      </c>
      <c r="N113" s="6">
        <v>3.2629999999999999</v>
      </c>
      <c r="O113" s="6">
        <v>3.2629999999999999</v>
      </c>
      <c r="P113" s="6">
        <v>0</v>
      </c>
      <c r="Q113" s="4" t="s">
        <v>26</v>
      </c>
      <c r="R113" s="4">
        <v>0</v>
      </c>
      <c r="S113" s="4" t="s">
        <v>111</v>
      </c>
      <c r="T113" s="4" t="s">
        <v>412</v>
      </c>
      <c r="U113" s="4">
        <v>1</v>
      </c>
      <c r="V113" s="4">
        <v>3</v>
      </c>
      <c r="W113" s="4">
        <v>48</v>
      </c>
    </row>
    <row r="114" spans="1:23" ht="11.25" customHeight="1" x14ac:dyDescent="0.25">
      <c r="A114" s="4" t="s">
        <v>21</v>
      </c>
      <c r="B114" s="4" t="s">
        <v>39</v>
      </c>
      <c r="C114" s="4" t="s">
        <v>42</v>
      </c>
      <c r="D114" s="4" t="s">
        <v>45</v>
      </c>
      <c r="E114" s="4" t="s">
        <v>25</v>
      </c>
      <c r="F114" s="4" t="s">
        <v>25</v>
      </c>
      <c r="G114" s="4" t="s">
        <v>25</v>
      </c>
      <c r="H114" s="4" t="s">
        <v>34</v>
      </c>
      <c r="I114" s="5">
        <v>44501</v>
      </c>
      <c r="J114" s="6">
        <v>188</v>
      </c>
      <c r="K114" s="6">
        <v>188</v>
      </c>
      <c r="L114" s="6">
        <v>5.9749999999999996</v>
      </c>
      <c r="M114" s="6">
        <v>5.9749999999999996</v>
      </c>
      <c r="N114" s="6">
        <v>5.9749999999999996</v>
      </c>
      <c r="O114" s="6">
        <v>5.9749999999999996</v>
      </c>
      <c r="P114" s="6">
        <v>0</v>
      </c>
      <c r="Q114" s="4" t="s">
        <v>26</v>
      </c>
      <c r="R114" s="4">
        <v>0</v>
      </c>
      <c r="S114" s="4" t="s">
        <v>112</v>
      </c>
      <c r="T114" s="4" t="s">
        <v>413</v>
      </c>
      <c r="U114" s="4">
        <v>1</v>
      </c>
      <c r="V114" s="4">
        <v>3</v>
      </c>
      <c r="W114" s="4">
        <v>48</v>
      </c>
    </row>
    <row r="115" spans="1:23" ht="11.25" customHeight="1" x14ac:dyDescent="0.25">
      <c r="A115" s="4" t="s">
        <v>28</v>
      </c>
      <c r="B115" s="4" t="s">
        <v>39</v>
      </c>
      <c r="C115" s="4" t="s">
        <v>42</v>
      </c>
      <c r="D115" s="4" t="s">
        <v>45</v>
      </c>
      <c r="E115" s="4" t="s">
        <v>25</v>
      </c>
      <c r="F115" s="4" t="s">
        <v>25</v>
      </c>
      <c r="G115" s="4" t="s">
        <v>25</v>
      </c>
      <c r="H115" s="4" t="s">
        <v>34</v>
      </c>
      <c r="I115" s="5">
        <v>44501</v>
      </c>
      <c r="J115" s="6">
        <v>103</v>
      </c>
      <c r="K115" s="6">
        <v>103</v>
      </c>
      <c r="L115" s="6">
        <v>3.3439999999999999</v>
      </c>
      <c r="M115" s="6">
        <v>3.3439999999999999</v>
      </c>
      <c r="N115" s="6">
        <v>3.3439999999999999</v>
      </c>
      <c r="O115" s="6">
        <v>3.3439999999999999</v>
      </c>
      <c r="P115" s="6">
        <v>0</v>
      </c>
      <c r="Q115" s="4" t="s">
        <v>26</v>
      </c>
      <c r="R115" s="4">
        <v>0</v>
      </c>
      <c r="S115" s="4" t="s">
        <v>112</v>
      </c>
      <c r="T115" s="4" t="s">
        <v>413</v>
      </c>
      <c r="U115" s="4">
        <v>1</v>
      </c>
      <c r="V115" s="4">
        <v>3</v>
      </c>
      <c r="W115" s="4">
        <v>48</v>
      </c>
    </row>
    <row r="116" spans="1:23" ht="11.25" customHeight="1" x14ac:dyDescent="0.25">
      <c r="A116" s="4" t="s">
        <v>21</v>
      </c>
      <c r="B116" s="4" t="s">
        <v>39</v>
      </c>
      <c r="C116" s="4" t="s">
        <v>42</v>
      </c>
      <c r="D116" s="4" t="s">
        <v>45</v>
      </c>
      <c r="E116" s="4" t="s">
        <v>25</v>
      </c>
      <c r="F116" s="4" t="s">
        <v>25</v>
      </c>
      <c r="G116" s="4" t="s">
        <v>25</v>
      </c>
      <c r="H116" s="4" t="s">
        <v>34</v>
      </c>
      <c r="I116" s="5">
        <v>44531</v>
      </c>
      <c r="J116" s="6">
        <v>192</v>
      </c>
      <c r="K116" s="6">
        <v>192</v>
      </c>
      <c r="L116" s="6">
        <v>7.1040000000000001</v>
      </c>
      <c r="M116" s="6">
        <v>7.1040000000000001</v>
      </c>
      <c r="N116" s="6">
        <v>7.1040000000000001</v>
      </c>
      <c r="O116" s="6">
        <v>7.1040000000000001</v>
      </c>
      <c r="P116" s="6">
        <v>0</v>
      </c>
      <c r="Q116" s="4" t="s">
        <v>26</v>
      </c>
      <c r="R116" s="4">
        <v>0</v>
      </c>
      <c r="S116" s="4" t="s">
        <v>113</v>
      </c>
      <c r="T116" s="4" t="s">
        <v>414</v>
      </c>
      <c r="U116" s="4">
        <v>1</v>
      </c>
      <c r="V116" s="4">
        <v>3</v>
      </c>
      <c r="W116" s="4">
        <v>48</v>
      </c>
    </row>
    <row r="117" spans="1:23" ht="11.25" customHeight="1" x14ac:dyDescent="0.25">
      <c r="A117" s="4" t="s">
        <v>28</v>
      </c>
      <c r="B117" s="4" t="s">
        <v>39</v>
      </c>
      <c r="C117" s="4" t="s">
        <v>42</v>
      </c>
      <c r="D117" s="4" t="s">
        <v>45</v>
      </c>
      <c r="E117" s="4" t="s">
        <v>25</v>
      </c>
      <c r="F117" s="4" t="s">
        <v>25</v>
      </c>
      <c r="G117" s="4" t="s">
        <v>25</v>
      </c>
      <c r="H117" s="4" t="s">
        <v>34</v>
      </c>
      <c r="I117" s="5">
        <v>44531</v>
      </c>
      <c r="J117" s="6">
        <v>112</v>
      </c>
      <c r="K117" s="6">
        <v>112</v>
      </c>
      <c r="L117" s="6">
        <v>3.496</v>
      </c>
      <c r="M117" s="6">
        <v>3.496</v>
      </c>
      <c r="N117" s="6">
        <v>3.496</v>
      </c>
      <c r="O117" s="6">
        <v>3.496</v>
      </c>
      <c r="P117" s="6">
        <v>0</v>
      </c>
      <c r="Q117" s="4" t="s">
        <v>26</v>
      </c>
      <c r="R117" s="4">
        <v>0</v>
      </c>
      <c r="S117" s="4" t="s">
        <v>113</v>
      </c>
      <c r="T117" s="4" t="s">
        <v>414</v>
      </c>
      <c r="U117" s="4">
        <v>1</v>
      </c>
      <c r="V117" s="4">
        <v>3</v>
      </c>
      <c r="W117" s="4">
        <v>48</v>
      </c>
    </row>
    <row r="118" spans="1:23" ht="11.25" customHeight="1" x14ac:dyDescent="0.25">
      <c r="A118" s="4" t="s">
        <v>21</v>
      </c>
      <c r="B118" s="4" t="s">
        <v>39</v>
      </c>
      <c r="C118" s="4" t="s">
        <v>42</v>
      </c>
      <c r="D118" s="4" t="s">
        <v>45</v>
      </c>
      <c r="E118" s="4" t="s">
        <v>25</v>
      </c>
      <c r="F118" s="4" t="s">
        <v>25</v>
      </c>
      <c r="G118" s="4" t="s">
        <v>25</v>
      </c>
      <c r="H118" s="4" t="s">
        <v>34</v>
      </c>
      <c r="I118" s="5">
        <v>44562</v>
      </c>
      <c r="J118" s="6">
        <v>196</v>
      </c>
      <c r="K118" s="6">
        <v>196</v>
      </c>
      <c r="L118" s="6">
        <v>6.194</v>
      </c>
      <c r="M118" s="6">
        <v>6.194</v>
      </c>
      <c r="N118" s="6">
        <v>6.194</v>
      </c>
      <c r="O118" s="6">
        <v>6.194</v>
      </c>
      <c r="P118" s="6">
        <v>0</v>
      </c>
      <c r="Q118" s="4" t="s">
        <v>26</v>
      </c>
      <c r="R118" s="4">
        <v>0</v>
      </c>
      <c r="S118" s="4" t="s">
        <v>114</v>
      </c>
      <c r="T118" s="4" t="s">
        <v>415</v>
      </c>
      <c r="U118" s="4">
        <v>1</v>
      </c>
      <c r="V118" s="4">
        <v>3</v>
      </c>
      <c r="W118" s="4">
        <v>48</v>
      </c>
    </row>
    <row r="119" spans="1:23" ht="11.25" customHeight="1" x14ac:dyDescent="0.25">
      <c r="A119" s="4" t="s">
        <v>28</v>
      </c>
      <c r="B119" s="4" t="s">
        <v>39</v>
      </c>
      <c r="C119" s="4" t="s">
        <v>42</v>
      </c>
      <c r="D119" s="4" t="s">
        <v>45</v>
      </c>
      <c r="E119" s="4" t="s">
        <v>25</v>
      </c>
      <c r="F119" s="4" t="s">
        <v>25</v>
      </c>
      <c r="G119" s="4" t="s">
        <v>25</v>
      </c>
      <c r="H119" s="4" t="s">
        <v>34</v>
      </c>
      <c r="I119" s="5">
        <v>44562</v>
      </c>
      <c r="J119" s="6">
        <v>46</v>
      </c>
      <c r="K119" s="6">
        <v>46</v>
      </c>
      <c r="L119" s="6">
        <v>1.45</v>
      </c>
      <c r="M119" s="6">
        <v>1.45</v>
      </c>
      <c r="N119" s="6">
        <v>1.45</v>
      </c>
      <c r="O119" s="6">
        <v>1.45</v>
      </c>
      <c r="P119" s="6">
        <v>0</v>
      </c>
      <c r="Q119" s="4" t="s">
        <v>26</v>
      </c>
      <c r="R119" s="4">
        <v>0</v>
      </c>
      <c r="S119" s="4" t="s">
        <v>114</v>
      </c>
      <c r="T119" s="4" t="s">
        <v>415</v>
      </c>
      <c r="U119" s="4">
        <v>1</v>
      </c>
      <c r="V119" s="4">
        <v>3</v>
      </c>
      <c r="W119" s="4">
        <v>48</v>
      </c>
    </row>
    <row r="120" spans="1:23" ht="11.25" customHeight="1" x14ac:dyDescent="0.25">
      <c r="A120" s="4" t="s">
        <v>21</v>
      </c>
      <c r="B120" s="4" t="s">
        <v>39</v>
      </c>
      <c r="C120" s="4" t="s">
        <v>42</v>
      </c>
      <c r="D120" s="4" t="s">
        <v>45</v>
      </c>
      <c r="E120" s="4" t="s">
        <v>25</v>
      </c>
      <c r="F120" s="4" t="s">
        <v>25</v>
      </c>
      <c r="G120" s="4" t="s">
        <v>25</v>
      </c>
      <c r="H120" s="4" t="s">
        <v>34</v>
      </c>
      <c r="I120" s="5">
        <v>44593</v>
      </c>
      <c r="J120" s="6">
        <v>200</v>
      </c>
      <c r="K120" s="6">
        <v>200</v>
      </c>
      <c r="L120" s="6">
        <v>7.3529999999999998</v>
      </c>
      <c r="M120" s="6">
        <v>7.3529999999999998</v>
      </c>
      <c r="N120" s="6">
        <v>7.3529999999999998</v>
      </c>
      <c r="O120" s="6">
        <v>7.3529999999999998</v>
      </c>
      <c r="P120" s="6">
        <v>0</v>
      </c>
      <c r="Q120" s="4" t="s">
        <v>26</v>
      </c>
      <c r="R120" s="4">
        <v>0</v>
      </c>
      <c r="S120" s="4" t="s">
        <v>115</v>
      </c>
      <c r="T120" s="4" t="s">
        <v>416</v>
      </c>
      <c r="U120" s="4">
        <v>1</v>
      </c>
      <c r="V120" s="4">
        <v>3</v>
      </c>
      <c r="W120" s="4">
        <v>48</v>
      </c>
    </row>
    <row r="121" spans="1:23" ht="11.25" customHeight="1" x14ac:dyDescent="0.25">
      <c r="A121" s="4" t="s">
        <v>28</v>
      </c>
      <c r="B121" s="4" t="s">
        <v>39</v>
      </c>
      <c r="C121" s="4" t="s">
        <v>42</v>
      </c>
      <c r="D121" s="4" t="s">
        <v>45</v>
      </c>
      <c r="E121" s="4" t="s">
        <v>25</v>
      </c>
      <c r="F121" s="4" t="s">
        <v>25</v>
      </c>
      <c r="G121" s="4" t="s">
        <v>25</v>
      </c>
      <c r="H121" s="4" t="s">
        <v>34</v>
      </c>
      <c r="I121" s="5">
        <v>44593</v>
      </c>
      <c r="J121" s="6">
        <v>98</v>
      </c>
      <c r="K121" s="6">
        <v>98</v>
      </c>
      <c r="L121" s="6">
        <v>3.3929999999999998</v>
      </c>
      <c r="M121" s="6">
        <v>3.3929999999999998</v>
      </c>
      <c r="N121" s="6">
        <v>3.3929999999999998</v>
      </c>
      <c r="O121" s="6">
        <v>3.3929999999999998</v>
      </c>
      <c r="P121" s="6">
        <v>0</v>
      </c>
      <c r="Q121" s="4" t="s">
        <v>26</v>
      </c>
      <c r="R121" s="4">
        <v>0</v>
      </c>
      <c r="S121" s="4" t="s">
        <v>115</v>
      </c>
      <c r="T121" s="4" t="s">
        <v>416</v>
      </c>
      <c r="U121" s="4">
        <v>1</v>
      </c>
      <c r="V121" s="4">
        <v>3</v>
      </c>
      <c r="W121" s="4">
        <v>48</v>
      </c>
    </row>
    <row r="122" spans="1:23" ht="11.25" customHeight="1" x14ac:dyDescent="0.25">
      <c r="A122" s="4" t="s">
        <v>21</v>
      </c>
      <c r="B122" s="4" t="s">
        <v>39</v>
      </c>
      <c r="C122" s="4" t="s">
        <v>42</v>
      </c>
      <c r="D122" s="4" t="s">
        <v>45</v>
      </c>
      <c r="E122" s="4" t="s">
        <v>25</v>
      </c>
      <c r="F122" s="4" t="s">
        <v>25</v>
      </c>
      <c r="G122" s="4" t="s">
        <v>25</v>
      </c>
      <c r="H122" s="4" t="s">
        <v>34</v>
      </c>
      <c r="I122" s="5">
        <v>44621</v>
      </c>
      <c r="J122" s="6">
        <v>206</v>
      </c>
      <c r="K122" s="6">
        <v>206</v>
      </c>
      <c r="L122" s="6">
        <v>8.798</v>
      </c>
      <c r="M122" s="6">
        <v>8.798</v>
      </c>
      <c r="N122" s="6">
        <v>8.798</v>
      </c>
      <c r="O122" s="6">
        <v>8.798</v>
      </c>
      <c r="P122" s="6">
        <v>0</v>
      </c>
      <c r="Q122" s="4" t="s">
        <v>26</v>
      </c>
      <c r="R122" s="4">
        <v>0</v>
      </c>
      <c r="S122" s="4" t="s">
        <v>116</v>
      </c>
      <c r="T122" s="4" t="s">
        <v>417</v>
      </c>
      <c r="U122" s="4">
        <v>1</v>
      </c>
      <c r="V122" s="4">
        <v>3</v>
      </c>
      <c r="W122" s="4">
        <v>48</v>
      </c>
    </row>
    <row r="123" spans="1:23" ht="11.25" customHeight="1" x14ac:dyDescent="0.25">
      <c r="A123" s="4" t="s">
        <v>28</v>
      </c>
      <c r="B123" s="4" t="s">
        <v>39</v>
      </c>
      <c r="C123" s="4" t="s">
        <v>42</v>
      </c>
      <c r="D123" s="4" t="s">
        <v>45</v>
      </c>
      <c r="E123" s="4" t="s">
        <v>25</v>
      </c>
      <c r="F123" s="4" t="s">
        <v>25</v>
      </c>
      <c r="G123" s="4" t="s">
        <v>25</v>
      </c>
      <c r="H123" s="4" t="s">
        <v>34</v>
      </c>
      <c r="I123" s="5">
        <v>44621</v>
      </c>
      <c r="J123" s="6">
        <v>137</v>
      </c>
      <c r="K123" s="6">
        <v>137</v>
      </c>
      <c r="L123" s="6">
        <v>5.3719999999999999</v>
      </c>
      <c r="M123" s="6">
        <v>5.3719999999999999</v>
      </c>
      <c r="N123" s="6">
        <v>5.3719999999999999</v>
      </c>
      <c r="O123" s="6">
        <v>5.3719999999999999</v>
      </c>
      <c r="P123" s="6">
        <v>0</v>
      </c>
      <c r="Q123" s="4" t="s">
        <v>26</v>
      </c>
      <c r="R123" s="4">
        <v>0</v>
      </c>
      <c r="S123" s="4" t="s">
        <v>116</v>
      </c>
      <c r="T123" s="4" t="s">
        <v>417</v>
      </c>
      <c r="U123" s="4">
        <v>1</v>
      </c>
      <c r="V123" s="4">
        <v>3</v>
      </c>
      <c r="W123" s="4">
        <v>48</v>
      </c>
    </row>
    <row r="124" spans="1:23" ht="11.25" customHeight="1" x14ac:dyDescent="0.25">
      <c r="A124" s="4" t="s">
        <v>21</v>
      </c>
      <c r="B124" s="4" t="s">
        <v>39</v>
      </c>
      <c r="C124" s="4" t="s">
        <v>42</v>
      </c>
      <c r="D124" s="4" t="s">
        <v>45</v>
      </c>
      <c r="E124" s="4" t="s">
        <v>25</v>
      </c>
      <c r="F124" s="4" t="s">
        <v>25</v>
      </c>
      <c r="G124" s="4" t="s">
        <v>25</v>
      </c>
      <c r="H124" s="4" t="s">
        <v>34</v>
      </c>
      <c r="I124" s="5">
        <v>44652</v>
      </c>
      <c r="J124" s="6">
        <v>207</v>
      </c>
      <c r="K124" s="6">
        <v>207</v>
      </c>
      <c r="L124" s="6">
        <v>8.1839999999999993</v>
      </c>
      <c r="M124" s="6">
        <v>8.1839999999999993</v>
      </c>
      <c r="N124" s="6">
        <v>8.1839999999999993</v>
      </c>
      <c r="O124" s="6">
        <v>8.1839999999999993</v>
      </c>
      <c r="P124" s="6">
        <v>0</v>
      </c>
      <c r="Q124" s="4" t="s">
        <v>26</v>
      </c>
      <c r="R124" s="4">
        <v>0</v>
      </c>
      <c r="S124" s="4" t="s">
        <v>117</v>
      </c>
      <c r="T124" s="4" t="s">
        <v>418</v>
      </c>
      <c r="U124" s="4">
        <v>1</v>
      </c>
      <c r="V124" s="4">
        <v>3</v>
      </c>
      <c r="W124" s="4">
        <v>48</v>
      </c>
    </row>
    <row r="125" spans="1:23" ht="11.25" customHeight="1" x14ac:dyDescent="0.25">
      <c r="A125" s="4" t="s">
        <v>28</v>
      </c>
      <c r="B125" s="4" t="s">
        <v>39</v>
      </c>
      <c r="C125" s="4" t="s">
        <v>42</v>
      </c>
      <c r="D125" s="4" t="s">
        <v>45</v>
      </c>
      <c r="E125" s="4" t="s">
        <v>25</v>
      </c>
      <c r="F125" s="4" t="s">
        <v>25</v>
      </c>
      <c r="G125" s="4" t="s">
        <v>25</v>
      </c>
      <c r="H125" s="4" t="s">
        <v>34</v>
      </c>
      <c r="I125" s="5">
        <v>44652</v>
      </c>
      <c r="J125" s="6">
        <v>130</v>
      </c>
      <c r="K125" s="6">
        <v>130</v>
      </c>
      <c r="L125" s="6">
        <v>4.6459999999999999</v>
      </c>
      <c r="M125" s="6">
        <v>4.6459999999999999</v>
      </c>
      <c r="N125" s="6">
        <v>4.6459999999999999</v>
      </c>
      <c r="O125" s="6">
        <v>4.6459999999999999</v>
      </c>
      <c r="P125" s="6">
        <v>0</v>
      </c>
      <c r="Q125" s="4" t="s">
        <v>26</v>
      </c>
      <c r="R125" s="4">
        <v>0</v>
      </c>
      <c r="S125" s="4" t="s">
        <v>117</v>
      </c>
      <c r="T125" s="4" t="s">
        <v>418</v>
      </c>
      <c r="U125" s="4">
        <v>1</v>
      </c>
      <c r="V125" s="4">
        <v>3</v>
      </c>
      <c r="W125" s="4">
        <v>48</v>
      </c>
    </row>
    <row r="126" spans="1:23" ht="11.25" customHeight="1" x14ac:dyDescent="0.25">
      <c r="A126" s="4" t="s">
        <v>21</v>
      </c>
      <c r="B126" s="4" t="s">
        <v>39</v>
      </c>
      <c r="C126" s="4" t="s">
        <v>42</v>
      </c>
      <c r="D126" s="4" t="s">
        <v>45</v>
      </c>
      <c r="E126" s="4" t="s">
        <v>25</v>
      </c>
      <c r="F126" s="4" t="s">
        <v>25</v>
      </c>
      <c r="G126" s="4" t="s">
        <v>25</v>
      </c>
      <c r="H126" s="4" t="s">
        <v>34</v>
      </c>
      <c r="I126" s="5">
        <v>44682</v>
      </c>
      <c r="J126" s="6">
        <v>191</v>
      </c>
      <c r="K126" s="6">
        <v>191</v>
      </c>
      <c r="L126" s="6">
        <v>6.0069999999999997</v>
      </c>
      <c r="M126" s="6">
        <v>6.0069999999999997</v>
      </c>
      <c r="N126" s="6">
        <v>6.0069999999999997</v>
      </c>
      <c r="O126" s="6">
        <v>6.0069999999999997</v>
      </c>
      <c r="P126" s="6">
        <v>0</v>
      </c>
      <c r="Q126" s="4" t="s">
        <v>26</v>
      </c>
      <c r="R126" s="4">
        <v>0</v>
      </c>
      <c r="S126" s="4" t="s">
        <v>118</v>
      </c>
      <c r="T126" s="4" t="s">
        <v>419</v>
      </c>
      <c r="U126" s="4">
        <v>1</v>
      </c>
      <c r="V126" s="4">
        <v>3</v>
      </c>
      <c r="W126" s="4">
        <v>48</v>
      </c>
    </row>
    <row r="127" spans="1:23" ht="11.25" customHeight="1" x14ac:dyDescent="0.25">
      <c r="A127" s="4" t="s">
        <v>28</v>
      </c>
      <c r="B127" s="4" t="s">
        <v>39</v>
      </c>
      <c r="C127" s="4" t="s">
        <v>42</v>
      </c>
      <c r="D127" s="4" t="s">
        <v>45</v>
      </c>
      <c r="E127" s="4" t="s">
        <v>25</v>
      </c>
      <c r="F127" s="4" t="s">
        <v>25</v>
      </c>
      <c r="G127" s="4" t="s">
        <v>25</v>
      </c>
      <c r="H127" s="4" t="s">
        <v>34</v>
      </c>
      <c r="I127" s="5">
        <v>44682</v>
      </c>
      <c r="J127" s="6">
        <v>110</v>
      </c>
      <c r="K127" s="6">
        <v>110</v>
      </c>
      <c r="L127" s="6">
        <v>3.8519999999999999</v>
      </c>
      <c r="M127" s="6">
        <v>3.8519999999999999</v>
      </c>
      <c r="N127" s="6">
        <v>3.8519999999999999</v>
      </c>
      <c r="O127" s="6">
        <v>3.8519999999999999</v>
      </c>
      <c r="P127" s="6">
        <v>0</v>
      </c>
      <c r="Q127" s="4" t="s">
        <v>26</v>
      </c>
      <c r="R127" s="4">
        <v>0</v>
      </c>
      <c r="S127" s="4" t="s">
        <v>118</v>
      </c>
      <c r="T127" s="4" t="s">
        <v>419</v>
      </c>
      <c r="U127" s="4">
        <v>1</v>
      </c>
      <c r="V127" s="4">
        <v>3</v>
      </c>
      <c r="W127" s="4">
        <v>48</v>
      </c>
    </row>
    <row r="128" spans="1:23" ht="11.25" customHeight="1" x14ac:dyDescent="0.25">
      <c r="A128" s="4" t="s">
        <v>21</v>
      </c>
      <c r="B128" s="4" t="s">
        <v>39</v>
      </c>
      <c r="C128" s="4" t="s">
        <v>42</v>
      </c>
      <c r="D128" s="4" t="s">
        <v>45</v>
      </c>
      <c r="E128" s="4" t="s">
        <v>25</v>
      </c>
      <c r="F128" s="4" t="s">
        <v>25</v>
      </c>
      <c r="G128" s="4" t="s">
        <v>25</v>
      </c>
      <c r="H128" s="4" t="s">
        <v>34</v>
      </c>
      <c r="I128" s="5">
        <v>44713</v>
      </c>
      <c r="J128" s="6">
        <v>180</v>
      </c>
      <c r="K128" s="6">
        <v>180</v>
      </c>
      <c r="L128" s="6">
        <v>4.9050000000000002</v>
      </c>
      <c r="M128" s="6">
        <v>4.9050000000000002</v>
      </c>
      <c r="N128" s="6">
        <v>4.9050000000000002</v>
      </c>
      <c r="O128" s="6">
        <v>4.9050000000000002</v>
      </c>
      <c r="P128" s="6">
        <v>0</v>
      </c>
      <c r="Q128" s="4" t="s">
        <v>26</v>
      </c>
      <c r="R128" s="4">
        <v>0</v>
      </c>
      <c r="S128" s="4" t="s">
        <v>119</v>
      </c>
      <c r="T128" s="4" t="s">
        <v>420</v>
      </c>
      <c r="U128" s="4">
        <v>1</v>
      </c>
      <c r="V128" s="4">
        <v>3</v>
      </c>
      <c r="W128" s="4">
        <v>48</v>
      </c>
    </row>
    <row r="129" spans="1:23" ht="11.25" customHeight="1" x14ac:dyDescent="0.25">
      <c r="A129" s="4" t="s">
        <v>28</v>
      </c>
      <c r="B129" s="4" t="s">
        <v>39</v>
      </c>
      <c r="C129" s="4" t="s">
        <v>42</v>
      </c>
      <c r="D129" s="4" t="s">
        <v>45</v>
      </c>
      <c r="E129" s="4" t="s">
        <v>25</v>
      </c>
      <c r="F129" s="4" t="s">
        <v>25</v>
      </c>
      <c r="G129" s="4" t="s">
        <v>25</v>
      </c>
      <c r="H129" s="4" t="s">
        <v>34</v>
      </c>
      <c r="I129" s="5">
        <v>44713</v>
      </c>
      <c r="J129" s="6">
        <v>110</v>
      </c>
      <c r="K129" s="6">
        <v>110</v>
      </c>
      <c r="L129" s="6">
        <v>3.16</v>
      </c>
      <c r="M129" s="6">
        <v>3.16</v>
      </c>
      <c r="N129" s="6">
        <v>3.16</v>
      </c>
      <c r="O129" s="6">
        <v>3.16</v>
      </c>
      <c r="P129" s="6">
        <v>0</v>
      </c>
      <c r="Q129" s="4" t="s">
        <v>26</v>
      </c>
      <c r="R129" s="4">
        <v>0</v>
      </c>
      <c r="S129" s="4" t="s">
        <v>119</v>
      </c>
      <c r="T129" s="4" t="s">
        <v>420</v>
      </c>
      <c r="U129" s="4">
        <v>1</v>
      </c>
      <c r="V129" s="4">
        <v>3</v>
      </c>
      <c r="W129" s="4">
        <v>48</v>
      </c>
    </row>
    <row r="130" spans="1:23" ht="11.25" customHeight="1" x14ac:dyDescent="0.25">
      <c r="A130" s="4" t="s">
        <v>21</v>
      </c>
      <c r="B130" s="4" t="s">
        <v>39</v>
      </c>
      <c r="C130" s="4" t="s">
        <v>42</v>
      </c>
      <c r="D130" s="4" t="s">
        <v>45</v>
      </c>
      <c r="E130" s="4" t="s">
        <v>25</v>
      </c>
      <c r="F130" s="4" t="s">
        <v>25</v>
      </c>
      <c r="G130" s="4" t="s">
        <v>25</v>
      </c>
      <c r="H130" s="4" t="s">
        <v>34</v>
      </c>
      <c r="I130" s="5">
        <v>44743</v>
      </c>
      <c r="J130" s="6">
        <v>180</v>
      </c>
      <c r="K130" s="6">
        <v>180</v>
      </c>
      <c r="L130" s="6">
        <v>5.2530000000000001</v>
      </c>
      <c r="M130" s="6">
        <v>5.2530000000000001</v>
      </c>
      <c r="N130" s="6">
        <v>5.2530000000000001</v>
      </c>
      <c r="O130" s="6">
        <v>5.2530000000000001</v>
      </c>
      <c r="P130" s="6">
        <v>0</v>
      </c>
      <c r="Q130" s="4" t="s">
        <v>26</v>
      </c>
      <c r="R130" s="4">
        <v>0</v>
      </c>
      <c r="S130" s="4" t="s">
        <v>120</v>
      </c>
      <c r="T130" s="4" t="s">
        <v>421</v>
      </c>
      <c r="U130" s="4">
        <v>1</v>
      </c>
      <c r="V130" s="4">
        <v>3</v>
      </c>
      <c r="W130" s="4">
        <v>48</v>
      </c>
    </row>
    <row r="131" spans="1:23" ht="11.25" customHeight="1" x14ac:dyDescent="0.25">
      <c r="A131" s="4" t="s">
        <v>28</v>
      </c>
      <c r="B131" s="4" t="s">
        <v>39</v>
      </c>
      <c r="C131" s="4" t="s">
        <v>42</v>
      </c>
      <c r="D131" s="4" t="s">
        <v>45</v>
      </c>
      <c r="E131" s="4" t="s">
        <v>25</v>
      </c>
      <c r="F131" s="4" t="s">
        <v>25</v>
      </c>
      <c r="G131" s="4" t="s">
        <v>25</v>
      </c>
      <c r="H131" s="4" t="s">
        <v>34</v>
      </c>
      <c r="I131" s="5">
        <v>44743</v>
      </c>
      <c r="J131" s="6">
        <v>110</v>
      </c>
      <c r="K131" s="6">
        <v>110</v>
      </c>
      <c r="L131" s="6">
        <v>2.242</v>
      </c>
      <c r="M131" s="6">
        <v>2.242</v>
      </c>
      <c r="N131" s="6">
        <v>2.242</v>
      </c>
      <c r="O131" s="6">
        <v>2.242</v>
      </c>
      <c r="P131" s="6">
        <v>0</v>
      </c>
      <c r="Q131" s="4" t="s">
        <v>26</v>
      </c>
      <c r="R131" s="4">
        <v>0</v>
      </c>
      <c r="S131" s="4" t="s">
        <v>120</v>
      </c>
      <c r="T131" s="4" t="s">
        <v>421</v>
      </c>
      <c r="U131" s="4">
        <v>1</v>
      </c>
      <c r="V131" s="4">
        <v>3</v>
      </c>
      <c r="W131" s="4">
        <v>48</v>
      </c>
    </row>
    <row r="132" spans="1:23" ht="11.25" customHeight="1" x14ac:dyDescent="0.25">
      <c r="A132" s="4" t="s">
        <v>56</v>
      </c>
      <c r="B132" s="4" t="s">
        <v>39</v>
      </c>
      <c r="C132" s="4" t="s">
        <v>42</v>
      </c>
      <c r="D132" s="4" t="s">
        <v>45</v>
      </c>
      <c r="E132" s="4" t="s">
        <v>25</v>
      </c>
      <c r="F132" s="4" t="s">
        <v>25</v>
      </c>
      <c r="G132" s="4" t="s">
        <v>25</v>
      </c>
      <c r="H132" s="4" t="s">
        <v>34</v>
      </c>
      <c r="I132" s="5">
        <v>44774</v>
      </c>
      <c r="J132" s="6">
        <v>180</v>
      </c>
      <c r="K132" s="6">
        <v>180</v>
      </c>
      <c r="L132" s="6">
        <v>5.2530000000000001</v>
      </c>
      <c r="M132" s="6">
        <v>5.2530000000000001</v>
      </c>
      <c r="N132" s="6">
        <v>5.2530000000000001</v>
      </c>
      <c r="O132" s="6">
        <v>5.2530000000000001</v>
      </c>
      <c r="P132" s="6">
        <v>0</v>
      </c>
      <c r="Q132" s="4" t="s">
        <v>26</v>
      </c>
      <c r="R132" s="4">
        <v>0</v>
      </c>
      <c r="S132" s="4" t="s">
        <v>121</v>
      </c>
      <c r="T132" s="4" t="s">
        <v>422</v>
      </c>
      <c r="U132" s="4">
        <v>1</v>
      </c>
      <c r="V132" s="4">
        <v>3</v>
      </c>
      <c r="W132" s="4">
        <v>48</v>
      </c>
    </row>
    <row r="133" spans="1:23" ht="11.25" customHeight="1" x14ac:dyDescent="0.25">
      <c r="A133" s="4" t="s">
        <v>56</v>
      </c>
      <c r="B133" s="4" t="s">
        <v>39</v>
      </c>
      <c r="C133" s="4" t="s">
        <v>42</v>
      </c>
      <c r="D133" s="4" t="s">
        <v>45</v>
      </c>
      <c r="E133" s="4" t="s">
        <v>25</v>
      </c>
      <c r="F133" s="4" t="s">
        <v>25</v>
      </c>
      <c r="G133" s="4" t="s">
        <v>25</v>
      </c>
      <c r="H133" s="4" t="s">
        <v>34</v>
      </c>
      <c r="I133" s="5">
        <v>44774</v>
      </c>
      <c r="J133" s="6">
        <v>110</v>
      </c>
      <c r="K133" s="6">
        <v>110</v>
      </c>
      <c r="L133" s="6">
        <v>2.242</v>
      </c>
      <c r="M133" s="6">
        <v>2.242</v>
      </c>
      <c r="N133" s="6">
        <v>2.242</v>
      </c>
      <c r="O133" s="6">
        <v>2.242</v>
      </c>
      <c r="P133" s="6">
        <v>0</v>
      </c>
      <c r="Q133" s="4" t="s">
        <v>26</v>
      </c>
      <c r="R133" s="4">
        <v>0</v>
      </c>
      <c r="S133" s="4" t="s">
        <v>121</v>
      </c>
      <c r="T133" s="4" t="s">
        <v>422</v>
      </c>
      <c r="U133" s="4">
        <v>1</v>
      </c>
      <c r="V133" s="4">
        <v>3</v>
      </c>
      <c r="W133" s="4">
        <v>48</v>
      </c>
    </row>
    <row r="134" spans="1:23" ht="11.25" customHeight="1" x14ac:dyDescent="0.25">
      <c r="A134" s="4" t="s">
        <v>21</v>
      </c>
      <c r="B134" s="4" t="s">
        <v>39</v>
      </c>
      <c r="C134" s="4" t="s">
        <v>42</v>
      </c>
      <c r="D134" s="4" t="s">
        <v>44</v>
      </c>
      <c r="E134" s="4" t="s">
        <v>25</v>
      </c>
      <c r="F134" s="4" t="s">
        <v>25</v>
      </c>
      <c r="G134" s="4" t="s">
        <v>25</v>
      </c>
      <c r="H134" s="4" t="s">
        <v>35</v>
      </c>
      <c r="I134" s="5">
        <v>44440</v>
      </c>
      <c r="J134" s="6">
        <v>243</v>
      </c>
      <c r="K134" s="6">
        <v>233.28</v>
      </c>
      <c r="L134" s="6">
        <v>77.897999999999996</v>
      </c>
      <c r="M134" s="6">
        <v>74.782079999999993</v>
      </c>
      <c r="N134" s="6">
        <v>77.897999999999996</v>
      </c>
      <c r="O134" s="6">
        <v>74.782079999999993</v>
      </c>
      <c r="P134" s="6">
        <v>0</v>
      </c>
      <c r="Q134" s="4" t="s">
        <v>26</v>
      </c>
      <c r="R134" s="4">
        <v>0</v>
      </c>
      <c r="S134" s="4" t="s">
        <v>98</v>
      </c>
      <c r="T134" s="4" t="s">
        <v>399</v>
      </c>
      <c r="U134" s="4">
        <v>2</v>
      </c>
      <c r="V134" s="4">
        <v>3</v>
      </c>
      <c r="W134" s="4">
        <v>49</v>
      </c>
    </row>
    <row r="135" spans="1:23" ht="11.25" customHeight="1" x14ac:dyDescent="0.25">
      <c r="A135" s="4" t="s">
        <v>21</v>
      </c>
      <c r="B135" s="4" t="s">
        <v>39</v>
      </c>
      <c r="C135" s="4" t="s">
        <v>42</v>
      </c>
      <c r="D135" s="4" t="s">
        <v>44</v>
      </c>
      <c r="E135" s="4" t="s">
        <v>25</v>
      </c>
      <c r="F135" s="4" t="s">
        <v>25</v>
      </c>
      <c r="G135" s="4" t="s">
        <v>25</v>
      </c>
      <c r="H135" s="4" t="s">
        <v>35</v>
      </c>
      <c r="I135" s="5">
        <v>44470</v>
      </c>
      <c r="J135" s="6">
        <v>327</v>
      </c>
      <c r="K135" s="6">
        <v>313.92</v>
      </c>
      <c r="L135" s="6">
        <v>97.45</v>
      </c>
      <c r="M135" s="6">
        <v>93.552000000000007</v>
      </c>
      <c r="N135" s="6">
        <v>97.45</v>
      </c>
      <c r="O135" s="6">
        <v>93.552000000000007</v>
      </c>
      <c r="P135" s="6">
        <v>0</v>
      </c>
      <c r="Q135" s="4" t="s">
        <v>26</v>
      </c>
      <c r="R135" s="4">
        <v>0</v>
      </c>
      <c r="S135" s="4" t="s">
        <v>99</v>
      </c>
      <c r="T135" s="4" t="s">
        <v>400</v>
      </c>
      <c r="U135" s="4">
        <v>2</v>
      </c>
      <c r="V135" s="4">
        <v>3</v>
      </c>
      <c r="W135" s="4">
        <v>49</v>
      </c>
    </row>
    <row r="136" spans="1:23" ht="11.25" customHeight="1" x14ac:dyDescent="0.25">
      <c r="A136" s="4" t="s">
        <v>21</v>
      </c>
      <c r="B136" s="4" t="s">
        <v>39</v>
      </c>
      <c r="C136" s="4" t="s">
        <v>42</v>
      </c>
      <c r="D136" s="4" t="s">
        <v>44</v>
      </c>
      <c r="E136" s="4" t="s">
        <v>25</v>
      </c>
      <c r="F136" s="4" t="s">
        <v>25</v>
      </c>
      <c r="G136" s="4" t="s">
        <v>25</v>
      </c>
      <c r="H136" s="4" t="s">
        <v>35</v>
      </c>
      <c r="I136" s="5">
        <v>44501</v>
      </c>
      <c r="J136" s="6">
        <v>375</v>
      </c>
      <c r="K136" s="6">
        <v>360</v>
      </c>
      <c r="L136" s="6">
        <v>99.433000000000007</v>
      </c>
      <c r="M136" s="6">
        <v>95.455680000000001</v>
      </c>
      <c r="N136" s="6">
        <v>99.433000000000007</v>
      </c>
      <c r="O136" s="6">
        <v>95.455680000000001</v>
      </c>
      <c r="P136" s="6">
        <v>0</v>
      </c>
      <c r="Q136" s="4" t="s">
        <v>26</v>
      </c>
      <c r="R136" s="4">
        <v>0</v>
      </c>
      <c r="S136" s="4" t="s">
        <v>100</v>
      </c>
      <c r="T136" s="4" t="s">
        <v>401</v>
      </c>
      <c r="U136" s="4">
        <v>2</v>
      </c>
      <c r="V136" s="4">
        <v>3</v>
      </c>
      <c r="W136" s="4">
        <v>49</v>
      </c>
    </row>
    <row r="137" spans="1:23" ht="11.25" customHeight="1" x14ac:dyDescent="0.25">
      <c r="A137" s="4" t="s">
        <v>21</v>
      </c>
      <c r="B137" s="4" t="s">
        <v>39</v>
      </c>
      <c r="C137" s="4" t="s">
        <v>42</v>
      </c>
      <c r="D137" s="4" t="s">
        <v>44</v>
      </c>
      <c r="E137" s="4" t="s">
        <v>25</v>
      </c>
      <c r="F137" s="4" t="s">
        <v>25</v>
      </c>
      <c r="G137" s="4" t="s">
        <v>25</v>
      </c>
      <c r="H137" s="4" t="s">
        <v>35</v>
      </c>
      <c r="I137" s="5">
        <v>44531</v>
      </c>
      <c r="J137" s="6">
        <v>372</v>
      </c>
      <c r="K137" s="6">
        <v>357.12</v>
      </c>
      <c r="L137" s="6">
        <v>105.24</v>
      </c>
      <c r="M137" s="6">
        <v>101.0304</v>
      </c>
      <c r="N137" s="6">
        <v>105.24</v>
      </c>
      <c r="O137" s="6">
        <v>101.0304</v>
      </c>
      <c r="P137" s="6">
        <v>0</v>
      </c>
      <c r="Q137" s="4" t="s">
        <v>26</v>
      </c>
      <c r="R137" s="4">
        <v>0</v>
      </c>
      <c r="S137" s="4" t="s">
        <v>101</v>
      </c>
      <c r="T137" s="4" t="s">
        <v>402</v>
      </c>
      <c r="U137" s="4">
        <v>2</v>
      </c>
      <c r="V137" s="4">
        <v>3</v>
      </c>
      <c r="W137" s="4">
        <v>49</v>
      </c>
    </row>
    <row r="138" spans="1:23" ht="11.25" customHeight="1" x14ac:dyDescent="0.25">
      <c r="A138" s="4" t="s">
        <v>21</v>
      </c>
      <c r="B138" s="4" t="s">
        <v>39</v>
      </c>
      <c r="C138" s="4" t="s">
        <v>42</v>
      </c>
      <c r="D138" s="4" t="s">
        <v>44</v>
      </c>
      <c r="E138" s="4" t="s">
        <v>25</v>
      </c>
      <c r="F138" s="4" t="s">
        <v>25</v>
      </c>
      <c r="G138" s="4" t="s">
        <v>25</v>
      </c>
      <c r="H138" s="4" t="s">
        <v>35</v>
      </c>
      <c r="I138" s="5">
        <v>44562</v>
      </c>
      <c r="J138" s="6">
        <v>428</v>
      </c>
      <c r="K138" s="6">
        <v>410.88</v>
      </c>
      <c r="L138" s="6">
        <v>94.23</v>
      </c>
      <c r="M138" s="6">
        <v>90.460800000000006</v>
      </c>
      <c r="N138" s="6">
        <v>94.23</v>
      </c>
      <c r="O138" s="6">
        <v>90.460800000000006</v>
      </c>
      <c r="P138" s="6">
        <v>0</v>
      </c>
      <c r="Q138" s="4" t="s">
        <v>26</v>
      </c>
      <c r="R138" s="4">
        <v>0</v>
      </c>
      <c r="S138" s="4" t="s">
        <v>102</v>
      </c>
      <c r="T138" s="4" t="s">
        <v>403</v>
      </c>
      <c r="U138" s="4">
        <v>2</v>
      </c>
      <c r="V138" s="4">
        <v>3</v>
      </c>
      <c r="W138" s="4">
        <v>49</v>
      </c>
    </row>
    <row r="139" spans="1:23" ht="11.25" customHeight="1" x14ac:dyDescent="0.25">
      <c r="A139" s="4" t="s">
        <v>21</v>
      </c>
      <c r="B139" s="4" t="s">
        <v>39</v>
      </c>
      <c r="C139" s="4" t="s">
        <v>42</v>
      </c>
      <c r="D139" s="4" t="s">
        <v>44</v>
      </c>
      <c r="E139" s="4" t="s">
        <v>25</v>
      </c>
      <c r="F139" s="4" t="s">
        <v>25</v>
      </c>
      <c r="G139" s="4" t="s">
        <v>25</v>
      </c>
      <c r="H139" s="4" t="s">
        <v>35</v>
      </c>
      <c r="I139" s="5">
        <v>44593</v>
      </c>
      <c r="J139" s="6">
        <v>476</v>
      </c>
      <c r="K139" s="6">
        <v>456.96</v>
      </c>
      <c r="L139" s="6">
        <v>110.241</v>
      </c>
      <c r="M139" s="6">
        <v>105.83136</v>
      </c>
      <c r="N139" s="6">
        <v>110.241</v>
      </c>
      <c r="O139" s="6">
        <v>105.83136</v>
      </c>
      <c r="P139" s="6">
        <v>0</v>
      </c>
      <c r="Q139" s="4" t="s">
        <v>26</v>
      </c>
      <c r="R139" s="4">
        <v>0</v>
      </c>
      <c r="S139" s="4" t="s">
        <v>103</v>
      </c>
      <c r="T139" s="4" t="s">
        <v>404</v>
      </c>
      <c r="U139" s="4">
        <v>2</v>
      </c>
      <c r="V139" s="4">
        <v>3</v>
      </c>
      <c r="W139" s="4">
        <v>49</v>
      </c>
    </row>
    <row r="140" spans="1:23" ht="11.25" customHeight="1" x14ac:dyDescent="0.25">
      <c r="A140" s="4" t="s">
        <v>21</v>
      </c>
      <c r="B140" s="4" t="s">
        <v>39</v>
      </c>
      <c r="C140" s="4" t="s">
        <v>42</v>
      </c>
      <c r="D140" s="4" t="s">
        <v>44</v>
      </c>
      <c r="E140" s="4" t="s">
        <v>25</v>
      </c>
      <c r="F140" s="4" t="s">
        <v>25</v>
      </c>
      <c r="G140" s="4" t="s">
        <v>25</v>
      </c>
      <c r="H140" s="4" t="s">
        <v>35</v>
      </c>
      <c r="I140" s="5">
        <v>44621</v>
      </c>
      <c r="J140" s="6">
        <v>538</v>
      </c>
      <c r="K140" s="6">
        <v>516.48</v>
      </c>
      <c r="L140" s="6">
        <v>126.678</v>
      </c>
      <c r="M140" s="6">
        <v>121.61087999999999</v>
      </c>
      <c r="N140" s="6">
        <v>126.678</v>
      </c>
      <c r="O140" s="6">
        <v>121.61087999999999</v>
      </c>
      <c r="P140" s="6">
        <v>0</v>
      </c>
      <c r="Q140" s="4" t="s">
        <v>26</v>
      </c>
      <c r="R140" s="4">
        <v>0</v>
      </c>
      <c r="S140" s="4" t="s">
        <v>104</v>
      </c>
      <c r="T140" s="4" t="s">
        <v>405</v>
      </c>
      <c r="U140" s="4">
        <v>2</v>
      </c>
      <c r="V140" s="4">
        <v>3</v>
      </c>
      <c r="W140" s="4">
        <v>49</v>
      </c>
    </row>
    <row r="141" spans="1:23" ht="11.25" customHeight="1" x14ac:dyDescent="0.25">
      <c r="A141" s="4" t="s">
        <v>21</v>
      </c>
      <c r="B141" s="4" t="s">
        <v>39</v>
      </c>
      <c r="C141" s="4" t="s">
        <v>42</v>
      </c>
      <c r="D141" s="4" t="s">
        <v>44</v>
      </c>
      <c r="E141" s="4" t="s">
        <v>25</v>
      </c>
      <c r="F141" s="4" t="s">
        <v>25</v>
      </c>
      <c r="G141" s="4" t="s">
        <v>25</v>
      </c>
      <c r="H141" s="4" t="s">
        <v>35</v>
      </c>
      <c r="I141" s="5">
        <v>44652</v>
      </c>
      <c r="J141" s="6">
        <v>614</v>
      </c>
      <c r="K141" s="6">
        <v>589.44000000000005</v>
      </c>
      <c r="L141" s="6">
        <v>132.88300000000001</v>
      </c>
      <c r="M141" s="6">
        <v>127.56768</v>
      </c>
      <c r="N141" s="6">
        <v>132.88300000000001</v>
      </c>
      <c r="O141" s="6">
        <v>127.56768</v>
      </c>
      <c r="P141" s="6">
        <v>0</v>
      </c>
      <c r="Q141" s="4" t="s">
        <v>26</v>
      </c>
      <c r="R141" s="4">
        <v>0</v>
      </c>
      <c r="S141" s="4" t="s">
        <v>105</v>
      </c>
      <c r="T141" s="4" t="s">
        <v>406</v>
      </c>
      <c r="U141" s="4">
        <v>2</v>
      </c>
      <c r="V141" s="4">
        <v>3</v>
      </c>
      <c r="W141" s="4">
        <v>49</v>
      </c>
    </row>
    <row r="142" spans="1:23" ht="11.25" customHeight="1" x14ac:dyDescent="0.25">
      <c r="A142" s="4" t="s">
        <v>21</v>
      </c>
      <c r="B142" s="4" t="s">
        <v>39</v>
      </c>
      <c r="C142" s="4" t="s">
        <v>42</v>
      </c>
      <c r="D142" s="4" t="s">
        <v>44</v>
      </c>
      <c r="E142" s="4" t="s">
        <v>25</v>
      </c>
      <c r="F142" s="4" t="s">
        <v>25</v>
      </c>
      <c r="G142" s="4" t="s">
        <v>25</v>
      </c>
      <c r="H142" s="4" t="s">
        <v>35</v>
      </c>
      <c r="I142" s="5">
        <v>44682</v>
      </c>
      <c r="J142" s="6">
        <v>544</v>
      </c>
      <c r="K142" s="6">
        <v>522.24</v>
      </c>
      <c r="L142" s="6">
        <v>131.101</v>
      </c>
      <c r="M142" s="6">
        <v>125.85696</v>
      </c>
      <c r="N142" s="6">
        <v>131.101</v>
      </c>
      <c r="O142" s="6">
        <v>125.85696</v>
      </c>
      <c r="P142" s="6">
        <v>0</v>
      </c>
      <c r="Q142" s="4" t="s">
        <v>26</v>
      </c>
      <c r="R142" s="4">
        <v>0</v>
      </c>
      <c r="S142" s="4" t="s">
        <v>106</v>
      </c>
      <c r="T142" s="4" t="s">
        <v>407</v>
      </c>
      <c r="U142" s="4">
        <v>2</v>
      </c>
      <c r="V142" s="4">
        <v>3</v>
      </c>
      <c r="W142" s="4">
        <v>49</v>
      </c>
    </row>
    <row r="143" spans="1:23" ht="11.25" customHeight="1" x14ac:dyDescent="0.25">
      <c r="A143" s="4" t="s">
        <v>21</v>
      </c>
      <c r="B143" s="4" t="s">
        <v>39</v>
      </c>
      <c r="C143" s="4" t="s">
        <v>42</v>
      </c>
      <c r="D143" s="4" t="s">
        <v>44</v>
      </c>
      <c r="E143" s="4" t="s">
        <v>25</v>
      </c>
      <c r="F143" s="4" t="s">
        <v>25</v>
      </c>
      <c r="G143" s="4" t="s">
        <v>25</v>
      </c>
      <c r="H143" s="4" t="s">
        <v>35</v>
      </c>
      <c r="I143" s="5">
        <v>44713</v>
      </c>
      <c r="J143" s="6">
        <v>419</v>
      </c>
      <c r="K143" s="6">
        <v>402.24</v>
      </c>
      <c r="L143" s="6">
        <v>106.90300000000001</v>
      </c>
      <c r="M143" s="6">
        <v>102.62688</v>
      </c>
      <c r="N143" s="6">
        <v>106.90300000000001</v>
      </c>
      <c r="O143" s="6">
        <v>102.62688</v>
      </c>
      <c r="P143" s="6">
        <v>0</v>
      </c>
      <c r="Q143" s="4" t="s">
        <v>26</v>
      </c>
      <c r="R143" s="4">
        <v>0</v>
      </c>
      <c r="S143" s="4" t="s">
        <v>107</v>
      </c>
      <c r="T143" s="4" t="s">
        <v>408</v>
      </c>
      <c r="U143" s="4">
        <v>2</v>
      </c>
      <c r="V143" s="4">
        <v>3</v>
      </c>
      <c r="W143" s="4">
        <v>49</v>
      </c>
    </row>
    <row r="144" spans="1:23" ht="11.25" customHeight="1" x14ac:dyDescent="0.25">
      <c r="A144" s="4" t="s">
        <v>21</v>
      </c>
      <c r="B144" s="4" t="s">
        <v>39</v>
      </c>
      <c r="C144" s="4" t="s">
        <v>42</v>
      </c>
      <c r="D144" s="4" t="s">
        <v>44</v>
      </c>
      <c r="E144" s="4" t="s">
        <v>25</v>
      </c>
      <c r="F144" s="4" t="s">
        <v>25</v>
      </c>
      <c r="G144" s="4" t="s">
        <v>25</v>
      </c>
      <c r="H144" s="4" t="s">
        <v>35</v>
      </c>
      <c r="I144" s="5">
        <v>44743</v>
      </c>
      <c r="J144" s="6">
        <v>394</v>
      </c>
      <c r="K144" s="6">
        <v>378.24</v>
      </c>
      <c r="L144" s="6">
        <v>110.07299999999999</v>
      </c>
      <c r="M144" s="6">
        <v>105.67008</v>
      </c>
      <c r="N144" s="6">
        <v>110.07299999999999</v>
      </c>
      <c r="O144" s="6">
        <v>105.67008</v>
      </c>
      <c r="P144" s="6">
        <v>0</v>
      </c>
      <c r="Q144" s="4" t="s">
        <v>26</v>
      </c>
      <c r="R144" s="4">
        <v>0</v>
      </c>
      <c r="S144" s="4" t="s">
        <v>108</v>
      </c>
      <c r="T144" s="4" t="s">
        <v>409</v>
      </c>
      <c r="U144" s="4">
        <v>2</v>
      </c>
      <c r="V144" s="4">
        <v>3</v>
      </c>
      <c r="W144" s="4">
        <v>49</v>
      </c>
    </row>
    <row r="145" spans="1:23" ht="11.25" customHeight="1" x14ac:dyDescent="0.25">
      <c r="A145" s="4" t="s">
        <v>56</v>
      </c>
      <c r="B145" s="4" t="s">
        <v>39</v>
      </c>
      <c r="C145" s="4" t="s">
        <v>42</v>
      </c>
      <c r="D145" s="4" t="s">
        <v>44</v>
      </c>
      <c r="E145" s="4" t="s">
        <v>25</v>
      </c>
      <c r="F145" s="4" t="s">
        <v>25</v>
      </c>
      <c r="G145" s="4" t="s">
        <v>25</v>
      </c>
      <c r="H145" s="4" t="s">
        <v>35</v>
      </c>
      <c r="I145" s="5">
        <v>44774</v>
      </c>
      <c r="J145" s="6">
        <v>394</v>
      </c>
      <c r="K145" s="6">
        <v>378.24</v>
      </c>
      <c r="L145" s="6">
        <v>110.07299999999999</v>
      </c>
      <c r="M145" s="6">
        <v>105.67008</v>
      </c>
      <c r="N145" s="6">
        <v>110.07299999999999</v>
      </c>
      <c r="O145" s="6">
        <v>105.67008</v>
      </c>
      <c r="P145" s="6">
        <v>0</v>
      </c>
      <c r="Q145" s="4" t="s">
        <v>26</v>
      </c>
      <c r="R145" s="4">
        <v>0</v>
      </c>
      <c r="S145" s="4" t="s">
        <v>109</v>
      </c>
      <c r="T145" s="4" t="s">
        <v>410</v>
      </c>
      <c r="U145" s="4">
        <v>2</v>
      </c>
      <c r="V145" s="4">
        <v>3</v>
      </c>
      <c r="W145" s="4">
        <v>49</v>
      </c>
    </row>
    <row r="146" spans="1:23" ht="11.25" customHeight="1" x14ac:dyDescent="0.25">
      <c r="A146" s="4" t="s">
        <v>21</v>
      </c>
      <c r="B146" s="4" t="s">
        <v>39</v>
      </c>
      <c r="C146" s="4" t="s">
        <v>42</v>
      </c>
      <c r="D146" s="4" t="s">
        <v>44</v>
      </c>
      <c r="E146" s="4" t="s">
        <v>25</v>
      </c>
      <c r="F146" s="4" t="s">
        <v>25</v>
      </c>
      <c r="G146" s="4" t="s">
        <v>25</v>
      </c>
      <c r="H146" s="4" t="s">
        <v>34</v>
      </c>
      <c r="I146" s="5">
        <v>44440</v>
      </c>
      <c r="J146" s="6">
        <v>158</v>
      </c>
      <c r="K146" s="6">
        <v>151.68</v>
      </c>
      <c r="L146" s="6">
        <v>7.8620000000000001</v>
      </c>
      <c r="M146" s="6">
        <v>7.5475199999999996</v>
      </c>
      <c r="N146" s="6">
        <v>7.8620000000000001</v>
      </c>
      <c r="O146" s="6">
        <v>7.5475199999999996</v>
      </c>
      <c r="P146" s="6">
        <v>0</v>
      </c>
      <c r="Q146" s="4" t="s">
        <v>26</v>
      </c>
      <c r="R146" s="4">
        <v>0</v>
      </c>
      <c r="S146" s="4" t="s">
        <v>110</v>
      </c>
      <c r="T146" s="4" t="s">
        <v>411</v>
      </c>
      <c r="U146" s="4">
        <v>1</v>
      </c>
      <c r="V146" s="4">
        <v>3</v>
      </c>
      <c r="W146" s="4">
        <v>48</v>
      </c>
    </row>
    <row r="147" spans="1:23" ht="11.25" customHeight="1" x14ac:dyDescent="0.25">
      <c r="A147" s="4" t="s">
        <v>21</v>
      </c>
      <c r="B147" s="4" t="s">
        <v>39</v>
      </c>
      <c r="C147" s="4" t="s">
        <v>42</v>
      </c>
      <c r="D147" s="4" t="s">
        <v>44</v>
      </c>
      <c r="E147" s="4" t="s">
        <v>25</v>
      </c>
      <c r="F147" s="4" t="s">
        <v>25</v>
      </c>
      <c r="G147" s="4" t="s">
        <v>25</v>
      </c>
      <c r="H147" s="4" t="s">
        <v>34</v>
      </c>
      <c r="I147" s="5">
        <v>44470</v>
      </c>
      <c r="J147" s="6">
        <v>217</v>
      </c>
      <c r="K147" s="6">
        <v>208.32</v>
      </c>
      <c r="L147" s="6">
        <v>10.103999999999999</v>
      </c>
      <c r="M147" s="6">
        <v>9.69984</v>
      </c>
      <c r="N147" s="6">
        <v>10.103999999999999</v>
      </c>
      <c r="O147" s="6">
        <v>9.69984</v>
      </c>
      <c r="P147" s="6">
        <v>0</v>
      </c>
      <c r="Q147" s="4" t="s">
        <v>26</v>
      </c>
      <c r="R147" s="4">
        <v>0</v>
      </c>
      <c r="S147" s="4" t="s">
        <v>111</v>
      </c>
      <c r="T147" s="4" t="s">
        <v>412</v>
      </c>
      <c r="U147" s="4">
        <v>1</v>
      </c>
      <c r="V147" s="4">
        <v>3</v>
      </c>
      <c r="W147" s="4">
        <v>48</v>
      </c>
    </row>
    <row r="148" spans="1:23" ht="11.25" customHeight="1" x14ac:dyDescent="0.25">
      <c r="A148" s="4" t="s">
        <v>21</v>
      </c>
      <c r="B148" s="4" t="s">
        <v>39</v>
      </c>
      <c r="C148" s="4" t="s">
        <v>42</v>
      </c>
      <c r="D148" s="4" t="s">
        <v>44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44501</v>
      </c>
      <c r="J148" s="6">
        <v>245</v>
      </c>
      <c r="K148" s="6">
        <v>235.2</v>
      </c>
      <c r="L148" s="6">
        <v>9.9130000000000003</v>
      </c>
      <c r="M148" s="6">
        <v>9.5164799999999996</v>
      </c>
      <c r="N148" s="6">
        <v>9.9130000000000003</v>
      </c>
      <c r="O148" s="6">
        <v>9.5164799999999996</v>
      </c>
      <c r="P148" s="6">
        <v>0</v>
      </c>
      <c r="Q148" s="4" t="s">
        <v>26</v>
      </c>
      <c r="R148" s="4">
        <v>0</v>
      </c>
      <c r="S148" s="4" t="s">
        <v>112</v>
      </c>
      <c r="T148" s="4" t="s">
        <v>413</v>
      </c>
      <c r="U148" s="4">
        <v>1</v>
      </c>
      <c r="V148" s="4">
        <v>3</v>
      </c>
      <c r="W148" s="4">
        <v>48</v>
      </c>
    </row>
    <row r="149" spans="1:23" ht="11.25" customHeight="1" x14ac:dyDescent="0.25">
      <c r="A149" s="4" t="s">
        <v>21</v>
      </c>
      <c r="B149" s="4" t="s">
        <v>39</v>
      </c>
      <c r="C149" s="4" t="s">
        <v>42</v>
      </c>
      <c r="D149" s="4" t="s">
        <v>44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44531</v>
      </c>
      <c r="J149" s="6">
        <v>229</v>
      </c>
      <c r="K149" s="6">
        <v>219.84</v>
      </c>
      <c r="L149" s="6">
        <v>11.015000000000001</v>
      </c>
      <c r="M149" s="6">
        <v>10.574400000000001</v>
      </c>
      <c r="N149" s="6">
        <v>11.015000000000001</v>
      </c>
      <c r="O149" s="6">
        <v>10.574400000000001</v>
      </c>
      <c r="P149" s="6">
        <v>0</v>
      </c>
      <c r="Q149" s="4" t="s">
        <v>26</v>
      </c>
      <c r="R149" s="4">
        <v>0</v>
      </c>
      <c r="S149" s="4" t="s">
        <v>113</v>
      </c>
      <c r="T149" s="4" t="s">
        <v>414</v>
      </c>
      <c r="U149" s="4">
        <v>1</v>
      </c>
      <c r="V149" s="4">
        <v>3</v>
      </c>
      <c r="W149" s="4">
        <v>48</v>
      </c>
    </row>
    <row r="150" spans="1:23" ht="11.25" customHeight="1" x14ac:dyDescent="0.25">
      <c r="A150" s="4" t="s">
        <v>21</v>
      </c>
      <c r="B150" s="4" t="s">
        <v>39</v>
      </c>
      <c r="C150" s="4" t="s">
        <v>42</v>
      </c>
      <c r="D150" s="4" t="s">
        <v>44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44562</v>
      </c>
      <c r="J150" s="6">
        <v>239</v>
      </c>
      <c r="K150" s="6">
        <v>229.44</v>
      </c>
      <c r="L150" s="6">
        <v>8.8510000000000009</v>
      </c>
      <c r="M150" s="6">
        <v>8.4969599999999996</v>
      </c>
      <c r="N150" s="6">
        <v>8.8510000000000009</v>
      </c>
      <c r="O150" s="6">
        <v>8.4969599999999996</v>
      </c>
      <c r="P150" s="6">
        <v>0</v>
      </c>
      <c r="Q150" s="4" t="s">
        <v>26</v>
      </c>
      <c r="R150" s="4">
        <v>0</v>
      </c>
      <c r="S150" s="4" t="s">
        <v>114</v>
      </c>
      <c r="T150" s="4" t="s">
        <v>415</v>
      </c>
      <c r="U150" s="4">
        <v>1</v>
      </c>
      <c r="V150" s="4">
        <v>3</v>
      </c>
      <c r="W150" s="4">
        <v>48</v>
      </c>
    </row>
    <row r="151" spans="1:23" ht="11.25" customHeight="1" x14ac:dyDescent="0.25">
      <c r="A151" s="4" t="s">
        <v>21</v>
      </c>
      <c r="B151" s="4" t="s">
        <v>39</v>
      </c>
      <c r="C151" s="4" t="s">
        <v>42</v>
      </c>
      <c r="D151" s="4" t="s">
        <v>44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44593</v>
      </c>
      <c r="J151" s="6">
        <v>251</v>
      </c>
      <c r="K151" s="6">
        <v>240.96</v>
      </c>
      <c r="L151" s="6">
        <v>10.644</v>
      </c>
      <c r="M151" s="6">
        <v>10.21824</v>
      </c>
      <c r="N151" s="6">
        <v>10.644</v>
      </c>
      <c r="O151" s="6">
        <v>10.21824</v>
      </c>
      <c r="P151" s="6">
        <v>0</v>
      </c>
      <c r="Q151" s="4" t="s">
        <v>26</v>
      </c>
      <c r="R151" s="4">
        <v>0</v>
      </c>
      <c r="S151" s="4" t="s">
        <v>115</v>
      </c>
      <c r="T151" s="4" t="s">
        <v>416</v>
      </c>
      <c r="U151" s="4">
        <v>1</v>
      </c>
      <c r="V151" s="4">
        <v>3</v>
      </c>
      <c r="W151" s="4">
        <v>48</v>
      </c>
    </row>
    <row r="152" spans="1:23" ht="11.25" customHeight="1" x14ac:dyDescent="0.25">
      <c r="A152" s="4" t="s">
        <v>21</v>
      </c>
      <c r="B152" s="4" t="s">
        <v>39</v>
      </c>
      <c r="C152" s="4" t="s">
        <v>42</v>
      </c>
      <c r="D152" s="4" t="s">
        <v>44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44621</v>
      </c>
      <c r="J152" s="6">
        <v>318</v>
      </c>
      <c r="K152" s="6">
        <v>305.27999999999997</v>
      </c>
      <c r="L152" s="6">
        <v>12.198</v>
      </c>
      <c r="M152" s="6">
        <v>11.71008</v>
      </c>
      <c r="N152" s="6">
        <v>12.198</v>
      </c>
      <c r="O152" s="6">
        <v>11.71008</v>
      </c>
      <c r="P152" s="6">
        <v>0</v>
      </c>
      <c r="Q152" s="4" t="s">
        <v>26</v>
      </c>
      <c r="R152" s="4">
        <v>0</v>
      </c>
      <c r="S152" s="4" t="s">
        <v>116</v>
      </c>
      <c r="T152" s="4" t="s">
        <v>417</v>
      </c>
      <c r="U152" s="4">
        <v>1</v>
      </c>
      <c r="V152" s="4">
        <v>3</v>
      </c>
      <c r="W152" s="4">
        <v>48</v>
      </c>
    </row>
    <row r="153" spans="1:23" ht="11.25" customHeight="1" x14ac:dyDescent="0.25">
      <c r="A153" s="4" t="s">
        <v>21</v>
      </c>
      <c r="B153" s="4" t="s">
        <v>39</v>
      </c>
      <c r="C153" s="4" t="s">
        <v>42</v>
      </c>
      <c r="D153" s="4" t="s">
        <v>44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44652</v>
      </c>
      <c r="J153" s="6">
        <v>344</v>
      </c>
      <c r="K153" s="6">
        <v>330.24</v>
      </c>
      <c r="L153" s="6">
        <v>13.52</v>
      </c>
      <c r="M153" s="6">
        <v>12.979200000000001</v>
      </c>
      <c r="N153" s="6">
        <v>13.52</v>
      </c>
      <c r="O153" s="6">
        <v>12.979200000000001</v>
      </c>
      <c r="P153" s="6">
        <v>0</v>
      </c>
      <c r="Q153" s="4" t="s">
        <v>26</v>
      </c>
      <c r="R153" s="4">
        <v>0</v>
      </c>
      <c r="S153" s="4" t="s">
        <v>117</v>
      </c>
      <c r="T153" s="4" t="s">
        <v>418</v>
      </c>
      <c r="U153" s="4">
        <v>1</v>
      </c>
      <c r="V153" s="4">
        <v>3</v>
      </c>
      <c r="W153" s="4">
        <v>48</v>
      </c>
    </row>
    <row r="154" spans="1:23" ht="11.25" customHeight="1" x14ac:dyDescent="0.25">
      <c r="A154" s="4" t="s">
        <v>21</v>
      </c>
      <c r="B154" s="4" t="s">
        <v>39</v>
      </c>
      <c r="C154" s="4" t="s">
        <v>42</v>
      </c>
      <c r="D154" s="4" t="s">
        <v>44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44682</v>
      </c>
      <c r="J154" s="6">
        <v>342</v>
      </c>
      <c r="K154" s="6">
        <v>328.32</v>
      </c>
      <c r="L154" s="6">
        <v>14.01</v>
      </c>
      <c r="M154" s="6">
        <v>13.4496</v>
      </c>
      <c r="N154" s="6">
        <v>14.01</v>
      </c>
      <c r="O154" s="6">
        <v>13.4496</v>
      </c>
      <c r="P154" s="6">
        <v>0</v>
      </c>
      <c r="Q154" s="4" t="s">
        <v>26</v>
      </c>
      <c r="R154" s="4">
        <v>0</v>
      </c>
      <c r="S154" s="4" t="s">
        <v>118</v>
      </c>
      <c r="T154" s="4" t="s">
        <v>419</v>
      </c>
      <c r="U154" s="4">
        <v>1</v>
      </c>
      <c r="V154" s="4">
        <v>3</v>
      </c>
      <c r="W154" s="4">
        <v>48</v>
      </c>
    </row>
    <row r="155" spans="1:23" ht="11.25" customHeight="1" x14ac:dyDescent="0.25">
      <c r="A155" s="4" t="s">
        <v>21</v>
      </c>
      <c r="B155" s="4" t="s">
        <v>39</v>
      </c>
      <c r="C155" s="4" t="s">
        <v>42</v>
      </c>
      <c r="D155" s="4" t="s">
        <v>44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44713</v>
      </c>
      <c r="J155" s="6">
        <v>276</v>
      </c>
      <c r="K155" s="6">
        <v>264.95999999999998</v>
      </c>
      <c r="L155" s="6">
        <v>12.08</v>
      </c>
      <c r="M155" s="6">
        <v>11.5968</v>
      </c>
      <c r="N155" s="6">
        <v>12.08</v>
      </c>
      <c r="O155" s="6">
        <v>11.5968</v>
      </c>
      <c r="P155" s="6">
        <v>0</v>
      </c>
      <c r="Q155" s="4" t="s">
        <v>26</v>
      </c>
      <c r="R155" s="4">
        <v>0</v>
      </c>
      <c r="S155" s="4" t="s">
        <v>119</v>
      </c>
      <c r="T155" s="4" t="s">
        <v>420</v>
      </c>
      <c r="U155" s="4">
        <v>1</v>
      </c>
      <c r="V155" s="4">
        <v>3</v>
      </c>
      <c r="W155" s="4">
        <v>48</v>
      </c>
    </row>
    <row r="156" spans="1:23" ht="11.25" customHeight="1" x14ac:dyDescent="0.25">
      <c r="A156" s="4" t="s">
        <v>21</v>
      </c>
      <c r="B156" s="4" t="s">
        <v>39</v>
      </c>
      <c r="C156" s="4" t="s">
        <v>42</v>
      </c>
      <c r="D156" s="4" t="s">
        <v>44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44743</v>
      </c>
      <c r="J156" s="6">
        <v>272</v>
      </c>
      <c r="K156" s="6">
        <v>261.12</v>
      </c>
      <c r="L156" s="6">
        <v>12.196999999999999</v>
      </c>
      <c r="M156" s="6">
        <v>11.70912</v>
      </c>
      <c r="N156" s="6">
        <v>12.196999999999999</v>
      </c>
      <c r="O156" s="6">
        <v>11.70912</v>
      </c>
      <c r="P156" s="6">
        <v>0</v>
      </c>
      <c r="Q156" s="4" t="s">
        <v>26</v>
      </c>
      <c r="R156" s="4">
        <v>0</v>
      </c>
      <c r="S156" s="4" t="s">
        <v>120</v>
      </c>
      <c r="T156" s="4" t="s">
        <v>421</v>
      </c>
      <c r="U156" s="4">
        <v>1</v>
      </c>
      <c r="V156" s="4">
        <v>3</v>
      </c>
      <c r="W156" s="4">
        <v>48</v>
      </c>
    </row>
    <row r="157" spans="1:23" ht="11.25" customHeight="1" x14ac:dyDescent="0.25">
      <c r="A157" s="4" t="s">
        <v>56</v>
      </c>
      <c r="B157" s="4" t="s">
        <v>39</v>
      </c>
      <c r="C157" s="4" t="s">
        <v>42</v>
      </c>
      <c r="D157" s="4" t="s">
        <v>44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44774</v>
      </c>
      <c r="J157" s="6">
        <v>272</v>
      </c>
      <c r="K157" s="6">
        <v>261.12</v>
      </c>
      <c r="L157" s="6">
        <v>12.196999999999999</v>
      </c>
      <c r="M157" s="6">
        <v>11.70912</v>
      </c>
      <c r="N157" s="6">
        <v>12.196999999999999</v>
      </c>
      <c r="O157" s="6">
        <v>11.70912</v>
      </c>
      <c r="P157" s="6">
        <v>0</v>
      </c>
      <c r="Q157" s="4" t="s">
        <v>26</v>
      </c>
      <c r="R157" s="4">
        <v>0</v>
      </c>
      <c r="S157" s="4" t="s">
        <v>121</v>
      </c>
      <c r="T157" s="4" t="s">
        <v>422</v>
      </c>
      <c r="U157" s="4">
        <v>1</v>
      </c>
      <c r="V157" s="4">
        <v>3</v>
      </c>
      <c r="W157" s="4">
        <v>48</v>
      </c>
    </row>
    <row r="158" spans="1:23" ht="11.25" customHeight="1" x14ac:dyDescent="0.25">
      <c r="A158" s="4" t="s">
        <v>21</v>
      </c>
      <c r="B158" s="4" t="s">
        <v>39</v>
      </c>
      <c r="C158" s="4" t="s">
        <v>42</v>
      </c>
      <c r="D158" s="4" t="s">
        <v>49</v>
      </c>
      <c r="E158" s="4" t="s">
        <v>50</v>
      </c>
      <c r="F158" s="4" t="s">
        <v>25</v>
      </c>
      <c r="G158" s="4" t="s">
        <v>25</v>
      </c>
      <c r="H158" s="4" t="s">
        <v>35</v>
      </c>
      <c r="I158" s="5">
        <v>44440</v>
      </c>
      <c r="J158" s="6">
        <v>1520</v>
      </c>
      <c r="K158" s="6">
        <v>1428.8</v>
      </c>
      <c r="L158" s="6">
        <v>614.70299999999997</v>
      </c>
      <c r="M158" s="6">
        <v>577.82082000000003</v>
      </c>
      <c r="N158" s="6">
        <v>614.70299999999997</v>
      </c>
      <c r="O158" s="6">
        <v>577.82082000000003</v>
      </c>
      <c r="P158" s="6">
        <v>0</v>
      </c>
      <c r="Q158" s="4" t="s">
        <v>26</v>
      </c>
      <c r="R158" s="4">
        <v>0</v>
      </c>
      <c r="S158" s="4" t="s">
        <v>98</v>
      </c>
      <c r="T158" s="4" t="s">
        <v>399</v>
      </c>
      <c r="U158" s="4">
        <v>2</v>
      </c>
      <c r="V158" s="4">
        <v>3</v>
      </c>
      <c r="W158" s="4">
        <v>49</v>
      </c>
    </row>
    <row r="159" spans="1:23" ht="11.25" customHeight="1" x14ac:dyDescent="0.25">
      <c r="A159" s="4" t="s">
        <v>21</v>
      </c>
      <c r="B159" s="4" t="s">
        <v>39</v>
      </c>
      <c r="C159" s="4" t="s">
        <v>42</v>
      </c>
      <c r="D159" s="4" t="s">
        <v>49</v>
      </c>
      <c r="E159" s="4" t="s">
        <v>50</v>
      </c>
      <c r="F159" s="4" t="s">
        <v>25</v>
      </c>
      <c r="G159" s="4" t="s">
        <v>25</v>
      </c>
      <c r="H159" s="4" t="s">
        <v>35</v>
      </c>
      <c r="I159" s="5">
        <v>44470</v>
      </c>
      <c r="J159" s="6">
        <v>1534</v>
      </c>
      <c r="K159" s="6">
        <v>1441.96</v>
      </c>
      <c r="L159" s="6">
        <v>632.85599999999999</v>
      </c>
      <c r="M159" s="6">
        <v>594.88463999999999</v>
      </c>
      <c r="N159" s="6">
        <v>632.85599999999999</v>
      </c>
      <c r="O159" s="6">
        <v>594.88463999999999</v>
      </c>
      <c r="P159" s="6">
        <v>0</v>
      </c>
      <c r="Q159" s="4" t="s">
        <v>26</v>
      </c>
      <c r="R159" s="4">
        <v>0</v>
      </c>
      <c r="S159" s="4" t="s">
        <v>99</v>
      </c>
      <c r="T159" s="4" t="s">
        <v>400</v>
      </c>
      <c r="U159" s="4">
        <v>2</v>
      </c>
      <c r="V159" s="4">
        <v>3</v>
      </c>
      <c r="W159" s="4">
        <v>49</v>
      </c>
    </row>
    <row r="160" spans="1:23" ht="11.25" customHeight="1" x14ac:dyDescent="0.25">
      <c r="A160" s="4" t="s">
        <v>21</v>
      </c>
      <c r="B160" s="4" t="s">
        <v>39</v>
      </c>
      <c r="C160" s="4" t="s">
        <v>42</v>
      </c>
      <c r="D160" s="4" t="s">
        <v>49</v>
      </c>
      <c r="E160" s="4" t="s">
        <v>50</v>
      </c>
      <c r="F160" s="4" t="s">
        <v>25</v>
      </c>
      <c r="G160" s="4" t="s">
        <v>25</v>
      </c>
      <c r="H160" s="4" t="s">
        <v>35</v>
      </c>
      <c r="I160" s="5">
        <v>44501</v>
      </c>
      <c r="J160" s="6">
        <v>1504</v>
      </c>
      <c r="K160" s="6">
        <v>1413.76</v>
      </c>
      <c r="L160" s="6">
        <v>579.31700000000001</v>
      </c>
      <c r="M160" s="6">
        <v>544.55798000000004</v>
      </c>
      <c r="N160" s="6">
        <v>579.31700000000001</v>
      </c>
      <c r="O160" s="6">
        <v>544.55798000000004</v>
      </c>
      <c r="P160" s="6">
        <v>0</v>
      </c>
      <c r="Q160" s="4" t="s">
        <v>26</v>
      </c>
      <c r="R160" s="4">
        <v>0</v>
      </c>
      <c r="S160" s="4" t="s">
        <v>100</v>
      </c>
      <c r="T160" s="4" t="s">
        <v>401</v>
      </c>
      <c r="U160" s="4">
        <v>2</v>
      </c>
      <c r="V160" s="4">
        <v>3</v>
      </c>
      <c r="W160" s="4">
        <v>49</v>
      </c>
    </row>
    <row r="161" spans="1:23" ht="11.25" customHeight="1" x14ac:dyDescent="0.25">
      <c r="A161" s="4" t="s">
        <v>27</v>
      </c>
      <c r="B161" s="4" t="s">
        <v>39</v>
      </c>
      <c r="C161" s="4" t="s">
        <v>42</v>
      </c>
      <c r="D161" s="4" t="s">
        <v>49</v>
      </c>
      <c r="E161" s="4" t="s">
        <v>50</v>
      </c>
      <c r="F161" s="4" t="s">
        <v>25</v>
      </c>
      <c r="G161" s="4" t="s">
        <v>25</v>
      </c>
      <c r="H161" s="4" t="s">
        <v>35</v>
      </c>
      <c r="I161" s="5">
        <v>44501</v>
      </c>
      <c r="J161" s="6">
        <v>-57</v>
      </c>
      <c r="K161" s="6">
        <v>-53.58</v>
      </c>
      <c r="L161" s="6">
        <v>-28.565000000000001</v>
      </c>
      <c r="M161" s="6">
        <v>-26.851099999999999</v>
      </c>
      <c r="N161" s="6">
        <v>-28.565000000000001</v>
      </c>
      <c r="O161" s="6">
        <v>-26.851099999999999</v>
      </c>
      <c r="P161" s="6">
        <v>0</v>
      </c>
      <c r="Q161" s="4" t="s">
        <v>26</v>
      </c>
      <c r="R161" s="4">
        <v>0</v>
      </c>
      <c r="S161" s="4" t="s">
        <v>100</v>
      </c>
      <c r="T161" s="4" t="s">
        <v>401</v>
      </c>
      <c r="U161" s="4">
        <v>2</v>
      </c>
      <c r="V161" s="4">
        <v>3</v>
      </c>
      <c r="W161" s="4">
        <v>49</v>
      </c>
    </row>
    <row r="162" spans="1:23" ht="11.25" customHeight="1" x14ac:dyDescent="0.25">
      <c r="A162" s="4" t="s">
        <v>21</v>
      </c>
      <c r="B162" s="4" t="s">
        <v>39</v>
      </c>
      <c r="C162" s="4" t="s">
        <v>42</v>
      </c>
      <c r="D162" s="4" t="s">
        <v>49</v>
      </c>
      <c r="E162" s="4" t="s">
        <v>50</v>
      </c>
      <c r="F162" s="4" t="s">
        <v>25</v>
      </c>
      <c r="G162" s="4" t="s">
        <v>25</v>
      </c>
      <c r="H162" s="4" t="s">
        <v>35</v>
      </c>
      <c r="I162" s="5">
        <v>44531</v>
      </c>
      <c r="J162" s="6">
        <v>1473</v>
      </c>
      <c r="K162" s="6">
        <v>1384.62</v>
      </c>
      <c r="L162" s="6">
        <v>585.63499999999999</v>
      </c>
      <c r="M162" s="6">
        <v>550.49689999999998</v>
      </c>
      <c r="N162" s="6">
        <v>585.63499999999999</v>
      </c>
      <c r="O162" s="6">
        <v>550.49689999999998</v>
      </c>
      <c r="P162" s="6">
        <v>0</v>
      </c>
      <c r="Q162" s="4" t="s">
        <v>26</v>
      </c>
      <c r="R162" s="4">
        <v>0</v>
      </c>
      <c r="S162" s="4" t="s">
        <v>101</v>
      </c>
      <c r="T162" s="4" t="s">
        <v>402</v>
      </c>
      <c r="U162" s="4">
        <v>2</v>
      </c>
      <c r="V162" s="4">
        <v>3</v>
      </c>
      <c r="W162" s="4">
        <v>49</v>
      </c>
    </row>
    <row r="163" spans="1:23" ht="11.25" customHeight="1" x14ac:dyDescent="0.25">
      <c r="A163" s="4" t="s">
        <v>21</v>
      </c>
      <c r="B163" s="4" t="s">
        <v>39</v>
      </c>
      <c r="C163" s="4" t="s">
        <v>42</v>
      </c>
      <c r="D163" s="4" t="s">
        <v>49</v>
      </c>
      <c r="E163" s="4" t="s">
        <v>50</v>
      </c>
      <c r="F163" s="4" t="s">
        <v>25</v>
      </c>
      <c r="G163" s="4" t="s">
        <v>25</v>
      </c>
      <c r="H163" s="4" t="s">
        <v>35</v>
      </c>
      <c r="I163" s="5">
        <v>44562</v>
      </c>
      <c r="J163" s="6">
        <v>1504</v>
      </c>
      <c r="K163" s="6">
        <v>1413.76</v>
      </c>
      <c r="L163" s="6">
        <v>606.64</v>
      </c>
      <c r="M163" s="6">
        <v>570.24159999999995</v>
      </c>
      <c r="N163" s="6">
        <v>606.64</v>
      </c>
      <c r="O163" s="6">
        <v>570.24159999999995</v>
      </c>
      <c r="P163" s="6">
        <v>0</v>
      </c>
      <c r="Q163" s="4" t="s">
        <v>26</v>
      </c>
      <c r="R163" s="4">
        <v>0</v>
      </c>
      <c r="S163" s="4" t="s">
        <v>102</v>
      </c>
      <c r="T163" s="4" t="s">
        <v>403</v>
      </c>
      <c r="U163" s="4">
        <v>2</v>
      </c>
      <c r="V163" s="4">
        <v>3</v>
      </c>
      <c r="W163" s="4">
        <v>49</v>
      </c>
    </row>
    <row r="164" spans="1:23" ht="11.25" customHeight="1" x14ac:dyDescent="0.25">
      <c r="A164" s="4" t="s">
        <v>21</v>
      </c>
      <c r="B164" s="4" t="s">
        <v>39</v>
      </c>
      <c r="C164" s="4" t="s">
        <v>42</v>
      </c>
      <c r="D164" s="4" t="s">
        <v>49</v>
      </c>
      <c r="E164" s="4" t="s">
        <v>50</v>
      </c>
      <c r="F164" s="4" t="s">
        <v>25</v>
      </c>
      <c r="G164" s="4" t="s">
        <v>25</v>
      </c>
      <c r="H164" s="4" t="s">
        <v>35</v>
      </c>
      <c r="I164" s="5">
        <v>44593</v>
      </c>
      <c r="J164" s="6">
        <v>1489</v>
      </c>
      <c r="K164" s="6">
        <v>1399.66</v>
      </c>
      <c r="L164" s="6">
        <v>549.12300000000005</v>
      </c>
      <c r="M164" s="6">
        <v>516.17561999999998</v>
      </c>
      <c r="N164" s="6">
        <v>549.12300000000005</v>
      </c>
      <c r="O164" s="6">
        <v>516.17561999999998</v>
      </c>
      <c r="P164" s="6">
        <v>0</v>
      </c>
      <c r="Q164" s="4" t="s">
        <v>26</v>
      </c>
      <c r="R164" s="4">
        <v>0</v>
      </c>
      <c r="S164" s="4" t="s">
        <v>103</v>
      </c>
      <c r="T164" s="4" t="s">
        <v>404</v>
      </c>
      <c r="U164" s="4">
        <v>2</v>
      </c>
      <c r="V164" s="4">
        <v>3</v>
      </c>
      <c r="W164" s="4">
        <v>49</v>
      </c>
    </row>
    <row r="165" spans="1:23" ht="11.25" customHeight="1" x14ac:dyDescent="0.25">
      <c r="A165" s="4" t="s">
        <v>21</v>
      </c>
      <c r="B165" s="4" t="s">
        <v>39</v>
      </c>
      <c r="C165" s="4" t="s">
        <v>42</v>
      </c>
      <c r="D165" s="4" t="s">
        <v>49</v>
      </c>
      <c r="E165" s="4" t="s">
        <v>50</v>
      </c>
      <c r="F165" s="4" t="s">
        <v>25</v>
      </c>
      <c r="G165" s="4" t="s">
        <v>25</v>
      </c>
      <c r="H165" s="4" t="s">
        <v>35</v>
      </c>
      <c r="I165" s="5">
        <v>44621</v>
      </c>
      <c r="J165" s="6">
        <v>1539</v>
      </c>
      <c r="K165" s="6">
        <v>1446.66</v>
      </c>
      <c r="L165" s="6">
        <v>638.077</v>
      </c>
      <c r="M165" s="6">
        <v>599.79237999999998</v>
      </c>
      <c r="N165" s="6">
        <v>638.077</v>
      </c>
      <c r="O165" s="6">
        <v>599.79237999999998</v>
      </c>
      <c r="P165" s="6">
        <v>0</v>
      </c>
      <c r="Q165" s="4" t="s">
        <v>26</v>
      </c>
      <c r="R165" s="4">
        <v>0</v>
      </c>
      <c r="S165" s="4" t="s">
        <v>104</v>
      </c>
      <c r="T165" s="4" t="s">
        <v>405</v>
      </c>
      <c r="U165" s="4">
        <v>2</v>
      </c>
      <c r="V165" s="4">
        <v>3</v>
      </c>
      <c r="W165" s="4">
        <v>49</v>
      </c>
    </row>
    <row r="166" spans="1:23" ht="11.25" customHeight="1" x14ac:dyDescent="0.25">
      <c r="A166" s="4" t="s">
        <v>21</v>
      </c>
      <c r="B166" s="4" t="s">
        <v>39</v>
      </c>
      <c r="C166" s="4" t="s">
        <v>42</v>
      </c>
      <c r="D166" s="4" t="s">
        <v>49</v>
      </c>
      <c r="E166" s="4" t="s">
        <v>50</v>
      </c>
      <c r="F166" s="4" t="s">
        <v>25</v>
      </c>
      <c r="G166" s="4" t="s">
        <v>25</v>
      </c>
      <c r="H166" s="4" t="s">
        <v>35</v>
      </c>
      <c r="I166" s="5">
        <v>44652</v>
      </c>
      <c r="J166" s="6">
        <v>1530</v>
      </c>
      <c r="K166" s="6">
        <v>1438.2</v>
      </c>
      <c r="L166" s="6">
        <v>609.19799999999998</v>
      </c>
      <c r="M166" s="6">
        <v>572.64612</v>
      </c>
      <c r="N166" s="6">
        <v>609.19799999999998</v>
      </c>
      <c r="O166" s="6">
        <v>572.64612</v>
      </c>
      <c r="P166" s="6">
        <v>0</v>
      </c>
      <c r="Q166" s="4" t="s">
        <v>26</v>
      </c>
      <c r="R166" s="4">
        <v>0</v>
      </c>
      <c r="S166" s="4" t="s">
        <v>105</v>
      </c>
      <c r="T166" s="4" t="s">
        <v>406</v>
      </c>
      <c r="U166" s="4">
        <v>2</v>
      </c>
      <c r="V166" s="4">
        <v>3</v>
      </c>
      <c r="W166" s="4">
        <v>49</v>
      </c>
    </row>
    <row r="167" spans="1:23" ht="11.25" customHeight="1" x14ac:dyDescent="0.25">
      <c r="A167" s="4" t="s">
        <v>21</v>
      </c>
      <c r="B167" s="4" t="s">
        <v>39</v>
      </c>
      <c r="C167" s="4" t="s">
        <v>42</v>
      </c>
      <c r="D167" s="4" t="s">
        <v>49</v>
      </c>
      <c r="E167" s="4" t="s">
        <v>50</v>
      </c>
      <c r="F167" s="4" t="s">
        <v>25</v>
      </c>
      <c r="G167" s="4" t="s">
        <v>25</v>
      </c>
      <c r="H167" s="4" t="s">
        <v>35</v>
      </c>
      <c r="I167" s="5">
        <v>44682</v>
      </c>
      <c r="J167" s="6">
        <v>1512</v>
      </c>
      <c r="K167" s="6">
        <v>1421.28</v>
      </c>
      <c r="L167" s="6">
        <v>633.83399999999995</v>
      </c>
      <c r="M167" s="6">
        <v>595.80395999999996</v>
      </c>
      <c r="N167" s="6">
        <v>633.83399999999995</v>
      </c>
      <c r="O167" s="6">
        <v>595.80395999999996</v>
      </c>
      <c r="P167" s="6">
        <v>0</v>
      </c>
      <c r="Q167" s="4" t="s">
        <v>26</v>
      </c>
      <c r="R167" s="4">
        <v>0</v>
      </c>
      <c r="S167" s="4" t="s">
        <v>106</v>
      </c>
      <c r="T167" s="4" t="s">
        <v>407</v>
      </c>
      <c r="U167" s="4">
        <v>2</v>
      </c>
      <c r="V167" s="4">
        <v>3</v>
      </c>
      <c r="W167" s="4">
        <v>49</v>
      </c>
    </row>
    <row r="168" spans="1:23" ht="11.25" customHeight="1" x14ac:dyDescent="0.25">
      <c r="A168" s="4" t="s">
        <v>21</v>
      </c>
      <c r="B168" s="4" t="s">
        <v>39</v>
      </c>
      <c r="C168" s="4" t="s">
        <v>42</v>
      </c>
      <c r="D168" s="4" t="s">
        <v>49</v>
      </c>
      <c r="E168" s="4" t="s">
        <v>50</v>
      </c>
      <c r="F168" s="4" t="s">
        <v>25</v>
      </c>
      <c r="G168" s="4" t="s">
        <v>25</v>
      </c>
      <c r="H168" s="4" t="s">
        <v>35</v>
      </c>
      <c r="I168" s="5">
        <v>44713</v>
      </c>
      <c r="J168" s="6">
        <v>1525</v>
      </c>
      <c r="K168" s="6">
        <v>1433.5</v>
      </c>
      <c r="L168" s="6">
        <v>599.97</v>
      </c>
      <c r="M168" s="6">
        <v>563.97180000000003</v>
      </c>
      <c r="N168" s="6">
        <v>599.97</v>
      </c>
      <c r="O168" s="6">
        <v>563.97180000000003</v>
      </c>
      <c r="P168" s="6">
        <v>0</v>
      </c>
      <c r="Q168" s="4" t="s">
        <v>26</v>
      </c>
      <c r="R168" s="4">
        <v>0</v>
      </c>
      <c r="S168" s="4" t="s">
        <v>107</v>
      </c>
      <c r="T168" s="4" t="s">
        <v>408</v>
      </c>
      <c r="U168" s="4">
        <v>2</v>
      </c>
      <c r="V168" s="4">
        <v>3</v>
      </c>
      <c r="W168" s="4">
        <v>49</v>
      </c>
    </row>
    <row r="169" spans="1:23" ht="11.25" customHeight="1" x14ac:dyDescent="0.25">
      <c r="A169" s="4" t="s">
        <v>21</v>
      </c>
      <c r="B169" s="4" t="s">
        <v>39</v>
      </c>
      <c r="C169" s="4" t="s">
        <v>42</v>
      </c>
      <c r="D169" s="4" t="s">
        <v>49</v>
      </c>
      <c r="E169" s="4" t="s">
        <v>50</v>
      </c>
      <c r="F169" s="4" t="s">
        <v>25</v>
      </c>
      <c r="G169" s="4" t="s">
        <v>25</v>
      </c>
      <c r="H169" s="4" t="s">
        <v>35</v>
      </c>
      <c r="I169" s="5">
        <v>44743</v>
      </c>
      <c r="J169" s="6">
        <v>1532</v>
      </c>
      <c r="K169" s="6">
        <v>1440.08</v>
      </c>
      <c r="L169" s="6">
        <v>638.24699999999996</v>
      </c>
      <c r="M169" s="6">
        <v>599.95218</v>
      </c>
      <c r="N169" s="6">
        <v>638.24699999999996</v>
      </c>
      <c r="O169" s="6">
        <v>599.95218</v>
      </c>
      <c r="P169" s="6">
        <v>0</v>
      </c>
      <c r="Q169" s="4" t="s">
        <v>26</v>
      </c>
      <c r="R169" s="4">
        <v>0</v>
      </c>
      <c r="S169" s="4" t="s">
        <v>108</v>
      </c>
      <c r="T169" s="4" t="s">
        <v>409</v>
      </c>
      <c r="U169" s="4">
        <v>2</v>
      </c>
      <c r="V169" s="4">
        <v>3</v>
      </c>
      <c r="W169" s="4">
        <v>49</v>
      </c>
    </row>
    <row r="170" spans="1:23" ht="11.25" customHeight="1" x14ac:dyDescent="0.25">
      <c r="A170" s="4" t="s">
        <v>56</v>
      </c>
      <c r="B170" s="4" t="s">
        <v>39</v>
      </c>
      <c r="C170" s="4" t="s">
        <v>42</v>
      </c>
      <c r="D170" s="4" t="s">
        <v>49</v>
      </c>
      <c r="E170" s="4" t="s">
        <v>50</v>
      </c>
      <c r="F170" s="4" t="s">
        <v>25</v>
      </c>
      <c r="G170" s="4" t="s">
        <v>25</v>
      </c>
      <c r="H170" s="4" t="s">
        <v>35</v>
      </c>
      <c r="I170" s="5">
        <v>44774</v>
      </c>
      <c r="J170" s="6">
        <v>1532</v>
      </c>
      <c r="K170" s="6">
        <v>1440.08</v>
      </c>
      <c r="L170" s="6">
        <v>638.24699999999996</v>
      </c>
      <c r="M170" s="6">
        <v>599.95218</v>
      </c>
      <c r="N170" s="6">
        <v>638.24699999999996</v>
      </c>
      <c r="O170" s="6">
        <v>599.95218</v>
      </c>
      <c r="P170" s="6">
        <v>0</v>
      </c>
      <c r="Q170" s="4" t="s">
        <v>26</v>
      </c>
      <c r="R170" s="4">
        <v>0</v>
      </c>
      <c r="S170" s="4" t="s">
        <v>109</v>
      </c>
      <c r="T170" s="4" t="s">
        <v>410</v>
      </c>
      <c r="U170" s="4">
        <v>2</v>
      </c>
      <c r="V170" s="4">
        <v>3</v>
      </c>
      <c r="W170" s="4">
        <v>49</v>
      </c>
    </row>
    <row r="171" spans="1:23" ht="11.25" customHeight="1" x14ac:dyDescent="0.25">
      <c r="A171" s="4" t="s">
        <v>21</v>
      </c>
      <c r="B171" s="4" t="s">
        <v>39</v>
      </c>
      <c r="C171" s="4" t="s">
        <v>42</v>
      </c>
      <c r="D171" s="4" t="s">
        <v>49</v>
      </c>
      <c r="E171" s="4" t="s">
        <v>50</v>
      </c>
      <c r="F171" s="4" t="s">
        <v>25</v>
      </c>
      <c r="G171" s="4" t="s">
        <v>25</v>
      </c>
      <c r="H171" s="4" t="s">
        <v>34</v>
      </c>
      <c r="I171" s="5">
        <v>44440</v>
      </c>
      <c r="J171" s="6">
        <v>1506</v>
      </c>
      <c r="K171" s="6">
        <v>1415.64</v>
      </c>
      <c r="L171" s="6">
        <v>75.120999999999995</v>
      </c>
      <c r="M171" s="6">
        <v>70.613740000000007</v>
      </c>
      <c r="N171" s="6">
        <v>75.120999999999995</v>
      </c>
      <c r="O171" s="6">
        <v>70.613740000000007</v>
      </c>
      <c r="P171" s="6">
        <v>0</v>
      </c>
      <c r="Q171" s="4" t="s">
        <v>26</v>
      </c>
      <c r="R171" s="4">
        <v>0</v>
      </c>
      <c r="S171" s="4" t="s">
        <v>110</v>
      </c>
      <c r="T171" s="4" t="s">
        <v>411</v>
      </c>
      <c r="U171" s="4">
        <v>1</v>
      </c>
      <c r="V171" s="4">
        <v>3</v>
      </c>
      <c r="W171" s="4">
        <v>48</v>
      </c>
    </row>
    <row r="172" spans="1:23" ht="11.25" customHeight="1" x14ac:dyDescent="0.25">
      <c r="A172" s="4" t="s">
        <v>21</v>
      </c>
      <c r="B172" s="4" t="s">
        <v>39</v>
      </c>
      <c r="C172" s="4" t="s">
        <v>42</v>
      </c>
      <c r="D172" s="4" t="s">
        <v>49</v>
      </c>
      <c r="E172" s="4" t="s">
        <v>50</v>
      </c>
      <c r="F172" s="4" t="s">
        <v>25</v>
      </c>
      <c r="G172" s="4" t="s">
        <v>25</v>
      </c>
      <c r="H172" s="4" t="s">
        <v>34</v>
      </c>
      <c r="I172" s="5">
        <v>44470</v>
      </c>
      <c r="J172" s="6">
        <v>1525</v>
      </c>
      <c r="K172" s="6">
        <v>1433.5</v>
      </c>
      <c r="L172" s="6">
        <v>74.183999999999997</v>
      </c>
      <c r="M172" s="6">
        <v>69.732960000000006</v>
      </c>
      <c r="N172" s="6">
        <v>74.183999999999997</v>
      </c>
      <c r="O172" s="6">
        <v>69.732960000000006</v>
      </c>
      <c r="P172" s="6">
        <v>0</v>
      </c>
      <c r="Q172" s="4" t="s">
        <v>26</v>
      </c>
      <c r="R172" s="4">
        <v>0</v>
      </c>
      <c r="S172" s="4" t="s">
        <v>111</v>
      </c>
      <c r="T172" s="4" t="s">
        <v>412</v>
      </c>
      <c r="U172" s="4">
        <v>1</v>
      </c>
      <c r="V172" s="4">
        <v>3</v>
      </c>
      <c r="W172" s="4">
        <v>48</v>
      </c>
    </row>
    <row r="173" spans="1:23" ht="11.25" customHeight="1" x14ac:dyDescent="0.25">
      <c r="A173" s="4" t="s">
        <v>21</v>
      </c>
      <c r="B173" s="4" t="s">
        <v>39</v>
      </c>
      <c r="C173" s="4" t="s">
        <v>42</v>
      </c>
      <c r="D173" s="4" t="s">
        <v>49</v>
      </c>
      <c r="E173" s="4" t="s">
        <v>50</v>
      </c>
      <c r="F173" s="4" t="s">
        <v>25</v>
      </c>
      <c r="G173" s="4" t="s">
        <v>25</v>
      </c>
      <c r="H173" s="4" t="s">
        <v>34</v>
      </c>
      <c r="I173" s="5">
        <v>44501</v>
      </c>
      <c r="J173" s="6">
        <v>1461</v>
      </c>
      <c r="K173" s="6">
        <v>1373.34</v>
      </c>
      <c r="L173" s="6">
        <v>62.348999999999997</v>
      </c>
      <c r="M173" s="6">
        <v>58.608060000000002</v>
      </c>
      <c r="N173" s="6">
        <v>62.348999999999997</v>
      </c>
      <c r="O173" s="6">
        <v>58.608060000000002</v>
      </c>
      <c r="P173" s="6">
        <v>0</v>
      </c>
      <c r="Q173" s="4" t="s">
        <v>26</v>
      </c>
      <c r="R173" s="4">
        <v>0</v>
      </c>
      <c r="S173" s="4" t="s">
        <v>112</v>
      </c>
      <c r="T173" s="4" t="s">
        <v>413</v>
      </c>
      <c r="U173" s="4">
        <v>1</v>
      </c>
      <c r="V173" s="4">
        <v>3</v>
      </c>
      <c r="W173" s="4">
        <v>48</v>
      </c>
    </row>
    <row r="174" spans="1:23" ht="11.25" customHeight="1" x14ac:dyDescent="0.25">
      <c r="A174" s="4" t="s">
        <v>27</v>
      </c>
      <c r="B174" s="4" t="s">
        <v>39</v>
      </c>
      <c r="C174" s="4" t="s">
        <v>42</v>
      </c>
      <c r="D174" s="4" t="s">
        <v>49</v>
      </c>
      <c r="E174" s="4" t="s">
        <v>50</v>
      </c>
      <c r="F174" s="4" t="s">
        <v>25</v>
      </c>
      <c r="G174" s="4" t="s">
        <v>25</v>
      </c>
      <c r="H174" s="4" t="s">
        <v>34</v>
      </c>
      <c r="I174" s="5">
        <v>44501</v>
      </c>
      <c r="J174" s="6">
        <v>-55</v>
      </c>
      <c r="K174" s="6">
        <v>-51.7</v>
      </c>
      <c r="L174" s="6">
        <v>-3.3559999999999999</v>
      </c>
      <c r="M174" s="6">
        <v>-3.1546400000000001</v>
      </c>
      <c r="N174" s="6">
        <v>-3.3559999999999999</v>
      </c>
      <c r="O174" s="6">
        <v>-3.1546400000000001</v>
      </c>
      <c r="P174" s="6">
        <v>0</v>
      </c>
      <c r="Q174" s="4" t="s">
        <v>26</v>
      </c>
      <c r="R174" s="4">
        <v>0</v>
      </c>
      <c r="S174" s="4" t="s">
        <v>112</v>
      </c>
      <c r="T174" s="4" t="s">
        <v>413</v>
      </c>
      <c r="U174" s="4">
        <v>1</v>
      </c>
      <c r="V174" s="4">
        <v>3</v>
      </c>
      <c r="W174" s="4">
        <v>48</v>
      </c>
    </row>
    <row r="175" spans="1:23" ht="11.25" customHeight="1" x14ac:dyDescent="0.25">
      <c r="A175" s="4" t="s">
        <v>21</v>
      </c>
      <c r="B175" s="4" t="s">
        <v>39</v>
      </c>
      <c r="C175" s="4" t="s">
        <v>42</v>
      </c>
      <c r="D175" s="4" t="s">
        <v>49</v>
      </c>
      <c r="E175" s="4" t="s">
        <v>50</v>
      </c>
      <c r="F175" s="4" t="s">
        <v>25</v>
      </c>
      <c r="G175" s="4" t="s">
        <v>25</v>
      </c>
      <c r="H175" s="4" t="s">
        <v>34</v>
      </c>
      <c r="I175" s="5">
        <v>44531</v>
      </c>
      <c r="J175" s="6">
        <v>1432</v>
      </c>
      <c r="K175" s="6">
        <v>1346.08</v>
      </c>
      <c r="L175" s="6">
        <v>75.16</v>
      </c>
      <c r="M175" s="6">
        <v>70.650400000000005</v>
      </c>
      <c r="N175" s="6">
        <v>75.16</v>
      </c>
      <c r="O175" s="6">
        <v>70.650400000000005</v>
      </c>
      <c r="P175" s="6">
        <v>0</v>
      </c>
      <c r="Q175" s="4" t="s">
        <v>26</v>
      </c>
      <c r="R175" s="4">
        <v>0</v>
      </c>
      <c r="S175" s="4" t="s">
        <v>113</v>
      </c>
      <c r="T175" s="4" t="s">
        <v>414</v>
      </c>
      <c r="U175" s="4">
        <v>1</v>
      </c>
      <c r="V175" s="4">
        <v>3</v>
      </c>
      <c r="W175" s="4">
        <v>48</v>
      </c>
    </row>
    <row r="176" spans="1:23" ht="11.25" customHeight="1" x14ac:dyDescent="0.25">
      <c r="A176" s="4" t="s">
        <v>21</v>
      </c>
      <c r="B176" s="4" t="s">
        <v>39</v>
      </c>
      <c r="C176" s="4" t="s">
        <v>42</v>
      </c>
      <c r="D176" s="4" t="s">
        <v>49</v>
      </c>
      <c r="E176" s="4" t="s">
        <v>50</v>
      </c>
      <c r="F176" s="4" t="s">
        <v>25</v>
      </c>
      <c r="G176" s="4" t="s">
        <v>25</v>
      </c>
      <c r="H176" s="4" t="s">
        <v>34</v>
      </c>
      <c r="I176" s="5">
        <v>44562</v>
      </c>
      <c r="J176" s="6">
        <v>1480</v>
      </c>
      <c r="K176" s="6">
        <v>1391.2</v>
      </c>
      <c r="L176" s="6">
        <v>71.073999999999998</v>
      </c>
      <c r="M176" s="6">
        <v>66.809560000000005</v>
      </c>
      <c r="N176" s="6">
        <v>71.073999999999998</v>
      </c>
      <c r="O176" s="6">
        <v>66.809560000000005</v>
      </c>
      <c r="P176" s="6">
        <v>0</v>
      </c>
      <c r="Q176" s="4" t="s">
        <v>26</v>
      </c>
      <c r="R176" s="4">
        <v>0</v>
      </c>
      <c r="S176" s="4" t="s">
        <v>114</v>
      </c>
      <c r="T176" s="4" t="s">
        <v>415</v>
      </c>
      <c r="U176" s="4">
        <v>1</v>
      </c>
      <c r="V176" s="4">
        <v>3</v>
      </c>
      <c r="W176" s="4">
        <v>48</v>
      </c>
    </row>
    <row r="177" spans="1:23" ht="11.25" customHeight="1" x14ac:dyDescent="0.25">
      <c r="A177" s="4" t="s">
        <v>21</v>
      </c>
      <c r="B177" s="4" t="s">
        <v>39</v>
      </c>
      <c r="C177" s="4" t="s">
        <v>42</v>
      </c>
      <c r="D177" s="4" t="s">
        <v>49</v>
      </c>
      <c r="E177" s="4" t="s">
        <v>50</v>
      </c>
      <c r="F177" s="4" t="s">
        <v>25</v>
      </c>
      <c r="G177" s="4" t="s">
        <v>25</v>
      </c>
      <c r="H177" s="4" t="s">
        <v>34</v>
      </c>
      <c r="I177" s="5">
        <v>44593</v>
      </c>
      <c r="J177" s="6">
        <v>1440</v>
      </c>
      <c r="K177" s="6">
        <v>1353.6</v>
      </c>
      <c r="L177" s="6">
        <v>67.515000000000001</v>
      </c>
      <c r="M177" s="6">
        <v>63.464100000000002</v>
      </c>
      <c r="N177" s="6">
        <v>67.515000000000001</v>
      </c>
      <c r="O177" s="6">
        <v>63.464100000000002</v>
      </c>
      <c r="P177" s="6">
        <v>0</v>
      </c>
      <c r="Q177" s="4" t="s">
        <v>26</v>
      </c>
      <c r="R177" s="4">
        <v>0</v>
      </c>
      <c r="S177" s="4" t="s">
        <v>115</v>
      </c>
      <c r="T177" s="4" t="s">
        <v>416</v>
      </c>
      <c r="U177" s="4">
        <v>1</v>
      </c>
      <c r="V177" s="4">
        <v>3</v>
      </c>
      <c r="W177" s="4">
        <v>48</v>
      </c>
    </row>
    <row r="178" spans="1:23" ht="11.25" customHeight="1" x14ac:dyDescent="0.25">
      <c r="A178" s="4" t="s">
        <v>21</v>
      </c>
      <c r="B178" s="4" t="s">
        <v>39</v>
      </c>
      <c r="C178" s="4" t="s">
        <v>42</v>
      </c>
      <c r="D178" s="4" t="s">
        <v>49</v>
      </c>
      <c r="E178" s="4" t="s">
        <v>50</v>
      </c>
      <c r="F178" s="4" t="s">
        <v>25</v>
      </c>
      <c r="G178" s="4" t="s">
        <v>25</v>
      </c>
      <c r="H178" s="4" t="s">
        <v>34</v>
      </c>
      <c r="I178" s="5">
        <v>44621</v>
      </c>
      <c r="J178" s="6">
        <v>1483</v>
      </c>
      <c r="K178" s="6">
        <v>1394.02</v>
      </c>
      <c r="L178" s="6">
        <v>80.646000000000001</v>
      </c>
      <c r="M178" s="6">
        <v>75.807239999999993</v>
      </c>
      <c r="N178" s="6">
        <v>80.646000000000001</v>
      </c>
      <c r="O178" s="6">
        <v>75.807239999999993</v>
      </c>
      <c r="P178" s="6">
        <v>0</v>
      </c>
      <c r="Q178" s="4" t="s">
        <v>26</v>
      </c>
      <c r="R178" s="4">
        <v>0</v>
      </c>
      <c r="S178" s="4" t="s">
        <v>116</v>
      </c>
      <c r="T178" s="4" t="s">
        <v>417</v>
      </c>
      <c r="U178" s="4">
        <v>1</v>
      </c>
      <c r="V178" s="4">
        <v>3</v>
      </c>
      <c r="W178" s="4">
        <v>48</v>
      </c>
    </row>
    <row r="179" spans="1:23" ht="11.25" customHeight="1" x14ac:dyDescent="0.25">
      <c r="A179" s="4" t="s">
        <v>21</v>
      </c>
      <c r="B179" s="4" t="s">
        <v>39</v>
      </c>
      <c r="C179" s="4" t="s">
        <v>42</v>
      </c>
      <c r="D179" s="4" t="s">
        <v>49</v>
      </c>
      <c r="E179" s="4" t="s">
        <v>50</v>
      </c>
      <c r="F179" s="4" t="s">
        <v>25</v>
      </c>
      <c r="G179" s="4" t="s">
        <v>25</v>
      </c>
      <c r="H179" s="4" t="s">
        <v>34</v>
      </c>
      <c r="I179" s="5">
        <v>44652</v>
      </c>
      <c r="J179" s="6">
        <v>1463</v>
      </c>
      <c r="K179" s="6">
        <v>1375.22</v>
      </c>
      <c r="L179" s="6">
        <v>75.522999999999996</v>
      </c>
      <c r="M179" s="6">
        <v>70.991619999999998</v>
      </c>
      <c r="N179" s="6">
        <v>75.522999999999996</v>
      </c>
      <c r="O179" s="6">
        <v>70.991619999999998</v>
      </c>
      <c r="P179" s="6">
        <v>0</v>
      </c>
      <c r="Q179" s="4" t="s">
        <v>26</v>
      </c>
      <c r="R179" s="4">
        <v>0</v>
      </c>
      <c r="S179" s="4" t="s">
        <v>117</v>
      </c>
      <c r="T179" s="4" t="s">
        <v>418</v>
      </c>
      <c r="U179" s="4">
        <v>1</v>
      </c>
      <c r="V179" s="4">
        <v>3</v>
      </c>
      <c r="W179" s="4">
        <v>48</v>
      </c>
    </row>
    <row r="180" spans="1:23" ht="11.25" customHeight="1" x14ac:dyDescent="0.25">
      <c r="A180" s="4" t="s">
        <v>21</v>
      </c>
      <c r="B180" s="4" t="s">
        <v>39</v>
      </c>
      <c r="C180" s="4" t="s">
        <v>42</v>
      </c>
      <c r="D180" s="4" t="s">
        <v>49</v>
      </c>
      <c r="E180" s="4" t="s">
        <v>50</v>
      </c>
      <c r="F180" s="4" t="s">
        <v>25</v>
      </c>
      <c r="G180" s="4" t="s">
        <v>25</v>
      </c>
      <c r="H180" s="4" t="s">
        <v>34</v>
      </c>
      <c r="I180" s="5">
        <v>44682</v>
      </c>
      <c r="J180" s="6">
        <v>1460</v>
      </c>
      <c r="K180" s="6">
        <v>1372.4</v>
      </c>
      <c r="L180" s="6">
        <v>72.590999999999994</v>
      </c>
      <c r="M180" s="6">
        <v>68.23554</v>
      </c>
      <c r="N180" s="6">
        <v>72.590999999999994</v>
      </c>
      <c r="O180" s="6">
        <v>68.23554</v>
      </c>
      <c r="P180" s="6">
        <v>0</v>
      </c>
      <c r="Q180" s="4" t="s">
        <v>26</v>
      </c>
      <c r="R180" s="4">
        <v>0</v>
      </c>
      <c r="S180" s="4" t="s">
        <v>118</v>
      </c>
      <c r="T180" s="4" t="s">
        <v>419</v>
      </c>
      <c r="U180" s="4">
        <v>1</v>
      </c>
      <c r="V180" s="4">
        <v>3</v>
      </c>
      <c r="W180" s="4">
        <v>48</v>
      </c>
    </row>
    <row r="181" spans="1:23" ht="11.25" customHeight="1" x14ac:dyDescent="0.25">
      <c r="A181" s="4" t="s">
        <v>21</v>
      </c>
      <c r="B181" s="4" t="s">
        <v>39</v>
      </c>
      <c r="C181" s="4" t="s">
        <v>42</v>
      </c>
      <c r="D181" s="4" t="s">
        <v>49</v>
      </c>
      <c r="E181" s="4" t="s">
        <v>50</v>
      </c>
      <c r="F181" s="4" t="s">
        <v>25</v>
      </c>
      <c r="G181" s="4" t="s">
        <v>25</v>
      </c>
      <c r="H181" s="4" t="s">
        <v>34</v>
      </c>
      <c r="I181" s="5">
        <v>44713</v>
      </c>
      <c r="J181" s="6">
        <v>1439</v>
      </c>
      <c r="K181" s="6">
        <v>1352.66</v>
      </c>
      <c r="L181" s="6">
        <v>75.111000000000004</v>
      </c>
      <c r="M181" s="6">
        <v>70.604339999999993</v>
      </c>
      <c r="N181" s="6">
        <v>75.111000000000004</v>
      </c>
      <c r="O181" s="6">
        <v>70.604339999999993</v>
      </c>
      <c r="P181" s="6">
        <v>0</v>
      </c>
      <c r="Q181" s="4" t="s">
        <v>26</v>
      </c>
      <c r="R181" s="4">
        <v>0</v>
      </c>
      <c r="S181" s="4" t="s">
        <v>119</v>
      </c>
      <c r="T181" s="4" t="s">
        <v>420</v>
      </c>
      <c r="U181" s="4">
        <v>1</v>
      </c>
      <c r="V181" s="4">
        <v>3</v>
      </c>
      <c r="W181" s="4">
        <v>48</v>
      </c>
    </row>
    <row r="182" spans="1:23" ht="11.25" customHeight="1" x14ac:dyDescent="0.25">
      <c r="A182" s="4" t="s">
        <v>21</v>
      </c>
      <c r="B182" s="4" t="s">
        <v>39</v>
      </c>
      <c r="C182" s="4" t="s">
        <v>42</v>
      </c>
      <c r="D182" s="4" t="s">
        <v>49</v>
      </c>
      <c r="E182" s="4" t="s">
        <v>50</v>
      </c>
      <c r="F182" s="4" t="s">
        <v>25</v>
      </c>
      <c r="G182" s="4" t="s">
        <v>25</v>
      </c>
      <c r="H182" s="4" t="s">
        <v>34</v>
      </c>
      <c r="I182" s="5">
        <v>44743</v>
      </c>
      <c r="J182" s="6">
        <v>1469</v>
      </c>
      <c r="K182" s="6">
        <v>1380.86</v>
      </c>
      <c r="L182" s="6">
        <v>76.551000000000002</v>
      </c>
      <c r="M182" s="6">
        <v>71.957939999999994</v>
      </c>
      <c r="N182" s="6">
        <v>76.551000000000002</v>
      </c>
      <c r="O182" s="6">
        <v>71.957939999999994</v>
      </c>
      <c r="P182" s="6">
        <v>0</v>
      </c>
      <c r="Q182" s="4" t="s">
        <v>26</v>
      </c>
      <c r="R182" s="4">
        <v>0</v>
      </c>
      <c r="S182" s="4" t="s">
        <v>120</v>
      </c>
      <c r="T182" s="4" t="s">
        <v>421</v>
      </c>
      <c r="U182" s="4">
        <v>1</v>
      </c>
      <c r="V182" s="4">
        <v>3</v>
      </c>
      <c r="W182" s="4">
        <v>48</v>
      </c>
    </row>
    <row r="183" spans="1:23" ht="11.25" customHeight="1" x14ac:dyDescent="0.25">
      <c r="A183" s="4" t="s">
        <v>56</v>
      </c>
      <c r="B183" s="4" t="s">
        <v>39</v>
      </c>
      <c r="C183" s="4" t="s">
        <v>42</v>
      </c>
      <c r="D183" s="4" t="s">
        <v>49</v>
      </c>
      <c r="E183" s="4" t="s">
        <v>50</v>
      </c>
      <c r="F183" s="4" t="s">
        <v>25</v>
      </c>
      <c r="G183" s="4" t="s">
        <v>25</v>
      </c>
      <c r="H183" s="4" t="s">
        <v>34</v>
      </c>
      <c r="I183" s="5">
        <v>44774</v>
      </c>
      <c r="J183" s="6">
        <v>1469</v>
      </c>
      <c r="K183" s="6">
        <v>1380.86</v>
      </c>
      <c r="L183" s="6">
        <v>76.551000000000002</v>
      </c>
      <c r="M183" s="6">
        <v>71.957939999999994</v>
      </c>
      <c r="N183" s="6">
        <v>76.551000000000002</v>
      </c>
      <c r="O183" s="6">
        <v>71.957939999999994</v>
      </c>
      <c r="P183" s="6">
        <v>0</v>
      </c>
      <c r="Q183" s="4" t="s">
        <v>26</v>
      </c>
      <c r="R183" s="4">
        <v>0</v>
      </c>
      <c r="S183" s="4" t="s">
        <v>121</v>
      </c>
      <c r="T183" s="4" t="s">
        <v>422</v>
      </c>
      <c r="U183" s="4">
        <v>1</v>
      </c>
      <c r="V183" s="4">
        <v>3</v>
      </c>
      <c r="W183" s="4">
        <v>48</v>
      </c>
    </row>
    <row r="184" spans="1:23" ht="11.25" customHeight="1" x14ac:dyDescent="0.25">
      <c r="A184" s="4" t="s">
        <v>21</v>
      </c>
      <c r="B184" s="4" t="s">
        <v>39</v>
      </c>
      <c r="C184" s="4" t="s">
        <v>59</v>
      </c>
      <c r="D184" s="4" t="s">
        <v>25</v>
      </c>
      <c r="E184" s="4" t="s">
        <v>25</v>
      </c>
      <c r="F184" s="4" t="s">
        <v>25</v>
      </c>
      <c r="G184" s="4" t="s">
        <v>60</v>
      </c>
      <c r="H184" s="4" t="s">
        <v>25</v>
      </c>
      <c r="I184" s="5">
        <v>44440</v>
      </c>
      <c r="J184" s="6">
        <v>900</v>
      </c>
      <c r="K184" s="6">
        <v>450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61</v>
      </c>
      <c r="S184" s="4" t="s">
        <v>134</v>
      </c>
      <c r="U184" s="4">
        <v>5</v>
      </c>
      <c r="V184" s="4">
        <v>0</v>
      </c>
      <c r="W184" s="4">
        <v>0</v>
      </c>
    </row>
    <row r="185" spans="1:23" ht="11.25" customHeight="1" x14ac:dyDescent="0.25">
      <c r="A185" s="4" t="s">
        <v>21</v>
      </c>
      <c r="B185" s="4" t="s">
        <v>39</v>
      </c>
      <c r="C185" s="4" t="s">
        <v>59</v>
      </c>
      <c r="D185" s="4" t="s">
        <v>25</v>
      </c>
      <c r="E185" s="4" t="s">
        <v>25</v>
      </c>
      <c r="F185" s="4" t="s">
        <v>25</v>
      </c>
      <c r="G185" s="4" t="s">
        <v>62</v>
      </c>
      <c r="H185" s="4" t="s">
        <v>25</v>
      </c>
      <c r="I185" s="5">
        <v>44440</v>
      </c>
      <c r="J185" s="6">
        <v>206</v>
      </c>
      <c r="K185" s="6">
        <v>103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61</v>
      </c>
      <c r="R185" s="4">
        <v>491</v>
      </c>
      <c r="S185" s="4" t="s">
        <v>134</v>
      </c>
      <c r="U185" s="4">
        <v>5</v>
      </c>
      <c r="V185" s="4">
        <v>0</v>
      </c>
      <c r="W185" s="4">
        <v>0</v>
      </c>
    </row>
    <row r="186" spans="1:23" ht="11.25" customHeight="1" x14ac:dyDescent="0.25">
      <c r="A186" s="4" t="s">
        <v>21</v>
      </c>
      <c r="B186" s="4" t="s">
        <v>39</v>
      </c>
      <c r="C186" s="4" t="s">
        <v>59</v>
      </c>
      <c r="D186" s="4" t="s">
        <v>25</v>
      </c>
      <c r="E186" s="4" t="s">
        <v>25</v>
      </c>
      <c r="F186" s="4" t="s">
        <v>25</v>
      </c>
      <c r="G186" s="4" t="s">
        <v>63</v>
      </c>
      <c r="H186" s="4" t="s">
        <v>25</v>
      </c>
      <c r="I186" s="5">
        <v>44440</v>
      </c>
      <c r="J186" s="6">
        <v>240</v>
      </c>
      <c r="K186" s="6">
        <v>120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61</v>
      </c>
      <c r="R186" s="4">
        <v>27182</v>
      </c>
      <c r="S186" s="4" t="s">
        <v>134</v>
      </c>
      <c r="U186" s="4">
        <v>5</v>
      </c>
      <c r="V186" s="4">
        <v>0</v>
      </c>
      <c r="W186" s="4">
        <v>0</v>
      </c>
    </row>
    <row r="187" spans="1:23" ht="11.25" customHeight="1" x14ac:dyDescent="0.25">
      <c r="A187" s="4" t="s">
        <v>21</v>
      </c>
      <c r="B187" s="4" t="s">
        <v>39</v>
      </c>
      <c r="C187" s="4" t="s">
        <v>59</v>
      </c>
      <c r="D187" s="4" t="s">
        <v>25</v>
      </c>
      <c r="E187" s="4" t="s">
        <v>25</v>
      </c>
      <c r="F187" s="4" t="s">
        <v>25</v>
      </c>
      <c r="G187" s="4" t="s">
        <v>60</v>
      </c>
      <c r="H187" s="4" t="s">
        <v>25</v>
      </c>
      <c r="I187" s="5">
        <v>44470</v>
      </c>
      <c r="J187" s="6">
        <v>900</v>
      </c>
      <c r="K187" s="6">
        <v>450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61</v>
      </c>
      <c r="S187" s="4" t="s">
        <v>135</v>
      </c>
      <c r="U187" s="4">
        <v>5</v>
      </c>
      <c r="V187" s="4">
        <v>0</v>
      </c>
      <c r="W187" s="4">
        <v>0</v>
      </c>
    </row>
    <row r="188" spans="1:23" ht="11.25" customHeight="1" x14ac:dyDescent="0.25">
      <c r="A188" s="4" t="s">
        <v>21</v>
      </c>
      <c r="B188" s="4" t="s">
        <v>39</v>
      </c>
      <c r="C188" s="4" t="s">
        <v>59</v>
      </c>
      <c r="D188" s="4" t="s">
        <v>25</v>
      </c>
      <c r="E188" s="4" t="s">
        <v>25</v>
      </c>
      <c r="F188" s="4" t="s">
        <v>25</v>
      </c>
      <c r="G188" s="4" t="s">
        <v>62</v>
      </c>
      <c r="H188" s="4" t="s">
        <v>25</v>
      </c>
      <c r="I188" s="5">
        <v>44470</v>
      </c>
      <c r="J188" s="6">
        <v>206</v>
      </c>
      <c r="K188" s="6">
        <v>103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61</v>
      </c>
      <c r="R188" s="4">
        <v>491</v>
      </c>
      <c r="S188" s="4" t="s">
        <v>135</v>
      </c>
      <c r="U188" s="4">
        <v>5</v>
      </c>
      <c r="V188" s="4">
        <v>0</v>
      </c>
      <c r="W188" s="4">
        <v>0</v>
      </c>
    </row>
    <row r="189" spans="1:23" ht="11.25" customHeight="1" x14ac:dyDescent="0.25">
      <c r="A189" s="4" t="s">
        <v>21</v>
      </c>
      <c r="B189" s="4" t="s">
        <v>39</v>
      </c>
      <c r="C189" s="4" t="s">
        <v>59</v>
      </c>
      <c r="D189" s="4" t="s">
        <v>25</v>
      </c>
      <c r="E189" s="4" t="s">
        <v>25</v>
      </c>
      <c r="F189" s="4" t="s">
        <v>25</v>
      </c>
      <c r="G189" s="4" t="s">
        <v>63</v>
      </c>
      <c r="H189" s="4" t="s">
        <v>25</v>
      </c>
      <c r="I189" s="5">
        <v>44470</v>
      </c>
      <c r="J189" s="6">
        <v>240</v>
      </c>
      <c r="K189" s="6">
        <v>120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61</v>
      </c>
      <c r="R189" s="4">
        <v>27182</v>
      </c>
      <c r="S189" s="4" t="s">
        <v>135</v>
      </c>
      <c r="U189" s="4">
        <v>5</v>
      </c>
      <c r="V189" s="4">
        <v>0</v>
      </c>
      <c r="W189" s="4">
        <v>0</v>
      </c>
    </row>
    <row r="190" spans="1:23" ht="11.25" customHeight="1" x14ac:dyDescent="0.25">
      <c r="A190" s="4" t="s">
        <v>21</v>
      </c>
      <c r="B190" s="4" t="s">
        <v>39</v>
      </c>
      <c r="C190" s="4" t="s">
        <v>59</v>
      </c>
      <c r="D190" s="4" t="s">
        <v>25</v>
      </c>
      <c r="E190" s="4" t="s">
        <v>25</v>
      </c>
      <c r="F190" s="4" t="s">
        <v>25</v>
      </c>
      <c r="G190" s="4" t="s">
        <v>60</v>
      </c>
      <c r="H190" s="4" t="s">
        <v>25</v>
      </c>
      <c r="I190" s="5">
        <v>44501</v>
      </c>
      <c r="J190" s="6">
        <v>900</v>
      </c>
      <c r="K190" s="6">
        <v>450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61</v>
      </c>
      <c r="S190" s="4" t="s">
        <v>136</v>
      </c>
      <c r="U190" s="4">
        <v>5</v>
      </c>
      <c r="V190" s="4">
        <v>0</v>
      </c>
      <c r="W190" s="4">
        <v>0</v>
      </c>
    </row>
    <row r="191" spans="1:23" ht="11.25" customHeight="1" x14ac:dyDescent="0.25">
      <c r="A191" s="4" t="s">
        <v>21</v>
      </c>
      <c r="B191" s="4" t="s">
        <v>39</v>
      </c>
      <c r="C191" s="4" t="s">
        <v>59</v>
      </c>
      <c r="D191" s="4" t="s">
        <v>25</v>
      </c>
      <c r="E191" s="4" t="s">
        <v>25</v>
      </c>
      <c r="F191" s="4" t="s">
        <v>25</v>
      </c>
      <c r="G191" s="4" t="s">
        <v>62</v>
      </c>
      <c r="H191" s="4" t="s">
        <v>25</v>
      </c>
      <c r="I191" s="5">
        <v>44501</v>
      </c>
      <c r="J191" s="6">
        <v>206</v>
      </c>
      <c r="K191" s="6">
        <v>103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61</v>
      </c>
      <c r="R191" s="4">
        <v>491</v>
      </c>
      <c r="S191" s="4" t="s">
        <v>136</v>
      </c>
      <c r="U191" s="4">
        <v>5</v>
      </c>
      <c r="V191" s="4">
        <v>0</v>
      </c>
      <c r="W191" s="4">
        <v>0</v>
      </c>
    </row>
    <row r="192" spans="1:23" ht="11.25" customHeight="1" x14ac:dyDescent="0.25">
      <c r="A192" s="4" t="s">
        <v>21</v>
      </c>
      <c r="B192" s="4" t="s">
        <v>39</v>
      </c>
      <c r="C192" s="4" t="s">
        <v>59</v>
      </c>
      <c r="D192" s="4" t="s">
        <v>25</v>
      </c>
      <c r="E192" s="4" t="s">
        <v>25</v>
      </c>
      <c r="F192" s="4" t="s">
        <v>25</v>
      </c>
      <c r="G192" s="4" t="s">
        <v>63</v>
      </c>
      <c r="H192" s="4" t="s">
        <v>25</v>
      </c>
      <c r="I192" s="5">
        <v>44501</v>
      </c>
      <c r="J192" s="6">
        <v>240</v>
      </c>
      <c r="K192" s="6">
        <v>120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61</v>
      </c>
      <c r="R192" s="4">
        <v>27182</v>
      </c>
      <c r="S192" s="4" t="s">
        <v>136</v>
      </c>
      <c r="U192" s="4">
        <v>5</v>
      </c>
      <c r="V192" s="4">
        <v>0</v>
      </c>
      <c r="W192" s="4">
        <v>0</v>
      </c>
    </row>
    <row r="193" spans="1:23" ht="11.25" customHeight="1" x14ac:dyDescent="0.25">
      <c r="A193" s="4" t="s">
        <v>21</v>
      </c>
      <c r="B193" s="4" t="s">
        <v>39</v>
      </c>
      <c r="C193" s="4" t="s">
        <v>59</v>
      </c>
      <c r="D193" s="4" t="s">
        <v>25</v>
      </c>
      <c r="E193" s="4" t="s">
        <v>25</v>
      </c>
      <c r="F193" s="4" t="s">
        <v>25</v>
      </c>
      <c r="G193" s="4" t="s">
        <v>60</v>
      </c>
      <c r="H193" s="4" t="s">
        <v>25</v>
      </c>
      <c r="I193" s="5">
        <v>44531</v>
      </c>
      <c r="J193" s="6">
        <v>900</v>
      </c>
      <c r="K193" s="6">
        <v>450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61</v>
      </c>
      <c r="S193" s="4" t="s">
        <v>137</v>
      </c>
      <c r="U193" s="4">
        <v>5</v>
      </c>
      <c r="V193" s="4">
        <v>0</v>
      </c>
      <c r="W193" s="4">
        <v>0</v>
      </c>
    </row>
    <row r="194" spans="1:23" ht="11.25" customHeight="1" x14ac:dyDescent="0.25">
      <c r="A194" s="4" t="s">
        <v>21</v>
      </c>
      <c r="B194" s="4" t="s">
        <v>39</v>
      </c>
      <c r="C194" s="4" t="s">
        <v>59</v>
      </c>
      <c r="D194" s="4" t="s">
        <v>25</v>
      </c>
      <c r="E194" s="4" t="s">
        <v>25</v>
      </c>
      <c r="F194" s="4" t="s">
        <v>25</v>
      </c>
      <c r="G194" s="4" t="s">
        <v>62</v>
      </c>
      <c r="H194" s="4" t="s">
        <v>25</v>
      </c>
      <c r="I194" s="5">
        <v>44531</v>
      </c>
      <c r="J194" s="6">
        <v>206</v>
      </c>
      <c r="K194" s="6">
        <v>103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4" t="s">
        <v>61</v>
      </c>
      <c r="R194" s="4">
        <v>491</v>
      </c>
      <c r="S194" s="4" t="s">
        <v>137</v>
      </c>
      <c r="U194" s="4">
        <v>5</v>
      </c>
      <c r="V194" s="4">
        <v>0</v>
      </c>
      <c r="W194" s="4">
        <v>0</v>
      </c>
    </row>
    <row r="195" spans="1:23" ht="11.25" customHeight="1" x14ac:dyDescent="0.25">
      <c r="A195" s="4" t="s">
        <v>21</v>
      </c>
      <c r="B195" s="4" t="s">
        <v>39</v>
      </c>
      <c r="C195" s="4" t="s">
        <v>59</v>
      </c>
      <c r="D195" s="4" t="s">
        <v>25</v>
      </c>
      <c r="E195" s="4" t="s">
        <v>25</v>
      </c>
      <c r="F195" s="4" t="s">
        <v>25</v>
      </c>
      <c r="G195" s="4" t="s">
        <v>63</v>
      </c>
      <c r="H195" s="4" t="s">
        <v>25</v>
      </c>
      <c r="I195" s="5">
        <v>44531</v>
      </c>
      <c r="J195" s="6">
        <v>240</v>
      </c>
      <c r="K195" s="6">
        <v>120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61</v>
      </c>
      <c r="R195" s="4">
        <v>27182</v>
      </c>
      <c r="S195" s="4" t="s">
        <v>137</v>
      </c>
      <c r="U195" s="4">
        <v>5</v>
      </c>
      <c r="V195" s="4">
        <v>0</v>
      </c>
      <c r="W195" s="4">
        <v>0</v>
      </c>
    </row>
    <row r="196" spans="1:23" ht="11.25" customHeight="1" x14ac:dyDescent="0.25">
      <c r="A196" s="4" t="s">
        <v>21</v>
      </c>
      <c r="B196" s="4" t="s">
        <v>39</v>
      </c>
      <c r="C196" s="4" t="s">
        <v>59</v>
      </c>
      <c r="D196" s="4" t="s">
        <v>25</v>
      </c>
      <c r="E196" s="4" t="s">
        <v>25</v>
      </c>
      <c r="F196" s="4" t="s">
        <v>25</v>
      </c>
      <c r="G196" s="4" t="s">
        <v>60</v>
      </c>
      <c r="H196" s="4" t="s">
        <v>25</v>
      </c>
      <c r="I196" s="5">
        <v>44562</v>
      </c>
      <c r="J196" s="6">
        <v>900</v>
      </c>
      <c r="K196" s="6">
        <v>450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4" t="s">
        <v>61</v>
      </c>
      <c r="S196" s="4" t="s">
        <v>138</v>
      </c>
      <c r="U196" s="4">
        <v>5</v>
      </c>
      <c r="V196" s="4">
        <v>0</v>
      </c>
      <c r="W196" s="4">
        <v>0</v>
      </c>
    </row>
    <row r="197" spans="1:23" ht="11.25" customHeight="1" x14ac:dyDescent="0.25">
      <c r="A197" s="4" t="s">
        <v>21</v>
      </c>
      <c r="B197" s="4" t="s">
        <v>39</v>
      </c>
      <c r="C197" s="4" t="s">
        <v>59</v>
      </c>
      <c r="D197" s="4" t="s">
        <v>25</v>
      </c>
      <c r="E197" s="4" t="s">
        <v>25</v>
      </c>
      <c r="F197" s="4" t="s">
        <v>25</v>
      </c>
      <c r="G197" s="4" t="s">
        <v>62</v>
      </c>
      <c r="H197" s="4" t="s">
        <v>25</v>
      </c>
      <c r="I197" s="5">
        <v>44562</v>
      </c>
      <c r="J197" s="6">
        <v>206</v>
      </c>
      <c r="K197" s="6">
        <v>103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4" t="s">
        <v>61</v>
      </c>
      <c r="R197" s="4">
        <v>491</v>
      </c>
      <c r="S197" s="4" t="s">
        <v>138</v>
      </c>
      <c r="U197" s="4">
        <v>5</v>
      </c>
      <c r="V197" s="4">
        <v>0</v>
      </c>
      <c r="W197" s="4">
        <v>0</v>
      </c>
    </row>
    <row r="198" spans="1:23" ht="11.25" customHeight="1" x14ac:dyDescent="0.25">
      <c r="A198" s="4" t="s">
        <v>21</v>
      </c>
      <c r="B198" s="4" t="s">
        <v>39</v>
      </c>
      <c r="C198" s="4" t="s">
        <v>59</v>
      </c>
      <c r="D198" s="4" t="s">
        <v>25</v>
      </c>
      <c r="E198" s="4" t="s">
        <v>25</v>
      </c>
      <c r="F198" s="4" t="s">
        <v>25</v>
      </c>
      <c r="G198" s="4" t="s">
        <v>63</v>
      </c>
      <c r="H198" s="4" t="s">
        <v>25</v>
      </c>
      <c r="I198" s="5">
        <v>44562</v>
      </c>
      <c r="J198" s="6">
        <v>240</v>
      </c>
      <c r="K198" s="6">
        <v>120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61</v>
      </c>
      <c r="R198" s="4">
        <v>27182</v>
      </c>
      <c r="S198" s="4" t="s">
        <v>138</v>
      </c>
      <c r="U198" s="4">
        <v>5</v>
      </c>
      <c r="V198" s="4">
        <v>0</v>
      </c>
      <c r="W198" s="4">
        <v>0</v>
      </c>
    </row>
    <row r="199" spans="1:23" ht="11.25" customHeight="1" x14ac:dyDescent="0.25">
      <c r="A199" s="4" t="s">
        <v>21</v>
      </c>
      <c r="B199" s="4" t="s">
        <v>39</v>
      </c>
      <c r="C199" s="4" t="s">
        <v>59</v>
      </c>
      <c r="D199" s="4" t="s">
        <v>25</v>
      </c>
      <c r="E199" s="4" t="s">
        <v>25</v>
      </c>
      <c r="F199" s="4" t="s">
        <v>25</v>
      </c>
      <c r="G199" s="4" t="s">
        <v>60</v>
      </c>
      <c r="H199" s="4" t="s">
        <v>25</v>
      </c>
      <c r="I199" s="5">
        <v>44593</v>
      </c>
      <c r="J199" s="6">
        <v>900</v>
      </c>
      <c r="K199" s="6">
        <v>450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61</v>
      </c>
      <c r="S199" s="4" t="s">
        <v>139</v>
      </c>
      <c r="U199" s="4">
        <v>5</v>
      </c>
      <c r="V199" s="4">
        <v>0</v>
      </c>
      <c r="W199" s="4">
        <v>0</v>
      </c>
    </row>
    <row r="200" spans="1:23" ht="11.25" customHeight="1" x14ac:dyDescent="0.25">
      <c r="A200" s="4" t="s">
        <v>21</v>
      </c>
      <c r="B200" s="4" t="s">
        <v>39</v>
      </c>
      <c r="C200" s="4" t="s">
        <v>59</v>
      </c>
      <c r="D200" s="4" t="s">
        <v>25</v>
      </c>
      <c r="E200" s="4" t="s">
        <v>25</v>
      </c>
      <c r="F200" s="4" t="s">
        <v>25</v>
      </c>
      <c r="G200" s="4" t="s">
        <v>62</v>
      </c>
      <c r="H200" s="4" t="s">
        <v>25</v>
      </c>
      <c r="I200" s="5">
        <v>44593</v>
      </c>
      <c r="J200" s="6">
        <v>206</v>
      </c>
      <c r="K200" s="6">
        <v>103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61</v>
      </c>
      <c r="R200" s="4">
        <v>491</v>
      </c>
      <c r="S200" s="4" t="s">
        <v>139</v>
      </c>
      <c r="U200" s="4">
        <v>5</v>
      </c>
      <c r="V200" s="4">
        <v>0</v>
      </c>
      <c r="W200" s="4">
        <v>0</v>
      </c>
    </row>
    <row r="201" spans="1:23" ht="11.25" customHeight="1" x14ac:dyDescent="0.25">
      <c r="A201" s="4" t="s">
        <v>21</v>
      </c>
      <c r="B201" s="4" t="s">
        <v>39</v>
      </c>
      <c r="C201" s="4" t="s">
        <v>59</v>
      </c>
      <c r="D201" s="4" t="s">
        <v>25</v>
      </c>
      <c r="E201" s="4" t="s">
        <v>25</v>
      </c>
      <c r="F201" s="4" t="s">
        <v>25</v>
      </c>
      <c r="G201" s="4" t="s">
        <v>63</v>
      </c>
      <c r="H201" s="4" t="s">
        <v>25</v>
      </c>
      <c r="I201" s="5">
        <v>44593</v>
      </c>
      <c r="J201" s="6">
        <v>240</v>
      </c>
      <c r="K201" s="6">
        <v>120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61</v>
      </c>
      <c r="R201" s="4">
        <v>27182</v>
      </c>
      <c r="S201" s="4" t="s">
        <v>139</v>
      </c>
      <c r="U201" s="4">
        <v>5</v>
      </c>
      <c r="V201" s="4">
        <v>0</v>
      </c>
      <c r="W201" s="4">
        <v>0</v>
      </c>
    </row>
    <row r="202" spans="1:23" ht="11.25" customHeight="1" x14ac:dyDescent="0.25">
      <c r="A202" s="4" t="s">
        <v>21</v>
      </c>
      <c r="B202" s="4" t="s">
        <v>39</v>
      </c>
      <c r="C202" s="4" t="s">
        <v>59</v>
      </c>
      <c r="D202" s="4" t="s">
        <v>25</v>
      </c>
      <c r="E202" s="4" t="s">
        <v>25</v>
      </c>
      <c r="F202" s="4" t="s">
        <v>25</v>
      </c>
      <c r="G202" s="4" t="s">
        <v>60</v>
      </c>
      <c r="H202" s="4" t="s">
        <v>25</v>
      </c>
      <c r="I202" s="5">
        <v>44621</v>
      </c>
      <c r="J202" s="6">
        <v>900</v>
      </c>
      <c r="K202" s="6">
        <v>450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61</v>
      </c>
      <c r="S202" s="4" t="s">
        <v>140</v>
      </c>
      <c r="U202" s="4">
        <v>5</v>
      </c>
      <c r="V202" s="4">
        <v>0</v>
      </c>
      <c r="W202" s="4">
        <v>0</v>
      </c>
    </row>
    <row r="203" spans="1:23" ht="11.25" customHeight="1" x14ac:dyDescent="0.25">
      <c r="A203" s="4" t="s">
        <v>21</v>
      </c>
      <c r="B203" s="4" t="s">
        <v>39</v>
      </c>
      <c r="C203" s="4" t="s">
        <v>59</v>
      </c>
      <c r="D203" s="4" t="s">
        <v>25</v>
      </c>
      <c r="E203" s="4" t="s">
        <v>25</v>
      </c>
      <c r="F203" s="4" t="s">
        <v>25</v>
      </c>
      <c r="G203" s="4" t="s">
        <v>62</v>
      </c>
      <c r="H203" s="4" t="s">
        <v>25</v>
      </c>
      <c r="I203" s="5">
        <v>44621</v>
      </c>
      <c r="J203" s="6">
        <v>206</v>
      </c>
      <c r="K203" s="6">
        <v>103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61</v>
      </c>
      <c r="R203" s="4">
        <v>491</v>
      </c>
      <c r="S203" s="4" t="s">
        <v>140</v>
      </c>
      <c r="U203" s="4">
        <v>5</v>
      </c>
      <c r="V203" s="4">
        <v>0</v>
      </c>
      <c r="W203" s="4">
        <v>0</v>
      </c>
    </row>
    <row r="204" spans="1:23" ht="11.25" customHeight="1" x14ac:dyDescent="0.25">
      <c r="A204" s="4" t="s">
        <v>21</v>
      </c>
      <c r="B204" s="4" t="s">
        <v>39</v>
      </c>
      <c r="C204" s="4" t="s">
        <v>59</v>
      </c>
      <c r="D204" s="4" t="s">
        <v>25</v>
      </c>
      <c r="E204" s="4" t="s">
        <v>25</v>
      </c>
      <c r="F204" s="4" t="s">
        <v>25</v>
      </c>
      <c r="G204" s="4" t="s">
        <v>63</v>
      </c>
      <c r="H204" s="4" t="s">
        <v>25</v>
      </c>
      <c r="I204" s="5">
        <v>44621</v>
      </c>
      <c r="J204" s="6">
        <v>240</v>
      </c>
      <c r="K204" s="6">
        <v>120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4" t="s">
        <v>61</v>
      </c>
      <c r="R204" s="4">
        <v>27182</v>
      </c>
      <c r="S204" s="4" t="s">
        <v>140</v>
      </c>
      <c r="U204" s="4">
        <v>5</v>
      </c>
      <c r="V204" s="4">
        <v>0</v>
      </c>
      <c r="W204" s="4">
        <v>0</v>
      </c>
    </row>
    <row r="205" spans="1:23" ht="11.25" customHeight="1" x14ac:dyDescent="0.25">
      <c r="A205" s="4" t="s">
        <v>21</v>
      </c>
      <c r="B205" s="4" t="s">
        <v>39</v>
      </c>
      <c r="C205" s="4" t="s">
        <v>59</v>
      </c>
      <c r="D205" s="4" t="s">
        <v>25</v>
      </c>
      <c r="E205" s="4" t="s">
        <v>25</v>
      </c>
      <c r="F205" s="4" t="s">
        <v>25</v>
      </c>
      <c r="G205" s="4" t="s">
        <v>60</v>
      </c>
      <c r="H205" s="4" t="s">
        <v>25</v>
      </c>
      <c r="I205" s="5">
        <v>44652</v>
      </c>
      <c r="J205" s="6">
        <v>900</v>
      </c>
      <c r="K205" s="6">
        <v>450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4" t="s">
        <v>61</v>
      </c>
      <c r="S205" s="4" t="s">
        <v>141</v>
      </c>
      <c r="U205" s="4">
        <v>5</v>
      </c>
      <c r="V205" s="4">
        <v>0</v>
      </c>
      <c r="W205" s="4">
        <v>0</v>
      </c>
    </row>
    <row r="206" spans="1:23" ht="11.25" customHeight="1" x14ac:dyDescent="0.25">
      <c r="A206" s="4" t="s">
        <v>21</v>
      </c>
      <c r="B206" s="4" t="s">
        <v>39</v>
      </c>
      <c r="C206" s="4" t="s">
        <v>59</v>
      </c>
      <c r="D206" s="4" t="s">
        <v>25</v>
      </c>
      <c r="E206" s="4" t="s">
        <v>25</v>
      </c>
      <c r="F206" s="4" t="s">
        <v>25</v>
      </c>
      <c r="G206" s="4" t="s">
        <v>62</v>
      </c>
      <c r="H206" s="4" t="s">
        <v>25</v>
      </c>
      <c r="I206" s="5">
        <v>44652</v>
      </c>
      <c r="J206" s="6">
        <v>206</v>
      </c>
      <c r="K206" s="6">
        <v>103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4" t="s">
        <v>61</v>
      </c>
      <c r="R206" s="4">
        <v>491</v>
      </c>
      <c r="S206" s="4" t="s">
        <v>141</v>
      </c>
      <c r="U206" s="4">
        <v>5</v>
      </c>
      <c r="V206" s="4">
        <v>0</v>
      </c>
      <c r="W206" s="4">
        <v>0</v>
      </c>
    </row>
    <row r="207" spans="1:23" ht="11.25" customHeight="1" x14ac:dyDescent="0.25">
      <c r="A207" s="4" t="s">
        <v>21</v>
      </c>
      <c r="B207" s="4" t="s">
        <v>39</v>
      </c>
      <c r="C207" s="4" t="s">
        <v>59</v>
      </c>
      <c r="D207" s="4" t="s">
        <v>25</v>
      </c>
      <c r="E207" s="4" t="s">
        <v>25</v>
      </c>
      <c r="F207" s="4" t="s">
        <v>25</v>
      </c>
      <c r="G207" s="4" t="s">
        <v>63</v>
      </c>
      <c r="H207" s="4" t="s">
        <v>25</v>
      </c>
      <c r="I207" s="5">
        <v>44652</v>
      </c>
      <c r="J207" s="6">
        <v>240</v>
      </c>
      <c r="K207" s="6">
        <v>120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4" t="s">
        <v>61</v>
      </c>
      <c r="R207" s="4">
        <v>27182</v>
      </c>
      <c r="S207" s="4" t="s">
        <v>141</v>
      </c>
      <c r="U207" s="4">
        <v>5</v>
      </c>
      <c r="V207" s="4">
        <v>0</v>
      </c>
      <c r="W207" s="4">
        <v>0</v>
      </c>
    </row>
    <row r="208" spans="1:23" ht="11.25" customHeight="1" x14ac:dyDescent="0.25">
      <c r="A208" s="4" t="s">
        <v>21</v>
      </c>
      <c r="B208" s="4" t="s">
        <v>39</v>
      </c>
      <c r="C208" s="4" t="s">
        <v>59</v>
      </c>
      <c r="D208" s="4" t="s">
        <v>25</v>
      </c>
      <c r="E208" s="4" t="s">
        <v>25</v>
      </c>
      <c r="F208" s="4" t="s">
        <v>25</v>
      </c>
      <c r="G208" s="4" t="s">
        <v>60</v>
      </c>
      <c r="H208" s="4" t="s">
        <v>25</v>
      </c>
      <c r="I208" s="5">
        <v>44682</v>
      </c>
      <c r="J208" s="6">
        <v>900</v>
      </c>
      <c r="K208" s="6">
        <v>450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61</v>
      </c>
      <c r="S208" s="4" t="s">
        <v>142</v>
      </c>
      <c r="U208" s="4">
        <v>5</v>
      </c>
      <c r="V208" s="4">
        <v>0</v>
      </c>
      <c r="W208" s="4">
        <v>0</v>
      </c>
    </row>
    <row r="209" spans="1:23" ht="11.25" customHeight="1" x14ac:dyDescent="0.25">
      <c r="A209" s="4" t="s">
        <v>21</v>
      </c>
      <c r="B209" s="4" t="s">
        <v>39</v>
      </c>
      <c r="C209" s="4" t="s">
        <v>59</v>
      </c>
      <c r="D209" s="4" t="s">
        <v>25</v>
      </c>
      <c r="E209" s="4" t="s">
        <v>25</v>
      </c>
      <c r="F209" s="4" t="s">
        <v>25</v>
      </c>
      <c r="G209" s="4" t="s">
        <v>62</v>
      </c>
      <c r="H209" s="4" t="s">
        <v>25</v>
      </c>
      <c r="I209" s="5">
        <v>44682</v>
      </c>
      <c r="J209" s="6">
        <v>206</v>
      </c>
      <c r="K209" s="6">
        <v>103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61</v>
      </c>
      <c r="R209" s="4">
        <v>491</v>
      </c>
      <c r="S209" s="4" t="s">
        <v>142</v>
      </c>
      <c r="U209" s="4">
        <v>5</v>
      </c>
      <c r="V209" s="4">
        <v>0</v>
      </c>
      <c r="W209" s="4">
        <v>0</v>
      </c>
    </row>
    <row r="210" spans="1:23" ht="11.25" customHeight="1" x14ac:dyDescent="0.25">
      <c r="A210" s="4" t="s">
        <v>21</v>
      </c>
      <c r="B210" s="4" t="s">
        <v>39</v>
      </c>
      <c r="C210" s="4" t="s">
        <v>59</v>
      </c>
      <c r="D210" s="4" t="s">
        <v>25</v>
      </c>
      <c r="E210" s="4" t="s">
        <v>25</v>
      </c>
      <c r="F210" s="4" t="s">
        <v>25</v>
      </c>
      <c r="G210" s="4" t="s">
        <v>63</v>
      </c>
      <c r="H210" s="4" t="s">
        <v>25</v>
      </c>
      <c r="I210" s="5">
        <v>44682</v>
      </c>
      <c r="J210" s="6">
        <v>240</v>
      </c>
      <c r="K210" s="6">
        <v>120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4" t="s">
        <v>61</v>
      </c>
      <c r="R210" s="4">
        <v>27182</v>
      </c>
      <c r="S210" s="4" t="s">
        <v>142</v>
      </c>
      <c r="U210" s="4">
        <v>5</v>
      </c>
      <c r="V210" s="4">
        <v>0</v>
      </c>
      <c r="W210" s="4">
        <v>0</v>
      </c>
    </row>
    <row r="211" spans="1:23" ht="11.25" customHeight="1" x14ac:dyDescent="0.25">
      <c r="A211" s="4" t="s">
        <v>21</v>
      </c>
      <c r="B211" s="4" t="s">
        <v>39</v>
      </c>
      <c r="C211" s="4" t="s">
        <v>59</v>
      </c>
      <c r="D211" s="4" t="s">
        <v>25</v>
      </c>
      <c r="E211" s="4" t="s">
        <v>25</v>
      </c>
      <c r="F211" s="4" t="s">
        <v>25</v>
      </c>
      <c r="G211" s="4" t="s">
        <v>60</v>
      </c>
      <c r="H211" s="4" t="s">
        <v>25</v>
      </c>
      <c r="I211" s="5">
        <v>44713</v>
      </c>
      <c r="J211" s="6">
        <v>900</v>
      </c>
      <c r="K211" s="6">
        <v>450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4" t="s">
        <v>61</v>
      </c>
      <c r="S211" s="4" t="s">
        <v>143</v>
      </c>
      <c r="U211" s="4">
        <v>5</v>
      </c>
      <c r="V211" s="4">
        <v>0</v>
      </c>
      <c r="W211" s="4">
        <v>0</v>
      </c>
    </row>
    <row r="212" spans="1:23" ht="11.25" customHeight="1" x14ac:dyDescent="0.25">
      <c r="A212" s="4" t="s">
        <v>21</v>
      </c>
      <c r="B212" s="4" t="s">
        <v>39</v>
      </c>
      <c r="C212" s="4" t="s">
        <v>59</v>
      </c>
      <c r="D212" s="4" t="s">
        <v>25</v>
      </c>
      <c r="E212" s="4" t="s">
        <v>25</v>
      </c>
      <c r="F212" s="4" t="s">
        <v>25</v>
      </c>
      <c r="G212" s="4" t="s">
        <v>62</v>
      </c>
      <c r="H212" s="4" t="s">
        <v>25</v>
      </c>
      <c r="I212" s="5">
        <v>44713</v>
      </c>
      <c r="J212" s="6">
        <v>206</v>
      </c>
      <c r="K212" s="6">
        <v>103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4" t="s">
        <v>61</v>
      </c>
      <c r="R212" s="4">
        <v>491</v>
      </c>
      <c r="S212" s="4" t="s">
        <v>143</v>
      </c>
      <c r="U212" s="4">
        <v>5</v>
      </c>
      <c r="V212" s="4">
        <v>0</v>
      </c>
      <c r="W212" s="4">
        <v>0</v>
      </c>
    </row>
    <row r="213" spans="1:23" ht="11.25" customHeight="1" x14ac:dyDescent="0.25">
      <c r="A213" s="4" t="s">
        <v>21</v>
      </c>
      <c r="B213" s="4" t="s">
        <v>39</v>
      </c>
      <c r="C213" s="4" t="s">
        <v>59</v>
      </c>
      <c r="D213" s="4" t="s">
        <v>25</v>
      </c>
      <c r="E213" s="4" t="s">
        <v>25</v>
      </c>
      <c r="F213" s="4" t="s">
        <v>25</v>
      </c>
      <c r="G213" s="4" t="s">
        <v>63</v>
      </c>
      <c r="H213" s="4" t="s">
        <v>25</v>
      </c>
      <c r="I213" s="5">
        <v>44713</v>
      </c>
      <c r="J213" s="6">
        <v>240</v>
      </c>
      <c r="K213" s="6">
        <v>120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4" t="s">
        <v>61</v>
      </c>
      <c r="R213" s="4">
        <v>27182</v>
      </c>
      <c r="S213" s="4" t="s">
        <v>143</v>
      </c>
      <c r="U213" s="4">
        <v>5</v>
      </c>
      <c r="V213" s="4">
        <v>0</v>
      </c>
      <c r="W213" s="4">
        <v>0</v>
      </c>
    </row>
    <row r="214" spans="1:23" ht="11.25" customHeight="1" x14ac:dyDescent="0.25">
      <c r="A214" s="4" t="s">
        <v>21</v>
      </c>
      <c r="B214" s="4" t="s">
        <v>39</v>
      </c>
      <c r="C214" s="4" t="s">
        <v>59</v>
      </c>
      <c r="D214" s="4" t="s">
        <v>25</v>
      </c>
      <c r="E214" s="4" t="s">
        <v>25</v>
      </c>
      <c r="F214" s="4" t="s">
        <v>25</v>
      </c>
      <c r="G214" s="4" t="s">
        <v>60</v>
      </c>
      <c r="H214" s="4" t="s">
        <v>25</v>
      </c>
      <c r="I214" s="5">
        <v>44743</v>
      </c>
      <c r="J214" s="6">
        <v>900</v>
      </c>
      <c r="K214" s="6">
        <v>450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4" t="s">
        <v>61</v>
      </c>
      <c r="S214" s="4" t="s">
        <v>144</v>
      </c>
      <c r="U214" s="4">
        <v>5</v>
      </c>
      <c r="V214" s="4">
        <v>0</v>
      </c>
      <c r="W214" s="4">
        <v>0</v>
      </c>
    </row>
    <row r="215" spans="1:23" ht="11.25" customHeight="1" x14ac:dyDescent="0.25">
      <c r="A215" s="4" t="s">
        <v>21</v>
      </c>
      <c r="B215" s="4" t="s">
        <v>39</v>
      </c>
      <c r="C215" s="4" t="s">
        <v>59</v>
      </c>
      <c r="D215" s="4" t="s">
        <v>25</v>
      </c>
      <c r="E215" s="4" t="s">
        <v>25</v>
      </c>
      <c r="F215" s="4" t="s">
        <v>25</v>
      </c>
      <c r="G215" s="4" t="s">
        <v>62</v>
      </c>
      <c r="H215" s="4" t="s">
        <v>25</v>
      </c>
      <c r="I215" s="5">
        <v>44743</v>
      </c>
      <c r="J215" s="6">
        <v>206</v>
      </c>
      <c r="K215" s="6">
        <v>103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4" t="s">
        <v>61</v>
      </c>
      <c r="R215" s="4">
        <v>491</v>
      </c>
      <c r="S215" s="4" t="s">
        <v>144</v>
      </c>
      <c r="U215" s="4">
        <v>5</v>
      </c>
      <c r="V215" s="4">
        <v>0</v>
      </c>
      <c r="W215" s="4">
        <v>0</v>
      </c>
    </row>
    <row r="216" spans="1:23" ht="11.25" customHeight="1" x14ac:dyDescent="0.25">
      <c r="A216" s="4" t="s">
        <v>21</v>
      </c>
      <c r="B216" s="4" t="s">
        <v>39</v>
      </c>
      <c r="C216" s="4" t="s">
        <v>59</v>
      </c>
      <c r="D216" s="4" t="s">
        <v>25</v>
      </c>
      <c r="E216" s="4" t="s">
        <v>25</v>
      </c>
      <c r="F216" s="4" t="s">
        <v>25</v>
      </c>
      <c r="G216" s="4" t="s">
        <v>63</v>
      </c>
      <c r="H216" s="4" t="s">
        <v>25</v>
      </c>
      <c r="I216" s="5">
        <v>44743</v>
      </c>
      <c r="J216" s="6">
        <v>240</v>
      </c>
      <c r="K216" s="6">
        <v>120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4" t="s">
        <v>61</v>
      </c>
      <c r="R216" s="4">
        <v>27182</v>
      </c>
      <c r="S216" s="4" t="s">
        <v>144</v>
      </c>
      <c r="U216" s="4">
        <v>5</v>
      </c>
      <c r="V216" s="4">
        <v>0</v>
      </c>
      <c r="W216" s="4">
        <v>0</v>
      </c>
    </row>
    <row r="217" spans="1:23" ht="11.25" customHeight="1" x14ac:dyDescent="0.25">
      <c r="A217" s="4" t="s">
        <v>56</v>
      </c>
      <c r="B217" s="4" t="s">
        <v>39</v>
      </c>
      <c r="C217" s="4" t="s">
        <v>59</v>
      </c>
      <c r="D217" s="4" t="s">
        <v>25</v>
      </c>
      <c r="E217" s="4" t="s">
        <v>25</v>
      </c>
      <c r="F217" s="4" t="s">
        <v>25</v>
      </c>
      <c r="G217" s="4" t="s">
        <v>60</v>
      </c>
      <c r="H217" s="4" t="s">
        <v>25</v>
      </c>
      <c r="I217" s="5">
        <v>44774</v>
      </c>
      <c r="J217" s="6">
        <v>900</v>
      </c>
      <c r="K217" s="6">
        <v>450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61</v>
      </c>
      <c r="S217" s="4" t="s">
        <v>145</v>
      </c>
      <c r="U217" s="4">
        <v>5</v>
      </c>
      <c r="V217" s="4">
        <v>0</v>
      </c>
      <c r="W217" s="4">
        <v>0</v>
      </c>
    </row>
    <row r="218" spans="1:23" ht="11.25" customHeight="1" x14ac:dyDescent="0.25">
      <c r="A218" s="4" t="s">
        <v>56</v>
      </c>
      <c r="B218" s="4" t="s">
        <v>39</v>
      </c>
      <c r="C218" s="4" t="s">
        <v>59</v>
      </c>
      <c r="D218" s="4" t="s">
        <v>25</v>
      </c>
      <c r="E218" s="4" t="s">
        <v>25</v>
      </c>
      <c r="F218" s="4" t="s">
        <v>25</v>
      </c>
      <c r="G218" s="4" t="s">
        <v>62</v>
      </c>
      <c r="H218" s="4" t="s">
        <v>25</v>
      </c>
      <c r="I218" s="5">
        <v>44774</v>
      </c>
      <c r="J218" s="6">
        <v>206</v>
      </c>
      <c r="K218" s="6">
        <v>103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4" t="s">
        <v>61</v>
      </c>
      <c r="R218" s="4">
        <v>491</v>
      </c>
      <c r="S218" s="4" t="s">
        <v>145</v>
      </c>
      <c r="U218" s="4">
        <v>5</v>
      </c>
      <c r="V218" s="4">
        <v>0</v>
      </c>
      <c r="W218" s="4">
        <v>0</v>
      </c>
    </row>
    <row r="219" spans="1:23" ht="11.25" customHeight="1" x14ac:dyDescent="0.25">
      <c r="A219" s="4" t="s">
        <v>56</v>
      </c>
      <c r="B219" s="4" t="s">
        <v>39</v>
      </c>
      <c r="C219" s="4" t="s">
        <v>59</v>
      </c>
      <c r="D219" s="4" t="s">
        <v>25</v>
      </c>
      <c r="E219" s="4" t="s">
        <v>25</v>
      </c>
      <c r="F219" s="4" t="s">
        <v>25</v>
      </c>
      <c r="G219" s="4" t="s">
        <v>63</v>
      </c>
      <c r="H219" s="4" t="s">
        <v>25</v>
      </c>
      <c r="I219" s="5">
        <v>44774</v>
      </c>
      <c r="J219" s="6">
        <v>240</v>
      </c>
      <c r="K219" s="6">
        <v>120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4" t="s">
        <v>61</v>
      </c>
      <c r="R219" s="4">
        <v>27182</v>
      </c>
      <c r="S219" s="4" t="s">
        <v>145</v>
      </c>
      <c r="U219" s="4">
        <v>5</v>
      </c>
      <c r="V219" s="4">
        <v>0</v>
      </c>
      <c r="W219" s="4">
        <v>0</v>
      </c>
    </row>
    <row r="220" spans="1:23" ht="11.25" customHeight="1" x14ac:dyDescent="0.25">
      <c r="A220" s="4" t="s">
        <v>21</v>
      </c>
      <c r="B220" s="4" t="s">
        <v>39</v>
      </c>
      <c r="C220" s="4" t="s">
        <v>40</v>
      </c>
      <c r="D220" s="4" t="s">
        <v>41</v>
      </c>
      <c r="E220" s="4" t="s">
        <v>25</v>
      </c>
      <c r="F220" s="4" t="s">
        <v>25</v>
      </c>
      <c r="G220" s="4" t="s">
        <v>25</v>
      </c>
      <c r="H220" s="4" t="s">
        <v>35</v>
      </c>
      <c r="I220" s="5">
        <v>44440</v>
      </c>
      <c r="J220" s="6">
        <v>0</v>
      </c>
      <c r="K220" s="6">
        <v>0</v>
      </c>
      <c r="L220" s="6">
        <v>1283.0419999999999</v>
      </c>
      <c r="M220" s="6">
        <v>1283.0419999999999</v>
      </c>
      <c r="N220" s="6">
        <v>1283.0419999999999</v>
      </c>
      <c r="O220" s="6">
        <v>1283.0419999999999</v>
      </c>
      <c r="P220" s="6">
        <v>0</v>
      </c>
      <c r="Q220" s="4" t="s">
        <v>26</v>
      </c>
      <c r="R220" s="4">
        <v>0</v>
      </c>
      <c r="S220" s="4" t="s">
        <v>146</v>
      </c>
      <c r="T220" s="4" t="s">
        <v>399</v>
      </c>
      <c r="U220" s="4">
        <v>0</v>
      </c>
      <c r="V220" s="4">
        <v>8</v>
      </c>
      <c r="W220" s="4">
        <v>49</v>
      </c>
    </row>
    <row r="221" spans="1:23" ht="11.25" customHeight="1" x14ac:dyDescent="0.25">
      <c r="A221" s="4" t="s">
        <v>28</v>
      </c>
      <c r="B221" s="4" t="s">
        <v>39</v>
      </c>
      <c r="C221" s="4" t="s">
        <v>40</v>
      </c>
      <c r="D221" s="4" t="s">
        <v>41</v>
      </c>
      <c r="E221" s="4" t="s">
        <v>25</v>
      </c>
      <c r="F221" s="4" t="s">
        <v>25</v>
      </c>
      <c r="G221" s="4" t="s">
        <v>25</v>
      </c>
      <c r="H221" s="4" t="s">
        <v>35</v>
      </c>
      <c r="I221" s="5">
        <v>44440</v>
      </c>
      <c r="J221" s="6">
        <v>0</v>
      </c>
      <c r="K221" s="6">
        <v>0</v>
      </c>
      <c r="L221" s="6">
        <v>15.526999999999999</v>
      </c>
      <c r="M221" s="6">
        <v>15.526999999999999</v>
      </c>
      <c r="N221" s="6">
        <v>15.526999999999999</v>
      </c>
      <c r="O221" s="6">
        <v>15.526999999999999</v>
      </c>
      <c r="P221" s="6">
        <v>0</v>
      </c>
      <c r="Q221" s="4" t="s">
        <v>26</v>
      </c>
      <c r="R221" s="4">
        <v>0</v>
      </c>
      <c r="S221" s="4" t="s">
        <v>146</v>
      </c>
      <c r="T221" s="4" t="s">
        <v>399</v>
      </c>
      <c r="U221" s="4">
        <v>0</v>
      </c>
      <c r="V221" s="4">
        <v>8</v>
      </c>
      <c r="W221" s="4">
        <v>49</v>
      </c>
    </row>
    <row r="222" spans="1:23" ht="11.25" customHeight="1" x14ac:dyDescent="0.25">
      <c r="A222" s="4" t="s">
        <v>21</v>
      </c>
      <c r="B222" s="4" t="s">
        <v>39</v>
      </c>
      <c r="C222" s="4" t="s">
        <v>40</v>
      </c>
      <c r="D222" s="4" t="s">
        <v>41</v>
      </c>
      <c r="E222" s="4" t="s">
        <v>25</v>
      </c>
      <c r="F222" s="4" t="s">
        <v>25</v>
      </c>
      <c r="G222" s="4" t="s">
        <v>25</v>
      </c>
      <c r="H222" s="4" t="s">
        <v>35</v>
      </c>
      <c r="I222" s="5">
        <v>44470</v>
      </c>
      <c r="J222" s="6">
        <v>0</v>
      </c>
      <c r="K222" s="6">
        <v>0</v>
      </c>
      <c r="L222" s="6">
        <v>1383.0350000000001</v>
      </c>
      <c r="M222" s="6">
        <v>1383.0350000000001</v>
      </c>
      <c r="N222" s="6">
        <v>1383.0350000000001</v>
      </c>
      <c r="O222" s="6">
        <v>1383.0350000000001</v>
      </c>
      <c r="P222" s="6">
        <v>0</v>
      </c>
      <c r="Q222" s="4" t="s">
        <v>26</v>
      </c>
      <c r="R222" s="4">
        <v>0</v>
      </c>
      <c r="S222" s="4" t="s">
        <v>147</v>
      </c>
      <c r="T222" s="4" t="s">
        <v>400</v>
      </c>
      <c r="U222" s="4">
        <v>0</v>
      </c>
      <c r="V222" s="4">
        <v>8</v>
      </c>
      <c r="W222" s="4">
        <v>49</v>
      </c>
    </row>
    <row r="223" spans="1:23" ht="11.25" customHeight="1" x14ac:dyDescent="0.25">
      <c r="A223" s="4" t="s">
        <v>28</v>
      </c>
      <c r="B223" s="4" t="s">
        <v>39</v>
      </c>
      <c r="C223" s="4" t="s">
        <v>40</v>
      </c>
      <c r="D223" s="4" t="s">
        <v>41</v>
      </c>
      <c r="E223" s="4" t="s">
        <v>25</v>
      </c>
      <c r="F223" s="4" t="s">
        <v>25</v>
      </c>
      <c r="G223" s="4" t="s">
        <v>25</v>
      </c>
      <c r="H223" s="4" t="s">
        <v>35</v>
      </c>
      <c r="I223" s="5">
        <v>44470</v>
      </c>
      <c r="J223" s="6">
        <v>0</v>
      </c>
      <c r="K223" s="6">
        <v>0</v>
      </c>
      <c r="L223" s="6">
        <v>11.242000000000001</v>
      </c>
      <c r="M223" s="6">
        <v>11.242000000000001</v>
      </c>
      <c r="N223" s="6">
        <v>11.242000000000001</v>
      </c>
      <c r="O223" s="6">
        <v>11.242000000000001</v>
      </c>
      <c r="P223" s="6">
        <v>0</v>
      </c>
      <c r="Q223" s="4" t="s">
        <v>26</v>
      </c>
      <c r="R223" s="4">
        <v>0</v>
      </c>
      <c r="S223" s="4" t="s">
        <v>147</v>
      </c>
      <c r="T223" s="4" t="s">
        <v>400</v>
      </c>
      <c r="U223" s="4">
        <v>0</v>
      </c>
      <c r="V223" s="4">
        <v>8</v>
      </c>
      <c r="W223" s="4">
        <v>49</v>
      </c>
    </row>
    <row r="224" spans="1:23" ht="11.25" customHeight="1" x14ac:dyDescent="0.25">
      <c r="A224" s="4" t="s">
        <v>21</v>
      </c>
      <c r="B224" s="4" t="s">
        <v>39</v>
      </c>
      <c r="C224" s="4" t="s">
        <v>40</v>
      </c>
      <c r="D224" s="4" t="s">
        <v>41</v>
      </c>
      <c r="E224" s="4" t="s">
        <v>25</v>
      </c>
      <c r="F224" s="4" t="s">
        <v>25</v>
      </c>
      <c r="G224" s="4" t="s">
        <v>25</v>
      </c>
      <c r="H224" s="4" t="s">
        <v>35</v>
      </c>
      <c r="I224" s="5">
        <v>44501</v>
      </c>
      <c r="J224" s="6">
        <v>0</v>
      </c>
      <c r="K224" s="6">
        <v>0</v>
      </c>
      <c r="L224" s="6">
        <v>1254.095</v>
      </c>
      <c r="M224" s="6">
        <v>1254.095</v>
      </c>
      <c r="N224" s="6">
        <v>1254.095</v>
      </c>
      <c r="O224" s="6">
        <v>1254.095</v>
      </c>
      <c r="P224" s="6">
        <v>0</v>
      </c>
      <c r="Q224" s="4" t="s">
        <v>26</v>
      </c>
      <c r="R224" s="4">
        <v>0</v>
      </c>
      <c r="S224" s="4" t="s">
        <v>148</v>
      </c>
      <c r="T224" s="4" t="s">
        <v>401</v>
      </c>
      <c r="U224" s="4">
        <v>0</v>
      </c>
      <c r="V224" s="4">
        <v>8</v>
      </c>
      <c r="W224" s="4">
        <v>49</v>
      </c>
    </row>
    <row r="225" spans="1:23" ht="11.25" customHeight="1" x14ac:dyDescent="0.25">
      <c r="A225" s="4" t="s">
        <v>28</v>
      </c>
      <c r="B225" s="4" t="s">
        <v>39</v>
      </c>
      <c r="C225" s="4" t="s">
        <v>40</v>
      </c>
      <c r="D225" s="4" t="s">
        <v>41</v>
      </c>
      <c r="E225" s="4" t="s">
        <v>25</v>
      </c>
      <c r="F225" s="4" t="s">
        <v>25</v>
      </c>
      <c r="G225" s="4" t="s">
        <v>25</v>
      </c>
      <c r="H225" s="4" t="s">
        <v>35</v>
      </c>
      <c r="I225" s="5">
        <v>44501</v>
      </c>
      <c r="J225" s="6">
        <v>0</v>
      </c>
      <c r="K225" s="6">
        <v>0</v>
      </c>
      <c r="L225" s="6">
        <v>7.03</v>
      </c>
      <c r="M225" s="6">
        <v>7.03</v>
      </c>
      <c r="N225" s="6">
        <v>7.03</v>
      </c>
      <c r="O225" s="6">
        <v>7.03</v>
      </c>
      <c r="P225" s="6">
        <v>0</v>
      </c>
      <c r="Q225" s="4" t="s">
        <v>26</v>
      </c>
      <c r="R225" s="4">
        <v>0</v>
      </c>
      <c r="S225" s="4" t="s">
        <v>148</v>
      </c>
      <c r="T225" s="4" t="s">
        <v>401</v>
      </c>
      <c r="U225" s="4">
        <v>0</v>
      </c>
      <c r="V225" s="4">
        <v>8</v>
      </c>
      <c r="W225" s="4">
        <v>49</v>
      </c>
    </row>
    <row r="226" spans="1:23" ht="11.25" customHeight="1" x14ac:dyDescent="0.25">
      <c r="A226" s="4" t="s">
        <v>21</v>
      </c>
      <c r="B226" s="4" t="s">
        <v>39</v>
      </c>
      <c r="C226" s="4" t="s">
        <v>40</v>
      </c>
      <c r="D226" s="4" t="s">
        <v>41</v>
      </c>
      <c r="E226" s="4" t="s">
        <v>25</v>
      </c>
      <c r="F226" s="4" t="s">
        <v>25</v>
      </c>
      <c r="G226" s="4" t="s">
        <v>25</v>
      </c>
      <c r="H226" s="4" t="s">
        <v>35</v>
      </c>
      <c r="I226" s="5">
        <v>44531</v>
      </c>
      <c r="J226" s="6">
        <v>0</v>
      </c>
      <c r="K226" s="6">
        <v>0</v>
      </c>
      <c r="L226" s="6">
        <v>1338.4469999999999</v>
      </c>
      <c r="M226" s="6">
        <v>1338.4469999999999</v>
      </c>
      <c r="N226" s="6">
        <v>1338.4469999999999</v>
      </c>
      <c r="O226" s="6">
        <v>1338.4469999999999</v>
      </c>
      <c r="P226" s="6">
        <v>0</v>
      </c>
      <c r="Q226" s="4" t="s">
        <v>26</v>
      </c>
      <c r="R226" s="4">
        <v>0</v>
      </c>
      <c r="S226" s="4" t="s">
        <v>149</v>
      </c>
      <c r="T226" s="4" t="s">
        <v>402</v>
      </c>
      <c r="U226" s="4">
        <v>0</v>
      </c>
      <c r="V226" s="4">
        <v>8</v>
      </c>
      <c r="W226" s="4">
        <v>49</v>
      </c>
    </row>
    <row r="227" spans="1:23" ht="11.25" customHeight="1" x14ac:dyDescent="0.25">
      <c r="A227" s="4" t="s">
        <v>28</v>
      </c>
      <c r="B227" s="4" t="s">
        <v>39</v>
      </c>
      <c r="C227" s="4" t="s">
        <v>40</v>
      </c>
      <c r="D227" s="4" t="s">
        <v>41</v>
      </c>
      <c r="E227" s="4" t="s">
        <v>25</v>
      </c>
      <c r="F227" s="4" t="s">
        <v>25</v>
      </c>
      <c r="G227" s="4" t="s">
        <v>25</v>
      </c>
      <c r="H227" s="4" t="s">
        <v>35</v>
      </c>
      <c r="I227" s="5">
        <v>44531</v>
      </c>
      <c r="J227" s="6">
        <v>0</v>
      </c>
      <c r="K227" s="6">
        <v>0</v>
      </c>
      <c r="L227" s="6">
        <v>8.9849999999999994</v>
      </c>
      <c r="M227" s="6">
        <v>8.9849999999999994</v>
      </c>
      <c r="N227" s="6">
        <v>8.9849999999999994</v>
      </c>
      <c r="O227" s="6">
        <v>8.9849999999999994</v>
      </c>
      <c r="P227" s="6">
        <v>0</v>
      </c>
      <c r="Q227" s="4" t="s">
        <v>26</v>
      </c>
      <c r="R227" s="4">
        <v>0</v>
      </c>
      <c r="S227" s="4" t="s">
        <v>149</v>
      </c>
      <c r="T227" s="4" t="s">
        <v>402</v>
      </c>
      <c r="U227" s="4">
        <v>0</v>
      </c>
      <c r="V227" s="4">
        <v>8</v>
      </c>
      <c r="W227" s="4">
        <v>49</v>
      </c>
    </row>
    <row r="228" spans="1:23" ht="11.25" customHeight="1" x14ac:dyDescent="0.25">
      <c r="A228" s="4" t="s">
        <v>21</v>
      </c>
      <c r="B228" s="4" t="s">
        <v>39</v>
      </c>
      <c r="C228" s="4" t="s">
        <v>40</v>
      </c>
      <c r="D228" s="4" t="s">
        <v>41</v>
      </c>
      <c r="E228" s="4" t="s">
        <v>25</v>
      </c>
      <c r="F228" s="4" t="s">
        <v>25</v>
      </c>
      <c r="G228" s="4" t="s">
        <v>25</v>
      </c>
      <c r="H228" s="4" t="s">
        <v>35</v>
      </c>
      <c r="I228" s="5">
        <v>44562</v>
      </c>
      <c r="J228" s="6">
        <v>0</v>
      </c>
      <c r="K228" s="6">
        <v>0</v>
      </c>
      <c r="L228" s="6">
        <v>1364.8019999999999</v>
      </c>
      <c r="M228" s="6">
        <v>1364.8019999999999</v>
      </c>
      <c r="N228" s="6">
        <v>1364.8019999999999</v>
      </c>
      <c r="O228" s="6">
        <v>1364.8019999999999</v>
      </c>
      <c r="P228" s="6">
        <v>0</v>
      </c>
      <c r="Q228" s="4" t="s">
        <v>26</v>
      </c>
      <c r="R228" s="4">
        <v>0</v>
      </c>
      <c r="S228" s="4" t="s">
        <v>150</v>
      </c>
      <c r="T228" s="4" t="s">
        <v>403</v>
      </c>
      <c r="U228" s="4">
        <v>0</v>
      </c>
      <c r="V228" s="4">
        <v>8</v>
      </c>
      <c r="W228" s="4">
        <v>49</v>
      </c>
    </row>
    <row r="229" spans="1:23" ht="11.25" customHeight="1" x14ac:dyDescent="0.25">
      <c r="A229" s="4" t="s">
        <v>28</v>
      </c>
      <c r="B229" s="4" t="s">
        <v>39</v>
      </c>
      <c r="C229" s="4" t="s">
        <v>40</v>
      </c>
      <c r="D229" s="4" t="s">
        <v>41</v>
      </c>
      <c r="E229" s="4" t="s">
        <v>25</v>
      </c>
      <c r="F229" s="4" t="s">
        <v>25</v>
      </c>
      <c r="G229" s="4" t="s">
        <v>25</v>
      </c>
      <c r="H229" s="4" t="s">
        <v>35</v>
      </c>
      <c r="I229" s="5">
        <v>44562</v>
      </c>
      <c r="J229" s="6">
        <v>0</v>
      </c>
      <c r="K229" s="6">
        <v>0</v>
      </c>
      <c r="L229" s="6">
        <v>4.3630000000000004</v>
      </c>
      <c r="M229" s="6">
        <v>4.3630000000000004</v>
      </c>
      <c r="N229" s="6">
        <v>4.3630000000000004</v>
      </c>
      <c r="O229" s="6">
        <v>4.3630000000000004</v>
      </c>
      <c r="P229" s="6">
        <v>0</v>
      </c>
      <c r="Q229" s="4" t="s">
        <v>26</v>
      </c>
      <c r="R229" s="4">
        <v>0</v>
      </c>
      <c r="S229" s="4" t="s">
        <v>150</v>
      </c>
      <c r="T229" s="4" t="s">
        <v>403</v>
      </c>
      <c r="U229" s="4">
        <v>0</v>
      </c>
      <c r="V229" s="4">
        <v>8</v>
      </c>
      <c r="W229" s="4">
        <v>49</v>
      </c>
    </row>
    <row r="230" spans="1:23" ht="11.25" customHeight="1" x14ac:dyDescent="0.25">
      <c r="A230" s="4" t="s">
        <v>21</v>
      </c>
      <c r="B230" s="4" t="s">
        <v>39</v>
      </c>
      <c r="C230" s="4" t="s">
        <v>40</v>
      </c>
      <c r="D230" s="4" t="s">
        <v>41</v>
      </c>
      <c r="E230" s="4" t="s">
        <v>25</v>
      </c>
      <c r="F230" s="4" t="s">
        <v>25</v>
      </c>
      <c r="G230" s="4" t="s">
        <v>25</v>
      </c>
      <c r="H230" s="4" t="s">
        <v>35</v>
      </c>
      <c r="I230" s="5">
        <v>44593</v>
      </c>
      <c r="J230" s="6">
        <v>0</v>
      </c>
      <c r="K230" s="6">
        <v>0</v>
      </c>
      <c r="L230" s="6">
        <v>1402.0909999999999</v>
      </c>
      <c r="M230" s="6">
        <v>1402.0909999999999</v>
      </c>
      <c r="N230" s="6">
        <v>1402.0909999999999</v>
      </c>
      <c r="O230" s="6">
        <v>1402.0909999999999</v>
      </c>
      <c r="P230" s="6">
        <v>0</v>
      </c>
      <c r="Q230" s="4" t="s">
        <v>26</v>
      </c>
      <c r="R230" s="4">
        <v>0</v>
      </c>
      <c r="S230" s="4" t="s">
        <v>151</v>
      </c>
      <c r="T230" s="4" t="s">
        <v>404</v>
      </c>
      <c r="U230" s="4">
        <v>0</v>
      </c>
      <c r="V230" s="4">
        <v>8</v>
      </c>
      <c r="W230" s="4">
        <v>49</v>
      </c>
    </row>
    <row r="231" spans="1:23" ht="11.25" customHeight="1" x14ac:dyDescent="0.25">
      <c r="A231" s="4" t="s">
        <v>28</v>
      </c>
      <c r="B231" s="4" t="s">
        <v>39</v>
      </c>
      <c r="C231" s="4" t="s">
        <v>40</v>
      </c>
      <c r="D231" s="4" t="s">
        <v>41</v>
      </c>
      <c r="E231" s="4" t="s">
        <v>25</v>
      </c>
      <c r="F231" s="4" t="s">
        <v>25</v>
      </c>
      <c r="G231" s="4" t="s">
        <v>25</v>
      </c>
      <c r="H231" s="4" t="s">
        <v>35</v>
      </c>
      <c r="I231" s="5">
        <v>44593</v>
      </c>
      <c r="J231" s="6">
        <v>0</v>
      </c>
      <c r="K231" s="6">
        <v>0</v>
      </c>
      <c r="L231" s="6">
        <v>1.393</v>
      </c>
      <c r="M231" s="6">
        <v>1.393</v>
      </c>
      <c r="N231" s="6">
        <v>1.393</v>
      </c>
      <c r="O231" s="6">
        <v>1.393</v>
      </c>
      <c r="P231" s="6">
        <v>0</v>
      </c>
      <c r="Q231" s="4" t="s">
        <v>26</v>
      </c>
      <c r="R231" s="4">
        <v>0</v>
      </c>
      <c r="S231" s="4" t="s">
        <v>151</v>
      </c>
      <c r="T231" s="4" t="s">
        <v>404</v>
      </c>
      <c r="U231" s="4">
        <v>0</v>
      </c>
      <c r="V231" s="4">
        <v>8</v>
      </c>
      <c r="W231" s="4">
        <v>49</v>
      </c>
    </row>
    <row r="232" spans="1:23" ht="11.25" customHeight="1" x14ac:dyDescent="0.25">
      <c r="A232" s="4" t="s">
        <v>21</v>
      </c>
      <c r="B232" s="4" t="s">
        <v>39</v>
      </c>
      <c r="C232" s="4" t="s">
        <v>40</v>
      </c>
      <c r="D232" s="4" t="s">
        <v>41</v>
      </c>
      <c r="E232" s="4" t="s">
        <v>25</v>
      </c>
      <c r="F232" s="4" t="s">
        <v>25</v>
      </c>
      <c r="G232" s="4" t="s">
        <v>25</v>
      </c>
      <c r="H232" s="4" t="s">
        <v>35</v>
      </c>
      <c r="I232" s="5">
        <v>44621</v>
      </c>
      <c r="J232" s="6">
        <v>0</v>
      </c>
      <c r="K232" s="6">
        <v>0</v>
      </c>
      <c r="L232" s="6">
        <v>1503.116</v>
      </c>
      <c r="M232" s="6">
        <v>1503.116</v>
      </c>
      <c r="N232" s="6">
        <v>1503.116</v>
      </c>
      <c r="O232" s="6">
        <v>1503.116</v>
      </c>
      <c r="P232" s="6">
        <v>0</v>
      </c>
      <c r="Q232" s="4" t="s">
        <v>26</v>
      </c>
      <c r="R232" s="4">
        <v>0</v>
      </c>
      <c r="S232" s="4" t="s">
        <v>152</v>
      </c>
      <c r="T232" s="4" t="s">
        <v>405</v>
      </c>
      <c r="U232" s="4">
        <v>0</v>
      </c>
      <c r="V232" s="4">
        <v>8</v>
      </c>
      <c r="W232" s="4">
        <v>49</v>
      </c>
    </row>
    <row r="233" spans="1:23" ht="11.25" customHeight="1" x14ac:dyDescent="0.25">
      <c r="A233" s="4" t="s">
        <v>28</v>
      </c>
      <c r="B233" s="4" t="s">
        <v>39</v>
      </c>
      <c r="C233" s="4" t="s">
        <v>40</v>
      </c>
      <c r="D233" s="4" t="s">
        <v>41</v>
      </c>
      <c r="E233" s="4" t="s">
        <v>25</v>
      </c>
      <c r="F233" s="4" t="s">
        <v>25</v>
      </c>
      <c r="G233" s="4" t="s">
        <v>25</v>
      </c>
      <c r="H233" s="4" t="s">
        <v>35</v>
      </c>
      <c r="I233" s="5">
        <v>44621</v>
      </c>
      <c r="J233" s="6">
        <v>0</v>
      </c>
      <c r="K233" s="6">
        <v>0</v>
      </c>
      <c r="L233" s="6">
        <v>3.0670000000000002</v>
      </c>
      <c r="M233" s="6">
        <v>3.0670000000000002</v>
      </c>
      <c r="N233" s="6">
        <v>3.0670000000000002</v>
      </c>
      <c r="O233" s="6">
        <v>3.0670000000000002</v>
      </c>
      <c r="P233" s="6">
        <v>0</v>
      </c>
      <c r="Q233" s="4" t="s">
        <v>26</v>
      </c>
      <c r="R233" s="4">
        <v>0</v>
      </c>
      <c r="S233" s="4" t="s">
        <v>152</v>
      </c>
      <c r="T233" s="4" t="s">
        <v>405</v>
      </c>
      <c r="U233" s="4">
        <v>0</v>
      </c>
      <c r="V233" s="4">
        <v>8</v>
      </c>
      <c r="W233" s="4">
        <v>49</v>
      </c>
    </row>
    <row r="234" spans="1:23" ht="11.25" customHeight="1" x14ac:dyDescent="0.25">
      <c r="A234" s="4" t="s">
        <v>21</v>
      </c>
      <c r="B234" s="4" t="s">
        <v>39</v>
      </c>
      <c r="C234" s="4" t="s">
        <v>40</v>
      </c>
      <c r="D234" s="4" t="s">
        <v>41</v>
      </c>
      <c r="E234" s="4" t="s">
        <v>25</v>
      </c>
      <c r="F234" s="4" t="s">
        <v>25</v>
      </c>
      <c r="G234" s="4" t="s">
        <v>25</v>
      </c>
      <c r="H234" s="4" t="s">
        <v>35</v>
      </c>
      <c r="I234" s="5">
        <v>44652</v>
      </c>
      <c r="J234" s="6">
        <v>0</v>
      </c>
      <c r="K234" s="6">
        <v>0</v>
      </c>
      <c r="L234" s="6">
        <v>1332.9480000000001</v>
      </c>
      <c r="M234" s="6">
        <v>1332.9480000000001</v>
      </c>
      <c r="N234" s="6">
        <v>1332.9480000000001</v>
      </c>
      <c r="O234" s="6">
        <v>1332.9480000000001</v>
      </c>
      <c r="P234" s="6">
        <v>0</v>
      </c>
      <c r="Q234" s="4" t="s">
        <v>26</v>
      </c>
      <c r="R234" s="4">
        <v>0</v>
      </c>
      <c r="S234" s="4" t="s">
        <v>153</v>
      </c>
      <c r="T234" s="4" t="s">
        <v>406</v>
      </c>
      <c r="U234" s="4">
        <v>0</v>
      </c>
      <c r="V234" s="4">
        <v>8</v>
      </c>
      <c r="W234" s="4">
        <v>49</v>
      </c>
    </row>
    <row r="235" spans="1:23" ht="11.25" customHeight="1" x14ac:dyDescent="0.25">
      <c r="A235" s="4" t="s">
        <v>28</v>
      </c>
      <c r="B235" s="4" t="s">
        <v>39</v>
      </c>
      <c r="C235" s="4" t="s">
        <v>40</v>
      </c>
      <c r="D235" s="4" t="s">
        <v>41</v>
      </c>
      <c r="E235" s="4" t="s">
        <v>25</v>
      </c>
      <c r="F235" s="4" t="s">
        <v>25</v>
      </c>
      <c r="G235" s="4" t="s">
        <v>25</v>
      </c>
      <c r="H235" s="4" t="s">
        <v>35</v>
      </c>
      <c r="I235" s="5">
        <v>44652</v>
      </c>
      <c r="J235" s="6">
        <v>0</v>
      </c>
      <c r="K235" s="6">
        <v>0</v>
      </c>
      <c r="L235" s="6">
        <v>8.24</v>
      </c>
      <c r="M235" s="6">
        <v>8.24</v>
      </c>
      <c r="N235" s="6">
        <v>8.24</v>
      </c>
      <c r="O235" s="6">
        <v>8.24</v>
      </c>
      <c r="P235" s="6">
        <v>0</v>
      </c>
      <c r="Q235" s="4" t="s">
        <v>26</v>
      </c>
      <c r="R235" s="4">
        <v>0</v>
      </c>
      <c r="S235" s="4" t="s">
        <v>153</v>
      </c>
      <c r="T235" s="4" t="s">
        <v>406</v>
      </c>
      <c r="U235" s="4">
        <v>0</v>
      </c>
      <c r="V235" s="4">
        <v>8</v>
      </c>
      <c r="W235" s="4">
        <v>49</v>
      </c>
    </row>
    <row r="236" spans="1:23" ht="11.25" customHeight="1" x14ac:dyDescent="0.25">
      <c r="A236" s="4" t="s">
        <v>21</v>
      </c>
      <c r="B236" s="4" t="s">
        <v>39</v>
      </c>
      <c r="C236" s="4" t="s">
        <v>40</v>
      </c>
      <c r="D236" s="4" t="s">
        <v>41</v>
      </c>
      <c r="E236" s="4" t="s">
        <v>25</v>
      </c>
      <c r="F236" s="4" t="s">
        <v>25</v>
      </c>
      <c r="G236" s="4" t="s">
        <v>25</v>
      </c>
      <c r="H236" s="4" t="s">
        <v>35</v>
      </c>
      <c r="I236" s="5">
        <v>44682</v>
      </c>
      <c r="J236" s="6">
        <v>0</v>
      </c>
      <c r="K236" s="6">
        <v>0</v>
      </c>
      <c r="L236" s="6">
        <v>1192.0219999999999</v>
      </c>
      <c r="M236" s="6">
        <v>1192.0219999999999</v>
      </c>
      <c r="N236" s="6">
        <v>1192.0219999999999</v>
      </c>
      <c r="O236" s="6">
        <v>1192.0219999999999</v>
      </c>
      <c r="P236" s="6">
        <v>0</v>
      </c>
      <c r="Q236" s="4" t="s">
        <v>26</v>
      </c>
      <c r="R236" s="4">
        <v>0</v>
      </c>
      <c r="S236" s="4" t="s">
        <v>154</v>
      </c>
      <c r="T236" s="4" t="s">
        <v>407</v>
      </c>
      <c r="U236" s="4">
        <v>0</v>
      </c>
      <c r="V236" s="4">
        <v>8</v>
      </c>
      <c r="W236" s="4">
        <v>49</v>
      </c>
    </row>
    <row r="237" spans="1:23" ht="11.25" customHeight="1" x14ac:dyDescent="0.25">
      <c r="A237" s="4" t="s">
        <v>28</v>
      </c>
      <c r="B237" s="4" t="s">
        <v>39</v>
      </c>
      <c r="C237" s="4" t="s">
        <v>40</v>
      </c>
      <c r="D237" s="4" t="s">
        <v>41</v>
      </c>
      <c r="E237" s="4" t="s">
        <v>25</v>
      </c>
      <c r="F237" s="4" t="s">
        <v>25</v>
      </c>
      <c r="G237" s="4" t="s">
        <v>25</v>
      </c>
      <c r="H237" s="4" t="s">
        <v>35</v>
      </c>
      <c r="I237" s="5">
        <v>44682</v>
      </c>
      <c r="J237" s="6">
        <v>0</v>
      </c>
      <c r="K237" s="6">
        <v>0</v>
      </c>
      <c r="L237" s="6">
        <v>9.298</v>
      </c>
      <c r="M237" s="6">
        <v>9.298</v>
      </c>
      <c r="N237" s="6">
        <v>9.298</v>
      </c>
      <c r="O237" s="6">
        <v>9.298</v>
      </c>
      <c r="P237" s="6">
        <v>0</v>
      </c>
      <c r="Q237" s="4" t="s">
        <v>26</v>
      </c>
      <c r="R237" s="4">
        <v>0</v>
      </c>
      <c r="S237" s="4" t="s">
        <v>154</v>
      </c>
      <c r="T237" s="4" t="s">
        <v>407</v>
      </c>
      <c r="U237" s="4">
        <v>0</v>
      </c>
      <c r="V237" s="4">
        <v>8</v>
      </c>
      <c r="W237" s="4">
        <v>49</v>
      </c>
    </row>
    <row r="238" spans="1:23" ht="11.25" customHeight="1" x14ac:dyDescent="0.25">
      <c r="A238" s="4" t="s">
        <v>21</v>
      </c>
      <c r="B238" s="4" t="s">
        <v>39</v>
      </c>
      <c r="C238" s="4" t="s">
        <v>40</v>
      </c>
      <c r="D238" s="4" t="s">
        <v>41</v>
      </c>
      <c r="E238" s="4" t="s">
        <v>25</v>
      </c>
      <c r="F238" s="4" t="s">
        <v>25</v>
      </c>
      <c r="G238" s="4" t="s">
        <v>25</v>
      </c>
      <c r="H238" s="4" t="s">
        <v>35</v>
      </c>
      <c r="I238" s="5">
        <v>44713</v>
      </c>
      <c r="J238" s="6">
        <v>0</v>
      </c>
      <c r="K238" s="6">
        <v>0</v>
      </c>
      <c r="L238" s="6">
        <v>1102.452</v>
      </c>
      <c r="M238" s="6">
        <v>1102.452</v>
      </c>
      <c r="N238" s="6">
        <v>1102.452</v>
      </c>
      <c r="O238" s="6">
        <v>1102.452</v>
      </c>
      <c r="P238" s="6">
        <v>0</v>
      </c>
      <c r="Q238" s="4" t="s">
        <v>26</v>
      </c>
      <c r="R238" s="4">
        <v>0</v>
      </c>
      <c r="S238" s="4" t="s">
        <v>155</v>
      </c>
      <c r="T238" s="4" t="s">
        <v>408</v>
      </c>
      <c r="U238" s="4">
        <v>0</v>
      </c>
      <c r="V238" s="4">
        <v>8</v>
      </c>
      <c r="W238" s="4">
        <v>49</v>
      </c>
    </row>
    <row r="239" spans="1:23" ht="11.25" customHeight="1" x14ac:dyDescent="0.25">
      <c r="A239" s="4" t="s">
        <v>28</v>
      </c>
      <c r="B239" s="4" t="s">
        <v>39</v>
      </c>
      <c r="C239" s="4" t="s">
        <v>40</v>
      </c>
      <c r="D239" s="4" t="s">
        <v>41</v>
      </c>
      <c r="E239" s="4" t="s">
        <v>25</v>
      </c>
      <c r="F239" s="4" t="s">
        <v>25</v>
      </c>
      <c r="G239" s="4" t="s">
        <v>25</v>
      </c>
      <c r="H239" s="4" t="s">
        <v>35</v>
      </c>
      <c r="I239" s="5">
        <v>44713</v>
      </c>
      <c r="J239" s="6">
        <v>0</v>
      </c>
      <c r="K239" s="6">
        <v>0</v>
      </c>
      <c r="L239" s="6">
        <v>8.8559999999999999</v>
      </c>
      <c r="M239" s="6">
        <v>8.8559999999999999</v>
      </c>
      <c r="N239" s="6">
        <v>8.8559999999999999</v>
      </c>
      <c r="O239" s="6">
        <v>8.8559999999999999</v>
      </c>
      <c r="P239" s="6">
        <v>0</v>
      </c>
      <c r="Q239" s="4" t="s">
        <v>26</v>
      </c>
      <c r="R239" s="4">
        <v>0</v>
      </c>
      <c r="S239" s="4" t="s">
        <v>155</v>
      </c>
      <c r="T239" s="4" t="s">
        <v>408</v>
      </c>
      <c r="U239" s="4">
        <v>0</v>
      </c>
      <c r="V239" s="4">
        <v>8</v>
      </c>
      <c r="W239" s="4">
        <v>49</v>
      </c>
    </row>
    <row r="240" spans="1:23" ht="11.25" customHeight="1" x14ac:dyDescent="0.25">
      <c r="A240" s="4" t="s">
        <v>21</v>
      </c>
      <c r="B240" s="4" t="s">
        <v>39</v>
      </c>
      <c r="C240" s="4" t="s">
        <v>40</v>
      </c>
      <c r="D240" s="4" t="s">
        <v>41</v>
      </c>
      <c r="E240" s="4" t="s">
        <v>25</v>
      </c>
      <c r="F240" s="4" t="s">
        <v>25</v>
      </c>
      <c r="G240" s="4" t="s">
        <v>25</v>
      </c>
      <c r="H240" s="4" t="s">
        <v>35</v>
      </c>
      <c r="I240" s="5">
        <v>44743</v>
      </c>
      <c r="J240" s="6">
        <v>0</v>
      </c>
      <c r="K240" s="6">
        <v>0</v>
      </c>
      <c r="L240" s="6">
        <v>1062.107</v>
      </c>
      <c r="M240" s="6">
        <v>1062.107</v>
      </c>
      <c r="N240" s="6">
        <v>1062.107</v>
      </c>
      <c r="O240" s="6">
        <v>1062.107</v>
      </c>
      <c r="P240" s="6">
        <v>0</v>
      </c>
      <c r="Q240" s="4" t="s">
        <v>26</v>
      </c>
      <c r="R240" s="4">
        <v>0</v>
      </c>
      <c r="S240" s="4" t="s">
        <v>156</v>
      </c>
      <c r="T240" s="4" t="s">
        <v>409</v>
      </c>
      <c r="U240" s="4">
        <v>0</v>
      </c>
      <c r="V240" s="4">
        <v>8</v>
      </c>
      <c r="W240" s="4">
        <v>49</v>
      </c>
    </row>
    <row r="241" spans="1:23" ht="11.25" customHeight="1" x14ac:dyDescent="0.25">
      <c r="A241" s="4" t="s">
        <v>28</v>
      </c>
      <c r="B241" s="4" t="s">
        <v>39</v>
      </c>
      <c r="C241" s="4" t="s">
        <v>40</v>
      </c>
      <c r="D241" s="4" t="s">
        <v>41</v>
      </c>
      <c r="E241" s="4" t="s">
        <v>25</v>
      </c>
      <c r="F241" s="4" t="s">
        <v>25</v>
      </c>
      <c r="G241" s="4" t="s">
        <v>25</v>
      </c>
      <c r="H241" s="4" t="s">
        <v>35</v>
      </c>
      <c r="I241" s="5">
        <v>44743</v>
      </c>
      <c r="J241" s="6">
        <v>0</v>
      </c>
      <c r="K241" s="6">
        <v>0</v>
      </c>
      <c r="L241" s="6">
        <v>10.065</v>
      </c>
      <c r="M241" s="6">
        <v>10.065</v>
      </c>
      <c r="N241" s="6">
        <v>10.065</v>
      </c>
      <c r="O241" s="6">
        <v>10.065</v>
      </c>
      <c r="P241" s="6">
        <v>0</v>
      </c>
      <c r="Q241" s="4" t="s">
        <v>26</v>
      </c>
      <c r="R241" s="4">
        <v>0</v>
      </c>
      <c r="S241" s="4" t="s">
        <v>156</v>
      </c>
      <c r="T241" s="4" t="s">
        <v>409</v>
      </c>
      <c r="U241" s="4">
        <v>0</v>
      </c>
      <c r="V241" s="4">
        <v>8</v>
      </c>
      <c r="W241" s="4">
        <v>49</v>
      </c>
    </row>
    <row r="242" spans="1:23" ht="11.25" customHeight="1" x14ac:dyDescent="0.25">
      <c r="A242" s="4" t="s">
        <v>56</v>
      </c>
      <c r="B242" s="4" t="s">
        <v>39</v>
      </c>
      <c r="C242" s="4" t="s">
        <v>40</v>
      </c>
      <c r="D242" s="4" t="s">
        <v>41</v>
      </c>
      <c r="E242" s="4" t="s">
        <v>25</v>
      </c>
      <c r="F242" s="4" t="s">
        <v>25</v>
      </c>
      <c r="G242" s="4" t="s">
        <v>25</v>
      </c>
      <c r="H242" s="4" t="s">
        <v>35</v>
      </c>
      <c r="I242" s="5">
        <v>44774</v>
      </c>
      <c r="J242" s="6">
        <v>0</v>
      </c>
      <c r="K242" s="6">
        <v>0</v>
      </c>
      <c r="L242" s="6">
        <v>1062.107</v>
      </c>
      <c r="M242" s="6">
        <v>1062.107</v>
      </c>
      <c r="N242" s="6">
        <v>1062.107</v>
      </c>
      <c r="O242" s="6">
        <v>1062.107</v>
      </c>
      <c r="P242" s="6">
        <v>0</v>
      </c>
      <c r="Q242" s="4" t="s">
        <v>26</v>
      </c>
      <c r="R242" s="4">
        <v>0</v>
      </c>
      <c r="S242" s="4" t="s">
        <v>157</v>
      </c>
      <c r="T242" s="4" t="s">
        <v>410</v>
      </c>
      <c r="U242" s="4">
        <v>0</v>
      </c>
      <c r="V242" s="4">
        <v>8</v>
      </c>
      <c r="W242" s="4">
        <v>49</v>
      </c>
    </row>
    <row r="243" spans="1:23" ht="11.25" customHeight="1" x14ac:dyDescent="0.25">
      <c r="A243" s="4" t="s">
        <v>56</v>
      </c>
      <c r="B243" s="4" t="s">
        <v>39</v>
      </c>
      <c r="C243" s="4" t="s">
        <v>40</v>
      </c>
      <c r="D243" s="4" t="s">
        <v>41</v>
      </c>
      <c r="E243" s="4" t="s">
        <v>25</v>
      </c>
      <c r="F243" s="4" t="s">
        <v>25</v>
      </c>
      <c r="G243" s="4" t="s">
        <v>25</v>
      </c>
      <c r="H243" s="4" t="s">
        <v>35</v>
      </c>
      <c r="I243" s="5">
        <v>44774</v>
      </c>
      <c r="J243" s="6">
        <v>0</v>
      </c>
      <c r="K243" s="6">
        <v>0</v>
      </c>
      <c r="L243" s="6">
        <v>10.065</v>
      </c>
      <c r="M243" s="6">
        <v>10.065</v>
      </c>
      <c r="N243" s="6">
        <v>10.065</v>
      </c>
      <c r="O243" s="6">
        <v>10.065</v>
      </c>
      <c r="P243" s="6">
        <v>0</v>
      </c>
      <c r="Q243" s="4" t="s">
        <v>26</v>
      </c>
      <c r="R243" s="4">
        <v>0</v>
      </c>
      <c r="S243" s="4" t="s">
        <v>157</v>
      </c>
      <c r="T243" s="4" t="s">
        <v>410</v>
      </c>
      <c r="U243" s="4">
        <v>0</v>
      </c>
      <c r="V243" s="4">
        <v>8</v>
      </c>
      <c r="W243" s="4">
        <v>49</v>
      </c>
    </row>
    <row r="244" spans="1:23" ht="11.25" customHeight="1" x14ac:dyDescent="0.25">
      <c r="A244" s="4" t="s">
        <v>21</v>
      </c>
      <c r="B244" s="4" t="s">
        <v>39</v>
      </c>
      <c r="C244" s="4" t="s">
        <v>40</v>
      </c>
      <c r="D244" s="4" t="s">
        <v>41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44440</v>
      </c>
      <c r="J244" s="6">
        <v>6411</v>
      </c>
      <c r="K244" s="6">
        <v>6411</v>
      </c>
      <c r="L244" s="6">
        <v>0</v>
      </c>
      <c r="M244" s="6">
        <v>0</v>
      </c>
      <c r="N244" s="6">
        <v>0</v>
      </c>
      <c r="O244" s="6">
        <v>0</v>
      </c>
      <c r="P244" s="6">
        <v>52</v>
      </c>
      <c r="Q244" s="4" t="s">
        <v>26</v>
      </c>
      <c r="R244" s="4">
        <v>0</v>
      </c>
      <c r="S244" s="4" t="s">
        <v>158</v>
      </c>
      <c r="U244" s="4">
        <v>6</v>
      </c>
      <c r="V244" s="4">
        <v>0</v>
      </c>
      <c r="W244" s="4">
        <v>0</v>
      </c>
    </row>
    <row r="245" spans="1:23" ht="11.25" customHeight="1" x14ac:dyDescent="0.25">
      <c r="A245" s="4" t="s">
        <v>28</v>
      </c>
      <c r="B245" s="4" t="s">
        <v>39</v>
      </c>
      <c r="C245" s="4" t="s">
        <v>40</v>
      </c>
      <c r="D245" s="4" t="s">
        <v>41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44440</v>
      </c>
      <c r="J245" s="6">
        <v>334</v>
      </c>
      <c r="K245" s="6">
        <v>334</v>
      </c>
      <c r="L245" s="6">
        <v>0</v>
      </c>
      <c r="M245" s="6">
        <v>0</v>
      </c>
      <c r="N245" s="6">
        <v>0</v>
      </c>
      <c r="O245" s="6">
        <v>0</v>
      </c>
      <c r="P245" s="6">
        <v>3</v>
      </c>
      <c r="Q245" s="4" t="s">
        <v>26</v>
      </c>
      <c r="R245" s="4">
        <v>0</v>
      </c>
      <c r="S245" s="4" t="s">
        <v>158</v>
      </c>
      <c r="U245" s="4">
        <v>6</v>
      </c>
      <c r="V245" s="4">
        <v>0</v>
      </c>
      <c r="W245" s="4">
        <v>0</v>
      </c>
    </row>
    <row r="246" spans="1:23" ht="11.25" customHeight="1" x14ac:dyDescent="0.25">
      <c r="A246" s="4" t="s">
        <v>21</v>
      </c>
      <c r="B246" s="4" t="s">
        <v>39</v>
      </c>
      <c r="C246" s="4" t="s">
        <v>40</v>
      </c>
      <c r="D246" s="4" t="s">
        <v>41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44470</v>
      </c>
      <c r="J246" s="6">
        <v>6611</v>
      </c>
      <c r="K246" s="6">
        <v>6611</v>
      </c>
      <c r="L246" s="6">
        <v>0</v>
      </c>
      <c r="M246" s="6">
        <v>0</v>
      </c>
      <c r="N246" s="6">
        <v>0</v>
      </c>
      <c r="O246" s="6">
        <v>0</v>
      </c>
      <c r="P246" s="6">
        <v>52</v>
      </c>
      <c r="Q246" s="4" t="s">
        <v>26</v>
      </c>
      <c r="R246" s="4">
        <v>0</v>
      </c>
      <c r="S246" s="4" t="s">
        <v>159</v>
      </c>
      <c r="U246" s="4">
        <v>6</v>
      </c>
      <c r="V246" s="4">
        <v>0</v>
      </c>
      <c r="W246" s="4">
        <v>0</v>
      </c>
    </row>
    <row r="247" spans="1:23" ht="11.25" customHeight="1" x14ac:dyDescent="0.25">
      <c r="A247" s="4" t="s">
        <v>27</v>
      </c>
      <c r="B247" s="4" t="s">
        <v>39</v>
      </c>
      <c r="C247" s="4" t="s">
        <v>40</v>
      </c>
      <c r="D247" s="4" t="s">
        <v>41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44470</v>
      </c>
      <c r="J247" s="6">
        <v>-255</v>
      </c>
      <c r="K247" s="6">
        <v>-255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26</v>
      </c>
      <c r="R247" s="4">
        <v>0</v>
      </c>
      <c r="S247" s="4" t="s">
        <v>159</v>
      </c>
      <c r="U247" s="4">
        <v>6</v>
      </c>
      <c r="V247" s="4">
        <v>0</v>
      </c>
      <c r="W247" s="4">
        <v>0</v>
      </c>
    </row>
    <row r="248" spans="1:23" ht="11.25" customHeight="1" x14ac:dyDescent="0.25">
      <c r="A248" s="4" t="s">
        <v>28</v>
      </c>
      <c r="B248" s="4" t="s">
        <v>39</v>
      </c>
      <c r="C248" s="4" t="s">
        <v>40</v>
      </c>
      <c r="D248" s="4" t="s">
        <v>41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44470</v>
      </c>
      <c r="J248" s="6">
        <v>315</v>
      </c>
      <c r="K248" s="6">
        <v>315</v>
      </c>
      <c r="L248" s="6">
        <v>0</v>
      </c>
      <c r="M248" s="6">
        <v>0</v>
      </c>
      <c r="N248" s="6">
        <v>0</v>
      </c>
      <c r="O248" s="6">
        <v>0</v>
      </c>
      <c r="P248" s="6">
        <v>3</v>
      </c>
      <c r="Q248" s="4" t="s">
        <v>26</v>
      </c>
      <c r="R248" s="4">
        <v>0</v>
      </c>
      <c r="S248" s="4" t="s">
        <v>159</v>
      </c>
      <c r="U248" s="4">
        <v>6</v>
      </c>
      <c r="V248" s="4">
        <v>0</v>
      </c>
      <c r="W248" s="4">
        <v>0</v>
      </c>
    </row>
    <row r="249" spans="1:23" ht="11.25" customHeight="1" x14ac:dyDescent="0.25">
      <c r="A249" s="4" t="s">
        <v>21</v>
      </c>
      <c r="B249" s="4" t="s">
        <v>39</v>
      </c>
      <c r="C249" s="4" t="s">
        <v>40</v>
      </c>
      <c r="D249" s="4" t="s">
        <v>41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44501</v>
      </c>
      <c r="J249" s="6">
        <v>6437</v>
      </c>
      <c r="K249" s="6">
        <v>6437</v>
      </c>
      <c r="L249" s="6">
        <v>0</v>
      </c>
      <c r="M249" s="6">
        <v>0</v>
      </c>
      <c r="N249" s="6">
        <v>0</v>
      </c>
      <c r="O249" s="6">
        <v>0</v>
      </c>
      <c r="P249" s="6">
        <v>52</v>
      </c>
      <c r="Q249" s="4" t="s">
        <v>26</v>
      </c>
      <c r="R249" s="4">
        <v>0</v>
      </c>
      <c r="S249" s="4" t="s">
        <v>160</v>
      </c>
      <c r="U249" s="4">
        <v>6</v>
      </c>
      <c r="V249" s="4">
        <v>0</v>
      </c>
      <c r="W249" s="4">
        <v>0</v>
      </c>
    </row>
    <row r="250" spans="1:23" ht="11.25" customHeight="1" x14ac:dyDescent="0.25">
      <c r="A250" s="4" t="s">
        <v>27</v>
      </c>
      <c r="B250" s="4" t="s">
        <v>39</v>
      </c>
      <c r="C250" s="4" t="s">
        <v>40</v>
      </c>
      <c r="D250" s="4" t="s">
        <v>41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44501</v>
      </c>
      <c r="J250" s="6">
        <v>-20</v>
      </c>
      <c r="K250" s="6">
        <v>-20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26</v>
      </c>
      <c r="R250" s="4">
        <v>0</v>
      </c>
      <c r="S250" s="4" t="s">
        <v>160</v>
      </c>
      <c r="U250" s="4">
        <v>6</v>
      </c>
      <c r="V250" s="4">
        <v>0</v>
      </c>
      <c r="W250" s="4">
        <v>0</v>
      </c>
    </row>
    <row r="251" spans="1:23" ht="11.25" customHeight="1" x14ac:dyDescent="0.25">
      <c r="A251" s="4" t="s">
        <v>28</v>
      </c>
      <c r="B251" s="4" t="s">
        <v>39</v>
      </c>
      <c r="C251" s="4" t="s">
        <v>40</v>
      </c>
      <c r="D251" s="4" t="s">
        <v>41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44501</v>
      </c>
      <c r="J251" s="6">
        <v>330</v>
      </c>
      <c r="K251" s="6">
        <v>330</v>
      </c>
      <c r="L251" s="6">
        <v>0</v>
      </c>
      <c r="M251" s="6">
        <v>0</v>
      </c>
      <c r="N251" s="6">
        <v>0</v>
      </c>
      <c r="O251" s="6">
        <v>0</v>
      </c>
      <c r="P251" s="6">
        <v>3</v>
      </c>
      <c r="Q251" s="4" t="s">
        <v>26</v>
      </c>
      <c r="R251" s="4">
        <v>0</v>
      </c>
      <c r="S251" s="4" t="s">
        <v>160</v>
      </c>
      <c r="U251" s="4">
        <v>6</v>
      </c>
      <c r="V251" s="4">
        <v>0</v>
      </c>
      <c r="W251" s="4">
        <v>0</v>
      </c>
    </row>
    <row r="252" spans="1:23" ht="11.25" customHeight="1" x14ac:dyDescent="0.25">
      <c r="A252" s="4" t="s">
        <v>21</v>
      </c>
      <c r="B252" s="4" t="s">
        <v>39</v>
      </c>
      <c r="C252" s="4" t="s">
        <v>40</v>
      </c>
      <c r="D252" s="4" t="s">
        <v>41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44531</v>
      </c>
      <c r="J252" s="6">
        <v>6615</v>
      </c>
      <c r="K252" s="6">
        <v>6615</v>
      </c>
      <c r="L252" s="6">
        <v>0</v>
      </c>
      <c r="M252" s="6">
        <v>0</v>
      </c>
      <c r="N252" s="6">
        <v>0</v>
      </c>
      <c r="O252" s="6">
        <v>0</v>
      </c>
      <c r="P252" s="6">
        <v>52</v>
      </c>
      <c r="Q252" s="4" t="s">
        <v>26</v>
      </c>
      <c r="R252" s="4">
        <v>0</v>
      </c>
      <c r="S252" s="4" t="s">
        <v>161</v>
      </c>
      <c r="U252" s="4">
        <v>6</v>
      </c>
      <c r="V252" s="4">
        <v>0</v>
      </c>
      <c r="W252" s="4">
        <v>0</v>
      </c>
    </row>
    <row r="253" spans="1:23" ht="11.25" customHeight="1" x14ac:dyDescent="0.25">
      <c r="A253" s="4" t="s">
        <v>28</v>
      </c>
      <c r="B253" s="4" t="s">
        <v>39</v>
      </c>
      <c r="C253" s="4" t="s">
        <v>40</v>
      </c>
      <c r="D253" s="4" t="s">
        <v>41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44531</v>
      </c>
      <c r="J253" s="6">
        <v>330</v>
      </c>
      <c r="K253" s="6">
        <v>330</v>
      </c>
      <c r="L253" s="6">
        <v>0</v>
      </c>
      <c r="M253" s="6">
        <v>0</v>
      </c>
      <c r="N253" s="6">
        <v>0</v>
      </c>
      <c r="O253" s="6">
        <v>0</v>
      </c>
      <c r="P253" s="6">
        <v>3</v>
      </c>
      <c r="Q253" s="4" t="s">
        <v>26</v>
      </c>
      <c r="R253" s="4">
        <v>0</v>
      </c>
      <c r="S253" s="4" t="s">
        <v>161</v>
      </c>
      <c r="U253" s="4">
        <v>6</v>
      </c>
      <c r="V253" s="4">
        <v>0</v>
      </c>
      <c r="W253" s="4">
        <v>0</v>
      </c>
    </row>
    <row r="254" spans="1:23" ht="11.25" customHeight="1" x14ac:dyDescent="0.25">
      <c r="A254" s="4" t="s">
        <v>21</v>
      </c>
      <c r="B254" s="4" t="s">
        <v>39</v>
      </c>
      <c r="C254" s="4" t="s">
        <v>40</v>
      </c>
      <c r="D254" s="4" t="s">
        <v>41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44562</v>
      </c>
      <c r="J254" s="6">
        <v>6484</v>
      </c>
      <c r="K254" s="6">
        <v>6484</v>
      </c>
      <c r="L254" s="6">
        <v>0</v>
      </c>
      <c r="M254" s="6">
        <v>0</v>
      </c>
      <c r="N254" s="6">
        <v>0</v>
      </c>
      <c r="O254" s="6">
        <v>0</v>
      </c>
      <c r="P254" s="6">
        <v>53</v>
      </c>
      <c r="Q254" s="4" t="s">
        <v>26</v>
      </c>
      <c r="R254" s="4">
        <v>0</v>
      </c>
      <c r="S254" s="4" t="s">
        <v>162</v>
      </c>
      <c r="U254" s="4">
        <v>6</v>
      </c>
      <c r="V254" s="4">
        <v>0</v>
      </c>
      <c r="W254" s="4">
        <v>0</v>
      </c>
    </row>
    <row r="255" spans="1:23" ht="11.25" customHeight="1" x14ac:dyDescent="0.25">
      <c r="A255" s="4" t="s">
        <v>28</v>
      </c>
      <c r="B255" s="4" t="s">
        <v>39</v>
      </c>
      <c r="C255" s="4" t="s">
        <v>40</v>
      </c>
      <c r="D255" s="4" t="s">
        <v>41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44562</v>
      </c>
      <c r="J255" s="6">
        <v>338</v>
      </c>
      <c r="K255" s="6">
        <v>338</v>
      </c>
      <c r="L255" s="6">
        <v>0</v>
      </c>
      <c r="M255" s="6">
        <v>0</v>
      </c>
      <c r="N255" s="6">
        <v>0</v>
      </c>
      <c r="O255" s="6">
        <v>0</v>
      </c>
      <c r="P255" s="6">
        <v>3</v>
      </c>
      <c r="Q255" s="4" t="s">
        <v>26</v>
      </c>
      <c r="R255" s="4">
        <v>0</v>
      </c>
      <c r="S255" s="4" t="s">
        <v>162</v>
      </c>
      <c r="U255" s="4">
        <v>6</v>
      </c>
      <c r="V255" s="4">
        <v>0</v>
      </c>
      <c r="W255" s="4">
        <v>0</v>
      </c>
    </row>
    <row r="256" spans="1:23" ht="11.25" customHeight="1" x14ac:dyDescent="0.25">
      <c r="A256" s="4" t="s">
        <v>21</v>
      </c>
      <c r="B256" s="4" t="s">
        <v>39</v>
      </c>
      <c r="C256" s="4" t="s">
        <v>40</v>
      </c>
      <c r="D256" s="4" t="s">
        <v>41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44593</v>
      </c>
      <c r="J256" s="6">
        <v>6696</v>
      </c>
      <c r="K256" s="6">
        <v>6696</v>
      </c>
      <c r="L256" s="6">
        <v>0</v>
      </c>
      <c r="M256" s="6">
        <v>0</v>
      </c>
      <c r="N256" s="6">
        <v>0</v>
      </c>
      <c r="O256" s="6">
        <v>0</v>
      </c>
      <c r="P256" s="6">
        <v>54</v>
      </c>
      <c r="Q256" s="4" t="s">
        <v>26</v>
      </c>
      <c r="R256" s="4">
        <v>0</v>
      </c>
      <c r="S256" s="4" t="s">
        <v>163</v>
      </c>
      <c r="U256" s="4">
        <v>6</v>
      </c>
      <c r="V256" s="4">
        <v>0</v>
      </c>
      <c r="W256" s="4">
        <v>0</v>
      </c>
    </row>
    <row r="257" spans="1:23" ht="11.25" customHeight="1" x14ac:dyDescent="0.25">
      <c r="A257" s="4" t="s">
        <v>28</v>
      </c>
      <c r="B257" s="4" t="s">
        <v>39</v>
      </c>
      <c r="C257" s="4" t="s">
        <v>40</v>
      </c>
      <c r="D257" s="4" t="s">
        <v>41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44593</v>
      </c>
      <c r="J257" s="6">
        <v>330</v>
      </c>
      <c r="K257" s="6">
        <v>330</v>
      </c>
      <c r="L257" s="6">
        <v>0</v>
      </c>
      <c r="M257" s="6">
        <v>0</v>
      </c>
      <c r="N257" s="6">
        <v>0</v>
      </c>
      <c r="O257" s="6">
        <v>0</v>
      </c>
      <c r="P257" s="6">
        <v>3</v>
      </c>
      <c r="Q257" s="4" t="s">
        <v>26</v>
      </c>
      <c r="R257" s="4">
        <v>0</v>
      </c>
      <c r="S257" s="4" t="s">
        <v>163</v>
      </c>
      <c r="U257" s="4">
        <v>6</v>
      </c>
      <c r="V257" s="4">
        <v>0</v>
      </c>
      <c r="W257" s="4">
        <v>0</v>
      </c>
    </row>
    <row r="258" spans="1:23" ht="11.25" customHeight="1" x14ac:dyDescent="0.25">
      <c r="A258" s="4" t="s">
        <v>21</v>
      </c>
      <c r="B258" s="4" t="s">
        <v>39</v>
      </c>
      <c r="C258" s="4" t="s">
        <v>40</v>
      </c>
      <c r="D258" s="4" t="s">
        <v>41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44621</v>
      </c>
      <c r="J258" s="6">
        <v>6600</v>
      </c>
      <c r="K258" s="6">
        <v>6600</v>
      </c>
      <c r="L258" s="6">
        <v>0</v>
      </c>
      <c r="M258" s="6">
        <v>0</v>
      </c>
      <c r="N258" s="6">
        <v>0</v>
      </c>
      <c r="O258" s="6">
        <v>0</v>
      </c>
      <c r="P258" s="6">
        <v>52</v>
      </c>
      <c r="Q258" s="4" t="s">
        <v>26</v>
      </c>
      <c r="R258" s="4">
        <v>0</v>
      </c>
      <c r="S258" s="4" t="s">
        <v>164</v>
      </c>
      <c r="U258" s="4">
        <v>6</v>
      </c>
      <c r="V258" s="4">
        <v>0</v>
      </c>
      <c r="W258" s="4">
        <v>0</v>
      </c>
    </row>
    <row r="259" spans="1:23" ht="11.25" customHeight="1" x14ac:dyDescent="0.25">
      <c r="A259" s="4" t="s">
        <v>28</v>
      </c>
      <c r="B259" s="4" t="s">
        <v>39</v>
      </c>
      <c r="C259" s="4" t="s">
        <v>40</v>
      </c>
      <c r="D259" s="4" t="s">
        <v>41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44621</v>
      </c>
      <c r="J259" s="6">
        <v>330</v>
      </c>
      <c r="K259" s="6">
        <v>330</v>
      </c>
      <c r="L259" s="6">
        <v>0</v>
      </c>
      <c r="M259" s="6">
        <v>0</v>
      </c>
      <c r="N259" s="6">
        <v>0</v>
      </c>
      <c r="O259" s="6">
        <v>0</v>
      </c>
      <c r="P259" s="6">
        <v>3</v>
      </c>
      <c r="Q259" s="4" t="s">
        <v>26</v>
      </c>
      <c r="R259" s="4">
        <v>0</v>
      </c>
      <c r="S259" s="4" t="s">
        <v>164</v>
      </c>
      <c r="U259" s="4">
        <v>6</v>
      </c>
      <c r="V259" s="4">
        <v>0</v>
      </c>
      <c r="W259" s="4">
        <v>0</v>
      </c>
    </row>
    <row r="260" spans="1:23" ht="11.25" customHeight="1" x14ac:dyDescent="0.25">
      <c r="A260" s="4" t="s">
        <v>21</v>
      </c>
      <c r="B260" s="4" t="s">
        <v>39</v>
      </c>
      <c r="C260" s="4" t="s">
        <v>40</v>
      </c>
      <c r="D260" s="4" t="s">
        <v>41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44652</v>
      </c>
      <c r="J260" s="6">
        <v>6317</v>
      </c>
      <c r="K260" s="6">
        <v>6317</v>
      </c>
      <c r="L260" s="6">
        <v>0</v>
      </c>
      <c r="M260" s="6">
        <v>0</v>
      </c>
      <c r="N260" s="6">
        <v>0</v>
      </c>
      <c r="O260" s="6">
        <v>0</v>
      </c>
      <c r="P260" s="6">
        <v>50</v>
      </c>
      <c r="Q260" s="4" t="s">
        <v>26</v>
      </c>
      <c r="R260" s="4">
        <v>0</v>
      </c>
      <c r="S260" s="4" t="s">
        <v>165</v>
      </c>
      <c r="U260" s="4">
        <v>6</v>
      </c>
      <c r="V260" s="4">
        <v>0</v>
      </c>
      <c r="W260" s="4">
        <v>0</v>
      </c>
    </row>
    <row r="261" spans="1:23" ht="11.25" customHeight="1" x14ac:dyDescent="0.25">
      <c r="A261" s="4" t="s">
        <v>27</v>
      </c>
      <c r="B261" s="4" t="s">
        <v>39</v>
      </c>
      <c r="C261" s="4" t="s">
        <v>40</v>
      </c>
      <c r="D261" s="4" t="s">
        <v>41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44652</v>
      </c>
      <c r="J261" s="6">
        <v>40</v>
      </c>
      <c r="K261" s="6">
        <v>40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4" t="s">
        <v>26</v>
      </c>
      <c r="R261" s="4">
        <v>0</v>
      </c>
      <c r="S261" s="4" t="s">
        <v>165</v>
      </c>
      <c r="U261" s="4">
        <v>6</v>
      </c>
      <c r="V261" s="4">
        <v>0</v>
      </c>
      <c r="W261" s="4">
        <v>0</v>
      </c>
    </row>
    <row r="262" spans="1:23" ht="11.25" customHeight="1" x14ac:dyDescent="0.25">
      <c r="A262" s="4" t="s">
        <v>28</v>
      </c>
      <c r="B262" s="4" t="s">
        <v>39</v>
      </c>
      <c r="C262" s="4" t="s">
        <v>40</v>
      </c>
      <c r="D262" s="4" t="s">
        <v>41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44652</v>
      </c>
      <c r="J262" s="6">
        <v>341</v>
      </c>
      <c r="K262" s="6">
        <v>341</v>
      </c>
      <c r="L262" s="6">
        <v>0</v>
      </c>
      <c r="M262" s="6">
        <v>0</v>
      </c>
      <c r="N262" s="6">
        <v>0</v>
      </c>
      <c r="O262" s="6">
        <v>0</v>
      </c>
      <c r="P262" s="6">
        <v>3</v>
      </c>
      <c r="Q262" s="4" t="s">
        <v>26</v>
      </c>
      <c r="R262" s="4">
        <v>0</v>
      </c>
      <c r="S262" s="4" t="s">
        <v>165</v>
      </c>
      <c r="U262" s="4">
        <v>6</v>
      </c>
      <c r="V262" s="4">
        <v>0</v>
      </c>
      <c r="W262" s="4">
        <v>0</v>
      </c>
    </row>
    <row r="263" spans="1:23" ht="11.25" customHeight="1" x14ac:dyDescent="0.25">
      <c r="A263" s="4" t="s">
        <v>21</v>
      </c>
      <c r="B263" s="4" t="s">
        <v>39</v>
      </c>
      <c r="C263" s="4" t="s">
        <v>40</v>
      </c>
      <c r="D263" s="4" t="s">
        <v>41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44682</v>
      </c>
      <c r="J263" s="6">
        <v>6239</v>
      </c>
      <c r="K263" s="6">
        <v>6239</v>
      </c>
      <c r="L263" s="6">
        <v>0</v>
      </c>
      <c r="M263" s="6">
        <v>0</v>
      </c>
      <c r="N263" s="6">
        <v>0</v>
      </c>
      <c r="O263" s="6">
        <v>0</v>
      </c>
      <c r="P263" s="6">
        <v>53</v>
      </c>
      <c r="Q263" s="4" t="s">
        <v>26</v>
      </c>
      <c r="R263" s="4">
        <v>0</v>
      </c>
      <c r="S263" s="4" t="s">
        <v>166</v>
      </c>
      <c r="U263" s="4">
        <v>6</v>
      </c>
      <c r="V263" s="4">
        <v>0</v>
      </c>
      <c r="W263" s="4">
        <v>0</v>
      </c>
    </row>
    <row r="264" spans="1:23" ht="11.25" customHeight="1" x14ac:dyDescent="0.25">
      <c r="A264" s="4" t="s">
        <v>28</v>
      </c>
      <c r="B264" s="4" t="s">
        <v>39</v>
      </c>
      <c r="C264" s="4" t="s">
        <v>40</v>
      </c>
      <c r="D264" s="4" t="s">
        <v>41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44682</v>
      </c>
      <c r="J264" s="6">
        <v>331</v>
      </c>
      <c r="K264" s="6">
        <v>331</v>
      </c>
      <c r="L264" s="6">
        <v>0</v>
      </c>
      <c r="M264" s="6">
        <v>0</v>
      </c>
      <c r="N264" s="6">
        <v>0</v>
      </c>
      <c r="O264" s="6">
        <v>0</v>
      </c>
      <c r="P264" s="6">
        <v>3</v>
      </c>
      <c r="Q264" s="4" t="s">
        <v>26</v>
      </c>
      <c r="R264" s="4">
        <v>0</v>
      </c>
      <c r="S264" s="4" t="s">
        <v>166</v>
      </c>
      <c r="U264" s="4">
        <v>6</v>
      </c>
      <c r="V264" s="4">
        <v>0</v>
      </c>
      <c r="W264" s="4">
        <v>0</v>
      </c>
    </row>
    <row r="265" spans="1:23" ht="11.25" customHeight="1" x14ac:dyDescent="0.25">
      <c r="A265" s="4" t="s">
        <v>21</v>
      </c>
      <c r="B265" s="4" t="s">
        <v>39</v>
      </c>
      <c r="C265" s="4" t="s">
        <v>40</v>
      </c>
      <c r="D265" s="4" t="s">
        <v>41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44713</v>
      </c>
      <c r="J265" s="6">
        <v>6268</v>
      </c>
      <c r="K265" s="6">
        <v>6268</v>
      </c>
      <c r="L265" s="6">
        <v>0</v>
      </c>
      <c r="M265" s="6">
        <v>0</v>
      </c>
      <c r="N265" s="6">
        <v>0</v>
      </c>
      <c r="O265" s="6">
        <v>0</v>
      </c>
      <c r="P265" s="6">
        <v>53</v>
      </c>
      <c r="Q265" s="4" t="s">
        <v>26</v>
      </c>
      <c r="R265" s="4">
        <v>0</v>
      </c>
      <c r="S265" s="4" t="s">
        <v>167</v>
      </c>
      <c r="U265" s="4">
        <v>6</v>
      </c>
      <c r="V265" s="4">
        <v>0</v>
      </c>
      <c r="W265" s="4">
        <v>0</v>
      </c>
    </row>
    <row r="266" spans="1:23" ht="11.25" customHeight="1" x14ac:dyDescent="0.25">
      <c r="A266" s="4" t="s">
        <v>28</v>
      </c>
      <c r="B266" s="4" t="s">
        <v>39</v>
      </c>
      <c r="C266" s="4" t="s">
        <v>40</v>
      </c>
      <c r="D266" s="4" t="s">
        <v>41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44713</v>
      </c>
      <c r="J266" s="6">
        <v>330</v>
      </c>
      <c r="K266" s="6">
        <v>330</v>
      </c>
      <c r="L266" s="6">
        <v>0</v>
      </c>
      <c r="M266" s="6">
        <v>0</v>
      </c>
      <c r="N266" s="6">
        <v>0</v>
      </c>
      <c r="O266" s="6">
        <v>0</v>
      </c>
      <c r="P266" s="6">
        <v>3</v>
      </c>
      <c r="Q266" s="4" t="s">
        <v>26</v>
      </c>
      <c r="R266" s="4">
        <v>0</v>
      </c>
      <c r="S266" s="4" t="s">
        <v>167</v>
      </c>
      <c r="U266" s="4">
        <v>6</v>
      </c>
      <c r="V266" s="4">
        <v>0</v>
      </c>
      <c r="W266" s="4">
        <v>0</v>
      </c>
    </row>
    <row r="267" spans="1:23" ht="11.25" customHeight="1" x14ac:dyDescent="0.25">
      <c r="A267" s="4" t="s">
        <v>21</v>
      </c>
      <c r="B267" s="4" t="s">
        <v>39</v>
      </c>
      <c r="C267" s="4" t="s">
        <v>40</v>
      </c>
      <c r="D267" s="4" t="s">
        <v>41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44743</v>
      </c>
      <c r="J267" s="6">
        <v>6073</v>
      </c>
      <c r="K267" s="6">
        <v>6073</v>
      </c>
      <c r="L267" s="6">
        <v>0</v>
      </c>
      <c r="M267" s="6">
        <v>0</v>
      </c>
      <c r="N267" s="6">
        <v>0</v>
      </c>
      <c r="O267" s="6">
        <v>0</v>
      </c>
      <c r="P267" s="6">
        <v>52</v>
      </c>
      <c r="Q267" s="4" t="s">
        <v>26</v>
      </c>
      <c r="R267" s="4">
        <v>0</v>
      </c>
      <c r="S267" s="4" t="s">
        <v>168</v>
      </c>
      <c r="U267" s="4">
        <v>6</v>
      </c>
      <c r="V267" s="4">
        <v>0</v>
      </c>
      <c r="W267" s="4">
        <v>0</v>
      </c>
    </row>
    <row r="268" spans="1:23" ht="11.25" customHeight="1" x14ac:dyDescent="0.25">
      <c r="A268" s="4" t="s">
        <v>28</v>
      </c>
      <c r="B268" s="4" t="s">
        <v>39</v>
      </c>
      <c r="C268" s="4" t="s">
        <v>40</v>
      </c>
      <c r="D268" s="4" t="s">
        <v>41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44743</v>
      </c>
      <c r="J268" s="6">
        <v>353</v>
      </c>
      <c r="K268" s="6">
        <v>353</v>
      </c>
      <c r="L268" s="6">
        <v>0</v>
      </c>
      <c r="M268" s="6">
        <v>0</v>
      </c>
      <c r="N268" s="6">
        <v>0</v>
      </c>
      <c r="O268" s="6">
        <v>0</v>
      </c>
      <c r="P268" s="6">
        <v>3</v>
      </c>
      <c r="Q268" s="4" t="s">
        <v>26</v>
      </c>
      <c r="R268" s="4">
        <v>0</v>
      </c>
      <c r="S268" s="4" t="s">
        <v>168</v>
      </c>
      <c r="U268" s="4">
        <v>6</v>
      </c>
      <c r="V268" s="4">
        <v>0</v>
      </c>
      <c r="W268" s="4">
        <v>0</v>
      </c>
    </row>
    <row r="269" spans="1:23" ht="11.25" customHeight="1" x14ac:dyDescent="0.25">
      <c r="A269" s="4" t="s">
        <v>56</v>
      </c>
      <c r="B269" s="4" t="s">
        <v>39</v>
      </c>
      <c r="C269" s="4" t="s">
        <v>40</v>
      </c>
      <c r="D269" s="4" t="s">
        <v>41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44774</v>
      </c>
      <c r="J269" s="6">
        <v>6073</v>
      </c>
      <c r="K269" s="6">
        <v>6073</v>
      </c>
      <c r="L269" s="6">
        <v>0</v>
      </c>
      <c r="M269" s="6">
        <v>0</v>
      </c>
      <c r="N269" s="6">
        <v>0</v>
      </c>
      <c r="O269" s="6">
        <v>0</v>
      </c>
      <c r="P269" s="6">
        <v>52</v>
      </c>
      <c r="Q269" s="4" t="s">
        <v>26</v>
      </c>
      <c r="R269" s="4">
        <v>0</v>
      </c>
      <c r="S269" s="4" t="s">
        <v>169</v>
      </c>
      <c r="U269" s="4">
        <v>6</v>
      </c>
      <c r="V269" s="4">
        <v>0</v>
      </c>
      <c r="W269" s="4">
        <v>0</v>
      </c>
    </row>
    <row r="270" spans="1:23" ht="11.25" customHeight="1" x14ac:dyDescent="0.25">
      <c r="A270" s="4" t="s">
        <v>56</v>
      </c>
      <c r="B270" s="4" t="s">
        <v>39</v>
      </c>
      <c r="C270" s="4" t="s">
        <v>40</v>
      </c>
      <c r="D270" s="4" t="s">
        <v>41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44774</v>
      </c>
      <c r="J270" s="6">
        <v>353</v>
      </c>
      <c r="K270" s="6">
        <v>353</v>
      </c>
      <c r="L270" s="6">
        <v>0</v>
      </c>
      <c r="M270" s="6">
        <v>0</v>
      </c>
      <c r="N270" s="6">
        <v>0</v>
      </c>
      <c r="O270" s="6">
        <v>0</v>
      </c>
      <c r="P270" s="6">
        <v>3</v>
      </c>
      <c r="Q270" s="4" t="s">
        <v>26</v>
      </c>
      <c r="R270" s="4">
        <v>0</v>
      </c>
      <c r="S270" s="4" t="s">
        <v>169</v>
      </c>
      <c r="U270" s="4">
        <v>6</v>
      </c>
      <c r="V270" s="4">
        <v>0</v>
      </c>
      <c r="W270" s="4">
        <v>0</v>
      </c>
    </row>
    <row r="271" spans="1:23" ht="11.25" customHeight="1" x14ac:dyDescent="0.25">
      <c r="A271" s="4" t="s">
        <v>21</v>
      </c>
      <c r="B271" s="4" t="s">
        <v>39</v>
      </c>
      <c r="C271" s="4" t="s">
        <v>40</v>
      </c>
      <c r="D271" s="4" t="s">
        <v>41</v>
      </c>
      <c r="E271" s="4" t="s">
        <v>25</v>
      </c>
      <c r="F271" s="4" t="s">
        <v>25</v>
      </c>
      <c r="G271" s="4" t="s">
        <v>25</v>
      </c>
      <c r="H271" s="4" t="s">
        <v>34</v>
      </c>
      <c r="I271" s="5">
        <v>44440</v>
      </c>
      <c r="J271" s="6">
        <v>0</v>
      </c>
      <c r="K271" s="6">
        <v>0</v>
      </c>
      <c r="L271" s="6">
        <v>51.628999999999998</v>
      </c>
      <c r="M271" s="6">
        <v>51.628999999999998</v>
      </c>
      <c r="N271" s="6">
        <v>51.628999999999998</v>
      </c>
      <c r="O271" s="6">
        <v>51.628999999999998</v>
      </c>
      <c r="P271" s="6">
        <v>0</v>
      </c>
      <c r="Q271" s="4" t="s">
        <v>26</v>
      </c>
      <c r="R271" s="4">
        <v>0</v>
      </c>
      <c r="S271" s="4" t="s">
        <v>170</v>
      </c>
      <c r="T271" s="4" t="s">
        <v>411</v>
      </c>
      <c r="U271" s="4">
        <v>0</v>
      </c>
      <c r="V271" s="4">
        <v>7</v>
      </c>
      <c r="W271" s="4">
        <v>48</v>
      </c>
    </row>
    <row r="272" spans="1:23" ht="11.25" customHeight="1" x14ac:dyDescent="0.25">
      <c r="A272" s="4" t="s">
        <v>28</v>
      </c>
      <c r="B272" s="4" t="s">
        <v>39</v>
      </c>
      <c r="C272" s="4" t="s">
        <v>40</v>
      </c>
      <c r="D272" s="4" t="s">
        <v>41</v>
      </c>
      <c r="E272" s="4" t="s">
        <v>25</v>
      </c>
      <c r="F272" s="4" t="s">
        <v>25</v>
      </c>
      <c r="G272" s="4" t="s">
        <v>25</v>
      </c>
      <c r="H272" s="4" t="s">
        <v>34</v>
      </c>
      <c r="I272" s="5">
        <v>44440</v>
      </c>
      <c r="J272" s="6">
        <v>0</v>
      </c>
      <c r="K272" s="6">
        <v>0</v>
      </c>
      <c r="L272" s="6">
        <v>3.55</v>
      </c>
      <c r="M272" s="6">
        <v>3.55</v>
      </c>
      <c r="N272" s="6">
        <v>3.55</v>
      </c>
      <c r="O272" s="6">
        <v>3.55</v>
      </c>
      <c r="P272" s="6">
        <v>0</v>
      </c>
      <c r="Q272" s="4" t="s">
        <v>26</v>
      </c>
      <c r="R272" s="4">
        <v>0</v>
      </c>
      <c r="S272" s="4" t="s">
        <v>170</v>
      </c>
      <c r="T272" s="4" t="s">
        <v>411</v>
      </c>
      <c r="U272" s="4">
        <v>0</v>
      </c>
      <c r="V272" s="4">
        <v>7</v>
      </c>
      <c r="W272" s="4">
        <v>48</v>
      </c>
    </row>
    <row r="273" spans="1:23" ht="11.25" customHeight="1" x14ac:dyDescent="0.25">
      <c r="A273" s="4" t="s">
        <v>21</v>
      </c>
      <c r="B273" s="4" t="s">
        <v>39</v>
      </c>
      <c r="C273" s="4" t="s">
        <v>40</v>
      </c>
      <c r="D273" s="4" t="s">
        <v>41</v>
      </c>
      <c r="E273" s="4" t="s">
        <v>25</v>
      </c>
      <c r="F273" s="4" t="s">
        <v>25</v>
      </c>
      <c r="G273" s="4" t="s">
        <v>25</v>
      </c>
      <c r="H273" s="4" t="s">
        <v>34</v>
      </c>
      <c r="I273" s="5">
        <v>44470</v>
      </c>
      <c r="J273" s="6">
        <v>0</v>
      </c>
      <c r="K273" s="6">
        <v>0</v>
      </c>
      <c r="L273" s="6">
        <v>55.1</v>
      </c>
      <c r="M273" s="6">
        <v>55.1</v>
      </c>
      <c r="N273" s="6">
        <v>55.1</v>
      </c>
      <c r="O273" s="6">
        <v>55.1</v>
      </c>
      <c r="P273" s="6">
        <v>0</v>
      </c>
      <c r="Q273" s="4" t="s">
        <v>26</v>
      </c>
      <c r="R273" s="4">
        <v>0</v>
      </c>
      <c r="S273" s="4" t="s">
        <v>171</v>
      </c>
      <c r="T273" s="4" t="s">
        <v>412</v>
      </c>
      <c r="U273" s="4">
        <v>0</v>
      </c>
      <c r="V273" s="4">
        <v>7</v>
      </c>
      <c r="W273" s="4">
        <v>48</v>
      </c>
    </row>
    <row r="274" spans="1:23" ht="11.25" customHeight="1" x14ac:dyDescent="0.25">
      <c r="A274" s="4" t="s">
        <v>28</v>
      </c>
      <c r="B274" s="4" t="s">
        <v>39</v>
      </c>
      <c r="C274" s="4" t="s">
        <v>40</v>
      </c>
      <c r="D274" s="4" t="s">
        <v>41</v>
      </c>
      <c r="E274" s="4" t="s">
        <v>25</v>
      </c>
      <c r="F274" s="4" t="s">
        <v>25</v>
      </c>
      <c r="G274" s="4" t="s">
        <v>25</v>
      </c>
      <c r="H274" s="4" t="s">
        <v>34</v>
      </c>
      <c r="I274" s="5">
        <v>44470</v>
      </c>
      <c r="J274" s="6">
        <v>0</v>
      </c>
      <c r="K274" s="6">
        <v>0</v>
      </c>
      <c r="L274" s="6">
        <v>2.2250000000000001</v>
      </c>
      <c r="M274" s="6">
        <v>2.2250000000000001</v>
      </c>
      <c r="N274" s="6">
        <v>2.2250000000000001</v>
      </c>
      <c r="O274" s="6">
        <v>2.2250000000000001</v>
      </c>
      <c r="P274" s="6">
        <v>0</v>
      </c>
      <c r="Q274" s="4" t="s">
        <v>26</v>
      </c>
      <c r="R274" s="4">
        <v>0</v>
      </c>
      <c r="S274" s="4" t="s">
        <v>171</v>
      </c>
      <c r="T274" s="4" t="s">
        <v>412</v>
      </c>
      <c r="U274" s="4">
        <v>0</v>
      </c>
      <c r="V274" s="4">
        <v>7</v>
      </c>
      <c r="W274" s="4">
        <v>48</v>
      </c>
    </row>
    <row r="275" spans="1:23" ht="11.25" customHeight="1" x14ac:dyDescent="0.25">
      <c r="A275" s="4" t="s">
        <v>21</v>
      </c>
      <c r="B275" s="4" t="s">
        <v>39</v>
      </c>
      <c r="C275" s="4" t="s">
        <v>40</v>
      </c>
      <c r="D275" s="4" t="s">
        <v>41</v>
      </c>
      <c r="E275" s="4" t="s">
        <v>25</v>
      </c>
      <c r="F275" s="4" t="s">
        <v>25</v>
      </c>
      <c r="G275" s="4" t="s">
        <v>25</v>
      </c>
      <c r="H275" s="4" t="s">
        <v>34</v>
      </c>
      <c r="I275" s="5">
        <v>44501</v>
      </c>
      <c r="J275" s="6">
        <v>0</v>
      </c>
      <c r="K275" s="6">
        <v>0</v>
      </c>
      <c r="L275" s="6">
        <v>46.735999999999997</v>
      </c>
      <c r="M275" s="6">
        <v>46.735999999999997</v>
      </c>
      <c r="N275" s="6">
        <v>46.735999999999997</v>
      </c>
      <c r="O275" s="6">
        <v>46.735999999999997</v>
      </c>
      <c r="P275" s="6">
        <v>0</v>
      </c>
      <c r="Q275" s="4" t="s">
        <v>26</v>
      </c>
      <c r="R275" s="4">
        <v>0</v>
      </c>
      <c r="S275" s="4" t="s">
        <v>172</v>
      </c>
      <c r="T275" s="4" t="s">
        <v>413</v>
      </c>
      <c r="U275" s="4">
        <v>0</v>
      </c>
      <c r="V275" s="4">
        <v>7</v>
      </c>
      <c r="W275" s="4">
        <v>48</v>
      </c>
    </row>
    <row r="276" spans="1:23" ht="11.25" customHeight="1" x14ac:dyDescent="0.25">
      <c r="A276" s="4" t="s">
        <v>28</v>
      </c>
      <c r="B276" s="4" t="s">
        <v>39</v>
      </c>
      <c r="C276" s="4" t="s">
        <v>40</v>
      </c>
      <c r="D276" s="4" t="s">
        <v>41</v>
      </c>
      <c r="E276" s="4" t="s">
        <v>25</v>
      </c>
      <c r="F276" s="4" t="s">
        <v>25</v>
      </c>
      <c r="G276" s="4" t="s">
        <v>25</v>
      </c>
      <c r="H276" s="4" t="s">
        <v>34</v>
      </c>
      <c r="I276" s="5">
        <v>44501</v>
      </c>
      <c r="J276" s="6">
        <v>0</v>
      </c>
      <c r="K276" s="6">
        <v>0</v>
      </c>
      <c r="L276" s="6">
        <v>1.6439999999999999</v>
      </c>
      <c r="M276" s="6">
        <v>1.6439999999999999</v>
      </c>
      <c r="N276" s="6">
        <v>1.6439999999999999</v>
      </c>
      <c r="O276" s="6">
        <v>1.6439999999999999</v>
      </c>
      <c r="P276" s="6">
        <v>0</v>
      </c>
      <c r="Q276" s="4" t="s">
        <v>26</v>
      </c>
      <c r="R276" s="4">
        <v>0</v>
      </c>
      <c r="S276" s="4" t="s">
        <v>172</v>
      </c>
      <c r="T276" s="4" t="s">
        <v>413</v>
      </c>
      <c r="U276" s="4">
        <v>0</v>
      </c>
      <c r="V276" s="4">
        <v>7</v>
      </c>
      <c r="W276" s="4">
        <v>48</v>
      </c>
    </row>
    <row r="277" spans="1:23" ht="11.25" customHeight="1" x14ac:dyDescent="0.25">
      <c r="A277" s="4" t="s">
        <v>21</v>
      </c>
      <c r="B277" s="4" t="s">
        <v>39</v>
      </c>
      <c r="C277" s="4" t="s">
        <v>40</v>
      </c>
      <c r="D277" s="4" t="s">
        <v>41</v>
      </c>
      <c r="E277" s="4" t="s">
        <v>25</v>
      </c>
      <c r="F277" s="4" t="s">
        <v>25</v>
      </c>
      <c r="G277" s="4" t="s">
        <v>25</v>
      </c>
      <c r="H277" s="4" t="s">
        <v>34</v>
      </c>
      <c r="I277" s="5">
        <v>44531</v>
      </c>
      <c r="J277" s="6">
        <v>0</v>
      </c>
      <c r="K277" s="6">
        <v>0</v>
      </c>
      <c r="L277" s="6">
        <v>52.856999999999999</v>
      </c>
      <c r="M277" s="6">
        <v>52.856999999999999</v>
      </c>
      <c r="N277" s="6">
        <v>52.856999999999999</v>
      </c>
      <c r="O277" s="6">
        <v>52.856999999999999</v>
      </c>
      <c r="P277" s="6">
        <v>0</v>
      </c>
      <c r="Q277" s="4" t="s">
        <v>26</v>
      </c>
      <c r="R277" s="4">
        <v>0</v>
      </c>
      <c r="S277" s="4" t="s">
        <v>173</v>
      </c>
      <c r="T277" s="4" t="s">
        <v>414</v>
      </c>
      <c r="U277" s="4">
        <v>0</v>
      </c>
      <c r="V277" s="4">
        <v>7</v>
      </c>
      <c r="W277" s="4">
        <v>48</v>
      </c>
    </row>
    <row r="278" spans="1:23" ht="11.25" customHeight="1" x14ac:dyDescent="0.25">
      <c r="A278" s="4" t="s">
        <v>28</v>
      </c>
      <c r="B278" s="4" t="s">
        <v>39</v>
      </c>
      <c r="C278" s="4" t="s">
        <v>40</v>
      </c>
      <c r="D278" s="4" t="s">
        <v>41</v>
      </c>
      <c r="E278" s="4" t="s">
        <v>25</v>
      </c>
      <c r="F278" s="4" t="s">
        <v>25</v>
      </c>
      <c r="G278" s="4" t="s">
        <v>25</v>
      </c>
      <c r="H278" s="4" t="s">
        <v>34</v>
      </c>
      <c r="I278" s="5">
        <v>44531</v>
      </c>
      <c r="J278" s="6">
        <v>0</v>
      </c>
      <c r="K278" s="6">
        <v>0</v>
      </c>
      <c r="L278" s="6">
        <v>2.1280000000000001</v>
      </c>
      <c r="M278" s="6">
        <v>2.1280000000000001</v>
      </c>
      <c r="N278" s="6">
        <v>2.1280000000000001</v>
      </c>
      <c r="O278" s="6">
        <v>2.1280000000000001</v>
      </c>
      <c r="P278" s="6">
        <v>0</v>
      </c>
      <c r="Q278" s="4" t="s">
        <v>26</v>
      </c>
      <c r="R278" s="4">
        <v>0</v>
      </c>
      <c r="S278" s="4" t="s">
        <v>173</v>
      </c>
      <c r="T278" s="4" t="s">
        <v>414</v>
      </c>
      <c r="U278" s="4">
        <v>0</v>
      </c>
      <c r="V278" s="4">
        <v>7</v>
      </c>
      <c r="W278" s="4">
        <v>48</v>
      </c>
    </row>
    <row r="279" spans="1:23" ht="11.25" customHeight="1" x14ac:dyDescent="0.25">
      <c r="A279" s="4" t="s">
        <v>21</v>
      </c>
      <c r="B279" s="4" t="s">
        <v>39</v>
      </c>
      <c r="C279" s="4" t="s">
        <v>40</v>
      </c>
      <c r="D279" s="4" t="s">
        <v>41</v>
      </c>
      <c r="E279" s="4" t="s">
        <v>25</v>
      </c>
      <c r="F279" s="4" t="s">
        <v>25</v>
      </c>
      <c r="G279" s="4" t="s">
        <v>25</v>
      </c>
      <c r="H279" s="4" t="s">
        <v>34</v>
      </c>
      <c r="I279" s="5">
        <v>44562</v>
      </c>
      <c r="J279" s="6">
        <v>0</v>
      </c>
      <c r="K279" s="6">
        <v>0</v>
      </c>
      <c r="L279" s="6">
        <v>45.36</v>
      </c>
      <c r="M279" s="6">
        <v>45.36</v>
      </c>
      <c r="N279" s="6">
        <v>45.36</v>
      </c>
      <c r="O279" s="6">
        <v>45.36</v>
      </c>
      <c r="P279" s="6">
        <v>0</v>
      </c>
      <c r="Q279" s="4" t="s">
        <v>26</v>
      </c>
      <c r="R279" s="4">
        <v>0</v>
      </c>
      <c r="S279" s="4" t="s">
        <v>174</v>
      </c>
      <c r="T279" s="4" t="s">
        <v>415</v>
      </c>
      <c r="U279" s="4">
        <v>0</v>
      </c>
      <c r="V279" s="4">
        <v>7</v>
      </c>
      <c r="W279" s="4">
        <v>48</v>
      </c>
    </row>
    <row r="280" spans="1:23" ht="11.25" customHeight="1" x14ac:dyDescent="0.25">
      <c r="A280" s="4" t="s">
        <v>28</v>
      </c>
      <c r="B280" s="4" t="s">
        <v>39</v>
      </c>
      <c r="C280" s="4" t="s">
        <v>40</v>
      </c>
      <c r="D280" s="4" t="s">
        <v>41</v>
      </c>
      <c r="E280" s="4" t="s">
        <v>25</v>
      </c>
      <c r="F280" s="4" t="s">
        <v>25</v>
      </c>
      <c r="G280" s="4" t="s">
        <v>25</v>
      </c>
      <c r="H280" s="4" t="s">
        <v>34</v>
      </c>
      <c r="I280" s="5">
        <v>44562</v>
      </c>
      <c r="J280" s="6">
        <v>0</v>
      </c>
      <c r="K280" s="6">
        <v>0</v>
      </c>
      <c r="L280" s="6">
        <v>1.5409999999999999</v>
      </c>
      <c r="M280" s="6">
        <v>1.5409999999999999</v>
      </c>
      <c r="N280" s="6">
        <v>1.5409999999999999</v>
      </c>
      <c r="O280" s="6">
        <v>1.5409999999999999</v>
      </c>
      <c r="P280" s="6">
        <v>0</v>
      </c>
      <c r="Q280" s="4" t="s">
        <v>26</v>
      </c>
      <c r="R280" s="4">
        <v>0</v>
      </c>
      <c r="S280" s="4" t="s">
        <v>174</v>
      </c>
      <c r="T280" s="4" t="s">
        <v>415</v>
      </c>
      <c r="U280" s="4">
        <v>0</v>
      </c>
      <c r="V280" s="4">
        <v>7</v>
      </c>
      <c r="W280" s="4">
        <v>48</v>
      </c>
    </row>
    <row r="281" spans="1:23" ht="11.25" customHeight="1" x14ac:dyDescent="0.25">
      <c r="A281" s="4" t="s">
        <v>21</v>
      </c>
      <c r="B281" s="4" t="s">
        <v>39</v>
      </c>
      <c r="C281" s="4" t="s">
        <v>40</v>
      </c>
      <c r="D281" s="4" t="s">
        <v>41</v>
      </c>
      <c r="E281" s="4" t="s">
        <v>25</v>
      </c>
      <c r="F281" s="4" t="s">
        <v>25</v>
      </c>
      <c r="G281" s="4" t="s">
        <v>25</v>
      </c>
      <c r="H281" s="4" t="s">
        <v>34</v>
      </c>
      <c r="I281" s="5">
        <v>44593</v>
      </c>
      <c r="J281" s="6">
        <v>0</v>
      </c>
      <c r="K281" s="6">
        <v>0</v>
      </c>
      <c r="L281" s="6">
        <v>60.969000000000001</v>
      </c>
      <c r="M281" s="6">
        <v>60.969000000000001</v>
      </c>
      <c r="N281" s="6">
        <v>60.969000000000001</v>
      </c>
      <c r="O281" s="6">
        <v>60.969000000000001</v>
      </c>
      <c r="P281" s="6">
        <v>0</v>
      </c>
      <c r="Q281" s="4" t="s">
        <v>26</v>
      </c>
      <c r="R281" s="4">
        <v>0</v>
      </c>
      <c r="S281" s="4" t="s">
        <v>175</v>
      </c>
      <c r="T281" s="4" t="s">
        <v>416</v>
      </c>
      <c r="U281" s="4">
        <v>0</v>
      </c>
      <c r="V281" s="4">
        <v>7</v>
      </c>
      <c r="W281" s="4">
        <v>48</v>
      </c>
    </row>
    <row r="282" spans="1:23" ht="11.25" customHeight="1" x14ac:dyDescent="0.25">
      <c r="A282" s="4" t="s">
        <v>28</v>
      </c>
      <c r="B282" s="4" t="s">
        <v>39</v>
      </c>
      <c r="C282" s="4" t="s">
        <v>40</v>
      </c>
      <c r="D282" s="4" t="s">
        <v>41</v>
      </c>
      <c r="E282" s="4" t="s">
        <v>25</v>
      </c>
      <c r="F282" s="4" t="s">
        <v>25</v>
      </c>
      <c r="G282" s="4" t="s">
        <v>25</v>
      </c>
      <c r="H282" s="4" t="s">
        <v>34</v>
      </c>
      <c r="I282" s="5">
        <v>44593</v>
      </c>
      <c r="J282" s="6">
        <v>0</v>
      </c>
      <c r="K282" s="6">
        <v>0</v>
      </c>
      <c r="L282" s="6">
        <v>0.95899999999999996</v>
      </c>
      <c r="M282" s="6">
        <v>0.95899999999999996</v>
      </c>
      <c r="N282" s="6">
        <v>0.95899999999999996</v>
      </c>
      <c r="O282" s="6">
        <v>0.95899999999999996</v>
      </c>
      <c r="P282" s="6">
        <v>0</v>
      </c>
      <c r="Q282" s="4" t="s">
        <v>26</v>
      </c>
      <c r="R282" s="4">
        <v>0</v>
      </c>
      <c r="S282" s="4" t="s">
        <v>175</v>
      </c>
      <c r="T282" s="4" t="s">
        <v>416</v>
      </c>
      <c r="U282" s="4">
        <v>0</v>
      </c>
      <c r="V282" s="4">
        <v>7</v>
      </c>
      <c r="W282" s="4">
        <v>48</v>
      </c>
    </row>
    <row r="283" spans="1:23" ht="11.25" customHeight="1" x14ac:dyDescent="0.25">
      <c r="A283" s="4" t="s">
        <v>21</v>
      </c>
      <c r="B283" s="4" t="s">
        <v>39</v>
      </c>
      <c r="C283" s="4" t="s">
        <v>40</v>
      </c>
      <c r="D283" s="4" t="s">
        <v>41</v>
      </c>
      <c r="E283" s="4" t="s">
        <v>25</v>
      </c>
      <c r="F283" s="4" t="s">
        <v>25</v>
      </c>
      <c r="G283" s="4" t="s">
        <v>25</v>
      </c>
      <c r="H283" s="4" t="s">
        <v>34</v>
      </c>
      <c r="I283" s="5">
        <v>44621</v>
      </c>
      <c r="J283" s="6">
        <v>0</v>
      </c>
      <c r="K283" s="6">
        <v>0</v>
      </c>
      <c r="L283" s="6">
        <v>71.149000000000001</v>
      </c>
      <c r="M283" s="6">
        <v>71.149000000000001</v>
      </c>
      <c r="N283" s="6">
        <v>71.149000000000001</v>
      </c>
      <c r="O283" s="6">
        <v>71.149000000000001</v>
      </c>
      <c r="P283" s="6">
        <v>0</v>
      </c>
      <c r="Q283" s="4" t="s">
        <v>26</v>
      </c>
      <c r="R283" s="4">
        <v>0</v>
      </c>
      <c r="S283" s="4" t="s">
        <v>176</v>
      </c>
      <c r="T283" s="4" t="s">
        <v>417</v>
      </c>
      <c r="U283" s="4">
        <v>0</v>
      </c>
      <c r="V283" s="4">
        <v>7</v>
      </c>
      <c r="W283" s="4">
        <v>48</v>
      </c>
    </row>
    <row r="284" spans="1:23" ht="11.25" customHeight="1" x14ac:dyDescent="0.25">
      <c r="A284" s="4" t="s">
        <v>28</v>
      </c>
      <c r="B284" s="4" t="s">
        <v>39</v>
      </c>
      <c r="C284" s="4" t="s">
        <v>40</v>
      </c>
      <c r="D284" s="4" t="s">
        <v>41</v>
      </c>
      <c r="E284" s="4" t="s">
        <v>25</v>
      </c>
      <c r="F284" s="4" t="s">
        <v>25</v>
      </c>
      <c r="G284" s="4" t="s">
        <v>25</v>
      </c>
      <c r="H284" s="4" t="s">
        <v>34</v>
      </c>
      <c r="I284" s="5">
        <v>44621</v>
      </c>
      <c r="J284" s="6">
        <v>0</v>
      </c>
      <c r="K284" s="6">
        <v>0</v>
      </c>
      <c r="L284" s="6">
        <v>1.4330000000000001</v>
      </c>
      <c r="M284" s="6">
        <v>1.4330000000000001</v>
      </c>
      <c r="N284" s="6">
        <v>1.4330000000000001</v>
      </c>
      <c r="O284" s="6">
        <v>1.4330000000000001</v>
      </c>
      <c r="P284" s="6">
        <v>0</v>
      </c>
      <c r="Q284" s="4" t="s">
        <v>26</v>
      </c>
      <c r="R284" s="4">
        <v>0</v>
      </c>
      <c r="S284" s="4" t="s">
        <v>176</v>
      </c>
      <c r="T284" s="4" t="s">
        <v>417</v>
      </c>
      <c r="U284" s="4">
        <v>0</v>
      </c>
      <c r="V284" s="4">
        <v>7</v>
      </c>
      <c r="W284" s="4">
        <v>48</v>
      </c>
    </row>
    <row r="285" spans="1:23" ht="11.25" customHeight="1" x14ac:dyDescent="0.25">
      <c r="A285" s="4" t="s">
        <v>21</v>
      </c>
      <c r="B285" s="4" t="s">
        <v>39</v>
      </c>
      <c r="C285" s="4" t="s">
        <v>40</v>
      </c>
      <c r="D285" s="4" t="s">
        <v>41</v>
      </c>
      <c r="E285" s="4" t="s">
        <v>25</v>
      </c>
      <c r="F285" s="4" t="s">
        <v>25</v>
      </c>
      <c r="G285" s="4" t="s">
        <v>25</v>
      </c>
      <c r="H285" s="4" t="s">
        <v>34</v>
      </c>
      <c r="I285" s="5">
        <v>44652</v>
      </c>
      <c r="J285" s="6">
        <v>0</v>
      </c>
      <c r="K285" s="6">
        <v>0</v>
      </c>
      <c r="L285" s="6">
        <v>64.92</v>
      </c>
      <c r="M285" s="6">
        <v>64.92</v>
      </c>
      <c r="N285" s="6">
        <v>64.92</v>
      </c>
      <c r="O285" s="6">
        <v>64.92</v>
      </c>
      <c r="P285" s="6">
        <v>0</v>
      </c>
      <c r="Q285" s="4" t="s">
        <v>26</v>
      </c>
      <c r="R285" s="4">
        <v>0</v>
      </c>
      <c r="S285" s="4" t="s">
        <v>177</v>
      </c>
      <c r="T285" s="4" t="s">
        <v>418</v>
      </c>
      <c r="U285" s="4">
        <v>0</v>
      </c>
      <c r="V285" s="4">
        <v>7</v>
      </c>
      <c r="W285" s="4">
        <v>48</v>
      </c>
    </row>
    <row r="286" spans="1:23" ht="11.25" customHeight="1" x14ac:dyDescent="0.25">
      <c r="A286" s="4" t="s">
        <v>28</v>
      </c>
      <c r="B286" s="4" t="s">
        <v>39</v>
      </c>
      <c r="C286" s="4" t="s">
        <v>40</v>
      </c>
      <c r="D286" s="4" t="s">
        <v>41</v>
      </c>
      <c r="E286" s="4" t="s">
        <v>25</v>
      </c>
      <c r="F286" s="4" t="s">
        <v>25</v>
      </c>
      <c r="G286" s="4" t="s">
        <v>25</v>
      </c>
      <c r="H286" s="4" t="s">
        <v>34</v>
      </c>
      <c r="I286" s="5">
        <v>44652</v>
      </c>
      <c r="J286" s="6">
        <v>0</v>
      </c>
      <c r="K286" s="6">
        <v>0</v>
      </c>
      <c r="L286" s="6">
        <v>1.919</v>
      </c>
      <c r="M286" s="6">
        <v>1.919</v>
      </c>
      <c r="N286" s="6">
        <v>1.919</v>
      </c>
      <c r="O286" s="6">
        <v>1.919</v>
      </c>
      <c r="P286" s="6">
        <v>0</v>
      </c>
      <c r="Q286" s="4" t="s">
        <v>26</v>
      </c>
      <c r="R286" s="4">
        <v>0</v>
      </c>
      <c r="S286" s="4" t="s">
        <v>177</v>
      </c>
      <c r="T286" s="4" t="s">
        <v>418</v>
      </c>
      <c r="U286" s="4">
        <v>0</v>
      </c>
      <c r="V286" s="4">
        <v>7</v>
      </c>
      <c r="W286" s="4">
        <v>48</v>
      </c>
    </row>
    <row r="287" spans="1:23" ht="11.25" customHeight="1" x14ac:dyDescent="0.25">
      <c r="A287" s="4" t="s">
        <v>21</v>
      </c>
      <c r="B287" s="4" t="s">
        <v>39</v>
      </c>
      <c r="C287" s="4" t="s">
        <v>40</v>
      </c>
      <c r="D287" s="4" t="s">
        <v>41</v>
      </c>
      <c r="E287" s="4" t="s">
        <v>25</v>
      </c>
      <c r="F287" s="4" t="s">
        <v>25</v>
      </c>
      <c r="G287" s="4" t="s">
        <v>25</v>
      </c>
      <c r="H287" s="4" t="s">
        <v>34</v>
      </c>
      <c r="I287" s="5">
        <v>44682</v>
      </c>
      <c r="J287" s="6">
        <v>0</v>
      </c>
      <c r="K287" s="6">
        <v>0</v>
      </c>
      <c r="L287" s="6">
        <v>46.058999999999997</v>
      </c>
      <c r="M287" s="6">
        <v>46.058999999999997</v>
      </c>
      <c r="N287" s="6">
        <v>46.058999999999997</v>
      </c>
      <c r="O287" s="6">
        <v>46.058999999999997</v>
      </c>
      <c r="P287" s="6">
        <v>0</v>
      </c>
      <c r="Q287" s="4" t="s">
        <v>26</v>
      </c>
      <c r="R287" s="4">
        <v>0</v>
      </c>
      <c r="S287" s="4" t="s">
        <v>178</v>
      </c>
      <c r="T287" s="4" t="s">
        <v>419</v>
      </c>
      <c r="U287" s="4">
        <v>0</v>
      </c>
      <c r="V287" s="4">
        <v>7</v>
      </c>
      <c r="W287" s="4">
        <v>48</v>
      </c>
    </row>
    <row r="288" spans="1:23" ht="11.25" customHeight="1" x14ac:dyDescent="0.25">
      <c r="A288" s="4" t="s">
        <v>28</v>
      </c>
      <c r="B288" s="4" t="s">
        <v>39</v>
      </c>
      <c r="C288" s="4" t="s">
        <v>40</v>
      </c>
      <c r="D288" s="4" t="s">
        <v>41</v>
      </c>
      <c r="E288" s="4" t="s">
        <v>25</v>
      </c>
      <c r="F288" s="4" t="s">
        <v>25</v>
      </c>
      <c r="G288" s="4" t="s">
        <v>25</v>
      </c>
      <c r="H288" s="4" t="s">
        <v>34</v>
      </c>
      <c r="I288" s="5">
        <v>44682</v>
      </c>
      <c r="J288" s="6">
        <v>0</v>
      </c>
      <c r="K288" s="6">
        <v>0</v>
      </c>
      <c r="L288" s="6">
        <v>1.7290000000000001</v>
      </c>
      <c r="M288" s="6">
        <v>1.7290000000000001</v>
      </c>
      <c r="N288" s="6">
        <v>1.7290000000000001</v>
      </c>
      <c r="O288" s="6">
        <v>1.7290000000000001</v>
      </c>
      <c r="P288" s="6">
        <v>0</v>
      </c>
      <c r="Q288" s="4" t="s">
        <v>26</v>
      </c>
      <c r="R288" s="4">
        <v>0</v>
      </c>
      <c r="S288" s="4" t="s">
        <v>178</v>
      </c>
      <c r="T288" s="4" t="s">
        <v>419</v>
      </c>
      <c r="U288" s="4">
        <v>0</v>
      </c>
      <c r="V288" s="4">
        <v>7</v>
      </c>
      <c r="W288" s="4">
        <v>48</v>
      </c>
    </row>
    <row r="289" spans="1:23" ht="11.25" customHeight="1" x14ac:dyDescent="0.25">
      <c r="A289" s="4" t="s">
        <v>21</v>
      </c>
      <c r="B289" s="4" t="s">
        <v>39</v>
      </c>
      <c r="C289" s="4" t="s">
        <v>40</v>
      </c>
      <c r="D289" s="4" t="s">
        <v>41</v>
      </c>
      <c r="E289" s="4" t="s">
        <v>25</v>
      </c>
      <c r="F289" s="4" t="s">
        <v>25</v>
      </c>
      <c r="G289" s="4" t="s">
        <v>25</v>
      </c>
      <c r="H289" s="4" t="s">
        <v>34</v>
      </c>
      <c r="I289" s="5">
        <v>44713</v>
      </c>
      <c r="J289" s="6">
        <v>0</v>
      </c>
      <c r="K289" s="6">
        <v>0</v>
      </c>
      <c r="L289" s="6">
        <v>49.101999999999997</v>
      </c>
      <c r="M289" s="6">
        <v>49.101999999999997</v>
      </c>
      <c r="N289" s="6">
        <v>49.101999999999997</v>
      </c>
      <c r="O289" s="6">
        <v>49.101999999999997</v>
      </c>
      <c r="P289" s="6">
        <v>0</v>
      </c>
      <c r="Q289" s="4" t="s">
        <v>26</v>
      </c>
      <c r="R289" s="4">
        <v>0</v>
      </c>
      <c r="S289" s="4" t="s">
        <v>179</v>
      </c>
      <c r="T289" s="4" t="s">
        <v>420</v>
      </c>
      <c r="U289" s="4">
        <v>0</v>
      </c>
      <c r="V289" s="4">
        <v>7</v>
      </c>
      <c r="W289" s="4">
        <v>48</v>
      </c>
    </row>
    <row r="290" spans="1:23" ht="11.25" customHeight="1" x14ac:dyDescent="0.25">
      <c r="A290" s="4" t="s">
        <v>28</v>
      </c>
      <c r="B290" s="4" t="s">
        <v>39</v>
      </c>
      <c r="C290" s="4" t="s">
        <v>40</v>
      </c>
      <c r="D290" s="4" t="s">
        <v>41</v>
      </c>
      <c r="E290" s="4" t="s">
        <v>25</v>
      </c>
      <c r="F290" s="4" t="s">
        <v>25</v>
      </c>
      <c r="G290" s="4" t="s">
        <v>25</v>
      </c>
      <c r="H290" s="4" t="s">
        <v>34</v>
      </c>
      <c r="I290" s="5">
        <v>44713</v>
      </c>
      <c r="J290" s="6">
        <v>0</v>
      </c>
      <c r="K290" s="6">
        <v>0</v>
      </c>
      <c r="L290" s="6">
        <v>1.7809999999999999</v>
      </c>
      <c r="M290" s="6">
        <v>1.7809999999999999</v>
      </c>
      <c r="N290" s="6">
        <v>1.7809999999999999</v>
      </c>
      <c r="O290" s="6">
        <v>1.7809999999999999</v>
      </c>
      <c r="P290" s="6">
        <v>0</v>
      </c>
      <c r="Q290" s="4" t="s">
        <v>26</v>
      </c>
      <c r="R290" s="4">
        <v>0</v>
      </c>
      <c r="S290" s="4" t="s">
        <v>179</v>
      </c>
      <c r="T290" s="4" t="s">
        <v>420</v>
      </c>
      <c r="U290" s="4">
        <v>0</v>
      </c>
      <c r="V290" s="4">
        <v>7</v>
      </c>
      <c r="W290" s="4">
        <v>48</v>
      </c>
    </row>
    <row r="291" spans="1:23" ht="11.25" customHeight="1" x14ac:dyDescent="0.25">
      <c r="A291" s="4" t="s">
        <v>21</v>
      </c>
      <c r="B291" s="4" t="s">
        <v>39</v>
      </c>
      <c r="C291" s="4" t="s">
        <v>40</v>
      </c>
      <c r="D291" s="4" t="s">
        <v>41</v>
      </c>
      <c r="E291" s="4" t="s">
        <v>25</v>
      </c>
      <c r="F291" s="4" t="s">
        <v>25</v>
      </c>
      <c r="G291" s="4" t="s">
        <v>25</v>
      </c>
      <c r="H291" s="4" t="s">
        <v>34</v>
      </c>
      <c r="I291" s="5">
        <v>44743</v>
      </c>
      <c r="J291" s="6">
        <v>0</v>
      </c>
      <c r="K291" s="6">
        <v>0</v>
      </c>
      <c r="L291" s="6">
        <v>42.006</v>
      </c>
      <c r="M291" s="6">
        <v>42.006</v>
      </c>
      <c r="N291" s="6">
        <v>42.006</v>
      </c>
      <c r="O291" s="6">
        <v>42.006</v>
      </c>
      <c r="P291" s="6">
        <v>0</v>
      </c>
      <c r="Q291" s="4" t="s">
        <v>26</v>
      </c>
      <c r="R291" s="4">
        <v>0</v>
      </c>
      <c r="S291" s="4" t="s">
        <v>180</v>
      </c>
      <c r="T291" s="4" t="s">
        <v>421</v>
      </c>
      <c r="U291" s="4">
        <v>0</v>
      </c>
      <c r="V291" s="4">
        <v>7</v>
      </c>
      <c r="W291" s="4">
        <v>48</v>
      </c>
    </row>
    <row r="292" spans="1:23" ht="11.25" customHeight="1" x14ac:dyDescent="0.25">
      <c r="A292" s="4" t="s">
        <v>28</v>
      </c>
      <c r="B292" s="4" t="s">
        <v>39</v>
      </c>
      <c r="C292" s="4" t="s">
        <v>40</v>
      </c>
      <c r="D292" s="4" t="s">
        <v>41</v>
      </c>
      <c r="E292" s="4" t="s">
        <v>25</v>
      </c>
      <c r="F292" s="4" t="s">
        <v>25</v>
      </c>
      <c r="G292" s="4" t="s">
        <v>25</v>
      </c>
      <c r="H292" s="4" t="s">
        <v>34</v>
      </c>
      <c r="I292" s="5">
        <v>44743</v>
      </c>
      <c r="J292" s="6">
        <v>0</v>
      </c>
      <c r="K292" s="6">
        <v>0</v>
      </c>
      <c r="L292" s="6">
        <v>1.744</v>
      </c>
      <c r="M292" s="6">
        <v>1.744</v>
      </c>
      <c r="N292" s="6">
        <v>1.744</v>
      </c>
      <c r="O292" s="6">
        <v>1.744</v>
      </c>
      <c r="P292" s="6">
        <v>0</v>
      </c>
      <c r="Q292" s="4" t="s">
        <v>26</v>
      </c>
      <c r="R292" s="4">
        <v>0</v>
      </c>
      <c r="S292" s="4" t="s">
        <v>180</v>
      </c>
      <c r="T292" s="4" t="s">
        <v>421</v>
      </c>
      <c r="U292" s="4">
        <v>0</v>
      </c>
      <c r="V292" s="4">
        <v>7</v>
      </c>
      <c r="W292" s="4">
        <v>48</v>
      </c>
    </row>
    <row r="293" spans="1:23" ht="11.25" customHeight="1" x14ac:dyDescent="0.25">
      <c r="A293" s="4" t="s">
        <v>56</v>
      </c>
      <c r="B293" s="4" t="s">
        <v>39</v>
      </c>
      <c r="C293" s="4" t="s">
        <v>40</v>
      </c>
      <c r="D293" s="4" t="s">
        <v>41</v>
      </c>
      <c r="E293" s="4" t="s">
        <v>25</v>
      </c>
      <c r="F293" s="4" t="s">
        <v>25</v>
      </c>
      <c r="G293" s="4" t="s">
        <v>25</v>
      </c>
      <c r="H293" s="4" t="s">
        <v>34</v>
      </c>
      <c r="I293" s="5">
        <v>44774</v>
      </c>
      <c r="J293" s="6">
        <v>0</v>
      </c>
      <c r="K293" s="6">
        <v>0</v>
      </c>
      <c r="L293" s="6">
        <v>42.006</v>
      </c>
      <c r="M293" s="6">
        <v>42.006</v>
      </c>
      <c r="N293" s="6">
        <v>42.006</v>
      </c>
      <c r="O293" s="6">
        <v>42.006</v>
      </c>
      <c r="P293" s="6">
        <v>0</v>
      </c>
      <c r="Q293" s="4" t="s">
        <v>26</v>
      </c>
      <c r="R293" s="4">
        <v>0</v>
      </c>
      <c r="S293" s="4" t="s">
        <v>181</v>
      </c>
      <c r="T293" s="4" t="s">
        <v>422</v>
      </c>
      <c r="U293" s="4">
        <v>0</v>
      </c>
      <c r="V293" s="4">
        <v>7</v>
      </c>
      <c r="W293" s="4">
        <v>48</v>
      </c>
    </row>
    <row r="294" spans="1:23" ht="11.25" customHeight="1" x14ac:dyDescent="0.25">
      <c r="A294" s="4" t="s">
        <v>56</v>
      </c>
      <c r="B294" s="4" t="s">
        <v>39</v>
      </c>
      <c r="C294" s="4" t="s">
        <v>40</v>
      </c>
      <c r="D294" s="4" t="s">
        <v>41</v>
      </c>
      <c r="E294" s="4" t="s">
        <v>25</v>
      </c>
      <c r="F294" s="4" t="s">
        <v>25</v>
      </c>
      <c r="G294" s="4" t="s">
        <v>25</v>
      </c>
      <c r="H294" s="4" t="s">
        <v>34</v>
      </c>
      <c r="I294" s="5">
        <v>44774</v>
      </c>
      <c r="J294" s="6">
        <v>0</v>
      </c>
      <c r="K294" s="6">
        <v>0</v>
      </c>
      <c r="L294" s="6">
        <v>1.744</v>
      </c>
      <c r="M294" s="6">
        <v>1.744</v>
      </c>
      <c r="N294" s="6">
        <v>1.744</v>
      </c>
      <c r="O294" s="6">
        <v>1.744</v>
      </c>
      <c r="P294" s="6">
        <v>0</v>
      </c>
      <c r="Q294" s="4" t="s">
        <v>26</v>
      </c>
      <c r="R294" s="4">
        <v>0</v>
      </c>
      <c r="S294" s="4" t="s">
        <v>181</v>
      </c>
      <c r="T294" s="4" t="s">
        <v>422</v>
      </c>
      <c r="U294" s="4">
        <v>0</v>
      </c>
      <c r="V294" s="4">
        <v>7</v>
      </c>
      <c r="W294" s="4">
        <v>48</v>
      </c>
    </row>
    <row r="295" spans="1:23" ht="11.25" customHeight="1" x14ac:dyDescent="0.25">
      <c r="A295" s="4" t="s">
        <v>21</v>
      </c>
      <c r="B295" s="4" t="s">
        <v>39</v>
      </c>
      <c r="C295" s="4" t="s">
        <v>40</v>
      </c>
      <c r="D295" s="4" t="s">
        <v>51</v>
      </c>
      <c r="E295" s="4" t="s">
        <v>25</v>
      </c>
      <c r="F295" s="4" t="s">
        <v>25</v>
      </c>
      <c r="G295" s="4" t="s">
        <v>25</v>
      </c>
      <c r="H295" s="4" t="s">
        <v>35</v>
      </c>
      <c r="I295" s="5">
        <v>44440</v>
      </c>
      <c r="J295" s="6">
        <v>0</v>
      </c>
      <c r="K295" s="6">
        <v>0</v>
      </c>
      <c r="L295" s="6">
        <v>12.88</v>
      </c>
      <c r="M295" s="6">
        <v>12.88</v>
      </c>
      <c r="N295" s="6">
        <v>12.88</v>
      </c>
      <c r="O295" s="6">
        <v>12.88</v>
      </c>
      <c r="P295" s="6">
        <v>0</v>
      </c>
      <c r="Q295" s="4" t="s">
        <v>26</v>
      </c>
      <c r="R295" s="4">
        <v>0</v>
      </c>
      <c r="S295" s="4" t="s">
        <v>146</v>
      </c>
      <c r="T295" s="4" t="s">
        <v>399</v>
      </c>
      <c r="U295" s="4">
        <v>0</v>
      </c>
      <c r="V295" s="4">
        <v>8</v>
      </c>
      <c r="W295" s="4">
        <v>49</v>
      </c>
    </row>
    <row r="296" spans="1:23" ht="11.25" customHeight="1" x14ac:dyDescent="0.25">
      <c r="A296" s="4" t="s">
        <v>21</v>
      </c>
      <c r="B296" s="4" t="s">
        <v>39</v>
      </c>
      <c r="C296" s="4" t="s">
        <v>40</v>
      </c>
      <c r="D296" s="4" t="s">
        <v>51</v>
      </c>
      <c r="E296" s="4" t="s">
        <v>25</v>
      </c>
      <c r="F296" s="4" t="s">
        <v>25</v>
      </c>
      <c r="G296" s="4" t="s">
        <v>25</v>
      </c>
      <c r="H296" s="4" t="s">
        <v>35</v>
      </c>
      <c r="I296" s="5">
        <v>44470</v>
      </c>
      <c r="J296" s="6">
        <v>0</v>
      </c>
      <c r="K296" s="6">
        <v>0</v>
      </c>
      <c r="L296" s="6">
        <v>13.372</v>
      </c>
      <c r="M296" s="6">
        <v>13.372</v>
      </c>
      <c r="N296" s="6">
        <v>13.372</v>
      </c>
      <c r="O296" s="6">
        <v>13.372</v>
      </c>
      <c r="P296" s="6">
        <v>0</v>
      </c>
      <c r="Q296" s="4" t="s">
        <v>26</v>
      </c>
      <c r="R296" s="4">
        <v>0</v>
      </c>
      <c r="S296" s="4" t="s">
        <v>147</v>
      </c>
      <c r="T296" s="4" t="s">
        <v>400</v>
      </c>
      <c r="U296" s="4">
        <v>0</v>
      </c>
      <c r="V296" s="4">
        <v>8</v>
      </c>
      <c r="W296" s="4">
        <v>49</v>
      </c>
    </row>
    <row r="297" spans="1:23" ht="11.25" customHeight="1" x14ac:dyDescent="0.25">
      <c r="A297" s="4" t="s">
        <v>21</v>
      </c>
      <c r="B297" s="4" t="s">
        <v>39</v>
      </c>
      <c r="C297" s="4" t="s">
        <v>40</v>
      </c>
      <c r="D297" s="4" t="s">
        <v>51</v>
      </c>
      <c r="E297" s="4" t="s">
        <v>25</v>
      </c>
      <c r="F297" s="4" t="s">
        <v>25</v>
      </c>
      <c r="G297" s="4" t="s">
        <v>25</v>
      </c>
      <c r="H297" s="4" t="s">
        <v>35</v>
      </c>
      <c r="I297" s="5">
        <v>44501</v>
      </c>
      <c r="J297" s="6">
        <v>0</v>
      </c>
      <c r="K297" s="6">
        <v>0</v>
      </c>
      <c r="L297" s="6">
        <v>12.840999999999999</v>
      </c>
      <c r="M297" s="6">
        <v>12.840999999999999</v>
      </c>
      <c r="N297" s="6">
        <v>12.840999999999999</v>
      </c>
      <c r="O297" s="6">
        <v>12.840999999999999</v>
      </c>
      <c r="P297" s="6">
        <v>0</v>
      </c>
      <c r="Q297" s="4" t="s">
        <v>26</v>
      </c>
      <c r="R297" s="4">
        <v>0</v>
      </c>
      <c r="S297" s="4" t="s">
        <v>148</v>
      </c>
      <c r="T297" s="4" t="s">
        <v>401</v>
      </c>
      <c r="U297" s="4">
        <v>0</v>
      </c>
      <c r="V297" s="4">
        <v>8</v>
      </c>
      <c r="W297" s="4">
        <v>49</v>
      </c>
    </row>
    <row r="298" spans="1:23" ht="11.25" customHeight="1" x14ac:dyDescent="0.25">
      <c r="A298" s="4" t="s">
        <v>21</v>
      </c>
      <c r="B298" s="4" t="s">
        <v>39</v>
      </c>
      <c r="C298" s="4" t="s">
        <v>40</v>
      </c>
      <c r="D298" s="4" t="s">
        <v>51</v>
      </c>
      <c r="E298" s="4" t="s">
        <v>25</v>
      </c>
      <c r="F298" s="4" t="s">
        <v>25</v>
      </c>
      <c r="G298" s="4" t="s">
        <v>25</v>
      </c>
      <c r="H298" s="4" t="s">
        <v>35</v>
      </c>
      <c r="I298" s="5">
        <v>44531</v>
      </c>
      <c r="J298" s="6">
        <v>0</v>
      </c>
      <c r="K298" s="6">
        <v>0</v>
      </c>
      <c r="L298" s="6">
        <v>16.071999999999999</v>
      </c>
      <c r="M298" s="6">
        <v>16.071999999999999</v>
      </c>
      <c r="N298" s="6">
        <v>16.071999999999999</v>
      </c>
      <c r="O298" s="6">
        <v>16.071999999999999</v>
      </c>
      <c r="P298" s="6">
        <v>0</v>
      </c>
      <c r="Q298" s="4" t="s">
        <v>26</v>
      </c>
      <c r="R298" s="4">
        <v>0</v>
      </c>
      <c r="S298" s="4" t="s">
        <v>149</v>
      </c>
      <c r="T298" s="4" t="s">
        <v>402</v>
      </c>
      <c r="U298" s="4">
        <v>0</v>
      </c>
      <c r="V298" s="4">
        <v>8</v>
      </c>
      <c r="W298" s="4">
        <v>49</v>
      </c>
    </row>
    <row r="299" spans="1:23" ht="11.25" customHeight="1" x14ac:dyDescent="0.25">
      <c r="A299" s="4" t="s">
        <v>21</v>
      </c>
      <c r="B299" s="4" t="s">
        <v>39</v>
      </c>
      <c r="C299" s="4" t="s">
        <v>40</v>
      </c>
      <c r="D299" s="4" t="s">
        <v>51</v>
      </c>
      <c r="E299" s="4" t="s">
        <v>25</v>
      </c>
      <c r="F299" s="4" t="s">
        <v>25</v>
      </c>
      <c r="G299" s="4" t="s">
        <v>25</v>
      </c>
      <c r="H299" s="4" t="s">
        <v>35</v>
      </c>
      <c r="I299" s="5">
        <v>44562</v>
      </c>
      <c r="J299" s="6">
        <v>0</v>
      </c>
      <c r="K299" s="6">
        <v>0</v>
      </c>
      <c r="L299" s="6">
        <v>17.821000000000002</v>
      </c>
      <c r="M299" s="6">
        <v>17.821000000000002</v>
      </c>
      <c r="N299" s="6">
        <v>17.821000000000002</v>
      </c>
      <c r="O299" s="6">
        <v>17.821000000000002</v>
      </c>
      <c r="P299" s="6">
        <v>0</v>
      </c>
      <c r="Q299" s="4" t="s">
        <v>26</v>
      </c>
      <c r="R299" s="4">
        <v>0</v>
      </c>
      <c r="S299" s="4" t="s">
        <v>150</v>
      </c>
      <c r="T299" s="4" t="s">
        <v>403</v>
      </c>
      <c r="U299" s="4">
        <v>0</v>
      </c>
      <c r="V299" s="4">
        <v>8</v>
      </c>
      <c r="W299" s="4">
        <v>49</v>
      </c>
    </row>
    <row r="300" spans="1:23" ht="11.25" customHeight="1" x14ac:dyDescent="0.25">
      <c r="A300" s="4" t="s">
        <v>21</v>
      </c>
      <c r="B300" s="4" t="s">
        <v>39</v>
      </c>
      <c r="C300" s="4" t="s">
        <v>40</v>
      </c>
      <c r="D300" s="4" t="s">
        <v>51</v>
      </c>
      <c r="E300" s="4" t="s">
        <v>25</v>
      </c>
      <c r="F300" s="4" t="s">
        <v>25</v>
      </c>
      <c r="G300" s="4" t="s">
        <v>25</v>
      </c>
      <c r="H300" s="4" t="s">
        <v>35</v>
      </c>
      <c r="I300" s="5">
        <v>44593</v>
      </c>
      <c r="J300" s="6">
        <v>0</v>
      </c>
      <c r="K300" s="6">
        <v>0</v>
      </c>
      <c r="L300" s="6">
        <v>17.015999999999998</v>
      </c>
      <c r="M300" s="6">
        <v>17.015999999999998</v>
      </c>
      <c r="N300" s="6">
        <v>17.015999999999998</v>
      </c>
      <c r="O300" s="6">
        <v>17.015999999999998</v>
      </c>
      <c r="P300" s="6">
        <v>0</v>
      </c>
      <c r="Q300" s="4" t="s">
        <v>26</v>
      </c>
      <c r="R300" s="4">
        <v>0</v>
      </c>
      <c r="S300" s="4" t="s">
        <v>151</v>
      </c>
      <c r="T300" s="4" t="s">
        <v>404</v>
      </c>
      <c r="U300" s="4">
        <v>0</v>
      </c>
      <c r="V300" s="4">
        <v>8</v>
      </c>
      <c r="W300" s="4">
        <v>49</v>
      </c>
    </row>
    <row r="301" spans="1:23" ht="11.25" customHeight="1" x14ac:dyDescent="0.25">
      <c r="A301" s="4" t="s">
        <v>21</v>
      </c>
      <c r="B301" s="4" t="s">
        <v>39</v>
      </c>
      <c r="C301" s="4" t="s">
        <v>40</v>
      </c>
      <c r="D301" s="4" t="s">
        <v>51</v>
      </c>
      <c r="E301" s="4" t="s">
        <v>25</v>
      </c>
      <c r="F301" s="4" t="s">
        <v>25</v>
      </c>
      <c r="G301" s="4" t="s">
        <v>25</v>
      </c>
      <c r="H301" s="4" t="s">
        <v>35</v>
      </c>
      <c r="I301" s="5">
        <v>44621</v>
      </c>
      <c r="J301" s="6">
        <v>0</v>
      </c>
      <c r="K301" s="6">
        <v>0</v>
      </c>
      <c r="L301" s="6">
        <v>19.343</v>
      </c>
      <c r="M301" s="6">
        <v>19.343</v>
      </c>
      <c r="N301" s="6">
        <v>19.343</v>
      </c>
      <c r="O301" s="6">
        <v>19.343</v>
      </c>
      <c r="P301" s="6">
        <v>0</v>
      </c>
      <c r="Q301" s="4" t="s">
        <v>26</v>
      </c>
      <c r="R301" s="4">
        <v>0</v>
      </c>
      <c r="S301" s="4" t="s">
        <v>152</v>
      </c>
      <c r="T301" s="4" t="s">
        <v>405</v>
      </c>
      <c r="U301" s="4">
        <v>0</v>
      </c>
      <c r="V301" s="4">
        <v>8</v>
      </c>
      <c r="W301" s="4">
        <v>49</v>
      </c>
    </row>
    <row r="302" spans="1:23" ht="11.25" customHeight="1" x14ac:dyDescent="0.25">
      <c r="A302" s="4" t="s">
        <v>21</v>
      </c>
      <c r="B302" s="4" t="s">
        <v>39</v>
      </c>
      <c r="C302" s="4" t="s">
        <v>40</v>
      </c>
      <c r="D302" s="4" t="s">
        <v>51</v>
      </c>
      <c r="E302" s="4" t="s">
        <v>25</v>
      </c>
      <c r="F302" s="4" t="s">
        <v>25</v>
      </c>
      <c r="G302" s="4" t="s">
        <v>25</v>
      </c>
      <c r="H302" s="4" t="s">
        <v>35</v>
      </c>
      <c r="I302" s="5">
        <v>44652</v>
      </c>
      <c r="J302" s="6">
        <v>0</v>
      </c>
      <c r="K302" s="6">
        <v>0</v>
      </c>
      <c r="L302" s="6">
        <v>16.646000000000001</v>
      </c>
      <c r="M302" s="6">
        <v>16.646000000000001</v>
      </c>
      <c r="N302" s="6">
        <v>16.646000000000001</v>
      </c>
      <c r="O302" s="6">
        <v>16.646000000000001</v>
      </c>
      <c r="P302" s="6">
        <v>0</v>
      </c>
      <c r="Q302" s="4" t="s">
        <v>26</v>
      </c>
      <c r="R302" s="4">
        <v>0</v>
      </c>
      <c r="S302" s="4" t="s">
        <v>153</v>
      </c>
      <c r="T302" s="4" t="s">
        <v>406</v>
      </c>
      <c r="U302" s="4">
        <v>0</v>
      </c>
      <c r="V302" s="4">
        <v>8</v>
      </c>
      <c r="W302" s="4">
        <v>49</v>
      </c>
    </row>
    <row r="303" spans="1:23" ht="11.25" customHeight="1" x14ac:dyDescent="0.25">
      <c r="A303" s="4" t="s">
        <v>21</v>
      </c>
      <c r="B303" s="4" t="s">
        <v>39</v>
      </c>
      <c r="C303" s="4" t="s">
        <v>40</v>
      </c>
      <c r="D303" s="4" t="s">
        <v>51</v>
      </c>
      <c r="E303" s="4" t="s">
        <v>25</v>
      </c>
      <c r="F303" s="4" t="s">
        <v>25</v>
      </c>
      <c r="G303" s="4" t="s">
        <v>25</v>
      </c>
      <c r="H303" s="4" t="s">
        <v>35</v>
      </c>
      <c r="I303" s="5">
        <v>44682</v>
      </c>
      <c r="J303" s="6">
        <v>0</v>
      </c>
      <c r="K303" s="6">
        <v>0</v>
      </c>
      <c r="L303" s="6">
        <v>13.250999999999999</v>
      </c>
      <c r="M303" s="6">
        <v>13.250999999999999</v>
      </c>
      <c r="N303" s="6">
        <v>13.250999999999999</v>
      </c>
      <c r="O303" s="6">
        <v>13.250999999999999</v>
      </c>
      <c r="P303" s="6">
        <v>0</v>
      </c>
      <c r="Q303" s="4" t="s">
        <v>26</v>
      </c>
      <c r="R303" s="4">
        <v>0</v>
      </c>
      <c r="S303" s="4" t="s">
        <v>154</v>
      </c>
      <c r="T303" s="4" t="s">
        <v>407</v>
      </c>
      <c r="U303" s="4">
        <v>0</v>
      </c>
      <c r="V303" s="4">
        <v>8</v>
      </c>
      <c r="W303" s="4">
        <v>49</v>
      </c>
    </row>
    <row r="304" spans="1:23" ht="11.25" customHeight="1" x14ac:dyDescent="0.25">
      <c r="A304" s="4" t="s">
        <v>21</v>
      </c>
      <c r="B304" s="4" t="s">
        <v>39</v>
      </c>
      <c r="C304" s="4" t="s">
        <v>40</v>
      </c>
      <c r="D304" s="4" t="s">
        <v>51</v>
      </c>
      <c r="E304" s="4" t="s">
        <v>25</v>
      </c>
      <c r="F304" s="4" t="s">
        <v>25</v>
      </c>
      <c r="G304" s="4" t="s">
        <v>25</v>
      </c>
      <c r="H304" s="4" t="s">
        <v>35</v>
      </c>
      <c r="I304" s="5">
        <v>44713</v>
      </c>
      <c r="J304" s="6">
        <v>0</v>
      </c>
      <c r="K304" s="6">
        <v>0</v>
      </c>
      <c r="L304" s="6">
        <v>10.648</v>
      </c>
      <c r="M304" s="6">
        <v>10.648</v>
      </c>
      <c r="N304" s="6">
        <v>10.648</v>
      </c>
      <c r="O304" s="6">
        <v>10.648</v>
      </c>
      <c r="P304" s="6">
        <v>0</v>
      </c>
      <c r="Q304" s="4" t="s">
        <v>26</v>
      </c>
      <c r="R304" s="4">
        <v>0</v>
      </c>
      <c r="S304" s="4" t="s">
        <v>155</v>
      </c>
      <c r="T304" s="4" t="s">
        <v>408</v>
      </c>
      <c r="U304" s="4">
        <v>0</v>
      </c>
      <c r="V304" s="4">
        <v>8</v>
      </c>
      <c r="W304" s="4">
        <v>49</v>
      </c>
    </row>
    <row r="305" spans="1:23" ht="11.25" customHeight="1" x14ac:dyDescent="0.25">
      <c r="A305" s="4" t="s">
        <v>21</v>
      </c>
      <c r="B305" s="4" t="s">
        <v>39</v>
      </c>
      <c r="C305" s="4" t="s">
        <v>40</v>
      </c>
      <c r="D305" s="4" t="s">
        <v>51</v>
      </c>
      <c r="E305" s="4" t="s">
        <v>25</v>
      </c>
      <c r="F305" s="4" t="s">
        <v>25</v>
      </c>
      <c r="G305" s="4" t="s">
        <v>25</v>
      </c>
      <c r="H305" s="4" t="s">
        <v>35</v>
      </c>
      <c r="I305" s="5">
        <v>44743</v>
      </c>
      <c r="J305" s="6">
        <v>0</v>
      </c>
      <c r="K305" s="6">
        <v>0</v>
      </c>
      <c r="L305" s="6">
        <v>11.458</v>
      </c>
      <c r="M305" s="6">
        <v>11.458</v>
      </c>
      <c r="N305" s="6">
        <v>11.458</v>
      </c>
      <c r="O305" s="6">
        <v>11.458</v>
      </c>
      <c r="P305" s="6">
        <v>0</v>
      </c>
      <c r="Q305" s="4" t="s">
        <v>26</v>
      </c>
      <c r="R305" s="4">
        <v>0</v>
      </c>
      <c r="S305" s="4" t="s">
        <v>156</v>
      </c>
      <c r="T305" s="4" t="s">
        <v>409</v>
      </c>
      <c r="U305" s="4">
        <v>0</v>
      </c>
      <c r="V305" s="4">
        <v>8</v>
      </c>
      <c r="W305" s="4">
        <v>49</v>
      </c>
    </row>
    <row r="306" spans="1:23" ht="11.25" customHeight="1" x14ac:dyDescent="0.25">
      <c r="A306" s="4" t="s">
        <v>56</v>
      </c>
      <c r="B306" s="4" t="s">
        <v>39</v>
      </c>
      <c r="C306" s="4" t="s">
        <v>40</v>
      </c>
      <c r="D306" s="4" t="s">
        <v>51</v>
      </c>
      <c r="E306" s="4" t="s">
        <v>25</v>
      </c>
      <c r="F306" s="4" t="s">
        <v>25</v>
      </c>
      <c r="G306" s="4" t="s">
        <v>25</v>
      </c>
      <c r="H306" s="4" t="s">
        <v>35</v>
      </c>
      <c r="I306" s="5">
        <v>44774</v>
      </c>
      <c r="J306" s="6">
        <v>0</v>
      </c>
      <c r="K306" s="6">
        <v>0</v>
      </c>
      <c r="L306" s="6">
        <v>11.458</v>
      </c>
      <c r="M306" s="6">
        <v>11.458</v>
      </c>
      <c r="N306" s="6">
        <v>11.458</v>
      </c>
      <c r="O306" s="6">
        <v>11.458</v>
      </c>
      <c r="P306" s="6">
        <v>0</v>
      </c>
      <c r="Q306" s="4" t="s">
        <v>26</v>
      </c>
      <c r="R306" s="4">
        <v>0</v>
      </c>
      <c r="S306" s="4" t="s">
        <v>157</v>
      </c>
      <c r="T306" s="4" t="s">
        <v>410</v>
      </c>
      <c r="U306" s="4">
        <v>0</v>
      </c>
      <c r="V306" s="4">
        <v>8</v>
      </c>
      <c r="W306" s="4">
        <v>49</v>
      </c>
    </row>
    <row r="307" spans="1:23" ht="11.25" customHeight="1" x14ac:dyDescent="0.25">
      <c r="A307" s="4" t="s">
        <v>21</v>
      </c>
      <c r="B307" s="4" t="s">
        <v>39</v>
      </c>
      <c r="C307" s="4" t="s">
        <v>40</v>
      </c>
      <c r="D307" s="4" t="s">
        <v>51</v>
      </c>
      <c r="E307" s="4" t="s">
        <v>25</v>
      </c>
      <c r="F307" s="4" t="s">
        <v>25</v>
      </c>
      <c r="G307" s="4" t="s">
        <v>25</v>
      </c>
      <c r="H307" s="4" t="s">
        <v>25</v>
      </c>
      <c r="I307" s="5">
        <v>44440</v>
      </c>
      <c r="J307" s="6">
        <v>72</v>
      </c>
      <c r="K307" s="6">
        <v>72</v>
      </c>
      <c r="L307" s="6">
        <v>0</v>
      </c>
      <c r="M307" s="6">
        <v>0</v>
      </c>
      <c r="N307" s="6">
        <v>0</v>
      </c>
      <c r="O307" s="6">
        <v>0</v>
      </c>
      <c r="P307" s="6">
        <v>1</v>
      </c>
      <c r="Q307" s="4" t="s">
        <v>26</v>
      </c>
      <c r="R307" s="4">
        <v>0</v>
      </c>
      <c r="S307" s="4" t="s">
        <v>158</v>
      </c>
      <c r="U307" s="4">
        <v>6</v>
      </c>
      <c r="V307" s="4">
        <v>0</v>
      </c>
      <c r="W307" s="4">
        <v>0</v>
      </c>
    </row>
    <row r="308" spans="1:23" ht="11.25" customHeight="1" x14ac:dyDescent="0.25">
      <c r="A308" s="4" t="s">
        <v>21</v>
      </c>
      <c r="B308" s="4" t="s">
        <v>39</v>
      </c>
      <c r="C308" s="4" t="s">
        <v>40</v>
      </c>
      <c r="D308" s="4" t="s">
        <v>51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44470</v>
      </c>
      <c r="J308" s="6">
        <v>73</v>
      </c>
      <c r="K308" s="6">
        <v>73</v>
      </c>
      <c r="L308" s="6">
        <v>0</v>
      </c>
      <c r="M308" s="6">
        <v>0</v>
      </c>
      <c r="N308" s="6">
        <v>0</v>
      </c>
      <c r="O308" s="6">
        <v>0</v>
      </c>
      <c r="P308" s="6">
        <v>1</v>
      </c>
      <c r="Q308" s="4" t="s">
        <v>26</v>
      </c>
      <c r="R308" s="4">
        <v>0</v>
      </c>
      <c r="S308" s="4" t="s">
        <v>159</v>
      </c>
      <c r="U308" s="4">
        <v>6</v>
      </c>
      <c r="V308" s="4">
        <v>0</v>
      </c>
      <c r="W308" s="4">
        <v>0</v>
      </c>
    </row>
    <row r="309" spans="1:23" ht="11.25" customHeight="1" x14ac:dyDescent="0.25">
      <c r="A309" s="4" t="s">
        <v>21</v>
      </c>
      <c r="B309" s="4" t="s">
        <v>39</v>
      </c>
      <c r="C309" s="4" t="s">
        <v>40</v>
      </c>
      <c r="D309" s="4" t="s">
        <v>51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44501</v>
      </c>
      <c r="J309" s="6">
        <v>75</v>
      </c>
      <c r="K309" s="6">
        <v>75</v>
      </c>
      <c r="L309" s="6">
        <v>0</v>
      </c>
      <c r="M309" s="6">
        <v>0</v>
      </c>
      <c r="N309" s="6">
        <v>0</v>
      </c>
      <c r="O309" s="6">
        <v>0</v>
      </c>
      <c r="P309" s="6">
        <v>1</v>
      </c>
      <c r="Q309" s="4" t="s">
        <v>26</v>
      </c>
      <c r="R309" s="4">
        <v>0</v>
      </c>
      <c r="S309" s="4" t="s">
        <v>160</v>
      </c>
      <c r="U309" s="4">
        <v>6</v>
      </c>
      <c r="V309" s="4">
        <v>0</v>
      </c>
      <c r="W309" s="4">
        <v>0</v>
      </c>
    </row>
    <row r="310" spans="1:23" ht="11.25" customHeight="1" x14ac:dyDescent="0.25">
      <c r="A310" s="4" t="s">
        <v>21</v>
      </c>
      <c r="B310" s="4" t="s">
        <v>39</v>
      </c>
      <c r="C310" s="4" t="s">
        <v>40</v>
      </c>
      <c r="D310" s="4" t="s">
        <v>51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44531</v>
      </c>
      <c r="J310" s="6">
        <v>80</v>
      </c>
      <c r="K310" s="6">
        <v>80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4" t="s">
        <v>26</v>
      </c>
      <c r="R310" s="4">
        <v>0</v>
      </c>
      <c r="S310" s="4" t="s">
        <v>161</v>
      </c>
      <c r="U310" s="4">
        <v>6</v>
      </c>
      <c r="V310" s="4">
        <v>0</v>
      </c>
      <c r="W310" s="4">
        <v>0</v>
      </c>
    </row>
    <row r="311" spans="1:23" ht="11.25" customHeight="1" x14ac:dyDescent="0.25">
      <c r="A311" s="4" t="s">
        <v>21</v>
      </c>
      <c r="B311" s="4" t="s">
        <v>39</v>
      </c>
      <c r="C311" s="4" t="s">
        <v>40</v>
      </c>
      <c r="D311" s="4" t="s">
        <v>51</v>
      </c>
      <c r="E311" s="4" t="s">
        <v>25</v>
      </c>
      <c r="F311" s="4" t="s">
        <v>25</v>
      </c>
      <c r="G311" s="4" t="s">
        <v>25</v>
      </c>
      <c r="H311" s="4" t="s">
        <v>25</v>
      </c>
      <c r="I311" s="5">
        <v>44562</v>
      </c>
      <c r="J311" s="6">
        <v>80</v>
      </c>
      <c r="K311" s="6">
        <v>80</v>
      </c>
      <c r="L311" s="6">
        <v>0</v>
      </c>
      <c r="M311" s="6">
        <v>0</v>
      </c>
      <c r="N311" s="6">
        <v>0</v>
      </c>
      <c r="O311" s="6">
        <v>0</v>
      </c>
      <c r="P311" s="6">
        <v>1</v>
      </c>
      <c r="Q311" s="4" t="s">
        <v>26</v>
      </c>
      <c r="R311" s="4">
        <v>0</v>
      </c>
      <c r="S311" s="4" t="s">
        <v>162</v>
      </c>
      <c r="U311" s="4">
        <v>6</v>
      </c>
      <c r="V311" s="4">
        <v>0</v>
      </c>
      <c r="W311" s="4">
        <v>0</v>
      </c>
    </row>
    <row r="312" spans="1:23" ht="11.25" customHeight="1" x14ac:dyDescent="0.25">
      <c r="A312" s="4" t="s">
        <v>21</v>
      </c>
      <c r="B312" s="4" t="s">
        <v>39</v>
      </c>
      <c r="C312" s="4" t="s">
        <v>40</v>
      </c>
      <c r="D312" s="4" t="s">
        <v>51</v>
      </c>
      <c r="E312" s="4" t="s">
        <v>25</v>
      </c>
      <c r="F312" s="4" t="s">
        <v>25</v>
      </c>
      <c r="G312" s="4" t="s">
        <v>25</v>
      </c>
      <c r="H312" s="4" t="s">
        <v>25</v>
      </c>
      <c r="I312" s="5">
        <v>44593</v>
      </c>
      <c r="J312" s="6">
        <v>96</v>
      </c>
      <c r="K312" s="6">
        <v>96</v>
      </c>
      <c r="L312" s="6">
        <v>0</v>
      </c>
      <c r="M312" s="6">
        <v>0</v>
      </c>
      <c r="N312" s="6">
        <v>0</v>
      </c>
      <c r="O312" s="6">
        <v>0</v>
      </c>
      <c r="P312" s="6">
        <v>1</v>
      </c>
      <c r="Q312" s="4" t="s">
        <v>26</v>
      </c>
      <c r="R312" s="4">
        <v>0</v>
      </c>
      <c r="S312" s="4" t="s">
        <v>163</v>
      </c>
      <c r="U312" s="4">
        <v>6</v>
      </c>
      <c r="V312" s="4">
        <v>0</v>
      </c>
      <c r="W312" s="4">
        <v>0</v>
      </c>
    </row>
    <row r="313" spans="1:23" ht="11.25" customHeight="1" x14ac:dyDescent="0.25">
      <c r="A313" s="4" t="s">
        <v>21</v>
      </c>
      <c r="B313" s="4" t="s">
        <v>39</v>
      </c>
      <c r="C313" s="4" t="s">
        <v>40</v>
      </c>
      <c r="D313" s="4" t="s">
        <v>51</v>
      </c>
      <c r="E313" s="4" t="s">
        <v>25</v>
      </c>
      <c r="F313" s="4" t="s">
        <v>25</v>
      </c>
      <c r="G313" s="4" t="s">
        <v>25</v>
      </c>
      <c r="H313" s="4" t="s">
        <v>25</v>
      </c>
      <c r="I313" s="5">
        <v>44621</v>
      </c>
      <c r="J313" s="6">
        <v>88</v>
      </c>
      <c r="K313" s="6">
        <v>88</v>
      </c>
      <c r="L313" s="6">
        <v>0</v>
      </c>
      <c r="M313" s="6">
        <v>0</v>
      </c>
      <c r="N313" s="6">
        <v>0</v>
      </c>
      <c r="O313" s="6">
        <v>0</v>
      </c>
      <c r="P313" s="6">
        <v>1</v>
      </c>
      <c r="Q313" s="4" t="s">
        <v>26</v>
      </c>
      <c r="R313" s="4">
        <v>0</v>
      </c>
      <c r="S313" s="4" t="s">
        <v>164</v>
      </c>
      <c r="U313" s="4">
        <v>6</v>
      </c>
      <c r="V313" s="4">
        <v>0</v>
      </c>
      <c r="W313" s="4">
        <v>0</v>
      </c>
    </row>
    <row r="314" spans="1:23" ht="11.25" customHeight="1" x14ac:dyDescent="0.25">
      <c r="A314" s="4" t="s">
        <v>21</v>
      </c>
      <c r="B314" s="4" t="s">
        <v>39</v>
      </c>
      <c r="C314" s="4" t="s">
        <v>40</v>
      </c>
      <c r="D314" s="4" t="s">
        <v>51</v>
      </c>
      <c r="E314" s="4" t="s">
        <v>25</v>
      </c>
      <c r="F314" s="4" t="s">
        <v>25</v>
      </c>
      <c r="G314" s="4" t="s">
        <v>25</v>
      </c>
      <c r="H314" s="4" t="s">
        <v>25</v>
      </c>
      <c r="I314" s="5">
        <v>44652</v>
      </c>
      <c r="J314" s="6">
        <v>85</v>
      </c>
      <c r="K314" s="6">
        <v>85</v>
      </c>
      <c r="L314" s="6">
        <v>0</v>
      </c>
      <c r="M314" s="6">
        <v>0</v>
      </c>
      <c r="N314" s="6">
        <v>0</v>
      </c>
      <c r="O314" s="6">
        <v>0</v>
      </c>
      <c r="P314" s="6">
        <v>1</v>
      </c>
      <c r="Q314" s="4" t="s">
        <v>26</v>
      </c>
      <c r="R314" s="4">
        <v>0</v>
      </c>
      <c r="S314" s="4" t="s">
        <v>165</v>
      </c>
      <c r="U314" s="4">
        <v>6</v>
      </c>
      <c r="V314" s="4">
        <v>0</v>
      </c>
      <c r="W314" s="4">
        <v>0</v>
      </c>
    </row>
    <row r="315" spans="1:23" ht="11.25" customHeight="1" x14ac:dyDescent="0.25">
      <c r="A315" s="4" t="s">
        <v>21</v>
      </c>
      <c r="B315" s="4" t="s">
        <v>39</v>
      </c>
      <c r="C315" s="4" t="s">
        <v>40</v>
      </c>
      <c r="D315" s="4" t="s">
        <v>51</v>
      </c>
      <c r="E315" s="4" t="s">
        <v>25</v>
      </c>
      <c r="F315" s="4" t="s">
        <v>25</v>
      </c>
      <c r="G315" s="4" t="s">
        <v>25</v>
      </c>
      <c r="H315" s="4" t="s">
        <v>25</v>
      </c>
      <c r="I315" s="5">
        <v>44682</v>
      </c>
      <c r="J315" s="6">
        <v>72</v>
      </c>
      <c r="K315" s="6">
        <v>72</v>
      </c>
      <c r="L315" s="6">
        <v>0</v>
      </c>
      <c r="M315" s="6">
        <v>0</v>
      </c>
      <c r="N315" s="6">
        <v>0</v>
      </c>
      <c r="O315" s="6">
        <v>0</v>
      </c>
      <c r="P315" s="6">
        <v>1</v>
      </c>
      <c r="Q315" s="4" t="s">
        <v>26</v>
      </c>
      <c r="R315" s="4">
        <v>0</v>
      </c>
      <c r="S315" s="4" t="s">
        <v>166</v>
      </c>
      <c r="U315" s="4">
        <v>6</v>
      </c>
      <c r="V315" s="4">
        <v>0</v>
      </c>
      <c r="W315" s="4">
        <v>0</v>
      </c>
    </row>
    <row r="316" spans="1:23" ht="11.25" customHeight="1" x14ac:dyDescent="0.25">
      <c r="A316" s="4" t="s">
        <v>21</v>
      </c>
      <c r="B316" s="4" t="s">
        <v>39</v>
      </c>
      <c r="C316" s="4" t="s">
        <v>40</v>
      </c>
      <c r="D316" s="4" t="s">
        <v>51</v>
      </c>
      <c r="E316" s="4" t="s">
        <v>25</v>
      </c>
      <c r="F316" s="4" t="s">
        <v>25</v>
      </c>
      <c r="G316" s="4" t="s">
        <v>25</v>
      </c>
      <c r="H316" s="4" t="s">
        <v>25</v>
      </c>
      <c r="I316" s="5">
        <v>44713</v>
      </c>
      <c r="J316" s="6">
        <v>60</v>
      </c>
      <c r="K316" s="6">
        <v>60</v>
      </c>
      <c r="L316" s="6">
        <v>0</v>
      </c>
      <c r="M316" s="6">
        <v>0</v>
      </c>
      <c r="N316" s="6">
        <v>0</v>
      </c>
      <c r="O316" s="6">
        <v>0</v>
      </c>
      <c r="P316" s="6">
        <v>1</v>
      </c>
      <c r="Q316" s="4" t="s">
        <v>26</v>
      </c>
      <c r="R316" s="4">
        <v>0</v>
      </c>
      <c r="S316" s="4" t="s">
        <v>167</v>
      </c>
      <c r="U316" s="4">
        <v>6</v>
      </c>
      <c r="V316" s="4">
        <v>0</v>
      </c>
      <c r="W316" s="4">
        <v>0</v>
      </c>
    </row>
    <row r="317" spans="1:23" ht="11.25" customHeight="1" x14ac:dyDescent="0.25">
      <c r="A317" s="4" t="s">
        <v>21</v>
      </c>
      <c r="B317" s="4" t="s">
        <v>39</v>
      </c>
      <c r="C317" s="4" t="s">
        <v>40</v>
      </c>
      <c r="D317" s="4" t="s">
        <v>51</v>
      </c>
      <c r="E317" s="4" t="s">
        <v>25</v>
      </c>
      <c r="F317" s="4" t="s">
        <v>25</v>
      </c>
      <c r="G317" s="4" t="s">
        <v>25</v>
      </c>
      <c r="H317" s="4" t="s">
        <v>25</v>
      </c>
      <c r="I317" s="5">
        <v>44743</v>
      </c>
      <c r="J317" s="6">
        <v>60</v>
      </c>
      <c r="K317" s="6">
        <v>60</v>
      </c>
      <c r="L317" s="6">
        <v>0</v>
      </c>
      <c r="M317" s="6">
        <v>0</v>
      </c>
      <c r="N317" s="6">
        <v>0</v>
      </c>
      <c r="O317" s="6">
        <v>0</v>
      </c>
      <c r="P317" s="6">
        <v>1</v>
      </c>
      <c r="Q317" s="4" t="s">
        <v>26</v>
      </c>
      <c r="R317" s="4">
        <v>0</v>
      </c>
      <c r="S317" s="4" t="s">
        <v>168</v>
      </c>
      <c r="U317" s="4">
        <v>6</v>
      </c>
      <c r="V317" s="4">
        <v>0</v>
      </c>
      <c r="W317" s="4">
        <v>0</v>
      </c>
    </row>
    <row r="318" spans="1:23" ht="11.25" customHeight="1" x14ac:dyDescent="0.25">
      <c r="A318" s="4" t="s">
        <v>56</v>
      </c>
      <c r="B318" s="4" t="s">
        <v>39</v>
      </c>
      <c r="C318" s="4" t="s">
        <v>40</v>
      </c>
      <c r="D318" s="4" t="s">
        <v>51</v>
      </c>
      <c r="E318" s="4" t="s">
        <v>25</v>
      </c>
      <c r="F318" s="4" t="s">
        <v>25</v>
      </c>
      <c r="G318" s="4" t="s">
        <v>25</v>
      </c>
      <c r="H318" s="4" t="s">
        <v>25</v>
      </c>
      <c r="I318" s="5">
        <v>44774</v>
      </c>
      <c r="J318" s="6">
        <v>60</v>
      </c>
      <c r="K318" s="6">
        <v>60</v>
      </c>
      <c r="L318" s="6">
        <v>0</v>
      </c>
      <c r="M318" s="6">
        <v>0</v>
      </c>
      <c r="N318" s="6">
        <v>0</v>
      </c>
      <c r="O318" s="6">
        <v>0</v>
      </c>
      <c r="P318" s="6">
        <v>1</v>
      </c>
      <c r="Q318" s="4" t="s">
        <v>26</v>
      </c>
      <c r="R318" s="4">
        <v>0</v>
      </c>
      <c r="S318" s="4" t="s">
        <v>169</v>
      </c>
      <c r="U318" s="4">
        <v>6</v>
      </c>
      <c r="V318" s="4">
        <v>0</v>
      </c>
      <c r="W318" s="4">
        <v>0</v>
      </c>
    </row>
    <row r="319" spans="1:23" ht="11.25" customHeight="1" x14ac:dyDescent="0.25">
      <c r="A319" s="4" t="s">
        <v>21</v>
      </c>
      <c r="B319" s="4" t="s">
        <v>39</v>
      </c>
      <c r="C319" s="4" t="s">
        <v>40</v>
      </c>
      <c r="D319" s="4" t="s">
        <v>51</v>
      </c>
      <c r="E319" s="4" t="s">
        <v>25</v>
      </c>
      <c r="F319" s="4" t="s">
        <v>25</v>
      </c>
      <c r="G319" s="4" t="s">
        <v>25</v>
      </c>
      <c r="H319" s="4" t="s">
        <v>34</v>
      </c>
      <c r="I319" s="5">
        <v>44440</v>
      </c>
      <c r="J319" s="6">
        <v>0</v>
      </c>
      <c r="K319" s="6">
        <v>0</v>
      </c>
      <c r="L319" s="6">
        <v>0.71299999999999997</v>
      </c>
      <c r="M319" s="6">
        <v>0.71299999999999997</v>
      </c>
      <c r="N319" s="6">
        <v>0.71299999999999997</v>
      </c>
      <c r="O319" s="6">
        <v>0.71299999999999997</v>
      </c>
      <c r="P319" s="6">
        <v>0</v>
      </c>
      <c r="Q319" s="4" t="s">
        <v>26</v>
      </c>
      <c r="R319" s="4">
        <v>0</v>
      </c>
      <c r="S319" s="4" t="s">
        <v>170</v>
      </c>
      <c r="T319" s="4" t="s">
        <v>411</v>
      </c>
      <c r="U319" s="4">
        <v>0</v>
      </c>
      <c r="V319" s="4">
        <v>7</v>
      </c>
      <c r="W319" s="4">
        <v>48</v>
      </c>
    </row>
    <row r="320" spans="1:23" ht="11.25" customHeight="1" x14ac:dyDescent="0.25">
      <c r="A320" s="4" t="s">
        <v>21</v>
      </c>
      <c r="B320" s="4" t="s">
        <v>39</v>
      </c>
      <c r="C320" s="4" t="s">
        <v>40</v>
      </c>
      <c r="D320" s="4" t="s">
        <v>51</v>
      </c>
      <c r="E320" s="4" t="s">
        <v>25</v>
      </c>
      <c r="F320" s="4" t="s">
        <v>25</v>
      </c>
      <c r="G320" s="4" t="s">
        <v>25</v>
      </c>
      <c r="H320" s="4" t="s">
        <v>34</v>
      </c>
      <c r="I320" s="5">
        <v>44470</v>
      </c>
      <c r="J320" s="6">
        <v>0</v>
      </c>
      <c r="K320" s="6">
        <v>0</v>
      </c>
      <c r="L320" s="6">
        <v>0.69499999999999995</v>
      </c>
      <c r="M320" s="6">
        <v>0.69499999999999995</v>
      </c>
      <c r="N320" s="6">
        <v>0.69499999999999995</v>
      </c>
      <c r="O320" s="6">
        <v>0.69499999999999995</v>
      </c>
      <c r="P320" s="6">
        <v>0</v>
      </c>
      <c r="Q320" s="4" t="s">
        <v>26</v>
      </c>
      <c r="R320" s="4">
        <v>0</v>
      </c>
      <c r="S320" s="4" t="s">
        <v>171</v>
      </c>
      <c r="T320" s="4" t="s">
        <v>412</v>
      </c>
      <c r="U320" s="4">
        <v>0</v>
      </c>
      <c r="V320" s="4">
        <v>7</v>
      </c>
      <c r="W320" s="4">
        <v>48</v>
      </c>
    </row>
    <row r="321" spans="1:23" ht="11.25" customHeight="1" x14ac:dyDescent="0.25">
      <c r="A321" s="4" t="s">
        <v>21</v>
      </c>
      <c r="B321" s="4" t="s">
        <v>39</v>
      </c>
      <c r="C321" s="4" t="s">
        <v>40</v>
      </c>
      <c r="D321" s="4" t="s">
        <v>51</v>
      </c>
      <c r="E321" s="4" t="s">
        <v>25</v>
      </c>
      <c r="F321" s="4" t="s">
        <v>25</v>
      </c>
      <c r="G321" s="4" t="s">
        <v>25</v>
      </c>
      <c r="H321" s="4" t="s">
        <v>34</v>
      </c>
      <c r="I321" s="5">
        <v>44501</v>
      </c>
      <c r="J321" s="6">
        <v>0</v>
      </c>
      <c r="K321" s="6">
        <v>0</v>
      </c>
      <c r="L321" s="6">
        <v>0.63800000000000001</v>
      </c>
      <c r="M321" s="6">
        <v>0.63800000000000001</v>
      </c>
      <c r="N321" s="6">
        <v>0.63800000000000001</v>
      </c>
      <c r="O321" s="6">
        <v>0.63800000000000001</v>
      </c>
      <c r="P321" s="6">
        <v>0</v>
      </c>
      <c r="Q321" s="4" t="s">
        <v>26</v>
      </c>
      <c r="R321" s="4">
        <v>0</v>
      </c>
      <c r="S321" s="4" t="s">
        <v>172</v>
      </c>
      <c r="T321" s="4" t="s">
        <v>413</v>
      </c>
      <c r="U321" s="4">
        <v>0</v>
      </c>
      <c r="V321" s="4">
        <v>7</v>
      </c>
      <c r="W321" s="4">
        <v>48</v>
      </c>
    </row>
    <row r="322" spans="1:23" ht="11.25" customHeight="1" x14ac:dyDescent="0.25">
      <c r="A322" s="4" t="s">
        <v>21</v>
      </c>
      <c r="B322" s="4" t="s">
        <v>39</v>
      </c>
      <c r="C322" s="4" t="s">
        <v>40</v>
      </c>
      <c r="D322" s="4" t="s">
        <v>51</v>
      </c>
      <c r="E322" s="4" t="s">
        <v>25</v>
      </c>
      <c r="F322" s="4" t="s">
        <v>25</v>
      </c>
      <c r="G322" s="4" t="s">
        <v>25</v>
      </c>
      <c r="H322" s="4" t="s">
        <v>34</v>
      </c>
      <c r="I322" s="5">
        <v>44531</v>
      </c>
      <c r="J322" s="6">
        <v>0</v>
      </c>
      <c r="K322" s="6">
        <v>0</v>
      </c>
      <c r="L322" s="6">
        <v>0.81799999999999995</v>
      </c>
      <c r="M322" s="6">
        <v>0.81799999999999995</v>
      </c>
      <c r="N322" s="6">
        <v>0.81799999999999995</v>
      </c>
      <c r="O322" s="6">
        <v>0.81799999999999995</v>
      </c>
      <c r="P322" s="6">
        <v>0</v>
      </c>
      <c r="Q322" s="4" t="s">
        <v>26</v>
      </c>
      <c r="R322" s="4">
        <v>0</v>
      </c>
      <c r="S322" s="4" t="s">
        <v>173</v>
      </c>
      <c r="T322" s="4" t="s">
        <v>414</v>
      </c>
      <c r="U322" s="4">
        <v>0</v>
      </c>
      <c r="V322" s="4">
        <v>7</v>
      </c>
      <c r="W322" s="4">
        <v>48</v>
      </c>
    </row>
    <row r="323" spans="1:23" ht="11.25" customHeight="1" x14ac:dyDescent="0.25">
      <c r="A323" s="4" t="s">
        <v>21</v>
      </c>
      <c r="B323" s="4" t="s">
        <v>39</v>
      </c>
      <c r="C323" s="4" t="s">
        <v>40</v>
      </c>
      <c r="D323" s="4" t="s">
        <v>51</v>
      </c>
      <c r="E323" s="4" t="s">
        <v>25</v>
      </c>
      <c r="F323" s="4" t="s">
        <v>25</v>
      </c>
      <c r="G323" s="4" t="s">
        <v>25</v>
      </c>
      <c r="H323" s="4" t="s">
        <v>34</v>
      </c>
      <c r="I323" s="5">
        <v>44562</v>
      </c>
      <c r="J323" s="6">
        <v>0</v>
      </c>
      <c r="K323" s="6">
        <v>0</v>
      </c>
      <c r="L323" s="6">
        <v>0.84299999999999997</v>
      </c>
      <c r="M323" s="6">
        <v>0.84299999999999997</v>
      </c>
      <c r="N323" s="6">
        <v>0.84299999999999997</v>
      </c>
      <c r="O323" s="6">
        <v>0.84299999999999997</v>
      </c>
      <c r="P323" s="6">
        <v>0</v>
      </c>
      <c r="Q323" s="4" t="s">
        <v>26</v>
      </c>
      <c r="R323" s="4">
        <v>0</v>
      </c>
      <c r="S323" s="4" t="s">
        <v>174</v>
      </c>
      <c r="T323" s="4" t="s">
        <v>415</v>
      </c>
      <c r="U323" s="4">
        <v>0</v>
      </c>
      <c r="V323" s="4">
        <v>7</v>
      </c>
      <c r="W323" s="4">
        <v>48</v>
      </c>
    </row>
    <row r="324" spans="1:23" ht="11.25" customHeight="1" x14ac:dyDescent="0.25">
      <c r="A324" s="4" t="s">
        <v>21</v>
      </c>
      <c r="B324" s="4" t="s">
        <v>39</v>
      </c>
      <c r="C324" s="4" t="s">
        <v>40</v>
      </c>
      <c r="D324" s="4" t="s">
        <v>51</v>
      </c>
      <c r="E324" s="4" t="s">
        <v>25</v>
      </c>
      <c r="F324" s="4" t="s">
        <v>25</v>
      </c>
      <c r="G324" s="4" t="s">
        <v>25</v>
      </c>
      <c r="H324" s="4" t="s">
        <v>34</v>
      </c>
      <c r="I324" s="5">
        <v>44593</v>
      </c>
      <c r="J324" s="6">
        <v>0</v>
      </c>
      <c r="K324" s="6">
        <v>0</v>
      </c>
      <c r="L324" s="6">
        <v>0.84499999999999997</v>
      </c>
      <c r="M324" s="6">
        <v>0.84499999999999997</v>
      </c>
      <c r="N324" s="6">
        <v>0.84499999999999997</v>
      </c>
      <c r="O324" s="6">
        <v>0.84499999999999997</v>
      </c>
      <c r="P324" s="6">
        <v>0</v>
      </c>
      <c r="Q324" s="4" t="s">
        <v>26</v>
      </c>
      <c r="R324" s="4">
        <v>0</v>
      </c>
      <c r="S324" s="4" t="s">
        <v>175</v>
      </c>
      <c r="T324" s="4" t="s">
        <v>416</v>
      </c>
      <c r="U324" s="4">
        <v>0</v>
      </c>
      <c r="V324" s="4">
        <v>7</v>
      </c>
      <c r="W324" s="4">
        <v>48</v>
      </c>
    </row>
    <row r="325" spans="1:23" ht="11.25" customHeight="1" x14ac:dyDescent="0.25">
      <c r="A325" s="4" t="s">
        <v>21</v>
      </c>
      <c r="B325" s="4" t="s">
        <v>39</v>
      </c>
      <c r="C325" s="4" t="s">
        <v>40</v>
      </c>
      <c r="D325" s="4" t="s">
        <v>51</v>
      </c>
      <c r="E325" s="4" t="s">
        <v>25</v>
      </c>
      <c r="F325" s="4" t="s">
        <v>25</v>
      </c>
      <c r="G325" s="4" t="s">
        <v>25</v>
      </c>
      <c r="H325" s="4" t="s">
        <v>34</v>
      </c>
      <c r="I325" s="5">
        <v>44621</v>
      </c>
      <c r="J325" s="6">
        <v>0</v>
      </c>
      <c r="K325" s="6">
        <v>0</v>
      </c>
      <c r="L325" s="6">
        <v>0.94599999999999995</v>
      </c>
      <c r="M325" s="6">
        <v>0.94599999999999995</v>
      </c>
      <c r="N325" s="6">
        <v>0.94599999999999995</v>
      </c>
      <c r="O325" s="6">
        <v>0.94599999999999995</v>
      </c>
      <c r="P325" s="6">
        <v>0</v>
      </c>
      <c r="Q325" s="4" t="s">
        <v>26</v>
      </c>
      <c r="R325" s="4">
        <v>0</v>
      </c>
      <c r="S325" s="4" t="s">
        <v>176</v>
      </c>
      <c r="T325" s="4" t="s">
        <v>417</v>
      </c>
      <c r="U325" s="4">
        <v>0</v>
      </c>
      <c r="V325" s="4">
        <v>7</v>
      </c>
      <c r="W325" s="4">
        <v>48</v>
      </c>
    </row>
    <row r="326" spans="1:23" ht="11.25" customHeight="1" x14ac:dyDescent="0.25">
      <c r="A326" s="4" t="s">
        <v>21</v>
      </c>
      <c r="B326" s="4" t="s">
        <v>39</v>
      </c>
      <c r="C326" s="4" t="s">
        <v>40</v>
      </c>
      <c r="D326" s="4" t="s">
        <v>51</v>
      </c>
      <c r="E326" s="4" t="s">
        <v>25</v>
      </c>
      <c r="F326" s="4" t="s">
        <v>25</v>
      </c>
      <c r="G326" s="4" t="s">
        <v>25</v>
      </c>
      <c r="H326" s="4" t="s">
        <v>34</v>
      </c>
      <c r="I326" s="5">
        <v>44652</v>
      </c>
      <c r="J326" s="6">
        <v>0</v>
      </c>
      <c r="K326" s="6">
        <v>0</v>
      </c>
      <c r="L326" s="6">
        <v>0.86799999999999999</v>
      </c>
      <c r="M326" s="6">
        <v>0.86799999999999999</v>
      </c>
      <c r="N326" s="6">
        <v>0.86799999999999999</v>
      </c>
      <c r="O326" s="6">
        <v>0.86799999999999999</v>
      </c>
      <c r="P326" s="6">
        <v>0</v>
      </c>
      <c r="Q326" s="4" t="s">
        <v>26</v>
      </c>
      <c r="R326" s="4">
        <v>0</v>
      </c>
      <c r="S326" s="4" t="s">
        <v>177</v>
      </c>
      <c r="T326" s="4" t="s">
        <v>418</v>
      </c>
      <c r="U326" s="4">
        <v>0</v>
      </c>
      <c r="V326" s="4">
        <v>7</v>
      </c>
      <c r="W326" s="4">
        <v>48</v>
      </c>
    </row>
    <row r="327" spans="1:23" ht="11.25" customHeight="1" x14ac:dyDescent="0.25">
      <c r="A327" s="4" t="s">
        <v>21</v>
      </c>
      <c r="B327" s="4" t="s">
        <v>39</v>
      </c>
      <c r="C327" s="4" t="s">
        <v>40</v>
      </c>
      <c r="D327" s="4" t="s">
        <v>51</v>
      </c>
      <c r="E327" s="4" t="s">
        <v>25</v>
      </c>
      <c r="F327" s="4" t="s">
        <v>25</v>
      </c>
      <c r="G327" s="4" t="s">
        <v>25</v>
      </c>
      <c r="H327" s="4" t="s">
        <v>34</v>
      </c>
      <c r="I327" s="5">
        <v>44682</v>
      </c>
      <c r="J327" s="6">
        <v>0</v>
      </c>
      <c r="K327" s="6">
        <v>0</v>
      </c>
      <c r="L327" s="6">
        <v>0.752</v>
      </c>
      <c r="M327" s="6">
        <v>0.752</v>
      </c>
      <c r="N327" s="6">
        <v>0.752</v>
      </c>
      <c r="O327" s="6">
        <v>0.752</v>
      </c>
      <c r="P327" s="6">
        <v>0</v>
      </c>
      <c r="Q327" s="4" t="s">
        <v>26</v>
      </c>
      <c r="R327" s="4">
        <v>0</v>
      </c>
      <c r="S327" s="4" t="s">
        <v>178</v>
      </c>
      <c r="T327" s="4" t="s">
        <v>419</v>
      </c>
      <c r="U327" s="4">
        <v>0</v>
      </c>
      <c r="V327" s="4">
        <v>7</v>
      </c>
      <c r="W327" s="4">
        <v>48</v>
      </c>
    </row>
    <row r="328" spans="1:23" ht="11.25" customHeight="1" x14ac:dyDescent="0.25">
      <c r="A328" s="4" t="s">
        <v>21</v>
      </c>
      <c r="B328" s="4" t="s">
        <v>39</v>
      </c>
      <c r="C328" s="4" t="s">
        <v>40</v>
      </c>
      <c r="D328" s="4" t="s">
        <v>51</v>
      </c>
      <c r="E328" s="4" t="s">
        <v>25</v>
      </c>
      <c r="F328" s="4" t="s">
        <v>25</v>
      </c>
      <c r="G328" s="4" t="s">
        <v>25</v>
      </c>
      <c r="H328" s="4" t="s">
        <v>34</v>
      </c>
      <c r="I328" s="5">
        <v>44713</v>
      </c>
      <c r="J328" s="6">
        <v>0</v>
      </c>
      <c r="K328" s="6">
        <v>0</v>
      </c>
      <c r="L328" s="6">
        <v>0.69799999999999995</v>
      </c>
      <c r="M328" s="6">
        <v>0.69799999999999995</v>
      </c>
      <c r="N328" s="6">
        <v>0.69799999999999995</v>
      </c>
      <c r="O328" s="6">
        <v>0.69799999999999995</v>
      </c>
      <c r="P328" s="6">
        <v>0</v>
      </c>
      <c r="Q328" s="4" t="s">
        <v>26</v>
      </c>
      <c r="R328" s="4">
        <v>0</v>
      </c>
      <c r="S328" s="4" t="s">
        <v>179</v>
      </c>
      <c r="T328" s="4" t="s">
        <v>420</v>
      </c>
      <c r="U328" s="4">
        <v>0</v>
      </c>
      <c r="V328" s="4">
        <v>7</v>
      </c>
      <c r="W328" s="4">
        <v>48</v>
      </c>
    </row>
    <row r="329" spans="1:23" ht="11.25" customHeight="1" x14ac:dyDescent="0.25">
      <c r="A329" s="4" t="s">
        <v>21</v>
      </c>
      <c r="B329" s="4" t="s">
        <v>39</v>
      </c>
      <c r="C329" s="4" t="s">
        <v>40</v>
      </c>
      <c r="D329" s="4" t="s">
        <v>51</v>
      </c>
      <c r="E329" s="4" t="s">
        <v>25</v>
      </c>
      <c r="F329" s="4" t="s">
        <v>25</v>
      </c>
      <c r="G329" s="4" t="s">
        <v>25</v>
      </c>
      <c r="H329" s="4" t="s">
        <v>34</v>
      </c>
      <c r="I329" s="5">
        <v>44743</v>
      </c>
      <c r="J329" s="6">
        <v>0</v>
      </c>
      <c r="K329" s="6">
        <v>0</v>
      </c>
      <c r="L329" s="6">
        <v>0.68600000000000005</v>
      </c>
      <c r="M329" s="6">
        <v>0.68600000000000005</v>
      </c>
      <c r="N329" s="6">
        <v>0.68600000000000005</v>
      </c>
      <c r="O329" s="6">
        <v>0.68600000000000005</v>
      </c>
      <c r="P329" s="6">
        <v>0</v>
      </c>
      <c r="Q329" s="4" t="s">
        <v>26</v>
      </c>
      <c r="R329" s="4">
        <v>0</v>
      </c>
      <c r="S329" s="4" t="s">
        <v>180</v>
      </c>
      <c r="T329" s="4" t="s">
        <v>421</v>
      </c>
      <c r="U329" s="4">
        <v>0</v>
      </c>
      <c r="V329" s="4">
        <v>7</v>
      </c>
      <c r="W329" s="4">
        <v>48</v>
      </c>
    </row>
    <row r="330" spans="1:23" ht="11.25" customHeight="1" x14ac:dyDescent="0.25">
      <c r="A330" s="4" t="s">
        <v>56</v>
      </c>
      <c r="B330" s="4" t="s">
        <v>39</v>
      </c>
      <c r="C330" s="4" t="s">
        <v>40</v>
      </c>
      <c r="D330" s="4" t="s">
        <v>51</v>
      </c>
      <c r="E330" s="4" t="s">
        <v>25</v>
      </c>
      <c r="F330" s="4" t="s">
        <v>25</v>
      </c>
      <c r="G330" s="4" t="s">
        <v>25</v>
      </c>
      <c r="H330" s="4" t="s">
        <v>34</v>
      </c>
      <c r="I330" s="5">
        <v>44774</v>
      </c>
      <c r="J330" s="6">
        <v>0</v>
      </c>
      <c r="K330" s="6">
        <v>0</v>
      </c>
      <c r="L330" s="6">
        <v>0.68600000000000005</v>
      </c>
      <c r="M330" s="6">
        <v>0.68600000000000005</v>
      </c>
      <c r="N330" s="6">
        <v>0.68600000000000005</v>
      </c>
      <c r="O330" s="6">
        <v>0.68600000000000005</v>
      </c>
      <c r="P330" s="6">
        <v>0</v>
      </c>
      <c r="Q330" s="4" t="s">
        <v>26</v>
      </c>
      <c r="R330" s="4">
        <v>0</v>
      </c>
      <c r="S330" s="4" t="s">
        <v>181</v>
      </c>
      <c r="T330" s="4" t="s">
        <v>422</v>
      </c>
      <c r="U330" s="4">
        <v>0</v>
      </c>
      <c r="V330" s="4">
        <v>7</v>
      </c>
      <c r="W330" s="4">
        <v>48</v>
      </c>
    </row>
    <row r="331" spans="1:23" ht="11.25" customHeight="1" x14ac:dyDescent="0.25">
      <c r="A331" s="4" t="s">
        <v>21</v>
      </c>
      <c r="B331" s="4" t="s">
        <v>39</v>
      </c>
      <c r="C331" s="4" t="s">
        <v>40</v>
      </c>
      <c r="D331" s="4" t="s">
        <v>38</v>
      </c>
      <c r="E331" s="4" t="s">
        <v>25</v>
      </c>
      <c r="F331" s="4" t="s">
        <v>57</v>
      </c>
      <c r="G331" s="4" t="s">
        <v>25</v>
      </c>
      <c r="H331" s="4" t="s">
        <v>35</v>
      </c>
      <c r="I331" s="5">
        <v>44440</v>
      </c>
      <c r="J331" s="6">
        <v>0</v>
      </c>
      <c r="K331" s="6">
        <v>0</v>
      </c>
      <c r="L331" s="6">
        <v>4917.8190000000004</v>
      </c>
      <c r="M331" s="6">
        <v>4917.8190000000004</v>
      </c>
      <c r="N331" s="6">
        <v>0</v>
      </c>
      <c r="O331" s="6">
        <v>0</v>
      </c>
      <c r="P331" s="6">
        <v>0</v>
      </c>
      <c r="Q331" s="4" t="s">
        <v>58</v>
      </c>
      <c r="R331" s="4">
        <v>0</v>
      </c>
      <c r="S331" s="4" t="s">
        <v>146</v>
      </c>
      <c r="U331" s="4">
        <v>0</v>
      </c>
      <c r="V331" s="4">
        <v>8</v>
      </c>
      <c r="W331" s="4">
        <v>0</v>
      </c>
    </row>
    <row r="332" spans="1:23" ht="11.25" customHeight="1" x14ac:dyDescent="0.25">
      <c r="A332" s="4" t="s">
        <v>21</v>
      </c>
      <c r="B332" s="4" t="s">
        <v>39</v>
      </c>
      <c r="C332" s="4" t="s">
        <v>40</v>
      </c>
      <c r="D332" s="4" t="s">
        <v>38</v>
      </c>
      <c r="E332" s="4" t="s">
        <v>25</v>
      </c>
      <c r="F332" s="4" t="s">
        <v>57</v>
      </c>
      <c r="G332" s="4" t="s">
        <v>25</v>
      </c>
      <c r="H332" s="4" t="s">
        <v>35</v>
      </c>
      <c r="I332" s="5">
        <v>44470</v>
      </c>
      <c r="J332" s="6">
        <v>0</v>
      </c>
      <c r="K332" s="6">
        <v>0</v>
      </c>
      <c r="L332" s="6">
        <v>4294.4759999999997</v>
      </c>
      <c r="M332" s="6">
        <v>4294.4759999999997</v>
      </c>
      <c r="N332" s="6">
        <v>0</v>
      </c>
      <c r="O332" s="6">
        <v>0</v>
      </c>
      <c r="P332" s="6">
        <v>0</v>
      </c>
      <c r="Q332" s="4" t="s">
        <v>58</v>
      </c>
      <c r="R332" s="4">
        <v>0</v>
      </c>
      <c r="S332" s="4" t="s">
        <v>147</v>
      </c>
      <c r="U332" s="4">
        <v>0</v>
      </c>
      <c r="V332" s="4">
        <v>8</v>
      </c>
      <c r="W332" s="4">
        <v>0</v>
      </c>
    </row>
    <row r="333" spans="1:23" ht="11.25" customHeight="1" x14ac:dyDescent="0.25">
      <c r="A333" s="4" t="s">
        <v>21</v>
      </c>
      <c r="B333" s="4" t="s">
        <v>39</v>
      </c>
      <c r="C333" s="4" t="s">
        <v>40</v>
      </c>
      <c r="D333" s="4" t="s">
        <v>38</v>
      </c>
      <c r="E333" s="4" t="s">
        <v>25</v>
      </c>
      <c r="F333" s="4" t="s">
        <v>57</v>
      </c>
      <c r="G333" s="4" t="s">
        <v>25</v>
      </c>
      <c r="H333" s="4" t="s">
        <v>35</v>
      </c>
      <c r="I333" s="5">
        <v>44501</v>
      </c>
      <c r="J333" s="6">
        <v>0</v>
      </c>
      <c r="K333" s="6">
        <v>0</v>
      </c>
      <c r="L333" s="6">
        <v>5014.2629999999999</v>
      </c>
      <c r="M333" s="6">
        <v>5014.2629999999999</v>
      </c>
      <c r="N333" s="6">
        <v>0</v>
      </c>
      <c r="O333" s="6">
        <v>0</v>
      </c>
      <c r="P333" s="6">
        <v>0</v>
      </c>
      <c r="Q333" s="4" t="s">
        <v>58</v>
      </c>
      <c r="R333" s="4">
        <v>0</v>
      </c>
      <c r="S333" s="4" t="s">
        <v>148</v>
      </c>
      <c r="U333" s="4">
        <v>0</v>
      </c>
      <c r="V333" s="4">
        <v>8</v>
      </c>
      <c r="W333" s="4">
        <v>0</v>
      </c>
    </row>
    <row r="334" spans="1:23" ht="11.25" customHeight="1" x14ac:dyDescent="0.25">
      <c r="A334" s="4" t="s">
        <v>21</v>
      </c>
      <c r="B334" s="4" t="s">
        <v>39</v>
      </c>
      <c r="C334" s="4" t="s">
        <v>40</v>
      </c>
      <c r="D334" s="4" t="s">
        <v>38</v>
      </c>
      <c r="E334" s="4" t="s">
        <v>25</v>
      </c>
      <c r="F334" s="4" t="s">
        <v>57</v>
      </c>
      <c r="G334" s="4" t="s">
        <v>25</v>
      </c>
      <c r="H334" s="4" t="s">
        <v>35</v>
      </c>
      <c r="I334" s="5">
        <v>44531</v>
      </c>
      <c r="J334" s="6">
        <v>0</v>
      </c>
      <c r="K334" s="6">
        <v>0</v>
      </c>
      <c r="L334" s="6">
        <v>4730.07</v>
      </c>
      <c r="M334" s="6">
        <v>4730.07</v>
      </c>
      <c r="N334" s="6">
        <v>0</v>
      </c>
      <c r="O334" s="6">
        <v>0</v>
      </c>
      <c r="P334" s="6">
        <v>0</v>
      </c>
      <c r="Q334" s="4" t="s">
        <v>58</v>
      </c>
      <c r="R334" s="4">
        <v>0</v>
      </c>
      <c r="S334" s="4" t="s">
        <v>149</v>
      </c>
      <c r="U334" s="4">
        <v>0</v>
      </c>
      <c r="V334" s="4">
        <v>8</v>
      </c>
      <c r="W334" s="4">
        <v>0</v>
      </c>
    </row>
    <row r="335" spans="1:23" ht="11.25" customHeight="1" x14ac:dyDescent="0.25">
      <c r="A335" s="4" t="s">
        <v>21</v>
      </c>
      <c r="B335" s="4" t="s">
        <v>39</v>
      </c>
      <c r="C335" s="4" t="s">
        <v>40</v>
      </c>
      <c r="D335" s="4" t="s">
        <v>38</v>
      </c>
      <c r="E335" s="4" t="s">
        <v>25</v>
      </c>
      <c r="F335" s="4" t="s">
        <v>57</v>
      </c>
      <c r="G335" s="4" t="s">
        <v>25</v>
      </c>
      <c r="H335" s="4" t="s">
        <v>35</v>
      </c>
      <c r="I335" s="5">
        <v>44562</v>
      </c>
      <c r="J335" s="6">
        <v>0</v>
      </c>
      <c r="K335" s="6">
        <v>0</v>
      </c>
      <c r="L335" s="6">
        <v>3935.3119999999999</v>
      </c>
      <c r="M335" s="6">
        <v>3935.3119999999999</v>
      </c>
      <c r="N335" s="6">
        <v>0</v>
      </c>
      <c r="O335" s="6">
        <v>0</v>
      </c>
      <c r="P335" s="6">
        <v>0</v>
      </c>
      <c r="Q335" s="4" t="s">
        <v>58</v>
      </c>
      <c r="R335" s="4">
        <v>0</v>
      </c>
      <c r="S335" s="4" t="s">
        <v>150</v>
      </c>
      <c r="U335" s="4">
        <v>0</v>
      </c>
      <c r="V335" s="4">
        <v>8</v>
      </c>
      <c r="W335" s="4">
        <v>0</v>
      </c>
    </row>
    <row r="336" spans="1:23" ht="11.25" customHeight="1" x14ac:dyDescent="0.25">
      <c r="A336" s="4" t="s">
        <v>21</v>
      </c>
      <c r="B336" s="4" t="s">
        <v>39</v>
      </c>
      <c r="C336" s="4" t="s">
        <v>40</v>
      </c>
      <c r="D336" s="4" t="s">
        <v>38</v>
      </c>
      <c r="E336" s="4" t="s">
        <v>25</v>
      </c>
      <c r="F336" s="4" t="s">
        <v>57</v>
      </c>
      <c r="G336" s="4" t="s">
        <v>25</v>
      </c>
      <c r="H336" s="4" t="s">
        <v>35</v>
      </c>
      <c r="I336" s="5">
        <v>44593</v>
      </c>
      <c r="J336" s="6">
        <v>0</v>
      </c>
      <c r="K336" s="6">
        <v>0</v>
      </c>
      <c r="L336" s="6">
        <v>4947.4979999999996</v>
      </c>
      <c r="M336" s="6">
        <v>4947.4979999999996</v>
      </c>
      <c r="N336" s="6">
        <v>0</v>
      </c>
      <c r="O336" s="6">
        <v>0</v>
      </c>
      <c r="P336" s="6">
        <v>0</v>
      </c>
      <c r="Q336" s="4" t="s">
        <v>58</v>
      </c>
      <c r="R336" s="4">
        <v>0</v>
      </c>
      <c r="S336" s="4" t="s">
        <v>151</v>
      </c>
      <c r="U336" s="4">
        <v>0</v>
      </c>
      <c r="V336" s="4">
        <v>8</v>
      </c>
      <c r="W336" s="4">
        <v>0</v>
      </c>
    </row>
    <row r="337" spans="1:23" ht="11.25" customHeight="1" x14ac:dyDescent="0.25">
      <c r="A337" s="4" t="s">
        <v>21</v>
      </c>
      <c r="B337" s="4" t="s">
        <v>39</v>
      </c>
      <c r="C337" s="4" t="s">
        <v>40</v>
      </c>
      <c r="D337" s="4" t="s">
        <v>38</v>
      </c>
      <c r="E337" s="4" t="s">
        <v>25</v>
      </c>
      <c r="F337" s="4" t="s">
        <v>57</v>
      </c>
      <c r="G337" s="4" t="s">
        <v>25</v>
      </c>
      <c r="H337" s="4" t="s">
        <v>35</v>
      </c>
      <c r="I337" s="5">
        <v>44621</v>
      </c>
      <c r="J337" s="6">
        <v>0</v>
      </c>
      <c r="K337" s="6">
        <v>0</v>
      </c>
      <c r="L337" s="6">
        <v>4743.59</v>
      </c>
      <c r="M337" s="6">
        <v>4743.59</v>
      </c>
      <c r="N337" s="6">
        <v>0</v>
      </c>
      <c r="O337" s="6">
        <v>0</v>
      </c>
      <c r="P337" s="6">
        <v>0</v>
      </c>
      <c r="Q337" s="4" t="s">
        <v>58</v>
      </c>
      <c r="R337" s="4">
        <v>0</v>
      </c>
      <c r="S337" s="4" t="s">
        <v>152</v>
      </c>
      <c r="U337" s="4">
        <v>0</v>
      </c>
      <c r="V337" s="4">
        <v>8</v>
      </c>
      <c r="W337" s="4">
        <v>0</v>
      </c>
    </row>
    <row r="338" spans="1:23" ht="11.25" customHeight="1" x14ac:dyDescent="0.25">
      <c r="A338" s="4" t="s">
        <v>21</v>
      </c>
      <c r="B338" s="4" t="s">
        <v>39</v>
      </c>
      <c r="C338" s="4" t="s">
        <v>40</v>
      </c>
      <c r="D338" s="4" t="s">
        <v>38</v>
      </c>
      <c r="E338" s="4" t="s">
        <v>25</v>
      </c>
      <c r="F338" s="4" t="s">
        <v>57</v>
      </c>
      <c r="G338" s="4" t="s">
        <v>25</v>
      </c>
      <c r="H338" s="4" t="s">
        <v>35</v>
      </c>
      <c r="I338" s="5">
        <v>44652</v>
      </c>
      <c r="J338" s="6">
        <v>0</v>
      </c>
      <c r="K338" s="6">
        <v>0</v>
      </c>
      <c r="L338" s="6">
        <v>5303.4009999999998</v>
      </c>
      <c r="M338" s="6">
        <v>5303.4009999999998</v>
      </c>
      <c r="N338" s="6">
        <v>0</v>
      </c>
      <c r="O338" s="6">
        <v>0</v>
      </c>
      <c r="P338" s="6">
        <v>0</v>
      </c>
      <c r="Q338" s="4" t="s">
        <v>58</v>
      </c>
      <c r="R338" s="4">
        <v>0</v>
      </c>
      <c r="S338" s="4" t="s">
        <v>153</v>
      </c>
      <c r="U338" s="4">
        <v>0</v>
      </c>
      <c r="V338" s="4">
        <v>8</v>
      </c>
      <c r="W338" s="4">
        <v>0</v>
      </c>
    </row>
    <row r="339" spans="1:23" ht="11.25" customHeight="1" x14ac:dyDescent="0.25">
      <c r="A339" s="4" t="s">
        <v>21</v>
      </c>
      <c r="B339" s="4" t="s">
        <v>39</v>
      </c>
      <c r="C339" s="4" t="s">
        <v>40</v>
      </c>
      <c r="D339" s="4" t="s">
        <v>38</v>
      </c>
      <c r="E339" s="4" t="s">
        <v>25</v>
      </c>
      <c r="F339" s="4" t="s">
        <v>57</v>
      </c>
      <c r="G339" s="4" t="s">
        <v>25</v>
      </c>
      <c r="H339" s="4" t="s">
        <v>35</v>
      </c>
      <c r="I339" s="5">
        <v>44682</v>
      </c>
      <c r="J339" s="6">
        <v>0</v>
      </c>
      <c r="K339" s="6">
        <v>0</v>
      </c>
      <c r="L339" s="6">
        <v>5072.4949999999999</v>
      </c>
      <c r="M339" s="6">
        <v>5072.4949999999999</v>
      </c>
      <c r="N339" s="6">
        <v>0</v>
      </c>
      <c r="O339" s="6">
        <v>0</v>
      </c>
      <c r="P339" s="6">
        <v>0</v>
      </c>
      <c r="Q339" s="4" t="s">
        <v>58</v>
      </c>
      <c r="R339" s="4">
        <v>0</v>
      </c>
      <c r="S339" s="4" t="s">
        <v>154</v>
      </c>
      <c r="U339" s="4">
        <v>0</v>
      </c>
      <c r="V339" s="4">
        <v>8</v>
      </c>
      <c r="W339" s="4">
        <v>0</v>
      </c>
    </row>
    <row r="340" spans="1:23" ht="11.25" customHeight="1" x14ac:dyDescent="0.25">
      <c r="A340" s="4" t="s">
        <v>21</v>
      </c>
      <c r="B340" s="4" t="s">
        <v>39</v>
      </c>
      <c r="C340" s="4" t="s">
        <v>40</v>
      </c>
      <c r="D340" s="4" t="s">
        <v>38</v>
      </c>
      <c r="E340" s="4" t="s">
        <v>25</v>
      </c>
      <c r="F340" s="4" t="s">
        <v>57</v>
      </c>
      <c r="G340" s="4" t="s">
        <v>25</v>
      </c>
      <c r="H340" s="4" t="s">
        <v>35</v>
      </c>
      <c r="I340" s="5">
        <v>44713</v>
      </c>
      <c r="J340" s="6">
        <v>0</v>
      </c>
      <c r="K340" s="6">
        <v>0</v>
      </c>
      <c r="L340" s="6">
        <v>5200.8019999999997</v>
      </c>
      <c r="M340" s="6">
        <v>5200.8019999999997</v>
      </c>
      <c r="N340" s="6">
        <v>0</v>
      </c>
      <c r="O340" s="6">
        <v>0</v>
      </c>
      <c r="P340" s="6">
        <v>0</v>
      </c>
      <c r="Q340" s="4" t="s">
        <v>58</v>
      </c>
      <c r="R340" s="4">
        <v>0</v>
      </c>
      <c r="S340" s="4" t="s">
        <v>155</v>
      </c>
      <c r="U340" s="4">
        <v>0</v>
      </c>
      <c r="V340" s="4">
        <v>8</v>
      </c>
      <c r="W340" s="4">
        <v>0</v>
      </c>
    </row>
    <row r="341" spans="1:23" ht="11.25" customHeight="1" x14ac:dyDescent="0.25">
      <c r="A341" s="4" t="s">
        <v>21</v>
      </c>
      <c r="B341" s="4" t="s">
        <v>39</v>
      </c>
      <c r="C341" s="4" t="s">
        <v>40</v>
      </c>
      <c r="D341" s="4" t="s">
        <v>38</v>
      </c>
      <c r="E341" s="4" t="s">
        <v>25</v>
      </c>
      <c r="F341" s="4" t="s">
        <v>57</v>
      </c>
      <c r="G341" s="4" t="s">
        <v>25</v>
      </c>
      <c r="H341" s="4" t="s">
        <v>35</v>
      </c>
      <c r="I341" s="5">
        <v>44743</v>
      </c>
      <c r="J341" s="6">
        <v>0</v>
      </c>
      <c r="K341" s="6">
        <v>0</v>
      </c>
      <c r="L341" s="6">
        <v>5294.7</v>
      </c>
      <c r="M341" s="6">
        <v>5294.7</v>
      </c>
      <c r="N341" s="6">
        <v>0</v>
      </c>
      <c r="O341" s="6">
        <v>0</v>
      </c>
      <c r="P341" s="6">
        <v>0</v>
      </c>
      <c r="Q341" s="4" t="s">
        <v>58</v>
      </c>
      <c r="R341" s="4">
        <v>0</v>
      </c>
      <c r="S341" s="4" t="s">
        <v>156</v>
      </c>
      <c r="U341" s="4">
        <v>0</v>
      </c>
      <c r="V341" s="4">
        <v>8</v>
      </c>
      <c r="W341" s="4">
        <v>0</v>
      </c>
    </row>
    <row r="342" spans="1:23" ht="11.25" customHeight="1" x14ac:dyDescent="0.25">
      <c r="A342" s="4" t="s">
        <v>56</v>
      </c>
      <c r="B342" s="4" t="s">
        <v>39</v>
      </c>
      <c r="C342" s="4" t="s">
        <v>40</v>
      </c>
      <c r="D342" s="4" t="s">
        <v>38</v>
      </c>
      <c r="E342" s="4" t="s">
        <v>25</v>
      </c>
      <c r="F342" s="4" t="s">
        <v>57</v>
      </c>
      <c r="G342" s="4" t="s">
        <v>25</v>
      </c>
      <c r="H342" s="4" t="s">
        <v>35</v>
      </c>
      <c r="I342" s="5">
        <v>44774</v>
      </c>
      <c r="J342" s="6">
        <v>0</v>
      </c>
      <c r="K342" s="6">
        <v>0</v>
      </c>
      <c r="L342" s="6">
        <v>5294.7</v>
      </c>
      <c r="M342" s="6">
        <v>5294.7</v>
      </c>
      <c r="N342" s="6">
        <v>0</v>
      </c>
      <c r="O342" s="6">
        <v>0</v>
      </c>
      <c r="P342" s="6">
        <v>0</v>
      </c>
      <c r="Q342" s="4" t="s">
        <v>58</v>
      </c>
      <c r="R342" s="4">
        <v>0</v>
      </c>
      <c r="S342" s="4" t="s">
        <v>157</v>
      </c>
      <c r="U342" s="4">
        <v>0</v>
      </c>
      <c r="V342" s="4">
        <v>8</v>
      </c>
      <c r="W342" s="4">
        <v>0</v>
      </c>
    </row>
    <row r="343" spans="1:23" ht="11.25" customHeight="1" x14ac:dyDescent="0.25">
      <c r="A343" s="4" t="s">
        <v>21</v>
      </c>
      <c r="B343" s="4" t="s">
        <v>39</v>
      </c>
      <c r="C343" s="4" t="s">
        <v>40</v>
      </c>
      <c r="D343" s="4" t="s">
        <v>38</v>
      </c>
      <c r="E343" s="4" t="s">
        <v>25</v>
      </c>
      <c r="F343" s="4" t="s">
        <v>57</v>
      </c>
      <c r="G343" s="4" t="s">
        <v>25</v>
      </c>
      <c r="H343" s="4" t="s">
        <v>25</v>
      </c>
      <c r="I343" s="5">
        <v>44440</v>
      </c>
      <c r="J343" s="6">
        <v>20320</v>
      </c>
      <c r="K343" s="6">
        <v>7782.56</v>
      </c>
      <c r="L343" s="6">
        <v>0</v>
      </c>
      <c r="M343" s="6">
        <v>0</v>
      </c>
      <c r="N343" s="6">
        <v>0</v>
      </c>
      <c r="O343" s="6">
        <v>0</v>
      </c>
      <c r="P343" s="6">
        <v>40</v>
      </c>
      <c r="Q343" s="4" t="s">
        <v>58</v>
      </c>
      <c r="R343" s="4">
        <v>0</v>
      </c>
      <c r="S343" s="4" t="s">
        <v>158</v>
      </c>
      <c r="U343" s="4">
        <v>6</v>
      </c>
      <c r="V343" s="4">
        <v>0</v>
      </c>
      <c r="W343" s="4">
        <v>0</v>
      </c>
    </row>
    <row r="344" spans="1:23" ht="11.25" customHeight="1" x14ac:dyDescent="0.25">
      <c r="A344" s="4" t="s">
        <v>21</v>
      </c>
      <c r="B344" s="4" t="s">
        <v>39</v>
      </c>
      <c r="C344" s="4" t="s">
        <v>40</v>
      </c>
      <c r="D344" s="4" t="s">
        <v>38</v>
      </c>
      <c r="E344" s="4" t="s">
        <v>25</v>
      </c>
      <c r="F344" s="4" t="s">
        <v>57</v>
      </c>
      <c r="G344" s="4" t="s">
        <v>25</v>
      </c>
      <c r="H344" s="4" t="s">
        <v>25</v>
      </c>
      <c r="I344" s="5">
        <v>44470</v>
      </c>
      <c r="J344" s="6">
        <v>20701</v>
      </c>
      <c r="K344" s="6">
        <v>7669.7205000000004</v>
      </c>
      <c r="L344" s="6">
        <v>0</v>
      </c>
      <c r="M344" s="6">
        <v>0</v>
      </c>
      <c r="N344" s="6">
        <v>0</v>
      </c>
      <c r="O344" s="6">
        <v>0</v>
      </c>
      <c r="P344" s="6">
        <v>40</v>
      </c>
      <c r="Q344" s="4" t="s">
        <v>58</v>
      </c>
      <c r="R344" s="4">
        <v>0</v>
      </c>
      <c r="S344" s="4" t="s">
        <v>159</v>
      </c>
      <c r="U344" s="4">
        <v>6</v>
      </c>
      <c r="V344" s="4">
        <v>0</v>
      </c>
      <c r="W344" s="4">
        <v>0</v>
      </c>
    </row>
    <row r="345" spans="1:23" ht="11.25" customHeight="1" x14ac:dyDescent="0.25">
      <c r="A345" s="4" t="s">
        <v>21</v>
      </c>
      <c r="B345" s="4" t="s">
        <v>39</v>
      </c>
      <c r="C345" s="4" t="s">
        <v>40</v>
      </c>
      <c r="D345" s="4" t="s">
        <v>38</v>
      </c>
      <c r="E345" s="4" t="s">
        <v>25</v>
      </c>
      <c r="F345" s="4" t="s">
        <v>57</v>
      </c>
      <c r="G345" s="4" t="s">
        <v>25</v>
      </c>
      <c r="H345" s="4" t="s">
        <v>25</v>
      </c>
      <c r="I345" s="5">
        <v>44501</v>
      </c>
      <c r="J345" s="6">
        <v>20629</v>
      </c>
      <c r="K345" s="6">
        <v>7564.6543000000001</v>
      </c>
      <c r="L345" s="6">
        <v>0</v>
      </c>
      <c r="M345" s="6">
        <v>0</v>
      </c>
      <c r="N345" s="6">
        <v>0</v>
      </c>
      <c r="O345" s="6">
        <v>0</v>
      </c>
      <c r="P345" s="6">
        <v>40</v>
      </c>
      <c r="Q345" s="4" t="s">
        <v>58</v>
      </c>
      <c r="R345" s="4">
        <v>0</v>
      </c>
      <c r="S345" s="4" t="s">
        <v>160</v>
      </c>
      <c r="U345" s="4">
        <v>6</v>
      </c>
      <c r="V345" s="4">
        <v>0</v>
      </c>
      <c r="W345" s="4">
        <v>0</v>
      </c>
    </row>
    <row r="346" spans="1:23" ht="11.25" customHeight="1" x14ac:dyDescent="0.25">
      <c r="A346" s="4" t="s">
        <v>21</v>
      </c>
      <c r="B346" s="4" t="s">
        <v>39</v>
      </c>
      <c r="C346" s="4" t="s">
        <v>40</v>
      </c>
      <c r="D346" s="4" t="s">
        <v>38</v>
      </c>
      <c r="E346" s="4" t="s">
        <v>25</v>
      </c>
      <c r="F346" s="4" t="s">
        <v>57</v>
      </c>
      <c r="G346" s="4" t="s">
        <v>25</v>
      </c>
      <c r="H346" s="4" t="s">
        <v>25</v>
      </c>
      <c r="I346" s="5">
        <v>44531</v>
      </c>
      <c r="J346" s="6">
        <v>20795</v>
      </c>
      <c r="K346" s="6">
        <v>7914.5770000000002</v>
      </c>
      <c r="L346" s="6">
        <v>0</v>
      </c>
      <c r="M346" s="6">
        <v>0</v>
      </c>
      <c r="N346" s="6">
        <v>0</v>
      </c>
      <c r="O346" s="6">
        <v>0</v>
      </c>
      <c r="P346" s="6">
        <v>40</v>
      </c>
      <c r="Q346" s="4" t="s">
        <v>58</v>
      </c>
      <c r="R346" s="4">
        <v>0</v>
      </c>
      <c r="S346" s="4" t="s">
        <v>161</v>
      </c>
      <c r="U346" s="4">
        <v>6</v>
      </c>
      <c r="V346" s="4">
        <v>0</v>
      </c>
      <c r="W346" s="4">
        <v>0</v>
      </c>
    </row>
    <row r="347" spans="1:23" ht="11.25" customHeight="1" x14ac:dyDescent="0.25">
      <c r="A347" s="4" t="s">
        <v>21</v>
      </c>
      <c r="B347" s="4" t="s">
        <v>39</v>
      </c>
      <c r="C347" s="4" t="s">
        <v>40</v>
      </c>
      <c r="D347" s="4" t="s">
        <v>38</v>
      </c>
      <c r="E347" s="4" t="s">
        <v>25</v>
      </c>
      <c r="F347" s="4" t="s">
        <v>57</v>
      </c>
      <c r="G347" s="4" t="s">
        <v>25</v>
      </c>
      <c r="H347" s="4" t="s">
        <v>25</v>
      </c>
      <c r="I347" s="5">
        <v>44562</v>
      </c>
      <c r="J347" s="6">
        <v>20826</v>
      </c>
      <c r="K347" s="6">
        <v>7630.6463999999996</v>
      </c>
      <c r="L347" s="6">
        <v>0</v>
      </c>
      <c r="M347" s="6">
        <v>0</v>
      </c>
      <c r="N347" s="6">
        <v>0</v>
      </c>
      <c r="O347" s="6">
        <v>0</v>
      </c>
      <c r="P347" s="6">
        <v>40</v>
      </c>
      <c r="Q347" s="4" t="s">
        <v>58</v>
      </c>
      <c r="R347" s="4">
        <v>0</v>
      </c>
      <c r="S347" s="4" t="s">
        <v>162</v>
      </c>
      <c r="U347" s="4">
        <v>6</v>
      </c>
      <c r="V347" s="4">
        <v>0</v>
      </c>
      <c r="W347" s="4">
        <v>0</v>
      </c>
    </row>
    <row r="348" spans="1:23" ht="11.25" customHeight="1" x14ac:dyDescent="0.25">
      <c r="A348" s="4" t="s">
        <v>21</v>
      </c>
      <c r="B348" s="4" t="s">
        <v>39</v>
      </c>
      <c r="C348" s="4" t="s">
        <v>40</v>
      </c>
      <c r="D348" s="4" t="s">
        <v>38</v>
      </c>
      <c r="E348" s="4" t="s">
        <v>25</v>
      </c>
      <c r="F348" s="4" t="s">
        <v>57</v>
      </c>
      <c r="G348" s="4" t="s">
        <v>25</v>
      </c>
      <c r="H348" s="4" t="s">
        <v>25</v>
      </c>
      <c r="I348" s="5">
        <v>44593</v>
      </c>
      <c r="J348" s="6">
        <v>22009</v>
      </c>
      <c r="K348" s="6">
        <v>9045.6990000000005</v>
      </c>
      <c r="L348" s="6">
        <v>0</v>
      </c>
      <c r="M348" s="6">
        <v>0</v>
      </c>
      <c r="N348" s="6">
        <v>0</v>
      </c>
      <c r="O348" s="6">
        <v>0</v>
      </c>
      <c r="P348" s="6">
        <v>41</v>
      </c>
      <c r="Q348" s="4" t="s">
        <v>58</v>
      </c>
      <c r="R348" s="4">
        <v>0</v>
      </c>
      <c r="S348" s="4" t="s">
        <v>163</v>
      </c>
      <c r="U348" s="4">
        <v>6</v>
      </c>
      <c r="V348" s="4">
        <v>0</v>
      </c>
      <c r="W348" s="4">
        <v>0</v>
      </c>
    </row>
    <row r="349" spans="1:23" ht="11.25" customHeight="1" x14ac:dyDescent="0.25">
      <c r="A349" s="4" t="s">
        <v>21</v>
      </c>
      <c r="B349" s="4" t="s">
        <v>39</v>
      </c>
      <c r="C349" s="4" t="s">
        <v>40</v>
      </c>
      <c r="D349" s="4" t="s">
        <v>38</v>
      </c>
      <c r="E349" s="4" t="s">
        <v>25</v>
      </c>
      <c r="F349" s="4" t="s">
        <v>57</v>
      </c>
      <c r="G349" s="4" t="s">
        <v>25</v>
      </c>
      <c r="H349" s="4" t="s">
        <v>25</v>
      </c>
      <c r="I349" s="5">
        <v>44621</v>
      </c>
      <c r="J349" s="6">
        <v>21866</v>
      </c>
      <c r="K349" s="6">
        <v>8818.5578000000005</v>
      </c>
      <c r="L349" s="6">
        <v>0</v>
      </c>
      <c r="M349" s="6">
        <v>0</v>
      </c>
      <c r="N349" s="6">
        <v>0</v>
      </c>
      <c r="O349" s="6">
        <v>0</v>
      </c>
      <c r="P349" s="6">
        <v>41</v>
      </c>
      <c r="Q349" s="4" t="s">
        <v>58</v>
      </c>
      <c r="R349" s="4">
        <v>0</v>
      </c>
      <c r="S349" s="4" t="s">
        <v>164</v>
      </c>
      <c r="U349" s="4">
        <v>6</v>
      </c>
      <c r="V349" s="4">
        <v>0</v>
      </c>
      <c r="W349" s="4">
        <v>0</v>
      </c>
    </row>
    <row r="350" spans="1:23" ht="11.25" customHeight="1" x14ac:dyDescent="0.25">
      <c r="A350" s="4" t="s">
        <v>21</v>
      </c>
      <c r="B350" s="4" t="s">
        <v>39</v>
      </c>
      <c r="C350" s="4" t="s">
        <v>40</v>
      </c>
      <c r="D350" s="4" t="s">
        <v>38</v>
      </c>
      <c r="E350" s="4" t="s">
        <v>25</v>
      </c>
      <c r="F350" s="4" t="s">
        <v>57</v>
      </c>
      <c r="G350" s="4" t="s">
        <v>25</v>
      </c>
      <c r="H350" s="4" t="s">
        <v>25</v>
      </c>
      <c r="I350" s="5">
        <v>44652</v>
      </c>
      <c r="J350" s="6">
        <v>21377</v>
      </c>
      <c r="K350" s="6">
        <v>8888.5565999999999</v>
      </c>
      <c r="L350" s="6">
        <v>0</v>
      </c>
      <c r="M350" s="6">
        <v>0</v>
      </c>
      <c r="N350" s="6">
        <v>0</v>
      </c>
      <c r="O350" s="6">
        <v>0</v>
      </c>
      <c r="P350" s="6">
        <v>40</v>
      </c>
      <c r="Q350" s="4" t="s">
        <v>58</v>
      </c>
      <c r="R350" s="4">
        <v>0</v>
      </c>
      <c r="S350" s="4" t="s">
        <v>165</v>
      </c>
      <c r="U350" s="4">
        <v>6</v>
      </c>
      <c r="V350" s="4">
        <v>0</v>
      </c>
      <c r="W350" s="4">
        <v>0</v>
      </c>
    </row>
    <row r="351" spans="1:23" ht="11.25" customHeight="1" x14ac:dyDescent="0.25">
      <c r="A351" s="4" t="s">
        <v>21</v>
      </c>
      <c r="B351" s="4" t="s">
        <v>39</v>
      </c>
      <c r="C351" s="4" t="s">
        <v>40</v>
      </c>
      <c r="D351" s="4" t="s">
        <v>38</v>
      </c>
      <c r="E351" s="4" t="s">
        <v>25</v>
      </c>
      <c r="F351" s="4" t="s">
        <v>57</v>
      </c>
      <c r="G351" s="4" t="s">
        <v>25</v>
      </c>
      <c r="H351" s="4" t="s">
        <v>25</v>
      </c>
      <c r="I351" s="5">
        <v>44682</v>
      </c>
      <c r="J351" s="6">
        <v>22872</v>
      </c>
      <c r="K351" s="6">
        <v>9201.4056</v>
      </c>
      <c r="L351" s="6">
        <v>0</v>
      </c>
      <c r="M351" s="6">
        <v>0</v>
      </c>
      <c r="N351" s="6">
        <v>0</v>
      </c>
      <c r="O351" s="6">
        <v>0</v>
      </c>
      <c r="P351" s="6">
        <v>42</v>
      </c>
      <c r="Q351" s="4" t="s">
        <v>58</v>
      </c>
      <c r="R351" s="4">
        <v>0</v>
      </c>
      <c r="S351" s="4" t="s">
        <v>166</v>
      </c>
      <c r="U351" s="4">
        <v>6</v>
      </c>
      <c r="V351" s="4">
        <v>0</v>
      </c>
      <c r="W351" s="4">
        <v>0</v>
      </c>
    </row>
    <row r="352" spans="1:23" ht="11.25" customHeight="1" x14ac:dyDescent="0.25">
      <c r="A352" s="4" t="s">
        <v>21</v>
      </c>
      <c r="B352" s="4" t="s">
        <v>39</v>
      </c>
      <c r="C352" s="4" t="s">
        <v>40</v>
      </c>
      <c r="D352" s="4" t="s">
        <v>38</v>
      </c>
      <c r="E352" s="4" t="s">
        <v>25</v>
      </c>
      <c r="F352" s="4" t="s">
        <v>57</v>
      </c>
      <c r="G352" s="4" t="s">
        <v>25</v>
      </c>
      <c r="H352" s="4" t="s">
        <v>25</v>
      </c>
      <c r="I352" s="5">
        <v>44743</v>
      </c>
      <c r="J352" s="6">
        <v>24481</v>
      </c>
      <c r="K352" s="6">
        <v>9816.8809999999994</v>
      </c>
      <c r="L352" s="6">
        <v>0</v>
      </c>
      <c r="M352" s="6">
        <v>0</v>
      </c>
      <c r="N352" s="6">
        <v>0</v>
      </c>
      <c r="O352" s="6">
        <v>0</v>
      </c>
      <c r="P352" s="6">
        <v>41</v>
      </c>
      <c r="Q352" s="4" t="s">
        <v>58</v>
      </c>
      <c r="R352" s="4">
        <v>0</v>
      </c>
      <c r="S352" s="4" t="s">
        <v>168</v>
      </c>
      <c r="U352" s="4">
        <v>6</v>
      </c>
      <c r="V352" s="4">
        <v>0</v>
      </c>
      <c r="W352" s="4">
        <v>0</v>
      </c>
    </row>
    <row r="353" spans="1:23" ht="11.25" customHeight="1" x14ac:dyDescent="0.25">
      <c r="A353" s="4" t="s">
        <v>56</v>
      </c>
      <c r="B353" s="4" t="s">
        <v>39</v>
      </c>
      <c r="C353" s="4" t="s">
        <v>40</v>
      </c>
      <c r="D353" s="4" t="s">
        <v>38</v>
      </c>
      <c r="E353" s="4" t="s">
        <v>25</v>
      </c>
      <c r="F353" s="4" t="s">
        <v>57</v>
      </c>
      <c r="G353" s="4" t="s">
        <v>25</v>
      </c>
      <c r="H353" s="4" t="s">
        <v>25</v>
      </c>
      <c r="I353" s="5">
        <v>44774</v>
      </c>
      <c r="J353" s="6">
        <v>24481</v>
      </c>
      <c r="K353" s="6">
        <v>9816.8809999999994</v>
      </c>
      <c r="L353" s="6">
        <v>0</v>
      </c>
      <c r="M353" s="6">
        <v>0</v>
      </c>
      <c r="N353" s="6">
        <v>0</v>
      </c>
      <c r="O353" s="6">
        <v>0</v>
      </c>
      <c r="P353" s="6">
        <v>41</v>
      </c>
      <c r="Q353" s="4" t="s">
        <v>58</v>
      </c>
      <c r="R353" s="4">
        <v>0</v>
      </c>
      <c r="S353" s="4" t="s">
        <v>169</v>
      </c>
      <c r="U353" s="4">
        <v>6</v>
      </c>
      <c r="V353" s="4">
        <v>0</v>
      </c>
      <c r="W353" s="4">
        <v>0</v>
      </c>
    </row>
    <row r="354" spans="1:23" ht="11.25" customHeight="1" x14ac:dyDescent="0.25">
      <c r="A354" s="4" t="s">
        <v>21</v>
      </c>
      <c r="B354" s="4" t="s">
        <v>39</v>
      </c>
      <c r="C354" s="4" t="s">
        <v>40</v>
      </c>
      <c r="D354" s="4" t="s">
        <v>38</v>
      </c>
      <c r="E354" s="4" t="s">
        <v>25</v>
      </c>
      <c r="F354" s="4" t="s">
        <v>57</v>
      </c>
      <c r="G354" s="4" t="s">
        <v>25</v>
      </c>
      <c r="H354" s="4" t="s">
        <v>34</v>
      </c>
      <c r="I354" s="5">
        <v>44440</v>
      </c>
      <c r="J354" s="6">
        <v>0</v>
      </c>
      <c r="K354" s="6">
        <v>0</v>
      </c>
      <c r="L354" s="6">
        <v>460.154</v>
      </c>
      <c r="M354" s="6">
        <v>187.65080119999999</v>
      </c>
      <c r="N354" s="6">
        <v>0</v>
      </c>
      <c r="O354" s="6">
        <v>0</v>
      </c>
      <c r="P354" s="6">
        <v>0</v>
      </c>
      <c r="Q354" s="4" t="s">
        <v>58</v>
      </c>
      <c r="R354" s="4">
        <v>0</v>
      </c>
      <c r="S354" s="4" t="s">
        <v>170</v>
      </c>
      <c r="U354" s="4">
        <v>0</v>
      </c>
      <c r="V354" s="4">
        <v>7</v>
      </c>
      <c r="W354" s="4">
        <v>0</v>
      </c>
    </row>
    <row r="355" spans="1:23" ht="11.25" customHeight="1" x14ac:dyDescent="0.25">
      <c r="A355" s="4" t="s">
        <v>21</v>
      </c>
      <c r="B355" s="4" t="s">
        <v>39</v>
      </c>
      <c r="C355" s="4" t="s">
        <v>40</v>
      </c>
      <c r="D355" s="4" t="s">
        <v>38</v>
      </c>
      <c r="E355" s="4" t="s">
        <v>25</v>
      </c>
      <c r="F355" s="4" t="s">
        <v>57</v>
      </c>
      <c r="G355" s="4" t="s">
        <v>25</v>
      </c>
      <c r="H355" s="4" t="s">
        <v>34</v>
      </c>
      <c r="I355" s="5">
        <v>44470</v>
      </c>
      <c r="J355" s="6">
        <v>0</v>
      </c>
      <c r="K355" s="6">
        <v>0</v>
      </c>
      <c r="L355" s="6">
        <v>375.12299999999999</v>
      </c>
      <c r="M355" s="6">
        <v>146.14792080000001</v>
      </c>
      <c r="N355" s="6">
        <v>0</v>
      </c>
      <c r="O355" s="6">
        <v>0</v>
      </c>
      <c r="P355" s="6">
        <v>0</v>
      </c>
      <c r="Q355" s="4" t="s">
        <v>58</v>
      </c>
      <c r="R355" s="4">
        <v>0</v>
      </c>
      <c r="S355" s="4" t="s">
        <v>171</v>
      </c>
      <c r="U355" s="4">
        <v>0</v>
      </c>
      <c r="V355" s="4">
        <v>7</v>
      </c>
      <c r="W355" s="4">
        <v>0</v>
      </c>
    </row>
    <row r="356" spans="1:23" ht="11.25" customHeight="1" x14ac:dyDescent="0.25">
      <c r="A356" s="4" t="s">
        <v>21</v>
      </c>
      <c r="B356" s="4" t="s">
        <v>39</v>
      </c>
      <c r="C356" s="4" t="s">
        <v>40</v>
      </c>
      <c r="D356" s="4" t="s">
        <v>38</v>
      </c>
      <c r="E356" s="4" t="s">
        <v>25</v>
      </c>
      <c r="F356" s="4" t="s">
        <v>57</v>
      </c>
      <c r="G356" s="4" t="s">
        <v>25</v>
      </c>
      <c r="H356" s="4" t="s">
        <v>34</v>
      </c>
      <c r="I356" s="5">
        <v>44501</v>
      </c>
      <c r="J356" s="6">
        <v>0</v>
      </c>
      <c r="K356" s="6">
        <v>0</v>
      </c>
      <c r="L356" s="6">
        <v>456.67399999999998</v>
      </c>
      <c r="M356" s="6">
        <v>186.59699639999999</v>
      </c>
      <c r="N356" s="6">
        <v>0</v>
      </c>
      <c r="O356" s="6">
        <v>0</v>
      </c>
      <c r="P356" s="6">
        <v>0</v>
      </c>
      <c r="Q356" s="4" t="s">
        <v>58</v>
      </c>
      <c r="R356" s="4">
        <v>0</v>
      </c>
      <c r="S356" s="4" t="s">
        <v>172</v>
      </c>
      <c r="U356" s="4">
        <v>0</v>
      </c>
      <c r="V356" s="4">
        <v>7</v>
      </c>
      <c r="W356" s="4">
        <v>0</v>
      </c>
    </row>
    <row r="357" spans="1:23" ht="11.25" customHeight="1" x14ac:dyDescent="0.25">
      <c r="A357" s="4" t="s">
        <v>21</v>
      </c>
      <c r="B357" s="4" t="s">
        <v>39</v>
      </c>
      <c r="C357" s="4" t="s">
        <v>40</v>
      </c>
      <c r="D357" s="4" t="s">
        <v>38</v>
      </c>
      <c r="E357" s="4" t="s">
        <v>25</v>
      </c>
      <c r="F357" s="4" t="s">
        <v>57</v>
      </c>
      <c r="G357" s="4" t="s">
        <v>25</v>
      </c>
      <c r="H357" s="4" t="s">
        <v>34</v>
      </c>
      <c r="I357" s="5">
        <v>44531</v>
      </c>
      <c r="J357" s="6">
        <v>0</v>
      </c>
      <c r="K357" s="6">
        <v>0</v>
      </c>
      <c r="L357" s="6">
        <v>427.88099999999997</v>
      </c>
      <c r="M357" s="6">
        <v>174.74660040000001</v>
      </c>
      <c r="N357" s="6">
        <v>0</v>
      </c>
      <c r="O357" s="6">
        <v>0</v>
      </c>
      <c r="P357" s="6">
        <v>0</v>
      </c>
      <c r="Q357" s="4" t="s">
        <v>58</v>
      </c>
      <c r="R357" s="4">
        <v>0</v>
      </c>
      <c r="S357" s="4" t="s">
        <v>173</v>
      </c>
      <c r="U357" s="4">
        <v>0</v>
      </c>
      <c r="V357" s="4">
        <v>7</v>
      </c>
      <c r="W357" s="4">
        <v>0</v>
      </c>
    </row>
    <row r="358" spans="1:23" ht="11.25" customHeight="1" x14ac:dyDescent="0.25">
      <c r="A358" s="4" t="s">
        <v>21</v>
      </c>
      <c r="B358" s="4" t="s">
        <v>39</v>
      </c>
      <c r="C358" s="4" t="s">
        <v>40</v>
      </c>
      <c r="D358" s="4" t="s">
        <v>38</v>
      </c>
      <c r="E358" s="4" t="s">
        <v>25</v>
      </c>
      <c r="F358" s="4" t="s">
        <v>57</v>
      </c>
      <c r="G358" s="4" t="s">
        <v>25</v>
      </c>
      <c r="H358" s="4" t="s">
        <v>34</v>
      </c>
      <c r="I358" s="5">
        <v>44562</v>
      </c>
      <c r="J358" s="6">
        <v>0</v>
      </c>
      <c r="K358" s="6">
        <v>0</v>
      </c>
      <c r="L358" s="6">
        <v>399.09100000000001</v>
      </c>
      <c r="M358" s="6">
        <v>154.448217</v>
      </c>
      <c r="N358" s="6">
        <v>0</v>
      </c>
      <c r="O358" s="6">
        <v>0</v>
      </c>
      <c r="P358" s="6">
        <v>0</v>
      </c>
      <c r="Q358" s="4" t="s">
        <v>58</v>
      </c>
      <c r="R358" s="4">
        <v>0</v>
      </c>
      <c r="S358" s="4" t="s">
        <v>174</v>
      </c>
      <c r="U358" s="4">
        <v>0</v>
      </c>
      <c r="V358" s="4">
        <v>7</v>
      </c>
      <c r="W358" s="4">
        <v>0</v>
      </c>
    </row>
    <row r="359" spans="1:23" ht="11.25" customHeight="1" x14ac:dyDescent="0.25">
      <c r="A359" s="4" t="s">
        <v>21</v>
      </c>
      <c r="B359" s="4" t="s">
        <v>39</v>
      </c>
      <c r="C359" s="4" t="s">
        <v>40</v>
      </c>
      <c r="D359" s="4" t="s">
        <v>38</v>
      </c>
      <c r="E359" s="4" t="s">
        <v>25</v>
      </c>
      <c r="F359" s="4" t="s">
        <v>57</v>
      </c>
      <c r="G359" s="4" t="s">
        <v>25</v>
      </c>
      <c r="H359" s="4" t="s">
        <v>34</v>
      </c>
      <c r="I359" s="5">
        <v>44593</v>
      </c>
      <c r="J359" s="6">
        <v>0</v>
      </c>
      <c r="K359" s="6">
        <v>0</v>
      </c>
      <c r="L359" s="6">
        <v>441.58</v>
      </c>
      <c r="M359" s="6">
        <v>182.81412</v>
      </c>
      <c r="N359" s="6">
        <v>0</v>
      </c>
      <c r="O359" s="6">
        <v>0</v>
      </c>
      <c r="P359" s="6">
        <v>0</v>
      </c>
      <c r="Q359" s="4" t="s">
        <v>58</v>
      </c>
      <c r="R359" s="4">
        <v>0</v>
      </c>
      <c r="S359" s="4" t="s">
        <v>175</v>
      </c>
      <c r="U359" s="4">
        <v>0</v>
      </c>
      <c r="V359" s="4">
        <v>7</v>
      </c>
      <c r="W359" s="4">
        <v>0</v>
      </c>
    </row>
    <row r="360" spans="1:23" ht="11.25" customHeight="1" x14ac:dyDescent="0.25">
      <c r="A360" s="4" t="s">
        <v>21</v>
      </c>
      <c r="B360" s="4" t="s">
        <v>39</v>
      </c>
      <c r="C360" s="4" t="s">
        <v>40</v>
      </c>
      <c r="D360" s="4" t="s">
        <v>38</v>
      </c>
      <c r="E360" s="4" t="s">
        <v>25</v>
      </c>
      <c r="F360" s="4" t="s">
        <v>57</v>
      </c>
      <c r="G360" s="4" t="s">
        <v>25</v>
      </c>
      <c r="H360" s="4" t="s">
        <v>34</v>
      </c>
      <c r="I360" s="5">
        <v>44621</v>
      </c>
      <c r="J360" s="6">
        <v>0</v>
      </c>
      <c r="K360" s="6">
        <v>0</v>
      </c>
      <c r="L360" s="6">
        <v>445.60199999999998</v>
      </c>
      <c r="M360" s="6">
        <v>183.2315424</v>
      </c>
      <c r="N360" s="6">
        <v>0</v>
      </c>
      <c r="O360" s="6">
        <v>0</v>
      </c>
      <c r="P360" s="6">
        <v>0</v>
      </c>
      <c r="Q360" s="4" t="s">
        <v>58</v>
      </c>
      <c r="R360" s="4">
        <v>0</v>
      </c>
      <c r="S360" s="4" t="s">
        <v>176</v>
      </c>
      <c r="U360" s="4">
        <v>0</v>
      </c>
      <c r="V360" s="4">
        <v>7</v>
      </c>
      <c r="W360" s="4">
        <v>0</v>
      </c>
    </row>
    <row r="361" spans="1:23" ht="11.25" customHeight="1" x14ac:dyDescent="0.25">
      <c r="A361" s="4" t="s">
        <v>21</v>
      </c>
      <c r="B361" s="4" t="s">
        <v>39</v>
      </c>
      <c r="C361" s="4" t="s">
        <v>40</v>
      </c>
      <c r="D361" s="4" t="s">
        <v>38</v>
      </c>
      <c r="E361" s="4" t="s">
        <v>25</v>
      </c>
      <c r="F361" s="4" t="s">
        <v>57</v>
      </c>
      <c r="G361" s="4" t="s">
        <v>25</v>
      </c>
      <c r="H361" s="4" t="s">
        <v>34</v>
      </c>
      <c r="I361" s="5">
        <v>44652</v>
      </c>
      <c r="J361" s="6">
        <v>0</v>
      </c>
      <c r="K361" s="6">
        <v>0</v>
      </c>
      <c r="L361" s="6">
        <v>489.24099999999999</v>
      </c>
      <c r="M361" s="6">
        <v>225.58902509999999</v>
      </c>
      <c r="N361" s="6">
        <v>0</v>
      </c>
      <c r="O361" s="6">
        <v>0</v>
      </c>
      <c r="P361" s="6">
        <v>0</v>
      </c>
      <c r="Q361" s="4" t="s">
        <v>58</v>
      </c>
      <c r="R361" s="4">
        <v>0</v>
      </c>
      <c r="S361" s="4" t="s">
        <v>177</v>
      </c>
      <c r="U361" s="4">
        <v>0</v>
      </c>
      <c r="V361" s="4">
        <v>7</v>
      </c>
      <c r="W361" s="4">
        <v>0</v>
      </c>
    </row>
    <row r="362" spans="1:23" ht="11.25" customHeight="1" x14ac:dyDescent="0.25">
      <c r="A362" s="4" t="s">
        <v>21</v>
      </c>
      <c r="B362" s="4" t="s">
        <v>39</v>
      </c>
      <c r="C362" s="4" t="s">
        <v>40</v>
      </c>
      <c r="D362" s="4" t="s">
        <v>38</v>
      </c>
      <c r="E362" s="4" t="s">
        <v>25</v>
      </c>
      <c r="F362" s="4" t="s">
        <v>57</v>
      </c>
      <c r="G362" s="4" t="s">
        <v>25</v>
      </c>
      <c r="H362" s="4" t="s">
        <v>34</v>
      </c>
      <c r="I362" s="5">
        <v>44682</v>
      </c>
      <c r="J362" s="6">
        <v>0</v>
      </c>
      <c r="K362" s="6">
        <v>0</v>
      </c>
      <c r="L362" s="6">
        <v>424.39800000000002</v>
      </c>
      <c r="M362" s="6">
        <v>192.84645119999999</v>
      </c>
      <c r="N362" s="6">
        <v>0</v>
      </c>
      <c r="O362" s="6">
        <v>0</v>
      </c>
      <c r="P362" s="6">
        <v>0</v>
      </c>
      <c r="Q362" s="4" t="s">
        <v>58</v>
      </c>
      <c r="R362" s="4">
        <v>0</v>
      </c>
      <c r="S362" s="4" t="s">
        <v>178</v>
      </c>
      <c r="U362" s="4">
        <v>0</v>
      </c>
      <c r="V362" s="4">
        <v>7</v>
      </c>
      <c r="W362" s="4">
        <v>0</v>
      </c>
    </row>
    <row r="363" spans="1:23" ht="11.25" customHeight="1" x14ac:dyDescent="0.25">
      <c r="A363" s="4" t="s">
        <v>21</v>
      </c>
      <c r="B363" s="4" t="s">
        <v>39</v>
      </c>
      <c r="C363" s="4" t="s">
        <v>40</v>
      </c>
      <c r="D363" s="4" t="s">
        <v>38</v>
      </c>
      <c r="E363" s="4" t="s">
        <v>25</v>
      </c>
      <c r="F363" s="4" t="s">
        <v>57</v>
      </c>
      <c r="G363" s="4" t="s">
        <v>25</v>
      </c>
      <c r="H363" s="4" t="s">
        <v>34</v>
      </c>
      <c r="I363" s="5">
        <v>44713</v>
      </c>
      <c r="J363" s="6">
        <v>0</v>
      </c>
      <c r="K363" s="6">
        <v>0</v>
      </c>
      <c r="L363" s="6">
        <v>448.86900000000003</v>
      </c>
      <c r="M363" s="6">
        <v>200.19557399999999</v>
      </c>
      <c r="N363" s="6">
        <v>0</v>
      </c>
      <c r="O363" s="6">
        <v>0</v>
      </c>
      <c r="P363" s="6">
        <v>0</v>
      </c>
      <c r="Q363" s="4" t="s">
        <v>58</v>
      </c>
      <c r="R363" s="4">
        <v>0</v>
      </c>
      <c r="S363" s="4" t="s">
        <v>179</v>
      </c>
      <c r="U363" s="4">
        <v>0</v>
      </c>
      <c r="V363" s="4">
        <v>7</v>
      </c>
      <c r="W363" s="4">
        <v>0</v>
      </c>
    </row>
    <row r="364" spans="1:23" ht="11.25" customHeight="1" x14ac:dyDescent="0.25">
      <c r="A364" s="4" t="s">
        <v>21</v>
      </c>
      <c r="B364" s="4" t="s">
        <v>39</v>
      </c>
      <c r="C364" s="4" t="s">
        <v>40</v>
      </c>
      <c r="D364" s="4" t="s">
        <v>38</v>
      </c>
      <c r="E364" s="4" t="s">
        <v>25</v>
      </c>
      <c r="F364" s="4" t="s">
        <v>57</v>
      </c>
      <c r="G364" s="4" t="s">
        <v>25</v>
      </c>
      <c r="H364" s="4" t="s">
        <v>34</v>
      </c>
      <c r="I364" s="5">
        <v>44743</v>
      </c>
      <c r="J364" s="6">
        <v>0</v>
      </c>
      <c r="K364" s="6">
        <v>0</v>
      </c>
      <c r="L364" s="6">
        <v>455.94499999999999</v>
      </c>
      <c r="M364" s="6">
        <v>195.87397200000001</v>
      </c>
      <c r="N364" s="6">
        <v>0</v>
      </c>
      <c r="O364" s="6">
        <v>0</v>
      </c>
      <c r="P364" s="6">
        <v>0</v>
      </c>
      <c r="Q364" s="4" t="s">
        <v>58</v>
      </c>
      <c r="R364" s="4">
        <v>0</v>
      </c>
      <c r="S364" s="4" t="s">
        <v>180</v>
      </c>
      <c r="U364" s="4">
        <v>0</v>
      </c>
      <c r="V364" s="4">
        <v>7</v>
      </c>
      <c r="W364" s="4">
        <v>0</v>
      </c>
    </row>
    <row r="365" spans="1:23" ht="11.25" customHeight="1" x14ac:dyDescent="0.25">
      <c r="A365" s="4" t="s">
        <v>56</v>
      </c>
      <c r="B365" s="4" t="s">
        <v>39</v>
      </c>
      <c r="C365" s="4" t="s">
        <v>40</v>
      </c>
      <c r="D365" s="4" t="s">
        <v>38</v>
      </c>
      <c r="E365" s="4" t="s">
        <v>25</v>
      </c>
      <c r="F365" s="4" t="s">
        <v>57</v>
      </c>
      <c r="G365" s="4" t="s">
        <v>25</v>
      </c>
      <c r="H365" s="4" t="s">
        <v>34</v>
      </c>
      <c r="I365" s="5">
        <v>44774</v>
      </c>
      <c r="J365" s="6">
        <v>0</v>
      </c>
      <c r="K365" s="6">
        <v>0</v>
      </c>
      <c r="L365" s="6">
        <v>455.94499999999999</v>
      </c>
      <c r="M365" s="6">
        <v>195.87397200000001</v>
      </c>
      <c r="N365" s="6">
        <v>0</v>
      </c>
      <c r="O365" s="6">
        <v>0</v>
      </c>
      <c r="P365" s="6">
        <v>0</v>
      </c>
      <c r="Q365" s="4" t="s">
        <v>58</v>
      </c>
      <c r="R365" s="4">
        <v>0</v>
      </c>
      <c r="S365" s="4" t="s">
        <v>181</v>
      </c>
      <c r="U365" s="4">
        <v>0</v>
      </c>
      <c r="V365" s="4">
        <v>7</v>
      </c>
      <c r="W365" s="4">
        <v>0</v>
      </c>
    </row>
    <row r="366" spans="1:23" ht="11.25" customHeight="1" x14ac:dyDescent="0.25">
      <c r="A366" s="4" t="s">
        <v>21</v>
      </c>
      <c r="B366" s="4" t="s">
        <v>39</v>
      </c>
      <c r="C366" s="4" t="s">
        <v>40</v>
      </c>
      <c r="D366" s="4" t="s">
        <v>38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44440</v>
      </c>
      <c r="J366" s="6">
        <v>0</v>
      </c>
      <c r="K366" s="6">
        <v>0</v>
      </c>
      <c r="L366" s="6">
        <v>2479.4299999999998</v>
      </c>
      <c r="M366" s="6">
        <v>2479.4299999999998</v>
      </c>
      <c r="N366" s="6">
        <v>2479.4299999999998</v>
      </c>
      <c r="O366" s="6">
        <v>2479.4299999999998</v>
      </c>
      <c r="P366" s="6">
        <v>0</v>
      </c>
      <c r="Q366" s="4" t="s">
        <v>26</v>
      </c>
      <c r="R366" s="4">
        <v>0</v>
      </c>
      <c r="S366" s="4" t="s">
        <v>146</v>
      </c>
      <c r="T366" s="4" t="s">
        <v>399</v>
      </c>
      <c r="U366" s="4">
        <v>0</v>
      </c>
      <c r="V366" s="4">
        <v>8</v>
      </c>
      <c r="W366" s="4">
        <v>49</v>
      </c>
    </row>
    <row r="367" spans="1:23" ht="11.25" customHeight="1" x14ac:dyDescent="0.25">
      <c r="A367" s="4" t="s">
        <v>28</v>
      </c>
      <c r="B367" s="4" t="s">
        <v>39</v>
      </c>
      <c r="C367" s="4" t="s">
        <v>40</v>
      </c>
      <c r="D367" s="4" t="s">
        <v>38</v>
      </c>
      <c r="E367" s="4" t="s">
        <v>25</v>
      </c>
      <c r="F367" s="4" t="s">
        <v>25</v>
      </c>
      <c r="G367" s="4" t="s">
        <v>25</v>
      </c>
      <c r="H367" s="4" t="s">
        <v>35</v>
      </c>
      <c r="I367" s="5">
        <v>44440</v>
      </c>
      <c r="J367" s="6">
        <v>0</v>
      </c>
      <c r="K367" s="6">
        <v>0</v>
      </c>
      <c r="L367" s="6">
        <v>128.191</v>
      </c>
      <c r="M367" s="6">
        <v>128.191</v>
      </c>
      <c r="N367" s="6">
        <v>128.191</v>
      </c>
      <c r="O367" s="6">
        <v>128.191</v>
      </c>
      <c r="P367" s="6">
        <v>0</v>
      </c>
      <c r="Q367" s="4" t="s">
        <v>26</v>
      </c>
      <c r="R367" s="4">
        <v>0</v>
      </c>
      <c r="S367" s="4" t="s">
        <v>146</v>
      </c>
      <c r="T367" s="4" t="s">
        <v>399</v>
      </c>
      <c r="U367" s="4">
        <v>0</v>
      </c>
      <c r="V367" s="4">
        <v>8</v>
      </c>
      <c r="W367" s="4">
        <v>49</v>
      </c>
    </row>
    <row r="368" spans="1:23" ht="11.25" customHeight="1" x14ac:dyDescent="0.25">
      <c r="A368" s="4" t="s">
        <v>21</v>
      </c>
      <c r="B368" s="4" t="s">
        <v>39</v>
      </c>
      <c r="C368" s="4" t="s">
        <v>40</v>
      </c>
      <c r="D368" s="4" t="s">
        <v>38</v>
      </c>
      <c r="E368" s="4" t="s">
        <v>25</v>
      </c>
      <c r="F368" s="4" t="s">
        <v>25</v>
      </c>
      <c r="G368" s="4" t="s">
        <v>25</v>
      </c>
      <c r="H368" s="4" t="s">
        <v>35</v>
      </c>
      <c r="I368" s="5">
        <v>44470</v>
      </c>
      <c r="J368" s="6">
        <v>0</v>
      </c>
      <c r="K368" s="6">
        <v>0</v>
      </c>
      <c r="L368" s="6">
        <v>2581.2829999999999</v>
      </c>
      <c r="M368" s="6">
        <v>2581.2829999999999</v>
      </c>
      <c r="N368" s="6">
        <v>2581.2829999999999</v>
      </c>
      <c r="O368" s="6">
        <v>2581.2829999999999</v>
      </c>
      <c r="P368" s="6">
        <v>0</v>
      </c>
      <c r="Q368" s="4" t="s">
        <v>26</v>
      </c>
      <c r="R368" s="4">
        <v>0</v>
      </c>
      <c r="S368" s="4" t="s">
        <v>147</v>
      </c>
      <c r="T368" s="4" t="s">
        <v>400</v>
      </c>
      <c r="U368" s="4">
        <v>0</v>
      </c>
      <c r="V368" s="4">
        <v>8</v>
      </c>
      <c r="W368" s="4">
        <v>49</v>
      </c>
    </row>
    <row r="369" spans="1:23" ht="11.25" customHeight="1" x14ac:dyDescent="0.25">
      <c r="A369" s="4" t="s">
        <v>28</v>
      </c>
      <c r="B369" s="4" t="s">
        <v>39</v>
      </c>
      <c r="C369" s="4" t="s">
        <v>40</v>
      </c>
      <c r="D369" s="4" t="s">
        <v>38</v>
      </c>
      <c r="E369" s="4" t="s">
        <v>25</v>
      </c>
      <c r="F369" s="4" t="s">
        <v>25</v>
      </c>
      <c r="G369" s="4" t="s">
        <v>25</v>
      </c>
      <c r="H369" s="4" t="s">
        <v>35</v>
      </c>
      <c r="I369" s="5">
        <v>44470</v>
      </c>
      <c r="J369" s="6">
        <v>0</v>
      </c>
      <c r="K369" s="6">
        <v>0</v>
      </c>
      <c r="L369" s="6">
        <v>150.245</v>
      </c>
      <c r="M369" s="6">
        <v>150.245</v>
      </c>
      <c r="N369" s="6">
        <v>150.245</v>
      </c>
      <c r="O369" s="6">
        <v>150.245</v>
      </c>
      <c r="P369" s="6">
        <v>0</v>
      </c>
      <c r="Q369" s="4" t="s">
        <v>26</v>
      </c>
      <c r="R369" s="4">
        <v>0</v>
      </c>
      <c r="S369" s="4" t="s">
        <v>147</v>
      </c>
      <c r="T369" s="4" t="s">
        <v>400</v>
      </c>
      <c r="U369" s="4">
        <v>0</v>
      </c>
      <c r="V369" s="4">
        <v>8</v>
      </c>
      <c r="W369" s="4">
        <v>49</v>
      </c>
    </row>
    <row r="370" spans="1:23" ht="11.25" customHeight="1" x14ac:dyDescent="0.25">
      <c r="A370" s="4" t="s">
        <v>21</v>
      </c>
      <c r="B370" s="4" t="s">
        <v>39</v>
      </c>
      <c r="C370" s="4" t="s">
        <v>40</v>
      </c>
      <c r="D370" s="4" t="s">
        <v>38</v>
      </c>
      <c r="E370" s="4" t="s">
        <v>25</v>
      </c>
      <c r="F370" s="4" t="s">
        <v>25</v>
      </c>
      <c r="G370" s="4" t="s">
        <v>25</v>
      </c>
      <c r="H370" s="4" t="s">
        <v>35</v>
      </c>
      <c r="I370" s="5">
        <v>44501</v>
      </c>
      <c r="J370" s="6">
        <v>0</v>
      </c>
      <c r="K370" s="6">
        <v>0</v>
      </c>
      <c r="L370" s="6">
        <v>2309.0369999999998</v>
      </c>
      <c r="M370" s="6">
        <v>2309.0369999999998</v>
      </c>
      <c r="N370" s="6">
        <v>2309.0369999999998</v>
      </c>
      <c r="O370" s="6">
        <v>2309.0369999999998</v>
      </c>
      <c r="P370" s="6">
        <v>0</v>
      </c>
      <c r="Q370" s="4" t="s">
        <v>26</v>
      </c>
      <c r="R370" s="4">
        <v>0</v>
      </c>
      <c r="S370" s="4" t="s">
        <v>148</v>
      </c>
      <c r="T370" s="4" t="s">
        <v>401</v>
      </c>
      <c r="U370" s="4">
        <v>0</v>
      </c>
      <c r="V370" s="4">
        <v>8</v>
      </c>
      <c r="W370" s="4">
        <v>49</v>
      </c>
    </row>
    <row r="371" spans="1:23" ht="11.25" customHeight="1" x14ac:dyDescent="0.25">
      <c r="A371" s="4" t="s">
        <v>27</v>
      </c>
      <c r="B371" s="4" t="s">
        <v>39</v>
      </c>
      <c r="C371" s="4" t="s">
        <v>40</v>
      </c>
      <c r="D371" s="4" t="s">
        <v>38</v>
      </c>
      <c r="E371" s="4" t="s">
        <v>25</v>
      </c>
      <c r="F371" s="4" t="s">
        <v>25</v>
      </c>
      <c r="G371" s="4" t="s">
        <v>25</v>
      </c>
      <c r="H371" s="4" t="s">
        <v>35</v>
      </c>
      <c r="I371" s="5">
        <v>44501</v>
      </c>
      <c r="J371" s="6">
        <v>0</v>
      </c>
      <c r="K371" s="6">
        <v>0</v>
      </c>
      <c r="L371" s="6">
        <v>2.669</v>
      </c>
      <c r="M371" s="6">
        <v>2.669</v>
      </c>
      <c r="N371" s="6">
        <v>2.669</v>
      </c>
      <c r="O371" s="6">
        <v>2.669</v>
      </c>
      <c r="P371" s="6">
        <v>0</v>
      </c>
      <c r="Q371" s="4" t="s">
        <v>26</v>
      </c>
      <c r="R371" s="4">
        <v>0</v>
      </c>
      <c r="S371" s="4" t="s">
        <v>148</v>
      </c>
      <c r="T371" s="4" t="s">
        <v>401</v>
      </c>
      <c r="U371" s="4">
        <v>0</v>
      </c>
      <c r="V371" s="4">
        <v>8</v>
      </c>
      <c r="W371" s="4">
        <v>49</v>
      </c>
    </row>
    <row r="372" spans="1:23" ht="11.25" customHeight="1" x14ac:dyDescent="0.25">
      <c r="A372" s="4" t="s">
        <v>28</v>
      </c>
      <c r="B372" s="4" t="s">
        <v>39</v>
      </c>
      <c r="C372" s="4" t="s">
        <v>40</v>
      </c>
      <c r="D372" s="4" t="s">
        <v>38</v>
      </c>
      <c r="E372" s="4" t="s">
        <v>25</v>
      </c>
      <c r="F372" s="4" t="s">
        <v>25</v>
      </c>
      <c r="G372" s="4" t="s">
        <v>25</v>
      </c>
      <c r="H372" s="4" t="s">
        <v>35</v>
      </c>
      <c r="I372" s="5">
        <v>44501</v>
      </c>
      <c r="J372" s="6">
        <v>0</v>
      </c>
      <c r="K372" s="6">
        <v>0</v>
      </c>
      <c r="L372" s="6">
        <v>105.377</v>
      </c>
      <c r="M372" s="6">
        <v>105.377</v>
      </c>
      <c r="N372" s="6">
        <v>105.377</v>
      </c>
      <c r="O372" s="6">
        <v>105.377</v>
      </c>
      <c r="P372" s="6">
        <v>0</v>
      </c>
      <c r="Q372" s="4" t="s">
        <v>26</v>
      </c>
      <c r="R372" s="4">
        <v>0</v>
      </c>
      <c r="S372" s="4" t="s">
        <v>148</v>
      </c>
      <c r="T372" s="4" t="s">
        <v>401</v>
      </c>
      <c r="U372" s="4">
        <v>0</v>
      </c>
      <c r="V372" s="4">
        <v>8</v>
      </c>
      <c r="W372" s="4">
        <v>49</v>
      </c>
    </row>
    <row r="373" spans="1:23" ht="11.25" customHeight="1" x14ac:dyDescent="0.25">
      <c r="A373" s="4" t="s">
        <v>21</v>
      </c>
      <c r="B373" s="4" t="s">
        <v>39</v>
      </c>
      <c r="C373" s="4" t="s">
        <v>40</v>
      </c>
      <c r="D373" s="4" t="s">
        <v>38</v>
      </c>
      <c r="E373" s="4" t="s">
        <v>25</v>
      </c>
      <c r="F373" s="4" t="s">
        <v>25</v>
      </c>
      <c r="G373" s="4" t="s">
        <v>25</v>
      </c>
      <c r="H373" s="4" t="s">
        <v>35</v>
      </c>
      <c r="I373" s="5">
        <v>44531</v>
      </c>
      <c r="J373" s="6">
        <v>0</v>
      </c>
      <c r="K373" s="6">
        <v>0</v>
      </c>
      <c r="L373" s="6">
        <v>2175.4059999999999</v>
      </c>
      <c r="M373" s="6">
        <v>2175.4059999999999</v>
      </c>
      <c r="N373" s="6">
        <v>2175.4059999999999</v>
      </c>
      <c r="O373" s="6">
        <v>2175.4059999999999</v>
      </c>
      <c r="P373" s="6">
        <v>0</v>
      </c>
      <c r="Q373" s="4" t="s">
        <v>26</v>
      </c>
      <c r="R373" s="4">
        <v>0</v>
      </c>
      <c r="S373" s="4" t="s">
        <v>149</v>
      </c>
      <c r="T373" s="4" t="s">
        <v>402</v>
      </c>
      <c r="U373" s="4">
        <v>0</v>
      </c>
      <c r="V373" s="4">
        <v>8</v>
      </c>
      <c r="W373" s="4">
        <v>49</v>
      </c>
    </row>
    <row r="374" spans="1:23" ht="11.25" customHeight="1" x14ac:dyDescent="0.25">
      <c r="A374" s="4" t="s">
        <v>28</v>
      </c>
      <c r="B374" s="4" t="s">
        <v>39</v>
      </c>
      <c r="C374" s="4" t="s">
        <v>40</v>
      </c>
      <c r="D374" s="4" t="s">
        <v>38</v>
      </c>
      <c r="E374" s="4" t="s">
        <v>25</v>
      </c>
      <c r="F374" s="4" t="s">
        <v>25</v>
      </c>
      <c r="G374" s="4" t="s">
        <v>25</v>
      </c>
      <c r="H374" s="4" t="s">
        <v>35</v>
      </c>
      <c r="I374" s="5">
        <v>44531</v>
      </c>
      <c r="J374" s="6">
        <v>0</v>
      </c>
      <c r="K374" s="6">
        <v>0</v>
      </c>
      <c r="L374" s="6">
        <v>71.927999999999997</v>
      </c>
      <c r="M374" s="6">
        <v>71.927999999999997</v>
      </c>
      <c r="N374" s="6">
        <v>71.927999999999997</v>
      </c>
      <c r="O374" s="6">
        <v>71.927999999999997</v>
      </c>
      <c r="P374" s="6">
        <v>0</v>
      </c>
      <c r="Q374" s="4" t="s">
        <v>26</v>
      </c>
      <c r="R374" s="4">
        <v>0</v>
      </c>
      <c r="S374" s="4" t="s">
        <v>149</v>
      </c>
      <c r="T374" s="4" t="s">
        <v>402</v>
      </c>
      <c r="U374" s="4">
        <v>0</v>
      </c>
      <c r="V374" s="4">
        <v>8</v>
      </c>
      <c r="W374" s="4">
        <v>49</v>
      </c>
    </row>
    <row r="375" spans="1:23" ht="11.25" customHeight="1" x14ac:dyDescent="0.25">
      <c r="A375" s="4" t="s">
        <v>21</v>
      </c>
      <c r="B375" s="4" t="s">
        <v>39</v>
      </c>
      <c r="C375" s="4" t="s">
        <v>40</v>
      </c>
      <c r="D375" s="4" t="s">
        <v>38</v>
      </c>
      <c r="E375" s="4" t="s">
        <v>25</v>
      </c>
      <c r="F375" s="4" t="s">
        <v>25</v>
      </c>
      <c r="G375" s="4" t="s">
        <v>25</v>
      </c>
      <c r="H375" s="4" t="s">
        <v>35</v>
      </c>
      <c r="I375" s="5">
        <v>44562</v>
      </c>
      <c r="J375" s="6">
        <v>0</v>
      </c>
      <c r="K375" s="6">
        <v>0</v>
      </c>
      <c r="L375" s="6">
        <v>1627.6369999999999</v>
      </c>
      <c r="M375" s="6">
        <v>1627.6369999999999</v>
      </c>
      <c r="N375" s="6">
        <v>1627.6369999999999</v>
      </c>
      <c r="O375" s="6">
        <v>1627.6369999999999</v>
      </c>
      <c r="P375" s="6">
        <v>0</v>
      </c>
      <c r="Q375" s="4" t="s">
        <v>26</v>
      </c>
      <c r="R375" s="4">
        <v>0</v>
      </c>
      <c r="S375" s="4" t="s">
        <v>150</v>
      </c>
      <c r="T375" s="4" t="s">
        <v>403</v>
      </c>
      <c r="U375" s="4">
        <v>0</v>
      </c>
      <c r="V375" s="4">
        <v>8</v>
      </c>
      <c r="W375" s="4">
        <v>49</v>
      </c>
    </row>
    <row r="376" spans="1:23" ht="11.25" customHeight="1" x14ac:dyDescent="0.25">
      <c r="A376" s="4" t="s">
        <v>28</v>
      </c>
      <c r="B376" s="4" t="s">
        <v>39</v>
      </c>
      <c r="C376" s="4" t="s">
        <v>40</v>
      </c>
      <c r="D376" s="4" t="s">
        <v>38</v>
      </c>
      <c r="E376" s="4" t="s">
        <v>25</v>
      </c>
      <c r="F376" s="4" t="s">
        <v>25</v>
      </c>
      <c r="G376" s="4" t="s">
        <v>25</v>
      </c>
      <c r="H376" s="4" t="s">
        <v>35</v>
      </c>
      <c r="I376" s="5">
        <v>44562</v>
      </c>
      <c r="J376" s="6">
        <v>0</v>
      </c>
      <c r="K376" s="6">
        <v>0</v>
      </c>
      <c r="L376" s="6">
        <v>45.121000000000002</v>
      </c>
      <c r="M376" s="6">
        <v>45.121000000000002</v>
      </c>
      <c r="N376" s="6">
        <v>45.121000000000002</v>
      </c>
      <c r="O376" s="6">
        <v>45.121000000000002</v>
      </c>
      <c r="P376" s="6">
        <v>0</v>
      </c>
      <c r="Q376" s="4" t="s">
        <v>26</v>
      </c>
      <c r="R376" s="4">
        <v>0</v>
      </c>
      <c r="S376" s="4" t="s">
        <v>150</v>
      </c>
      <c r="T376" s="4" t="s">
        <v>403</v>
      </c>
      <c r="U376" s="4">
        <v>0</v>
      </c>
      <c r="V376" s="4">
        <v>8</v>
      </c>
      <c r="W376" s="4">
        <v>49</v>
      </c>
    </row>
    <row r="377" spans="1:23" ht="11.25" customHeight="1" x14ac:dyDescent="0.25">
      <c r="A377" s="4" t="s">
        <v>21</v>
      </c>
      <c r="B377" s="4" t="s">
        <v>39</v>
      </c>
      <c r="C377" s="4" t="s">
        <v>40</v>
      </c>
      <c r="D377" s="4" t="s">
        <v>38</v>
      </c>
      <c r="E377" s="4" t="s">
        <v>25</v>
      </c>
      <c r="F377" s="4" t="s">
        <v>25</v>
      </c>
      <c r="G377" s="4" t="s">
        <v>25</v>
      </c>
      <c r="H377" s="4" t="s">
        <v>35</v>
      </c>
      <c r="I377" s="5">
        <v>44593</v>
      </c>
      <c r="J377" s="6">
        <v>0</v>
      </c>
      <c r="K377" s="6">
        <v>0</v>
      </c>
      <c r="L377" s="6">
        <v>1798.4849999999999</v>
      </c>
      <c r="M377" s="6">
        <v>1798.4849999999999</v>
      </c>
      <c r="N377" s="6">
        <v>1798.4849999999999</v>
      </c>
      <c r="O377" s="6">
        <v>1798.4849999999999</v>
      </c>
      <c r="P377" s="6">
        <v>0</v>
      </c>
      <c r="Q377" s="4" t="s">
        <v>26</v>
      </c>
      <c r="R377" s="4">
        <v>0</v>
      </c>
      <c r="S377" s="4" t="s">
        <v>151</v>
      </c>
      <c r="T377" s="4" t="s">
        <v>404</v>
      </c>
      <c r="U377" s="4">
        <v>0</v>
      </c>
      <c r="V377" s="4">
        <v>8</v>
      </c>
      <c r="W377" s="4">
        <v>49</v>
      </c>
    </row>
    <row r="378" spans="1:23" ht="11.25" customHeight="1" x14ac:dyDescent="0.25">
      <c r="A378" s="4" t="s">
        <v>28</v>
      </c>
      <c r="B378" s="4" t="s">
        <v>39</v>
      </c>
      <c r="C378" s="4" t="s">
        <v>40</v>
      </c>
      <c r="D378" s="4" t="s">
        <v>38</v>
      </c>
      <c r="E378" s="4" t="s">
        <v>25</v>
      </c>
      <c r="F378" s="4" t="s">
        <v>25</v>
      </c>
      <c r="G378" s="4" t="s">
        <v>25</v>
      </c>
      <c r="H378" s="4" t="s">
        <v>35</v>
      </c>
      <c r="I378" s="5">
        <v>44593</v>
      </c>
      <c r="J378" s="6">
        <v>0</v>
      </c>
      <c r="K378" s="6">
        <v>0</v>
      </c>
      <c r="L378" s="6">
        <v>75.774000000000001</v>
      </c>
      <c r="M378" s="6">
        <v>75.774000000000001</v>
      </c>
      <c r="N378" s="6">
        <v>75.774000000000001</v>
      </c>
      <c r="O378" s="6">
        <v>75.774000000000001</v>
      </c>
      <c r="P378" s="6">
        <v>0</v>
      </c>
      <c r="Q378" s="4" t="s">
        <v>26</v>
      </c>
      <c r="R378" s="4">
        <v>0</v>
      </c>
      <c r="S378" s="4" t="s">
        <v>151</v>
      </c>
      <c r="T378" s="4" t="s">
        <v>404</v>
      </c>
      <c r="U378" s="4">
        <v>0</v>
      </c>
      <c r="V378" s="4">
        <v>8</v>
      </c>
      <c r="W378" s="4">
        <v>49</v>
      </c>
    </row>
    <row r="379" spans="1:23" ht="11.25" customHeight="1" x14ac:dyDescent="0.25">
      <c r="A379" s="4" t="s">
        <v>21</v>
      </c>
      <c r="B379" s="4" t="s">
        <v>39</v>
      </c>
      <c r="C379" s="4" t="s">
        <v>40</v>
      </c>
      <c r="D379" s="4" t="s">
        <v>38</v>
      </c>
      <c r="E379" s="4" t="s">
        <v>25</v>
      </c>
      <c r="F379" s="4" t="s">
        <v>25</v>
      </c>
      <c r="G379" s="4" t="s">
        <v>25</v>
      </c>
      <c r="H379" s="4" t="s">
        <v>35</v>
      </c>
      <c r="I379" s="5">
        <v>44621</v>
      </c>
      <c r="J379" s="6">
        <v>0</v>
      </c>
      <c r="K379" s="6">
        <v>0</v>
      </c>
      <c r="L379" s="6">
        <v>1948.6479999999999</v>
      </c>
      <c r="M379" s="6">
        <v>1948.6479999999999</v>
      </c>
      <c r="N379" s="6">
        <v>1948.6479999999999</v>
      </c>
      <c r="O379" s="6">
        <v>1948.6479999999999</v>
      </c>
      <c r="P379" s="6">
        <v>0</v>
      </c>
      <c r="Q379" s="4" t="s">
        <v>26</v>
      </c>
      <c r="R379" s="4">
        <v>0</v>
      </c>
      <c r="S379" s="4" t="s">
        <v>152</v>
      </c>
      <c r="T379" s="4" t="s">
        <v>405</v>
      </c>
      <c r="U379" s="4">
        <v>0</v>
      </c>
      <c r="V379" s="4">
        <v>8</v>
      </c>
      <c r="W379" s="4">
        <v>49</v>
      </c>
    </row>
    <row r="380" spans="1:23" ht="11.25" customHeight="1" x14ac:dyDescent="0.25">
      <c r="A380" s="4" t="s">
        <v>27</v>
      </c>
      <c r="B380" s="4" t="s">
        <v>39</v>
      </c>
      <c r="C380" s="4" t="s">
        <v>40</v>
      </c>
      <c r="D380" s="4" t="s">
        <v>38</v>
      </c>
      <c r="E380" s="4" t="s">
        <v>25</v>
      </c>
      <c r="F380" s="4" t="s">
        <v>25</v>
      </c>
      <c r="G380" s="4" t="s">
        <v>25</v>
      </c>
      <c r="H380" s="4" t="s">
        <v>35</v>
      </c>
      <c r="I380" s="5">
        <v>44621</v>
      </c>
      <c r="J380" s="6">
        <v>0</v>
      </c>
      <c r="K380" s="6">
        <v>0</v>
      </c>
      <c r="L380" s="6">
        <v>-7.5839999999999996</v>
      </c>
      <c r="M380" s="6">
        <v>-7.5839999999999996</v>
      </c>
      <c r="N380" s="6">
        <v>-7.5839999999999996</v>
      </c>
      <c r="O380" s="6">
        <v>-7.5839999999999996</v>
      </c>
      <c r="P380" s="6">
        <v>0</v>
      </c>
      <c r="Q380" s="4" t="s">
        <v>26</v>
      </c>
      <c r="R380" s="4">
        <v>0</v>
      </c>
      <c r="S380" s="4" t="s">
        <v>152</v>
      </c>
      <c r="T380" s="4" t="s">
        <v>405</v>
      </c>
      <c r="U380" s="4">
        <v>0</v>
      </c>
      <c r="V380" s="4">
        <v>8</v>
      </c>
      <c r="W380" s="4">
        <v>49</v>
      </c>
    </row>
    <row r="381" spans="1:23" ht="11.25" customHeight="1" x14ac:dyDescent="0.25">
      <c r="A381" s="4" t="s">
        <v>28</v>
      </c>
      <c r="B381" s="4" t="s">
        <v>39</v>
      </c>
      <c r="C381" s="4" t="s">
        <v>40</v>
      </c>
      <c r="D381" s="4" t="s">
        <v>38</v>
      </c>
      <c r="E381" s="4" t="s">
        <v>25</v>
      </c>
      <c r="F381" s="4" t="s">
        <v>25</v>
      </c>
      <c r="G381" s="4" t="s">
        <v>25</v>
      </c>
      <c r="H381" s="4" t="s">
        <v>35</v>
      </c>
      <c r="I381" s="5">
        <v>44621</v>
      </c>
      <c r="J381" s="6">
        <v>0</v>
      </c>
      <c r="K381" s="6">
        <v>0</v>
      </c>
      <c r="L381" s="6">
        <v>78.519000000000005</v>
      </c>
      <c r="M381" s="6">
        <v>78.519000000000005</v>
      </c>
      <c r="N381" s="6">
        <v>78.519000000000005</v>
      </c>
      <c r="O381" s="6">
        <v>78.519000000000005</v>
      </c>
      <c r="P381" s="6">
        <v>0</v>
      </c>
      <c r="Q381" s="4" t="s">
        <v>26</v>
      </c>
      <c r="R381" s="4">
        <v>0</v>
      </c>
      <c r="S381" s="4" t="s">
        <v>152</v>
      </c>
      <c r="T381" s="4" t="s">
        <v>405</v>
      </c>
      <c r="U381" s="4">
        <v>0</v>
      </c>
      <c r="V381" s="4">
        <v>8</v>
      </c>
      <c r="W381" s="4">
        <v>49</v>
      </c>
    </row>
    <row r="382" spans="1:23" ht="11.25" customHeight="1" x14ac:dyDescent="0.25">
      <c r="A382" s="4" t="s">
        <v>28</v>
      </c>
      <c r="B382" s="4" t="s">
        <v>39</v>
      </c>
      <c r="C382" s="4" t="s">
        <v>40</v>
      </c>
      <c r="D382" s="4" t="s">
        <v>38</v>
      </c>
      <c r="E382" s="4" t="s">
        <v>25</v>
      </c>
      <c r="F382" s="4" t="s">
        <v>25</v>
      </c>
      <c r="G382" s="4" t="s">
        <v>25</v>
      </c>
      <c r="H382" s="4" t="s">
        <v>35</v>
      </c>
      <c r="I382" s="5">
        <v>44621</v>
      </c>
      <c r="J382" s="6">
        <v>0</v>
      </c>
      <c r="K382" s="6">
        <v>0</v>
      </c>
      <c r="L382" s="6">
        <v>6.6619999999999999</v>
      </c>
      <c r="M382" s="6">
        <v>6.6619999999999999</v>
      </c>
      <c r="N382" s="6">
        <v>6.6619999999999999</v>
      </c>
      <c r="O382" s="6">
        <v>6.6619999999999999</v>
      </c>
      <c r="P382" s="6">
        <v>0</v>
      </c>
      <c r="Q382" s="4" t="s">
        <v>26</v>
      </c>
      <c r="R382" s="4">
        <v>0</v>
      </c>
      <c r="S382" s="4" t="s">
        <v>152</v>
      </c>
      <c r="T382" s="4" t="s">
        <v>405</v>
      </c>
      <c r="U382" s="4">
        <v>0</v>
      </c>
      <c r="V382" s="4">
        <v>8</v>
      </c>
      <c r="W382" s="4">
        <v>49</v>
      </c>
    </row>
    <row r="383" spans="1:23" ht="11.25" customHeight="1" x14ac:dyDescent="0.25">
      <c r="A383" s="4" t="s">
        <v>21</v>
      </c>
      <c r="B383" s="4" t="s">
        <v>39</v>
      </c>
      <c r="C383" s="4" t="s">
        <v>40</v>
      </c>
      <c r="D383" s="4" t="s">
        <v>38</v>
      </c>
      <c r="E383" s="4" t="s">
        <v>25</v>
      </c>
      <c r="F383" s="4" t="s">
        <v>25</v>
      </c>
      <c r="G383" s="4" t="s">
        <v>25</v>
      </c>
      <c r="H383" s="4" t="s">
        <v>35</v>
      </c>
      <c r="I383" s="5">
        <v>44652</v>
      </c>
      <c r="J383" s="6">
        <v>0</v>
      </c>
      <c r="K383" s="6">
        <v>0</v>
      </c>
      <c r="L383" s="6">
        <v>1770.5450000000001</v>
      </c>
      <c r="M383" s="6">
        <v>1770.5450000000001</v>
      </c>
      <c r="N383" s="6">
        <v>1770.5450000000001</v>
      </c>
      <c r="O383" s="6">
        <v>1770.5450000000001</v>
      </c>
      <c r="P383" s="6">
        <v>0</v>
      </c>
      <c r="Q383" s="4" t="s">
        <v>26</v>
      </c>
      <c r="R383" s="4">
        <v>0</v>
      </c>
      <c r="S383" s="4" t="s">
        <v>153</v>
      </c>
      <c r="T383" s="4" t="s">
        <v>406</v>
      </c>
      <c r="U383" s="4">
        <v>0</v>
      </c>
      <c r="V383" s="4">
        <v>8</v>
      </c>
      <c r="W383" s="4">
        <v>49</v>
      </c>
    </row>
    <row r="384" spans="1:23" ht="11.25" customHeight="1" x14ac:dyDescent="0.25">
      <c r="A384" s="4" t="s">
        <v>28</v>
      </c>
      <c r="B384" s="4" t="s">
        <v>39</v>
      </c>
      <c r="C384" s="4" t="s">
        <v>40</v>
      </c>
      <c r="D384" s="4" t="s">
        <v>38</v>
      </c>
      <c r="E384" s="4" t="s">
        <v>25</v>
      </c>
      <c r="F384" s="4" t="s">
        <v>25</v>
      </c>
      <c r="G384" s="4" t="s">
        <v>25</v>
      </c>
      <c r="H384" s="4" t="s">
        <v>35</v>
      </c>
      <c r="I384" s="5">
        <v>44652</v>
      </c>
      <c r="J384" s="6">
        <v>0</v>
      </c>
      <c r="K384" s="6">
        <v>0</v>
      </c>
      <c r="L384" s="6">
        <v>73.103999999999999</v>
      </c>
      <c r="M384" s="6">
        <v>73.103999999999999</v>
      </c>
      <c r="N384" s="6">
        <v>73.103999999999999</v>
      </c>
      <c r="O384" s="6">
        <v>73.103999999999999</v>
      </c>
      <c r="P384" s="6">
        <v>0</v>
      </c>
      <c r="Q384" s="4" t="s">
        <v>26</v>
      </c>
      <c r="R384" s="4">
        <v>0</v>
      </c>
      <c r="S384" s="4" t="s">
        <v>153</v>
      </c>
      <c r="T384" s="4" t="s">
        <v>406</v>
      </c>
      <c r="U384" s="4">
        <v>0</v>
      </c>
      <c r="V384" s="4">
        <v>8</v>
      </c>
      <c r="W384" s="4">
        <v>49</v>
      </c>
    </row>
    <row r="385" spans="1:23" ht="11.25" customHeight="1" x14ac:dyDescent="0.25">
      <c r="A385" s="4" t="s">
        <v>21</v>
      </c>
      <c r="B385" s="4" t="s">
        <v>39</v>
      </c>
      <c r="C385" s="4" t="s">
        <v>40</v>
      </c>
      <c r="D385" s="4" t="s">
        <v>38</v>
      </c>
      <c r="E385" s="4" t="s">
        <v>25</v>
      </c>
      <c r="F385" s="4" t="s">
        <v>25</v>
      </c>
      <c r="G385" s="4" t="s">
        <v>25</v>
      </c>
      <c r="H385" s="4" t="s">
        <v>35</v>
      </c>
      <c r="I385" s="5">
        <v>44682</v>
      </c>
      <c r="J385" s="6">
        <v>0</v>
      </c>
      <c r="K385" s="6">
        <v>0</v>
      </c>
      <c r="L385" s="6">
        <v>1763.63</v>
      </c>
      <c r="M385" s="6">
        <v>1763.63</v>
      </c>
      <c r="N385" s="6">
        <v>1763.63</v>
      </c>
      <c r="O385" s="6">
        <v>1763.63</v>
      </c>
      <c r="P385" s="6">
        <v>0</v>
      </c>
      <c r="Q385" s="4" t="s">
        <v>26</v>
      </c>
      <c r="R385" s="4">
        <v>0</v>
      </c>
      <c r="S385" s="4" t="s">
        <v>154</v>
      </c>
      <c r="T385" s="4" t="s">
        <v>407</v>
      </c>
      <c r="U385" s="4">
        <v>0</v>
      </c>
      <c r="V385" s="4">
        <v>8</v>
      </c>
      <c r="W385" s="4">
        <v>49</v>
      </c>
    </row>
    <row r="386" spans="1:23" ht="11.25" customHeight="1" x14ac:dyDescent="0.25">
      <c r="A386" s="4" t="s">
        <v>28</v>
      </c>
      <c r="B386" s="4" t="s">
        <v>39</v>
      </c>
      <c r="C386" s="4" t="s">
        <v>40</v>
      </c>
      <c r="D386" s="4" t="s">
        <v>38</v>
      </c>
      <c r="E386" s="4" t="s">
        <v>25</v>
      </c>
      <c r="F386" s="4" t="s">
        <v>25</v>
      </c>
      <c r="G386" s="4" t="s">
        <v>25</v>
      </c>
      <c r="H386" s="4" t="s">
        <v>35</v>
      </c>
      <c r="I386" s="5">
        <v>44682</v>
      </c>
      <c r="J386" s="6">
        <v>0</v>
      </c>
      <c r="K386" s="6">
        <v>0</v>
      </c>
      <c r="L386" s="6">
        <v>136.54</v>
      </c>
      <c r="M386" s="6">
        <v>136.54</v>
      </c>
      <c r="N386" s="6">
        <v>136.54</v>
      </c>
      <c r="O386" s="6">
        <v>136.54</v>
      </c>
      <c r="P386" s="6">
        <v>0</v>
      </c>
      <c r="Q386" s="4" t="s">
        <v>26</v>
      </c>
      <c r="R386" s="4">
        <v>0</v>
      </c>
      <c r="S386" s="4" t="s">
        <v>154</v>
      </c>
      <c r="T386" s="4" t="s">
        <v>407</v>
      </c>
      <c r="U386" s="4">
        <v>0</v>
      </c>
      <c r="V386" s="4">
        <v>8</v>
      </c>
      <c r="W386" s="4">
        <v>49</v>
      </c>
    </row>
    <row r="387" spans="1:23" ht="11.25" customHeight="1" x14ac:dyDescent="0.25">
      <c r="A387" s="4" t="s">
        <v>28</v>
      </c>
      <c r="B387" s="4" t="s">
        <v>39</v>
      </c>
      <c r="C387" s="4" t="s">
        <v>40</v>
      </c>
      <c r="D387" s="4" t="s">
        <v>38</v>
      </c>
      <c r="E387" s="4" t="s">
        <v>25</v>
      </c>
      <c r="F387" s="4" t="s">
        <v>25</v>
      </c>
      <c r="G387" s="4" t="s">
        <v>25</v>
      </c>
      <c r="H387" s="4" t="s">
        <v>35</v>
      </c>
      <c r="I387" s="5">
        <v>44682</v>
      </c>
      <c r="J387" s="6">
        <v>0</v>
      </c>
      <c r="K387" s="6">
        <v>0</v>
      </c>
      <c r="L387" s="6">
        <v>13.336</v>
      </c>
      <c r="M387" s="6">
        <v>13.336</v>
      </c>
      <c r="N387" s="6">
        <v>13.336</v>
      </c>
      <c r="O387" s="6">
        <v>13.336</v>
      </c>
      <c r="P387" s="6">
        <v>0</v>
      </c>
      <c r="Q387" s="4" t="s">
        <v>26</v>
      </c>
      <c r="R387" s="4">
        <v>0</v>
      </c>
      <c r="S387" s="4" t="s">
        <v>154</v>
      </c>
      <c r="T387" s="4" t="s">
        <v>407</v>
      </c>
      <c r="U387" s="4">
        <v>0</v>
      </c>
      <c r="V387" s="4">
        <v>8</v>
      </c>
      <c r="W387" s="4">
        <v>49</v>
      </c>
    </row>
    <row r="388" spans="1:23" ht="11.25" customHeight="1" x14ac:dyDescent="0.25">
      <c r="A388" s="4" t="s">
        <v>21</v>
      </c>
      <c r="B388" s="4" t="s">
        <v>39</v>
      </c>
      <c r="C388" s="4" t="s">
        <v>40</v>
      </c>
      <c r="D388" s="4" t="s">
        <v>38</v>
      </c>
      <c r="E388" s="4" t="s">
        <v>25</v>
      </c>
      <c r="F388" s="4" t="s">
        <v>25</v>
      </c>
      <c r="G388" s="4" t="s">
        <v>25</v>
      </c>
      <c r="H388" s="4" t="s">
        <v>35</v>
      </c>
      <c r="I388" s="5">
        <v>44713</v>
      </c>
      <c r="J388" s="6">
        <v>0</v>
      </c>
      <c r="K388" s="6">
        <v>0</v>
      </c>
      <c r="L388" s="6">
        <v>1518.097</v>
      </c>
      <c r="M388" s="6">
        <v>1518.097</v>
      </c>
      <c r="N388" s="6">
        <v>1518.097</v>
      </c>
      <c r="O388" s="6">
        <v>1518.097</v>
      </c>
      <c r="P388" s="6">
        <v>0</v>
      </c>
      <c r="Q388" s="4" t="s">
        <v>26</v>
      </c>
      <c r="R388" s="4">
        <v>0</v>
      </c>
      <c r="S388" s="4" t="s">
        <v>155</v>
      </c>
      <c r="T388" s="4" t="s">
        <v>408</v>
      </c>
      <c r="U388" s="4">
        <v>0</v>
      </c>
      <c r="V388" s="4">
        <v>8</v>
      </c>
      <c r="W388" s="4">
        <v>49</v>
      </c>
    </row>
    <row r="389" spans="1:23" ht="11.25" customHeight="1" x14ac:dyDescent="0.25">
      <c r="A389" s="4" t="s">
        <v>28</v>
      </c>
      <c r="B389" s="4" t="s">
        <v>39</v>
      </c>
      <c r="C389" s="4" t="s">
        <v>40</v>
      </c>
      <c r="D389" s="4" t="s">
        <v>38</v>
      </c>
      <c r="E389" s="4" t="s">
        <v>25</v>
      </c>
      <c r="F389" s="4" t="s">
        <v>25</v>
      </c>
      <c r="G389" s="4" t="s">
        <v>25</v>
      </c>
      <c r="H389" s="4" t="s">
        <v>35</v>
      </c>
      <c r="I389" s="5">
        <v>44713</v>
      </c>
      <c r="J389" s="6">
        <v>0</v>
      </c>
      <c r="K389" s="6">
        <v>0</v>
      </c>
      <c r="L389" s="6">
        <v>123.39</v>
      </c>
      <c r="M389" s="6">
        <v>123.39</v>
      </c>
      <c r="N389" s="6">
        <v>123.39</v>
      </c>
      <c r="O389" s="6">
        <v>123.39</v>
      </c>
      <c r="P389" s="6">
        <v>0</v>
      </c>
      <c r="Q389" s="4" t="s">
        <v>26</v>
      </c>
      <c r="R389" s="4">
        <v>0</v>
      </c>
      <c r="S389" s="4" t="s">
        <v>155</v>
      </c>
      <c r="T389" s="4" t="s">
        <v>408</v>
      </c>
      <c r="U389" s="4">
        <v>0</v>
      </c>
      <c r="V389" s="4">
        <v>8</v>
      </c>
      <c r="W389" s="4">
        <v>49</v>
      </c>
    </row>
    <row r="390" spans="1:23" ht="11.25" customHeight="1" x14ac:dyDescent="0.25">
      <c r="A390" s="4" t="s">
        <v>28</v>
      </c>
      <c r="B390" s="4" t="s">
        <v>39</v>
      </c>
      <c r="C390" s="4" t="s">
        <v>40</v>
      </c>
      <c r="D390" s="4" t="s">
        <v>38</v>
      </c>
      <c r="E390" s="4" t="s">
        <v>25</v>
      </c>
      <c r="F390" s="4" t="s">
        <v>25</v>
      </c>
      <c r="G390" s="4" t="s">
        <v>25</v>
      </c>
      <c r="H390" s="4" t="s">
        <v>35</v>
      </c>
      <c r="I390" s="5">
        <v>44713</v>
      </c>
      <c r="J390" s="6">
        <v>0</v>
      </c>
      <c r="K390" s="6">
        <v>0</v>
      </c>
      <c r="L390" s="6">
        <v>6.4939999999999998</v>
      </c>
      <c r="M390" s="6">
        <v>6.4939999999999998</v>
      </c>
      <c r="N390" s="6">
        <v>6.4939999999999998</v>
      </c>
      <c r="O390" s="6">
        <v>6.4939999999999998</v>
      </c>
      <c r="P390" s="6">
        <v>0</v>
      </c>
      <c r="Q390" s="4" t="s">
        <v>26</v>
      </c>
      <c r="R390" s="4">
        <v>0</v>
      </c>
      <c r="S390" s="4" t="s">
        <v>155</v>
      </c>
      <c r="T390" s="4" t="s">
        <v>408</v>
      </c>
      <c r="U390" s="4">
        <v>0</v>
      </c>
      <c r="V390" s="4">
        <v>8</v>
      </c>
      <c r="W390" s="4">
        <v>49</v>
      </c>
    </row>
    <row r="391" spans="1:23" ht="11.25" customHeight="1" x14ac:dyDescent="0.25">
      <c r="A391" s="4" t="s">
        <v>21</v>
      </c>
      <c r="B391" s="4" t="s">
        <v>39</v>
      </c>
      <c r="C391" s="4" t="s">
        <v>40</v>
      </c>
      <c r="D391" s="4" t="s">
        <v>38</v>
      </c>
      <c r="E391" s="4" t="s">
        <v>25</v>
      </c>
      <c r="F391" s="4" t="s">
        <v>25</v>
      </c>
      <c r="G391" s="4" t="s">
        <v>25</v>
      </c>
      <c r="H391" s="4" t="s">
        <v>35</v>
      </c>
      <c r="I391" s="5">
        <v>44743</v>
      </c>
      <c r="J391" s="6">
        <v>0</v>
      </c>
      <c r="K391" s="6">
        <v>0</v>
      </c>
      <c r="L391" s="6">
        <v>1607.875</v>
      </c>
      <c r="M391" s="6">
        <v>1607.875</v>
      </c>
      <c r="N391" s="6">
        <v>1607.875</v>
      </c>
      <c r="O391" s="6">
        <v>1607.875</v>
      </c>
      <c r="P391" s="6">
        <v>0</v>
      </c>
      <c r="Q391" s="4" t="s">
        <v>26</v>
      </c>
      <c r="R391" s="4">
        <v>0</v>
      </c>
      <c r="S391" s="4" t="s">
        <v>156</v>
      </c>
      <c r="T391" s="4" t="s">
        <v>409</v>
      </c>
      <c r="U391" s="4">
        <v>0</v>
      </c>
      <c r="V391" s="4">
        <v>8</v>
      </c>
      <c r="W391" s="4">
        <v>49</v>
      </c>
    </row>
    <row r="392" spans="1:23" ht="11.25" customHeight="1" x14ac:dyDescent="0.25">
      <c r="A392" s="4" t="s">
        <v>28</v>
      </c>
      <c r="B392" s="4" t="s">
        <v>39</v>
      </c>
      <c r="C392" s="4" t="s">
        <v>40</v>
      </c>
      <c r="D392" s="4" t="s">
        <v>38</v>
      </c>
      <c r="E392" s="4" t="s">
        <v>25</v>
      </c>
      <c r="F392" s="4" t="s">
        <v>25</v>
      </c>
      <c r="G392" s="4" t="s">
        <v>25</v>
      </c>
      <c r="H392" s="4" t="s">
        <v>35</v>
      </c>
      <c r="I392" s="5">
        <v>44743</v>
      </c>
      <c r="J392" s="6">
        <v>0</v>
      </c>
      <c r="K392" s="6">
        <v>0</v>
      </c>
      <c r="L392" s="6">
        <v>126.953</v>
      </c>
      <c r="M392" s="6">
        <v>126.953</v>
      </c>
      <c r="N392" s="6">
        <v>126.953</v>
      </c>
      <c r="O392" s="6">
        <v>126.953</v>
      </c>
      <c r="P392" s="6">
        <v>0</v>
      </c>
      <c r="Q392" s="4" t="s">
        <v>26</v>
      </c>
      <c r="R392" s="4">
        <v>0</v>
      </c>
      <c r="S392" s="4" t="s">
        <v>156</v>
      </c>
      <c r="T392" s="4" t="s">
        <v>409</v>
      </c>
      <c r="U392" s="4">
        <v>0</v>
      </c>
      <c r="V392" s="4">
        <v>8</v>
      </c>
      <c r="W392" s="4">
        <v>49</v>
      </c>
    </row>
    <row r="393" spans="1:23" ht="11.25" customHeight="1" x14ac:dyDescent="0.25">
      <c r="A393" s="4" t="s">
        <v>56</v>
      </c>
      <c r="B393" s="4" t="s">
        <v>39</v>
      </c>
      <c r="C393" s="4" t="s">
        <v>40</v>
      </c>
      <c r="D393" s="4" t="s">
        <v>38</v>
      </c>
      <c r="E393" s="4" t="s">
        <v>25</v>
      </c>
      <c r="F393" s="4" t="s">
        <v>25</v>
      </c>
      <c r="G393" s="4" t="s">
        <v>25</v>
      </c>
      <c r="H393" s="4" t="s">
        <v>35</v>
      </c>
      <c r="I393" s="5">
        <v>44774</v>
      </c>
      <c r="J393" s="6">
        <v>0</v>
      </c>
      <c r="K393" s="6">
        <v>0</v>
      </c>
      <c r="L393" s="6">
        <v>1607.875</v>
      </c>
      <c r="M393" s="6">
        <v>1607.875</v>
      </c>
      <c r="N393" s="6">
        <v>1607.875</v>
      </c>
      <c r="O393" s="6">
        <v>1607.875</v>
      </c>
      <c r="P393" s="6">
        <v>0</v>
      </c>
      <c r="Q393" s="4" t="s">
        <v>26</v>
      </c>
      <c r="R393" s="4">
        <v>0</v>
      </c>
      <c r="S393" s="4" t="s">
        <v>157</v>
      </c>
      <c r="T393" s="4" t="s">
        <v>410</v>
      </c>
      <c r="U393" s="4">
        <v>0</v>
      </c>
      <c r="V393" s="4">
        <v>8</v>
      </c>
      <c r="W393" s="4">
        <v>49</v>
      </c>
    </row>
    <row r="394" spans="1:23" ht="11.25" customHeight="1" x14ac:dyDescent="0.25">
      <c r="A394" s="4" t="s">
        <v>56</v>
      </c>
      <c r="B394" s="4" t="s">
        <v>39</v>
      </c>
      <c r="C394" s="4" t="s">
        <v>40</v>
      </c>
      <c r="D394" s="4" t="s">
        <v>38</v>
      </c>
      <c r="E394" s="4" t="s">
        <v>25</v>
      </c>
      <c r="F394" s="4" t="s">
        <v>25</v>
      </c>
      <c r="G394" s="4" t="s">
        <v>25</v>
      </c>
      <c r="H394" s="4" t="s">
        <v>35</v>
      </c>
      <c r="I394" s="5">
        <v>44774</v>
      </c>
      <c r="J394" s="6">
        <v>0</v>
      </c>
      <c r="K394" s="6">
        <v>0</v>
      </c>
      <c r="L394" s="6">
        <v>126.953</v>
      </c>
      <c r="M394" s="6">
        <v>126.953</v>
      </c>
      <c r="N394" s="6">
        <v>126.953</v>
      </c>
      <c r="O394" s="6">
        <v>126.953</v>
      </c>
      <c r="P394" s="6">
        <v>0</v>
      </c>
      <c r="Q394" s="4" t="s">
        <v>26</v>
      </c>
      <c r="R394" s="4">
        <v>0</v>
      </c>
      <c r="S394" s="4" t="s">
        <v>157</v>
      </c>
      <c r="T394" s="4" t="s">
        <v>410</v>
      </c>
      <c r="U394" s="4">
        <v>0</v>
      </c>
      <c r="V394" s="4">
        <v>8</v>
      </c>
      <c r="W394" s="4">
        <v>49</v>
      </c>
    </row>
    <row r="395" spans="1:23" ht="11.25" customHeight="1" x14ac:dyDescent="0.25">
      <c r="A395" s="4" t="s">
        <v>21</v>
      </c>
      <c r="B395" s="4" t="s">
        <v>39</v>
      </c>
      <c r="C395" s="4" t="s">
        <v>40</v>
      </c>
      <c r="D395" s="4" t="s">
        <v>38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44440</v>
      </c>
      <c r="J395" s="6">
        <v>14600</v>
      </c>
      <c r="K395" s="6">
        <v>14600</v>
      </c>
      <c r="L395" s="6">
        <v>0</v>
      </c>
      <c r="M395" s="6">
        <v>0</v>
      </c>
      <c r="N395" s="6">
        <v>0</v>
      </c>
      <c r="O395" s="6">
        <v>0</v>
      </c>
      <c r="P395" s="6">
        <v>75</v>
      </c>
      <c r="Q395" s="4" t="s">
        <v>26</v>
      </c>
      <c r="R395" s="4">
        <v>0</v>
      </c>
      <c r="S395" s="4" t="s">
        <v>158</v>
      </c>
      <c r="U395" s="4">
        <v>6</v>
      </c>
      <c r="V395" s="4">
        <v>0</v>
      </c>
      <c r="W395" s="4">
        <v>0</v>
      </c>
    </row>
    <row r="396" spans="1:23" ht="11.25" customHeight="1" x14ac:dyDescent="0.25">
      <c r="A396" s="4" t="s">
        <v>28</v>
      </c>
      <c r="B396" s="4" t="s">
        <v>39</v>
      </c>
      <c r="C396" s="4" t="s">
        <v>40</v>
      </c>
      <c r="D396" s="4" t="s">
        <v>38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44440</v>
      </c>
      <c r="J396" s="6">
        <v>2180</v>
      </c>
      <c r="K396" s="6">
        <v>2180</v>
      </c>
      <c r="L396" s="6">
        <v>0</v>
      </c>
      <c r="M396" s="6">
        <v>0</v>
      </c>
      <c r="N396" s="6">
        <v>0</v>
      </c>
      <c r="O396" s="6">
        <v>0</v>
      </c>
      <c r="P396" s="6">
        <v>14</v>
      </c>
      <c r="Q396" s="4" t="s">
        <v>26</v>
      </c>
      <c r="R396" s="4">
        <v>0</v>
      </c>
      <c r="S396" s="4" t="s">
        <v>158</v>
      </c>
      <c r="U396" s="4">
        <v>6</v>
      </c>
      <c r="V396" s="4">
        <v>0</v>
      </c>
      <c r="W396" s="4">
        <v>0</v>
      </c>
    </row>
    <row r="397" spans="1:23" ht="11.25" customHeight="1" x14ac:dyDescent="0.25">
      <c r="A397" s="4" t="s">
        <v>21</v>
      </c>
      <c r="B397" s="4" t="s">
        <v>39</v>
      </c>
      <c r="C397" s="4" t="s">
        <v>40</v>
      </c>
      <c r="D397" s="4" t="s">
        <v>38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44470</v>
      </c>
      <c r="J397" s="6">
        <v>14797</v>
      </c>
      <c r="K397" s="6">
        <v>14797</v>
      </c>
      <c r="L397" s="6">
        <v>0</v>
      </c>
      <c r="M397" s="6">
        <v>0</v>
      </c>
      <c r="N397" s="6">
        <v>0</v>
      </c>
      <c r="O397" s="6">
        <v>0</v>
      </c>
      <c r="P397" s="6">
        <v>76</v>
      </c>
      <c r="Q397" s="4" t="s">
        <v>26</v>
      </c>
      <c r="R397" s="4">
        <v>0</v>
      </c>
      <c r="S397" s="4" t="s">
        <v>159</v>
      </c>
      <c r="U397" s="4">
        <v>6</v>
      </c>
      <c r="V397" s="4">
        <v>0</v>
      </c>
      <c r="W397" s="4">
        <v>0</v>
      </c>
    </row>
    <row r="398" spans="1:23" ht="11.25" customHeight="1" x14ac:dyDescent="0.25">
      <c r="A398" s="4" t="s">
        <v>28</v>
      </c>
      <c r="B398" s="4" t="s">
        <v>39</v>
      </c>
      <c r="C398" s="4" t="s">
        <v>40</v>
      </c>
      <c r="D398" s="4" t="s">
        <v>38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44470</v>
      </c>
      <c r="J398" s="6">
        <v>2175</v>
      </c>
      <c r="K398" s="6">
        <v>2175</v>
      </c>
      <c r="L398" s="6">
        <v>0</v>
      </c>
      <c r="M398" s="6">
        <v>0</v>
      </c>
      <c r="N398" s="6">
        <v>0</v>
      </c>
      <c r="O398" s="6">
        <v>0</v>
      </c>
      <c r="P398" s="6">
        <v>14</v>
      </c>
      <c r="Q398" s="4" t="s">
        <v>26</v>
      </c>
      <c r="R398" s="4">
        <v>0</v>
      </c>
      <c r="S398" s="4" t="s">
        <v>159</v>
      </c>
      <c r="U398" s="4">
        <v>6</v>
      </c>
      <c r="V398" s="4">
        <v>0</v>
      </c>
      <c r="W398" s="4">
        <v>0</v>
      </c>
    </row>
    <row r="399" spans="1:23" ht="11.25" customHeight="1" x14ac:dyDescent="0.25">
      <c r="A399" s="4" t="s">
        <v>21</v>
      </c>
      <c r="B399" s="4" t="s">
        <v>39</v>
      </c>
      <c r="C399" s="4" t="s">
        <v>40</v>
      </c>
      <c r="D399" s="4" t="s">
        <v>38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44501</v>
      </c>
      <c r="J399" s="6">
        <v>14966</v>
      </c>
      <c r="K399" s="6">
        <v>14966</v>
      </c>
      <c r="L399" s="6">
        <v>0</v>
      </c>
      <c r="M399" s="6">
        <v>0</v>
      </c>
      <c r="N399" s="6">
        <v>0</v>
      </c>
      <c r="O399" s="6">
        <v>0</v>
      </c>
      <c r="P399" s="6">
        <v>77</v>
      </c>
      <c r="Q399" s="4" t="s">
        <v>26</v>
      </c>
      <c r="R399" s="4">
        <v>0</v>
      </c>
      <c r="S399" s="4" t="s">
        <v>160</v>
      </c>
      <c r="U399" s="4">
        <v>6</v>
      </c>
      <c r="V399" s="4">
        <v>0</v>
      </c>
      <c r="W399" s="4">
        <v>0</v>
      </c>
    </row>
    <row r="400" spans="1:23" ht="11.25" customHeight="1" x14ac:dyDescent="0.25">
      <c r="A400" s="4" t="s">
        <v>27</v>
      </c>
      <c r="B400" s="4" t="s">
        <v>39</v>
      </c>
      <c r="C400" s="4" t="s">
        <v>40</v>
      </c>
      <c r="D400" s="4" t="s">
        <v>38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44501</v>
      </c>
      <c r="J400" s="6">
        <v>30</v>
      </c>
      <c r="K400" s="6">
        <v>30</v>
      </c>
      <c r="L400" s="6">
        <v>0</v>
      </c>
      <c r="M400" s="6">
        <v>0</v>
      </c>
      <c r="N400" s="6">
        <v>0</v>
      </c>
      <c r="O400" s="6">
        <v>0</v>
      </c>
      <c r="P400" s="6">
        <v>1</v>
      </c>
      <c r="Q400" s="4" t="s">
        <v>26</v>
      </c>
      <c r="R400" s="4">
        <v>0</v>
      </c>
      <c r="S400" s="4" t="s">
        <v>160</v>
      </c>
      <c r="U400" s="4">
        <v>6</v>
      </c>
      <c r="V400" s="4">
        <v>0</v>
      </c>
      <c r="W400" s="4">
        <v>0</v>
      </c>
    </row>
    <row r="401" spans="1:23" ht="11.25" customHeight="1" x14ac:dyDescent="0.25">
      <c r="A401" s="4" t="s">
        <v>28</v>
      </c>
      <c r="B401" s="4" t="s">
        <v>39</v>
      </c>
      <c r="C401" s="4" t="s">
        <v>40</v>
      </c>
      <c r="D401" s="4" t="s">
        <v>38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44501</v>
      </c>
      <c r="J401" s="6">
        <v>2181</v>
      </c>
      <c r="K401" s="6">
        <v>2181</v>
      </c>
      <c r="L401" s="6">
        <v>0</v>
      </c>
      <c r="M401" s="6">
        <v>0</v>
      </c>
      <c r="N401" s="6">
        <v>0</v>
      </c>
      <c r="O401" s="6">
        <v>0</v>
      </c>
      <c r="P401" s="6">
        <v>14</v>
      </c>
      <c r="Q401" s="4" t="s">
        <v>26</v>
      </c>
      <c r="R401" s="4">
        <v>0</v>
      </c>
      <c r="S401" s="4" t="s">
        <v>160</v>
      </c>
      <c r="U401" s="4">
        <v>6</v>
      </c>
      <c r="V401" s="4">
        <v>0</v>
      </c>
      <c r="W401" s="4">
        <v>0</v>
      </c>
    </row>
    <row r="402" spans="1:23" ht="11.25" customHeight="1" x14ac:dyDescent="0.25">
      <c r="A402" s="4" t="s">
        <v>21</v>
      </c>
      <c r="B402" s="4" t="s">
        <v>39</v>
      </c>
      <c r="C402" s="4" t="s">
        <v>40</v>
      </c>
      <c r="D402" s="4" t="s">
        <v>38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44531</v>
      </c>
      <c r="J402" s="6">
        <v>15009</v>
      </c>
      <c r="K402" s="6">
        <v>15009</v>
      </c>
      <c r="L402" s="6">
        <v>0</v>
      </c>
      <c r="M402" s="6">
        <v>0</v>
      </c>
      <c r="N402" s="6">
        <v>0</v>
      </c>
      <c r="O402" s="6">
        <v>0</v>
      </c>
      <c r="P402" s="6">
        <v>76</v>
      </c>
      <c r="Q402" s="4" t="s">
        <v>26</v>
      </c>
      <c r="R402" s="4">
        <v>0</v>
      </c>
      <c r="S402" s="4" t="s">
        <v>161</v>
      </c>
      <c r="U402" s="4">
        <v>6</v>
      </c>
      <c r="V402" s="4">
        <v>0</v>
      </c>
      <c r="W402" s="4">
        <v>0</v>
      </c>
    </row>
    <row r="403" spans="1:23" ht="11.25" customHeight="1" x14ac:dyDescent="0.25">
      <c r="A403" s="4" t="s">
        <v>28</v>
      </c>
      <c r="B403" s="4" t="s">
        <v>39</v>
      </c>
      <c r="C403" s="4" t="s">
        <v>40</v>
      </c>
      <c r="D403" s="4" t="s">
        <v>38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44531</v>
      </c>
      <c r="J403" s="6">
        <v>2178</v>
      </c>
      <c r="K403" s="6">
        <v>2178</v>
      </c>
      <c r="L403" s="6">
        <v>0</v>
      </c>
      <c r="M403" s="6">
        <v>0</v>
      </c>
      <c r="N403" s="6">
        <v>0</v>
      </c>
      <c r="O403" s="6">
        <v>0</v>
      </c>
      <c r="P403" s="6">
        <v>14</v>
      </c>
      <c r="Q403" s="4" t="s">
        <v>26</v>
      </c>
      <c r="R403" s="4">
        <v>0</v>
      </c>
      <c r="S403" s="4" t="s">
        <v>161</v>
      </c>
      <c r="U403" s="4">
        <v>6</v>
      </c>
      <c r="V403" s="4">
        <v>0</v>
      </c>
      <c r="W403" s="4">
        <v>0</v>
      </c>
    </row>
    <row r="404" spans="1:23" ht="11.25" customHeight="1" x14ac:dyDescent="0.25">
      <c r="A404" s="4" t="s">
        <v>21</v>
      </c>
      <c r="B404" s="4" t="s">
        <v>39</v>
      </c>
      <c r="C404" s="4" t="s">
        <v>40</v>
      </c>
      <c r="D404" s="4" t="s">
        <v>38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44562</v>
      </c>
      <c r="J404" s="6">
        <v>13438</v>
      </c>
      <c r="K404" s="6">
        <v>13438</v>
      </c>
      <c r="L404" s="6">
        <v>0</v>
      </c>
      <c r="M404" s="6">
        <v>0</v>
      </c>
      <c r="N404" s="6">
        <v>0</v>
      </c>
      <c r="O404" s="6">
        <v>0</v>
      </c>
      <c r="P404" s="6">
        <v>74</v>
      </c>
      <c r="Q404" s="4" t="s">
        <v>26</v>
      </c>
      <c r="R404" s="4">
        <v>0</v>
      </c>
      <c r="S404" s="4" t="s">
        <v>162</v>
      </c>
      <c r="U404" s="4">
        <v>6</v>
      </c>
      <c r="V404" s="4">
        <v>0</v>
      </c>
      <c r="W404" s="4">
        <v>0</v>
      </c>
    </row>
    <row r="405" spans="1:23" ht="11.25" customHeight="1" x14ac:dyDescent="0.25">
      <c r="A405" s="4" t="s">
        <v>28</v>
      </c>
      <c r="B405" s="4" t="s">
        <v>39</v>
      </c>
      <c r="C405" s="4" t="s">
        <v>40</v>
      </c>
      <c r="D405" s="4" t="s">
        <v>38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44562</v>
      </c>
      <c r="J405" s="6">
        <v>2176</v>
      </c>
      <c r="K405" s="6">
        <v>2176</v>
      </c>
      <c r="L405" s="6">
        <v>0</v>
      </c>
      <c r="M405" s="6">
        <v>0</v>
      </c>
      <c r="N405" s="6">
        <v>0</v>
      </c>
      <c r="O405" s="6">
        <v>0</v>
      </c>
      <c r="P405" s="6">
        <v>14</v>
      </c>
      <c r="Q405" s="4" t="s">
        <v>26</v>
      </c>
      <c r="R405" s="4">
        <v>0</v>
      </c>
      <c r="S405" s="4" t="s">
        <v>162</v>
      </c>
      <c r="U405" s="4">
        <v>6</v>
      </c>
      <c r="V405" s="4">
        <v>0</v>
      </c>
      <c r="W405" s="4">
        <v>0</v>
      </c>
    </row>
    <row r="406" spans="1:23" ht="11.25" customHeight="1" x14ac:dyDescent="0.25">
      <c r="A406" s="4" t="s">
        <v>21</v>
      </c>
      <c r="B406" s="4" t="s">
        <v>39</v>
      </c>
      <c r="C406" s="4" t="s">
        <v>40</v>
      </c>
      <c r="D406" s="4" t="s">
        <v>38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44593</v>
      </c>
      <c r="J406" s="6">
        <v>13704</v>
      </c>
      <c r="K406" s="6">
        <v>13704</v>
      </c>
      <c r="L406" s="6">
        <v>0</v>
      </c>
      <c r="M406" s="6">
        <v>0</v>
      </c>
      <c r="N406" s="6">
        <v>0</v>
      </c>
      <c r="O406" s="6">
        <v>0</v>
      </c>
      <c r="P406" s="6">
        <v>76</v>
      </c>
      <c r="Q406" s="4" t="s">
        <v>26</v>
      </c>
      <c r="R406" s="4">
        <v>0</v>
      </c>
      <c r="S406" s="4" t="s">
        <v>163</v>
      </c>
      <c r="U406" s="4">
        <v>6</v>
      </c>
      <c r="V406" s="4">
        <v>0</v>
      </c>
      <c r="W406" s="4">
        <v>0</v>
      </c>
    </row>
    <row r="407" spans="1:23" ht="11.25" customHeight="1" x14ac:dyDescent="0.25">
      <c r="A407" s="4" t="s">
        <v>28</v>
      </c>
      <c r="B407" s="4" t="s">
        <v>39</v>
      </c>
      <c r="C407" s="4" t="s">
        <v>40</v>
      </c>
      <c r="D407" s="4" t="s">
        <v>38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44593</v>
      </c>
      <c r="J407" s="6">
        <v>2127</v>
      </c>
      <c r="K407" s="6">
        <v>2127</v>
      </c>
      <c r="L407" s="6">
        <v>0</v>
      </c>
      <c r="M407" s="6">
        <v>0</v>
      </c>
      <c r="N407" s="6">
        <v>0</v>
      </c>
      <c r="O407" s="6">
        <v>0</v>
      </c>
      <c r="P407" s="6">
        <v>13</v>
      </c>
      <c r="Q407" s="4" t="s">
        <v>26</v>
      </c>
      <c r="R407" s="4">
        <v>0</v>
      </c>
      <c r="S407" s="4" t="s">
        <v>163</v>
      </c>
      <c r="U407" s="4">
        <v>6</v>
      </c>
      <c r="V407" s="4">
        <v>0</v>
      </c>
      <c r="W407" s="4">
        <v>0</v>
      </c>
    </row>
    <row r="408" spans="1:23" ht="11.25" customHeight="1" x14ac:dyDescent="0.25">
      <c r="A408" s="4" t="s">
        <v>21</v>
      </c>
      <c r="B408" s="4" t="s">
        <v>39</v>
      </c>
      <c r="C408" s="4" t="s">
        <v>40</v>
      </c>
      <c r="D408" s="4" t="s">
        <v>38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44621</v>
      </c>
      <c r="J408" s="6">
        <v>13472</v>
      </c>
      <c r="K408" s="6">
        <v>13472</v>
      </c>
      <c r="L408" s="6">
        <v>0</v>
      </c>
      <c r="M408" s="6">
        <v>0</v>
      </c>
      <c r="N408" s="6">
        <v>0</v>
      </c>
      <c r="O408" s="6">
        <v>0</v>
      </c>
      <c r="P408" s="6">
        <v>73</v>
      </c>
      <c r="Q408" s="4" t="s">
        <v>26</v>
      </c>
      <c r="R408" s="4">
        <v>0</v>
      </c>
      <c r="S408" s="4" t="s">
        <v>164</v>
      </c>
      <c r="U408" s="4">
        <v>6</v>
      </c>
      <c r="V408" s="4">
        <v>0</v>
      </c>
      <c r="W408" s="4">
        <v>0</v>
      </c>
    </row>
    <row r="409" spans="1:23" ht="11.25" customHeight="1" x14ac:dyDescent="0.25">
      <c r="A409" s="4" t="s">
        <v>27</v>
      </c>
      <c r="B409" s="4" t="s">
        <v>39</v>
      </c>
      <c r="C409" s="4" t="s">
        <v>40</v>
      </c>
      <c r="D409" s="4" t="s">
        <v>38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44621</v>
      </c>
      <c r="J409" s="6">
        <v>-45</v>
      </c>
      <c r="K409" s="6">
        <v>-45</v>
      </c>
      <c r="L409" s="6">
        <v>0</v>
      </c>
      <c r="M409" s="6">
        <v>0</v>
      </c>
      <c r="N409" s="6">
        <v>0</v>
      </c>
      <c r="O409" s="6">
        <v>0</v>
      </c>
      <c r="P409" s="6">
        <v>-1</v>
      </c>
      <c r="Q409" s="4" t="s">
        <v>26</v>
      </c>
      <c r="R409" s="4">
        <v>0</v>
      </c>
      <c r="S409" s="4" t="s">
        <v>164</v>
      </c>
      <c r="U409" s="4">
        <v>6</v>
      </c>
      <c r="V409" s="4">
        <v>0</v>
      </c>
      <c r="W409" s="4">
        <v>0</v>
      </c>
    </row>
    <row r="410" spans="1:23" ht="11.25" customHeight="1" x14ac:dyDescent="0.25">
      <c r="A410" s="4" t="s">
        <v>28</v>
      </c>
      <c r="B410" s="4" t="s">
        <v>39</v>
      </c>
      <c r="C410" s="4" t="s">
        <v>40</v>
      </c>
      <c r="D410" s="4" t="s">
        <v>38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44621</v>
      </c>
      <c r="J410" s="6">
        <v>2177</v>
      </c>
      <c r="K410" s="6">
        <v>2177</v>
      </c>
      <c r="L410" s="6">
        <v>0</v>
      </c>
      <c r="M410" s="6">
        <v>0</v>
      </c>
      <c r="N410" s="6">
        <v>0</v>
      </c>
      <c r="O410" s="6">
        <v>0</v>
      </c>
      <c r="P410" s="6">
        <v>14</v>
      </c>
      <c r="Q410" s="4" t="s">
        <v>26</v>
      </c>
      <c r="R410" s="4">
        <v>0</v>
      </c>
      <c r="S410" s="4" t="s">
        <v>164</v>
      </c>
      <c r="U410" s="4">
        <v>6</v>
      </c>
      <c r="V410" s="4">
        <v>0</v>
      </c>
      <c r="W410" s="4">
        <v>0</v>
      </c>
    </row>
    <row r="411" spans="1:23" ht="11.25" customHeight="1" x14ac:dyDescent="0.25">
      <c r="A411" s="4" t="s">
        <v>28</v>
      </c>
      <c r="B411" s="4" t="s">
        <v>39</v>
      </c>
      <c r="C411" s="4" t="s">
        <v>40</v>
      </c>
      <c r="D411" s="4" t="s">
        <v>38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44621</v>
      </c>
      <c r="J411" s="6">
        <v>45</v>
      </c>
      <c r="K411" s="6">
        <v>45</v>
      </c>
      <c r="L411" s="6">
        <v>0</v>
      </c>
      <c r="M411" s="6">
        <v>0</v>
      </c>
      <c r="N411" s="6">
        <v>0</v>
      </c>
      <c r="O411" s="6">
        <v>0</v>
      </c>
      <c r="P411" s="6">
        <v>1</v>
      </c>
      <c r="Q411" s="4" t="s">
        <v>26</v>
      </c>
      <c r="R411" s="4">
        <v>0</v>
      </c>
      <c r="S411" s="4" t="s">
        <v>164</v>
      </c>
      <c r="U411" s="4">
        <v>6</v>
      </c>
      <c r="V411" s="4">
        <v>0</v>
      </c>
      <c r="W411" s="4">
        <v>0</v>
      </c>
    </row>
    <row r="412" spans="1:23" ht="11.25" customHeight="1" x14ac:dyDescent="0.25">
      <c r="A412" s="4" t="s">
        <v>21</v>
      </c>
      <c r="B412" s="4" t="s">
        <v>39</v>
      </c>
      <c r="C412" s="4" t="s">
        <v>40</v>
      </c>
      <c r="D412" s="4" t="s">
        <v>38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44652</v>
      </c>
      <c r="J412" s="6">
        <v>13438</v>
      </c>
      <c r="K412" s="6">
        <v>13438</v>
      </c>
      <c r="L412" s="6">
        <v>0</v>
      </c>
      <c r="M412" s="6">
        <v>0</v>
      </c>
      <c r="N412" s="6">
        <v>0</v>
      </c>
      <c r="O412" s="6">
        <v>0</v>
      </c>
      <c r="P412" s="6">
        <v>73</v>
      </c>
      <c r="Q412" s="4" t="s">
        <v>26</v>
      </c>
      <c r="R412" s="4">
        <v>0</v>
      </c>
      <c r="S412" s="4" t="s">
        <v>165</v>
      </c>
      <c r="U412" s="4">
        <v>6</v>
      </c>
      <c r="V412" s="4">
        <v>0</v>
      </c>
      <c r="W412" s="4">
        <v>0</v>
      </c>
    </row>
    <row r="413" spans="1:23" ht="11.25" customHeight="1" x14ac:dyDescent="0.25">
      <c r="A413" s="4" t="s">
        <v>28</v>
      </c>
      <c r="B413" s="4" t="s">
        <v>39</v>
      </c>
      <c r="C413" s="4" t="s">
        <v>40</v>
      </c>
      <c r="D413" s="4" t="s">
        <v>38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44652</v>
      </c>
      <c r="J413" s="6">
        <v>2171</v>
      </c>
      <c r="K413" s="6">
        <v>2171</v>
      </c>
      <c r="L413" s="6">
        <v>0</v>
      </c>
      <c r="M413" s="6">
        <v>0</v>
      </c>
      <c r="N413" s="6">
        <v>0</v>
      </c>
      <c r="O413" s="6">
        <v>0</v>
      </c>
      <c r="P413" s="6">
        <v>14</v>
      </c>
      <c r="Q413" s="4" t="s">
        <v>26</v>
      </c>
      <c r="R413" s="4">
        <v>0</v>
      </c>
      <c r="S413" s="4" t="s">
        <v>165</v>
      </c>
      <c r="U413" s="4">
        <v>6</v>
      </c>
      <c r="V413" s="4">
        <v>0</v>
      </c>
      <c r="W413" s="4">
        <v>0</v>
      </c>
    </row>
    <row r="414" spans="1:23" ht="11.25" customHeight="1" x14ac:dyDescent="0.25">
      <c r="A414" s="4" t="s">
        <v>21</v>
      </c>
      <c r="B414" s="4" t="s">
        <v>39</v>
      </c>
      <c r="C414" s="4" t="s">
        <v>40</v>
      </c>
      <c r="D414" s="4" t="s">
        <v>38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44682</v>
      </c>
      <c r="J414" s="6">
        <v>12992</v>
      </c>
      <c r="K414" s="6">
        <v>12992</v>
      </c>
      <c r="L414" s="6">
        <v>0</v>
      </c>
      <c r="M414" s="6">
        <v>0</v>
      </c>
      <c r="N414" s="6">
        <v>0</v>
      </c>
      <c r="O414" s="6">
        <v>0</v>
      </c>
      <c r="P414" s="6">
        <v>71</v>
      </c>
      <c r="Q414" s="4" t="s">
        <v>26</v>
      </c>
      <c r="R414" s="4">
        <v>0</v>
      </c>
      <c r="S414" s="4" t="s">
        <v>166</v>
      </c>
      <c r="U414" s="4">
        <v>6</v>
      </c>
      <c r="V414" s="4">
        <v>0</v>
      </c>
      <c r="W414" s="4">
        <v>0</v>
      </c>
    </row>
    <row r="415" spans="1:23" ht="11.25" customHeight="1" x14ac:dyDescent="0.25">
      <c r="A415" s="4" t="s">
        <v>28</v>
      </c>
      <c r="B415" s="4" t="s">
        <v>39</v>
      </c>
      <c r="C415" s="4" t="s">
        <v>40</v>
      </c>
      <c r="D415" s="4" t="s">
        <v>38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44682</v>
      </c>
      <c r="J415" s="6">
        <v>2171</v>
      </c>
      <c r="K415" s="6">
        <v>2171</v>
      </c>
      <c r="L415" s="6">
        <v>0</v>
      </c>
      <c r="M415" s="6">
        <v>0</v>
      </c>
      <c r="N415" s="6">
        <v>0</v>
      </c>
      <c r="O415" s="6">
        <v>0</v>
      </c>
      <c r="P415" s="6">
        <v>14</v>
      </c>
      <c r="Q415" s="4" t="s">
        <v>26</v>
      </c>
      <c r="R415" s="4">
        <v>0</v>
      </c>
      <c r="S415" s="4" t="s">
        <v>166</v>
      </c>
      <c r="U415" s="4">
        <v>6</v>
      </c>
      <c r="V415" s="4">
        <v>0</v>
      </c>
      <c r="W415" s="4">
        <v>0</v>
      </c>
    </row>
    <row r="416" spans="1:23" ht="11.25" customHeight="1" x14ac:dyDescent="0.25">
      <c r="A416" s="4" t="s">
        <v>21</v>
      </c>
      <c r="B416" s="4" t="s">
        <v>39</v>
      </c>
      <c r="C416" s="4" t="s">
        <v>40</v>
      </c>
      <c r="D416" s="4" t="s">
        <v>38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44713</v>
      </c>
      <c r="J416" s="6">
        <v>12240</v>
      </c>
      <c r="K416" s="6">
        <v>12240</v>
      </c>
      <c r="L416" s="6">
        <v>0</v>
      </c>
      <c r="M416" s="6">
        <v>0</v>
      </c>
      <c r="N416" s="6">
        <v>0</v>
      </c>
      <c r="O416" s="6">
        <v>0</v>
      </c>
      <c r="P416" s="6">
        <v>69</v>
      </c>
      <c r="Q416" s="4" t="s">
        <v>26</v>
      </c>
      <c r="R416" s="4">
        <v>0</v>
      </c>
      <c r="S416" s="4" t="s">
        <v>167</v>
      </c>
      <c r="U416" s="4">
        <v>6</v>
      </c>
      <c r="V416" s="4">
        <v>0</v>
      </c>
      <c r="W416" s="4">
        <v>0</v>
      </c>
    </row>
    <row r="417" spans="1:23" ht="11.25" customHeight="1" x14ac:dyDescent="0.25">
      <c r="A417" s="4" t="s">
        <v>28</v>
      </c>
      <c r="B417" s="4" t="s">
        <v>39</v>
      </c>
      <c r="C417" s="4" t="s">
        <v>40</v>
      </c>
      <c r="D417" s="4" t="s">
        <v>38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44713</v>
      </c>
      <c r="J417" s="6">
        <v>2270</v>
      </c>
      <c r="K417" s="6">
        <v>2270</v>
      </c>
      <c r="L417" s="6">
        <v>0</v>
      </c>
      <c r="M417" s="6">
        <v>0</v>
      </c>
      <c r="N417" s="6">
        <v>0</v>
      </c>
      <c r="O417" s="6">
        <v>0</v>
      </c>
      <c r="P417" s="6">
        <v>16</v>
      </c>
      <c r="Q417" s="4" t="s">
        <v>26</v>
      </c>
      <c r="R417" s="4">
        <v>0</v>
      </c>
      <c r="S417" s="4" t="s">
        <v>167</v>
      </c>
      <c r="U417" s="4">
        <v>6</v>
      </c>
      <c r="V417" s="4">
        <v>0</v>
      </c>
      <c r="W417" s="4">
        <v>0</v>
      </c>
    </row>
    <row r="418" spans="1:23" ht="11.25" customHeight="1" x14ac:dyDescent="0.25">
      <c r="A418" s="4" t="s">
        <v>21</v>
      </c>
      <c r="B418" s="4" t="s">
        <v>39</v>
      </c>
      <c r="C418" s="4" t="s">
        <v>40</v>
      </c>
      <c r="D418" s="4" t="s">
        <v>38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44743</v>
      </c>
      <c r="J418" s="6">
        <v>12377</v>
      </c>
      <c r="K418" s="6">
        <v>12377</v>
      </c>
      <c r="L418" s="6">
        <v>0</v>
      </c>
      <c r="M418" s="6">
        <v>0</v>
      </c>
      <c r="N418" s="6">
        <v>0</v>
      </c>
      <c r="O418" s="6">
        <v>0</v>
      </c>
      <c r="P418" s="6">
        <v>70</v>
      </c>
      <c r="Q418" s="4" t="s">
        <v>26</v>
      </c>
      <c r="R418" s="4">
        <v>0</v>
      </c>
      <c r="S418" s="4" t="s">
        <v>168</v>
      </c>
      <c r="U418" s="4">
        <v>6</v>
      </c>
      <c r="V418" s="4">
        <v>0</v>
      </c>
      <c r="W418" s="4">
        <v>0</v>
      </c>
    </row>
    <row r="419" spans="1:23" ht="11.25" customHeight="1" x14ac:dyDescent="0.25">
      <c r="A419" s="4" t="s">
        <v>28</v>
      </c>
      <c r="B419" s="4" t="s">
        <v>39</v>
      </c>
      <c r="C419" s="4" t="s">
        <v>40</v>
      </c>
      <c r="D419" s="4" t="s">
        <v>38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44743</v>
      </c>
      <c r="J419" s="6">
        <v>2230</v>
      </c>
      <c r="K419" s="6">
        <v>2230</v>
      </c>
      <c r="L419" s="6">
        <v>0</v>
      </c>
      <c r="M419" s="6">
        <v>0</v>
      </c>
      <c r="N419" s="6">
        <v>0</v>
      </c>
      <c r="O419" s="6">
        <v>0</v>
      </c>
      <c r="P419" s="6">
        <v>15</v>
      </c>
      <c r="Q419" s="4" t="s">
        <v>26</v>
      </c>
      <c r="R419" s="4">
        <v>0</v>
      </c>
      <c r="S419" s="4" t="s">
        <v>168</v>
      </c>
      <c r="U419" s="4">
        <v>6</v>
      </c>
      <c r="V419" s="4">
        <v>0</v>
      </c>
      <c r="W419" s="4">
        <v>0</v>
      </c>
    </row>
    <row r="420" spans="1:23" ht="11.25" customHeight="1" x14ac:dyDescent="0.25">
      <c r="A420" s="4" t="s">
        <v>56</v>
      </c>
      <c r="B420" s="4" t="s">
        <v>39</v>
      </c>
      <c r="C420" s="4" t="s">
        <v>40</v>
      </c>
      <c r="D420" s="4" t="s">
        <v>38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44774</v>
      </c>
      <c r="J420" s="6">
        <v>12377</v>
      </c>
      <c r="K420" s="6">
        <v>12377</v>
      </c>
      <c r="L420" s="6">
        <v>0</v>
      </c>
      <c r="M420" s="6">
        <v>0</v>
      </c>
      <c r="N420" s="6">
        <v>0</v>
      </c>
      <c r="O420" s="6">
        <v>0</v>
      </c>
      <c r="P420" s="6">
        <v>70</v>
      </c>
      <c r="Q420" s="4" t="s">
        <v>26</v>
      </c>
      <c r="R420" s="4">
        <v>0</v>
      </c>
      <c r="S420" s="4" t="s">
        <v>169</v>
      </c>
      <c r="U420" s="4">
        <v>6</v>
      </c>
      <c r="V420" s="4">
        <v>0</v>
      </c>
      <c r="W420" s="4">
        <v>0</v>
      </c>
    </row>
    <row r="421" spans="1:23" ht="11.25" customHeight="1" x14ac:dyDescent="0.25">
      <c r="A421" s="4" t="s">
        <v>56</v>
      </c>
      <c r="B421" s="4" t="s">
        <v>39</v>
      </c>
      <c r="C421" s="4" t="s">
        <v>40</v>
      </c>
      <c r="D421" s="4" t="s">
        <v>38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44774</v>
      </c>
      <c r="J421" s="6">
        <v>2230</v>
      </c>
      <c r="K421" s="6">
        <v>2230</v>
      </c>
      <c r="L421" s="6">
        <v>0</v>
      </c>
      <c r="M421" s="6">
        <v>0</v>
      </c>
      <c r="N421" s="6">
        <v>0</v>
      </c>
      <c r="O421" s="6">
        <v>0</v>
      </c>
      <c r="P421" s="6">
        <v>15</v>
      </c>
      <c r="Q421" s="4" t="s">
        <v>26</v>
      </c>
      <c r="R421" s="4">
        <v>0</v>
      </c>
      <c r="S421" s="4" t="s">
        <v>169</v>
      </c>
      <c r="U421" s="4">
        <v>6</v>
      </c>
      <c r="V421" s="4">
        <v>0</v>
      </c>
      <c r="W421" s="4">
        <v>0</v>
      </c>
    </row>
    <row r="422" spans="1:23" ht="11.25" customHeight="1" x14ac:dyDescent="0.25">
      <c r="A422" s="4" t="s">
        <v>21</v>
      </c>
      <c r="B422" s="4" t="s">
        <v>39</v>
      </c>
      <c r="C422" s="4" t="s">
        <v>40</v>
      </c>
      <c r="D422" s="4" t="s">
        <v>38</v>
      </c>
      <c r="E422" s="4" t="s">
        <v>25</v>
      </c>
      <c r="F422" s="4" t="s">
        <v>25</v>
      </c>
      <c r="G422" s="4" t="s">
        <v>25</v>
      </c>
      <c r="H422" s="4" t="s">
        <v>34</v>
      </c>
      <c r="I422" s="5">
        <v>44440</v>
      </c>
      <c r="J422" s="6">
        <v>0</v>
      </c>
      <c r="K422" s="6">
        <v>0</v>
      </c>
      <c r="L422" s="6">
        <v>53.472000000000001</v>
      </c>
      <c r="M422" s="6">
        <v>53.472000000000001</v>
      </c>
      <c r="N422" s="6">
        <v>53.472000000000001</v>
      </c>
      <c r="O422" s="6">
        <v>53.472000000000001</v>
      </c>
      <c r="P422" s="6">
        <v>0</v>
      </c>
      <c r="Q422" s="4" t="s">
        <v>26</v>
      </c>
      <c r="R422" s="4">
        <v>0</v>
      </c>
      <c r="S422" s="4" t="s">
        <v>170</v>
      </c>
      <c r="T422" s="4" t="s">
        <v>411</v>
      </c>
      <c r="U422" s="4">
        <v>0</v>
      </c>
      <c r="V422" s="4">
        <v>7</v>
      </c>
      <c r="W422" s="4">
        <v>48</v>
      </c>
    </row>
    <row r="423" spans="1:23" ht="11.25" customHeight="1" x14ac:dyDescent="0.25">
      <c r="A423" s="4" t="s">
        <v>28</v>
      </c>
      <c r="B423" s="4" t="s">
        <v>39</v>
      </c>
      <c r="C423" s="4" t="s">
        <v>40</v>
      </c>
      <c r="D423" s="4" t="s">
        <v>38</v>
      </c>
      <c r="E423" s="4" t="s">
        <v>25</v>
      </c>
      <c r="F423" s="4" t="s">
        <v>25</v>
      </c>
      <c r="G423" s="4" t="s">
        <v>25</v>
      </c>
      <c r="H423" s="4" t="s">
        <v>34</v>
      </c>
      <c r="I423" s="5">
        <v>44440</v>
      </c>
      <c r="J423" s="6">
        <v>0</v>
      </c>
      <c r="K423" s="6">
        <v>0</v>
      </c>
      <c r="L423" s="6">
        <v>6.4509999999999996</v>
      </c>
      <c r="M423" s="6">
        <v>6.4509999999999996</v>
      </c>
      <c r="N423" s="6">
        <v>6.4509999999999996</v>
      </c>
      <c r="O423" s="6">
        <v>6.4509999999999996</v>
      </c>
      <c r="P423" s="6">
        <v>0</v>
      </c>
      <c r="Q423" s="4" t="s">
        <v>26</v>
      </c>
      <c r="R423" s="4">
        <v>0</v>
      </c>
      <c r="S423" s="4" t="s">
        <v>170</v>
      </c>
      <c r="T423" s="4" t="s">
        <v>411</v>
      </c>
      <c r="U423" s="4">
        <v>0</v>
      </c>
      <c r="V423" s="4">
        <v>7</v>
      </c>
      <c r="W423" s="4">
        <v>48</v>
      </c>
    </row>
    <row r="424" spans="1:23" ht="11.25" customHeight="1" x14ac:dyDescent="0.25">
      <c r="A424" s="4" t="s">
        <v>21</v>
      </c>
      <c r="B424" s="4" t="s">
        <v>39</v>
      </c>
      <c r="C424" s="4" t="s">
        <v>40</v>
      </c>
      <c r="D424" s="4" t="s">
        <v>38</v>
      </c>
      <c r="E424" s="4" t="s">
        <v>25</v>
      </c>
      <c r="F424" s="4" t="s">
        <v>25</v>
      </c>
      <c r="G424" s="4" t="s">
        <v>25</v>
      </c>
      <c r="H424" s="4" t="s">
        <v>34</v>
      </c>
      <c r="I424" s="5">
        <v>44470</v>
      </c>
      <c r="J424" s="6">
        <v>0</v>
      </c>
      <c r="K424" s="6">
        <v>0</v>
      </c>
      <c r="L424" s="6">
        <v>58.872</v>
      </c>
      <c r="M424" s="6">
        <v>58.872</v>
      </c>
      <c r="N424" s="6">
        <v>58.872</v>
      </c>
      <c r="O424" s="6">
        <v>58.872</v>
      </c>
      <c r="P424" s="6">
        <v>0</v>
      </c>
      <c r="Q424" s="4" t="s">
        <v>26</v>
      </c>
      <c r="R424" s="4">
        <v>0</v>
      </c>
      <c r="S424" s="4" t="s">
        <v>171</v>
      </c>
      <c r="T424" s="4" t="s">
        <v>412</v>
      </c>
      <c r="U424" s="4">
        <v>0</v>
      </c>
      <c r="V424" s="4">
        <v>7</v>
      </c>
      <c r="W424" s="4">
        <v>48</v>
      </c>
    </row>
    <row r="425" spans="1:23" ht="11.25" customHeight="1" x14ac:dyDescent="0.25">
      <c r="A425" s="4" t="s">
        <v>28</v>
      </c>
      <c r="B425" s="4" t="s">
        <v>39</v>
      </c>
      <c r="C425" s="4" t="s">
        <v>40</v>
      </c>
      <c r="D425" s="4" t="s">
        <v>38</v>
      </c>
      <c r="E425" s="4" t="s">
        <v>25</v>
      </c>
      <c r="F425" s="4" t="s">
        <v>25</v>
      </c>
      <c r="G425" s="4" t="s">
        <v>25</v>
      </c>
      <c r="H425" s="4" t="s">
        <v>34</v>
      </c>
      <c r="I425" s="5">
        <v>44470</v>
      </c>
      <c r="J425" s="6">
        <v>0</v>
      </c>
      <c r="K425" s="6">
        <v>0</v>
      </c>
      <c r="L425" s="6">
        <v>6.0810000000000004</v>
      </c>
      <c r="M425" s="6">
        <v>6.0810000000000004</v>
      </c>
      <c r="N425" s="6">
        <v>6.0810000000000004</v>
      </c>
      <c r="O425" s="6">
        <v>6.0810000000000004</v>
      </c>
      <c r="P425" s="6">
        <v>0</v>
      </c>
      <c r="Q425" s="4" t="s">
        <v>26</v>
      </c>
      <c r="R425" s="4">
        <v>0</v>
      </c>
      <c r="S425" s="4" t="s">
        <v>171</v>
      </c>
      <c r="T425" s="4" t="s">
        <v>412</v>
      </c>
      <c r="U425" s="4">
        <v>0</v>
      </c>
      <c r="V425" s="4">
        <v>7</v>
      </c>
      <c r="W425" s="4">
        <v>48</v>
      </c>
    </row>
    <row r="426" spans="1:23" ht="11.25" customHeight="1" x14ac:dyDescent="0.25">
      <c r="A426" s="4" t="s">
        <v>21</v>
      </c>
      <c r="B426" s="4" t="s">
        <v>39</v>
      </c>
      <c r="C426" s="4" t="s">
        <v>40</v>
      </c>
      <c r="D426" s="4" t="s">
        <v>38</v>
      </c>
      <c r="E426" s="4" t="s">
        <v>25</v>
      </c>
      <c r="F426" s="4" t="s">
        <v>25</v>
      </c>
      <c r="G426" s="4" t="s">
        <v>25</v>
      </c>
      <c r="H426" s="4" t="s">
        <v>34</v>
      </c>
      <c r="I426" s="5">
        <v>44501</v>
      </c>
      <c r="J426" s="6">
        <v>0</v>
      </c>
      <c r="K426" s="6">
        <v>0</v>
      </c>
      <c r="L426" s="6">
        <v>62.362000000000002</v>
      </c>
      <c r="M426" s="6">
        <v>62.362000000000002</v>
      </c>
      <c r="N426" s="6">
        <v>62.362000000000002</v>
      </c>
      <c r="O426" s="6">
        <v>62.362000000000002</v>
      </c>
      <c r="P426" s="6">
        <v>0</v>
      </c>
      <c r="Q426" s="4" t="s">
        <v>26</v>
      </c>
      <c r="R426" s="4">
        <v>0</v>
      </c>
      <c r="S426" s="4" t="s">
        <v>172</v>
      </c>
      <c r="T426" s="4" t="s">
        <v>413</v>
      </c>
      <c r="U426" s="4">
        <v>0</v>
      </c>
      <c r="V426" s="4">
        <v>7</v>
      </c>
      <c r="W426" s="4">
        <v>48</v>
      </c>
    </row>
    <row r="427" spans="1:23" ht="11.25" customHeight="1" x14ac:dyDescent="0.25">
      <c r="A427" s="4" t="s">
        <v>27</v>
      </c>
      <c r="B427" s="4" t="s">
        <v>39</v>
      </c>
      <c r="C427" s="4" t="s">
        <v>40</v>
      </c>
      <c r="D427" s="4" t="s">
        <v>38</v>
      </c>
      <c r="E427" s="4" t="s">
        <v>25</v>
      </c>
      <c r="F427" s="4" t="s">
        <v>25</v>
      </c>
      <c r="G427" s="4" t="s">
        <v>25</v>
      </c>
      <c r="H427" s="4" t="s">
        <v>34</v>
      </c>
      <c r="I427" s="5">
        <v>44501</v>
      </c>
      <c r="J427" s="6">
        <v>0</v>
      </c>
      <c r="K427" s="6">
        <v>0</v>
      </c>
      <c r="L427" s="6">
        <v>0.42599999999999999</v>
      </c>
      <c r="M427" s="6">
        <v>0.42599999999999999</v>
      </c>
      <c r="N427" s="6">
        <v>0.42599999999999999</v>
      </c>
      <c r="O427" s="6">
        <v>0.42599999999999999</v>
      </c>
      <c r="P427" s="6">
        <v>0</v>
      </c>
      <c r="Q427" s="4" t="s">
        <v>26</v>
      </c>
      <c r="R427" s="4">
        <v>0</v>
      </c>
      <c r="S427" s="4" t="s">
        <v>172</v>
      </c>
      <c r="T427" s="4" t="s">
        <v>413</v>
      </c>
      <c r="U427" s="4">
        <v>0</v>
      </c>
      <c r="V427" s="4">
        <v>7</v>
      </c>
      <c r="W427" s="4">
        <v>48</v>
      </c>
    </row>
    <row r="428" spans="1:23" ht="11.25" customHeight="1" x14ac:dyDescent="0.25">
      <c r="A428" s="4" t="s">
        <v>28</v>
      </c>
      <c r="B428" s="4" t="s">
        <v>39</v>
      </c>
      <c r="C428" s="4" t="s">
        <v>40</v>
      </c>
      <c r="D428" s="4" t="s">
        <v>38</v>
      </c>
      <c r="E428" s="4" t="s">
        <v>25</v>
      </c>
      <c r="F428" s="4" t="s">
        <v>25</v>
      </c>
      <c r="G428" s="4" t="s">
        <v>25</v>
      </c>
      <c r="H428" s="4" t="s">
        <v>34</v>
      </c>
      <c r="I428" s="5">
        <v>44501</v>
      </c>
      <c r="J428" s="6">
        <v>0</v>
      </c>
      <c r="K428" s="6">
        <v>0</v>
      </c>
      <c r="L428" s="6">
        <v>5.2359999999999998</v>
      </c>
      <c r="M428" s="6">
        <v>5.2359999999999998</v>
      </c>
      <c r="N428" s="6">
        <v>5.2359999999999998</v>
      </c>
      <c r="O428" s="6">
        <v>5.2359999999999998</v>
      </c>
      <c r="P428" s="6">
        <v>0</v>
      </c>
      <c r="Q428" s="4" t="s">
        <v>26</v>
      </c>
      <c r="R428" s="4">
        <v>0</v>
      </c>
      <c r="S428" s="4" t="s">
        <v>172</v>
      </c>
      <c r="T428" s="4" t="s">
        <v>413</v>
      </c>
      <c r="U428" s="4">
        <v>0</v>
      </c>
      <c r="V428" s="4">
        <v>7</v>
      </c>
      <c r="W428" s="4">
        <v>48</v>
      </c>
    </row>
    <row r="429" spans="1:23" ht="11.25" customHeight="1" x14ac:dyDescent="0.25">
      <c r="A429" s="4" t="s">
        <v>21</v>
      </c>
      <c r="B429" s="4" t="s">
        <v>39</v>
      </c>
      <c r="C429" s="4" t="s">
        <v>40</v>
      </c>
      <c r="D429" s="4" t="s">
        <v>38</v>
      </c>
      <c r="E429" s="4" t="s">
        <v>25</v>
      </c>
      <c r="F429" s="4" t="s">
        <v>25</v>
      </c>
      <c r="G429" s="4" t="s">
        <v>25</v>
      </c>
      <c r="H429" s="4" t="s">
        <v>34</v>
      </c>
      <c r="I429" s="5">
        <v>44531</v>
      </c>
      <c r="J429" s="6">
        <v>0</v>
      </c>
      <c r="K429" s="6">
        <v>0</v>
      </c>
      <c r="L429" s="6">
        <v>54.695</v>
      </c>
      <c r="M429" s="6">
        <v>54.695</v>
      </c>
      <c r="N429" s="6">
        <v>54.695</v>
      </c>
      <c r="O429" s="6">
        <v>54.695</v>
      </c>
      <c r="P429" s="6">
        <v>0</v>
      </c>
      <c r="Q429" s="4" t="s">
        <v>26</v>
      </c>
      <c r="R429" s="4">
        <v>0</v>
      </c>
      <c r="S429" s="4" t="s">
        <v>173</v>
      </c>
      <c r="T429" s="4" t="s">
        <v>414</v>
      </c>
      <c r="U429" s="4">
        <v>0</v>
      </c>
      <c r="V429" s="4">
        <v>7</v>
      </c>
      <c r="W429" s="4">
        <v>48</v>
      </c>
    </row>
    <row r="430" spans="1:23" ht="11.25" customHeight="1" x14ac:dyDescent="0.25">
      <c r="A430" s="4" t="s">
        <v>28</v>
      </c>
      <c r="B430" s="4" t="s">
        <v>39</v>
      </c>
      <c r="C430" s="4" t="s">
        <v>40</v>
      </c>
      <c r="D430" s="4" t="s">
        <v>38</v>
      </c>
      <c r="E430" s="4" t="s">
        <v>25</v>
      </c>
      <c r="F430" s="4" t="s">
        <v>25</v>
      </c>
      <c r="G430" s="4" t="s">
        <v>25</v>
      </c>
      <c r="H430" s="4" t="s">
        <v>34</v>
      </c>
      <c r="I430" s="5">
        <v>44531</v>
      </c>
      <c r="J430" s="6">
        <v>0</v>
      </c>
      <c r="K430" s="6">
        <v>0</v>
      </c>
      <c r="L430" s="6">
        <v>4.7629999999999999</v>
      </c>
      <c r="M430" s="6">
        <v>4.7629999999999999</v>
      </c>
      <c r="N430" s="6">
        <v>4.7629999999999999</v>
      </c>
      <c r="O430" s="6">
        <v>4.7629999999999999</v>
      </c>
      <c r="P430" s="6">
        <v>0</v>
      </c>
      <c r="Q430" s="4" t="s">
        <v>26</v>
      </c>
      <c r="R430" s="4">
        <v>0</v>
      </c>
      <c r="S430" s="4" t="s">
        <v>173</v>
      </c>
      <c r="T430" s="4" t="s">
        <v>414</v>
      </c>
      <c r="U430" s="4">
        <v>0</v>
      </c>
      <c r="V430" s="4">
        <v>7</v>
      </c>
      <c r="W430" s="4">
        <v>48</v>
      </c>
    </row>
    <row r="431" spans="1:23" ht="11.25" customHeight="1" x14ac:dyDescent="0.25">
      <c r="A431" s="4" t="s">
        <v>21</v>
      </c>
      <c r="B431" s="4" t="s">
        <v>39</v>
      </c>
      <c r="C431" s="4" t="s">
        <v>40</v>
      </c>
      <c r="D431" s="4" t="s">
        <v>38</v>
      </c>
      <c r="E431" s="4" t="s">
        <v>25</v>
      </c>
      <c r="F431" s="4" t="s">
        <v>25</v>
      </c>
      <c r="G431" s="4" t="s">
        <v>25</v>
      </c>
      <c r="H431" s="4" t="s">
        <v>34</v>
      </c>
      <c r="I431" s="5">
        <v>44562</v>
      </c>
      <c r="J431" s="6">
        <v>0</v>
      </c>
      <c r="K431" s="6">
        <v>0</v>
      </c>
      <c r="L431" s="6">
        <v>37.732999999999997</v>
      </c>
      <c r="M431" s="6">
        <v>37.732999999999997</v>
      </c>
      <c r="N431" s="6">
        <v>37.732999999999997</v>
      </c>
      <c r="O431" s="6">
        <v>37.732999999999997</v>
      </c>
      <c r="P431" s="6">
        <v>0</v>
      </c>
      <c r="Q431" s="4" t="s">
        <v>26</v>
      </c>
      <c r="R431" s="4">
        <v>0</v>
      </c>
      <c r="S431" s="4" t="s">
        <v>174</v>
      </c>
      <c r="T431" s="4" t="s">
        <v>415</v>
      </c>
      <c r="U431" s="4">
        <v>0</v>
      </c>
      <c r="V431" s="4">
        <v>7</v>
      </c>
      <c r="W431" s="4">
        <v>48</v>
      </c>
    </row>
    <row r="432" spans="1:23" ht="11.25" customHeight="1" x14ac:dyDescent="0.25">
      <c r="A432" s="4" t="s">
        <v>28</v>
      </c>
      <c r="B432" s="4" t="s">
        <v>39</v>
      </c>
      <c r="C432" s="4" t="s">
        <v>40</v>
      </c>
      <c r="D432" s="4" t="s">
        <v>38</v>
      </c>
      <c r="E432" s="4" t="s">
        <v>25</v>
      </c>
      <c r="F432" s="4" t="s">
        <v>25</v>
      </c>
      <c r="G432" s="4" t="s">
        <v>25</v>
      </c>
      <c r="H432" s="4" t="s">
        <v>34</v>
      </c>
      <c r="I432" s="5">
        <v>44562</v>
      </c>
      <c r="J432" s="6">
        <v>0</v>
      </c>
      <c r="K432" s="6">
        <v>0</v>
      </c>
      <c r="L432" s="6">
        <v>3.992</v>
      </c>
      <c r="M432" s="6">
        <v>3.992</v>
      </c>
      <c r="N432" s="6">
        <v>3.992</v>
      </c>
      <c r="O432" s="6">
        <v>3.992</v>
      </c>
      <c r="P432" s="6">
        <v>0</v>
      </c>
      <c r="Q432" s="4" t="s">
        <v>26</v>
      </c>
      <c r="R432" s="4">
        <v>0</v>
      </c>
      <c r="S432" s="4" t="s">
        <v>174</v>
      </c>
      <c r="T432" s="4" t="s">
        <v>415</v>
      </c>
      <c r="U432" s="4">
        <v>0</v>
      </c>
      <c r="V432" s="4">
        <v>7</v>
      </c>
      <c r="W432" s="4">
        <v>48</v>
      </c>
    </row>
    <row r="433" spans="1:23" ht="11.25" customHeight="1" x14ac:dyDescent="0.25">
      <c r="A433" s="4" t="s">
        <v>21</v>
      </c>
      <c r="B433" s="4" t="s">
        <v>39</v>
      </c>
      <c r="C433" s="4" t="s">
        <v>40</v>
      </c>
      <c r="D433" s="4" t="s">
        <v>38</v>
      </c>
      <c r="E433" s="4" t="s">
        <v>25</v>
      </c>
      <c r="F433" s="4" t="s">
        <v>25</v>
      </c>
      <c r="G433" s="4" t="s">
        <v>25</v>
      </c>
      <c r="H433" s="4" t="s">
        <v>34</v>
      </c>
      <c r="I433" s="5">
        <v>44593</v>
      </c>
      <c r="J433" s="6">
        <v>0</v>
      </c>
      <c r="K433" s="6">
        <v>0</v>
      </c>
      <c r="L433" s="6">
        <v>43.128</v>
      </c>
      <c r="M433" s="6">
        <v>43.128</v>
      </c>
      <c r="N433" s="6">
        <v>43.128</v>
      </c>
      <c r="O433" s="6">
        <v>43.128</v>
      </c>
      <c r="P433" s="6">
        <v>0</v>
      </c>
      <c r="Q433" s="4" t="s">
        <v>26</v>
      </c>
      <c r="R433" s="4">
        <v>0</v>
      </c>
      <c r="S433" s="4" t="s">
        <v>175</v>
      </c>
      <c r="T433" s="4" t="s">
        <v>416</v>
      </c>
      <c r="U433" s="4">
        <v>0</v>
      </c>
      <c r="V433" s="4">
        <v>7</v>
      </c>
      <c r="W433" s="4">
        <v>48</v>
      </c>
    </row>
    <row r="434" spans="1:23" ht="11.25" customHeight="1" x14ac:dyDescent="0.25">
      <c r="A434" s="4" t="s">
        <v>28</v>
      </c>
      <c r="B434" s="4" t="s">
        <v>39</v>
      </c>
      <c r="C434" s="4" t="s">
        <v>40</v>
      </c>
      <c r="D434" s="4" t="s">
        <v>38</v>
      </c>
      <c r="E434" s="4" t="s">
        <v>25</v>
      </c>
      <c r="F434" s="4" t="s">
        <v>25</v>
      </c>
      <c r="G434" s="4" t="s">
        <v>25</v>
      </c>
      <c r="H434" s="4" t="s">
        <v>34</v>
      </c>
      <c r="I434" s="5">
        <v>44593</v>
      </c>
      <c r="J434" s="6">
        <v>0</v>
      </c>
      <c r="K434" s="6">
        <v>0</v>
      </c>
      <c r="L434" s="6">
        <v>4.3330000000000002</v>
      </c>
      <c r="M434" s="6">
        <v>4.3330000000000002</v>
      </c>
      <c r="N434" s="6">
        <v>4.3330000000000002</v>
      </c>
      <c r="O434" s="6">
        <v>4.3330000000000002</v>
      </c>
      <c r="P434" s="6">
        <v>0</v>
      </c>
      <c r="Q434" s="4" t="s">
        <v>26</v>
      </c>
      <c r="R434" s="4">
        <v>0</v>
      </c>
      <c r="S434" s="4" t="s">
        <v>175</v>
      </c>
      <c r="T434" s="4" t="s">
        <v>416</v>
      </c>
      <c r="U434" s="4">
        <v>0</v>
      </c>
      <c r="V434" s="4">
        <v>7</v>
      </c>
      <c r="W434" s="4">
        <v>48</v>
      </c>
    </row>
    <row r="435" spans="1:23" ht="11.25" customHeight="1" x14ac:dyDescent="0.25">
      <c r="A435" s="4" t="s">
        <v>21</v>
      </c>
      <c r="B435" s="4" t="s">
        <v>39</v>
      </c>
      <c r="C435" s="4" t="s">
        <v>40</v>
      </c>
      <c r="D435" s="4" t="s">
        <v>38</v>
      </c>
      <c r="E435" s="4" t="s">
        <v>25</v>
      </c>
      <c r="F435" s="4" t="s">
        <v>25</v>
      </c>
      <c r="G435" s="4" t="s">
        <v>25</v>
      </c>
      <c r="H435" s="4" t="s">
        <v>34</v>
      </c>
      <c r="I435" s="5">
        <v>44621</v>
      </c>
      <c r="J435" s="6">
        <v>0</v>
      </c>
      <c r="K435" s="6">
        <v>0</v>
      </c>
      <c r="L435" s="6">
        <v>54.853000000000002</v>
      </c>
      <c r="M435" s="6">
        <v>54.853000000000002</v>
      </c>
      <c r="N435" s="6">
        <v>54.853000000000002</v>
      </c>
      <c r="O435" s="6">
        <v>54.853000000000002</v>
      </c>
      <c r="P435" s="6">
        <v>0</v>
      </c>
      <c r="Q435" s="4" t="s">
        <v>26</v>
      </c>
      <c r="R435" s="4">
        <v>0</v>
      </c>
      <c r="S435" s="4" t="s">
        <v>176</v>
      </c>
      <c r="T435" s="4" t="s">
        <v>417</v>
      </c>
      <c r="U435" s="4">
        <v>0</v>
      </c>
      <c r="V435" s="4">
        <v>7</v>
      </c>
      <c r="W435" s="4">
        <v>48</v>
      </c>
    </row>
    <row r="436" spans="1:23" ht="11.25" customHeight="1" x14ac:dyDescent="0.25">
      <c r="A436" s="4" t="s">
        <v>27</v>
      </c>
      <c r="B436" s="4" t="s">
        <v>39</v>
      </c>
      <c r="C436" s="4" t="s">
        <v>40</v>
      </c>
      <c r="D436" s="4" t="s">
        <v>38</v>
      </c>
      <c r="E436" s="4" t="s">
        <v>25</v>
      </c>
      <c r="F436" s="4" t="s">
        <v>25</v>
      </c>
      <c r="G436" s="4" t="s">
        <v>25</v>
      </c>
      <c r="H436" s="4" t="s">
        <v>34</v>
      </c>
      <c r="I436" s="5">
        <v>44621</v>
      </c>
      <c r="J436" s="6">
        <v>0</v>
      </c>
      <c r="K436" s="6">
        <v>0</v>
      </c>
      <c r="L436" s="6">
        <v>-0.41499999999999998</v>
      </c>
      <c r="M436" s="6">
        <v>-0.41499999999999998</v>
      </c>
      <c r="N436" s="6">
        <v>-0.41499999999999998</v>
      </c>
      <c r="O436" s="6">
        <v>-0.41499999999999998</v>
      </c>
      <c r="P436" s="6">
        <v>0</v>
      </c>
      <c r="Q436" s="4" t="s">
        <v>26</v>
      </c>
      <c r="R436" s="4">
        <v>0</v>
      </c>
      <c r="S436" s="4" t="s">
        <v>176</v>
      </c>
      <c r="T436" s="4" t="s">
        <v>417</v>
      </c>
      <c r="U436" s="4">
        <v>0</v>
      </c>
      <c r="V436" s="4">
        <v>7</v>
      </c>
      <c r="W436" s="4">
        <v>48</v>
      </c>
    </row>
    <row r="437" spans="1:23" ht="11.25" customHeight="1" x14ac:dyDescent="0.25">
      <c r="A437" s="4" t="s">
        <v>28</v>
      </c>
      <c r="B437" s="4" t="s">
        <v>39</v>
      </c>
      <c r="C437" s="4" t="s">
        <v>40</v>
      </c>
      <c r="D437" s="4" t="s">
        <v>38</v>
      </c>
      <c r="E437" s="4" t="s">
        <v>25</v>
      </c>
      <c r="F437" s="4" t="s">
        <v>25</v>
      </c>
      <c r="G437" s="4" t="s">
        <v>25</v>
      </c>
      <c r="H437" s="4" t="s">
        <v>34</v>
      </c>
      <c r="I437" s="5">
        <v>44621</v>
      </c>
      <c r="J437" s="6">
        <v>0</v>
      </c>
      <c r="K437" s="6">
        <v>0</v>
      </c>
      <c r="L437" s="6">
        <v>5.673</v>
      </c>
      <c r="M437" s="6">
        <v>5.673</v>
      </c>
      <c r="N437" s="6">
        <v>5.673</v>
      </c>
      <c r="O437" s="6">
        <v>5.673</v>
      </c>
      <c r="P437" s="6">
        <v>0</v>
      </c>
      <c r="Q437" s="4" t="s">
        <v>26</v>
      </c>
      <c r="R437" s="4">
        <v>0</v>
      </c>
      <c r="S437" s="4" t="s">
        <v>176</v>
      </c>
      <c r="T437" s="4" t="s">
        <v>417</v>
      </c>
      <c r="U437" s="4">
        <v>0</v>
      </c>
      <c r="V437" s="4">
        <v>7</v>
      </c>
      <c r="W437" s="4">
        <v>48</v>
      </c>
    </row>
    <row r="438" spans="1:23" ht="11.25" customHeight="1" x14ac:dyDescent="0.25">
      <c r="A438" s="4" t="s">
        <v>28</v>
      </c>
      <c r="B438" s="4" t="s">
        <v>39</v>
      </c>
      <c r="C438" s="4" t="s">
        <v>40</v>
      </c>
      <c r="D438" s="4" t="s">
        <v>38</v>
      </c>
      <c r="E438" s="4" t="s">
        <v>25</v>
      </c>
      <c r="F438" s="4" t="s">
        <v>25</v>
      </c>
      <c r="G438" s="4" t="s">
        <v>25</v>
      </c>
      <c r="H438" s="4" t="s">
        <v>34</v>
      </c>
      <c r="I438" s="5">
        <v>44621</v>
      </c>
      <c r="J438" s="6">
        <v>0</v>
      </c>
      <c r="K438" s="6">
        <v>0</v>
      </c>
      <c r="L438" s="6">
        <v>0.41499999999999998</v>
      </c>
      <c r="M438" s="6">
        <v>0.41499999999999998</v>
      </c>
      <c r="N438" s="6">
        <v>0.41499999999999998</v>
      </c>
      <c r="O438" s="6">
        <v>0.41499999999999998</v>
      </c>
      <c r="P438" s="6">
        <v>0</v>
      </c>
      <c r="Q438" s="4" t="s">
        <v>26</v>
      </c>
      <c r="R438" s="4">
        <v>0</v>
      </c>
      <c r="S438" s="4" t="s">
        <v>176</v>
      </c>
      <c r="T438" s="4" t="s">
        <v>417</v>
      </c>
      <c r="U438" s="4">
        <v>0</v>
      </c>
      <c r="V438" s="4">
        <v>7</v>
      </c>
      <c r="W438" s="4">
        <v>48</v>
      </c>
    </row>
    <row r="439" spans="1:23" ht="11.25" customHeight="1" x14ac:dyDescent="0.25">
      <c r="A439" s="4" t="s">
        <v>21</v>
      </c>
      <c r="B439" s="4" t="s">
        <v>39</v>
      </c>
      <c r="C439" s="4" t="s">
        <v>40</v>
      </c>
      <c r="D439" s="4" t="s">
        <v>38</v>
      </c>
      <c r="E439" s="4" t="s">
        <v>25</v>
      </c>
      <c r="F439" s="4" t="s">
        <v>25</v>
      </c>
      <c r="G439" s="4" t="s">
        <v>25</v>
      </c>
      <c r="H439" s="4" t="s">
        <v>34</v>
      </c>
      <c r="I439" s="5">
        <v>44652</v>
      </c>
      <c r="J439" s="6">
        <v>0</v>
      </c>
      <c r="K439" s="6">
        <v>0</v>
      </c>
      <c r="L439" s="6">
        <v>45.302</v>
      </c>
      <c r="M439" s="6">
        <v>45.302</v>
      </c>
      <c r="N439" s="6">
        <v>45.302</v>
      </c>
      <c r="O439" s="6">
        <v>45.302</v>
      </c>
      <c r="P439" s="6">
        <v>0</v>
      </c>
      <c r="Q439" s="4" t="s">
        <v>26</v>
      </c>
      <c r="R439" s="4">
        <v>0</v>
      </c>
      <c r="S439" s="4" t="s">
        <v>177</v>
      </c>
      <c r="T439" s="4" t="s">
        <v>418</v>
      </c>
      <c r="U439" s="4">
        <v>0</v>
      </c>
      <c r="V439" s="4">
        <v>7</v>
      </c>
      <c r="W439" s="4">
        <v>48</v>
      </c>
    </row>
    <row r="440" spans="1:23" ht="11.25" customHeight="1" x14ac:dyDescent="0.25">
      <c r="A440" s="4" t="s">
        <v>28</v>
      </c>
      <c r="B440" s="4" t="s">
        <v>39</v>
      </c>
      <c r="C440" s="4" t="s">
        <v>40</v>
      </c>
      <c r="D440" s="4" t="s">
        <v>38</v>
      </c>
      <c r="E440" s="4" t="s">
        <v>25</v>
      </c>
      <c r="F440" s="4" t="s">
        <v>25</v>
      </c>
      <c r="G440" s="4" t="s">
        <v>25</v>
      </c>
      <c r="H440" s="4" t="s">
        <v>34</v>
      </c>
      <c r="I440" s="5">
        <v>44652</v>
      </c>
      <c r="J440" s="6">
        <v>0</v>
      </c>
      <c r="K440" s="6">
        <v>0</v>
      </c>
      <c r="L440" s="6">
        <v>4.8499999999999996</v>
      </c>
      <c r="M440" s="6">
        <v>4.8499999999999996</v>
      </c>
      <c r="N440" s="6">
        <v>4.8499999999999996</v>
      </c>
      <c r="O440" s="6">
        <v>4.8499999999999996</v>
      </c>
      <c r="P440" s="6">
        <v>0</v>
      </c>
      <c r="Q440" s="4" t="s">
        <v>26</v>
      </c>
      <c r="R440" s="4">
        <v>0</v>
      </c>
      <c r="S440" s="4" t="s">
        <v>177</v>
      </c>
      <c r="T440" s="4" t="s">
        <v>418</v>
      </c>
      <c r="U440" s="4">
        <v>0</v>
      </c>
      <c r="V440" s="4">
        <v>7</v>
      </c>
      <c r="W440" s="4">
        <v>48</v>
      </c>
    </row>
    <row r="441" spans="1:23" ht="11.25" customHeight="1" x14ac:dyDescent="0.25">
      <c r="A441" s="4" t="s">
        <v>21</v>
      </c>
      <c r="B441" s="4" t="s">
        <v>39</v>
      </c>
      <c r="C441" s="4" t="s">
        <v>40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34</v>
      </c>
      <c r="I441" s="5">
        <v>44682</v>
      </c>
      <c r="J441" s="6">
        <v>0</v>
      </c>
      <c r="K441" s="6">
        <v>0</v>
      </c>
      <c r="L441" s="6">
        <v>45.627000000000002</v>
      </c>
      <c r="M441" s="6">
        <v>45.627000000000002</v>
      </c>
      <c r="N441" s="6">
        <v>45.627000000000002</v>
      </c>
      <c r="O441" s="6">
        <v>45.627000000000002</v>
      </c>
      <c r="P441" s="6">
        <v>0</v>
      </c>
      <c r="Q441" s="4" t="s">
        <v>26</v>
      </c>
      <c r="R441" s="4">
        <v>0</v>
      </c>
      <c r="S441" s="4" t="s">
        <v>178</v>
      </c>
      <c r="T441" s="4" t="s">
        <v>419</v>
      </c>
      <c r="U441" s="4">
        <v>0</v>
      </c>
      <c r="V441" s="4">
        <v>7</v>
      </c>
      <c r="W441" s="4">
        <v>48</v>
      </c>
    </row>
    <row r="442" spans="1:23" ht="11.25" customHeight="1" x14ac:dyDescent="0.25">
      <c r="A442" s="4" t="s">
        <v>28</v>
      </c>
      <c r="B442" s="4" t="s">
        <v>39</v>
      </c>
      <c r="C442" s="4" t="s">
        <v>40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34</v>
      </c>
      <c r="I442" s="5">
        <v>44682</v>
      </c>
      <c r="J442" s="6">
        <v>0</v>
      </c>
      <c r="K442" s="6">
        <v>0</v>
      </c>
      <c r="L442" s="6">
        <v>5.3680000000000003</v>
      </c>
      <c r="M442" s="6">
        <v>5.3680000000000003</v>
      </c>
      <c r="N442" s="6">
        <v>5.3680000000000003</v>
      </c>
      <c r="O442" s="6">
        <v>5.3680000000000003</v>
      </c>
      <c r="P442" s="6">
        <v>0</v>
      </c>
      <c r="Q442" s="4" t="s">
        <v>26</v>
      </c>
      <c r="R442" s="4">
        <v>0</v>
      </c>
      <c r="S442" s="4" t="s">
        <v>178</v>
      </c>
      <c r="T442" s="4" t="s">
        <v>419</v>
      </c>
      <c r="U442" s="4">
        <v>0</v>
      </c>
      <c r="V442" s="4">
        <v>7</v>
      </c>
      <c r="W442" s="4">
        <v>48</v>
      </c>
    </row>
    <row r="443" spans="1:23" ht="11.25" customHeight="1" x14ac:dyDescent="0.25">
      <c r="A443" s="4" t="s">
        <v>28</v>
      </c>
      <c r="B443" s="4" t="s">
        <v>39</v>
      </c>
      <c r="C443" s="4" t="s">
        <v>40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34</v>
      </c>
      <c r="I443" s="5">
        <v>44682</v>
      </c>
      <c r="J443" s="6">
        <v>0</v>
      </c>
      <c r="K443" s="6">
        <v>0</v>
      </c>
      <c r="L443" s="6">
        <v>1.766</v>
      </c>
      <c r="M443" s="6">
        <v>1.766</v>
      </c>
      <c r="N443" s="6">
        <v>1.766</v>
      </c>
      <c r="O443" s="6">
        <v>1.766</v>
      </c>
      <c r="P443" s="6">
        <v>0</v>
      </c>
      <c r="Q443" s="4" t="s">
        <v>26</v>
      </c>
      <c r="R443" s="4">
        <v>0</v>
      </c>
      <c r="S443" s="4" t="s">
        <v>178</v>
      </c>
      <c r="T443" s="4" t="s">
        <v>419</v>
      </c>
      <c r="U443" s="4">
        <v>0</v>
      </c>
      <c r="V443" s="4">
        <v>7</v>
      </c>
      <c r="W443" s="4">
        <v>48</v>
      </c>
    </row>
    <row r="444" spans="1:23" ht="11.25" customHeight="1" x14ac:dyDescent="0.25">
      <c r="A444" s="4" t="s">
        <v>21</v>
      </c>
      <c r="B444" s="4" t="s">
        <v>39</v>
      </c>
      <c r="C444" s="4" t="s">
        <v>40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34</v>
      </c>
      <c r="I444" s="5">
        <v>44713</v>
      </c>
      <c r="J444" s="6">
        <v>0</v>
      </c>
      <c r="K444" s="6">
        <v>0</v>
      </c>
      <c r="L444" s="6">
        <v>39.863</v>
      </c>
      <c r="M444" s="6">
        <v>39.863</v>
      </c>
      <c r="N444" s="6">
        <v>39.863</v>
      </c>
      <c r="O444" s="6">
        <v>39.863</v>
      </c>
      <c r="P444" s="6">
        <v>0</v>
      </c>
      <c r="Q444" s="4" t="s">
        <v>26</v>
      </c>
      <c r="R444" s="4">
        <v>0</v>
      </c>
      <c r="S444" s="4" t="s">
        <v>179</v>
      </c>
      <c r="T444" s="4" t="s">
        <v>420</v>
      </c>
      <c r="U444" s="4">
        <v>0</v>
      </c>
      <c r="V444" s="4">
        <v>7</v>
      </c>
      <c r="W444" s="4">
        <v>48</v>
      </c>
    </row>
    <row r="445" spans="1:23" ht="11.25" customHeight="1" x14ac:dyDescent="0.25">
      <c r="A445" s="4" t="s">
        <v>28</v>
      </c>
      <c r="B445" s="4" t="s">
        <v>39</v>
      </c>
      <c r="C445" s="4" t="s">
        <v>40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34</v>
      </c>
      <c r="I445" s="5">
        <v>44713</v>
      </c>
      <c r="J445" s="6">
        <v>0</v>
      </c>
      <c r="K445" s="6">
        <v>0</v>
      </c>
      <c r="L445" s="6">
        <v>4.7789999999999999</v>
      </c>
      <c r="M445" s="6">
        <v>4.7789999999999999</v>
      </c>
      <c r="N445" s="6">
        <v>4.7789999999999999</v>
      </c>
      <c r="O445" s="6">
        <v>4.7789999999999999</v>
      </c>
      <c r="P445" s="6">
        <v>0</v>
      </c>
      <c r="Q445" s="4" t="s">
        <v>26</v>
      </c>
      <c r="R445" s="4">
        <v>0</v>
      </c>
      <c r="S445" s="4" t="s">
        <v>179</v>
      </c>
      <c r="T445" s="4" t="s">
        <v>420</v>
      </c>
      <c r="U445" s="4">
        <v>0</v>
      </c>
      <c r="V445" s="4">
        <v>7</v>
      </c>
      <c r="W445" s="4">
        <v>48</v>
      </c>
    </row>
    <row r="446" spans="1:23" ht="11.25" customHeight="1" x14ac:dyDescent="0.25">
      <c r="A446" s="4" t="s">
        <v>28</v>
      </c>
      <c r="B446" s="4" t="s">
        <v>39</v>
      </c>
      <c r="C446" s="4" t="s">
        <v>40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34</v>
      </c>
      <c r="I446" s="5">
        <v>44713</v>
      </c>
      <c r="J446" s="6">
        <v>0</v>
      </c>
      <c r="K446" s="6">
        <v>0</v>
      </c>
      <c r="L446" s="6">
        <v>0.81799999999999995</v>
      </c>
      <c r="M446" s="6">
        <v>0.81799999999999995</v>
      </c>
      <c r="N446" s="6">
        <v>0.81799999999999995</v>
      </c>
      <c r="O446" s="6">
        <v>0.81799999999999995</v>
      </c>
      <c r="P446" s="6">
        <v>0</v>
      </c>
      <c r="Q446" s="4" t="s">
        <v>26</v>
      </c>
      <c r="R446" s="4">
        <v>0</v>
      </c>
      <c r="S446" s="4" t="s">
        <v>179</v>
      </c>
      <c r="T446" s="4" t="s">
        <v>420</v>
      </c>
      <c r="U446" s="4">
        <v>0</v>
      </c>
      <c r="V446" s="4">
        <v>7</v>
      </c>
      <c r="W446" s="4">
        <v>48</v>
      </c>
    </row>
    <row r="447" spans="1:23" ht="11.25" customHeight="1" x14ac:dyDescent="0.25">
      <c r="A447" s="4" t="s">
        <v>21</v>
      </c>
      <c r="B447" s="4" t="s">
        <v>39</v>
      </c>
      <c r="C447" s="4" t="s">
        <v>40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34</v>
      </c>
      <c r="I447" s="5">
        <v>44743</v>
      </c>
      <c r="J447" s="6">
        <v>0</v>
      </c>
      <c r="K447" s="6">
        <v>0</v>
      </c>
      <c r="L447" s="6">
        <v>39.978000000000002</v>
      </c>
      <c r="M447" s="6">
        <v>39.978000000000002</v>
      </c>
      <c r="N447" s="6">
        <v>39.978000000000002</v>
      </c>
      <c r="O447" s="6">
        <v>39.978000000000002</v>
      </c>
      <c r="P447" s="6">
        <v>0</v>
      </c>
      <c r="Q447" s="4" t="s">
        <v>26</v>
      </c>
      <c r="R447" s="4">
        <v>0</v>
      </c>
      <c r="S447" s="4" t="s">
        <v>180</v>
      </c>
      <c r="T447" s="4" t="s">
        <v>421</v>
      </c>
      <c r="U447" s="4">
        <v>0</v>
      </c>
      <c r="V447" s="4">
        <v>7</v>
      </c>
      <c r="W447" s="4">
        <v>48</v>
      </c>
    </row>
    <row r="448" spans="1:23" ht="11.25" customHeight="1" x14ac:dyDescent="0.25">
      <c r="A448" s="4" t="s">
        <v>28</v>
      </c>
      <c r="B448" s="4" t="s">
        <v>39</v>
      </c>
      <c r="C448" s="4" t="s">
        <v>40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34</v>
      </c>
      <c r="I448" s="5">
        <v>44743</v>
      </c>
      <c r="J448" s="6">
        <v>0</v>
      </c>
      <c r="K448" s="6">
        <v>0</v>
      </c>
      <c r="L448" s="6">
        <v>4.5270000000000001</v>
      </c>
      <c r="M448" s="6">
        <v>4.5270000000000001</v>
      </c>
      <c r="N448" s="6">
        <v>4.5270000000000001</v>
      </c>
      <c r="O448" s="6">
        <v>4.5270000000000001</v>
      </c>
      <c r="P448" s="6">
        <v>0</v>
      </c>
      <c r="Q448" s="4" t="s">
        <v>26</v>
      </c>
      <c r="R448" s="4">
        <v>0</v>
      </c>
      <c r="S448" s="4" t="s">
        <v>180</v>
      </c>
      <c r="T448" s="4" t="s">
        <v>421</v>
      </c>
      <c r="U448" s="4">
        <v>0</v>
      </c>
      <c r="V448" s="4">
        <v>7</v>
      </c>
      <c r="W448" s="4">
        <v>48</v>
      </c>
    </row>
    <row r="449" spans="1:23" ht="11.25" customHeight="1" x14ac:dyDescent="0.25">
      <c r="A449" s="4" t="s">
        <v>56</v>
      </c>
      <c r="B449" s="4" t="s">
        <v>39</v>
      </c>
      <c r="C449" s="4" t="s">
        <v>40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34</v>
      </c>
      <c r="I449" s="5">
        <v>44774</v>
      </c>
      <c r="J449" s="6">
        <v>0</v>
      </c>
      <c r="K449" s="6">
        <v>0</v>
      </c>
      <c r="L449" s="6">
        <v>39.978000000000002</v>
      </c>
      <c r="M449" s="6">
        <v>39.978000000000002</v>
      </c>
      <c r="N449" s="6">
        <v>39.978000000000002</v>
      </c>
      <c r="O449" s="6">
        <v>39.978000000000002</v>
      </c>
      <c r="P449" s="6">
        <v>0</v>
      </c>
      <c r="Q449" s="4" t="s">
        <v>26</v>
      </c>
      <c r="R449" s="4">
        <v>0</v>
      </c>
      <c r="S449" s="4" t="s">
        <v>181</v>
      </c>
      <c r="T449" s="4" t="s">
        <v>422</v>
      </c>
      <c r="U449" s="4">
        <v>0</v>
      </c>
      <c r="V449" s="4">
        <v>7</v>
      </c>
      <c r="W449" s="4">
        <v>48</v>
      </c>
    </row>
    <row r="450" spans="1:23" ht="11.25" customHeight="1" x14ac:dyDescent="0.25">
      <c r="A450" s="4" t="s">
        <v>56</v>
      </c>
      <c r="B450" s="4" t="s">
        <v>39</v>
      </c>
      <c r="C450" s="4" t="s">
        <v>40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44774</v>
      </c>
      <c r="J450" s="6">
        <v>0</v>
      </c>
      <c r="K450" s="6">
        <v>0</v>
      </c>
      <c r="L450" s="6">
        <v>4.5270000000000001</v>
      </c>
      <c r="M450" s="6">
        <v>4.5270000000000001</v>
      </c>
      <c r="N450" s="6">
        <v>4.5270000000000001</v>
      </c>
      <c r="O450" s="6">
        <v>4.5270000000000001</v>
      </c>
      <c r="P450" s="6">
        <v>0</v>
      </c>
      <c r="Q450" s="4" t="s">
        <v>26</v>
      </c>
      <c r="R450" s="4">
        <v>0</v>
      </c>
      <c r="S450" s="4" t="s">
        <v>181</v>
      </c>
      <c r="T450" s="4" t="s">
        <v>422</v>
      </c>
      <c r="U450" s="4">
        <v>0</v>
      </c>
      <c r="V450" s="4">
        <v>7</v>
      </c>
      <c r="W450" s="4">
        <v>48</v>
      </c>
    </row>
    <row r="451" spans="1:23" ht="11.25" customHeight="1" x14ac:dyDescent="0.25">
      <c r="A451" s="4" t="s">
        <v>21</v>
      </c>
      <c r="B451" s="4" t="s">
        <v>39</v>
      </c>
      <c r="C451" s="4" t="s">
        <v>40</v>
      </c>
      <c r="D451" s="4" t="s">
        <v>45</v>
      </c>
      <c r="E451" s="4" t="s">
        <v>25</v>
      </c>
      <c r="F451" s="4" t="s">
        <v>25</v>
      </c>
      <c r="G451" s="4" t="s">
        <v>25</v>
      </c>
      <c r="H451" s="4" t="s">
        <v>35</v>
      </c>
      <c r="I451" s="5">
        <v>44440</v>
      </c>
      <c r="J451" s="6">
        <v>0</v>
      </c>
      <c r="K451" s="6">
        <v>0</v>
      </c>
      <c r="L451" s="6">
        <v>299.15699999999998</v>
      </c>
      <c r="M451" s="6">
        <v>299.15699999999998</v>
      </c>
      <c r="N451" s="6">
        <v>299.15699999999998</v>
      </c>
      <c r="O451" s="6">
        <v>299.15699999999998</v>
      </c>
      <c r="P451" s="6">
        <v>0</v>
      </c>
      <c r="Q451" s="4" t="s">
        <v>26</v>
      </c>
      <c r="R451" s="4">
        <v>0</v>
      </c>
      <c r="S451" s="4" t="s">
        <v>146</v>
      </c>
      <c r="T451" s="4" t="s">
        <v>399</v>
      </c>
      <c r="U451" s="4">
        <v>0</v>
      </c>
      <c r="V451" s="4">
        <v>8</v>
      </c>
      <c r="W451" s="4">
        <v>49</v>
      </c>
    </row>
    <row r="452" spans="1:23" ht="11.25" customHeight="1" x14ac:dyDescent="0.25">
      <c r="A452" s="4" t="s">
        <v>21</v>
      </c>
      <c r="B452" s="4" t="s">
        <v>39</v>
      </c>
      <c r="C452" s="4" t="s">
        <v>40</v>
      </c>
      <c r="D452" s="4" t="s">
        <v>45</v>
      </c>
      <c r="E452" s="4" t="s">
        <v>25</v>
      </c>
      <c r="F452" s="4" t="s">
        <v>25</v>
      </c>
      <c r="G452" s="4" t="s">
        <v>25</v>
      </c>
      <c r="H452" s="4" t="s">
        <v>35</v>
      </c>
      <c r="I452" s="5">
        <v>44470</v>
      </c>
      <c r="J452" s="6">
        <v>0</v>
      </c>
      <c r="K452" s="6">
        <v>0</v>
      </c>
      <c r="L452" s="6">
        <v>321.245</v>
      </c>
      <c r="M452" s="6">
        <v>321.245</v>
      </c>
      <c r="N452" s="6">
        <v>321.245</v>
      </c>
      <c r="O452" s="6">
        <v>321.245</v>
      </c>
      <c r="P452" s="6">
        <v>0</v>
      </c>
      <c r="Q452" s="4" t="s">
        <v>26</v>
      </c>
      <c r="R452" s="4">
        <v>0</v>
      </c>
      <c r="S452" s="4" t="s">
        <v>147</v>
      </c>
      <c r="T452" s="4" t="s">
        <v>400</v>
      </c>
      <c r="U452" s="4">
        <v>0</v>
      </c>
      <c r="V452" s="4">
        <v>8</v>
      </c>
      <c r="W452" s="4">
        <v>49</v>
      </c>
    </row>
    <row r="453" spans="1:23" ht="11.25" customHeight="1" x14ac:dyDescent="0.25">
      <c r="A453" s="4" t="s">
        <v>21</v>
      </c>
      <c r="B453" s="4" t="s">
        <v>39</v>
      </c>
      <c r="C453" s="4" t="s">
        <v>40</v>
      </c>
      <c r="D453" s="4" t="s">
        <v>45</v>
      </c>
      <c r="E453" s="4" t="s">
        <v>25</v>
      </c>
      <c r="F453" s="4" t="s">
        <v>25</v>
      </c>
      <c r="G453" s="4" t="s">
        <v>25</v>
      </c>
      <c r="H453" s="4" t="s">
        <v>35</v>
      </c>
      <c r="I453" s="5">
        <v>44501</v>
      </c>
      <c r="J453" s="6">
        <v>0</v>
      </c>
      <c r="K453" s="6">
        <v>0</v>
      </c>
      <c r="L453" s="6">
        <v>297.63600000000002</v>
      </c>
      <c r="M453" s="6">
        <v>297.63600000000002</v>
      </c>
      <c r="N453" s="6">
        <v>297.63600000000002</v>
      </c>
      <c r="O453" s="6">
        <v>297.63600000000002</v>
      </c>
      <c r="P453" s="6">
        <v>0</v>
      </c>
      <c r="Q453" s="4" t="s">
        <v>26</v>
      </c>
      <c r="R453" s="4">
        <v>0</v>
      </c>
      <c r="S453" s="4" t="s">
        <v>148</v>
      </c>
      <c r="T453" s="4" t="s">
        <v>401</v>
      </c>
      <c r="U453" s="4">
        <v>0</v>
      </c>
      <c r="V453" s="4">
        <v>8</v>
      </c>
      <c r="W453" s="4">
        <v>49</v>
      </c>
    </row>
    <row r="454" spans="1:23" ht="11.25" customHeight="1" x14ac:dyDescent="0.25">
      <c r="A454" s="4" t="s">
        <v>21</v>
      </c>
      <c r="B454" s="4" t="s">
        <v>39</v>
      </c>
      <c r="C454" s="4" t="s">
        <v>40</v>
      </c>
      <c r="D454" s="4" t="s">
        <v>45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44531</v>
      </c>
      <c r="J454" s="6">
        <v>0</v>
      </c>
      <c r="K454" s="6">
        <v>0</v>
      </c>
      <c r="L454" s="6">
        <v>307.07600000000002</v>
      </c>
      <c r="M454" s="6">
        <v>307.07600000000002</v>
      </c>
      <c r="N454" s="6">
        <v>307.07600000000002</v>
      </c>
      <c r="O454" s="6">
        <v>307.07600000000002</v>
      </c>
      <c r="P454" s="6">
        <v>0</v>
      </c>
      <c r="Q454" s="4" t="s">
        <v>26</v>
      </c>
      <c r="R454" s="4">
        <v>0</v>
      </c>
      <c r="S454" s="4" t="s">
        <v>149</v>
      </c>
      <c r="T454" s="4" t="s">
        <v>402</v>
      </c>
      <c r="U454" s="4">
        <v>0</v>
      </c>
      <c r="V454" s="4">
        <v>8</v>
      </c>
      <c r="W454" s="4">
        <v>49</v>
      </c>
    </row>
    <row r="455" spans="1:23" ht="11.25" customHeight="1" x14ac:dyDescent="0.25">
      <c r="A455" s="4" t="s">
        <v>21</v>
      </c>
      <c r="B455" s="4" t="s">
        <v>39</v>
      </c>
      <c r="C455" s="4" t="s">
        <v>40</v>
      </c>
      <c r="D455" s="4" t="s">
        <v>45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44562</v>
      </c>
      <c r="J455" s="6">
        <v>0</v>
      </c>
      <c r="K455" s="6">
        <v>0</v>
      </c>
      <c r="L455" s="6">
        <v>326.90100000000001</v>
      </c>
      <c r="M455" s="6">
        <v>326.90100000000001</v>
      </c>
      <c r="N455" s="6">
        <v>326.90100000000001</v>
      </c>
      <c r="O455" s="6">
        <v>326.90100000000001</v>
      </c>
      <c r="P455" s="6">
        <v>0</v>
      </c>
      <c r="Q455" s="4" t="s">
        <v>26</v>
      </c>
      <c r="R455" s="4">
        <v>0</v>
      </c>
      <c r="S455" s="4" t="s">
        <v>150</v>
      </c>
      <c r="T455" s="4" t="s">
        <v>403</v>
      </c>
      <c r="U455" s="4">
        <v>0</v>
      </c>
      <c r="V455" s="4">
        <v>8</v>
      </c>
      <c r="W455" s="4">
        <v>49</v>
      </c>
    </row>
    <row r="456" spans="1:23" ht="11.25" customHeight="1" x14ac:dyDescent="0.25">
      <c r="A456" s="4" t="s">
        <v>21</v>
      </c>
      <c r="B456" s="4" t="s">
        <v>39</v>
      </c>
      <c r="C456" s="4" t="s">
        <v>40</v>
      </c>
      <c r="D456" s="4" t="s">
        <v>45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44593</v>
      </c>
      <c r="J456" s="6">
        <v>0</v>
      </c>
      <c r="K456" s="6">
        <v>0</v>
      </c>
      <c r="L456" s="6">
        <v>340.65499999999997</v>
      </c>
      <c r="M456" s="6">
        <v>340.65499999999997</v>
      </c>
      <c r="N456" s="6">
        <v>340.65499999999997</v>
      </c>
      <c r="O456" s="6">
        <v>340.65499999999997</v>
      </c>
      <c r="P456" s="6">
        <v>0</v>
      </c>
      <c r="Q456" s="4" t="s">
        <v>26</v>
      </c>
      <c r="R456" s="4">
        <v>0</v>
      </c>
      <c r="S456" s="4" t="s">
        <v>151</v>
      </c>
      <c r="T456" s="4" t="s">
        <v>404</v>
      </c>
      <c r="U456" s="4">
        <v>0</v>
      </c>
      <c r="V456" s="4">
        <v>8</v>
      </c>
      <c r="W456" s="4">
        <v>49</v>
      </c>
    </row>
    <row r="457" spans="1:23" ht="11.25" customHeight="1" x14ac:dyDescent="0.25">
      <c r="A457" s="4" t="s">
        <v>21</v>
      </c>
      <c r="B457" s="4" t="s">
        <v>39</v>
      </c>
      <c r="C457" s="4" t="s">
        <v>40</v>
      </c>
      <c r="D457" s="4" t="s">
        <v>45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44621</v>
      </c>
      <c r="J457" s="6">
        <v>0</v>
      </c>
      <c r="K457" s="6">
        <v>0</v>
      </c>
      <c r="L457" s="6">
        <v>377.77600000000001</v>
      </c>
      <c r="M457" s="6">
        <v>377.77600000000001</v>
      </c>
      <c r="N457" s="6">
        <v>377.77600000000001</v>
      </c>
      <c r="O457" s="6">
        <v>377.77600000000001</v>
      </c>
      <c r="P457" s="6">
        <v>0</v>
      </c>
      <c r="Q457" s="4" t="s">
        <v>26</v>
      </c>
      <c r="R457" s="4">
        <v>0</v>
      </c>
      <c r="S457" s="4" t="s">
        <v>152</v>
      </c>
      <c r="T457" s="4" t="s">
        <v>405</v>
      </c>
      <c r="U457" s="4">
        <v>0</v>
      </c>
      <c r="V457" s="4">
        <v>8</v>
      </c>
      <c r="W457" s="4">
        <v>49</v>
      </c>
    </row>
    <row r="458" spans="1:23" ht="11.25" customHeight="1" x14ac:dyDescent="0.25">
      <c r="A458" s="4" t="s">
        <v>21</v>
      </c>
      <c r="B458" s="4" t="s">
        <v>39</v>
      </c>
      <c r="C458" s="4" t="s">
        <v>40</v>
      </c>
      <c r="D458" s="4" t="s">
        <v>45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44652</v>
      </c>
      <c r="J458" s="6">
        <v>0</v>
      </c>
      <c r="K458" s="6">
        <v>0</v>
      </c>
      <c r="L458" s="6">
        <v>343.73500000000001</v>
      </c>
      <c r="M458" s="6">
        <v>343.73500000000001</v>
      </c>
      <c r="N458" s="6">
        <v>343.73500000000001</v>
      </c>
      <c r="O458" s="6">
        <v>343.73500000000001</v>
      </c>
      <c r="P458" s="6">
        <v>0</v>
      </c>
      <c r="Q458" s="4" t="s">
        <v>26</v>
      </c>
      <c r="R458" s="4">
        <v>0</v>
      </c>
      <c r="S458" s="4" t="s">
        <v>153</v>
      </c>
      <c r="T458" s="4" t="s">
        <v>406</v>
      </c>
      <c r="U458" s="4">
        <v>0</v>
      </c>
      <c r="V458" s="4">
        <v>8</v>
      </c>
      <c r="W458" s="4">
        <v>49</v>
      </c>
    </row>
    <row r="459" spans="1:23" ht="11.25" customHeight="1" x14ac:dyDescent="0.25">
      <c r="A459" s="4" t="s">
        <v>21</v>
      </c>
      <c r="B459" s="4" t="s">
        <v>39</v>
      </c>
      <c r="C459" s="4" t="s">
        <v>40</v>
      </c>
      <c r="D459" s="4" t="s">
        <v>45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44682</v>
      </c>
      <c r="J459" s="6">
        <v>0</v>
      </c>
      <c r="K459" s="6">
        <v>0</v>
      </c>
      <c r="L459" s="6">
        <v>279.10199999999998</v>
      </c>
      <c r="M459" s="6">
        <v>279.10199999999998</v>
      </c>
      <c r="N459" s="6">
        <v>279.10199999999998</v>
      </c>
      <c r="O459" s="6">
        <v>279.10199999999998</v>
      </c>
      <c r="P459" s="6">
        <v>0</v>
      </c>
      <c r="Q459" s="4" t="s">
        <v>26</v>
      </c>
      <c r="R459" s="4">
        <v>0</v>
      </c>
      <c r="S459" s="4" t="s">
        <v>154</v>
      </c>
      <c r="T459" s="4" t="s">
        <v>407</v>
      </c>
      <c r="U459" s="4">
        <v>0</v>
      </c>
      <c r="V459" s="4">
        <v>8</v>
      </c>
      <c r="W459" s="4">
        <v>49</v>
      </c>
    </row>
    <row r="460" spans="1:23" ht="11.25" customHeight="1" x14ac:dyDescent="0.25">
      <c r="A460" s="4" t="s">
        <v>21</v>
      </c>
      <c r="B460" s="4" t="s">
        <v>39</v>
      </c>
      <c r="C460" s="4" t="s">
        <v>40</v>
      </c>
      <c r="D460" s="4" t="s">
        <v>45</v>
      </c>
      <c r="E460" s="4" t="s">
        <v>25</v>
      </c>
      <c r="F460" s="4" t="s">
        <v>25</v>
      </c>
      <c r="G460" s="4" t="s">
        <v>25</v>
      </c>
      <c r="H460" s="4" t="s">
        <v>35</v>
      </c>
      <c r="I460" s="5">
        <v>44713</v>
      </c>
      <c r="J460" s="6">
        <v>0</v>
      </c>
      <c r="K460" s="6">
        <v>0</v>
      </c>
      <c r="L460" s="6">
        <v>224.708</v>
      </c>
      <c r="M460" s="6">
        <v>224.708</v>
      </c>
      <c r="N460" s="6">
        <v>224.708</v>
      </c>
      <c r="O460" s="6">
        <v>224.708</v>
      </c>
      <c r="P460" s="6">
        <v>0</v>
      </c>
      <c r="Q460" s="4" t="s">
        <v>26</v>
      </c>
      <c r="R460" s="4">
        <v>0</v>
      </c>
      <c r="S460" s="4" t="s">
        <v>155</v>
      </c>
      <c r="T460" s="4" t="s">
        <v>408</v>
      </c>
      <c r="U460" s="4">
        <v>0</v>
      </c>
      <c r="V460" s="4">
        <v>8</v>
      </c>
      <c r="W460" s="4">
        <v>49</v>
      </c>
    </row>
    <row r="461" spans="1:23" ht="11.25" customHeight="1" x14ac:dyDescent="0.25">
      <c r="A461" s="4" t="s">
        <v>21</v>
      </c>
      <c r="B461" s="4" t="s">
        <v>39</v>
      </c>
      <c r="C461" s="4" t="s">
        <v>40</v>
      </c>
      <c r="D461" s="4" t="s">
        <v>45</v>
      </c>
      <c r="E461" s="4" t="s">
        <v>25</v>
      </c>
      <c r="F461" s="4" t="s">
        <v>25</v>
      </c>
      <c r="G461" s="4" t="s">
        <v>25</v>
      </c>
      <c r="H461" s="4" t="s">
        <v>35</v>
      </c>
      <c r="I461" s="5">
        <v>44743</v>
      </c>
      <c r="J461" s="6">
        <v>0</v>
      </c>
      <c r="K461" s="6">
        <v>0</v>
      </c>
      <c r="L461" s="6">
        <v>231.44399999999999</v>
      </c>
      <c r="M461" s="6">
        <v>231.44399999999999</v>
      </c>
      <c r="N461" s="6">
        <v>231.44399999999999</v>
      </c>
      <c r="O461" s="6">
        <v>231.44399999999999</v>
      </c>
      <c r="P461" s="6">
        <v>0</v>
      </c>
      <c r="Q461" s="4" t="s">
        <v>26</v>
      </c>
      <c r="R461" s="4">
        <v>0</v>
      </c>
      <c r="S461" s="4" t="s">
        <v>156</v>
      </c>
      <c r="T461" s="4" t="s">
        <v>409</v>
      </c>
      <c r="U461" s="4">
        <v>0</v>
      </c>
      <c r="V461" s="4">
        <v>8</v>
      </c>
      <c r="W461" s="4">
        <v>49</v>
      </c>
    </row>
    <row r="462" spans="1:23" ht="11.25" customHeight="1" x14ac:dyDescent="0.25">
      <c r="A462" s="4" t="s">
        <v>56</v>
      </c>
      <c r="B462" s="4" t="s">
        <v>39</v>
      </c>
      <c r="C462" s="4" t="s">
        <v>40</v>
      </c>
      <c r="D462" s="4" t="s">
        <v>45</v>
      </c>
      <c r="E462" s="4" t="s">
        <v>25</v>
      </c>
      <c r="F462" s="4" t="s">
        <v>25</v>
      </c>
      <c r="G462" s="4" t="s">
        <v>25</v>
      </c>
      <c r="H462" s="4" t="s">
        <v>35</v>
      </c>
      <c r="I462" s="5">
        <v>44774</v>
      </c>
      <c r="J462" s="6">
        <v>0</v>
      </c>
      <c r="K462" s="6">
        <v>0</v>
      </c>
      <c r="L462" s="6">
        <v>231.44399999999999</v>
      </c>
      <c r="M462" s="6">
        <v>231.44399999999999</v>
      </c>
      <c r="N462" s="6">
        <v>231.44399999999999</v>
      </c>
      <c r="O462" s="6">
        <v>231.44399999999999</v>
      </c>
      <c r="P462" s="6">
        <v>0</v>
      </c>
      <c r="Q462" s="4" t="s">
        <v>26</v>
      </c>
      <c r="R462" s="4">
        <v>0</v>
      </c>
      <c r="S462" s="4" t="s">
        <v>157</v>
      </c>
      <c r="T462" s="4" t="s">
        <v>410</v>
      </c>
      <c r="U462" s="4">
        <v>0</v>
      </c>
      <c r="V462" s="4">
        <v>8</v>
      </c>
      <c r="W462" s="4">
        <v>49</v>
      </c>
    </row>
    <row r="463" spans="1:23" ht="11.25" customHeight="1" x14ac:dyDescent="0.25">
      <c r="A463" s="4" t="s">
        <v>21</v>
      </c>
      <c r="B463" s="4" t="s">
        <v>39</v>
      </c>
      <c r="C463" s="4" t="s">
        <v>40</v>
      </c>
      <c r="D463" s="4" t="s">
        <v>45</v>
      </c>
      <c r="E463" s="4" t="s">
        <v>25</v>
      </c>
      <c r="F463" s="4" t="s">
        <v>25</v>
      </c>
      <c r="G463" s="4" t="s">
        <v>25</v>
      </c>
      <c r="H463" s="4" t="s">
        <v>25</v>
      </c>
      <c r="I463" s="5">
        <v>44440</v>
      </c>
      <c r="J463" s="6">
        <v>1709</v>
      </c>
      <c r="K463" s="6">
        <v>1709</v>
      </c>
      <c r="L463" s="6">
        <v>0</v>
      </c>
      <c r="M463" s="6">
        <v>0</v>
      </c>
      <c r="N463" s="6">
        <v>0</v>
      </c>
      <c r="O463" s="6">
        <v>0</v>
      </c>
      <c r="P463" s="6">
        <v>16</v>
      </c>
      <c r="Q463" s="4" t="s">
        <v>26</v>
      </c>
      <c r="R463" s="4">
        <v>0</v>
      </c>
      <c r="S463" s="4" t="s">
        <v>158</v>
      </c>
      <c r="U463" s="4">
        <v>6</v>
      </c>
      <c r="V463" s="4">
        <v>0</v>
      </c>
      <c r="W463" s="4">
        <v>0</v>
      </c>
    </row>
    <row r="464" spans="1:23" ht="11.25" customHeight="1" x14ac:dyDescent="0.25">
      <c r="A464" s="4" t="s">
        <v>28</v>
      </c>
      <c r="B464" s="4" t="s">
        <v>39</v>
      </c>
      <c r="C464" s="4" t="s">
        <v>40</v>
      </c>
      <c r="D464" s="4" t="s">
        <v>45</v>
      </c>
      <c r="E464" s="4" t="s">
        <v>25</v>
      </c>
      <c r="F464" s="4" t="s">
        <v>25</v>
      </c>
      <c r="G464" s="4" t="s">
        <v>25</v>
      </c>
      <c r="H464" s="4" t="s">
        <v>25</v>
      </c>
      <c r="I464" s="5">
        <v>44440</v>
      </c>
      <c r="J464" s="6">
        <v>110</v>
      </c>
      <c r="K464" s="6">
        <v>110</v>
      </c>
      <c r="L464" s="6">
        <v>0</v>
      </c>
      <c r="M464" s="6">
        <v>0</v>
      </c>
      <c r="N464" s="6">
        <v>0</v>
      </c>
      <c r="O464" s="6">
        <v>0</v>
      </c>
      <c r="P464" s="6">
        <v>1</v>
      </c>
      <c r="Q464" s="4" t="s">
        <v>26</v>
      </c>
      <c r="R464" s="4">
        <v>0</v>
      </c>
      <c r="S464" s="4" t="s">
        <v>158</v>
      </c>
      <c r="U464" s="4">
        <v>6</v>
      </c>
      <c r="V464" s="4">
        <v>0</v>
      </c>
      <c r="W464" s="4">
        <v>0</v>
      </c>
    </row>
    <row r="465" spans="1:23" ht="11.25" customHeight="1" x14ac:dyDescent="0.25">
      <c r="A465" s="4" t="s">
        <v>21</v>
      </c>
      <c r="B465" s="4" t="s">
        <v>39</v>
      </c>
      <c r="C465" s="4" t="s">
        <v>40</v>
      </c>
      <c r="D465" s="4" t="s">
        <v>45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44470</v>
      </c>
      <c r="J465" s="6">
        <v>1611</v>
      </c>
      <c r="K465" s="6">
        <v>1611</v>
      </c>
      <c r="L465" s="6">
        <v>0</v>
      </c>
      <c r="M465" s="6">
        <v>0</v>
      </c>
      <c r="N465" s="6">
        <v>0</v>
      </c>
      <c r="O465" s="6">
        <v>0</v>
      </c>
      <c r="P465" s="6">
        <v>16</v>
      </c>
      <c r="Q465" s="4" t="s">
        <v>26</v>
      </c>
      <c r="R465" s="4">
        <v>0</v>
      </c>
      <c r="S465" s="4" t="s">
        <v>159</v>
      </c>
      <c r="U465" s="4">
        <v>6</v>
      </c>
      <c r="V465" s="4">
        <v>0</v>
      </c>
      <c r="W465" s="4">
        <v>0</v>
      </c>
    </row>
    <row r="466" spans="1:23" ht="11.25" customHeight="1" x14ac:dyDescent="0.25">
      <c r="A466" s="4" t="s">
        <v>28</v>
      </c>
      <c r="B466" s="4" t="s">
        <v>39</v>
      </c>
      <c r="C466" s="4" t="s">
        <v>40</v>
      </c>
      <c r="D466" s="4" t="s">
        <v>45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44470</v>
      </c>
      <c r="J466" s="6">
        <v>110</v>
      </c>
      <c r="K466" s="6">
        <v>110</v>
      </c>
      <c r="L466" s="6">
        <v>0</v>
      </c>
      <c r="M466" s="6">
        <v>0</v>
      </c>
      <c r="N466" s="6">
        <v>0</v>
      </c>
      <c r="O466" s="6">
        <v>0</v>
      </c>
      <c r="P466" s="6">
        <v>1</v>
      </c>
      <c r="Q466" s="4" t="s">
        <v>26</v>
      </c>
      <c r="R466" s="4">
        <v>0</v>
      </c>
      <c r="S466" s="4" t="s">
        <v>159</v>
      </c>
      <c r="U466" s="4">
        <v>6</v>
      </c>
      <c r="V466" s="4">
        <v>0</v>
      </c>
      <c r="W466" s="4">
        <v>0</v>
      </c>
    </row>
    <row r="467" spans="1:23" ht="11.25" customHeight="1" x14ac:dyDescent="0.25">
      <c r="A467" s="4" t="s">
        <v>21</v>
      </c>
      <c r="B467" s="4" t="s">
        <v>39</v>
      </c>
      <c r="C467" s="4" t="s">
        <v>40</v>
      </c>
      <c r="D467" s="4" t="s">
        <v>45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44501</v>
      </c>
      <c r="J467" s="6">
        <v>1577</v>
      </c>
      <c r="K467" s="6">
        <v>1577</v>
      </c>
      <c r="L467" s="6">
        <v>0</v>
      </c>
      <c r="M467" s="6">
        <v>0</v>
      </c>
      <c r="N467" s="6">
        <v>0</v>
      </c>
      <c r="O467" s="6">
        <v>0</v>
      </c>
      <c r="P467" s="6">
        <v>16</v>
      </c>
      <c r="Q467" s="4" t="s">
        <v>26</v>
      </c>
      <c r="R467" s="4">
        <v>0</v>
      </c>
      <c r="S467" s="4" t="s">
        <v>160</v>
      </c>
      <c r="U467" s="4">
        <v>6</v>
      </c>
      <c r="V467" s="4">
        <v>0</v>
      </c>
      <c r="W467" s="4">
        <v>0</v>
      </c>
    </row>
    <row r="468" spans="1:23" ht="11.25" customHeight="1" x14ac:dyDescent="0.25">
      <c r="A468" s="4" t="s">
        <v>28</v>
      </c>
      <c r="B468" s="4" t="s">
        <v>39</v>
      </c>
      <c r="C468" s="4" t="s">
        <v>40</v>
      </c>
      <c r="D468" s="4" t="s">
        <v>45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44501</v>
      </c>
      <c r="J468" s="6">
        <v>110</v>
      </c>
      <c r="K468" s="6">
        <v>110</v>
      </c>
      <c r="L468" s="6">
        <v>0</v>
      </c>
      <c r="M468" s="6">
        <v>0</v>
      </c>
      <c r="N468" s="6">
        <v>0</v>
      </c>
      <c r="O468" s="6">
        <v>0</v>
      </c>
      <c r="P468" s="6">
        <v>1</v>
      </c>
      <c r="Q468" s="4" t="s">
        <v>26</v>
      </c>
      <c r="R468" s="4">
        <v>0</v>
      </c>
      <c r="S468" s="4" t="s">
        <v>160</v>
      </c>
      <c r="U468" s="4">
        <v>6</v>
      </c>
      <c r="V468" s="4">
        <v>0</v>
      </c>
      <c r="W468" s="4">
        <v>0</v>
      </c>
    </row>
    <row r="469" spans="1:23" ht="11.25" customHeight="1" x14ac:dyDescent="0.25">
      <c r="A469" s="4" t="s">
        <v>21</v>
      </c>
      <c r="B469" s="4" t="s">
        <v>39</v>
      </c>
      <c r="C469" s="4" t="s">
        <v>40</v>
      </c>
      <c r="D469" s="4" t="s">
        <v>45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44531</v>
      </c>
      <c r="J469" s="6">
        <v>1604</v>
      </c>
      <c r="K469" s="6">
        <v>1604</v>
      </c>
      <c r="L469" s="6">
        <v>0</v>
      </c>
      <c r="M469" s="6">
        <v>0</v>
      </c>
      <c r="N469" s="6">
        <v>0</v>
      </c>
      <c r="O469" s="6">
        <v>0</v>
      </c>
      <c r="P469" s="6">
        <v>16</v>
      </c>
      <c r="Q469" s="4" t="s">
        <v>26</v>
      </c>
      <c r="R469" s="4">
        <v>0</v>
      </c>
      <c r="S469" s="4" t="s">
        <v>161</v>
      </c>
      <c r="U469" s="4">
        <v>6</v>
      </c>
      <c r="V469" s="4">
        <v>0</v>
      </c>
      <c r="W469" s="4">
        <v>0</v>
      </c>
    </row>
    <row r="470" spans="1:23" ht="11.25" customHeight="1" x14ac:dyDescent="0.25">
      <c r="A470" s="4" t="s">
        <v>28</v>
      </c>
      <c r="B470" s="4" t="s">
        <v>39</v>
      </c>
      <c r="C470" s="4" t="s">
        <v>40</v>
      </c>
      <c r="D470" s="4" t="s">
        <v>45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44531</v>
      </c>
      <c r="J470" s="6">
        <v>110</v>
      </c>
      <c r="K470" s="6">
        <v>110</v>
      </c>
      <c r="L470" s="6">
        <v>0</v>
      </c>
      <c r="M470" s="6">
        <v>0</v>
      </c>
      <c r="N470" s="6">
        <v>0</v>
      </c>
      <c r="O470" s="6">
        <v>0</v>
      </c>
      <c r="P470" s="6">
        <v>1</v>
      </c>
      <c r="Q470" s="4" t="s">
        <v>26</v>
      </c>
      <c r="R470" s="4">
        <v>0</v>
      </c>
      <c r="S470" s="4" t="s">
        <v>161</v>
      </c>
      <c r="U470" s="4">
        <v>6</v>
      </c>
      <c r="V470" s="4">
        <v>0</v>
      </c>
      <c r="W470" s="4">
        <v>0</v>
      </c>
    </row>
    <row r="471" spans="1:23" ht="11.25" customHeight="1" x14ac:dyDescent="0.25">
      <c r="A471" s="4" t="s">
        <v>21</v>
      </c>
      <c r="B471" s="4" t="s">
        <v>39</v>
      </c>
      <c r="C471" s="4" t="s">
        <v>40</v>
      </c>
      <c r="D471" s="4" t="s">
        <v>45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44562</v>
      </c>
      <c r="J471" s="6">
        <v>1603</v>
      </c>
      <c r="K471" s="6">
        <v>1603</v>
      </c>
      <c r="L471" s="6">
        <v>0</v>
      </c>
      <c r="M471" s="6">
        <v>0</v>
      </c>
      <c r="N471" s="6">
        <v>0</v>
      </c>
      <c r="O471" s="6">
        <v>0</v>
      </c>
      <c r="P471" s="6">
        <v>16</v>
      </c>
      <c r="Q471" s="4" t="s">
        <v>26</v>
      </c>
      <c r="R471" s="4">
        <v>0</v>
      </c>
      <c r="S471" s="4" t="s">
        <v>162</v>
      </c>
      <c r="U471" s="4">
        <v>6</v>
      </c>
      <c r="V471" s="4">
        <v>0</v>
      </c>
      <c r="W471" s="4">
        <v>0</v>
      </c>
    </row>
    <row r="472" spans="1:23" ht="11.25" customHeight="1" x14ac:dyDescent="0.25">
      <c r="A472" s="4" t="s">
        <v>28</v>
      </c>
      <c r="B472" s="4" t="s">
        <v>39</v>
      </c>
      <c r="C472" s="4" t="s">
        <v>40</v>
      </c>
      <c r="D472" s="4" t="s">
        <v>45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44562</v>
      </c>
      <c r="J472" s="6">
        <v>110</v>
      </c>
      <c r="K472" s="6">
        <v>110</v>
      </c>
      <c r="L472" s="6">
        <v>0</v>
      </c>
      <c r="M472" s="6">
        <v>0</v>
      </c>
      <c r="N472" s="6">
        <v>0</v>
      </c>
      <c r="O472" s="6">
        <v>0</v>
      </c>
      <c r="P472" s="6">
        <v>1</v>
      </c>
      <c r="Q472" s="4" t="s">
        <v>26</v>
      </c>
      <c r="R472" s="4">
        <v>0</v>
      </c>
      <c r="S472" s="4" t="s">
        <v>162</v>
      </c>
      <c r="U472" s="4">
        <v>6</v>
      </c>
      <c r="V472" s="4">
        <v>0</v>
      </c>
      <c r="W472" s="4">
        <v>0</v>
      </c>
    </row>
    <row r="473" spans="1:23" ht="11.25" customHeight="1" x14ac:dyDescent="0.25">
      <c r="A473" s="4" t="s">
        <v>21</v>
      </c>
      <c r="B473" s="4" t="s">
        <v>39</v>
      </c>
      <c r="C473" s="4" t="s">
        <v>40</v>
      </c>
      <c r="D473" s="4" t="s">
        <v>45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44593</v>
      </c>
      <c r="J473" s="6">
        <v>1642</v>
      </c>
      <c r="K473" s="6">
        <v>1642</v>
      </c>
      <c r="L473" s="6">
        <v>0</v>
      </c>
      <c r="M473" s="6">
        <v>0</v>
      </c>
      <c r="N473" s="6">
        <v>0</v>
      </c>
      <c r="O473" s="6">
        <v>0</v>
      </c>
      <c r="P473" s="6">
        <v>16</v>
      </c>
      <c r="Q473" s="4" t="s">
        <v>26</v>
      </c>
      <c r="R473" s="4">
        <v>0</v>
      </c>
      <c r="S473" s="4" t="s">
        <v>163</v>
      </c>
      <c r="U473" s="4">
        <v>6</v>
      </c>
      <c r="V473" s="4">
        <v>0</v>
      </c>
      <c r="W473" s="4">
        <v>0</v>
      </c>
    </row>
    <row r="474" spans="1:23" ht="11.25" customHeight="1" x14ac:dyDescent="0.25">
      <c r="A474" s="4" t="s">
        <v>28</v>
      </c>
      <c r="B474" s="4" t="s">
        <v>39</v>
      </c>
      <c r="C474" s="4" t="s">
        <v>40</v>
      </c>
      <c r="D474" s="4" t="s">
        <v>45</v>
      </c>
      <c r="E474" s="4" t="s">
        <v>25</v>
      </c>
      <c r="F474" s="4" t="s">
        <v>25</v>
      </c>
      <c r="G474" s="4" t="s">
        <v>25</v>
      </c>
      <c r="H474" s="4" t="s">
        <v>25</v>
      </c>
      <c r="I474" s="5">
        <v>44593</v>
      </c>
      <c r="J474" s="6">
        <v>110</v>
      </c>
      <c r="K474" s="6">
        <v>110</v>
      </c>
      <c r="L474" s="6">
        <v>0</v>
      </c>
      <c r="M474" s="6">
        <v>0</v>
      </c>
      <c r="N474" s="6">
        <v>0</v>
      </c>
      <c r="O474" s="6">
        <v>0</v>
      </c>
      <c r="P474" s="6">
        <v>1</v>
      </c>
      <c r="Q474" s="4" t="s">
        <v>26</v>
      </c>
      <c r="R474" s="4">
        <v>0</v>
      </c>
      <c r="S474" s="4" t="s">
        <v>163</v>
      </c>
      <c r="U474" s="4">
        <v>6</v>
      </c>
      <c r="V474" s="4">
        <v>0</v>
      </c>
      <c r="W474" s="4">
        <v>0</v>
      </c>
    </row>
    <row r="475" spans="1:23" ht="11.25" customHeight="1" x14ac:dyDescent="0.25">
      <c r="A475" s="4" t="s">
        <v>21</v>
      </c>
      <c r="B475" s="4" t="s">
        <v>39</v>
      </c>
      <c r="C475" s="4" t="s">
        <v>40</v>
      </c>
      <c r="D475" s="4" t="s">
        <v>45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44621</v>
      </c>
      <c r="J475" s="6">
        <v>1664</v>
      </c>
      <c r="K475" s="6">
        <v>1664</v>
      </c>
      <c r="L475" s="6">
        <v>0</v>
      </c>
      <c r="M475" s="6">
        <v>0</v>
      </c>
      <c r="N475" s="6">
        <v>0</v>
      </c>
      <c r="O475" s="6">
        <v>0</v>
      </c>
      <c r="P475" s="6">
        <v>16</v>
      </c>
      <c r="Q475" s="4" t="s">
        <v>26</v>
      </c>
      <c r="R475" s="4">
        <v>0</v>
      </c>
      <c r="S475" s="4" t="s">
        <v>164</v>
      </c>
      <c r="U475" s="4">
        <v>6</v>
      </c>
      <c r="V475" s="4">
        <v>0</v>
      </c>
      <c r="W475" s="4">
        <v>0</v>
      </c>
    </row>
    <row r="476" spans="1:23" ht="11.25" customHeight="1" x14ac:dyDescent="0.25">
      <c r="A476" s="4" t="s">
        <v>28</v>
      </c>
      <c r="B476" s="4" t="s">
        <v>39</v>
      </c>
      <c r="C476" s="4" t="s">
        <v>40</v>
      </c>
      <c r="D476" s="4" t="s">
        <v>45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44621</v>
      </c>
      <c r="J476" s="6">
        <v>110</v>
      </c>
      <c r="K476" s="6">
        <v>110</v>
      </c>
      <c r="L476" s="6">
        <v>0</v>
      </c>
      <c r="M476" s="6">
        <v>0</v>
      </c>
      <c r="N476" s="6">
        <v>0</v>
      </c>
      <c r="O476" s="6">
        <v>0</v>
      </c>
      <c r="P476" s="6">
        <v>1</v>
      </c>
      <c r="Q476" s="4" t="s">
        <v>26</v>
      </c>
      <c r="R476" s="4">
        <v>0</v>
      </c>
      <c r="S476" s="4" t="s">
        <v>164</v>
      </c>
      <c r="U476" s="4">
        <v>6</v>
      </c>
      <c r="V476" s="4">
        <v>0</v>
      </c>
      <c r="W476" s="4">
        <v>0</v>
      </c>
    </row>
    <row r="477" spans="1:23" ht="11.25" customHeight="1" x14ac:dyDescent="0.25">
      <c r="A477" s="4" t="s">
        <v>21</v>
      </c>
      <c r="B477" s="4" t="s">
        <v>39</v>
      </c>
      <c r="C477" s="4" t="s">
        <v>40</v>
      </c>
      <c r="D477" s="4" t="s">
        <v>45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44652</v>
      </c>
      <c r="J477" s="6">
        <v>1630</v>
      </c>
      <c r="K477" s="6">
        <v>1630</v>
      </c>
      <c r="L477" s="6">
        <v>0</v>
      </c>
      <c r="M477" s="6">
        <v>0</v>
      </c>
      <c r="N477" s="6">
        <v>0</v>
      </c>
      <c r="O477" s="6">
        <v>0</v>
      </c>
      <c r="P477" s="6">
        <v>16</v>
      </c>
      <c r="Q477" s="4" t="s">
        <v>26</v>
      </c>
      <c r="R477" s="4">
        <v>0</v>
      </c>
      <c r="S477" s="4" t="s">
        <v>165</v>
      </c>
      <c r="U477" s="4">
        <v>6</v>
      </c>
      <c r="V477" s="4">
        <v>0</v>
      </c>
      <c r="W477" s="4">
        <v>0</v>
      </c>
    </row>
    <row r="478" spans="1:23" ht="11.25" customHeight="1" x14ac:dyDescent="0.25">
      <c r="A478" s="4" t="s">
        <v>28</v>
      </c>
      <c r="B478" s="4" t="s">
        <v>39</v>
      </c>
      <c r="C478" s="4" t="s">
        <v>40</v>
      </c>
      <c r="D478" s="4" t="s">
        <v>45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44652</v>
      </c>
      <c r="J478" s="6">
        <v>110</v>
      </c>
      <c r="K478" s="6">
        <v>110</v>
      </c>
      <c r="L478" s="6">
        <v>0</v>
      </c>
      <c r="M478" s="6">
        <v>0</v>
      </c>
      <c r="N478" s="6">
        <v>0</v>
      </c>
      <c r="O478" s="6">
        <v>0</v>
      </c>
      <c r="P478" s="6">
        <v>1</v>
      </c>
      <c r="Q478" s="4" t="s">
        <v>26</v>
      </c>
      <c r="R478" s="4">
        <v>0</v>
      </c>
      <c r="S478" s="4" t="s">
        <v>165</v>
      </c>
      <c r="U478" s="4">
        <v>6</v>
      </c>
      <c r="V478" s="4">
        <v>0</v>
      </c>
      <c r="W478" s="4">
        <v>0</v>
      </c>
    </row>
    <row r="479" spans="1:23" ht="11.25" customHeight="1" x14ac:dyDescent="0.25">
      <c r="A479" s="4" t="s">
        <v>21</v>
      </c>
      <c r="B479" s="4" t="s">
        <v>39</v>
      </c>
      <c r="C479" s="4" t="s">
        <v>40</v>
      </c>
      <c r="D479" s="4" t="s">
        <v>45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44682</v>
      </c>
      <c r="J479" s="6">
        <v>1584</v>
      </c>
      <c r="K479" s="6">
        <v>1584</v>
      </c>
      <c r="L479" s="6">
        <v>0</v>
      </c>
      <c r="M479" s="6">
        <v>0</v>
      </c>
      <c r="N479" s="6">
        <v>0</v>
      </c>
      <c r="O479" s="6">
        <v>0</v>
      </c>
      <c r="P479" s="6">
        <v>16</v>
      </c>
      <c r="Q479" s="4" t="s">
        <v>26</v>
      </c>
      <c r="R479" s="4">
        <v>0</v>
      </c>
      <c r="S479" s="4" t="s">
        <v>166</v>
      </c>
      <c r="U479" s="4">
        <v>6</v>
      </c>
      <c r="V479" s="4">
        <v>0</v>
      </c>
      <c r="W479" s="4">
        <v>0</v>
      </c>
    </row>
    <row r="480" spans="1:23" ht="11.25" customHeight="1" x14ac:dyDescent="0.25">
      <c r="A480" s="4" t="s">
        <v>28</v>
      </c>
      <c r="B480" s="4" t="s">
        <v>39</v>
      </c>
      <c r="C480" s="4" t="s">
        <v>40</v>
      </c>
      <c r="D480" s="4" t="s">
        <v>45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44682</v>
      </c>
      <c r="J480" s="6">
        <v>110</v>
      </c>
      <c r="K480" s="6">
        <v>110</v>
      </c>
      <c r="L480" s="6">
        <v>0</v>
      </c>
      <c r="M480" s="6">
        <v>0</v>
      </c>
      <c r="N480" s="6">
        <v>0</v>
      </c>
      <c r="O480" s="6">
        <v>0</v>
      </c>
      <c r="P480" s="6">
        <v>1</v>
      </c>
      <c r="Q480" s="4" t="s">
        <v>26</v>
      </c>
      <c r="R480" s="4">
        <v>0</v>
      </c>
      <c r="S480" s="4" t="s">
        <v>166</v>
      </c>
      <c r="U480" s="4">
        <v>6</v>
      </c>
      <c r="V480" s="4">
        <v>0</v>
      </c>
      <c r="W480" s="4">
        <v>0</v>
      </c>
    </row>
    <row r="481" spans="1:23" ht="11.25" customHeight="1" x14ac:dyDescent="0.25">
      <c r="A481" s="4" t="s">
        <v>21</v>
      </c>
      <c r="B481" s="4" t="s">
        <v>39</v>
      </c>
      <c r="C481" s="4" t="s">
        <v>40</v>
      </c>
      <c r="D481" s="4" t="s">
        <v>45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44713</v>
      </c>
      <c r="J481" s="6">
        <v>1526</v>
      </c>
      <c r="K481" s="6">
        <v>1526</v>
      </c>
      <c r="L481" s="6">
        <v>0</v>
      </c>
      <c r="M481" s="6">
        <v>0</v>
      </c>
      <c r="N481" s="6">
        <v>0</v>
      </c>
      <c r="O481" s="6">
        <v>0</v>
      </c>
      <c r="P481" s="6">
        <v>16</v>
      </c>
      <c r="Q481" s="4" t="s">
        <v>26</v>
      </c>
      <c r="R481" s="4">
        <v>0</v>
      </c>
      <c r="S481" s="4" t="s">
        <v>167</v>
      </c>
      <c r="U481" s="4">
        <v>6</v>
      </c>
      <c r="V481" s="4">
        <v>0</v>
      </c>
      <c r="W481" s="4">
        <v>0</v>
      </c>
    </row>
    <row r="482" spans="1:23" ht="11.25" customHeight="1" x14ac:dyDescent="0.25">
      <c r="A482" s="4" t="s">
        <v>28</v>
      </c>
      <c r="B482" s="4" t="s">
        <v>39</v>
      </c>
      <c r="C482" s="4" t="s">
        <v>40</v>
      </c>
      <c r="D482" s="4" t="s">
        <v>45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44713</v>
      </c>
      <c r="J482" s="6">
        <v>110</v>
      </c>
      <c r="K482" s="6">
        <v>110</v>
      </c>
      <c r="L482" s="6">
        <v>0</v>
      </c>
      <c r="M482" s="6">
        <v>0</v>
      </c>
      <c r="N482" s="6">
        <v>0</v>
      </c>
      <c r="O482" s="6">
        <v>0</v>
      </c>
      <c r="P482" s="6">
        <v>1</v>
      </c>
      <c r="Q482" s="4" t="s">
        <v>26</v>
      </c>
      <c r="R482" s="4">
        <v>0</v>
      </c>
      <c r="S482" s="4" t="s">
        <v>167</v>
      </c>
      <c r="U482" s="4">
        <v>6</v>
      </c>
      <c r="V482" s="4">
        <v>0</v>
      </c>
      <c r="W482" s="4">
        <v>0</v>
      </c>
    </row>
    <row r="483" spans="1:23" ht="11.25" customHeight="1" x14ac:dyDescent="0.25">
      <c r="A483" s="4" t="s">
        <v>21</v>
      </c>
      <c r="B483" s="4" t="s">
        <v>39</v>
      </c>
      <c r="C483" s="4" t="s">
        <v>40</v>
      </c>
      <c r="D483" s="4" t="s">
        <v>45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44743</v>
      </c>
      <c r="J483" s="6">
        <v>1523</v>
      </c>
      <c r="K483" s="6">
        <v>1523</v>
      </c>
      <c r="L483" s="6">
        <v>0</v>
      </c>
      <c r="M483" s="6">
        <v>0</v>
      </c>
      <c r="N483" s="6">
        <v>0</v>
      </c>
      <c r="O483" s="6">
        <v>0</v>
      </c>
      <c r="P483" s="6">
        <v>16</v>
      </c>
      <c r="Q483" s="4" t="s">
        <v>26</v>
      </c>
      <c r="R483" s="4">
        <v>0</v>
      </c>
      <c r="S483" s="4" t="s">
        <v>168</v>
      </c>
      <c r="U483" s="4">
        <v>6</v>
      </c>
      <c r="V483" s="4">
        <v>0</v>
      </c>
      <c r="W483" s="4">
        <v>0</v>
      </c>
    </row>
    <row r="484" spans="1:23" ht="11.25" customHeight="1" x14ac:dyDescent="0.25">
      <c r="A484" s="4" t="s">
        <v>28</v>
      </c>
      <c r="B484" s="4" t="s">
        <v>39</v>
      </c>
      <c r="C484" s="4" t="s">
        <v>40</v>
      </c>
      <c r="D484" s="4" t="s">
        <v>45</v>
      </c>
      <c r="E484" s="4" t="s">
        <v>25</v>
      </c>
      <c r="F484" s="4" t="s">
        <v>25</v>
      </c>
      <c r="G484" s="4" t="s">
        <v>25</v>
      </c>
      <c r="H484" s="4" t="s">
        <v>25</v>
      </c>
      <c r="I484" s="5">
        <v>44743</v>
      </c>
      <c r="J484" s="6">
        <v>110</v>
      </c>
      <c r="K484" s="6">
        <v>110</v>
      </c>
      <c r="L484" s="6">
        <v>0</v>
      </c>
      <c r="M484" s="6">
        <v>0</v>
      </c>
      <c r="N484" s="6">
        <v>0</v>
      </c>
      <c r="O484" s="6">
        <v>0</v>
      </c>
      <c r="P484" s="6">
        <v>1</v>
      </c>
      <c r="Q484" s="4" t="s">
        <v>26</v>
      </c>
      <c r="R484" s="4">
        <v>0</v>
      </c>
      <c r="S484" s="4" t="s">
        <v>168</v>
      </c>
      <c r="U484" s="4">
        <v>6</v>
      </c>
      <c r="V484" s="4">
        <v>0</v>
      </c>
      <c r="W484" s="4">
        <v>0</v>
      </c>
    </row>
    <row r="485" spans="1:23" ht="11.25" customHeight="1" x14ac:dyDescent="0.25">
      <c r="A485" s="4" t="s">
        <v>56</v>
      </c>
      <c r="B485" s="4" t="s">
        <v>39</v>
      </c>
      <c r="C485" s="4" t="s">
        <v>40</v>
      </c>
      <c r="D485" s="4" t="s">
        <v>45</v>
      </c>
      <c r="E485" s="4" t="s">
        <v>25</v>
      </c>
      <c r="F485" s="4" t="s">
        <v>25</v>
      </c>
      <c r="G485" s="4" t="s">
        <v>25</v>
      </c>
      <c r="H485" s="4" t="s">
        <v>25</v>
      </c>
      <c r="I485" s="5">
        <v>44774</v>
      </c>
      <c r="J485" s="6">
        <v>1523</v>
      </c>
      <c r="K485" s="6">
        <v>1523</v>
      </c>
      <c r="L485" s="6">
        <v>0</v>
      </c>
      <c r="M485" s="6">
        <v>0</v>
      </c>
      <c r="N485" s="6">
        <v>0</v>
      </c>
      <c r="O485" s="6">
        <v>0</v>
      </c>
      <c r="P485" s="6">
        <v>16</v>
      </c>
      <c r="Q485" s="4" t="s">
        <v>26</v>
      </c>
      <c r="R485" s="4">
        <v>0</v>
      </c>
      <c r="S485" s="4" t="s">
        <v>169</v>
      </c>
      <c r="U485" s="4">
        <v>6</v>
      </c>
      <c r="V485" s="4">
        <v>0</v>
      </c>
      <c r="W485" s="4">
        <v>0</v>
      </c>
    </row>
    <row r="486" spans="1:23" ht="11.25" customHeight="1" x14ac:dyDescent="0.25">
      <c r="A486" s="4" t="s">
        <v>56</v>
      </c>
      <c r="B486" s="4" t="s">
        <v>39</v>
      </c>
      <c r="C486" s="4" t="s">
        <v>40</v>
      </c>
      <c r="D486" s="4" t="s">
        <v>45</v>
      </c>
      <c r="E486" s="4" t="s">
        <v>25</v>
      </c>
      <c r="F486" s="4" t="s">
        <v>25</v>
      </c>
      <c r="G486" s="4" t="s">
        <v>25</v>
      </c>
      <c r="H486" s="4" t="s">
        <v>25</v>
      </c>
      <c r="I486" s="5">
        <v>44774</v>
      </c>
      <c r="J486" s="6">
        <v>110</v>
      </c>
      <c r="K486" s="6">
        <v>110</v>
      </c>
      <c r="L486" s="6">
        <v>0</v>
      </c>
      <c r="M486" s="6">
        <v>0</v>
      </c>
      <c r="N486" s="6">
        <v>0</v>
      </c>
      <c r="O486" s="6">
        <v>0</v>
      </c>
      <c r="P486" s="6">
        <v>1</v>
      </c>
      <c r="Q486" s="4" t="s">
        <v>26</v>
      </c>
      <c r="R486" s="4">
        <v>0</v>
      </c>
      <c r="S486" s="4" t="s">
        <v>169</v>
      </c>
      <c r="U486" s="4">
        <v>6</v>
      </c>
      <c r="V486" s="4">
        <v>0</v>
      </c>
      <c r="W486" s="4">
        <v>0</v>
      </c>
    </row>
    <row r="487" spans="1:23" ht="11.25" customHeight="1" x14ac:dyDescent="0.25">
      <c r="A487" s="4" t="s">
        <v>21</v>
      </c>
      <c r="B487" s="4" t="s">
        <v>39</v>
      </c>
      <c r="C487" s="4" t="s">
        <v>40</v>
      </c>
      <c r="D487" s="4" t="s">
        <v>45</v>
      </c>
      <c r="E487" s="4" t="s">
        <v>25</v>
      </c>
      <c r="F487" s="4" t="s">
        <v>25</v>
      </c>
      <c r="G487" s="4" t="s">
        <v>25</v>
      </c>
      <c r="H487" s="4" t="s">
        <v>34</v>
      </c>
      <c r="I487" s="5">
        <v>44440</v>
      </c>
      <c r="J487" s="6">
        <v>0</v>
      </c>
      <c r="K487" s="6">
        <v>0</v>
      </c>
      <c r="L487" s="6">
        <v>29.747</v>
      </c>
      <c r="M487" s="6">
        <v>29.747</v>
      </c>
      <c r="N487" s="6">
        <v>29.747</v>
      </c>
      <c r="O487" s="6">
        <v>29.747</v>
      </c>
      <c r="P487" s="6">
        <v>0</v>
      </c>
      <c r="Q487" s="4" t="s">
        <v>26</v>
      </c>
      <c r="R487" s="4">
        <v>0</v>
      </c>
      <c r="S487" s="4" t="s">
        <v>170</v>
      </c>
      <c r="T487" s="4" t="s">
        <v>411</v>
      </c>
      <c r="U487" s="4">
        <v>0</v>
      </c>
      <c r="V487" s="4">
        <v>7</v>
      </c>
      <c r="W487" s="4">
        <v>48</v>
      </c>
    </row>
    <row r="488" spans="1:23" ht="11.25" customHeight="1" x14ac:dyDescent="0.25">
      <c r="A488" s="4" t="s">
        <v>21</v>
      </c>
      <c r="B488" s="4" t="s">
        <v>39</v>
      </c>
      <c r="C488" s="4" t="s">
        <v>40</v>
      </c>
      <c r="D488" s="4" t="s">
        <v>45</v>
      </c>
      <c r="E488" s="4" t="s">
        <v>25</v>
      </c>
      <c r="F488" s="4" t="s">
        <v>25</v>
      </c>
      <c r="G488" s="4" t="s">
        <v>25</v>
      </c>
      <c r="H488" s="4" t="s">
        <v>34</v>
      </c>
      <c r="I488" s="5">
        <v>44470</v>
      </c>
      <c r="J488" s="6">
        <v>0</v>
      </c>
      <c r="K488" s="6">
        <v>0</v>
      </c>
      <c r="L488" s="6">
        <v>31.172999999999998</v>
      </c>
      <c r="M488" s="6">
        <v>31.172999999999998</v>
      </c>
      <c r="N488" s="6">
        <v>31.172999999999998</v>
      </c>
      <c r="O488" s="6">
        <v>31.172999999999998</v>
      </c>
      <c r="P488" s="6">
        <v>0</v>
      </c>
      <c r="Q488" s="4" t="s">
        <v>26</v>
      </c>
      <c r="R488" s="4">
        <v>0</v>
      </c>
      <c r="S488" s="4" t="s">
        <v>171</v>
      </c>
      <c r="T488" s="4" t="s">
        <v>412</v>
      </c>
      <c r="U488" s="4">
        <v>0</v>
      </c>
      <c r="V488" s="4">
        <v>7</v>
      </c>
      <c r="W488" s="4">
        <v>48</v>
      </c>
    </row>
    <row r="489" spans="1:23" ht="11.25" customHeight="1" x14ac:dyDescent="0.25">
      <c r="A489" s="4" t="s">
        <v>21</v>
      </c>
      <c r="B489" s="4" t="s">
        <v>39</v>
      </c>
      <c r="C489" s="4" t="s">
        <v>40</v>
      </c>
      <c r="D489" s="4" t="s">
        <v>45</v>
      </c>
      <c r="E489" s="4" t="s">
        <v>25</v>
      </c>
      <c r="F489" s="4" t="s">
        <v>25</v>
      </c>
      <c r="G489" s="4" t="s">
        <v>25</v>
      </c>
      <c r="H489" s="4" t="s">
        <v>34</v>
      </c>
      <c r="I489" s="5">
        <v>44501</v>
      </c>
      <c r="J489" s="6">
        <v>0</v>
      </c>
      <c r="K489" s="6">
        <v>0</v>
      </c>
      <c r="L489" s="6">
        <v>27.193000000000001</v>
      </c>
      <c r="M489" s="6">
        <v>27.193000000000001</v>
      </c>
      <c r="N489" s="6">
        <v>27.193000000000001</v>
      </c>
      <c r="O489" s="6">
        <v>27.193000000000001</v>
      </c>
      <c r="P489" s="6">
        <v>0</v>
      </c>
      <c r="Q489" s="4" t="s">
        <v>26</v>
      </c>
      <c r="R489" s="4">
        <v>0</v>
      </c>
      <c r="S489" s="4" t="s">
        <v>172</v>
      </c>
      <c r="T489" s="4" t="s">
        <v>413</v>
      </c>
      <c r="U489" s="4">
        <v>0</v>
      </c>
      <c r="V489" s="4">
        <v>7</v>
      </c>
      <c r="W489" s="4">
        <v>48</v>
      </c>
    </row>
    <row r="490" spans="1:23" ht="11.25" customHeight="1" x14ac:dyDescent="0.25">
      <c r="A490" s="4" t="s">
        <v>21</v>
      </c>
      <c r="B490" s="4" t="s">
        <v>39</v>
      </c>
      <c r="C490" s="4" t="s">
        <v>40</v>
      </c>
      <c r="D490" s="4" t="s">
        <v>45</v>
      </c>
      <c r="E490" s="4" t="s">
        <v>25</v>
      </c>
      <c r="F490" s="4" t="s">
        <v>25</v>
      </c>
      <c r="G490" s="4" t="s">
        <v>25</v>
      </c>
      <c r="H490" s="4" t="s">
        <v>34</v>
      </c>
      <c r="I490" s="5">
        <v>44531</v>
      </c>
      <c r="J490" s="6">
        <v>0</v>
      </c>
      <c r="K490" s="6">
        <v>0</v>
      </c>
      <c r="L490" s="6">
        <v>30.817</v>
      </c>
      <c r="M490" s="6">
        <v>30.817</v>
      </c>
      <c r="N490" s="6">
        <v>30.817</v>
      </c>
      <c r="O490" s="6">
        <v>30.817</v>
      </c>
      <c r="P490" s="6">
        <v>0</v>
      </c>
      <c r="Q490" s="4" t="s">
        <v>26</v>
      </c>
      <c r="R490" s="4">
        <v>0</v>
      </c>
      <c r="S490" s="4" t="s">
        <v>173</v>
      </c>
      <c r="T490" s="4" t="s">
        <v>414</v>
      </c>
      <c r="U490" s="4">
        <v>0</v>
      </c>
      <c r="V490" s="4">
        <v>7</v>
      </c>
      <c r="W490" s="4">
        <v>48</v>
      </c>
    </row>
    <row r="491" spans="1:23" ht="11.25" customHeight="1" x14ac:dyDescent="0.25">
      <c r="A491" s="4" t="s">
        <v>21</v>
      </c>
      <c r="B491" s="4" t="s">
        <v>39</v>
      </c>
      <c r="C491" s="4" t="s">
        <v>40</v>
      </c>
      <c r="D491" s="4" t="s">
        <v>45</v>
      </c>
      <c r="E491" s="4" t="s">
        <v>25</v>
      </c>
      <c r="F491" s="4" t="s">
        <v>25</v>
      </c>
      <c r="G491" s="4" t="s">
        <v>25</v>
      </c>
      <c r="H491" s="4" t="s">
        <v>34</v>
      </c>
      <c r="I491" s="5">
        <v>44562</v>
      </c>
      <c r="J491" s="6">
        <v>0</v>
      </c>
      <c r="K491" s="6">
        <v>0</v>
      </c>
      <c r="L491" s="6">
        <v>31.513000000000002</v>
      </c>
      <c r="M491" s="6">
        <v>31.513000000000002</v>
      </c>
      <c r="N491" s="6">
        <v>31.513000000000002</v>
      </c>
      <c r="O491" s="6">
        <v>31.513000000000002</v>
      </c>
      <c r="P491" s="6">
        <v>0</v>
      </c>
      <c r="Q491" s="4" t="s">
        <v>26</v>
      </c>
      <c r="R491" s="4">
        <v>0</v>
      </c>
      <c r="S491" s="4" t="s">
        <v>174</v>
      </c>
      <c r="T491" s="4" t="s">
        <v>415</v>
      </c>
      <c r="U491" s="4">
        <v>0</v>
      </c>
      <c r="V491" s="4">
        <v>7</v>
      </c>
      <c r="W491" s="4">
        <v>48</v>
      </c>
    </row>
    <row r="492" spans="1:23" ht="11.25" customHeight="1" x14ac:dyDescent="0.25">
      <c r="A492" s="4" t="s">
        <v>21</v>
      </c>
      <c r="B492" s="4" t="s">
        <v>39</v>
      </c>
      <c r="C492" s="4" t="s">
        <v>40</v>
      </c>
      <c r="D492" s="4" t="s">
        <v>45</v>
      </c>
      <c r="E492" s="4" t="s">
        <v>25</v>
      </c>
      <c r="F492" s="4" t="s">
        <v>25</v>
      </c>
      <c r="G492" s="4" t="s">
        <v>25</v>
      </c>
      <c r="H492" s="4" t="s">
        <v>34</v>
      </c>
      <c r="I492" s="5">
        <v>44593</v>
      </c>
      <c r="J492" s="6">
        <v>0</v>
      </c>
      <c r="K492" s="6">
        <v>0</v>
      </c>
      <c r="L492" s="6">
        <v>32.475999999999999</v>
      </c>
      <c r="M492" s="6">
        <v>32.475999999999999</v>
      </c>
      <c r="N492" s="6">
        <v>32.475999999999999</v>
      </c>
      <c r="O492" s="6">
        <v>32.475999999999999</v>
      </c>
      <c r="P492" s="6">
        <v>0</v>
      </c>
      <c r="Q492" s="4" t="s">
        <v>26</v>
      </c>
      <c r="R492" s="4">
        <v>0</v>
      </c>
      <c r="S492" s="4" t="s">
        <v>175</v>
      </c>
      <c r="T492" s="4" t="s">
        <v>416</v>
      </c>
      <c r="U492" s="4">
        <v>0</v>
      </c>
      <c r="V492" s="4">
        <v>7</v>
      </c>
      <c r="W492" s="4">
        <v>48</v>
      </c>
    </row>
    <row r="493" spans="1:23" ht="11.25" customHeight="1" x14ac:dyDescent="0.25">
      <c r="A493" s="4" t="s">
        <v>21</v>
      </c>
      <c r="B493" s="4" t="s">
        <v>39</v>
      </c>
      <c r="C493" s="4" t="s">
        <v>40</v>
      </c>
      <c r="D493" s="4" t="s">
        <v>45</v>
      </c>
      <c r="E493" s="4" t="s">
        <v>25</v>
      </c>
      <c r="F493" s="4" t="s">
        <v>25</v>
      </c>
      <c r="G493" s="4" t="s">
        <v>25</v>
      </c>
      <c r="H493" s="4" t="s">
        <v>34</v>
      </c>
      <c r="I493" s="5">
        <v>44621</v>
      </c>
      <c r="J493" s="6">
        <v>0</v>
      </c>
      <c r="K493" s="6">
        <v>0</v>
      </c>
      <c r="L493" s="6">
        <v>37.331000000000003</v>
      </c>
      <c r="M493" s="6">
        <v>37.331000000000003</v>
      </c>
      <c r="N493" s="6">
        <v>37.331000000000003</v>
      </c>
      <c r="O493" s="6">
        <v>37.331000000000003</v>
      </c>
      <c r="P493" s="6">
        <v>0</v>
      </c>
      <c r="Q493" s="4" t="s">
        <v>26</v>
      </c>
      <c r="R493" s="4">
        <v>0</v>
      </c>
      <c r="S493" s="4" t="s">
        <v>176</v>
      </c>
      <c r="T493" s="4" t="s">
        <v>417</v>
      </c>
      <c r="U493" s="4">
        <v>0</v>
      </c>
      <c r="V493" s="4">
        <v>7</v>
      </c>
      <c r="W493" s="4">
        <v>48</v>
      </c>
    </row>
    <row r="494" spans="1:23" ht="11.25" customHeight="1" x14ac:dyDescent="0.25">
      <c r="A494" s="4" t="s">
        <v>21</v>
      </c>
      <c r="B494" s="4" t="s">
        <v>39</v>
      </c>
      <c r="C494" s="4" t="s">
        <v>40</v>
      </c>
      <c r="D494" s="4" t="s">
        <v>45</v>
      </c>
      <c r="E494" s="4" t="s">
        <v>25</v>
      </c>
      <c r="F494" s="4" t="s">
        <v>25</v>
      </c>
      <c r="G494" s="4" t="s">
        <v>25</v>
      </c>
      <c r="H494" s="4" t="s">
        <v>34</v>
      </c>
      <c r="I494" s="5">
        <v>44652</v>
      </c>
      <c r="J494" s="6">
        <v>0</v>
      </c>
      <c r="K494" s="6">
        <v>0</v>
      </c>
      <c r="L494" s="6">
        <v>33.877000000000002</v>
      </c>
      <c r="M494" s="6">
        <v>33.877000000000002</v>
      </c>
      <c r="N494" s="6">
        <v>33.877000000000002</v>
      </c>
      <c r="O494" s="6">
        <v>33.877000000000002</v>
      </c>
      <c r="P494" s="6">
        <v>0</v>
      </c>
      <c r="Q494" s="4" t="s">
        <v>26</v>
      </c>
      <c r="R494" s="4">
        <v>0</v>
      </c>
      <c r="S494" s="4" t="s">
        <v>177</v>
      </c>
      <c r="T494" s="4" t="s">
        <v>418</v>
      </c>
      <c r="U494" s="4">
        <v>0</v>
      </c>
      <c r="V494" s="4">
        <v>7</v>
      </c>
      <c r="W494" s="4">
        <v>48</v>
      </c>
    </row>
    <row r="495" spans="1:23" ht="11.25" customHeight="1" x14ac:dyDescent="0.25">
      <c r="A495" s="4" t="s">
        <v>21</v>
      </c>
      <c r="B495" s="4" t="s">
        <v>39</v>
      </c>
      <c r="C495" s="4" t="s">
        <v>40</v>
      </c>
      <c r="D495" s="4" t="s">
        <v>45</v>
      </c>
      <c r="E495" s="4" t="s">
        <v>25</v>
      </c>
      <c r="F495" s="4" t="s">
        <v>25</v>
      </c>
      <c r="G495" s="4" t="s">
        <v>25</v>
      </c>
      <c r="H495" s="4" t="s">
        <v>34</v>
      </c>
      <c r="I495" s="5">
        <v>44682</v>
      </c>
      <c r="J495" s="6">
        <v>0</v>
      </c>
      <c r="K495" s="6">
        <v>0</v>
      </c>
      <c r="L495" s="6">
        <v>25.931999999999999</v>
      </c>
      <c r="M495" s="6">
        <v>25.931999999999999</v>
      </c>
      <c r="N495" s="6">
        <v>25.931999999999999</v>
      </c>
      <c r="O495" s="6">
        <v>25.931999999999999</v>
      </c>
      <c r="P495" s="6">
        <v>0</v>
      </c>
      <c r="Q495" s="4" t="s">
        <v>26</v>
      </c>
      <c r="R495" s="4">
        <v>0</v>
      </c>
      <c r="S495" s="4" t="s">
        <v>178</v>
      </c>
      <c r="T495" s="4" t="s">
        <v>419</v>
      </c>
      <c r="U495" s="4">
        <v>0</v>
      </c>
      <c r="V495" s="4">
        <v>7</v>
      </c>
      <c r="W495" s="4">
        <v>48</v>
      </c>
    </row>
    <row r="496" spans="1:23" ht="11.25" customHeight="1" x14ac:dyDescent="0.25">
      <c r="A496" s="4" t="s">
        <v>21</v>
      </c>
      <c r="B496" s="4" t="s">
        <v>39</v>
      </c>
      <c r="C496" s="4" t="s">
        <v>40</v>
      </c>
      <c r="D496" s="4" t="s">
        <v>45</v>
      </c>
      <c r="E496" s="4" t="s">
        <v>25</v>
      </c>
      <c r="F496" s="4" t="s">
        <v>25</v>
      </c>
      <c r="G496" s="4" t="s">
        <v>25</v>
      </c>
      <c r="H496" s="4" t="s">
        <v>34</v>
      </c>
      <c r="I496" s="5">
        <v>44713</v>
      </c>
      <c r="J496" s="6">
        <v>0</v>
      </c>
      <c r="K496" s="6">
        <v>0</v>
      </c>
      <c r="L496" s="6">
        <v>23.073</v>
      </c>
      <c r="M496" s="6">
        <v>23.073</v>
      </c>
      <c r="N496" s="6">
        <v>23.073</v>
      </c>
      <c r="O496" s="6">
        <v>23.073</v>
      </c>
      <c r="P496" s="6">
        <v>0</v>
      </c>
      <c r="Q496" s="4" t="s">
        <v>26</v>
      </c>
      <c r="R496" s="4">
        <v>0</v>
      </c>
      <c r="S496" s="4" t="s">
        <v>179</v>
      </c>
      <c r="T496" s="4" t="s">
        <v>420</v>
      </c>
      <c r="U496" s="4">
        <v>0</v>
      </c>
      <c r="V496" s="4">
        <v>7</v>
      </c>
      <c r="W496" s="4">
        <v>48</v>
      </c>
    </row>
    <row r="497" spans="1:23" ht="11.25" customHeight="1" x14ac:dyDescent="0.25">
      <c r="A497" s="4" t="s">
        <v>21</v>
      </c>
      <c r="B497" s="4" t="s">
        <v>39</v>
      </c>
      <c r="C497" s="4" t="s">
        <v>40</v>
      </c>
      <c r="D497" s="4" t="s">
        <v>45</v>
      </c>
      <c r="E497" s="4" t="s">
        <v>25</v>
      </c>
      <c r="F497" s="4" t="s">
        <v>25</v>
      </c>
      <c r="G497" s="4" t="s">
        <v>25</v>
      </c>
      <c r="H497" s="4" t="s">
        <v>34</v>
      </c>
      <c r="I497" s="5">
        <v>44743</v>
      </c>
      <c r="J497" s="6">
        <v>0</v>
      </c>
      <c r="K497" s="6">
        <v>0</v>
      </c>
      <c r="L497" s="6">
        <v>22.210999999999999</v>
      </c>
      <c r="M497" s="6">
        <v>22.210999999999999</v>
      </c>
      <c r="N497" s="6">
        <v>22.210999999999999</v>
      </c>
      <c r="O497" s="6">
        <v>22.210999999999999</v>
      </c>
      <c r="P497" s="6">
        <v>0</v>
      </c>
      <c r="Q497" s="4" t="s">
        <v>26</v>
      </c>
      <c r="R497" s="4">
        <v>0</v>
      </c>
      <c r="S497" s="4" t="s">
        <v>180</v>
      </c>
      <c r="T497" s="4" t="s">
        <v>421</v>
      </c>
      <c r="U497" s="4">
        <v>0</v>
      </c>
      <c r="V497" s="4">
        <v>7</v>
      </c>
      <c r="W497" s="4">
        <v>48</v>
      </c>
    </row>
    <row r="498" spans="1:23" ht="11.25" customHeight="1" x14ac:dyDescent="0.25">
      <c r="A498" s="4" t="s">
        <v>56</v>
      </c>
      <c r="B498" s="4" t="s">
        <v>39</v>
      </c>
      <c r="C498" s="4" t="s">
        <v>40</v>
      </c>
      <c r="D498" s="4" t="s">
        <v>45</v>
      </c>
      <c r="E498" s="4" t="s">
        <v>25</v>
      </c>
      <c r="F498" s="4" t="s">
        <v>25</v>
      </c>
      <c r="G498" s="4" t="s">
        <v>25</v>
      </c>
      <c r="H498" s="4" t="s">
        <v>34</v>
      </c>
      <c r="I498" s="5">
        <v>44774</v>
      </c>
      <c r="J498" s="6">
        <v>0</v>
      </c>
      <c r="K498" s="6">
        <v>0</v>
      </c>
      <c r="L498" s="6">
        <v>22.210999999999999</v>
      </c>
      <c r="M498" s="6">
        <v>22.210999999999999</v>
      </c>
      <c r="N498" s="6">
        <v>22.210999999999999</v>
      </c>
      <c r="O498" s="6">
        <v>22.210999999999999</v>
      </c>
      <c r="P498" s="6">
        <v>0</v>
      </c>
      <c r="Q498" s="4" t="s">
        <v>26</v>
      </c>
      <c r="R498" s="4">
        <v>0</v>
      </c>
      <c r="S498" s="4" t="s">
        <v>181</v>
      </c>
      <c r="T498" s="4" t="s">
        <v>422</v>
      </c>
      <c r="U498" s="4">
        <v>0</v>
      </c>
      <c r="V498" s="4">
        <v>7</v>
      </c>
      <c r="W498" s="4">
        <v>48</v>
      </c>
    </row>
    <row r="499" spans="1:23" ht="11.25" customHeight="1" x14ac:dyDescent="0.25">
      <c r="A499" s="4" t="s">
        <v>21</v>
      </c>
      <c r="B499" s="4" t="s">
        <v>39</v>
      </c>
      <c r="C499" s="4" t="s">
        <v>40</v>
      </c>
      <c r="D499" s="4" t="s">
        <v>49</v>
      </c>
      <c r="E499" s="4" t="s">
        <v>50</v>
      </c>
      <c r="F499" s="4" t="s">
        <v>25</v>
      </c>
      <c r="G499" s="4" t="s">
        <v>25</v>
      </c>
      <c r="H499" s="4" t="s">
        <v>35</v>
      </c>
      <c r="I499" s="5">
        <v>44440</v>
      </c>
      <c r="J499" s="6">
        <v>0</v>
      </c>
      <c r="K499" s="6">
        <v>0</v>
      </c>
      <c r="L499" s="6">
        <v>110.005</v>
      </c>
      <c r="M499" s="6">
        <v>103.40470000000001</v>
      </c>
      <c r="N499" s="6">
        <v>110.005</v>
      </c>
      <c r="O499" s="6">
        <v>103.40470000000001</v>
      </c>
      <c r="P499" s="6">
        <v>0</v>
      </c>
      <c r="Q499" s="4" t="s">
        <v>26</v>
      </c>
      <c r="R499" s="4">
        <v>0</v>
      </c>
      <c r="S499" s="4" t="s">
        <v>146</v>
      </c>
      <c r="T499" s="4" t="s">
        <v>399</v>
      </c>
      <c r="U499" s="4">
        <v>0</v>
      </c>
      <c r="V499" s="4">
        <v>8</v>
      </c>
      <c r="W499" s="4">
        <v>49</v>
      </c>
    </row>
    <row r="500" spans="1:23" ht="11.25" customHeight="1" x14ac:dyDescent="0.25">
      <c r="A500" s="4" t="s">
        <v>21</v>
      </c>
      <c r="B500" s="4" t="s">
        <v>39</v>
      </c>
      <c r="C500" s="4" t="s">
        <v>40</v>
      </c>
      <c r="D500" s="4" t="s">
        <v>49</v>
      </c>
      <c r="E500" s="4" t="s">
        <v>50</v>
      </c>
      <c r="F500" s="4" t="s">
        <v>25</v>
      </c>
      <c r="G500" s="4" t="s">
        <v>25</v>
      </c>
      <c r="H500" s="4" t="s">
        <v>35</v>
      </c>
      <c r="I500" s="5">
        <v>44470</v>
      </c>
      <c r="J500" s="6">
        <v>0</v>
      </c>
      <c r="K500" s="6">
        <v>0</v>
      </c>
      <c r="L500" s="6">
        <v>110.5</v>
      </c>
      <c r="M500" s="6">
        <v>103.87</v>
      </c>
      <c r="N500" s="6">
        <v>110.5</v>
      </c>
      <c r="O500" s="6">
        <v>103.87</v>
      </c>
      <c r="P500" s="6">
        <v>0</v>
      </c>
      <c r="Q500" s="4" t="s">
        <v>26</v>
      </c>
      <c r="R500" s="4">
        <v>0</v>
      </c>
      <c r="S500" s="4" t="s">
        <v>147</v>
      </c>
      <c r="T500" s="4" t="s">
        <v>400</v>
      </c>
      <c r="U500" s="4">
        <v>0</v>
      </c>
      <c r="V500" s="4">
        <v>8</v>
      </c>
      <c r="W500" s="4">
        <v>49</v>
      </c>
    </row>
    <row r="501" spans="1:23" ht="11.25" customHeight="1" x14ac:dyDescent="0.25">
      <c r="A501" s="4" t="s">
        <v>21</v>
      </c>
      <c r="B501" s="4" t="s">
        <v>39</v>
      </c>
      <c r="C501" s="4" t="s">
        <v>40</v>
      </c>
      <c r="D501" s="4" t="s">
        <v>49</v>
      </c>
      <c r="E501" s="4" t="s">
        <v>50</v>
      </c>
      <c r="F501" s="4" t="s">
        <v>25</v>
      </c>
      <c r="G501" s="4" t="s">
        <v>25</v>
      </c>
      <c r="H501" s="4" t="s">
        <v>35</v>
      </c>
      <c r="I501" s="5">
        <v>44501</v>
      </c>
      <c r="J501" s="6">
        <v>0</v>
      </c>
      <c r="K501" s="6">
        <v>0</v>
      </c>
      <c r="L501" s="6">
        <v>134.03100000000001</v>
      </c>
      <c r="M501" s="6">
        <v>125.98914000000001</v>
      </c>
      <c r="N501" s="6">
        <v>134.03100000000001</v>
      </c>
      <c r="O501" s="6">
        <v>125.98914000000001</v>
      </c>
      <c r="P501" s="6">
        <v>0</v>
      </c>
      <c r="Q501" s="4" t="s">
        <v>26</v>
      </c>
      <c r="R501" s="4">
        <v>0</v>
      </c>
      <c r="S501" s="4" t="s">
        <v>148</v>
      </c>
      <c r="T501" s="4" t="s">
        <v>401</v>
      </c>
      <c r="U501" s="4">
        <v>0</v>
      </c>
      <c r="V501" s="4">
        <v>8</v>
      </c>
      <c r="W501" s="4">
        <v>49</v>
      </c>
    </row>
    <row r="502" spans="1:23" ht="11.25" customHeight="1" x14ac:dyDescent="0.25">
      <c r="A502" s="4" t="s">
        <v>27</v>
      </c>
      <c r="B502" s="4" t="s">
        <v>39</v>
      </c>
      <c r="C502" s="4" t="s">
        <v>40</v>
      </c>
      <c r="D502" s="4" t="s">
        <v>49</v>
      </c>
      <c r="E502" s="4" t="s">
        <v>50</v>
      </c>
      <c r="F502" s="4" t="s">
        <v>25</v>
      </c>
      <c r="G502" s="4" t="s">
        <v>25</v>
      </c>
      <c r="H502" s="4" t="s">
        <v>35</v>
      </c>
      <c r="I502" s="5">
        <v>44501</v>
      </c>
      <c r="J502" s="6">
        <v>0</v>
      </c>
      <c r="K502" s="6">
        <v>0</v>
      </c>
      <c r="L502" s="6">
        <v>28.565000000000001</v>
      </c>
      <c r="M502" s="6">
        <v>26.851099999999999</v>
      </c>
      <c r="N502" s="6">
        <v>28.565000000000001</v>
      </c>
      <c r="O502" s="6">
        <v>26.851099999999999</v>
      </c>
      <c r="P502" s="6">
        <v>0</v>
      </c>
      <c r="Q502" s="4" t="s">
        <v>26</v>
      </c>
      <c r="R502" s="4">
        <v>0</v>
      </c>
      <c r="S502" s="4" t="s">
        <v>148</v>
      </c>
      <c r="T502" s="4" t="s">
        <v>401</v>
      </c>
      <c r="U502" s="4">
        <v>0</v>
      </c>
      <c r="V502" s="4">
        <v>8</v>
      </c>
      <c r="W502" s="4">
        <v>49</v>
      </c>
    </row>
    <row r="503" spans="1:23" ht="11.25" customHeight="1" x14ac:dyDescent="0.25">
      <c r="A503" s="4" t="s">
        <v>21</v>
      </c>
      <c r="B503" s="4" t="s">
        <v>39</v>
      </c>
      <c r="C503" s="4" t="s">
        <v>40</v>
      </c>
      <c r="D503" s="4" t="s">
        <v>49</v>
      </c>
      <c r="E503" s="4" t="s">
        <v>50</v>
      </c>
      <c r="F503" s="4" t="s">
        <v>25</v>
      </c>
      <c r="G503" s="4" t="s">
        <v>25</v>
      </c>
      <c r="H503" s="4" t="s">
        <v>35</v>
      </c>
      <c r="I503" s="5">
        <v>44531</v>
      </c>
      <c r="J503" s="6">
        <v>0</v>
      </c>
      <c r="K503" s="6">
        <v>0</v>
      </c>
      <c r="L503" s="6">
        <v>134.548</v>
      </c>
      <c r="M503" s="6">
        <v>126.47512</v>
      </c>
      <c r="N503" s="6">
        <v>134.548</v>
      </c>
      <c r="O503" s="6">
        <v>126.47512</v>
      </c>
      <c r="P503" s="6">
        <v>0</v>
      </c>
      <c r="Q503" s="4" t="s">
        <v>26</v>
      </c>
      <c r="R503" s="4">
        <v>0</v>
      </c>
      <c r="S503" s="4" t="s">
        <v>149</v>
      </c>
      <c r="T503" s="4" t="s">
        <v>402</v>
      </c>
      <c r="U503" s="4">
        <v>0</v>
      </c>
      <c r="V503" s="4">
        <v>8</v>
      </c>
      <c r="W503" s="4">
        <v>49</v>
      </c>
    </row>
    <row r="504" spans="1:23" ht="11.25" customHeight="1" x14ac:dyDescent="0.25">
      <c r="A504" s="4" t="s">
        <v>21</v>
      </c>
      <c r="B504" s="4" t="s">
        <v>39</v>
      </c>
      <c r="C504" s="4" t="s">
        <v>40</v>
      </c>
      <c r="D504" s="4" t="s">
        <v>49</v>
      </c>
      <c r="E504" s="4" t="s">
        <v>50</v>
      </c>
      <c r="F504" s="4" t="s">
        <v>25</v>
      </c>
      <c r="G504" s="4" t="s">
        <v>25</v>
      </c>
      <c r="H504" s="4" t="s">
        <v>35</v>
      </c>
      <c r="I504" s="5">
        <v>44562</v>
      </c>
      <c r="J504" s="6">
        <v>0</v>
      </c>
      <c r="K504" s="6">
        <v>0</v>
      </c>
      <c r="L504" s="6">
        <v>145.012</v>
      </c>
      <c r="M504" s="6">
        <v>136.31128000000001</v>
      </c>
      <c r="N504" s="6">
        <v>145.012</v>
      </c>
      <c r="O504" s="6">
        <v>136.31128000000001</v>
      </c>
      <c r="P504" s="6">
        <v>0</v>
      </c>
      <c r="Q504" s="4" t="s">
        <v>26</v>
      </c>
      <c r="R504" s="4">
        <v>0</v>
      </c>
      <c r="S504" s="4" t="s">
        <v>150</v>
      </c>
      <c r="T504" s="4" t="s">
        <v>403</v>
      </c>
      <c r="U504" s="4">
        <v>0</v>
      </c>
      <c r="V504" s="4">
        <v>8</v>
      </c>
      <c r="W504" s="4">
        <v>49</v>
      </c>
    </row>
    <row r="505" spans="1:23" ht="11.25" customHeight="1" x14ac:dyDescent="0.25">
      <c r="A505" s="4" t="s">
        <v>21</v>
      </c>
      <c r="B505" s="4" t="s">
        <v>39</v>
      </c>
      <c r="C505" s="4" t="s">
        <v>40</v>
      </c>
      <c r="D505" s="4" t="s">
        <v>49</v>
      </c>
      <c r="E505" s="4" t="s">
        <v>50</v>
      </c>
      <c r="F505" s="4" t="s">
        <v>25</v>
      </c>
      <c r="G505" s="4" t="s">
        <v>25</v>
      </c>
      <c r="H505" s="4" t="s">
        <v>35</v>
      </c>
      <c r="I505" s="5">
        <v>44593</v>
      </c>
      <c r="J505" s="6">
        <v>0</v>
      </c>
      <c r="K505" s="6">
        <v>0</v>
      </c>
      <c r="L505" s="6">
        <v>136.35</v>
      </c>
      <c r="M505" s="6">
        <v>128.16900000000001</v>
      </c>
      <c r="N505" s="6">
        <v>136.35</v>
      </c>
      <c r="O505" s="6">
        <v>128.16900000000001</v>
      </c>
      <c r="P505" s="6">
        <v>0</v>
      </c>
      <c r="Q505" s="4" t="s">
        <v>26</v>
      </c>
      <c r="R505" s="4">
        <v>0</v>
      </c>
      <c r="S505" s="4" t="s">
        <v>151</v>
      </c>
      <c r="T505" s="4" t="s">
        <v>404</v>
      </c>
      <c r="U505" s="4">
        <v>0</v>
      </c>
      <c r="V505" s="4">
        <v>8</v>
      </c>
      <c r="W505" s="4">
        <v>49</v>
      </c>
    </row>
    <row r="506" spans="1:23" ht="11.25" customHeight="1" x14ac:dyDescent="0.25">
      <c r="A506" s="4" t="s">
        <v>21</v>
      </c>
      <c r="B506" s="4" t="s">
        <v>39</v>
      </c>
      <c r="C506" s="4" t="s">
        <v>40</v>
      </c>
      <c r="D506" s="4" t="s">
        <v>49</v>
      </c>
      <c r="E506" s="4" t="s">
        <v>50</v>
      </c>
      <c r="F506" s="4" t="s">
        <v>25</v>
      </c>
      <c r="G506" s="4" t="s">
        <v>25</v>
      </c>
      <c r="H506" s="4" t="s">
        <v>35</v>
      </c>
      <c r="I506" s="5">
        <v>44621</v>
      </c>
      <c r="J506" s="6">
        <v>0</v>
      </c>
      <c r="K506" s="6">
        <v>0</v>
      </c>
      <c r="L506" s="6">
        <v>141.87299999999999</v>
      </c>
      <c r="M506" s="6">
        <v>133.36062000000001</v>
      </c>
      <c r="N506" s="6">
        <v>141.87299999999999</v>
      </c>
      <c r="O506" s="6">
        <v>133.36062000000001</v>
      </c>
      <c r="P506" s="6">
        <v>0</v>
      </c>
      <c r="Q506" s="4" t="s">
        <v>26</v>
      </c>
      <c r="R506" s="4">
        <v>0</v>
      </c>
      <c r="S506" s="4" t="s">
        <v>152</v>
      </c>
      <c r="T506" s="4" t="s">
        <v>405</v>
      </c>
      <c r="U506" s="4">
        <v>0</v>
      </c>
      <c r="V506" s="4">
        <v>8</v>
      </c>
      <c r="W506" s="4">
        <v>49</v>
      </c>
    </row>
    <row r="507" spans="1:23" ht="11.25" customHeight="1" x14ac:dyDescent="0.25">
      <c r="A507" s="4" t="s">
        <v>21</v>
      </c>
      <c r="B507" s="4" t="s">
        <v>39</v>
      </c>
      <c r="C507" s="4" t="s">
        <v>40</v>
      </c>
      <c r="D507" s="4" t="s">
        <v>49</v>
      </c>
      <c r="E507" s="4" t="s">
        <v>50</v>
      </c>
      <c r="F507" s="4" t="s">
        <v>25</v>
      </c>
      <c r="G507" s="4" t="s">
        <v>25</v>
      </c>
      <c r="H507" s="4" t="s">
        <v>35</v>
      </c>
      <c r="I507" s="5">
        <v>44652</v>
      </c>
      <c r="J507" s="6">
        <v>0</v>
      </c>
      <c r="K507" s="6">
        <v>0</v>
      </c>
      <c r="L507" s="6">
        <v>138.80799999999999</v>
      </c>
      <c r="M507" s="6">
        <v>130.47952000000001</v>
      </c>
      <c r="N507" s="6">
        <v>138.80799999999999</v>
      </c>
      <c r="O507" s="6">
        <v>130.47952000000001</v>
      </c>
      <c r="P507" s="6">
        <v>0</v>
      </c>
      <c r="Q507" s="4" t="s">
        <v>26</v>
      </c>
      <c r="R507" s="4">
        <v>0</v>
      </c>
      <c r="S507" s="4" t="s">
        <v>153</v>
      </c>
      <c r="T507" s="4" t="s">
        <v>406</v>
      </c>
      <c r="U507" s="4">
        <v>0</v>
      </c>
      <c r="V507" s="4">
        <v>8</v>
      </c>
      <c r="W507" s="4">
        <v>49</v>
      </c>
    </row>
    <row r="508" spans="1:23" ht="11.25" customHeight="1" x14ac:dyDescent="0.25">
      <c r="A508" s="4" t="s">
        <v>21</v>
      </c>
      <c r="B508" s="4" t="s">
        <v>39</v>
      </c>
      <c r="C508" s="4" t="s">
        <v>40</v>
      </c>
      <c r="D508" s="4" t="s">
        <v>49</v>
      </c>
      <c r="E508" s="4" t="s">
        <v>50</v>
      </c>
      <c r="F508" s="4" t="s">
        <v>25</v>
      </c>
      <c r="G508" s="4" t="s">
        <v>25</v>
      </c>
      <c r="H508" s="4" t="s">
        <v>35</v>
      </c>
      <c r="I508" s="5">
        <v>44682</v>
      </c>
      <c r="J508" s="6">
        <v>0</v>
      </c>
      <c r="K508" s="6">
        <v>0</v>
      </c>
      <c r="L508" s="6">
        <v>134.70400000000001</v>
      </c>
      <c r="M508" s="6">
        <v>126.62175999999999</v>
      </c>
      <c r="N508" s="6">
        <v>134.70400000000001</v>
      </c>
      <c r="O508" s="6">
        <v>126.62175999999999</v>
      </c>
      <c r="P508" s="6">
        <v>0</v>
      </c>
      <c r="Q508" s="4" t="s">
        <v>26</v>
      </c>
      <c r="R508" s="4">
        <v>0</v>
      </c>
      <c r="S508" s="4" t="s">
        <v>154</v>
      </c>
      <c r="T508" s="4" t="s">
        <v>407</v>
      </c>
      <c r="U508" s="4">
        <v>0</v>
      </c>
      <c r="V508" s="4">
        <v>8</v>
      </c>
      <c r="W508" s="4">
        <v>49</v>
      </c>
    </row>
    <row r="509" spans="1:23" ht="11.25" customHeight="1" x14ac:dyDescent="0.25">
      <c r="A509" s="4" t="s">
        <v>21</v>
      </c>
      <c r="B509" s="4" t="s">
        <v>39</v>
      </c>
      <c r="C509" s="4" t="s">
        <v>40</v>
      </c>
      <c r="D509" s="4" t="s">
        <v>49</v>
      </c>
      <c r="E509" s="4" t="s">
        <v>50</v>
      </c>
      <c r="F509" s="4" t="s">
        <v>25</v>
      </c>
      <c r="G509" s="4" t="s">
        <v>25</v>
      </c>
      <c r="H509" s="4" t="s">
        <v>35</v>
      </c>
      <c r="I509" s="5">
        <v>44713</v>
      </c>
      <c r="J509" s="6">
        <v>0</v>
      </c>
      <c r="K509" s="6">
        <v>0</v>
      </c>
      <c r="L509" s="6">
        <v>123.182</v>
      </c>
      <c r="M509" s="6">
        <v>115.79107999999999</v>
      </c>
      <c r="N509" s="6">
        <v>123.182</v>
      </c>
      <c r="O509" s="6">
        <v>115.79107999999999</v>
      </c>
      <c r="P509" s="6">
        <v>0</v>
      </c>
      <c r="Q509" s="4" t="s">
        <v>26</v>
      </c>
      <c r="R509" s="4">
        <v>0</v>
      </c>
      <c r="S509" s="4" t="s">
        <v>155</v>
      </c>
      <c r="T509" s="4" t="s">
        <v>408</v>
      </c>
      <c r="U509" s="4">
        <v>0</v>
      </c>
      <c r="V509" s="4">
        <v>8</v>
      </c>
      <c r="W509" s="4">
        <v>49</v>
      </c>
    </row>
    <row r="510" spans="1:23" ht="11.25" customHeight="1" x14ac:dyDescent="0.25">
      <c r="A510" s="4" t="s">
        <v>21</v>
      </c>
      <c r="B510" s="4" t="s">
        <v>39</v>
      </c>
      <c r="C510" s="4" t="s">
        <v>40</v>
      </c>
      <c r="D510" s="4" t="s">
        <v>49</v>
      </c>
      <c r="E510" s="4" t="s">
        <v>50</v>
      </c>
      <c r="F510" s="4" t="s">
        <v>25</v>
      </c>
      <c r="G510" s="4" t="s">
        <v>25</v>
      </c>
      <c r="H510" s="4" t="s">
        <v>35</v>
      </c>
      <c r="I510" s="5">
        <v>44743</v>
      </c>
      <c r="J510" s="6">
        <v>0</v>
      </c>
      <c r="K510" s="6">
        <v>0</v>
      </c>
      <c r="L510" s="6">
        <v>125.96</v>
      </c>
      <c r="M510" s="6">
        <v>118.4024</v>
      </c>
      <c r="N510" s="6">
        <v>125.96</v>
      </c>
      <c r="O510" s="6">
        <v>118.4024</v>
      </c>
      <c r="P510" s="6">
        <v>0</v>
      </c>
      <c r="Q510" s="4" t="s">
        <v>26</v>
      </c>
      <c r="R510" s="4">
        <v>0</v>
      </c>
      <c r="S510" s="4" t="s">
        <v>156</v>
      </c>
      <c r="T510" s="4" t="s">
        <v>409</v>
      </c>
      <c r="U510" s="4">
        <v>0</v>
      </c>
      <c r="V510" s="4">
        <v>8</v>
      </c>
      <c r="W510" s="4">
        <v>49</v>
      </c>
    </row>
    <row r="511" spans="1:23" ht="11.25" customHeight="1" x14ac:dyDescent="0.25">
      <c r="A511" s="4" t="s">
        <v>56</v>
      </c>
      <c r="B511" s="4" t="s">
        <v>39</v>
      </c>
      <c r="C511" s="4" t="s">
        <v>40</v>
      </c>
      <c r="D511" s="4" t="s">
        <v>49</v>
      </c>
      <c r="E511" s="4" t="s">
        <v>50</v>
      </c>
      <c r="F511" s="4" t="s">
        <v>25</v>
      </c>
      <c r="G511" s="4" t="s">
        <v>25</v>
      </c>
      <c r="H511" s="4" t="s">
        <v>35</v>
      </c>
      <c r="I511" s="5">
        <v>44774</v>
      </c>
      <c r="J511" s="6">
        <v>0</v>
      </c>
      <c r="K511" s="6">
        <v>0</v>
      </c>
      <c r="L511" s="6">
        <v>125.96</v>
      </c>
      <c r="M511" s="6">
        <v>118.4024</v>
      </c>
      <c r="N511" s="6">
        <v>125.96</v>
      </c>
      <c r="O511" s="6">
        <v>118.4024</v>
      </c>
      <c r="P511" s="6">
        <v>0</v>
      </c>
      <c r="Q511" s="4" t="s">
        <v>26</v>
      </c>
      <c r="R511" s="4">
        <v>0</v>
      </c>
      <c r="S511" s="4" t="s">
        <v>157</v>
      </c>
      <c r="T511" s="4" t="s">
        <v>410</v>
      </c>
      <c r="U511" s="4">
        <v>0</v>
      </c>
      <c r="V511" s="4">
        <v>8</v>
      </c>
      <c r="W511" s="4">
        <v>49</v>
      </c>
    </row>
    <row r="512" spans="1:23" ht="11.25" customHeight="1" x14ac:dyDescent="0.25">
      <c r="A512" s="4" t="s">
        <v>21</v>
      </c>
      <c r="B512" s="4" t="s">
        <v>39</v>
      </c>
      <c r="C512" s="4" t="s">
        <v>40</v>
      </c>
      <c r="D512" s="4" t="s">
        <v>49</v>
      </c>
      <c r="E512" s="4" t="s">
        <v>50</v>
      </c>
      <c r="F512" s="4" t="s">
        <v>25</v>
      </c>
      <c r="G512" s="4" t="s">
        <v>25</v>
      </c>
      <c r="H512" s="4" t="s">
        <v>25</v>
      </c>
      <c r="I512" s="5">
        <v>44440</v>
      </c>
      <c r="J512" s="6">
        <v>536</v>
      </c>
      <c r="K512" s="6">
        <v>503.84</v>
      </c>
      <c r="L512" s="6">
        <v>0</v>
      </c>
      <c r="M512" s="6">
        <v>0</v>
      </c>
      <c r="N512" s="6">
        <v>0</v>
      </c>
      <c r="O512" s="6">
        <v>0</v>
      </c>
      <c r="P512" s="6">
        <v>12</v>
      </c>
      <c r="Q512" s="4" t="s">
        <v>26</v>
      </c>
      <c r="R512" s="4">
        <v>0</v>
      </c>
      <c r="S512" s="4" t="s">
        <v>158</v>
      </c>
      <c r="U512" s="4">
        <v>6</v>
      </c>
      <c r="V512" s="4">
        <v>0</v>
      </c>
      <c r="W512" s="4">
        <v>0</v>
      </c>
    </row>
    <row r="513" spans="1:23" ht="11.25" customHeight="1" x14ac:dyDescent="0.25">
      <c r="A513" s="4" t="s">
        <v>21</v>
      </c>
      <c r="B513" s="4" t="s">
        <v>39</v>
      </c>
      <c r="C513" s="4" t="s">
        <v>40</v>
      </c>
      <c r="D513" s="4" t="s">
        <v>49</v>
      </c>
      <c r="E513" s="4" t="s">
        <v>50</v>
      </c>
      <c r="F513" s="4" t="s">
        <v>25</v>
      </c>
      <c r="G513" s="4" t="s">
        <v>25</v>
      </c>
      <c r="H513" s="4" t="s">
        <v>25</v>
      </c>
      <c r="I513" s="5">
        <v>44470</v>
      </c>
      <c r="J513" s="6">
        <v>537</v>
      </c>
      <c r="K513" s="6">
        <v>504.78</v>
      </c>
      <c r="L513" s="6">
        <v>0</v>
      </c>
      <c r="M513" s="6">
        <v>0</v>
      </c>
      <c r="N513" s="6">
        <v>0</v>
      </c>
      <c r="O513" s="6">
        <v>0</v>
      </c>
      <c r="P513" s="6">
        <v>12</v>
      </c>
      <c r="Q513" s="4" t="s">
        <v>26</v>
      </c>
      <c r="R513" s="4">
        <v>0</v>
      </c>
      <c r="S513" s="4" t="s">
        <v>159</v>
      </c>
      <c r="U513" s="4">
        <v>6</v>
      </c>
      <c r="V513" s="4">
        <v>0</v>
      </c>
      <c r="W513" s="4">
        <v>0</v>
      </c>
    </row>
    <row r="514" spans="1:23" ht="11.25" customHeight="1" x14ac:dyDescent="0.25">
      <c r="A514" s="4" t="s">
        <v>21</v>
      </c>
      <c r="B514" s="4" t="s">
        <v>39</v>
      </c>
      <c r="C514" s="4" t="s">
        <v>40</v>
      </c>
      <c r="D514" s="4" t="s">
        <v>49</v>
      </c>
      <c r="E514" s="4" t="s">
        <v>50</v>
      </c>
      <c r="F514" s="4" t="s">
        <v>25</v>
      </c>
      <c r="G514" s="4" t="s">
        <v>25</v>
      </c>
      <c r="H514" s="4" t="s">
        <v>25</v>
      </c>
      <c r="I514" s="5">
        <v>44501</v>
      </c>
      <c r="J514" s="6">
        <v>591</v>
      </c>
      <c r="K514" s="6">
        <v>555.54</v>
      </c>
      <c r="L514" s="6">
        <v>0</v>
      </c>
      <c r="M514" s="6">
        <v>0</v>
      </c>
      <c r="N514" s="6">
        <v>0</v>
      </c>
      <c r="O514" s="6">
        <v>0</v>
      </c>
      <c r="P514" s="6">
        <v>13</v>
      </c>
      <c r="Q514" s="4" t="s">
        <v>26</v>
      </c>
      <c r="R514" s="4">
        <v>0</v>
      </c>
      <c r="S514" s="4" t="s">
        <v>160</v>
      </c>
      <c r="U514" s="4">
        <v>6</v>
      </c>
      <c r="V514" s="4">
        <v>0</v>
      </c>
      <c r="W514" s="4">
        <v>0</v>
      </c>
    </row>
    <row r="515" spans="1:23" ht="11.25" customHeight="1" x14ac:dyDescent="0.25">
      <c r="A515" s="4" t="s">
        <v>27</v>
      </c>
      <c r="B515" s="4" t="s">
        <v>39</v>
      </c>
      <c r="C515" s="4" t="s">
        <v>40</v>
      </c>
      <c r="D515" s="4" t="s">
        <v>49</v>
      </c>
      <c r="E515" s="4" t="s">
        <v>50</v>
      </c>
      <c r="F515" s="4" t="s">
        <v>25</v>
      </c>
      <c r="G515" s="4" t="s">
        <v>25</v>
      </c>
      <c r="H515" s="4" t="s">
        <v>25</v>
      </c>
      <c r="I515" s="5">
        <v>44501</v>
      </c>
      <c r="J515" s="6">
        <v>57</v>
      </c>
      <c r="K515" s="6">
        <v>53.58</v>
      </c>
      <c r="L515" s="6">
        <v>0</v>
      </c>
      <c r="M515" s="6">
        <v>0</v>
      </c>
      <c r="N515" s="6">
        <v>0</v>
      </c>
      <c r="O515" s="6">
        <v>0</v>
      </c>
      <c r="P515" s="6">
        <v>1</v>
      </c>
      <c r="Q515" s="4" t="s">
        <v>26</v>
      </c>
      <c r="R515" s="4">
        <v>0</v>
      </c>
      <c r="S515" s="4" t="s">
        <v>160</v>
      </c>
      <c r="U515" s="4">
        <v>6</v>
      </c>
      <c r="V515" s="4">
        <v>0</v>
      </c>
      <c r="W515" s="4">
        <v>0</v>
      </c>
    </row>
    <row r="516" spans="1:23" ht="11.25" customHeight="1" x14ac:dyDescent="0.25">
      <c r="A516" s="4" t="s">
        <v>21</v>
      </c>
      <c r="B516" s="4" t="s">
        <v>39</v>
      </c>
      <c r="C516" s="4" t="s">
        <v>40</v>
      </c>
      <c r="D516" s="4" t="s">
        <v>49</v>
      </c>
      <c r="E516" s="4" t="s">
        <v>50</v>
      </c>
      <c r="F516" s="4" t="s">
        <v>25</v>
      </c>
      <c r="G516" s="4" t="s">
        <v>25</v>
      </c>
      <c r="H516" s="4" t="s">
        <v>25</v>
      </c>
      <c r="I516" s="5">
        <v>44531</v>
      </c>
      <c r="J516" s="6">
        <v>601</v>
      </c>
      <c r="K516" s="6">
        <v>564.94000000000005</v>
      </c>
      <c r="L516" s="6">
        <v>0</v>
      </c>
      <c r="M516" s="6">
        <v>0</v>
      </c>
      <c r="N516" s="6">
        <v>0</v>
      </c>
      <c r="O516" s="6">
        <v>0</v>
      </c>
      <c r="P516" s="6">
        <v>13</v>
      </c>
      <c r="Q516" s="4" t="s">
        <v>26</v>
      </c>
      <c r="R516" s="4">
        <v>0</v>
      </c>
      <c r="S516" s="4" t="s">
        <v>161</v>
      </c>
      <c r="U516" s="4">
        <v>6</v>
      </c>
      <c r="V516" s="4">
        <v>0</v>
      </c>
      <c r="W516" s="4">
        <v>0</v>
      </c>
    </row>
    <row r="517" spans="1:23" ht="11.25" customHeight="1" x14ac:dyDescent="0.25">
      <c r="A517" s="4" t="s">
        <v>21</v>
      </c>
      <c r="B517" s="4" t="s">
        <v>39</v>
      </c>
      <c r="C517" s="4" t="s">
        <v>40</v>
      </c>
      <c r="D517" s="4" t="s">
        <v>49</v>
      </c>
      <c r="E517" s="4" t="s">
        <v>50</v>
      </c>
      <c r="F517" s="4" t="s">
        <v>25</v>
      </c>
      <c r="G517" s="4" t="s">
        <v>25</v>
      </c>
      <c r="H517" s="4" t="s">
        <v>25</v>
      </c>
      <c r="I517" s="5">
        <v>44562</v>
      </c>
      <c r="J517" s="6">
        <v>591</v>
      </c>
      <c r="K517" s="6">
        <v>555.54</v>
      </c>
      <c r="L517" s="6">
        <v>0</v>
      </c>
      <c r="M517" s="6">
        <v>0</v>
      </c>
      <c r="N517" s="6">
        <v>0</v>
      </c>
      <c r="O517" s="6">
        <v>0</v>
      </c>
      <c r="P517" s="6">
        <v>13</v>
      </c>
      <c r="Q517" s="4" t="s">
        <v>26</v>
      </c>
      <c r="R517" s="4">
        <v>0</v>
      </c>
      <c r="S517" s="4" t="s">
        <v>162</v>
      </c>
      <c r="U517" s="4">
        <v>6</v>
      </c>
      <c r="V517" s="4">
        <v>0</v>
      </c>
      <c r="W517" s="4">
        <v>0</v>
      </c>
    </row>
    <row r="518" spans="1:23" ht="11.25" customHeight="1" x14ac:dyDescent="0.25">
      <c r="A518" s="4" t="s">
        <v>21</v>
      </c>
      <c r="B518" s="4" t="s">
        <v>39</v>
      </c>
      <c r="C518" s="4" t="s">
        <v>40</v>
      </c>
      <c r="D518" s="4" t="s">
        <v>49</v>
      </c>
      <c r="E518" s="4" t="s">
        <v>50</v>
      </c>
      <c r="F518" s="4" t="s">
        <v>25</v>
      </c>
      <c r="G518" s="4" t="s">
        <v>25</v>
      </c>
      <c r="H518" s="4" t="s">
        <v>25</v>
      </c>
      <c r="I518" s="5">
        <v>44593</v>
      </c>
      <c r="J518" s="6">
        <v>595</v>
      </c>
      <c r="K518" s="6">
        <v>559.29999999999995</v>
      </c>
      <c r="L518" s="6">
        <v>0</v>
      </c>
      <c r="M518" s="6">
        <v>0</v>
      </c>
      <c r="N518" s="6">
        <v>0</v>
      </c>
      <c r="O518" s="6">
        <v>0</v>
      </c>
      <c r="P518" s="6">
        <v>13</v>
      </c>
      <c r="Q518" s="4" t="s">
        <v>26</v>
      </c>
      <c r="R518" s="4">
        <v>0</v>
      </c>
      <c r="S518" s="4" t="s">
        <v>163</v>
      </c>
      <c r="U518" s="4">
        <v>6</v>
      </c>
      <c r="V518" s="4">
        <v>0</v>
      </c>
      <c r="W518" s="4">
        <v>0</v>
      </c>
    </row>
    <row r="519" spans="1:23" ht="11.25" customHeight="1" x14ac:dyDescent="0.25">
      <c r="A519" s="4" t="s">
        <v>21</v>
      </c>
      <c r="B519" s="4" t="s">
        <v>39</v>
      </c>
      <c r="C519" s="4" t="s">
        <v>40</v>
      </c>
      <c r="D519" s="4" t="s">
        <v>49</v>
      </c>
      <c r="E519" s="4" t="s">
        <v>50</v>
      </c>
      <c r="F519" s="4" t="s">
        <v>25</v>
      </c>
      <c r="G519" s="4" t="s">
        <v>25</v>
      </c>
      <c r="H519" s="4" t="s">
        <v>25</v>
      </c>
      <c r="I519" s="5">
        <v>44621</v>
      </c>
      <c r="J519" s="6">
        <v>593</v>
      </c>
      <c r="K519" s="6">
        <v>557.41999999999996</v>
      </c>
      <c r="L519" s="6">
        <v>0</v>
      </c>
      <c r="M519" s="6">
        <v>0</v>
      </c>
      <c r="N519" s="6">
        <v>0</v>
      </c>
      <c r="O519" s="6">
        <v>0</v>
      </c>
      <c r="P519" s="6">
        <v>13</v>
      </c>
      <c r="Q519" s="4" t="s">
        <v>26</v>
      </c>
      <c r="R519" s="4">
        <v>0</v>
      </c>
      <c r="S519" s="4" t="s">
        <v>164</v>
      </c>
      <c r="U519" s="4">
        <v>6</v>
      </c>
      <c r="V519" s="4">
        <v>0</v>
      </c>
      <c r="W519" s="4">
        <v>0</v>
      </c>
    </row>
    <row r="520" spans="1:23" ht="11.25" customHeight="1" x14ac:dyDescent="0.25">
      <c r="A520" s="4" t="s">
        <v>21</v>
      </c>
      <c r="B520" s="4" t="s">
        <v>39</v>
      </c>
      <c r="C520" s="4" t="s">
        <v>40</v>
      </c>
      <c r="D520" s="4" t="s">
        <v>49</v>
      </c>
      <c r="E520" s="4" t="s">
        <v>50</v>
      </c>
      <c r="F520" s="4" t="s">
        <v>25</v>
      </c>
      <c r="G520" s="4" t="s">
        <v>25</v>
      </c>
      <c r="H520" s="4" t="s">
        <v>25</v>
      </c>
      <c r="I520" s="5">
        <v>44652</v>
      </c>
      <c r="J520" s="6">
        <v>592</v>
      </c>
      <c r="K520" s="6">
        <v>556.48</v>
      </c>
      <c r="L520" s="6">
        <v>0</v>
      </c>
      <c r="M520" s="6">
        <v>0</v>
      </c>
      <c r="N520" s="6">
        <v>0</v>
      </c>
      <c r="O520" s="6">
        <v>0</v>
      </c>
      <c r="P520" s="6">
        <v>13</v>
      </c>
      <c r="Q520" s="4" t="s">
        <v>26</v>
      </c>
      <c r="R520" s="4">
        <v>0</v>
      </c>
      <c r="S520" s="4" t="s">
        <v>165</v>
      </c>
      <c r="U520" s="4">
        <v>6</v>
      </c>
      <c r="V520" s="4">
        <v>0</v>
      </c>
      <c r="W520" s="4">
        <v>0</v>
      </c>
    </row>
    <row r="521" spans="1:23" ht="11.25" customHeight="1" x14ac:dyDescent="0.25">
      <c r="A521" s="4" t="s">
        <v>21</v>
      </c>
      <c r="B521" s="4" t="s">
        <v>39</v>
      </c>
      <c r="C521" s="4" t="s">
        <v>40</v>
      </c>
      <c r="D521" s="4" t="s">
        <v>49</v>
      </c>
      <c r="E521" s="4" t="s">
        <v>50</v>
      </c>
      <c r="F521" s="4" t="s">
        <v>25</v>
      </c>
      <c r="G521" s="4" t="s">
        <v>25</v>
      </c>
      <c r="H521" s="4" t="s">
        <v>25</v>
      </c>
      <c r="I521" s="5">
        <v>44682</v>
      </c>
      <c r="J521" s="6">
        <v>591</v>
      </c>
      <c r="K521" s="6">
        <v>555.54</v>
      </c>
      <c r="L521" s="6">
        <v>0</v>
      </c>
      <c r="M521" s="6">
        <v>0</v>
      </c>
      <c r="N521" s="6">
        <v>0</v>
      </c>
      <c r="O521" s="6">
        <v>0</v>
      </c>
      <c r="P521" s="6">
        <v>13</v>
      </c>
      <c r="Q521" s="4" t="s">
        <v>26</v>
      </c>
      <c r="R521" s="4">
        <v>0</v>
      </c>
      <c r="S521" s="4" t="s">
        <v>166</v>
      </c>
      <c r="U521" s="4">
        <v>6</v>
      </c>
      <c r="V521" s="4">
        <v>0</v>
      </c>
      <c r="W521" s="4">
        <v>0</v>
      </c>
    </row>
    <row r="522" spans="1:23" ht="11.25" customHeight="1" x14ac:dyDescent="0.25">
      <c r="A522" s="4" t="s">
        <v>21</v>
      </c>
      <c r="B522" s="4" t="s">
        <v>39</v>
      </c>
      <c r="C522" s="4" t="s">
        <v>40</v>
      </c>
      <c r="D522" s="4" t="s">
        <v>49</v>
      </c>
      <c r="E522" s="4" t="s">
        <v>50</v>
      </c>
      <c r="F522" s="4" t="s">
        <v>25</v>
      </c>
      <c r="G522" s="4" t="s">
        <v>25</v>
      </c>
      <c r="H522" s="4" t="s">
        <v>25</v>
      </c>
      <c r="I522" s="5">
        <v>44713</v>
      </c>
      <c r="J522" s="6">
        <v>597</v>
      </c>
      <c r="K522" s="6">
        <v>561.17999999999995</v>
      </c>
      <c r="L522" s="6">
        <v>0</v>
      </c>
      <c r="M522" s="6">
        <v>0</v>
      </c>
      <c r="N522" s="6">
        <v>0</v>
      </c>
      <c r="O522" s="6">
        <v>0</v>
      </c>
      <c r="P522" s="6">
        <v>13</v>
      </c>
      <c r="Q522" s="4" t="s">
        <v>26</v>
      </c>
      <c r="R522" s="4">
        <v>0</v>
      </c>
      <c r="S522" s="4" t="s">
        <v>167</v>
      </c>
      <c r="U522" s="4">
        <v>6</v>
      </c>
      <c r="V522" s="4">
        <v>0</v>
      </c>
      <c r="W522" s="4">
        <v>0</v>
      </c>
    </row>
    <row r="523" spans="1:23" ht="11.25" customHeight="1" x14ac:dyDescent="0.25">
      <c r="A523" s="4" t="s">
        <v>21</v>
      </c>
      <c r="B523" s="4" t="s">
        <v>39</v>
      </c>
      <c r="C523" s="4" t="s">
        <v>40</v>
      </c>
      <c r="D523" s="4" t="s">
        <v>49</v>
      </c>
      <c r="E523" s="4" t="s">
        <v>50</v>
      </c>
      <c r="F523" s="4" t="s">
        <v>25</v>
      </c>
      <c r="G523" s="4" t="s">
        <v>25</v>
      </c>
      <c r="H523" s="4" t="s">
        <v>25</v>
      </c>
      <c r="I523" s="5">
        <v>44743</v>
      </c>
      <c r="J523" s="6">
        <v>588</v>
      </c>
      <c r="K523" s="6">
        <v>552.72</v>
      </c>
      <c r="L523" s="6">
        <v>0</v>
      </c>
      <c r="M523" s="6">
        <v>0</v>
      </c>
      <c r="N523" s="6">
        <v>0</v>
      </c>
      <c r="O523" s="6">
        <v>0</v>
      </c>
      <c r="P523" s="6">
        <v>13</v>
      </c>
      <c r="Q523" s="4" t="s">
        <v>26</v>
      </c>
      <c r="R523" s="4">
        <v>0</v>
      </c>
      <c r="S523" s="4" t="s">
        <v>168</v>
      </c>
      <c r="U523" s="4">
        <v>6</v>
      </c>
      <c r="V523" s="4">
        <v>0</v>
      </c>
      <c r="W523" s="4">
        <v>0</v>
      </c>
    </row>
    <row r="524" spans="1:23" ht="11.25" customHeight="1" x14ac:dyDescent="0.25">
      <c r="A524" s="4" t="s">
        <v>56</v>
      </c>
      <c r="B524" s="4" t="s">
        <v>39</v>
      </c>
      <c r="C524" s="4" t="s">
        <v>40</v>
      </c>
      <c r="D524" s="4" t="s">
        <v>49</v>
      </c>
      <c r="E524" s="4" t="s">
        <v>50</v>
      </c>
      <c r="F524" s="4" t="s">
        <v>25</v>
      </c>
      <c r="G524" s="4" t="s">
        <v>25</v>
      </c>
      <c r="H524" s="4" t="s">
        <v>25</v>
      </c>
      <c r="I524" s="5">
        <v>44774</v>
      </c>
      <c r="J524" s="6">
        <v>588</v>
      </c>
      <c r="K524" s="6">
        <v>552.72</v>
      </c>
      <c r="L524" s="6">
        <v>0</v>
      </c>
      <c r="M524" s="6">
        <v>0</v>
      </c>
      <c r="N524" s="6">
        <v>0</v>
      </c>
      <c r="O524" s="6">
        <v>0</v>
      </c>
      <c r="P524" s="6">
        <v>13</v>
      </c>
      <c r="Q524" s="4" t="s">
        <v>26</v>
      </c>
      <c r="R524" s="4">
        <v>0</v>
      </c>
      <c r="S524" s="4" t="s">
        <v>169</v>
      </c>
      <c r="U524" s="4">
        <v>6</v>
      </c>
      <c r="V524" s="4">
        <v>0</v>
      </c>
      <c r="W524" s="4">
        <v>0</v>
      </c>
    </row>
    <row r="525" spans="1:23" ht="11.25" customHeight="1" x14ac:dyDescent="0.25">
      <c r="A525" s="4" t="s">
        <v>21</v>
      </c>
      <c r="B525" s="4" t="s">
        <v>39</v>
      </c>
      <c r="C525" s="4" t="s">
        <v>40</v>
      </c>
      <c r="D525" s="4" t="s">
        <v>49</v>
      </c>
      <c r="E525" s="4" t="s">
        <v>50</v>
      </c>
      <c r="F525" s="4" t="s">
        <v>25</v>
      </c>
      <c r="G525" s="4" t="s">
        <v>25</v>
      </c>
      <c r="H525" s="4" t="s">
        <v>34</v>
      </c>
      <c r="I525" s="5">
        <v>44440</v>
      </c>
      <c r="J525" s="6">
        <v>0</v>
      </c>
      <c r="K525" s="6">
        <v>0</v>
      </c>
      <c r="L525" s="6">
        <v>15.111000000000001</v>
      </c>
      <c r="M525" s="6">
        <v>14.20434</v>
      </c>
      <c r="N525" s="6">
        <v>15.111000000000001</v>
      </c>
      <c r="O525" s="6">
        <v>14.20434</v>
      </c>
      <c r="P525" s="6">
        <v>0</v>
      </c>
      <c r="Q525" s="4" t="s">
        <v>26</v>
      </c>
      <c r="R525" s="4">
        <v>0</v>
      </c>
      <c r="S525" s="4" t="s">
        <v>170</v>
      </c>
      <c r="T525" s="4" t="s">
        <v>411</v>
      </c>
      <c r="U525" s="4">
        <v>0</v>
      </c>
      <c r="V525" s="4">
        <v>7</v>
      </c>
      <c r="W525" s="4">
        <v>48</v>
      </c>
    </row>
    <row r="526" spans="1:23" ht="11.25" customHeight="1" x14ac:dyDescent="0.25">
      <c r="A526" s="4" t="s">
        <v>21</v>
      </c>
      <c r="B526" s="4" t="s">
        <v>39</v>
      </c>
      <c r="C526" s="4" t="s">
        <v>40</v>
      </c>
      <c r="D526" s="4" t="s">
        <v>49</v>
      </c>
      <c r="E526" s="4" t="s">
        <v>50</v>
      </c>
      <c r="F526" s="4" t="s">
        <v>25</v>
      </c>
      <c r="G526" s="4" t="s">
        <v>25</v>
      </c>
      <c r="H526" s="4" t="s">
        <v>34</v>
      </c>
      <c r="I526" s="5">
        <v>44470</v>
      </c>
      <c r="J526" s="6">
        <v>0</v>
      </c>
      <c r="K526" s="6">
        <v>0</v>
      </c>
      <c r="L526" s="6">
        <v>14.802</v>
      </c>
      <c r="M526" s="6">
        <v>13.913880000000001</v>
      </c>
      <c r="N526" s="6">
        <v>14.802</v>
      </c>
      <c r="O526" s="6">
        <v>13.913880000000001</v>
      </c>
      <c r="P526" s="6">
        <v>0</v>
      </c>
      <c r="Q526" s="4" t="s">
        <v>26</v>
      </c>
      <c r="R526" s="4">
        <v>0</v>
      </c>
      <c r="S526" s="4" t="s">
        <v>171</v>
      </c>
      <c r="T526" s="4" t="s">
        <v>412</v>
      </c>
      <c r="U526" s="4">
        <v>0</v>
      </c>
      <c r="V526" s="4">
        <v>7</v>
      </c>
      <c r="W526" s="4">
        <v>48</v>
      </c>
    </row>
    <row r="527" spans="1:23" ht="11.25" customHeight="1" x14ac:dyDescent="0.25">
      <c r="A527" s="4" t="s">
        <v>21</v>
      </c>
      <c r="B527" s="4" t="s">
        <v>39</v>
      </c>
      <c r="C527" s="4" t="s">
        <v>40</v>
      </c>
      <c r="D527" s="4" t="s">
        <v>49</v>
      </c>
      <c r="E527" s="4" t="s">
        <v>50</v>
      </c>
      <c r="F527" s="4" t="s">
        <v>25</v>
      </c>
      <c r="G527" s="4" t="s">
        <v>25</v>
      </c>
      <c r="H527" s="4" t="s">
        <v>34</v>
      </c>
      <c r="I527" s="5">
        <v>44501</v>
      </c>
      <c r="J527" s="6">
        <v>0</v>
      </c>
      <c r="K527" s="6">
        <v>0</v>
      </c>
      <c r="L527" s="6">
        <v>16.186</v>
      </c>
      <c r="M527" s="6">
        <v>15.214840000000001</v>
      </c>
      <c r="N527" s="6">
        <v>16.186</v>
      </c>
      <c r="O527" s="6">
        <v>15.214840000000001</v>
      </c>
      <c r="P527" s="6">
        <v>0</v>
      </c>
      <c r="Q527" s="4" t="s">
        <v>26</v>
      </c>
      <c r="R527" s="4">
        <v>0</v>
      </c>
      <c r="S527" s="4" t="s">
        <v>172</v>
      </c>
      <c r="T527" s="4" t="s">
        <v>413</v>
      </c>
      <c r="U527" s="4">
        <v>0</v>
      </c>
      <c r="V527" s="4">
        <v>7</v>
      </c>
      <c r="W527" s="4">
        <v>48</v>
      </c>
    </row>
    <row r="528" spans="1:23" ht="11.25" customHeight="1" x14ac:dyDescent="0.25">
      <c r="A528" s="4" t="s">
        <v>27</v>
      </c>
      <c r="B528" s="4" t="s">
        <v>39</v>
      </c>
      <c r="C528" s="4" t="s">
        <v>40</v>
      </c>
      <c r="D528" s="4" t="s">
        <v>49</v>
      </c>
      <c r="E528" s="4" t="s">
        <v>50</v>
      </c>
      <c r="F528" s="4" t="s">
        <v>25</v>
      </c>
      <c r="G528" s="4" t="s">
        <v>25</v>
      </c>
      <c r="H528" s="4" t="s">
        <v>34</v>
      </c>
      <c r="I528" s="5">
        <v>44501</v>
      </c>
      <c r="J528" s="6">
        <v>0</v>
      </c>
      <c r="K528" s="6">
        <v>0</v>
      </c>
      <c r="L528" s="6">
        <v>3.3559999999999999</v>
      </c>
      <c r="M528" s="6">
        <v>3.1546400000000001</v>
      </c>
      <c r="N528" s="6">
        <v>3.3559999999999999</v>
      </c>
      <c r="O528" s="6">
        <v>3.1546400000000001</v>
      </c>
      <c r="P528" s="6">
        <v>0</v>
      </c>
      <c r="Q528" s="4" t="s">
        <v>26</v>
      </c>
      <c r="R528" s="4">
        <v>0</v>
      </c>
      <c r="S528" s="4" t="s">
        <v>172</v>
      </c>
      <c r="T528" s="4" t="s">
        <v>413</v>
      </c>
      <c r="U528" s="4">
        <v>0</v>
      </c>
      <c r="V528" s="4">
        <v>7</v>
      </c>
      <c r="W528" s="4">
        <v>48</v>
      </c>
    </row>
    <row r="529" spans="1:23" ht="11.25" customHeight="1" x14ac:dyDescent="0.25">
      <c r="A529" s="4" t="s">
        <v>21</v>
      </c>
      <c r="B529" s="4" t="s">
        <v>39</v>
      </c>
      <c r="C529" s="4" t="s">
        <v>40</v>
      </c>
      <c r="D529" s="4" t="s">
        <v>49</v>
      </c>
      <c r="E529" s="4" t="s">
        <v>50</v>
      </c>
      <c r="F529" s="4" t="s">
        <v>25</v>
      </c>
      <c r="G529" s="4" t="s">
        <v>25</v>
      </c>
      <c r="H529" s="4" t="s">
        <v>34</v>
      </c>
      <c r="I529" s="5">
        <v>44531</v>
      </c>
      <c r="J529" s="6">
        <v>0</v>
      </c>
      <c r="K529" s="6">
        <v>0</v>
      </c>
      <c r="L529" s="6">
        <v>18.338999999999999</v>
      </c>
      <c r="M529" s="6">
        <v>17.238659999999999</v>
      </c>
      <c r="N529" s="6">
        <v>18.338999999999999</v>
      </c>
      <c r="O529" s="6">
        <v>17.238659999999999</v>
      </c>
      <c r="P529" s="6">
        <v>0</v>
      </c>
      <c r="Q529" s="4" t="s">
        <v>26</v>
      </c>
      <c r="R529" s="4">
        <v>0</v>
      </c>
      <c r="S529" s="4" t="s">
        <v>173</v>
      </c>
      <c r="T529" s="4" t="s">
        <v>414</v>
      </c>
      <c r="U529" s="4">
        <v>0</v>
      </c>
      <c r="V529" s="4">
        <v>7</v>
      </c>
      <c r="W529" s="4">
        <v>48</v>
      </c>
    </row>
    <row r="530" spans="1:23" ht="11.25" customHeight="1" x14ac:dyDescent="0.25">
      <c r="A530" s="4" t="s">
        <v>21</v>
      </c>
      <c r="B530" s="4" t="s">
        <v>39</v>
      </c>
      <c r="C530" s="4" t="s">
        <v>40</v>
      </c>
      <c r="D530" s="4" t="s">
        <v>49</v>
      </c>
      <c r="E530" s="4" t="s">
        <v>50</v>
      </c>
      <c r="F530" s="4" t="s">
        <v>25</v>
      </c>
      <c r="G530" s="4" t="s">
        <v>25</v>
      </c>
      <c r="H530" s="4" t="s">
        <v>34</v>
      </c>
      <c r="I530" s="5">
        <v>44562</v>
      </c>
      <c r="J530" s="6">
        <v>0</v>
      </c>
      <c r="K530" s="6">
        <v>0</v>
      </c>
      <c r="L530" s="6">
        <v>18.408000000000001</v>
      </c>
      <c r="M530" s="6">
        <v>17.303519999999999</v>
      </c>
      <c r="N530" s="6">
        <v>18.408000000000001</v>
      </c>
      <c r="O530" s="6">
        <v>17.303519999999999</v>
      </c>
      <c r="P530" s="6">
        <v>0</v>
      </c>
      <c r="Q530" s="4" t="s">
        <v>26</v>
      </c>
      <c r="R530" s="4">
        <v>0</v>
      </c>
      <c r="S530" s="4" t="s">
        <v>174</v>
      </c>
      <c r="T530" s="4" t="s">
        <v>415</v>
      </c>
      <c r="U530" s="4">
        <v>0</v>
      </c>
      <c r="V530" s="4">
        <v>7</v>
      </c>
      <c r="W530" s="4">
        <v>48</v>
      </c>
    </row>
    <row r="531" spans="1:23" ht="11.25" customHeight="1" x14ac:dyDescent="0.25">
      <c r="A531" s="4" t="s">
        <v>21</v>
      </c>
      <c r="B531" s="4" t="s">
        <v>39</v>
      </c>
      <c r="C531" s="4" t="s">
        <v>40</v>
      </c>
      <c r="D531" s="4" t="s">
        <v>49</v>
      </c>
      <c r="E531" s="4" t="s">
        <v>50</v>
      </c>
      <c r="F531" s="4" t="s">
        <v>25</v>
      </c>
      <c r="G531" s="4" t="s">
        <v>25</v>
      </c>
      <c r="H531" s="4" t="s">
        <v>34</v>
      </c>
      <c r="I531" s="5">
        <v>44593</v>
      </c>
      <c r="J531" s="6">
        <v>0</v>
      </c>
      <c r="K531" s="6">
        <v>0</v>
      </c>
      <c r="L531" s="6">
        <v>17.873000000000001</v>
      </c>
      <c r="M531" s="6">
        <v>16.800619999999999</v>
      </c>
      <c r="N531" s="6">
        <v>17.873000000000001</v>
      </c>
      <c r="O531" s="6">
        <v>16.800619999999999</v>
      </c>
      <c r="P531" s="6">
        <v>0</v>
      </c>
      <c r="Q531" s="4" t="s">
        <v>26</v>
      </c>
      <c r="R531" s="4">
        <v>0</v>
      </c>
      <c r="S531" s="4" t="s">
        <v>175</v>
      </c>
      <c r="T531" s="4" t="s">
        <v>416</v>
      </c>
      <c r="U531" s="4">
        <v>0</v>
      </c>
      <c r="V531" s="4">
        <v>7</v>
      </c>
      <c r="W531" s="4">
        <v>48</v>
      </c>
    </row>
    <row r="532" spans="1:23" ht="11.25" customHeight="1" x14ac:dyDescent="0.25">
      <c r="A532" s="4" t="s">
        <v>21</v>
      </c>
      <c r="B532" s="4" t="s">
        <v>39</v>
      </c>
      <c r="C532" s="4" t="s">
        <v>40</v>
      </c>
      <c r="D532" s="4" t="s">
        <v>49</v>
      </c>
      <c r="E532" s="4" t="s">
        <v>50</v>
      </c>
      <c r="F532" s="4" t="s">
        <v>25</v>
      </c>
      <c r="G532" s="4" t="s">
        <v>25</v>
      </c>
      <c r="H532" s="4" t="s">
        <v>34</v>
      </c>
      <c r="I532" s="5">
        <v>44621</v>
      </c>
      <c r="J532" s="6">
        <v>0</v>
      </c>
      <c r="K532" s="6">
        <v>0</v>
      </c>
      <c r="L532" s="6">
        <v>19.698</v>
      </c>
      <c r="M532" s="6">
        <v>18.516120000000001</v>
      </c>
      <c r="N532" s="6">
        <v>19.698</v>
      </c>
      <c r="O532" s="6">
        <v>18.516120000000001</v>
      </c>
      <c r="P532" s="6">
        <v>0</v>
      </c>
      <c r="Q532" s="4" t="s">
        <v>26</v>
      </c>
      <c r="R532" s="4">
        <v>0</v>
      </c>
      <c r="S532" s="4" t="s">
        <v>176</v>
      </c>
      <c r="T532" s="4" t="s">
        <v>417</v>
      </c>
      <c r="U532" s="4">
        <v>0</v>
      </c>
      <c r="V532" s="4">
        <v>7</v>
      </c>
      <c r="W532" s="4">
        <v>48</v>
      </c>
    </row>
    <row r="533" spans="1:23" ht="11.25" customHeight="1" x14ac:dyDescent="0.25">
      <c r="A533" s="4" t="s">
        <v>21</v>
      </c>
      <c r="B533" s="4" t="s">
        <v>39</v>
      </c>
      <c r="C533" s="4" t="s">
        <v>40</v>
      </c>
      <c r="D533" s="4" t="s">
        <v>49</v>
      </c>
      <c r="E533" s="4" t="s">
        <v>50</v>
      </c>
      <c r="F533" s="4" t="s">
        <v>25</v>
      </c>
      <c r="G533" s="4" t="s">
        <v>25</v>
      </c>
      <c r="H533" s="4" t="s">
        <v>34</v>
      </c>
      <c r="I533" s="5">
        <v>44652</v>
      </c>
      <c r="J533" s="6">
        <v>0</v>
      </c>
      <c r="K533" s="6">
        <v>0</v>
      </c>
      <c r="L533" s="6">
        <v>19.228000000000002</v>
      </c>
      <c r="M533" s="6">
        <v>18.07432</v>
      </c>
      <c r="N533" s="6">
        <v>19.228000000000002</v>
      </c>
      <c r="O533" s="6">
        <v>18.07432</v>
      </c>
      <c r="P533" s="6">
        <v>0</v>
      </c>
      <c r="Q533" s="4" t="s">
        <v>26</v>
      </c>
      <c r="R533" s="4">
        <v>0</v>
      </c>
      <c r="S533" s="4" t="s">
        <v>177</v>
      </c>
      <c r="T533" s="4" t="s">
        <v>418</v>
      </c>
      <c r="U533" s="4">
        <v>0</v>
      </c>
      <c r="V533" s="4">
        <v>7</v>
      </c>
      <c r="W533" s="4">
        <v>48</v>
      </c>
    </row>
    <row r="534" spans="1:23" ht="11.25" customHeight="1" x14ac:dyDescent="0.25">
      <c r="A534" s="4" t="s">
        <v>21</v>
      </c>
      <c r="B534" s="4" t="s">
        <v>39</v>
      </c>
      <c r="C534" s="4" t="s">
        <v>40</v>
      </c>
      <c r="D534" s="4" t="s">
        <v>49</v>
      </c>
      <c r="E534" s="4" t="s">
        <v>50</v>
      </c>
      <c r="F534" s="4" t="s">
        <v>25</v>
      </c>
      <c r="G534" s="4" t="s">
        <v>25</v>
      </c>
      <c r="H534" s="4" t="s">
        <v>34</v>
      </c>
      <c r="I534" s="5">
        <v>44682</v>
      </c>
      <c r="J534" s="6">
        <v>0</v>
      </c>
      <c r="K534" s="6">
        <v>0</v>
      </c>
      <c r="L534" s="6">
        <v>17.064</v>
      </c>
      <c r="M534" s="6">
        <v>16.04016</v>
      </c>
      <c r="N534" s="6">
        <v>17.064</v>
      </c>
      <c r="O534" s="6">
        <v>16.04016</v>
      </c>
      <c r="P534" s="6">
        <v>0</v>
      </c>
      <c r="Q534" s="4" t="s">
        <v>26</v>
      </c>
      <c r="R534" s="4">
        <v>0</v>
      </c>
      <c r="S534" s="4" t="s">
        <v>178</v>
      </c>
      <c r="T534" s="4" t="s">
        <v>419</v>
      </c>
      <c r="U534" s="4">
        <v>0</v>
      </c>
      <c r="V534" s="4">
        <v>7</v>
      </c>
      <c r="W534" s="4">
        <v>48</v>
      </c>
    </row>
    <row r="535" spans="1:23" ht="11.25" customHeight="1" x14ac:dyDescent="0.25">
      <c r="A535" s="4" t="s">
        <v>21</v>
      </c>
      <c r="B535" s="4" t="s">
        <v>39</v>
      </c>
      <c r="C535" s="4" t="s">
        <v>40</v>
      </c>
      <c r="D535" s="4" t="s">
        <v>49</v>
      </c>
      <c r="E535" s="4" t="s">
        <v>50</v>
      </c>
      <c r="F535" s="4" t="s">
        <v>25</v>
      </c>
      <c r="G535" s="4" t="s">
        <v>25</v>
      </c>
      <c r="H535" s="4" t="s">
        <v>34</v>
      </c>
      <c r="I535" s="5">
        <v>44713</v>
      </c>
      <c r="J535" s="6">
        <v>0</v>
      </c>
      <c r="K535" s="6">
        <v>0</v>
      </c>
      <c r="L535" s="6">
        <v>16.731000000000002</v>
      </c>
      <c r="M535" s="6">
        <v>15.72714</v>
      </c>
      <c r="N535" s="6">
        <v>16.731000000000002</v>
      </c>
      <c r="O535" s="6">
        <v>15.72714</v>
      </c>
      <c r="P535" s="6">
        <v>0</v>
      </c>
      <c r="Q535" s="4" t="s">
        <v>26</v>
      </c>
      <c r="R535" s="4">
        <v>0</v>
      </c>
      <c r="S535" s="4" t="s">
        <v>179</v>
      </c>
      <c r="T535" s="4" t="s">
        <v>420</v>
      </c>
      <c r="U535" s="4">
        <v>0</v>
      </c>
      <c r="V535" s="4">
        <v>7</v>
      </c>
      <c r="W535" s="4">
        <v>48</v>
      </c>
    </row>
    <row r="536" spans="1:23" ht="11.25" customHeight="1" x14ac:dyDescent="0.25">
      <c r="A536" s="4" t="s">
        <v>21</v>
      </c>
      <c r="B536" s="4" t="s">
        <v>39</v>
      </c>
      <c r="C536" s="4" t="s">
        <v>40</v>
      </c>
      <c r="D536" s="4" t="s">
        <v>49</v>
      </c>
      <c r="E536" s="4" t="s">
        <v>50</v>
      </c>
      <c r="F536" s="4" t="s">
        <v>25</v>
      </c>
      <c r="G536" s="4" t="s">
        <v>25</v>
      </c>
      <c r="H536" s="4" t="s">
        <v>34</v>
      </c>
      <c r="I536" s="5">
        <v>44743</v>
      </c>
      <c r="J536" s="6">
        <v>0</v>
      </c>
      <c r="K536" s="6">
        <v>0</v>
      </c>
      <c r="L536" s="6">
        <v>16.405000000000001</v>
      </c>
      <c r="M536" s="6">
        <v>15.4207</v>
      </c>
      <c r="N536" s="6">
        <v>16.405000000000001</v>
      </c>
      <c r="O536" s="6">
        <v>15.4207</v>
      </c>
      <c r="P536" s="6">
        <v>0</v>
      </c>
      <c r="Q536" s="4" t="s">
        <v>26</v>
      </c>
      <c r="R536" s="4">
        <v>0</v>
      </c>
      <c r="S536" s="4" t="s">
        <v>180</v>
      </c>
      <c r="T536" s="4" t="s">
        <v>421</v>
      </c>
      <c r="U536" s="4">
        <v>0</v>
      </c>
      <c r="V536" s="4">
        <v>7</v>
      </c>
      <c r="W536" s="4">
        <v>48</v>
      </c>
    </row>
    <row r="537" spans="1:23" ht="11.25" customHeight="1" x14ac:dyDescent="0.25">
      <c r="A537" s="4" t="s">
        <v>56</v>
      </c>
      <c r="B537" s="4" t="s">
        <v>39</v>
      </c>
      <c r="C537" s="4" t="s">
        <v>40</v>
      </c>
      <c r="D537" s="4" t="s">
        <v>49</v>
      </c>
      <c r="E537" s="4" t="s">
        <v>50</v>
      </c>
      <c r="F537" s="4" t="s">
        <v>25</v>
      </c>
      <c r="G537" s="4" t="s">
        <v>25</v>
      </c>
      <c r="H537" s="4" t="s">
        <v>34</v>
      </c>
      <c r="I537" s="5">
        <v>44774</v>
      </c>
      <c r="J537" s="6">
        <v>0</v>
      </c>
      <c r="K537" s="6">
        <v>0</v>
      </c>
      <c r="L537" s="6">
        <v>16.405000000000001</v>
      </c>
      <c r="M537" s="6">
        <v>15.4207</v>
      </c>
      <c r="N537" s="6">
        <v>16.405000000000001</v>
      </c>
      <c r="O537" s="6">
        <v>15.4207</v>
      </c>
      <c r="P537" s="6">
        <v>0</v>
      </c>
      <c r="Q537" s="4" t="s">
        <v>26</v>
      </c>
      <c r="R537" s="4">
        <v>0</v>
      </c>
      <c r="S537" s="4" t="s">
        <v>181</v>
      </c>
      <c r="T537" s="4" t="s">
        <v>422</v>
      </c>
      <c r="U537" s="4">
        <v>0</v>
      </c>
      <c r="V537" s="4">
        <v>7</v>
      </c>
      <c r="W537" s="4">
        <v>48</v>
      </c>
    </row>
    <row r="538" spans="1:23" ht="11.25" customHeight="1" x14ac:dyDescent="0.25">
      <c r="A538" s="4" t="s">
        <v>21</v>
      </c>
      <c r="B538" s="4" t="s">
        <v>22</v>
      </c>
      <c r="C538" s="4" t="s">
        <v>33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35</v>
      </c>
      <c r="I538" s="5">
        <v>44440</v>
      </c>
      <c r="J538" s="6">
        <v>0</v>
      </c>
      <c r="K538" s="6">
        <v>0</v>
      </c>
      <c r="L538" s="6">
        <v>9.4320000000000004</v>
      </c>
      <c r="M538" s="6">
        <v>9.4320000000000004</v>
      </c>
      <c r="N538" s="6">
        <v>9.4320000000000004</v>
      </c>
      <c r="O538" s="6">
        <v>9.4320000000000004</v>
      </c>
      <c r="P538" s="6">
        <v>0</v>
      </c>
      <c r="Q538" s="4" t="s">
        <v>26</v>
      </c>
      <c r="R538" s="4">
        <v>0</v>
      </c>
      <c r="S538" s="4" t="s">
        <v>182</v>
      </c>
      <c r="T538" s="4" t="s">
        <v>427</v>
      </c>
      <c r="U538" s="4">
        <v>0</v>
      </c>
      <c r="V538" s="4">
        <v>15</v>
      </c>
      <c r="W538" s="4">
        <v>52</v>
      </c>
    </row>
    <row r="539" spans="1:23" ht="11.25" customHeight="1" x14ac:dyDescent="0.25">
      <c r="A539" s="4" t="s">
        <v>21</v>
      </c>
      <c r="B539" s="4" t="s">
        <v>22</v>
      </c>
      <c r="C539" s="4" t="s">
        <v>33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35</v>
      </c>
      <c r="I539" s="5">
        <v>44470</v>
      </c>
      <c r="J539" s="6">
        <v>0</v>
      </c>
      <c r="K539" s="6">
        <v>0</v>
      </c>
      <c r="L539" s="6">
        <v>10.689</v>
      </c>
      <c r="M539" s="6">
        <v>10.689</v>
      </c>
      <c r="N539" s="6">
        <v>10.689</v>
      </c>
      <c r="O539" s="6">
        <v>10.689</v>
      </c>
      <c r="P539" s="6">
        <v>0</v>
      </c>
      <c r="Q539" s="4" t="s">
        <v>26</v>
      </c>
      <c r="R539" s="4">
        <v>0</v>
      </c>
      <c r="S539" s="4" t="s">
        <v>183</v>
      </c>
      <c r="T539" s="4" t="s">
        <v>428</v>
      </c>
      <c r="U539" s="4">
        <v>0</v>
      </c>
      <c r="V539" s="4">
        <v>15</v>
      </c>
      <c r="W539" s="4">
        <v>52</v>
      </c>
    </row>
    <row r="540" spans="1:23" ht="11.25" customHeight="1" x14ac:dyDescent="0.25">
      <c r="A540" s="4" t="s">
        <v>21</v>
      </c>
      <c r="B540" s="4" t="s">
        <v>22</v>
      </c>
      <c r="C540" s="4" t="s">
        <v>33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35</v>
      </c>
      <c r="I540" s="5">
        <v>44501</v>
      </c>
      <c r="J540" s="6">
        <v>0</v>
      </c>
      <c r="K540" s="6">
        <v>0</v>
      </c>
      <c r="L540" s="6">
        <v>9.8710000000000004</v>
      </c>
      <c r="M540" s="6">
        <v>9.8710000000000004</v>
      </c>
      <c r="N540" s="6">
        <v>9.8710000000000004</v>
      </c>
      <c r="O540" s="6">
        <v>9.8710000000000004</v>
      </c>
      <c r="P540" s="6">
        <v>0</v>
      </c>
      <c r="Q540" s="4" t="s">
        <v>26</v>
      </c>
      <c r="R540" s="4">
        <v>0</v>
      </c>
      <c r="S540" s="4" t="s">
        <v>184</v>
      </c>
      <c r="T540" s="4" t="s">
        <v>429</v>
      </c>
      <c r="U540" s="4">
        <v>0</v>
      </c>
      <c r="V540" s="4">
        <v>15</v>
      </c>
      <c r="W540" s="4">
        <v>52</v>
      </c>
    </row>
    <row r="541" spans="1:23" ht="11.25" customHeight="1" x14ac:dyDescent="0.25">
      <c r="A541" s="4" t="s">
        <v>21</v>
      </c>
      <c r="B541" s="4" t="s">
        <v>22</v>
      </c>
      <c r="C541" s="4" t="s">
        <v>33</v>
      </c>
      <c r="D541" s="4" t="s">
        <v>24</v>
      </c>
      <c r="E541" s="4" t="s">
        <v>24</v>
      </c>
      <c r="F541" s="4" t="s">
        <v>25</v>
      </c>
      <c r="G541" s="4" t="s">
        <v>25</v>
      </c>
      <c r="H541" s="4" t="s">
        <v>35</v>
      </c>
      <c r="I541" s="5">
        <v>44531</v>
      </c>
      <c r="J541" s="6">
        <v>0</v>
      </c>
      <c r="K541" s="6">
        <v>0</v>
      </c>
      <c r="L541" s="6">
        <v>11.031000000000001</v>
      </c>
      <c r="M541" s="6">
        <v>11.031000000000001</v>
      </c>
      <c r="N541" s="6">
        <v>11.031000000000001</v>
      </c>
      <c r="O541" s="6">
        <v>11.031000000000001</v>
      </c>
      <c r="P541" s="6">
        <v>0</v>
      </c>
      <c r="Q541" s="4" t="s">
        <v>26</v>
      </c>
      <c r="R541" s="4">
        <v>0</v>
      </c>
      <c r="S541" s="4" t="s">
        <v>185</v>
      </c>
      <c r="T541" s="4" t="s">
        <v>430</v>
      </c>
      <c r="U541" s="4">
        <v>0</v>
      </c>
      <c r="V541" s="4">
        <v>15</v>
      </c>
      <c r="W541" s="4">
        <v>52</v>
      </c>
    </row>
    <row r="542" spans="1:23" ht="11.25" customHeight="1" x14ac:dyDescent="0.25">
      <c r="A542" s="4" t="s">
        <v>21</v>
      </c>
      <c r="B542" s="4" t="s">
        <v>22</v>
      </c>
      <c r="C542" s="4" t="s">
        <v>33</v>
      </c>
      <c r="D542" s="4" t="s">
        <v>24</v>
      </c>
      <c r="E542" s="4" t="s">
        <v>24</v>
      </c>
      <c r="F542" s="4" t="s">
        <v>25</v>
      </c>
      <c r="G542" s="4" t="s">
        <v>25</v>
      </c>
      <c r="H542" s="4" t="s">
        <v>35</v>
      </c>
      <c r="I542" s="5">
        <v>44562</v>
      </c>
      <c r="J542" s="6">
        <v>0</v>
      </c>
      <c r="K542" s="6">
        <v>0</v>
      </c>
      <c r="L542" s="6">
        <v>11.08</v>
      </c>
      <c r="M542" s="6">
        <v>11.08</v>
      </c>
      <c r="N542" s="6">
        <v>11.08</v>
      </c>
      <c r="O542" s="6">
        <v>11.08</v>
      </c>
      <c r="P542" s="6">
        <v>0</v>
      </c>
      <c r="Q542" s="4" t="s">
        <v>26</v>
      </c>
      <c r="R542" s="4">
        <v>0</v>
      </c>
      <c r="S542" s="4" t="s">
        <v>186</v>
      </c>
      <c r="T542" s="4" t="s">
        <v>431</v>
      </c>
      <c r="U542" s="4">
        <v>0</v>
      </c>
      <c r="V542" s="4">
        <v>15</v>
      </c>
      <c r="W542" s="4">
        <v>52</v>
      </c>
    </row>
    <row r="543" spans="1:23" ht="11.25" customHeight="1" x14ac:dyDescent="0.25">
      <c r="A543" s="4" t="s">
        <v>21</v>
      </c>
      <c r="B543" s="4" t="s">
        <v>22</v>
      </c>
      <c r="C543" s="4" t="s">
        <v>33</v>
      </c>
      <c r="D543" s="4" t="s">
        <v>24</v>
      </c>
      <c r="E543" s="4" t="s">
        <v>24</v>
      </c>
      <c r="F543" s="4" t="s">
        <v>25</v>
      </c>
      <c r="G543" s="4" t="s">
        <v>25</v>
      </c>
      <c r="H543" s="4" t="s">
        <v>35</v>
      </c>
      <c r="I543" s="5">
        <v>44593</v>
      </c>
      <c r="J543" s="6">
        <v>0</v>
      </c>
      <c r="K543" s="6">
        <v>0</v>
      </c>
      <c r="L543" s="6">
        <v>13.28</v>
      </c>
      <c r="M543" s="6">
        <v>13.28</v>
      </c>
      <c r="N543" s="6">
        <v>13.28</v>
      </c>
      <c r="O543" s="6">
        <v>13.28</v>
      </c>
      <c r="P543" s="6">
        <v>0</v>
      </c>
      <c r="Q543" s="4" t="s">
        <v>26</v>
      </c>
      <c r="R543" s="4">
        <v>0</v>
      </c>
      <c r="S543" s="4" t="s">
        <v>187</v>
      </c>
      <c r="T543" s="4" t="s">
        <v>432</v>
      </c>
      <c r="U543" s="4">
        <v>0</v>
      </c>
      <c r="V543" s="4">
        <v>15</v>
      </c>
      <c r="W543" s="4">
        <v>52</v>
      </c>
    </row>
    <row r="544" spans="1:23" ht="11.25" customHeight="1" x14ac:dyDescent="0.25">
      <c r="A544" s="4" t="s">
        <v>21</v>
      </c>
      <c r="B544" s="4" t="s">
        <v>22</v>
      </c>
      <c r="C544" s="4" t="s">
        <v>33</v>
      </c>
      <c r="D544" s="4" t="s">
        <v>24</v>
      </c>
      <c r="E544" s="4" t="s">
        <v>24</v>
      </c>
      <c r="F544" s="4" t="s">
        <v>25</v>
      </c>
      <c r="G544" s="4" t="s">
        <v>25</v>
      </c>
      <c r="H544" s="4" t="s">
        <v>35</v>
      </c>
      <c r="I544" s="5">
        <v>44621</v>
      </c>
      <c r="J544" s="6">
        <v>0</v>
      </c>
      <c r="K544" s="6">
        <v>0</v>
      </c>
      <c r="L544" s="6">
        <v>12.452999999999999</v>
      </c>
      <c r="M544" s="6">
        <v>12.452999999999999</v>
      </c>
      <c r="N544" s="6">
        <v>12.452999999999999</v>
      </c>
      <c r="O544" s="6">
        <v>12.452999999999999</v>
      </c>
      <c r="P544" s="6">
        <v>0</v>
      </c>
      <c r="Q544" s="4" t="s">
        <v>26</v>
      </c>
      <c r="R544" s="4">
        <v>0</v>
      </c>
      <c r="S544" s="4" t="s">
        <v>188</v>
      </c>
      <c r="T544" s="4" t="s">
        <v>433</v>
      </c>
      <c r="U544" s="4">
        <v>0</v>
      </c>
      <c r="V544" s="4">
        <v>15</v>
      </c>
      <c r="W544" s="4">
        <v>52</v>
      </c>
    </row>
    <row r="545" spans="1:23" ht="11.25" customHeight="1" x14ac:dyDescent="0.25">
      <c r="A545" s="4" t="s">
        <v>21</v>
      </c>
      <c r="B545" s="4" t="s">
        <v>22</v>
      </c>
      <c r="C545" s="4" t="s">
        <v>33</v>
      </c>
      <c r="D545" s="4" t="s">
        <v>24</v>
      </c>
      <c r="E545" s="4" t="s">
        <v>24</v>
      </c>
      <c r="F545" s="4" t="s">
        <v>25</v>
      </c>
      <c r="G545" s="4" t="s">
        <v>25</v>
      </c>
      <c r="H545" s="4" t="s">
        <v>35</v>
      </c>
      <c r="I545" s="5">
        <v>44652</v>
      </c>
      <c r="J545" s="6">
        <v>0</v>
      </c>
      <c r="K545" s="6">
        <v>0</v>
      </c>
      <c r="L545" s="6">
        <v>12.731999999999999</v>
      </c>
      <c r="M545" s="6">
        <v>12.731999999999999</v>
      </c>
      <c r="N545" s="6">
        <v>12.731999999999999</v>
      </c>
      <c r="O545" s="6">
        <v>12.731999999999999</v>
      </c>
      <c r="P545" s="6">
        <v>0</v>
      </c>
      <c r="Q545" s="4" t="s">
        <v>26</v>
      </c>
      <c r="R545" s="4">
        <v>0</v>
      </c>
      <c r="S545" s="4" t="s">
        <v>189</v>
      </c>
      <c r="T545" s="4" t="s">
        <v>434</v>
      </c>
      <c r="U545" s="4">
        <v>0</v>
      </c>
      <c r="V545" s="4">
        <v>15</v>
      </c>
      <c r="W545" s="4">
        <v>52</v>
      </c>
    </row>
    <row r="546" spans="1:23" ht="11.25" customHeight="1" x14ac:dyDescent="0.25">
      <c r="A546" s="4" t="s">
        <v>28</v>
      </c>
      <c r="B546" s="4" t="s">
        <v>22</v>
      </c>
      <c r="C546" s="4" t="s">
        <v>33</v>
      </c>
      <c r="D546" s="4" t="s">
        <v>24</v>
      </c>
      <c r="E546" s="4" t="s">
        <v>24</v>
      </c>
      <c r="F546" s="4" t="s">
        <v>25</v>
      </c>
      <c r="G546" s="4" t="s">
        <v>25</v>
      </c>
      <c r="H546" s="4" t="s">
        <v>35</v>
      </c>
      <c r="I546" s="5">
        <v>44652</v>
      </c>
      <c r="J546" s="6">
        <v>0</v>
      </c>
      <c r="K546" s="6">
        <v>0</v>
      </c>
      <c r="L546" s="6">
        <v>0.14000000000000001</v>
      </c>
      <c r="M546" s="6">
        <v>0.14000000000000001</v>
      </c>
      <c r="N546" s="6">
        <v>0.14000000000000001</v>
      </c>
      <c r="O546" s="6">
        <v>0.14000000000000001</v>
      </c>
      <c r="P546" s="6">
        <v>0</v>
      </c>
      <c r="Q546" s="4" t="s">
        <v>26</v>
      </c>
      <c r="R546" s="4">
        <v>0</v>
      </c>
      <c r="S546" s="4" t="s">
        <v>189</v>
      </c>
      <c r="T546" s="4" t="s">
        <v>434</v>
      </c>
      <c r="U546" s="4">
        <v>0</v>
      </c>
      <c r="V546" s="4">
        <v>15</v>
      </c>
      <c r="W546" s="4">
        <v>52</v>
      </c>
    </row>
    <row r="547" spans="1:23" ht="11.25" customHeight="1" x14ac:dyDescent="0.25">
      <c r="A547" s="4" t="s">
        <v>21</v>
      </c>
      <c r="B547" s="4" t="s">
        <v>22</v>
      </c>
      <c r="C547" s="4" t="s">
        <v>33</v>
      </c>
      <c r="D547" s="4" t="s">
        <v>24</v>
      </c>
      <c r="E547" s="4" t="s">
        <v>24</v>
      </c>
      <c r="F547" s="4" t="s">
        <v>25</v>
      </c>
      <c r="G547" s="4" t="s">
        <v>25</v>
      </c>
      <c r="H547" s="4" t="s">
        <v>35</v>
      </c>
      <c r="I547" s="5">
        <v>44682</v>
      </c>
      <c r="J547" s="6">
        <v>0</v>
      </c>
      <c r="K547" s="6">
        <v>0</v>
      </c>
      <c r="L547" s="6">
        <v>9.3740000000000006</v>
      </c>
      <c r="M547" s="6">
        <v>9.3740000000000006</v>
      </c>
      <c r="N547" s="6">
        <v>9.3740000000000006</v>
      </c>
      <c r="O547" s="6">
        <v>9.3740000000000006</v>
      </c>
      <c r="P547" s="6">
        <v>0</v>
      </c>
      <c r="Q547" s="4" t="s">
        <v>26</v>
      </c>
      <c r="R547" s="4">
        <v>0</v>
      </c>
      <c r="S547" s="4" t="s">
        <v>190</v>
      </c>
      <c r="T547" s="4" t="s">
        <v>435</v>
      </c>
      <c r="U547" s="4">
        <v>0</v>
      </c>
      <c r="V547" s="4">
        <v>15</v>
      </c>
      <c r="W547" s="4">
        <v>52</v>
      </c>
    </row>
    <row r="548" spans="1:23" ht="11.25" customHeight="1" x14ac:dyDescent="0.25">
      <c r="A548" s="4" t="s">
        <v>27</v>
      </c>
      <c r="B548" s="4" t="s">
        <v>22</v>
      </c>
      <c r="C548" s="4" t="s">
        <v>33</v>
      </c>
      <c r="D548" s="4" t="s">
        <v>24</v>
      </c>
      <c r="E548" s="4" t="s">
        <v>24</v>
      </c>
      <c r="F548" s="4" t="s">
        <v>25</v>
      </c>
      <c r="G548" s="4" t="s">
        <v>25</v>
      </c>
      <c r="H548" s="4" t="s">
        <v>35</v>
      </c>
      <c r="I548" s="5">
        <v>44682</v>
      </c>
      <c r="J548" s="6">
        <v>0</v>
      </c>
      <c r="K548" s="6">
        <v>0</v>
      </c>
      <c r="L548" s="6">
        <v>5.8999999999999997E-2</v>
      </c>
      <c r="M548" s="6">
        <v>5.8999999999999997E-2</v>
      </c>
      <c r="N548" s="6">
        <v>5.8999999999999997E-2</v>
      </c>
      <c r="O548" s="6">
        <v>5.8999999999999997E-2</v>
      </c>
      <c r="P548" s="6">
        <v>0</v>
      </c>
      <c r="Q548" s="4" t="s">
        <v>26</v>
      </c>
      <c r="R548" s="4">
        <v>0</v>
      </c>
      <c r="S548" s="4" t="s">
        <v>190</v>
      </c>
      <c r="T548" s="4" t="s">
        <v>435</v>
      </c>
      <c r="U548" s="4">
        <v>0</v>
      </c>
      <c r="V548" s="4">
        <v>15</v>
      </c>
      <c r="W548" s="4">
        <v>52</v>
      </c>
    </row>
    <row r="549" spans="1:23" ht="11.25" customHeight="1" x14ac:dyDescent="0.25">
      <c r="A549" s="4" t="s">
        <v>21</v>
      </c>
      <c r="B549" s="4" t="s">
        <v>22</v>
      </c>
      <c r="C549" s="4" t="s">
        <v>33</v>
      </c>
      <c r="D549" s="4" t="s">
        <v>24</v>
      </c>
      <c r="E549" s="4" t="s">
        <v>24</v>
      </c>
      <c r="F549" s="4" t="s">
        <v>25</v>
      </c>
      <c r="G549" s="4" t="s">
        <v>25</v>
      </c>
      <c r="H549" s="4" t="s">
        <v>35</v>
      </c>
      <c r="I549" s="5">
        <v>44713</v>
      </c>
      <c r="J549" s="6">
        <v>0</v>
      </c>
      <c r="K549" s="6">
        <v>0</v>
      </c>
      <c r="L549" s="6">
        <v>6.7210000000000001</v>
      </c>
      <c r="M549" s="6">
        <v>6.7210000000000001</v>
      </c>
      <c r="N549" s="6">
        <v>6.7210000000000001</v>
      </c>
      <c r="O549" s="6">
        <v>6.7210000000000001</v>
      </c>
      <c r="P549" s="6">
        <v>0</v>
      </c>
      <c r="Q549" s="4" t="s">
        <v>26</v>
      </c>
      <c r="R549" s="4">
        <v>0</v>
      </c>
      <c r="S549" s="4" t="s">
        <v>191</v>
      </c>
      <c r="T549" s="4" t="s">
        <v>436</v>
      </c>
      <c r="U549" s="4">
        <v>0</v>
      </c>
      <c r="V549" s="4">
        <v>15</v>
      </c>
      <c r="W549" s="4">
        <v>52</v>
      </c>
    </row>
    <row r="550" spans="1:23" ht="11.25" customHeight="1" x14ac:dyDescent="0.25">
      <c r="A550" s="4" t="s">
        <v>21</v>
      </c>
      <c r="B550" s="4" t="s">
        <v>22</v>
      </c>
      <c r="C550" s="4" t="s">
        <v>33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35</v>
      </c>
      <c r="I550" s="5">
        <v>44743</v>
      </c>
      <c r="J550" s="6">
        <v>0</v>
      </c>
      <c r="K550" s="6">
        <v>0</v>
      </c>
      <c r="L550" s="6">
        <v>6.5010000000000003</v>
      </c>
      <c r="M550" s="6">
        <v>6.5010000000000003</v>
      </c>
      <c r="N550" s="6">
        <v>6.5010000000000003</v>
      </c>
      <c r="O550" s="6">
        <v>6.5010000000000003</v>
      </c>
      <c r="P550" s="6">
        <v>0</v>
      </c>
      <c r="Q550" s="4" t="s">
        <v>26</v>
      </c>
      <c r="R550" s="4">
        <v>0</v>
      </c>
      <c r="S550" s="4" t="s">
        <v>192</v>
      </c>
      <c r="T550" s="4" t="s">
        <v>437</v>
      </c>
      <c r="U550" s="4">
        <v>0</v>
      </c>
      <c r="V550" s="4">
        <v>15</v>
      </c>
      <c r="W550" s="4">
        <v>52</v>
      </c>
    </row>
    <row r="551" spans="1:23" ht="11.25" customHeight="1" x14ac:dyDescent="0.25">
      <c r="A551" s="4" t="s">
        <v>28</v>
      </c>
      <c r="B551" s="4" t="s">
        <v>22</v>
      </c>
      <c r="C551" s="4" t="s">
        <v>33</v>
      </c>
      <c r="D551" s="4" t="s">
        <v>24</v>
      </c>
      <c r="E551" s="4" t="s">
        <v>24</v>
      </c>
      <c r="F551" s="4" t="s">
        <v>25</v>
      </c>
      <c r="G551" s="4" t="s">
        <v>25</v>
      </c>
      <c r="H551" s="4" t="s">
        <v>35</v>
      </c>
      <c r="I551" s="5">
        <v>44743</v>
      </c>
      <c r="J551" s="6">
        <v>0</v>
      </c>
      <c r="K551" s="6">
        <v>0</v>
      </c>
      <c r="L551" s="6">
        <v>0.159</v>
      </c>
      <c r="M551" s="6">
        <v>0.159</v>
      </c>
      <c r="N551" s="6">
        <v>0.159</v>
      </c>
      <c r="O551" s="6">
        <v>0.159</v>
      </c>
      <c r="P551" s="6">
        <v>0</v>
      </c>
      <c r="Q551" s="4" t="s">
        <v>26</v>
      </c>
      <c r="R551" s="4">
        <v>0</v>
      </c>
      <c r="S551" s="4" t="s">
        <v>192</v>
      </c>
      <c r="T551" s="4" t="s">
        <v>437</v>
      </c>
      <c r="U551" s="4">
        <v>0</v>
      </c>
      <c r="V551" s="4">
        <v>15</v>
      </c>
      <c r="W551" s="4">
        <v>52</v>
      </c>
    </row>
    <row r="552" spans="1:23" ht="11.25" customHeight="1" x14ac:dyDescent="0.25">
      <c r="A552" s="4" t="s">
        <v>56</v>
      </c>
      <c r="B552" s="4" t="s">
        <v>22</v>
      </c>
      <c r="C552" s="4" t="s">
        <v>33</v>
      </c>
      <c r="D552" s="4" t="s">
        <v>24</v>
      </c>
      <c r="E552" s="4" t="s">
        <v>24</v>
      </c>
      <c r="F552" s="4" t="s">
        <v>25</v>
      </c>
      <c r="G552" s="4" t="s">
        <v>25</v>
      </c>
      <c r="H552" s="4" t="s">
        <v>35</v>
      </c>
      <c r="I552" s="5">
        <v>44774</v>
      </c>
      <c r="J552" s="6">
        <v>0</v>
      </c>
      <c r="K552" s="6">
        <v>0</v>
      </c>
      <c r="L552" s="6">
        <v>6.5010000000000003</v>
      </c>
      <c r="M552" s="6">
        <v>6.5010000000000003</v>
      </c>
      <c r="N552" s="6">
        <v>6.5010000000000003</v>
      </c>
      <c r="O552" s="6">
        <v>6.5010000000000003</v>
      </c>
      <c r="P552" s="6">
        <v>0</v>
      </c>
      <c r="Q552" s="4" t="s">
        <v>26</v>
      </c>
      <c r="R552" s="4">
        <v>0</v>
      </c>
      <c r="S552" s="4" t="s">
        <v>193</v>
      </c>
      <c r="T552" s="4" t="s">
        <v>438</v>
      </c>
      <c r="U552" s="4">
        <v>0</v>
      </c>
      <c r="V552" s="4">
        <v>15</v>
      </c>
      <c r="W552" s="4">
        <v>52</v>
      </c>
    </row>
    <row r="553" spans="1:23" ht="11.25" customHeight="1" x14ac:dyDescent="0.25">
      <c r="A553" s="4" t="s">
        <v>56</v>
      </c>
      <c r="B553" s="4" t="s">
        <v>22</v>
      </c>
      <c r="C553" s="4" t="s">
        <v>33</v>
      </c>
      <c r="D553" s="4" t="s">
        <v>24</v>
      </c>
      <c r="E553" s="4" t="s">
        <v>24</v>
      </c>
      <c r="F553" s="4" t="s">
        <v>25</v>
      </c>
      <c r="G553" s="4" t="s">
        <v>25</v>
      </c>
      <c r="H553" s="4" t="s">
        <v>35</v>
      </c>
      <c r="I553" s="5">
        <v>44774</v>
      </c>
      <c r="J553" s="6">
        <v>0</v>
      </c>
      <c r="K553" s="6">
        <v>0</v>
      </c>
      <c r="L553" s="6">
        <v>0.159</v>
      </c>
      <c r="M553" s="6">
        <v>0.159</v>
      </c>
      <c r="N553" s="6">
        <v>0.159</v>
      </c>
      <c r="O553" s="6">
        <v>0.159</v>
      </c>
      <c r="P553" s="6">
        <v>0</v>
      </c>
      <c r="Q553" s="4" t="s">
        <v>26</v>
      </c>
      <c r="R553" s="4">
        <v>0</v>
      </c>
      <c r="S553" s="4" t="s">
        <v>193</v>
      </c>
      <c r="T553" s="4" t="s">
        <v>438</v>
      </c>
      <c r="U553" s="4">
        <v>0</v>
      </c>
      <c r="V553" s="4">
        <v>15</v>
      </c>
      <c r="W553" s="4">
        <v>52</v>
      </c>
    </row>
    <row r="554" spans="1:23" ht="11.25" customHeight="1" x14ac:dyDescent="0.25">
      <c r="A554" s="4" t="s">
        <v>21</v>
      </c>
      <c r="B554" s="4" t="s">
        <v>22</v>
      </c>
      <c r="C554" s="4" t="s">
        <v>33</v>
      </c>
      <c r="D554" s="4" t="s">
        <v>24</v>
      </c>
      <c r="E554" s="4" t="s">
        <v>24</v>
      </c>
      <c r="F554" s="4" t="s">
        <v>25</v>
      </c>
      <c r="G554" s="4" t="s">
        <v>25</v>
      </c>
      <c r="H554" s="4" t="s">
        <v>36</v>
      </c>
      <c r="I554" s="5">
        <v>44440</v>
      </c>
      <c r="J554" s="6">
        <v>0</v>
      </c>
      <c r="K554" s="6">
        <v>0</v>
      </c>
      <c r="L554" s="6">
        <v>0.56000000000000005</v>
      </c>
      <c r="M554" s="6">
        <v>0.56000000000000005</v>
      </c>
      <c r="N554" s="6">
        <v>0.56000000000000005</v>
      </c>
      <c r="O554" s="6">
        <v>0.56000000000000005</v>
      </c>
      <c r="P554" s="6">
        <v>0</v>
      </c>
      <c r="Q554" s="4" t="s">
        <v>26</v>
      </c>
      <c r="R554" s="4">
        <v>0</v>
      </c>
      <c r="S554" s="4" t="s">
        <v>194</v>
      </c>
      <c r="T554" s="4" t="s">
        <v>439</v>
      </c>
      <c r="U554" s="4">
        <v>0</v>
      </c>
      <c r="V554" s="4">
        <v>14</v>
      </c>
      <c r="W554" s="4">
        <v>51</v>
      </c>
    </row>
    <row r="555" spans="1:23" ht="11.25" customHeight="1" x14ac:dyDescent="0.25">
      <c r="A555" s="4" t="s">
        <v>21</v>
      </c>
      <c r="B555" s="4" t="s">
        <v>22</v>
      </c>
      <c r="C555" s="4" t="s">
        <v>33</v>
      </c>
      <c r="D555" s="4" t="s">
        <v>24</v>
      </c>
      <c r="E555" s="4" t="s">
        <v>24</v>
      </c>
      <c r="F555" s="4" t="s">
        <v>25</v>
      </c>
      <c r="G555" s="4" t="s">
        <v>25</v>
      </c>
      <c r="H555" s="4" t="s">
        <v>36</v>
      </c>
      <c r="I555" s="5">
        <v>44470</v>
      </c>
      <c r="J555" s="6">
        <v>0</v>
      </c>
      <c r="K555" s="6">
        <v>0</v>
      </c>
      <c r="L555" s="6">
        <v>0.63200000000000001</v>
      </c>
      <c r="M555" s="6">
        <v>0.63200000000000001</v>
      </c>
      <c r="N555" s="6">
        <v>0.63200000000000001</v>
      </c>
      <c r="O555" s="6">
        <v>0.63200000000000001</v>
      </c>
      <c r="P555" s="6">
        <v>0</v>
      </c>
      <c r="Q555" s="4" t="s">
        <v>26</v>
      </c>
      <c r="R555" s="4">
        <v>0</v>
      </c>
      <c r="S555" s="4" t="s">
        <v>195</v>
      </c>
      <c r="T555" s="4" t="s">
        <v>440</v>
      </c>
      <c r="U555" s="4">
        <v>0</v>
      </c>
      <c r="V555" s="4">
        <v>14</v>
      </c>
      <c r="W555" s="4">
        <v>51</v>
      </c>
    </row>
    <row r="556" spans="1:23" ht="11.25" customHeight="1" x14ac:dyDescent="0.25">
      <c r="A556" s="4" t="s">
        <v>21</v>
      </c>
      <c r="B556" s="4" t="s">
        <v>22</v>
      </c>
      <c r="C556" s="4" t="s">
        <v>33</v>
      </c>
      <c r="D556" s="4" t="s">
        <v>24</v>
      </c>
      <c r="E556" s="4" t="s">
        <v>24</v>
      </c>
      <c r="F556" s="4" t="s">
        <v>25</v>
      </c>
      <c r="G556" s="4" t="s">
        <v>25</v>
      </c>
      <c r="H556" s="4" t="s">
        <v>36</v>
      </c>
      <c r="I556" s="5">
        <v>44501</v>
      </c>
      <c r="J556" s="6">
        <v>0</v>
      </c>
      <c r="K556" s="6">
        <v>0</v>
      </c>
      <c r="L556" s="6">
        <v>0.57899999999999996</v>
      </c>
      <c r="M556" s="6">
        <v>0.57899999999999996</v>
      </c>
      <c r="N556" s="6">
        <v>0.57899999999999996</v>
      </c>
      <c r="O556" s="6">
        <v>0.57899999999999996</v>
      </c>
      <c r="P556" s="6">
        <v>0</v>
      </c>
      <c r="Q556" s="4" t="s">
        <v>26</v>
      </c>
      <c r="R556" s="4">
        <v>0</v>
      </c>
      <c r="S556" s="4" t="s">
        <v>196</v>
      </c>
      <c r="T556" s="4" t="s">
        <v>441</v>
      </c>
      <c r="U556" s="4">
        <v>0</v>
      </c>
      <c r="V556" s="4">
        <v>14</v>
      </c>
      <c r="W556" s="4">
        <v>51</v>
      </c>
    </row>
    <row r="557" spans="1:23" ht="11.25" customHeight="1" x14ac:dyDescent="0.25">
      <c r="A557" s="4" t="s">
        <v>21</v>
      </c>
      <c r="B557" s="4" t="s">
        <v>22</v>
      </c>
      <c r="C557" s="4" t="s">
        <v>33</v>
      </c>
      <c r="D557" s="4" t="s">
        <v>24</v>
      </c>
      <c r="E557" s="4" t="s">
        <v>24</v>
      </c>
      <c r="F557" s="4" t="s">
        <v>25</v>
      </c>
      <c r="G557" s="4" t="s">
        <v>25</v>
      </c>
      <c r="H557" s="4" t="s">
        <v>36</v>
      </c>
      <c r="I557" s="5">
        <v>44531</v>
      </c>
      <c r="J557" s="6">
        <v>0</v>
      </c>
      <c r="K557" s="6">
        <v>0</v>
      </c>
      <c r="L557" s="6">
        <v>0.73499999999999999</v>
      </c>
      <c r="M557" s="6">
        <v>0.73499999999999999</v>
      </c>
      <c r="N557" s="6">
        <v>0.73499999999999999</v>
      </c>
      <c r="O557" s="6">
        <v>0.73499999999999999</v>
      </c>
      <c r="P557" s="6">
        <v>0</v>
      </c>
      <c r="Q557" s="4" t="s">
        <v>26</v>
      </c>
      <c r="R557" s="4">
        <v>0</v>
      </c>
      <c r="S557" s="4" t="s">
        <v>197</v>
      </c>
      <c r="T557" s="4" t="s">
        <v>442</v>
      </c>
      <c r="U557" s="4">
        <v>0</v>
      </c>
      <c r="V557" s="4">
        <v>14</v>
      </c>
      <c r="W557" s="4">
        <v>51</v>
      </c>
    </row>
    <row r="558" spans="1:23" ht="11.25" customHeight="1" x14ac:dyDescent="0.25">
      <c r="A558" s="4" t="s">
        <v>21</v>
      </c>
      <c r="B558" s="4" t="s">
        <v>22</v>
      </c>
      <c r="C558" s="4" t="s">
        <v>33</v>
      </c>
      <c r="D558" s="4" t="s">
        <v>24</v>
      </c>
      <c r="E558" s="4" t="s">
        <v>24</v>
      </c>
      <c r="F558" s="4" t="s">
        <v>25</v>
      </c>
      <c r="G558" s="4" t="s">
        <v>25</v>
      </c>
      <c r="H558" s="4" t="s">
        <v>36</v>
      </c>
      <c r="I558" s="5">
        <v>44562</v>
      </c>
      <c r="J558" s="6">
        <v>0</v>
      </c>
      <c r="K558" s="6">
        <v>0</v>
      </c>
      <c r="L558" s="6">
        <v>0.621</v>
      </c>
      <c r="M558" s="6">
        <v>0.621</v>
      </c>
      <c r="N558" s="6">
        <v>0.621</v>
      </c>
      <c r="O558" s="6">
        <v>0.621</v>
      </c>
      <c r="P558" s="6">
        <v>0</v>
      </c>
      <c r="Q558" s="4" t="s">
        <v>26</v>
      </c>
      <c r="R558" s="4">
        <v>0</v>
      </c>
      <c r="S558" s="4" t="s">
        <v>198</v>
      </c>
      <c r="T558" s="4" t="s">
        <v>443</v>
      </c>
      <c r="U558" s="4">
        <v>0</v>
      </c>
      <c r="V558" s="4">
        <v>14</v>
      </c>
      <c r="W558" s="4">
        <v>51</v>
      </c>
    </row>
    <row r="559" spans="1:23" ht="11.25" customHeight="1" x14ac:dyDescent="0.25">
      <c r="A559" s="4" t="s">
        <v>21</v>
      </c>
      <c r="B559" s="4" t="s">
        <v>22</v>
      </c>
      <c r="C559" s="4" t="s">
        <v>33</v>
      </c>
      <c r="D559" s="4" t="s">
        <v>24</v>
      </c>
      <c r="E559" s="4" t="s">
        <v>24</v>
      </c>
      <c r="F559" s="4" t="s">
        <v>25</v>
      </c>
      <c r="G559" s="4" t="s">
        <v>25</v>
      </c>
      <c r="H559" s="4" t="s">
        <v>36</v>
      </c>
      <c r="I559" s="5">
        <v>44593</v>
      </c>
      <c r="J559" s="6">
        <v>0</v>
      </c>
      <c r="K559" s="6">
        <v>0</v>
      </c>
      <c r="L559" s="6">
        <v>0.72</v>
      </c>
      <c r="M559" s="6">
        <v>0.72</v>
      </c>
      <c r="N559" s="6">
        <v>0.72</v>
      </c>
      <c r="O559" s="6">
        <v>0.72</v>
      </c>
      <c r="P559" s="6">
        <v>0</v>
      </c>
      <c r="Q559" s="4" t="s">
        <v>26</v>
      </c>
      <c r="R559" s="4">
        <v>0</v>
      </c>
      <c r="S559" s="4" t="s">
        <v>199</v>
      </c>
      <c r="T559" s="4" t="s">
        <v>444</v>
      </c>
      <c r="U559" s="4">
        <v>0</v>
      </c>
      <c r="V559" s="4">
        <v>14</v>
      </c>
      <c r="W559" s="4">
        <v>51</v>
      </c>
    </row>
    <row r="560" spans="1:23" ht="11.25" customHeight="1" x14ac:dyDescent="0.25">
      <c r="A560" s="4" t="s">
        <v>21</v>
      </c>
      <c r="B560" s="4" t="s">
        <v>22</v>
      </c>
      <c r="C560" s="4" t="s">
        <v>33</v>
      </c>
      <c r="D560" s="4" t="s">
        <v>24</v>
      </c>
      <c r="E560" s="4" t="s">
        <v>24</v>
      </c>
      <c r="F560" s="4" t="s">
        <v>25</v>
      </c>
      <c r="G560" s="4" t="s">
        <v>25</v>
      </c>
      <c r="H560" s="4" t="s">
        <v>36</v>
      </c>
      <c r="I560" s="5">
        <v>44621</v>
      </c>
      <c r="J560" s="6">
        <v>0</v>
      </c>
      <c r="K560" s="6">
        <v>0</v>
      </c>
      <c r="L560" s="6">
        <v>0.69599999999999995</v>
      </c>
      <c r="M560" s="6">
        <v>0.69599999999999995</v>
      </c>
      <c r="N560" s="6">
        <v>0.69599999999999995</v>
      </c>
      <c r="O560" s="6">
        <v>0.69599999999999995</v>
      </c>
      <c r="P560" s="6">
        <v>0</v>
      </c>
      <c r="Q560" s="4" t="s">
        <v>26</v>
      </c>
      <c r="R560" s="4">
        <v>0</v>
      </c>
      <c r="S560" s="4" t="s">
        <v>200</v>
      </c>
      <c r="T560" s="4" t="s">
        <v>445</v>
      </c>
      <c r="U560" s="4">
        <v>0</v>
      </c>
      <c r="V560" s="4">
        <v>14</v>
      </c>
      <c r="W560" s="4">
        <v>51</v>
      </c>
    </row>
    <row r="561" spans="1:23" ht="11.25" customHeight="1" x14ac:dyDescent="0.25">
      <c r="A561" s="4" t="s">
        <v>21</v>
      </c>
      <c r="B561" s="4" t="s">
        <v>22</v>
      </c>
      <c r="C561" s="4" t="s">
        <v>33</v>
      </c>
      <c r="D561" s="4" t="s">
        <v>24</v>
      </c>
      <c r="E561" s="4" t="s">
        <v>24</v>
      </c>
      <c r="F561" s="4" t="s">
        <v>25</v>
      </c>
      <c r="G561" s="4" t="s">
        <v>25</v>
      </c>
      <c r="H561" s="4" t="s">
        <v>36</v>
      </c>
      <c r="I561" s="5">
        <v>44652</v>
      </c>
      <c r="J561" s="6">
        <v>0</v>
      </c>
      <c r="K561" s="6">
        <v>0</v>
      </c>
      <c r="L561" s="6">
        <v>0.69</v>
      </c>
      <c r="M561" s="6">
        <v>0.69</v>
      </c>
      <c r="N561" s="6">
        <v>0.69</v>
      </c>
      <c r="O561" s="6">
        <v>0.69</v>
      </c>
      <c r="P561" s="6">
        <v>0</v>
      </c>
      <c r="Q561" s="4" t="s">
        <v>26</v>
      </c>
      <c r="R561" s="4">
        <v>0</v>
      </c>
      <c r="S561" s="4" t="s">
        <v>201</v>
      </c>
      <c r="T561" s="4" t="s">
        <v>446</v>
      </c>
      <c r="U561" s="4">
        <v>0</v>
      </c>
      <c r="V561" s="4">
        <v>14</v>
      </c>
      <c r="W561" s="4">
        <v>51</v>
      </c>
    </row>
    <row r="562" spans="1:23" ht="11.25" customHeight="1" x14ac:dyDescent="0.25">
      <c r="A562" s="4" t="s">
        <v>28</v>
      </c>
      <c r="B562" s="4" t="s">
        <v>22</v>
      </c>
      <c r="C562" s="4" t="s">
        <v>33</v>
      </c>
      <c r="D562" s="4" t="s">
        <v>24</v>
      </c>
      <c r="E562" s="4" t="s">
        <v>24</v>
      </c>
      <c r="F562" s="4" t="s">
        <v>25</v>
      </c>
      <c r="G562" s="4" t="s">
        <v>25</v>
      </c>
      <c r="H562" s="4" t="s">
        <v>36</v>
      </c>
      <c r="I562" s="5">
        <v>44652</v>
      </c>
      <c r="J562" s="6">
        <v>0</v>
      </c>
      <c r="K562" s="6">
        <v>0</v>
      </c>
      <c r="L562" s="6">
        <v>3.3000000000000002E-2</v>
      </c>
      <c r="M562" s="6">
        <v>3.3000000000000002E-2</v>
      </c>
      <c r="N562" s="6">
        <v>3.3000000000000002E-2</v>
      </c>
      <c r="O562" s="6">
        <v>3.3000000000000002E-2</v>
      </c>
      <c r="P562" s="6">
        <v>0</v>
      </c>
      <c r="Q562" s="4" t="s">
        <v>26</v>
      </c>
      <c r="R562" s="4">
        <v>0</v>
      </c>
      <c r="S562" s="4" t="s">
        <v>201</v>
      </c>
      <c r="T562" s="4" t="s">
        <v>446</v>
      </c>
      <c r="U562" s="4">
        <v>0</v>
      </c>
      <c r="V562" s="4">
        <v>14</v>
      </c>
      <c r="W562" s="4">
        <v>51</v>
      </c>
    </row>
    <row r="563" spans="1:23" ht="11.25" customHeight="1" x14ac:dyDescent="0.25">
      <c r="A563" s="4" t="s">
        <v>21</v>
      </c>
      <c r="B563" s="4" t="s">
        <v>22</v>
      </c>
      <c r="C563" s="4" t="s">
        <v>33</v>
      </c>
      <c r="D563" s="4" t="s">
        <v>24</v>
      </c>
      <c r="E563" s="4" t="s">
        <v>24</v>
      </c>
      <c r="F563" s="4" t="s">
        <v>25</v>
      </c>
      <c r="G563" s="4" t="s">
        <v>25</v>
      </c>
      <c r="H563" s="4" t="s">
        <v>36</v>
      </c>
      <c r="I563" s="5">
        <v>44682</v>
      </c>
      <c r="J563" s="6">
        <v>0</v>
      </c>
      <c r="K563" s="6">
        <v>0</v>
      </c>
      <c r="L563" s="6">
        <v>0.55500000000000005</v>
      </c>
      <c r="M563" s="6">
        <v>0.55500000000000005</v>
      </c>
      <c r="N563" s="6">
        <v>0.55500000000000005</v>
      </c>
      <c r="O563" s="6">
        <v>0.55500000000000005</v>
      </c>
      <c r="P563" s="6">
        <v>0</v>
      </c>
      <c r="Q563" s="4" t="s">
        <v>26</v>
      </c>
      <c r="R563" s="4">
        <v>0</v>
      </c>
      <c r="S563" s="4" t="s">
        <v>202</v>
      </c>
      <c r="T563" s="4" t="s">
        <v>447</v>
      </c>
      <c r="U563" s="4">
        <v>0</v>
      </c>
      <c r="V563" s="4">
        <v>14</v>
      </c>
      <c r="W563" s="4">
        <v>51</v>
      </c>
    </row>
    <row r="564" spans="1:23" ht="11.25" customHeight="1" x14ac:dyDescent="0.25">
      <c r="A564" s="4" t="s">
        <v>27</v>
      </c>
      <c r="B564" s="4" t="s">
        <v>22</v>
      </c>
      <c r="C564" s="4" t="s">
        <v>33</v>
      </c>
      <c r="D564" s="4" t="s">
        <v>24</v>
      </c>
      <c r="E564" s="4" t="s">
        <v>24</v>
      </c>
      <c r="F564" s="4" t="s">
        <v>25</v>
      </c>
      <c r="G564" s="4" t="s">
        <v>25</v>
      </c>
      <c r="H564" s="4" t="s">
        <v>36</v>
      </c>
      <c r="I564" s="5">
        <v>44682</v>
      </c>
      <c r="J564" s="6">
        <v>0</v>
      </c>
      <c r="K564" s="6">
        <v>0</v>
      </c>
      <c r="L564" s="6">
        <v>7.0000000000000001E-3</v>
      </c>
      <c r="M564" s="6">
        <v>7.0000000000000001E-3</v>
      </c>
      <c r="N564" s="6">
        <v>7.0000000000000001E-3</v>
      </c>
      <c r="O564" s="6">
        <v>7.0000000000000001E-3</v>
      </c>
      <c r="P564" s="6">
        <v>0</v>
      </c>
      <c r="Q564" s="4" t="s">
        <v>26</v>
      </c>
      <c r="R564" s="4">
        <v>0</v>
      </c>
      <c r="S564" s="4" t="s">
        <v>202</v>
      </c>
      <c r="T564" s="4" t="s">
        <v>447</v>
      </c>
      <c r="U564" s="4">
        <v>0</v>
      </c>
      <c r="V564" s="4">
        <v>14</v>
      </c>
      <c r="W564" s="4">
        <v>51</v>
      </c>
    </row>
    <row r="565" spans="1:23" ht="11.25" customHeight="1" x14ac:dyDescent="0.25">
      <c r="A565" s="4" t="s">
        <v>21</v>
      </c>
      <c r="B565" s="4" t="s">
        <v>22</v>
      </c>
      <c r="C565" s="4" t="s">
        <v>33</v>
      </c>
      <c r="D565" s="4" t="s">
        <v>24</v>
      </c>
      <c r="E565" s="4" t="s">
        <v>24</v>
      </c>
      <c r="F565" s="4" t="s">
        <v>25</v>
      </c>
      <c r="G565" s="4" t="s">
        <v>25</v>
      </c>
      <c r="H565" s="4" t="s">
        <v>36</v>
      </c>
      <c r="I565" s="5">
        <v>44713</v>
      </c>
      <c r="J565" s="6">
        <v>0</v>
      </c>
      <c r="K565" s="6">
        <v>0</v>
      </c>
      <c r="L565" s="6">
        <v>0.496</v>
      </c>
      <c r="M565" s="6">
        <v>0.496</v>
      </c>
      <c r="N565" s="6">
        <v>0.496</v>
      </c>
      <c r="O565" s="6">
        <v>0.496</v>
      </c>
      <c r="P565" s="6">
        <v>0</v>
      </c>
      <c r="Q565" s="4" t="s">
        <v>26</v>
      </c>
      <c r="R565" s="4">
        <v>0</v>
      </c>
      <c r="S565" s="4" t="s">
        <v>203</v>
      </c>
      <c r="T565" s="4" t="s">
        <v>448</v>
      </c>
      <c r="U565" s="4">
        <v>0</v>
      </c>
      <c r="V565" s="4">
        <v>14</v>
      </c>
      <c r="W565" s="4">
        <v>51</v>
      </c>
    </row>
    <row r="566" spans="1:23" ht="11.25" customHeight="1" x14ac:dyDescent="0.25">
      <c r="A566" s="4" t="s">
        <v>21</v>
      </c>
      <c r="B566" s="4" t="s">
        <v>22</v>
      </c>
      <c r="C566" s="4" t="s">
        <v>33</v>
      </c>
      <c r="D566" s="4" t="s">
        <v>24</v>
      </c>
      <c r="E566" s="4" t="s">
        <v>24</v>
      </c>
      <c r="F566" s="4" t="s">
        <v>25</v>
      </c>
      <c r="G566" s="4" t="s">
        <v>25</v>
      </c>
      <c r="H566" s="4" t="s">
        <v>36</v>
      </c>
      <c r="I566" s="5">
        <v>44743</v>
      </c>
      <c r="J566" s="6">
        <v>0</v>
      </c>
      <c r="K566" s="6">
        <v>0</v>
      </c>
      <c r="L566" s="6">
        <v>0.502</v>
      </c>
      <c r="M566" s="6">
        <v>0.502</v>
      </c>
      <c r="N566" s="6">
        <v>0.502</v>
      </c>
      <c r="O566" s="6">
        <v>0.502</v>
      </c>
      <c r="P566" s="6">
        <v>0</v>
      </c>
      <c r="Q566" s="4" t="s">
        <v>26</v>
      </c>
      <c r="R566" s="4">
        <v>0</v>
      </c>
      <c r="S566" s="4" t="s">
        <v>204</v>
      </c>
      <c r="T566" s="4" t="s">
        <v>449</v>
      </c>
      <c r="U566" s="4">
        <v>0</v>
      </c>
      <c r="V566" s="4">
        <v>14</v>
      </c>
      <c r="W566" s="4">
        <v>51</v>
      </c>
    </row>
    <row r="567" spans="1:23" ht="11.25" customHeight="1" x14ac:dyDescent="0.25">
      <c r="A567" s="4" t="s">
        <v>28</v>
      </c>
      <c r="B567" s="4" t="s">
        <v>22</v>
      </c>
      <c r="C567" s="4" t="s">
        <v>33</v>
      </c>
      <c r="D567" s="4" t="s">
        <v>24</v>
      </c>
      <c r="E567" s="4" t="s">
        <v>24</v>
      </c>
      <c r="F567" s="4" t="s">
        <v>25</v>
      </c>
      <c r="G567" s="4" t="s">
        <v>25</v>
      </c>
      <c r="H567" s="4" t="s">
        <v>36</v>
      </c>
      <c r="I567" s="5">
        <v>44743</v>
      </c>
      <c r="J567" s="6">
        <v>0</v>
      </c>
      <c r="K567" s="6">
        <v>0</v>
      </c>
      <c r="L567" s="6">
        <v>8.0000000000000002E-3</v>
      </c>
      <c r="M567" s="6">
        <v>8.0000000000000002E-3</v>
      </c>
      <c r="N567" s="6">
        <v>8.0000000000000002E-3</v>
      </c>
      <c r="O567" s="6">
        <v>8.0000000000000002E-3</v>
      </c>
      <c r="P567" s="6">
        <v>0</v>
      </c>
      <c r="Q567" s="4" t="s">
        <v>26</v>
      </c>
      <c r="R567" s="4">
        <v>0</v>
      </c>
      <c r="S567" s="4" t="s">
        <v>204</v>
      </c>
      <c r="T567" s="4" t="s">
        <v>449</v>
      </c>
      <c r="U567" s="4">
        <v>0</v>
      </c>
      <c r="V567" s="4">
        <v>14</v>
      </c>
      <c r="W567" s="4">
        <v>51</v>
      </c>
    </row>
    <row r="568" spans="1:23" ht="11.25" customHeight="1" x14ac:dyDescent="0.25">
      <c r="A568" s="4" t="s">
        <v>56</v>
      </c>
      <c r="B568" s="4" t="s">
        <v>22</v>
      </c>
      <c r="C568" s="4" t="s">
        <v>33</v>
      </c>
      <c r="D568" s="4" t="s">
        <v>24</v>
      </c>
      <c r="E568" s="4" t="s">
        <v>24</v>
      </c>
      <c r="F568" s="4" t="s">
        <v>25</v>
      </c>
      <c r="G568" s="4" t="s">
        <v>25</v>
      </c>
      <c r="H568" s="4" t="s">
        <v>36</v>
      </c>
      <c r="I568" s="5">
        <v>44774</v>
      </c>
      <c r="J568" s="6">
        <v>0</v>
      </c>
      <c r="K568" s="6">
        <v>0</v>
      </c>
      <c r="L568" s="6">
        <v>0.502</v>
      </c>
      <c r="M568" s="6">
        <v>0.502</v>
      </c>
      <c r="N568" s="6">
        <v>0.502</v>
      </c>
      <c r="O568" s="6">
        <v>0.502</v>
      </c>
      <c r="P568" s="6">
        <v>0</v>
      </c>
      <c r="Q568" s="4" t="s">
        <v>26</v>
      </c>
      <c r="R568" s="4">
        <v>0</v>
      </c>
      <c r="S568" s="4" t="s">
        <v>205</v>
      </c>
      <c r="T568" s="4" t="s">
        <v>450</v>
      </c>
      <c r="U568" s="4">
        <v>0</v>
      </c>
      <c r="V568" s="4">
        <v>14</v>
      </c>
      <c r="W568" s="4">
        <v>51</v>
      </c>
    </row>
    <row r="569" spans="1:23" ht="11.25" customHeight="1" x14ac:dyDescent="0.25">
      <c r="A569" s="4" t="s">
        <v>56</v>
      </c>
      <c r="B569" s="4" t="s">
        <v>22</v>
      </c>
      <c r="C569" s="4" t="s">
        <v>33</v>
      </c>
      <c r="D569" s="4" t="s">
        <v>24</v>
      </c>
      <c r="E569" s="4" t="s">
        <v>24</v>
      </c>
      <c r="F569" s="4" t="s">
        <v>25</v>
      </c>
      <c r="G569" s="4" t="s">
        <v>25</v>
      </c>
      <c r="H569" s="4" t="s">
        <v>36</v>
      </c>
      <c r="I569" s="5">
        <v>44774</v>
      </c>
      <c r="J569" s="6">
        <v>0</v>
      </c>
      <c r="K569" s="6">
        <v>0</v>
      </c>
      <c r="L569" s="6">
        <v>8.0000000000000002E-3</v>
      </c>
      <c r="M569" s="6">
        <v>8.0000000000000002E-3</v>
      </c>
      <c r="N569" s="6">
        <v>8.0000000000000002E-3</v>
      </c>
      <c r="O569" s="6">
        <v>8.0000000000000002E-3</v>
      </c>
      <c r="P569" s="6">
        <v>0</v>
      </c>
      <c r="Q569" s="4" t="s">
        <v>26</v>
      </c>
      <c r="R569" s="4">
        <v>0</v>
      </c>
      <c r="S569" s="4" t="s">
        <v>205</v>
      </c>
      <c r="T569" s="4" t="s">
        <v>450</v>
      </c>
      <c r="U569" s="4">
        <v>0</v>
      </c>
      <c r="V569" s="4">
        <v>14</v>
      </c>
      <c r="W569" s="4">
        <v>51</v>
      </c>
    </row>
    <row r="570" spans="1:23" ht="11.25" customHeight="1" x14ac:dyDescent="0.25">
      <c r="A570" s="4" t="s">
        <v>21</v>
      </c>
      <c r="B570" s="4" t="s">
        <v>22</v>
      </c>
      <c r="C570" s="4" t="s">
        <v>33</v>
      </c>
      <c r="D570" s="4" t="s">
        <v>24</v>
      </c>
      <c r="E570" s="4" t="s">
        <v>24</v>
      </c>
      <c r="F570" s="4" t="s">
        <v>25</v>
      </c>
      <c r="G570" s="4" t="s">
        <v>25</v>
      </c>
      <c r="H570" s="4" t="s">
        <v>25</v>
      </c>
      <c r="I570" s="5">
        <v>44440</v>
      </c>
      <c r="J570" s="6">
        <v>0</v>
      </c>
      <c r="K570" s="6">
        <v>0</v>
      </c>
      <c r="L570" s="6">
        <v>0.1</v>
      </c>
      <c r="M570" s="6">
        <v>0.1</v>
      </c>
      <c r="N570" s="6">
        <v>0.1</v>
      </c>
      <c r="O570" s="6">
        <v>0.1</v>
      </c>
      <c r="P570" s="6">
        <v>32</v>
      </c>
      <c r="Q570" s="4" t="s">
        <v>26</v>
      </c>
      <c r="R570" s="4">
        <v>0</v>
      </c>
      <c r="S570" s="4" t="s">
        <v>206</v>
      </c>
      <c r="T570" s="4" t="s">
        <v>451</v>
      </c>
      <c r="U570" s="4">
        <v>0</v>
      </c>
      <c r="V570" s="4">
        <v>16</v>
      </c>
      <c r="W570" s="4">
        <v>53</v>
      </c>
    </row>
    <row r="571" spans="1:23" ht="11.25" customHeight="1" x14ac:dyDescent="0.25">
      <c r="A571" s="4" t="s">
        <v>28</v>
      </c>
      <c r="B571" s="4" t="s">
        <v>22</v>
      </c>
      <c r="C571" s="4" t="s">
        <v>33</v>
      </c>
      <c r="D571" s="4" t="s">
        <v>24</v>
      </c>
      <c r="E571" s="4" t="s">
        <v>24</v>
      </c>
      <c r="F571" s="4" t="s">
        <v>25</v>
      </c>
      <c r="G571" s="4" t="s">
        <v>25</v>
      </c>
      <c r="H571" s="4" t="s">
        <v>25</v>
      </c>
      <c r="I571" s="5">
        <v>44440</v>
      </c>
      <c r="J571" s="6">
        <v>0</v>
      </c>
      <c r="K571" s="6">
        <v>0</v>
      </c>
      <c r="L571" s="6">
        <v>0.23</v>
      </c>
      <c r="M571" s="6">
        <v>0.23</v>
      </c>
      <c r="N571" s="6">
        <v>0.23</v>
      </c>
      <c r="O571" s="6">
        <v>0.23</v>
      </c>
      <c r="P571" s="6">
        <v>3</v>
      </c>
      <c r="Q571" s="4" t="s">
        <v>26</v>
      </c>
      <c r="R571" s="4">
        <v>0</v>
      </c>
      <c r="S571" s="4" t="s">
        <v>206</v>
      </c>
      <c r="T571" s="4" t="s">
        <v>451</v>
      </c>
      <c r="U571" s="4">
        <v>0</v>
      </c>
      <c r="V571" s="4">
        <v>16</v>
      </c>
      <c r="W571" s="4">
        <v>53</v>
      </c>
    </row>
    <row r="572" spans="1:23" ht="11.25" customHeight="1" x14ac:dyDescent="0.25">
      <c r="A572" s="4" t="s">
        <v>21</v>
      </c>
      <c r="B572" s="4" t="s">
        <v>22</v>
      </c>
      <c r="C572" s="4" t="s">
        <v>33</v>
      </c>
      <c r="D572" s="4" t="s">
        <v>24</v>
      </c>
      <c r="E572" s="4" t="s">
        <v>24</v>
      </c>
      <c r="F572" s="4" t="s">
        <v>25</v>
      </c>
      <c r="G572" s="4" t="s">
        <v>25</v>
      </c>
      <c r="H572" s="4" t="s">
        <v>25</v>
      </c>
      <c r="I572" s="5">
        <v>44470</v>
      </c>
      <c r="J572" s="6">
        <v>0</v>
      </c>
      <c r="K572" s="6">
        <v>0</v>
      </c>
      <c r="L572" s="6">
        <v>0.08</v>
      </c>
      <c r="M572" s="6">
        <v>0.08</v>
      </c>
      <c r="N572" s="6">
        <v>0.08</v>
      </c>
      <c r="O572" s="6">
        <v>0.08</v>
      </c>
      <c r="P572" s="6">
        <v>33</v>
      </c>
      <c r="Q572" s="4" t="s">
        <v>26</v>
      </c>
      <c r="R572" s="4">
        <v>0</v>
      </c>
      <c r="S572" s="4" t="s">
        <v>207</v>
      </c>
      <c r="T572" s="4" t="s">
        <v>452</v>
      </c>
      <c r="U572" s="4">
        <v>0</v>
      </c>
      <c r="V572" s="4">
        <v>16</v>
      </c>
      <c r="W572" s="4">
        <v>53</v>
      </c>
    </row>
    <row r="573" spans="1:23" ht="11.25" customHeight="1" x14ac:dyDescent="0.25">
      <c r="A573" s="4" t="s">
        <v>28</v>
      </c>
      <c r="B573" s="4" t="s">
        <v>22</v>
      </c>
      <c r="C573" s="4" t="s">
        <v>33</v>
      </c>
      <c r="D573" s="4" t="s">
        <v>24</v>
      </c>
      <c r="E573" s="4" t="s">
        <v>24</v>
      </c>
      <c r="F573" s="4" t="s">
        <v>25</v>
      </c>
      <c r="G573" s="4" t="s">
        <v>25</v>
      </c>
      <c r="H573" s="4" t="s">
        <v>25</v>
      </c>
      <c r="I573" s="5">
        <v>44470</v>
      </c>
      <c r="J573" s="6">
        <v>0</v>
      </c>
      <c r="K573" s="6">
        <v>0</v>
      </c>
      <c r="L573" s="6">
        <v>0.2</v>
      </c>
      <c r="M573" s="6">
        <v>0.2</v>
      </c>
      <c r="N573" s="6">
        <v>0.2</v>
      </c>
      <c r="O573" s="6">
        <v>0.2</v>
      </c>
      <c r="P573" s="6">
        <v>2</v>
      </c>
      <c r="Q573" s="4" t="s">
        <v>26</v>
      </c>
      <c r="R573" s="4">
        <v>0</v>
      </c>
      <c r="S573" s="4" t="s">
        <v>207</v>
      </c>
      <c r="T573" s="4" t="s">
        <v>452</v>
      </c>
      <c r="U573" s="4">
        <v>0</v>
      </c>
      <c r="V573" s="4">
        <v>16</v>
      </c>
      <c r="W573" s="4">
        <v>53</v>
      </c>
    </row>
    <row r="574" spans="1:23" ht="11.25" customHeight="1" x14ac:dyDescent="0.25">
      <c r="A574" s="4" t="s">
        <v>21</v>
      </c>
      <c r="B574" s="4" t="s">
        <v>22</v>
      </c>
      <c r="C574" s="4" t="s">
        <v>33</v>
      </c>
      <c r="D574" s="4" t="s">
        <v>24</v>
      </c>
      <c r="E574" s="4" t="s">
        <v>24</v>
      </c>
      <c r="F574" s="4" t="s">
        <v>25</v>
      </c>
      <c r="G574" s="4" t="s">
        <v>25</v>
      </c>
      <c r="H574" s="4" t="s">
        <v>25</v>
      </c>
      <c r="I574" s="5">
        <v>44501</v>
      </c>
      <c r="J574" s="6">
        <v>0</v>
      </c>
      <c r="K574" s="6">
        <v>0</v>
      </c>
      <c r="L574" s="6">
        <v>0.13</v>
      </c>
      <c r="M574" s="6">
        <v>0.13</v>
      </c>
      <c r="N574" s="6">
        <v>0.13</v>
      </c>
      <c r="O574" s="6">
        <v>0.13</v>
      </c>
      <c r="P574" s="6">
        <v>33</v>
      </c>
      <c r="Q574" s="4" t="s">
        <v>26</v>
      </c>
      <c r="R574" s="4">
        <v>0</v>
      </c>
      <c r="S574" s="4" t="s">
        <v>208</v>
      </c>
      <c r="T574" s="4" t="s">
        <v>453</v>
      </c>
      <c r="U574" s="4">
        <v>0</v>
      </c>
      <c r="V574" s="4">
        <v>16</v>
      </c>
      <c r="W574" s="4">
        <v>53</v>
      </c>
    </row>
    <row r="575" spans="1:23" ht="11.25" customHeight="1" x14ac:dyDescent="0.25">
      <c r="A575" s="4" t="s">
        <v>28</v>
      </c>
      <c r="B575" s="4" t="s">
        <v>22</v>
      </c>
      <c r="C575" s="4" t="s">
        <v>33</v>
      </c>
      <c r="D575" s="4" t="s">
        <v>24</v>
      </c>
      <c r="E575" s="4" t="s">
        <v>24</v>
      </c>
      <c r="F575" s="4" t="s">
        <v>25</v>
      </c>
      <c r="G575" s="4" t="s">
        <v>25</v>
      </c>
      <c r="H575" s="4" t="s">
        <v>25</v>
      </c>
      <c r="I575" s="5">
        <v>44501</v>
      </c>
      <c r="J575" s="6">
        <v>0</v>
      </c>
      <c r="K575" s="6">
        <v>0</v>
      </c>
      <c r="L575" s="6">
        <v>0.2</v>
      </c>
      <c r="M575" s="6">
        <v>0.2</v>
      </c>
      <c r="N575" s="6">
        <v>0.2</v>
      </c>
      <c r="O575" s="6">
        <v>0.2</v>
      </c>
      <c r="P575" s="6">
        <v>2</v>
      </c>
      <c r="Q575" s="4" t="s">
        <v>26</v>
      </c>
      <c r="R575" s="4">
        <v>0</v>
      </c>
      <c r="S575" s="4" t="s">
        <v>208</v>
      </c>
      <c r="T575" s="4" t="s">
        <v>453</v>
      </c>
      <c r="U575" s="4">
        <v>0</v>
      </c>
      <c r="V575" s="4">
        <v>16</v>
      </c>
      <c r="W575" s="4">
        <v>53</v>
      </c>
    </row>
    <row r="576" spans="1:23" ht="11.25" customHeight="1" x14ac:dyDescent="0.25">
      <c r="A576" s="4" t="s">
        <v>21</v>
      </c>
      <c r="B576" s="4" t="s">
        <v>22</v>
      </c>
      <c r="C576" s="4" t="s">
        <v>33</v>
      </c>
      <c r="D576" s="4" t="s">
        <v>24</v>
      </c>
      <c r="E576" s="4" t="s">
        <v>24</v>
      </c>
      <c r="F576" s="4" t="s">
        <v>25</v>
      </c>
      <c r="G576" s="4" t="s">
        <v>25</v>
      </c>
      <c r="H576" s="4" t="s">
        <v>25</v>
      </c>
      <c r="I576" s="5">
        <v>44531</v>
      </c>
      <c r="J576" s="6">
        <v>0</v>
      </c>
      <c r="K576" s="6">
        <v>0</v>
      </c>
      <c r="L576" s="6">
        <v>0.05</v>
      </c>
      <c r="M576" s="6">
        <v>0.05</v>
      </c>
      <c r="N576" s="6">
        <v>0.05</v>
      </c>
      <c r="O576" s="6">
        <v>0.05</v>
      </c>
      <c r="P576" s="6">
        <v>32</v>
      </c>
      <c r="Q576" s="4" t="s">
        <v>26</v>
      </c>
      <c r="R576" s="4">
        <v>0</v>
      </c>
      <c r="S576" s="4" t="s">
        <v>209</v>
      </c>
      <c r="T576" s="4" t="s">
        <v>454</v>
      </c>
      <c r="U576" s="4">
        <v>0</v>
      </c>
      <c r="V576" s="4">
        <v>16</v>
      </c>
      <c r="W576" s="4">
        <v>53</v>
      </c>
    </row>
    <row r="577" spans="1:23" ht="11.25" customHeight="1" x14ac:dyDescent="0.25">
      <c r="A577" s="4" t="s">
        <v>28</v>
      </c>
      <c r="B577" s="4" t="s">
        <v>22</v>
      </c>
      <c r="C577" s="4" t="s">
        <v>33</v>
      </c>
      <c r="D577" s="4" t="s">
        <v>24</v>
      </c>
      <c r="E577" s="4" t="s">
        <v>24</v>
      </c>
      <c r="F577" s="4" t="s">
        <v>25</v>
      </c>
      <c r="G577" s="4" t="s">
        <v>25</v>
      </c>
      <c r="H577" s="4" t="s">
        <v>25</v>
      </c>
      <c r="I577" s="5">
        <v>44531</v>
      </c>
      <c r="J577" s="6">
        <v>0</v>
      </c>
      <c r="K577" s="6">
        <v>0</v>
      </c>
      <c r="L577" s="6">
        <v>0.2</v>
      </c>
      <c r="M577" s="6">
        <v>0.2</v>
      </c>
      <c r="N577" s="6">
        <v>0.2</v>
      </c>
      <c r="O577" s="6">
        <v>0.2</v>
      </c>
      <c r="P577" s="6">
        <v>2</v>
      </c>
      <c r="Q577" s="4" t="s">
        <v>26</v>
      </c>
      <c r="R577" s="4">
        <v>0</v>
      </c>
      <c r="S577" s="4" t="s">
        <v>209</v>
      </c>
      <c r="T577" s="4" t="s">
        <v>454</v>
      </c>
      <c r="U577" s="4">
        <v>0</v>
      </c>
      <c r="V577" s="4">
        <v>16</v>
      </c>
      <c r="W577" s="4">
        <v>53</v>
      </c>
    </row>
    <row r="578" spans="1:23" ht="11.25" customHeight="1" x14ac:dyDescent="0.25">
      <c r="A578" s="4" t="s">
        <v>21</v>
      </c>
      <c r="B578" s="4" t="s">
        <v>22</v>
      </c>
      <c r="C578" s="4" t="s">
        <v>33</v>
      </c>
      <c r="D578" s="4" t="s">
        <v>24</v>
      </c>
      <c r="E578" s="4" t="s">
        <v>24</v>
      </c>
      <c r="F578" s="4" t="s">
        <v>25</v>
      </c>
      <c r="G578" s="4" t="s">
        <v>25</v>
      </c>
      <c r="H578" s="4" t="s">
        <v>25</v>
      </c>
      <c r="I578" s="5">
        <v>44562</v>
      </c>
      <c r="J578" s="6">
        <v>0</v>
      </c>
      <c r="K578" s="6">
        <v>0</v>
      </c>
      <c r="L578" s="6">
        <v>0.05</v>
      </c>
      <c r="M578" s="6">
        <v>0.05</v>
      </c>
      <c r="N578" s="6">
        <v>0.05</v>
      </c>
      <c r="O578" s="6">
        <v>0.05</v>
      </c>
      <c r="P578" s="6">
        <v>32</v>
      </c>
      <c r="Q578" s="4" t="s">
        <v>26</v>
      </c>
      <c r="R578" s="4">
        <v>0</v>
      </c>
      <c r="S578" s="4" t="s">
        <v>210</v>
      </c>
      <c r="T578" s="4" t="s">
        <v>455</v>
      </c>
      <c r="U578" s="4">
        <v>0</v>
      </c>
      <c r="V578" s="4">
        <v>16</v>
      </c>
      <c r="W578" s="4">
        <v>53</v>
      </c>
    </row>
    <row r="579" spans="1:23" ht="11.25" customHeight="1" x14ac:dyDescent="0.25">
      <c r="A579" s="4" t="s">
        <v>28</v>
      </c>
      <c r="B579" s="4" t="s">
        <v>22</v>
      </c>
      <c r="C579" s="4" t="s">
        <v>33</v>
      </c>
      <c r="D579" s="4" t="s">
        <v>24</v>
      </c>
      <c r="E579" s="4" t="s">
        <v>24</v>
      </c>
      <c r="F579" s="4" t="s">
        <v>25</v>
      </c>
      <c r="G579" s="4" t="s">
        <v>25</v>
      </c>
      <c r="H579" s="4" t="s">
        <v>25</v>
      </c>
      <c r="I579" s="5">
        <v>44562</v>
      </c>
      <c r="J579" s="6">
        <v>0</v>
      </c>
      <c r="K579" s="6">
        <v>0</v>
      </c>
      <c r="L579" s="6">
        <v>0.2</v>
      </c>
      <c r="M579" s="6">
        <v>0.2</v>
      </c>
      <c r="N579" s="6">
        <v>0.2</v>
      </c>
      <c r="O579" s="6">
        <v>0.2</v>
      </c>
      <c r="P579" s="6">
        <v>2</v>
      </c>
      <c r="Q579" s="4" t="s">
        <v>26</v>
      </c>
      <c r="R579" s="4">
        <v>0</v>
      </c>
      <c r="S579" s="4" t="s">
        <v>210</v>
      </c>
      <c r="T579" s="4" t="s">
        <v>455</v>
      </c>
      <c r="U579" s="4">
        <v>0</v>
      </c>
      <c r="V579" s="4">
        <v>16</v>
      </c>
      <c r="W579" s="4">
        <v>53</v>
      </c>
    </row>
    <row r="580" spans="1:23" ht="11.25" customHeight="1" x14ac:dyDescent="0.25">
      <c r="A580" s="4" t="s">
        <v>21</v>
      </c>
      <c r="B580" s="4" t="s">
        <v>22</v>
      </c>
      <c r="C580" s="4" t="s">
        <v>33</v>
      </c>
      <c r="D580" s="4" t="s">
        <v>24</v>
      </c>
      <c r="E580" s="4" t="s">
        <v>24</v>
      </c>
      <c r="F580" s="4" t="s">
        <v>25</v>
      </c>
      <c r="G580" s="4" t="s">
        <v>25</v>
      </c>
      <c r="H580" s="4" t="s">
        <v>25</v>
      </c>
      <c r="I580" s="5">
        <v>44593</v>
      </c>
      <c r="J580" s="6">
        <v>0</v>
      </c>
      <c r="K580" s="6">
        <v>0</v>
      </c>
      <c r="L580" s="6">
        <v>0.05</v>
      </c>
      <c r="M580" s="6">
        <v>0.05</v>
      </c>
      <c r="N580" s="6">
        <v>0.05</v>
      </c>
      <c r="O580" s="6">
        <v>0.05</v>
      </c>
      <c r="P580" s="6">
        <v>32</v>
      </c>
      <c r="Q580" s="4" t="s">
        <v>26</v>
      </c>
      <c r="R580" s="4">
        <v>0</v>
      </c>
      <c r="S580" s="4" t="s">
        <v>211</v>
      </c>
      <c r="T580" s="4" t="s">
        <v>456</v>
      </c>
      <c r="U580" s="4">
        <v>0</v>
      </c>
      <c r="V580" s="4">
        <v>16</v>
      </c>
      <c r="W580" s="4">
        <v>53</v>
      </c>
    </row>
    <row r="581" spans="1:23" ht="11.25" customHeight="1" x14ac:dyDescent="0.25">
      <c r="A581" s="4" t="s">
        <v>28</v>
      </c>
      <c r="B581" s="4" t="s">
        <v>22</v>
      </c>
      <c r="C581" s="4" t="s">
        <v>33</v>
      </c>
      <c r="D581" s="4" t="s">
        <v>24</v>
      </c>
      <c r="E581" s="4" t="s">
        <v>24</v>
      </c>
      <c r="F581" s="4" t="s">
        <v>25</v>
      </c>
      <c r="G581" s="4" t="s">
        <v>25</v>
      </c>
      <c r="H581" s="4" t="s">
        <v>25</v>
      </c>
      <c r="I581" s="5">
        <v>44593</v>
      </c>
      <c r="J581" s="6">
        <v>0</v>
      </c>
      <c r="K581" s="6">
        <v>0</v>
      </c>
      <c r="L581" s="6">
        <v>0.2</v>
      </c>
      <c r="M581" s="6">
        <v>0.2</v>
      </c>
      <c r="N581" s="6">
        <v>0.2</v>
      </c>
      <c r="O581" s="6">
        <v>0.2</v>
      </c>
      <c r="P581" s="6">
        <v>2</v>
      </c>
      <c r="Q581" s="4" t="s">
        <v>26</v>
      </c>
      <c r="R581" s="4">
        <v>0</v>
      </c>
      <c r="S581" s="4" t="s">
        <v>211</v>
      </c>
      <c r="T581" s="4" t="s">
        <v>456</v>
      </c>
      <c r="U581" s="4">
        <v>0</v>
      </c>
      <c r="V581" s="4">
        <v>16</v>
      </c>
      <c r="W581" s="4">
        <v>53</v>
      </c>
    </row>
    <row r="582" spans="1:23" ht="11.25" customHeight="1" x14ac:dyDescent="0.25">
      <c r="A582" s="4" t="s">
        <v>21</v>
      </c>
      <c r="B582" s="4" t="s">
        <v>22</v>
      </c>
      <c r="C582" s="4" t="s">
        <v>33</v>
      </c>
      <c r="D582" s="4" t="s">
        <v>24</v>
      </c>
      <c r="E582" s="4" t="s">
        <v>24</v>
      </c>
      <c r="F582" s="4" t="s">
        <v>25</v>
      </c>
      <c r="G582" s="4" t="s">
        <v>25</v>
      </c>
      <c r="H582" s="4" t="s">
        <v>25</v>
      </c>
      <c r="I582" s="5">
        <v>44621</v>
      </c>
      <c r="J582" s="6">
        <v>0</v>
      </c>
      <c r="K582" s="6">
        <v>0</v>
      </c>
      <c r="L582" s="6">
        <v>0.05</v>
      </c>
      <c r="M582" s="6">
        <v>0.05</v>
      </c>
      <c r="N582" s="6">
        <v>0.05</v>
      </c>
      <c r="O582" s="6">
        <v>0.05</v>
      </c>
      <c r="P582" s="6">
        <v>32</v>
      </c>
      <c r="Q582" s="4" t="s">
        <v>26</v>
      </c>
      <c r="R582" s="4">
        <v>0</v>
      </c>
      <c r="S582" s="4" t="s">
        <v>212</v>
      </c>
      <c r="T582" s="4" t="s">
        <v>457</v>
      </c>
      <c r="U582" s="4">
        <v>0</v>
      </c>
      <c r="V582" s="4">
        <v>16</v>
      </c>
      <c r="W582" s="4">
        <v>53</v>
      </c>
    </row>
    <row r="583" spans="1:23" ht="11.25" customHeight="1" x14ac:dyDescent="0.25">
      <c r="A583" s="4" t="s">
        <v>28</v>
      </c>
      <c r="B583" s="4" t="s">
        <v>22</v>
      </c>
      <c r="C583" s="4" t="s">
        <v>33</v>
      </c>
      <c r="D583" s="4" t="s">
        <v>24</v>
      </c>
      <c r="E583" s="4" t="s">
        <v>24</v>
      </c>
      <c r="F583" s="4" t="s">
        <v>25</v>
      </c>
      <c r="G583" s="4" t="s">
        <v>25</v>
      </c>
      <c r="H583" s="4" t="s">
        <v>25</v>
      </c>
      <c r="I583" s="5">
        <v>44621</v>
      </c>
      <c r="J583" s="6">
        <v>0</v>
      </c>
      <c r="K583" s="6">
        <v>0</v>
      </c>
      <c r="L583" s="6">
        <v>0.2</v>
      </c>
      <c r="M583" s="6">
        <v>0.2</v>
      </c>
      <c r="N583" s="6">
        <v>0.2</v>
      </c>
      <c r="O583" s="6">
        <v>0.2</v>
      </c>
      <c r="P583" s="6">
        <v>2</v>
      </c>
      <c r="Q583" s="4" t="s">
        <v>26</v>
      </c>
      <c r="R583" s="4">
        <v>0</v>
      </c>
      <c r="S583" s="4" t="s">
        <v>212</v>
      </c>
      <c r="T583" s="4" t="s">
        <v>457</v>
      </c>
      <c r="U583" s="4">
        <v>0</v>
      </c>
      <c r="V583" s="4">
        <v>16</v>
      </c>
      <c r="W583" s="4">
        <v>53</v>
      </c>
    </row>
    <row r="584" spans="1:23" ht="11.25" customHeight="1" x14ac:dyDescent="0.25">
      <c r="A584" s="4" t="s">
        <v>21</v>
      </c>
      <c r="B584" s="4" t="s">
        <v>22</v>
      </c>
      <c r="C584" s="4" t="s">
        <v>33</v>
      </c>
      <c r="D584" s="4" t="s">
        <v>24</v>
      </c>
      <c r="E584" s="4" t="s">
        <v>24</v>
      </c>
      <c r="F584" s="4" t="s">
        <v>25</v>
      </c>
      <c r="G584" s="4" t="s">
        <v>25</v>
      </c>
      <c r="H584" s="4" t="s">
        <v>25</v>
      </c>
      <c r="I584" s="5">
        <v>44652</v>
      </c>
      <c r="J584" s="6">
        <v>0</v>
      </c>
      <c r="K584" s="6">
        <v>0</v>
      </c>
      <c r="L584" s="6">
        <v>0.05</v>
      </c>
      <c r="M584" s="6">
        <v>0.05</v>
      </c>
      <c r="N584" s="6">
        <v>0.05</v>
      </c>
      <c r="O584" s="6">
        <v>0.05</v>
      </c>
      <c r="P584" s="6">
        <v>31</v>
      </c>
      <c r="Q584" s="4" t="s">
        <v>26</v>
      </c>
      <c r="R584" s="4">
        <v>0</v>
      </c>
      <c r="S584" s="4" t="s">
        <v>213</v>
      </c>
      <c r="T584" s="4" t="s">
        <v>458</v>
      </c>
      <c r="U584" s="4">
        <v>0</v>
      </c>
      <c r="V584" s="4">
        <v>16</v>
      </c>
      <c r="W584" s="4">
        <v>53</v>
      </c>
    </row>
    <row r="585" spans="1:23" ht="11.25" customHeight="1" x14ac:dyDescent="0.25">
      <c r="A585" s="4" t="s">
        <v>28</v>
      </c>
      <c r="B585" s="4" t="s">
        <v>22</v>
      </c>
      <c r="C585" s="4" t="s">
        <v>33</v>
      </c>
      <c r="D585" s="4" t="s">
        <v>24</v>
      </c>
      <c r="E585" s="4" t="s">
        <v>24</v>
      </c>
      <c r="F585" s="4" t="s">
        <v>25</v>
      </c>
      <c r="G585" s="4" t="s">
        <v>25</v>
      </c>
      <c r="H585" s="4" t="s">
        <v>25</v>
      </c>
      <c r="I585" s="5">
        <v>44652</v>
      </c>
      <c r="J585" s="6">
        <v>0</v>
      </c>
      <c r="K585" s="6">
        <v>0</v>
      </c>
      <c r="L585" s="6">
        <v>0.2</v>
      </c>
      <c r="M585" s="6">
        <v>0.2</v>
      </c>
      <c r="N585" s="6">
        <v>0.2</v>
      </c>
      <c r="O585" s="6">
        <v>0.2</v>
      </c>
      <c r="P585" s="6">
        <v>3</v>
      </c>
      <c r="Q585" s="4" t="s">
        <v>26</v>
      </c>
      <c r="R585" s="4">
        <v>0</v>
      </c>
      <c r="S585" s="4" t="s">
        <v>213</v>
      </c>
      <c r="T585" s="4" t="s">
        <v>458</v>
      </c>
      <c r="U585" s="4">
        <v>0</v>
      </c>
      <c r="V585" s="4">
        <v>16</v>
      </c>
      <c r="W585" s="4">
        <v>53</v>
      </c>
    </row>
    <row r="586" spans="1:23" ht="11.25" customHeight="1" x14ac:dyDescent="0.25">
      <c r="A586" s="4" t="s">
        <v>21</v>
      </c>
      <c r="B586" s="4" t="s">
        <v>22</v>
      </c>
      <c r="C586" s="4" t="s">
        <v>33</v>
      </c>
      <c r="D586" s="4" t="s">
        <v>24</v>
      </c>
      <c r="E586" s="4" t="s">
        <v>24</v>
      </c>
      <c r="F586" s="4" t="s">
        <v>25</v>
      </c>
      <c r="G586" s="4" t="s">
        <v>25</v>
      </c>
      <c r="H586" s="4" t="s">
        <v>25</v>
      </c>
      <c r="I586" s="5">
        <v>44682</v>
      </c>
      <c r="J586" s="6">
        <v>0</v>
      </c>
      <c r="K586" s="6">
        <v>0</v>
      </c>
      <c r="L586" s="6">
        <v>0.05</v>
      </c>
      <c r="M586" s="6">
        <v>0.05</v>
      </c>
      <c r="N586" s="6">
        <v>0.05</v>
      </c>
      <c r="O586" s="6">
        <v>0.05</v>
      </c>
      <c r="P586" s="6">
        <v>29</v>
      </c>
      <c r="Q586" s="4" t="s">
        <v>26</v>
      </c>
      <c r="R586" s="4">
        <v>0</v>
      </c>
      <c r="S586" s="4" t="s">
        <v>214</v>
      </c>
      <c r="T586" s="4" t="s">
        <v>459</v>
      </c>
      <c r="U586" s="4">
        <v>0</v>
      </c>
      <c r="V586" s="4">
        <v>16</v>
      </c>
      <c r="W586" s="4">
        <v>53</v>
      </c>
    </row>
    <row r="587" spans="1:23" ht="11.25" customHeight="1" x14ac:dyDescent="0.25">
      <c r="A587" s="4" t="s">
        <v>28</v>
      </c>
      <c r="B587" s="4" t="s">
        <v>22</v>
      </c>
      <c r="C587" s="4" t="s">
        <v>33</v>
      </c>
      <c r="D587" s="4" t="s">
        <v>24</v>
      </c>
      <c r="E587" s="4" t="s">
        <v>24</v>
      </c>
      <c r="F587" s="4" t="s">
        <v>25</v>
      </c>
      <c r="G587" s="4" t="s">
        <v>25</v>
      </c>
      <c r="H587" s="4" t="s">
        <v>25</v>
      </c>
      <c r="I587" s="5">
        <v>44682</v>
      </c>
      <c r="J587" s="6">
        <v>0</v>
      </c>
      <c r="K587" s="6">
        <v>0</v>
      </c>
      <c r="L587" s="6">
        <v>0.3</v>
      </c>
      <c r="M587" s="6">
        <v>0.3</v>
      </c>
      <c r="N587" s="6">
        <v>0.3</v>
      </c>
      <c r="O587" s="6">
        <v>0.3</v>
      </c>
      <c r="P587" s="6">
        <v>3</v>
      </c>
      <c r="Q587" s="4" t="s">
        <v>26</v>
      </c>
      <c r="R587" s="4">
        <v>0</v>
      </c>
      <c r="S587" s="4" t="s">
        <v>214</v>
      </c>
      <c r="T587" s="4" t="s">
        <v>459</v>
      </c>
      <c r="U587" s="4">
        <v>0</v>
      </c>
      <c r="V587" s="4">
        <v>16</v>
      </c>
      <c r="W587" s="4">
        <v>53</v>
      </c>
    </row>
    <row r="588" spans="1:23" ht="11.25" customHeight="1" x14ac:dyDescent="0.25">
      <c r="A588" s="4" t="s">
        <v>21</v>
      </c>
      <c r="B588" s="4" t="s">
        <v>22</v>
      </c>
      <c r="C588" s="4" t="s">
        <v>33</v>
      </c>
      <c r="D588" s="4" t="s">
        <v>24</v>
      </c>
      <c r="E588" s="4" t="s">
        <v>24</v>
      </c>
      <c r="F588" s="4" t="s">
        <v>25</v>
      </c>
      <c r="G588" s="4" t="s">
        <v>25</v>
      </c>
      <c r="H588" s="4" t="s">
        <v>25</v>
      </c>
      <c r="I588" s="5">
        <v>44713</v>
      </c>
      <c r="J588" s="6">
        <v>0</v>
      </c>
      <c r="K588" s="6">
        <v>0</v>
      </c>
      <c r="L588" s="6">
        <v>0.05</v>
      </c>
      <c r="M588" s="6">
        <v>0.05</v>
      </c>
      <c r="N588" s="6">
        <v>0.05</v>
      </c>
      <c r="O588" s="6">
        <v>0.05</v>
      </c>
      <c r="P588" s="6">
        <v>28</v>
      </c>
      <c r="Q588" s="4" t="s">
        <v>26</v>
      </c>
      <c r="R588" s="4">
        <v>0</v>
      </c>
      <c r="S588" s="4" t="s">
        <v>215</v>
      </c>
      <c r="T588" s="4" t="s">
        <v>460</v>
      </c>
      <c r="U588" s="4">
        <v>0</v>
      </c>
      <c r="V588" s="4">
        <v>16</v>
      </c>
      <c r="W588" s="4">
        <v>53</v>
      </c>
    </row>
    <row r="589" spans="1:23" ht="11.25" customHeight="1" x14ac:dyDescent="0.25">
      <c r="A589" s="4" t="s">
        <v>28</v>
      </c>
      <c r="B589" s="4" t="s">
        <v>22</v>
      </c>
      <c r="C589" s="4" t="s">
        <v>33</v>
      </c>
      <c r="D589" s="4" t="s">
        <v>24</v>
      </c>
      <c r="E589" s="4" t="s">
        <v>24</v>
      </c>
      <c r="F589" s="4" t="s">
        <v>25</v>
      </c>
      <c r="G589" s="4" t="s">
        <v>25</v>
      </c>
      <c r="H589" s="4" t="s">
        <v>25</v>
      </c>
      <c r="I589" s="5">
        <v>44713</v>
      </c>
      <c r="J589" s="6">
        <v>0</v>
      </c>
      <c r="K589" s="6">
        <v>0</v>
      </c>
      <c r="L589" s="6">
        <v>0.4</v>
      </c>
      <c r="M589" s="6">
        <v>0.4</v>
      </c>
      <c r="N589" s="6">
        <v>0.4</v>
      </c>
      <c r="O589" s="6">
        <v>0.4</v>
      </c>
      <c r="P589" s="6">
        <v>4</v>
      </c>
      <c r="Q589" s="4" t="s">
        <v>26</v>
      </c>
      <c r="R589" s="4">
        <v>0</v>
      </c>
      <c r="S589" s="4" t="s">
        <v>215</v>
      </c>
      <c r="T589" s="4" t="s">
        <v>460</v>
      </c>
      <c r="U589" s="4">
        <v>0</v>
      </c>
      <c r="V589" s="4">
        <v>16</v>
      </c>
      <c r="W589" s="4">
        <v>53</v>
      </c>
    </row>
    <row r="590" spans="1:23" ht="11.25" customHeight="1" x14ac:dyDescent="0.25">
      <c r="A590" s="4" t="s">
        <v>21</v>
      </c>
      <c r="B590" s="4" t="s">
        <v>22</v>
      </c>
      <c r="C590" s="4" t="s">
        <v>33</v>
      </c>
      <c r="D590" s="4" t="s">
        <v>24</v>
      </c>
      <c r="E590" s="4" t="s">
        <v>24</v>
      </c>
      <c r="F590" s="4" t="s">
        <v>25</v>
      </c>
      <c r="G590" s="4" t="s">
        <v>25</v>
      </c>
      <c r="H590" s="4" t="s">
        <v>25</v>
      </c>
      <c r="I590" s="5">
        <v>44743</v>
      </c>
      <c r="J590" s="6">
        <v>0</v>
      </c>
      <c r="K590" s="6">
        <v>0</v>
      </c>
      <c r="L590" s="6">
        <v>0.1</v>
      </c>
      <c r="M590" s="6">
        <v>0.1</v>
      </c>
      <c r="N590" s="6">
        <v>0.1</v>
      </c>
      <c r="O590" s="6">
        <v>0.1</v>
      </c>
      <c r="P590" s="6">
        <v>28</v>
      </c>
      <c r="Q590" s="4" t="s">
        <v>26</v>
      </c>
      <c r="R590" s="4">
        <v>0</v>
      </c>
      <c r="S590" s="4" t="s">
        <v>216</v>
      </c>
      <c r="T590" s="4" t="s">
        <v>461</v>
      </c>
      <c r="U590" s="4">
        <v>0</v>
      </c>
      <c r="V590" s="4">
        <v>16</v>
      </c>
      <c r="W590" s="4">
        <v>53</v>
      </c>
    </row>
    <row r="591" spans="1:23" ht="11.25" customHeight="1" x14ac:dyDescent="0.25">
      <c r="A591" s="4" t="s">
        <v>28</v>
      </c>
      <c r="B591" s="4" t="s">
        <v>22</v>
      </c>
      <c r="C591" s="4" t="s">
        <v>33</v>
      </c>
      <c r="D591" s="4" t="s">
        <v>24</v>
      </c>
      <c r="E591" s="4" t="s">
        <v>24</v>
      </c>
      <c r="F591" s="4" t="s">
        <v>25</v>
      </c>
      <c r="G591" s="4" t="s">
        <v>25</v>
      </c>
      <c r="H591" s="4" t="s">
        <v>25</v>
      </c>
      <c r="I591" s="5">
        <v>44743</v>
      </c>
      <c r="J591" s="6">
        <v>0</v>
      </c>
      <c r="K591" s="6">
        <v>0</v>
      </c>
      <c r="L591" s="6">
        <v>0.3</v>
      </c>
      <c r="M591" s="6">
        <v>0.3</v>
      </c>
      <c r="N591" s="6">
        <v>0.3</v>
      </c>
      <c r="O591" s="6">
        <v>0.3</v>
      </c>
      <c r="P591" s="6">
        <v>4</v>
      </c>
      <c r="Q591" s="4" t="s">
        <v>26</v>
      </c>
      <c r="R591" s="4">
        <v>0</v>
      </c>
      <c r="S591" s="4" t="s">
        <v>216</v>
      </c>
      <c r="T591" s="4" t="s">
        <v>461</v>
      </c>
      <c r="U591" s="4">
        <v>0</v>
      </c>
      <c r="V591" s="4">
        <v>16</v>
      </c>
      <c r="W591" s="4">
        <v>53</v>
      </c>
    </row>
    <row r="592" spans="1:23" ht="11.25" customHeight="1" x14ac:dyDescent="0.25">
      <c r="A592" s="4" t="s">
        <v>56</v>
      </c>
      <c r="B592" s="4" t="s">
        <v>22</v>
      </c>
      <c r="C592" s="4" t="s">
        <v>33</v>
      </c>
      <c r="D592" s="4" t="s">
        <v>24</v>
      </c>
      <c r="E592" s="4" t="s">
        <v>24</v>
      </c>
      <c r="F592" s="4" t="s">
        <v>25</v>
      </c>
      <c r="G592" s="4" t="s">
        <v>25</v>
      </c>
      <c r="H592" s="4" t="s">
        <v>25</v>
      </c>
      <c r="I592" s="5">
        <v>44774</v>
      </c>
      <c r="J592" s="6">
        <v>0</v>
      </c>
      <c r="K592" s="6">
        <v>0</v>
      </c>
      <c r="L592" s="6">
        <v>0.1</v>
      </c>
      <c r="M592" s="6">
        <v>0.1</v>
      </c>
      <c r="N592" s="6">
        <v>0.1</v>
      </c>
      <c r="O592" s="6">
        <v>0.1</v>
      </c>
      <c r="P592" s="6">
        <v>28</v>
      </c>
      <c r="Q592" s="4" t="s">
        <v>26</v>
      </c>
      <c r="R592" s="4">
        <v>0</v>
      </c>
      <c r="S592" s="4" t="s">
        <v>217</v>
      </c>
      <c r="T592" s="4" t="s">
        <v>462</v>
      </c>
      <c r="U592" s="4">
        <v>0</v>
      </c>
      <c r="V592" s="4">
        <v>16</v>
      </c>
      <c r="W592" s="4">
        <v>53</v>
      </c>
    </row>
    <row r="593" spans="1:23" ht="11.25" customHeight="1" x14ac:dyDescent="0.25">
      <c r="A593" s="4" t="s">
        <v>56</v>
      </c>
      <c r="B593" s="4" t="s">
        <v>22</v>
      </c>
      <c r="C593" s="4" t="s">
        <v>33</v>
      </c>
      <c r="D593" s="4" t="s">
        <v>24</v>
      </c>
      <c r="E593" s="4" t="s">
        <v>24</v>
      </c>
      <c r="F593" s="4" t="s">
        <v>25</v>
      </c>
      <c r="G593" s="4" t="s">
        <v>25</v>
      </c>
      <c r="H593" s="4" t="s">
        <v>25</v>
      </c>
      <c r="I593" s="5">
        <v>44774</v>
      </c>
      <c r="J593" s="6">
        <v>0</v>
      </c>
      <c r="K593" s="6">
        <v>0</v>
      </c>
      <c r="L593" s="6">
        <v>0.3</v>
      </c>
      <c r="M593" s="6">
        <v>0.3</v>
      </c>
      <c r="N593" s="6">
        <v>0.3</v>
      </c>
      <c r="O593" s="6">
        <v>0.3</v>
      </c>
      <c r="P593" s="6">
        <v>4</v>
      </c>
      <c r="Q593" s="4" t="s">
        <v>26</v>
      </c>
      <c r="R593" s="4">
        <v>0</v>
      </c>
      <c r="S593" s="4" t="s">
        <v>217</v>
      </c>
      <c r="T593" s="4" t="s">
        <v>462</v>
      </c>
      <c r="U593" s="4">
        <v>0</v>
      </c>
      <c r="V593" s="4">
        <v>16</v>
      </c>
      <c r="W593" s="4">
        <v>53</v>
      </c>
    </row>
    <row r="594" spans="1:23" ht="11.25" customHeight="1" x14ac:dyDescent="0.25">
      <c r="A594" s="4" t="s">
        <v>21</v>
      </c>
      <c r="B594" s="4" t="s">
        <v>22</v>
      </c>
      <c r="C594" s="4" t="s">
        <v>33</v>
      </c>
      <c r="D594" s="4" t="s">
        <v>24</v>
      </c>
      <c r="E594" s="4" t="s">
        <v>24</v>
      </c>
      <c r="F594" s="4" t="s">
        <v>25</v>
      </c>
      <c r="G594" s="4" t="s">
        <v>25</v>
      </c>
      <c r="H594" s="4" t="s">
        <v>34</v>
      </c>
      <c r="I594" s="5">
        <v>44440</v>
      </c>
      <c r="J594" s="6">
        <v>0</v>
      </c>
      <c r="K594" s="6">
        <v>0</v>
      </c>
      <c r="L594" s="6">
        <v>1.484</v>
      </c>
      <c r="M594" s="6">
        <v>1.484</v>
      </c>
      <c r="N594" s="6">
        <v>1.484</v>
      </c>
      <c r="O594" s="6">
        <v>1.484</v>
      </c>
      <c r="P594" s="6">
        <v>0</v>
      </c>
      <c r="Q594" s="4" t="s">
        <v>26</v>
      </c>
      <c r="R594" s="4">
        <v>0</v>
      </c>
      <c r="S594" s="4" t="s">
        <v>218</v>
      </c>
      <c r="T594" s="4" t="s">
        <v>463</v>
      </c>
      <c r="U594" s="4">
        <v>0</v>
      </c>
      <c r="V594" s="4">
        <v>13</v>
      </c>
      <c r="W594" s="4">
        <v>50</v>
      </c>
    </row>
    <row r="595" spans="1:23" ht="11.25" customHeight="1" x14ac:dyDescent="0.25">
      <c r="A595" s="4" t="s">
        <v>21</v>
      </c>
      <c r="B595" s="4" t="s">
        <v>22</v>
      </c>
      <c r="C595" s="4" t="s">
        <v>33</v>
      </c>
      <c r="D595" s="4" t="s">
        <v>24</v>
      </c>
      <c r="E595" s="4" t="s">
        <v>24</v>
      </c>
      <c r="F595" s="4" t="s">
        <v>25</v>
      </c>
      <c r="G595" s="4" t="s">
        <v>25</v>
      </c>
      <c r="H595" s="4" t="s">
        <v>34</v>
      </c>
      <c r="I595" s="5">
        <v>44470</v>
      </c>
      <c r="J595" s="6">
        <v>0</v>
      </c>
      <c r="K595" s="6">
        <v>0</v>
      </c>
      <c r="L595" s="6">
        <v>1.653</v>
      </c>
      <c r="M595" s="6">
        <v>1.653</v>
      </c>
      <c r="N595" s="6">
        <v>1.653</v>
      </c>
      <c r="O595" s="6">
        <v>1.653</v>
      </c>
      <c r="P595" s="6">
        <v>0</v>
      </c>
      <c r="Q595" s="4" t="s">
        <v>26</v>
      </c>
      <c r="R595" s="4">
        <v>0</v>
      </c>
      <c r="S595" s="4" t="s">
        <v>219</v>
      </c>
      <c r="T595" s="4" t="s">
        <v>464</v>
      </c>
      <c r="U595" s="4">
        <v>0</v>
      </c>
      <c r="V595" s="4">
        <v>13</v>
      </c>
      <c r="W595" s="4">
        <v>50</v>
      </c>
    </row>
    <row r="596" spans="1:23" ht="11.25" customHeight="1" x14ac:dyDescent="0.25">
      <c r="A596" s="4" t="s">
        <v>21</v>
      </c>
      <c r="B596" s="4" t="s">
        <v>22</v>
      </c>
      <c r="C596" s="4" t="s">
        <v>33</v>
      </c>
      <c r="D596" s="4" t="s">
        <v>24</v>
      </c>
      <c r="E596" s="4" t="s">
        <v>24</v>
      </c>
      <c r="F596" s="4" t="s">
        <v>25</v>
      </c>
      <c r="G596" s="4" t="s">
        <v>25</v>
      </c>
      <c r="H596" s="4" t="s">
        <v>34</v>
      </c>
      <c r="I596" s="5">
        <v>44501</v>
      </c>
      <c r="J596" s="6">
        <v>0</v>
      </c>
      <c r="K596" s="6">
        <v>0</v>
      </c>
      <c r="L596" s="6">
        <v>1.482</v>
      </c>
      <c r="M596" s="6">
        <v>1.482</v>
      </c>
      <c r="N596" s="6">
        <v>1.482</v>
      </c>
      <c r="O596" s="6">
        <v>1.482</v>
      </c>
      <c r="P596" s="6">
        <v>0</v>
      </c>
      <c r="Q596" s="4" t="s">
        <v>26</v>
      </c>
      <c r="R596" s="4">
        <v>0</v>
      </c>
      <c r="S596" s="4" t="s">
        <v>220</v>
      </c>
      <c r="T596" s="4" t="s">
        <v>465</v>
      </c>
      <c r="U596" s="4">
        <v>0</v>
      </c>
      <c r="V596" s="4">
        <v>13</v>
      </c>
      <c r="W596" s="4">
        <v>50</v>
      </c>
    </row>
    <row r="597" spans="1:23" ht="11.25" customHeight="1" x14ac:dyDescent="0.25">
      <c r="A597" s="4" t="s">
        <v>21</v>
      </c>
      <c r="B597" s="4" t="s">
        <v>22</v>
      </c>
      <c r="C597" s="4" t="s">
        <v>33</v>
      </c>
      <c r="D597" s="4" t="s">
        <v>24</v>
      </c>
      <c r="E597" s="4" t="s">
        <v>24</v>
      </c>
      <c r="F597" s="4" t="s">
        <v>25</v>
      </c>
      <c r="G597" s="4" t="s">
        <v>25</v>
      </c>
      <c r="H597" s="4" t="s">
        <v>34</v>
      </c>
      <c r="I597" s="5">
        <v>44531</v>
      </c>
      <c r="J597" s="6">
        <v>0</v>
      </c>
      <c r="K597" s="6">
        <v>0</v>
      </c>
      <c r="L597" s="6">
        <v>1.6040000000000001</v>
      </c>
      <c r="M597" s="6">
        <v>1.6040000000000001</v>
      </c>
      <c r="N597" s="6">
        <v>1.6040000000000001</v>
      </c>
      <c r="O597" s="6">
        <v>1.6040000000000001</v>
      </c>
      <c r="P597" s="6">
        <v>0</v>
      </c>
      <c r="Q597" s="4" t="s">
        <v>26</v>
      </c>
      <c r="R597" s="4">
        <v>0</v>
      </c>
      <c r="S597" s="4" t="s">
        <v>221</v>
      </c>
      <c r="T597" s="4" t="s">
        <v>466</v>
      </c>
      <c r="U597" s="4">
        <v>0</v>
      </c>
      <c r="V597" s="4">
        <v>13</v>
      </c>
      <c r="W597" s="4">
        <v>50</v>
      </c>
    </row>
    <row r="598" spans="1:23" ht="11.25" customHeight="1" x14ac:dyDescent="0.25">
      <c r="A598" s="4" t="s">
        <v>21</v>
      </c>
      <c r="B598" s="4" t="s">
        <v>22</v>
      </c>
      <c r="C598" s="4" t="s">
        <v>33</v>
      </c>
      <c r="D598" s="4" t="s">
        <v>24</v>
      </c>
      <c r="E598" s="4" t="s">
        <v>24</v>
      </c>
      <c r="F598" s="4" t="s">
        <v>25</v>
      </c>
      <c r="G598" s="4" t="s">
        <v>25</v>
      </c>
      <c r="H598" s="4" t="s">
        <v>34</v>
      </c>
      <c r="I598" s="5">
        <v>44562</v>
      </c>
      <c r="J598" s="6">
        <v>0</v>
      </c>
      <c r="K598" s="6">
        <v>0</v>
      </c>
      <c r="L598" s="6">
        <v>1.5620000000000001</v>
      </c>
      <c r="M598" s="6">
        <v>1.5620000000000001</v>
      </c>
      <c r="N598" s="6">
        <v>1.5620000000000001</v>
      </c>
      <c r="O598" s="6">
        <v>1.5620000000000001</v>
      </c>
      <c r="P598" s="6">
        <v>0</v>
      </c>
      <c r="Q598" s="4" t="s">
        <v>26</v>
      </c>
      <c r="R598" s="4">
        <v>0</v>
      </c>
      <c r="S598" s="4" t="s">
        <v>222</v>
      </c>
      <c r="T598" s="4" t="s">
        <v>467</v>
      </c>
      <c r="U598" s="4">
        <v>0</v>
      </c>
      <c r="V598" s="4">
        <v>13</v>
      </c>
      <c r="W598" s="4">
        <v>50</v>
      </c>
    </row>
    <row r="599" spans="1:23" ht="11.25" customHeight="1" x14ac:dyDescent="0.25">
      <c r="A599" s="4" t="s">
        <v>21</v>
      </c>
      <c r="B599" s="4" t="s">
        <v>22</v>
      </c>
      <c r="C599" s="4" t="s">
        <v>33</v>
      </c>
      <c r="D599" s="4" t="s">
        <v>24</v>
      </c>
      <c r="E599" s="4" t="s">
        <v>24</v>
      </c>
      <c r="F599" s="4" t="s">
        <v>25</v>
      </c>
      <c r="G599" s="4" t="s">
        <v>25</v>
      </c>
      <c r="H599" s="4" t="s">
        <v>34</v>
      </c>
      <c r="I599" s="5">
        <v>44593</v>
      </c>
      <c r="J599" s="6">
        <v>0</v>
      </c>
      <c r="K599" s="6">
        <v>0</v>
      </c>
      <c r="L599" s="6">
        <v>1.6719999999999999</v>
      </c>
      <c r="M599" s="6">
        <v>1.6719999999999999</v>
      </c>
      <c r="N599" s="6">
        <v>1.6719999999999999</v>
      </c>
      <c r="O599" s="6">
        <v>1.6719999999999999</v>
      </c>
      <c r="P599" s="6">
        <v>0</v>
      </c>
      <c r="Q599" s="4" t="s">
        <v>26</v>
      </c>
      <c r="R599" s="4">
        <v>0</v>
      </c>
      <c r="S599" s="4" t="s">
        <v>223</v>
      </c>
      <c r="T599" s="4" t="s">
        <v>468</v>
      </c>
      <c r="U599" s="4">
        <v>0</v>
      </c>
      <c r="V599" s="4">
        <v>13</v>
      </c>
      <c r="W599" s="4">
        <v>50</v>
      </c>
    </row>
    <row r="600" spans="1:23" ht="11.25" customHeight="1" x14ac:dyDescent="0.25">
      <c r="A600" s="4" t="s">
        <v>21</v>
      </c>
      <c r="B600" s="4" t="s">
        <v>22</v>
      </c>
      <c r="C600" s="4" t="s">
        <v>33</v>
      </c>
      <c r="D600" s="4" t="s">
        <v>24</v>
      </c>
      <c r="E600" s="4" t="s">
        <v>24</v>
      </c>
      <c r="F600" s="4" t="s">
        <v>25</v>
      </c>
      <c r="G600" s="4" t="s">
        <v>25</v>
      </c>
      <c r="H600" s="4" t="s">
        <v>34</v>
      </c>
      <c r="I600" s="5">
        <v>44621</v>
      </c>
      <c r="J600" s="6">
        <v>0</v>
      </c>
      <c r="K600" s="6">
        <v>0</v>
      </c>
      <c r="L600" s="6">
        <v>1.627</v>
      </c>
      <c r="M600" s="6">
        <v>1.627</v>
      </c>
      <c r="N600" s="6">
        <v>1.627</v>
      </c>
      <c r="O600" s="6">
        <v>1.627</v>
      </c>
      <c r="P600" s="6">
        <v>0</v>
      </c>
      <c r="Q600" s="4" t="s">
        <v>26</v>
      </c>
      <c r="R600" s="4">
        <v>0</v>
      </c>
      <c r="S600" s="4" t="s">
        <v>224</v>
      </c>
      <c r="T600" s="4" t="s">
        <v>469</v>
      </c>
      <c r="U600" s="4">
        <v>0</v>
      </c>
      <c r="V600" s="4">
        <v>13</v>
      </c>
      <c r="W600" s="4">
        <v>50</v>
      </c>
    </row>
    <row r="601" spans="1:23" ht="11.25" customHeight="1" x14ac:dyDescent="0.25">
      <c r="A601" s="4" t="s">
        <v>21</v>
      </c>
      <c r="B601" s="4" t="s">
        <v>22</v>
      </c>
      <c r="C601" s="4" t="s">
        <v>33</v>
      </c>
      <c r="D601" s="4" t="s">
        <v>24</v>
      </c>
      <c r="E601" s="4" t="s">
        <v>24</v>
      </c>
      <c r="F601" s="4" t="s">
        <v>25</v>
      </c>
      <c r="G601" s="4" t="s">
        <v>25</v>
      </c>
      <c r="H601" s="4" t="s">
        <v>34</v>
      </c>
      <c r="I601" s="5">
        <v>44652</v>
      </c>
      <c r="J601" s="6">
        <v>0</v>
      </c>
      <c r="K601" s="6">
        <v>0</v>
      </c>
      <c r="L601" s="6">
        <v>1.679</v>
      </c>
      <c r="M601" s="6">
        <v>1.679</v>
      </c>
      <c r="N601" s="6">
        <v>1.679</v>
      </c>
      <c r="O601" s="6">
        <v>1.679</v>
      </c>
      <c r="P601" s="6">
        <v>0</v>
      </c>
      <c r="Q601" s="4" t="s">
        <v>26</v>
      </c>
      <c r="R601" s="4">
        <v>0</v>
      </c>
      <c r="S601" s="4" t="s">
        <v>225</v>
      </c>
      <c r="T601" s="4" t="s">
        <v>470</v>
      </c>
      <c r="U601" s="4">
        <v>0</v>
      </c>
      <c r="V601" s="4">
        <v>13</v>
      </c>
      <c r="W601" s="4">
        <v>50</v>
      </c>
    </row>
    <row r="602" spans="1:23" ht="11.25" customHeight="1" x14ac:dyDescent="0.25">
      <c r="A602" s="4" t="s">
        <v>28</v>
      </c>
      <c r="B602" s="4" t="s">
        <v>22</v>
      </c>
      <c r="C602" s="4" t="s">
        <v>33</v>
      </c>
      <c r="D602" s="4" t="s">
        <v>24</v>
      </c>
      <c r="E602" s="4" t="s">
        <v>24</v>
      </c>
      <c r="F602" s="4" t="s">
        <v>25</v>
      </c>
      <c r="G602" s="4" t="s">
        <v>25</v>
      </c>
      <c r="H602" s="4" t="s">
        <v>34</v>
      </c>
      <c r="I602" s="5">
        <v>44652</v>
      </c>
      <c r="J602" s="6">
        <v>0</v>
      </c>
      <c r="K602" s="6">
        <v>0</v>
      </c>
      <c r="L602" s="6">
        <v>4.1000000000000002E-2</v>
      </c>
      <c r="M602" s="6">
        <v>4.1000000000000002E-2</v>
      </c>
      <c r="N602" s="6">
        <v>4.1000000000000002E-2</v>
      </c>
      <c r="O602" s="6">
        <v>4.1000000000000002E-2</v>
      </c>
      <c r="P602" s="6">
        <v>0</v>
      </c>
      <c r="Q602" s="4" t="s">
        <v>26</v>
      </c>
      <c r="R602" s="4">
        <v>0</v>
      </c>
      <c r="S602" s="4" t="s">
        <v>225</v>
      </c>
      <c r="T602" s="4" t="s">
        <v>470</v>
      </c>
      <c r="U602" s="4">
        <v>0</v>
      </c>
      <c r="V602" s="4">
        <v>13</v>
      </c>
      <c r="W602" s="4">
        <v>50</v>
      </c>
    </row>
    <row r="603" spans="1:23" ht="11.25" customHeight="1" x14ac:dyDescent="0.25">
      <c r="A603" s="4" t="s">
        <v>21</v>
      </c>
      <c r="B603" s="4" t="s">
        <v>22</v>
      </c>
      <c r="C603" s="4" t="s">
        <v>33</v>
      </c>
      <c r="D603" s="4" t="s">
        <v>24</v>
      </c>
      <c r="E603" s="4" t="s">
        <v>24</v>
      </c>
      <c r="F603" s="4" t="s">
        <v>25</v>
      </c>
      <c r="G603" s="4" t="s">
        <v>25</v>
      </c>
      <c r="H603" s="4" t="s">
        <v>34</v>
      </c>
      <c r="I603" s="5">
        <v>44682</v>
      </c>
      <c r="J603" s="6">
        <v>0</v>
      </c>
      <c r="K603" s="6">
        <v>0</v>
      </c>
      <c r="L603" s="6">
        <v>1.272</v>
      </c>
      <c r="M603" s="6">
        <v>1.272</v>
      </c>
      <c r="N603" s="6">
        <v>1.272</v>
      </c>
      <c r="O603" s="6">
        <v>1.272</v>
      </c>
      <c r="P603" s="6">
        <v>0</v>
      </c>
      <c r="Q603" s="4" t="s">
        <v>26</v>
      </c>
      <c r="R603" s="4">
        <v>0</v>
      </c>
      <c r="S603" s="4" t="s">
        <v>226</v>
      </c>
      <c r="T603" s="4" t="s">
        <v>471</v>
      </c>
      <c r="U603" s="4">
        <v>0</v>
      </c>
      <c r="V603" s="4">
        <v>13</v>
      </c>
      <c r="W603" s="4">
        <v>50</v>
      </c>
    </row>
    <row r="604" spans="1:23" ht="11.25" customHeight="1" x14ac:dyDescent="0.25">
      <c r="A604" s="4" t="s">
        <v>27</v>
      </c>
      <c r="B604" s="4" t="s">
        <v>22</v>
      </c>
      <c r="C604" s="4" t="s">
        <v>33</v>
      </c>
      <c r="D604" s="4" t="s">
        <v>24</v>
      </c>
      <c r="E604" s="4" t="s">
        <v>24</v>
      </c>
      <c r="F604" s="4" t="s">
        <v>25</v>
      </c>
      <c r="G604" s="4" t="s">
        <v>25</v>
      </c>
      <c r="H604" s="4" t="s">
        <v>34</v>
      </c>
      <c r="I604" s="5">
        <v>44682</v>
      </c>
      <c r="J604" s="6">
        <v>0</v>
      </c>
      <c r="K604" s="6">
        <v>0</v>
      </c>
      <c r="L604" s="6">
        <v>8.9999999999999993E-3</v>
      </c>
      <c r="M604" s="6">
        <v>8.9999999999999993E-3</v>
      </c>
      <c r="N604" s="6">
        <v>8.9999999999999993E-3</v>
      </c>
      <c r="O604" s="6">
        <v>8.9999999999999993E-3</v>
      </c>
      <c r="P604" s="6">
        <v>0</v>
      </c>
      <c r="Q604" s="4" t="s">
        <v>26</v>
      </c>
      <c r="R604" s="4">
        <v>0</v>
      </c>
      <c r="S604" s="4" t="s">
        <v>226</v>
      </c>
      <c r="T604" s="4" t="s">
        <v>471</v>
      </c>
      <c r="U604" s="4">
        <v>0</v>
      </c>
      <c r="V604" s="4">
        <v>13</v>
      </c>
      <c r="W604" s="4">
        <v>50</v>
      </c>
    </row>
    <row r="605" spans="1:23" ht="11.25" customHeight="1" x14ac:dyDescent="0.25">
      <c r="A605" s="4" t="s">
        <v>21</v>
      </c>
      <c r="B605" s="4" t="s">
        <v>22</v>
      </c>
      <c r="C605" s="4" t="s">
        <v>33</v>
      </c>
      <c r="D605" s="4" t="s">
        <v>24</v>
      </c>
      <c r="E605" s="4" t="s">
        <v>24</v>
      </c>
      <c r="F605" s="4" t="s">
        <v>25</v>
      </c>
      <c r="G605" s="4" t="s">
        <v>25</v>
      </c>
      <c r="H605" s="4" t="s">
        <v>34</v>
      </c>
      <c r="I605" s="5">
        <v>44713</v>
      </c>
      <c r="J605" s="6">
        <v>0</v>
      </c>
      <c r="K605" s="6">
        <v>0</v>
      </c>
      <c r="L605" s="6">
        <v>1.111</v>
      </c>
      <c r="M605" s="6">
        <v>1.111</v>
      </c>
      <c r="N605" s="6">
        <v>1.111</v>
      </c>
      <c r="O605" s="6">
        <v>1.111</v>
      </c>
      <c r="P605" s="6">
        <v>0</v>
      </c>
      <c r="Q605" s="4" t="s">
        <v>26</v>
      </c>
      <c r="R605" s="4">
        <v>0</v>
      </c>
      <c r="S605" s="4" t="s">
        <v>227</v>
      </c>
      <c r="T605" s="4" t="s">
        <v>472</v>
      </c>
      <c r="U605" s="4">
        <v>0</v>
      </c>
      <c r="V605" s="4">
        <v>13</v>
      </c>
      <c r="W605" s="4">
        <v>50</v>
      </c>
    </row>
    <row r="606" spans="1:23" ht="11.25" customHeight="1" x14ac:dyDescent="0.25">
      <c r="A606" s="4" t="s">
        <v>21</v>
      </c>
      <c r="B606" s="4" t="s">
        <v>22</v>
      </c>
      <c r="C606" s="4" t="s">
        <v>33</v>
      </c>
      <c r="D606" s="4" t="s">
        <v>24</v>
      </c>
      <c r="E606" s="4" t="s">
        <v>24</v>
      </c>
      <c r="F606" s="4" t="s">
        <v>25</v>
      </c>
      <c r="G606" s="4" t="s">
        <v>25</v>
      </c>
      <c r="H606" s="4" t="s">
        <v>34</v>
      </c>
      <c r="I606" s="5">
        <v>44743</v>
      </c>
      <c r="J606" s="6">
        <v>0</v>
      </c>
      <c r="K606" s="6">
        <v>0</v>
      </c>
      <c r="L606" s="6">
        <v>1.1599999999999999</v>
      </c>
      <c r="M606" s="6">
        <v>1.1599999999999999</v>
      </c>
      <c r="N606" s="6">
        <v>1.1599999999999999</v>
      </c>
      <c r="O606" s="6">
        <v>1.1599999999999999</v>
      </c>
      <c r="P606" s="6">
        <v>0</v>
      </c>
      <c r="Q606" s="4" t="s">
        <v>26</v>
      </c>
      <c r="R606" s="4">
        <v>0</v>
      </c>
      <c r="S606" s="4" t="s">
        <v>228</v>
      </c>
      <c r="T606" s="4" t="s">
        <v>473</v>
      </c>
      <c r="U606" s="4">
        <v>0</v>
      </c>
      <c r="V606" s="4">
        <v>13</v>
      </c>
      <c r="W606" s="4">
        <v>50</v>
      </c>
    </row>
    <row r="607" spans="1:23" ht="11.25" customHeight="1" x14ac:dyDescent="0.25">
      <c r="A607" s="4" t="s">
        <v>28</v>
      </c>
      <c r="B607" s="4" t="s">
        <v>22</v>
      </c>
      <c r="C607" s="4" t="s">
        <v>33</v>
      </c>
      <c r="D607" s="4" t="s">
        <v>24</v>
      </c>
      <c r="E607" s="4" t="s">
        <v>24</v>
      </c>
      <c r="F607" s="4" t="s">
        <v>25</v>
      </c>
      <c r="G607" s="4" t="s">
        <v>25</v>
      </c>
      <c r="H607" s="4" t="s">
        <v>34</v>
      </c>
      <c r="I607" s="5">
        <v>44743</v>
      </c>
      <c r="J607" s="6">
        <v>0</v>
      </c>
      <c r="K607" s="6">
        <v>0</v>
      </c>
      <c r="L607" s="6">
        <v>4.5999999999999999E-2</v>
      </c>
      <c r="M607" s="6">
        <v>4.5999999999999999E-2</v>
      </c>
      <c r="N607" s="6">
        <v>4.5999999999999999E-2</v>
      </c>
      <c r="O607" s="6">
        <v>4.5999999999999999E-2</v>
      </c>
      <c r="P607" s="6">
        <v>0</v>
      </c>
      <c r="Q607" s="4" t="s">
        <v>26</v>
      </c>
      <c r="R607" s="4">
        <v>0</v>
      </c>
      <c r="S607" s="4" t="s">
        <v>228</v>
      </c>
      <c r="T607" s="4" t="s">
        <v>473</v>
      </c>
      <c r="U607" s="4">
        <v>0</v>
      </c>
      <c r="V607" s="4">
        <v>13</v>
      </c>
      <c r="W607" s="4">
        <v>50</v>
      </c>
    </row>
    <row r="608" spans="1:23" ht="11.25" customHeight="1" x14ac:dyDescent="0.25">
      <c r="A608" s="4" t="s">
        <v>56</v>
      </c>
      <c r="B608" s="4" t="s">
        <v>22</v>
      </c>
      <c r="C608" s="4" t="s">
        <v>33</v>
      </c>
      <c r="D608" s="4" t="s">
        <v>24</v>
      </c>
      <c r="E608" s="4" t="s">
        <v>24</v>
      </c>
      <c r="F608" s="4" t="s">
        <v>25</v>
      </c>
      <c r="G608" s="4" t="s">
        <v>25</v>
      </c>
      <c r="H608" s="4" t="s">
        <v>34</v>
      </c>
      <c r="I608" s="5">
        <v>44774</v>
      </c>
      <c r="J608" s="6">
        <v>0</v>
      </c>
      <c r="K608" s="6">
        <v>0</v>
      </c>
      <c r="L608" s="6">
        <v>1.1599999999999999</v>
      </c>
      <c r="M608" s="6">
        <v>1.1599999999999999</v>
      </c>
      <c r="N608" s="6">
        <v>1.1599999999999999</v>
      </c>
      <c r="O608" s="6">
        <v>1.1599999999999999</v>
      </c>
      <c r="P608" s="6">
        <v>0</v>
      </c>
      <c r="Q608" s="4" t="s">
        <v>26</v>
      </c>
      <c r="R608" s="4">
        <v>0</v>
      </c>
      <c r="S608" s="4" t="s">
        <v>229</v>
      </c>
      <c r="T608" s="4" t="s">
        <v>474</v>
      </c>
      <c r="U608" s="4">
        <v>0</v>
      </c>
      <c r="V608" s="4">
        <v>13</v>
      </c>
      <c r="W608" s="4">
        <v>50</v>
      </c>
    </row>
    <row r="609" spans="1:23" ht="11.25" customHeight="1" x14ac:dyDescent="0.25">
      <c r="A609" s="4" t="s">
        <v>56</v>
      </c>
      <c r="B609" s="4" t="s">
        <v>22</v>
      </c>
      <c r="C609" s="4" t="s">
        <v>33</v>
      </c>
      <c r="D609" s="4" t="s">
        <v>24</v>
      </c>
      <c r="E609" s="4" t="s">
        <v>24</v>
      </c>
      <c r="F609" s="4" t="s">
        <v>25</v>
      </c>
      <c r="G609" s="4" t="s">
        <v>25</v>
      </c>
      <c r="H609" s="4" t="s">
        <v>34</v>
      </c>
      <c r="I609" s="5">
        <v>44774</v>
      </c>
      <c r="J609" s="6">
        <v>0</v>
      </c>
      <c r="K609" s="6">
        <v>0</v>
      </c>
      <c r="L609" s="6">
        <v>4.5999999999999999E-2</v>
      </c>
      <c r="M609" s="6">
        <v>4.5999999999999999E-2</v>
      </c>
      <c r="N609" s="6">
        <v>4.5999999999999999E-2</v>
      </c>
      <c r="O609" s="6">
        <v>4.5999999999999999E-2</v>
      </c>
      <c r="P609" s="6">
        <v>0</v>
      </c>
      <c r="Q609" s="4" t="s">
        <v>26</v>
      </c>
      <c r="R609" s="4">
        <v>0</v>
      </c>
      <c r="S609" s="4" t="s">
        <v>229</v>
      </c>
      <c r="T609" s="4" t="s">
        <v>474</v>
      </c>
      <c r="U609" s="4">
        <v>0</v>
      </c>
      <c r="V609" s="4">
        <v>13</v>
      </c>
      <c r="W609" s="4">
        <v>50</v>
      </c>
    </row>
    <row r="610" spans="1:23" ht="11.25" customHeight="1" x14ac:dyDescent="0.25">
      <c r="A610" s="4" t="s">
        <v>21</v>
      </c>
      <c r="B610" s="4" t="s">
        <v>22</v>
      </c>
      <c r="C610" s="4" t="s">
        <v>23</v>
      </c>
      <c r="D610" s="4" t="s">
        <v>24</v>
      </c>
      <c r="E610" s="4" t="s">
        <v>24</v>
      </c>
      <c r="F610" s="4" t="s">
        <v>25</v>
      </c>
      <c r="G610" s="4" t="s">
        <v>25</v>
      </c>
      <c r="H610" s="4" t="s">
        <v>25</v>
      </c>
      <c r="I610" s="5">
        <v>44440</v>
      </c>
      <c r="J610" s="6">
        <v>0</v>
      </c>
      <c r="K610" s="6">
        <v>0</v>
      </c>
      <c r="L610" s="6">
        <v>10121.222</v>
      </c>
      <c r="M610" s="6">
        <v>10121.222</v>
      </c>
      <c r="N610" s="6">
        <v>10121.222</v>
      </c>
      <c r="O610" s="6">
        <v>10121.222</v>
      </c>
      <c r="P610" s="6">
        <v>61897</v>
      </c>
      <c r="Q610" s="4" t="s">
        <v>26</v>
      </c>
      <c r="R610" s="4">
        <v>0</v>
      </c>
      <c r="S610" s="4" t="s">
        <v>206</v>
      </c>
      <c r="T610" s="4" t="s">
        <v>451</v>
      </c>
      <c r="U610" s="4">
        <v>0</v>
      </c>
      <c r="V610" s="4">
        <v>16</v>
      </c>
      <c r="W610" s="4">
        <v>53</v>
      </c>
    </row>
    <row r="611" spans="1:23" ht="11.25" customHeight="1" x14ac:dyDescent="0.25">
      <c r="A611" s="4" t="s">
        <v>27</v>
      </c>
      <c r="B611" s="4" t="s">
        <v>22</v>
      </c>
      <c r="C611" s="4" t="s">
        <v>23</v>
      </c>
      <c r="D611" s="4" t="s">
        <v>24</v>
      </c>
      <c r="E611" s="4" t="s">
        <v>24</v>
      </c>
      <c r="F611" s="4" t="s">
        <v>25</v>
      </c>
      <c r="G611" s="4" t="s">
        <v>25</v>
      </c>
      <c r="H611" s="4" t="s">
        <v>25</v>
      </c>
      <c r="I611" s="5">
        <v>44440</v>
      </c>
      <c r="J611" s="6">
        <v>0</v>
      </c>
      <c r="K611" s="6">
        <v>0</v>
      </c>
      <c r="L611" s="6">
        <v>-3.2029999999999998</v>
      </c>
      <c r="M611" s="6">
        <v>-3.2029999999999998</v>
      </c>
      <c r="N611" s="6">
        <v>-3.2029999999999998</v>
      </c>
      <c r="O611" s="6">
        <v>-3.2029999999999998</v>
      </c>
      <c r="P611" s="6">
        <v>1</v>
      </c>
      <c r="Q611" s="4" t="s">
        <v>26</v>
      </c>
      <c r="R611" s="4">
        <v>0</v>
      </c>
      <c r="S611" s="4" t="s">
        <v>206</v>
      </c>
      <c r="T611" s="4" t="s">
        <v>451</v>
      </c>
      <c r="U611" s="4">
        <v>0</v>
      </c>
      <c r="V611" s="4">
        <v>16</v>
      </c>
      <c r="W611" s="4">
        <v>53</v>
      </c>
    </row>
    <row r="612" spans="1:23" ht="11.25" customHeight="1" x14ac:dyDescent="0.25">
      <c r="A612" s="4" t="s">
        <v>28</v>
      </c>
      <c r="B612" s="4" t="s">
        <v>22</v>
      </c>
      <c r="C612" s="4" t="s">
        <v>23</v>
      </c>
      <c r="D612" s="4" t="s">
        <v>24</v>
      </c>
      <c r="E612" s="4" t="s">
        <v>24</v>
      </c>
      <c r="F612" s="4" t="s">
        <v>25</v>
      </c>
      <c r="G612" s="4" t="s">
        <v>25</v>
      </c>
      <c r="H612" s="4" t="s">
        <v>25</v>
      </c>
      <c r="I612" s="5">
        <v>44440</v>
      </c>
      <c r="J612" s="6">
        <v>0</v>
      </c>
      <c r="K612" s="6">
        <v>0</v>
      </c>
      <c r="L612" s="6">
        <v>108.348</v>
      </c>
      <c r="M612" s="6">
        <v>108.348</v>
      </c>
      <c r="N612" s="6">
        <v>108.348</v>
      </c>
      <c r="O612" s="6">
        <v>108.348</v>
      </c>
      <c r="P612" s="6">
        <v>933</v>
      </c>
      <c r="Q612" s="4" t="s">
        <v>26</v>
      </c>
      <c r="R612" s="4">
        <v>0</v>
      </c>
      <c r="S612" s="4" t="s">
        <v>206</v>
      </c>
      <c r="T612" s="4" t="s">
        <v>451</v>
      </c>
      <c r="U612" s="4">
        <v>0</v>
      </c>
      <c r="V612" s="4">
        <v>16</v>
      </c>
      <c r="W612" s="4">
        <v>53</v>
      </c>
    </row>
    <row r="613" spans="1:23" ht="11.25" customHeight="1" x14ac:dyDescent="0.25">
      <c r="A613" s="4" t="s">
        <v>28</v>
      </c>
      <c r="B613" s="4" t="s">
        <v>22</v>
      </c>
      <c r="C613" s="4" t="s">
        <v>23</v>
      </c>
      <c r="D613" s="4" t="s">
        <v>24</v>
      </c>
      <c r="E613" s="4" t="s">
        <v>24</v>
      </c>
      <c r="F613" s="4" t="s">
        <v>25</v>
      </c>
      <c r="G613" s="4" t="s">
        <v>25</v>
      </c>
      <c r="H613" s="4" t="s">
        <v>25</v>
      </c>
      <c r="I613" s="5">
        <v>44440</v>
      </c>
      <c r="J613" s="6">
        <v>0</v>
      </c>
      <c r="K613" s="6">
        <v>0</v>
      </c>
      <c r="L613" s="6">
        <v>0.15</v>
      </c>
      <c r="M613" s="6">
        <v>0.15</v>
      </c>
      <c r="N613" s="6">
        <v>0.15</v>
      </c>
      <c r="O613" s="6">
        <v>0.15</v>
      </c>
      <c r="P613" s="6">
        <v>2</v>
      </c>
      <c r="Q613" s="4" t="s">
        <v>26</v>
      </c>
      <c r="R613" s="4">
        <v>0</v>
      </c>
      <c r="S613" s="4" t="s">
        <v>206</v>
      </c>
      <c r="T613" s="4" t="s">
        <v>451</v>
      </c>
      <c r="U613" s="4">
        <v>0</v>
      </c>
      <c r="V613" s="4">
        <v>16</v>
      </c>
      <c r="W613" s="4">
        <v>53</v>
      </c>
    </row>
    <row r="614" spans="1:23" ht="11.25" customHeight="1" x14ac:dyDescent="0.25">
      <c r="A614" s="4" t="s">
        <v>21</v>
      </c>
      <c r="B614" s="4" t="s">
        <v>22</v>
      </c>
      <c r="C614" s="4" t="s">
        <v>23</v>
      </c>
      <c r="D614" s="4" t="s">
        <v>24</v>
      </c>
      <c r="E614" s="4" t="s">
        <v>24</v>
      </c>
      <c r="F614" s="4" t="s">
        <v>25</v>
      </c>
      <c r="G614" s="4" t="s">
        <v>25</v>
      </c>
      <c r="H614" s="4" t="s">
        <v>25</v>
      </c>
      <c r="I614" s="5">
        <v>44470</v>
      </c>
      <c r="J614" s="6">
        <v>0</v>
      </c>
      <c r="K614" s="6">
        <v>0</v>
      </c>
      <c r="L614" s="6">
        <v>10660.375</v>
      </c>
      <c r="M614" s="6">
        <v>10660.375</v>
      </c>
      <c r="N614" s="6">
        <v>10660.375</v>
      </c>
      <c r="O614" s="6">
        <v>10660.375</v>
      </c>
      <c r="P614" s="6">
        <v>61799</v>
      </c>
      <c r="Q614" s="4" t="s">
        <v>26</v>
      </c>
      <c r="R614" s="4">
        <v>0</v>
      </c>
      <c r="S614" s="4" t="s">
        <v>207</v>
      </c>
      <c r="T614" s="4" t="s">
        <v>452</v>
      </c>
      <c r="U614" s="4">
        <v>0</v>
      </c>
      <c r="V614" s="4">
        <v>16</v>
      </c>
      <c r="W614" s="4">
        <v>53</v>
      </c>
    </row>
    <row r="615" spans="1:23" ht="11.25" customHeight="1" x14ac:dyDescent="0.25">
      <c r="A615" s="4" t="s">
        <v>27</v>
      </c>
      <c r="B615" s="4" t="s">
        <v>22</v>
      </c>
      <c r="C615" s="4" t="s">
        <v>23</v>
      </c>
      <c r="D615" s="4" t="s">
        <v>24</v>
      </c>
      <c r="E615" s="4" t="s">
        <v>24</v>
      </c>
      <c r="F615" s="4" t="s">
        <v>25</v>
      </c>
      <c r="G615" s="4" t="s">
        <v>25</v>
      </c>
      <c r="H615" s="4" t="s">
        <v>25</v>
      </c>
      <c r="I615" s="5">
        <v>44470</v>
      </c>
      <c r="J615" s="6">
        <v>0</v>
      </c>
      <c r="K615" s="6">
        <v>0</v>
      </c>
      <c r="L615" s="6">
        <v>-0.61499999999999999</v>
      </c>
      <c r="M615" s="6">
        <v>-0.61499999999999999</v>
      </c>
      <c r="N615" s="6">
        <v>-0.61499999999999999</v>
      </c>
      <c r="O615" s="6">
        <v>-0.61499999999999999</v>
      </c>
      <c r="P615" s="6">
        <v>-4</v>
      </c>
      <c r="Q615" s="4" t="s">
        <v>26</v>
      </c>
      <c r="R615" s="4">
        <v>0</v>
      </c>
      <c r="S615" s="4" t="s">
        <v>207</v>
      </c>
      <c r="T615" s="4" t="s">
        <v>452</v>
      </c>
      <c r="U615" s="4">
        <v>0</v>
      </c>
      <c r="V615" s="4">
        <v>16</v>
      </c>
      <c r="W615" s="4">
        <v>53</v>
      </c>
    </row>
    <row r="616" spans="1:23" ht="11.25" customHeight="1" x14ac:dyDescent="0.25">
      <c r="A616" s="4" t="s">
        <v>28</v>
      </c>
      <c r="B616" s="4" t="s">
        <v>22</v>
      </c>
      <c r="C616" s="4" t="s">
        <v>23</v>
      </c>
      <c r="D616" s="4" t="s">
        <v>24</v>
      </c>
      <c r="E616" s="4" t="s">
        <v>24</v>
      </c>
      <c r="F616" s="4" t="s">
        <v>25</v>
      </c>
      <c r="G616" s="4" t="s">
        <v>25</v>
      </c>
      <c r="H616" s="4" t="s">
        <v>25</v>
      </c>
      <c r="I616" s="5">
        <v>44470</v>
      </c>
      <c r="J616" s="6">
        <v>0</v>
      </c>
      <c r="K616" s="6">
        <v>0</v>
      </c>
      <c r="L616" s="6">
        <v>140.95500000000001</v>
      </c>
      <c r="M616" s="6">
        <v>140.95500000000001</v>
      </c>
      <c r="N616" s="6">
        <v>140.95500000000001</v>
      </c>
      <c r="O616" s="6">
        <v>140.95500000000001</v>
      </c>
      <c r="P616" s="6">
        <v>971</v>
      </c>
      <c r="Q616" s="4" t="s">
        <v>26</v>
      </c>
      <c r="R616" s="4">
        <v>0</v>
      </c>
      <c r="S616" s="4" t="s">
        <v>207</v>
      </c>
      <c r="T616" s="4" t="s">
        <v>452</v>
      </c>
      <c r="U616" s="4">
        <v>0</v>
      </c>
      <c r="V616" s="4">
        <v>16</v>
      </c>
      <c r="W616" s="4">
        <v>53</v>
      </c>
    </row>
    <row r="617" spans="1:23" ht="11.25" customHeight="1" x14ac:dyDescent="0.25">
      <c r="A617" s="4" t="s">
        <v>28</v>
      </c>
      <c r="B617" s="4" t="s">
        <v>22</v>
      </c>
      <c r="C617" s="4" t="s">
        <v>23</v>
      </c>
      <c r="D617" s="4" t="s">
        <v>24</v>
      </c>
      <c r="E617" s="4" t="s">
        <v>24</v>
      </c>
      <c r="F617" s="4" t="s">
        <v>25</v>
      </c>
      <c r="G617" s="4" t="s">
        <v>25</v>
      </c>
      <c r="H617" s="4" t="s">
        <v>25</v>
      </c>
      <c r="I617" s="5">
        <v>44470</v>
      </c>
      <c r="J617" s="6">
        <v>0</v>
      </c>
      <c r="K617" s="6">
        <v>0</v>
      </c>
      <c r="L617" s="6">
        <v>0.92600000000000005</v>
      </c>
      <c r="M617" s="6">
        <v>0.92600000000000005</v>
      </c>
      <c r="N617" s="6">
        <v>0.92600000000000005</v>
      </c>
      <c r="O617" s="6">
        <v>0.92600000000000005</v>
      </c>
      <c r="P617" s="6">
        <v>1</v>
      </c>
      <c r="Q617" s="4" t="s">
        <v>26</v>
      </c>
      <c r="R617" s="4">
        <v>0</v>
      </c>
      <c r="S617" s="4" t="s">
        <v>207</v>
      </c>
      <c r="T617" s="4" t="s">
        <v>452</v>
      </c>
      <c r="U617" s="4">
        <v>0</v>
      </c>
      <c r="V617" s="4">
        <v>16</v>
      </c>
      <c r="W617" s="4">
        <v>53</v>
      </c>
    </row>
    <row r="618" spans="1:23" ht="11.25" customHeight="1" x14ac:dyDescent="0.25">
      <c r="A618" s="4" t="s">
        <v>21</v>
      </c>
      <c r="B618" s="4" t="s">
        <v>22</v>
      </c>
      <c r="C618" s="4" t="s">
        <v>23</v>
      </c>
      <c r="D618" s="4" t="s">
        <v>24</v>
      </c>
      <c r="E618" s="4" t="s">
        <v>24</v>
      </c>
      <c r="F618" s="4" t="s">
        <v>25</v>
      </c>
      <c r="G618" s="4" t="s">
        <v>25</v>
      </c>
      <c r="H618" s="4" t="s">
        <v>25</v>
      </c>
      <c r="I618" s="5">
        <v>44501</v>
      </c>
      <c r="J618" s="6">
        <v>0</v>
      </c>
      <c r="K618" s="6">
        <v>0</v>
      </c>
      <c r="L618" s="6">
        <v>10268.814</v>
      </c>
      <c r="M618" s="6">
        <v>10268.814</v>
      </c>
      <c r="N618" s="6">
        <v>10268.814</v>
      </c>
      <c r="O618" s="6">
        <v>10268.814</v>
      </c>
      <c r="P618" s="6">
        <v>61586</v>
      </c>
      <c r="Q618" s="4" t="s">
        <v>26</v>
      </c>
      <c r="R618" s="4">
        <v>0</v>
      </c>
      <c r="S618" s="4" t="s">
        <v>208</v>
      </c>
      <c r="T618" s="4" t="s">
        <v>453</v>
      </c>
      <c r="U618" s="4">
        <v>0</v>
      </c>
      <c r="V618" s="4">
        <v>16</v>
      </c>
      <c r="W618" s="4">
        <v>53</v>
      </c>
    </row>
    <row r="619" spans="1:23" ht="11.25" customHeight="1" x14ac:dyDescent="0.25">
      <c r="A619" s="4" t="s">
        <v>27</v>
      </c>
      <c r="B619" s="4" t="s">
        <v>22</v>
      </c>
      <c r="C619" s="4" t="s">
        <v>23</v>
      </c>
      <c r="D619" s="4" t="s">
        <v>24</v>
      </c>
      <c r="E619" s="4" t="s">
        <v>24</v>
      </c>
      <c r="F619" s="4" t="s">
        <v>25</v>
      </c>
      <c r="G619" s="4" t="s">
        <v>25</v>
      </c>
      <c r="H619" s="4" t="s">
        <v>25</v>
      </c>
      <c r="I619" s="5">
        <v>44501</v>
      </c>
      <c r="J619" s="6">
        <v>0</v>
      </c>
      <c r="K619" s="6">
        <v>0</v>
      </c>
      <c r="L619" s="6">
        <v>-1.3440000000000001</v>
      </c>
      <c r="M619" s="6">
        <v>-1.3440000000000001</v>
      </c>
      <c r="N619" s="6">
        <v>-1.3440000000000001</v>
      </c>
      <c r="O619" s="6">
        <v>-1.3440000000000001</v>
      </c>
      <c r="P619" s="6">
        <v>5</v>
      </c>
      <c r="Q619" s="4" t="s">
        <v>26</v>
      </c>
      <c r="R619" s="4">
        <v>0</v>
      </c>
      <c r="S619" s="4" t="s">
        <v>208</v>
      </c>
      <c r="T619" s="4" t="s">
        <v>453</v>
      </c>
      <c r="U619" s="4">
        <v>0</v>
      </c>
      <c r="V619" s="4">
        <v>16</v>
      </c>
      <c r="W619" s="4">
        <v>53</v>
      </c>
    </row>
    <row r="620" spans="1:23" ht="11.25" customHeight="1" x14ac:dyDescent="0.25">
      <c r="A620" s="4" t="s">
        <v>28</v>
      </c>
      <c r="B620" s="4" t="s">
        <v>22</v>
      </c>
      <c r="C620" s="4" t="s">
        <v>23</v>
      </c>
      <c r="D620" s="4" t="s">
        <v>24</v>
      </c>
      <c r="E620" s="4" t="s">
        <v>24</v>
      </c>
      <c r="F620" s="4" t="s">
        <v>25</v>
      </c>
      <c r="G620" s="4" t="s">
        <v>25</v>
      </c>
      <c r="H620" s="4" t="s">
        <v>25</v>
      </c>
      <c r="I620" s="5">
        <v>44501</v>
      </c>
      <c r="J620" s="6">
        <v>0</v>
      </c>
      <c r="K620" s="6">
        <v>0</v>
      </c>
      <c r="L620" s="6">
        <v>123.248</v>
      </c>
      <c r="M620" s="6">
        <v>123.248</v>
      </c>
      <c r="N620" s="6">
        <v>123.248</v>
      </c>
      <c r="O620" s="6">
        <v>123.248</v>
      </c>
      <c r="P620" s="6">
        <v>997</v>
      </c>
      <c r="Q620" s="4" t="s">
        <v>26</v>
      </c>
      <c r="R620" s="4">
        <v>0</v>
      </c>
      <c r="S620" s="4" t="s">
        <v>208</v>
      </c>
      <c r="T620" s="4" t="s">
        <v>453</v>
      </c>
      <c r="U620" s="4">
        <v>0</v>
      </c>
      <c r="V620" s="4">
        <v>16</v>
      </c>
      <c r="W620" s="4">
        <v>53</v>
      </c>
    </row>
    <row r="621" spans="1:23" ht="11.25" customHeight="1" x14ac:dyDescent="0.25">
      <c r="A621" s="4" t="s">
        <v>28</v>
      </c>
      <c r="B621" s="4" t="s">
        <v>22</v>
      </c>
      <c r="C621" s="4" t="s">
        <v>23</v>
      </c>
      <c r="D621" s="4" t="s">
        <v>24</v>
      </c>
      <c r="E621" s="4" t="s">
        <v>24</v>
      </c>
      <c r="F621" s="4" t="s">
        <v>25</v>
      </c>
      <c r="G621" s="4" t="s">
        <v>25</v>
      </c>
      <c r="H621" s="4" t="s">
        <v>25</v>
      </c>
      <c r="I621" s="5">
        <v>44501</v>
      </c>
      <c r="J621" s="6">
        <v>0</v>
      </c>
      <c r="K621" s="6">
        <v>0</v>
      </c>
      <c r="L621" s="6">
        <v>0.7</v>
      </c>
      <c r="M621" s="6">
        <v>0.7</v>
      </c>
      <c r="N621" s="6">
        <v>0.7</v>
      </c>
      <c r="O621" s="6">
        <v>0.7</v>
      </c>
      <c r="P621" s="6">
        <v>2</v>
      </c>
      <c r="Q621" s="4" t="s">
        <v>26</v>
      </c>
      <c r="R621" s="4">
        <v>0</v>
      </c>
      <c r="S621" s="4" t="s">
        <v>208</v>
      </c>
      <c r="T621" s="4" t="s">
        <v>453</v>
      </c>
      <c r="U621" s="4">
        <v>0</v>
      </c>
      <c r="V621" s="4">
        <v>16</v>
      </c>
      <c r="W621" s="4">
        <v>53</v>
      </c>
    </row>
    <row r="622" spans="1:23" ht="11.25" customHeight="1" x14ac:dyDescent="0.25">
      <c r="A622" s="4" t="s">
        <v>21</v>
      </c>
      <c r="B622" s="4" t="s">
        <v>22</v>
      </c>
      <c r="C622" s="4" t="s">
        <v>23</v>
      </c>
      <c r="D622" s="4" t="s">
        <v>24</v>
      </c>
      <c r="E622" s="4" t="s">
        <v>24</v>
      </c>
      <c r="F622" s="4" t="s">
        <v>25</v>
      </c>
      <c r="G622" s="4" t="s">
        <v>25</v>
      </c>
      <c r="H622" s="4" t="s">
        <v>25</v>
      </c>
      <c r="I622" s="5">
        <v>44531</v>
      </c>
      <c r="J622" s="6">
        <v>0</v>
      </c>
      <c r="K622" s="6">
        <v>0</v>
      </c>
      <c r="L622" s="6">
        <v>10602.251</v>
      </c>
      <c r="M622" s="6">
        <v>10602.251</v>
      </c>
      <c r="N622" s="6">
        <v>10602.251</v>
      </c>
      <c r="O622" s="6">
        <v>10602.251</v>
      </c>
      <c r="P622" s="6">
        <v>61350</v>
      </c>
      <c r="Q622" s="4" t="s">
        <v>26</v>
      </c>
      <c r="R622" s="4">
        <v>0</v>
      </c>
      <c r="S622" s="4" t="s">
        <v>209</v>
      </c>
      <c r="T622" s="4" t="s">
        <v>454</v>
      </c>
      <c r="U622" s="4">
        <v>0</v>
      </c>
      <c r="V622" s="4">
        <v>16</v>
      </c>
      <c r="W622" s="4">
        <v>53</v>
      </c>
    </row>
    <row r="623" spans="1:23" ht="11.25" customHeight="1" x14ac:dyDescent="0.25">
      <c r="A623" s="4" t="s">
        <v>27</v>
      </c>
      <c r="B623" s="4" t="s">
        <v>22</v>
      </c>
      <c r="C623" s="4" t="s">
        <v>23</v>
      </c>
      <c r="D623" s="4" t="s">
        <v>24</v>
      </c>
      <c r="E623" s="4" t="s">
        <v>24</v>
      </c>
      <c r="F623" s="4" t="s">
        <v>25</v>
      </c>
      <c r="G623" s="4" t="s">
        <v>25</v>
      </c>
      <c r="H623" s="4" t="s">
        <v>25</v>
      </c>
      <c r="I623" s="5">
        <v>44531</v>
      </c>
      <c r="J623" s="6">
        <v>0</v>
      </c>
      <c r="K623" s="6">
        <v>0</v>
      </c>
      <c r="L623" s="6">
        <v>-0.3</v>
      </c>
      <c r="M623" s="6">
        <v>-0.3</v>
      </c>
      <c r="N623" s="6">
        <v>-0.3</v>
      </c>
      <c r="O623" s="6">
        <v>-0.3</v>
      </c>
      <c r="P623" s="6">
        <v>17</v>
      </c>
      <c r="Q623" s="4" t="s">
        <v>26</v>
      </c>
      <c r="R623" s="4">
        <v>0</v>
      </c>
      <c r="S623" s="4" t="s">
        <v>209</v>
      </c>
      <c r="T623" s="4" t="s">
        <v>454</v>
      </c>
      <c r="U623" s="4">
        <v>0</v>
      </c>
      <c r="V623" s="4">
        <v>16</v>
      </c>
      <c r="W623" s="4">
        <v>53</v>
      </c>
    </row>
    <row r="624" spans="1:23" ht="11.25" customHeight="1" x14ac:dyDescent="0.25">
      <c r="A624" s="4" t="s">
        <v>28</v>
      </c>
      <c r="B624" s="4" t="s">
        <v>22</v>
      </c>
      <c r="C624" s="4" t="s">
        <v>23</v>
      </c>
      <c r="D624" s="4" t="s">
        <v>24</v>
      </c>
      <c r="E624" s="4" t="s">
        <v>24</v>
      </c>
      <c r="F624" s="4" t="s">
        <v>25</v>
      </c>
      <c r="G624" s="4" t="s">
        <v>25</v>
      </c>
      <c r="H624" s="4" t="s">
        <v>25</v>
      </c>
      <c r="I624" s="5">
        <v>44531</v>
      </c>
      <c r="J624" s="6">
        <v>0</v>
      </c>
      <c r="K624" s="6">
        <v>0</v>
      </c>
      <c r="L624" s="6">
        <v>144.768</v>
      </c>
      <c r="M624" s="6">
        <v>144.768</v>
      </c>
      <c r="N624" s="6">
        <v>144.768</v>
      </c>
      <c r="O624" s="6">
        <v>144.768</v>
      </c>
      <c r="P624" s="6">
        <v>1073</v>
      </c>
      <c r="Q624" s="4" t="s">
        <v>26</v>
      </c>
      <c r="R624" s="4">
        <v>0</v>
      </c>
      <c r="S624" s="4" t="s">
        <v>209</v>
      </c>
      <c r="T624" s="4" t="s">
        <v>454</v>
      </c>
      <c r="U624" s="4">
        <v>0</v>
      </c>
      <c r="V624" s="4">
        <v>16</v>
      </c>
      <c r="W624" s="4">
        <v>53</v>
      </c>
    </row>
    <row r="625" spans="1:23" ht="11.25" customHeight="1" x14ac:dyDescent="0.25">
      <c r="A625" s="4" t="s">
        <v>28</v>
      </c>
      <c r="B625" s="4" t="s">
        <v>22</v>
      </c>
      <c r="C625" s="4" t="s">
        <v>23</v>
      </c>
      <c r="D625" s="4" t="s">
        <v>24</v>
      </c>
      <c r="E625" s="4" t="s">
        <v>24</v>
      </c>
      <c r="F625" s="4" t="s">
        <v>25</v>
      </c>
      <c r="G625" s="4" t="s">
        <v>25</v>
      </c>
      <c r="H625" s="4" t="s">
        <v>25</v>
      </c>
      <c r="I625" s="5">
        <v>44531</v>
      </c>
      <c r="J625" s="6">
        <v>0</v>
      </c>
      <c r="K625" s="6">
        <v>0</v>
      </c>
      <c r="L625" s="6">
        <v>0.11899999999999999</v>
      </c>
      <c r="M625" s="6">
        <v>0.11899999999999999</v>
      </c>
      <c r="N625" s="6">
        <v>0.11899999999999999</v>
      </c>
      <c r="O625" s="6">
        <v>0.11899999999999999</v>
      </c>
      <c r="P625" s="6">
        <v>1</v>
      </c>
      <c r="Q625" s="4" t="s">
        <v>26</v>
      </c>
      <c r="R625" s="4">
        <v>0</v>
      </c>
      <c r="S625" s="4" t="s">
        <v>209</v>
      </c>
      <c r="T625" s="4" t="s">
        <v>454</v>
      </c>
      <c r="U625" s="4">
        <v>0</v>
      </c>
      <c r="V625" s="4">
        <v>16</v>
      </c>
      <c r="W625" s="4">
        <v>53</v>
      </c>
    </row>
    <row r="626" spans="1:23" ht="11.25" customHeight="1" x14ac:dyDescent="0.25">
      <c r="A626" s="4" t="s">
        <v>21</v>
      </c>
      <c r="B626" s="4" t="s">
        <v>22</v>
      </c>
      <c r="C626" s="4" t="s">
        <v>23</v>
      </c>
      <c r="D626" s="4" t="s">
        <v>24</v>
      </c>
      <c r="E626" s="4" t="s">
        <v>24</v>
      </c>
      <c r="F626" s="4" t="s">
        <v>25</v>
      </c>
      <c r="G626" s="4" t="s">
        <v>25</v>
      </c>
      <c r="H626" s="4" t="s">
        <v>25</v>
      </c>
      <c r="I626" s="5">
        <v>44562</v>
      </c>
      <c r="J626" s="6">
        <v>0</v>
      </c>
      <c r="K626" s="6">
        <v>0</v>
      </c>
      <c r="L626" s="6">
        <v>10986.397999999999</v>
      </c>
      <c r="M626" s="6">
        <v>10986.397999999999</v>
      </c>
      <c r="N626" s="6">
        <v>10986.397999999999</v>
      </c>
      <c r="O626" s="6">
        <v>10986.397999999999</v>
      </c>
      <c r="P626" s="6">
        <v>61192</v>
      </c>
      <c r="Q626" s="4" t="s">
        <v>26</v>
      </c>
      <c r="R626" s="4">
        <v>0</v>
      </c>
      <c r="S626" s="4" t="s">
        <v>210</v>
      </c>
      <c r="T626" s="4" t="s">
        <v>455</v>
      </c>
      <c r="U626" s="4">
        <v>0</v>
      </c>
      <c r="V626" s="4">
        <v>16</v>
      </c>
      <c r="W626" s="4">
        <v>53</v>
      </c>
    </row>
    <row r="627" spans="1:23" ht="11.25" customHeight="1" x14ac:dyDescent="0.25">
      <c r="A627" s="4" t="s">
        <v>27</v>
      </c>
      <c r="B627" s="4" t="s">
        <v>22</v>
      </c>
      <c r="C627" s="4" t="s">
        <v>23</v>
      </c>
      <c r="D627" s="4" t="s">
        <v>24</v>
      </c>
      <c r="E627" s="4" t="s">
        <v>24</v>
      </c>
      <c r="F627" s="4" t="s">
        <v>25</v>
      </c>
      <c r="G627" s="4" t="s">
        <v>25</v>
      </c>
      <c r="H627" s="4" t="s">
        <v>25</v>
      </c>
      <c r="I627" s="5">
        <v>44562</v>
      </c>
      <c r="J627" s="6">
        <v>0</v>
      </c>
      <c r="K627" s="6">
        <v>0</v>
      </c>
      <c r="L627" s="6">
        <v>-0.89800000000000002</v>
      </c>
      <c r="M627" s="6">
        <v>-0.89800000000000002</v>
      </c>
      <c r="N627" s="6">
        <v>-0.89800000000000002</v>
      </c>
      <c r="O627" s="6">
        <v>-0.89800000000000002</v>
      </c>
      <c r="P627" s="6">
        <v>25</v>
      </c>
      <c r="Q627" s="4" t="s">
        <v>26</v>
      </c>
      <c r="R627" s="4">
        <v>0</v>
      </c>
      <c r="S627" s="4" t="s">
        <v>210</v>
      </c>
      <c r="T627" s="4" t="s">
        <v>455</v>
      </c>
      <c r="U627" s="4">
        <v>0</v>
      </c>
      <c r="V627" s="4">
        <v>16</v>
      </c>
      <c r="W627" s="4">
        <v>53</v>
      </c>
    </row>
    <row r="628" spans="1:23" ht="11.25" customHeight="1" x14ac:dyDescent="0.25">
      <c r="A628" s="4" t="s">
        <v>28</v>
      </c>
      <c r="B628" s="4" t="s">
        <v>22</v>
      </c>
      <c r="C628" s="4" t="s">
        <v>23</v>
      </c>
      <c r="D628" s="4" t="s">
        <v>24</v>
      </c>
      <c r="E628" s="4" t="s">
        <v>24</v>
      </c>
      <c r="F628" s="4" t="s">
        <v>25</v>
      </c>
      <c r="G628" s="4" t="s">
        <v>25</v>
      </c>
      <c r="H628" s="4" t="s">
        <v>25</v>
      </c>
      <c r="I628" s="5">
        <v>44562</v>
      </c>
      <c r="J628" s="6">
        <v>0</v>
      </c>
      <c r="K628" s="6">
        <v>0</v>
      </c>
      <c r="L628" s="6">
        <v>136.268</v>
      </c>
      <c r="M628" s="6">
        <v>136.268</v>
      </c>
      <c r="N628" s="6">
        <v>136.268</v>
      </c>
      <c r="O628" s="6">
        <v>136.268</v>
      </c>
      <c r="P628" s="6">
        <v>1111</v>
      </c>
      <c r="Q628" s="4" t="s">
        <v>26</v>
      </c>
      <c r="R628" s="4">
        <v>0</v>
      </c>
      <c r="S628" s="4" t="s">
        <v>210</v>
      </c>
      <c r="T628" s="4" t="s">
        <v>455</v>
      </c>
      <c r="U628" s="4">
        <v>0</v>
      </c>
      <c r="V628" s="4">
        <v>16</v>
      </c>
      <c r="W628" s="4">
        <v>53</v>
      </c>
    </row>
    <row r="629" spans="1:23" ht="11.25" customHeight="1" x14ac:dyDescent="0.25">
      <c r="A629" s="4" t="s">
        <v>28</v>
      </c>
      <c r="B629" s="4" t="s">
        <v>22</v>
      </c>
      <c r="C629" s="4" t="s">
        <v>23</v>
      </c>
      <c r="D629" s="4" t="s">
        <v>24</v>
      </c>
      <c r="E629" s="4" t="s">
        <v>24</v>
      </c>
      <c r="F629" s="4" t="s">
        <v>25</v>
      </c>
      <c r="G629" s="4" t="s">
        <v>25</v>
      </c>
      <c r="H629" s="4" t="s">
        <v>25</v>
      </c>
      <c r="I629" s="5">
        <v>44562</v>
      </c>
      <c r="J629" s="6">
        <v>0</v>
      </c>
      <c r="K629" s="6">
        <v>0</v>
      </c>
      <c r="L629" s="6">
        <v>1.82</v>
      </c>
      <c r="M629" s="6">
        <v>1.82</v>
      </c>
      <c r="N629" s="6">
        <v>1.82</v>
      </c>
      <c r="O629" s="6">
        <v>1.82</v>
      </c>
      <c r="P629" s="6">
        <v>0</v>
      </c>
      <c r="Q629" s="4" t="s">
        <v>26</v>
      </c>
      <c r="R629" s="4">
        <v>0</v>
      </c>
      <c r="S629" s="4" t="s">
        <v>210</v>
      </c>
      <c r="T629" s="4" t="s">
        <v>455</v>
      </c>
      <c r="U629" s="4">
        <v>0</v>
      </c>
      <c r="V629" s="4">
        <v>16</v>
      </c>
      <c r="W629" s="4">
        <v>53</v>
      </c>
    </row>
    <row r="630" spans="1:23" ht="11.25" customHeight="1" x14ac:dyDescent="0.25">
      <c r="A630" s="4" t="s">
        <v>21</v>
      </c>
      <c r="B630" s="4" t="s">
        <v>22</v>
      </c>
      <c r="C630" s="4" t="s">
        <v>23</v>
      </c>
      <c r="D630" s="4" t="s">
        <v>24</v>
      </c>
      <c r="E630" s="4" t="s">
        <v>24</v>
      </c>
      <c r="F630" s="4" t="s">
        <v>25</v>
      </c>
      <c r="G630" s="4" t="s">
        <v>25</v>
      </c>
      <c r="H630" s="4" t="s">
        <v>25</v>
      </c>
      <c r="I630" s="5">
        <v>44593</v>
      </c>
      <c r="J630" s="6">
        <v>0</v>
      </c>
      <c r="K630" s="6">
        <v>0</v>
      </c>
      <c r="L630" s="6">
        <v>11973.48</v>
      </c>
      <c r="M630" s="6">
        <v>11973.48</v>
      </c>
      <c r="N630" s="6">
        <v>11973.48</v>
      </c>
      <c r="O630" s="6">
        <v>11973.48</v>
      </c>
      <c r="P630" s="6">
        <v>60975</v>
      </c>
      <c r="Q630" s="4" t="s">
        <v>26</v>
      </c>
      <c r="R630" s="4">
        <v>0</v>
      </c>
      <c r="S630" s="4" t="s">
        <v>211</v>
      </c>
      <c r="T630" s="4" t="s">
        <v>456</v>
      </c>
      <c r="U630" s="4">
        <v>0</v>
      </c>
      <c r="V630" s="4">
        <v>16</v>
      </c>
      <c r="W630" s="4">
        <v>53</v>
      </c>
    </row>
    <row r="631" spans="1:23" ht="11.25" customHeight="1" x14ac:dyDescent="0.25">
      <c r="A631" s="4" t="s">
        <v>27</v>
      </c>
      <c r="B631" s="4" t="s">
        <v>22</v>
      </c>
      <c r="C631" s="4" t="s">
        <v>23</v>
      </c>
      <c r="D631" s="4" t="s">
        <v>24</v>
      </c>
      <c r="E631" s="4" t="s">
        <v>24</v>
      </c>
      <c r="F631" s="4" t="s">
        <v>25</v>
      </c>
      <c r="G631" s="4" t="s">
        <v>25</v>
      </c>
      <c r="H631" s="4" t="s">
        <v>25</v>
      </c>
      <c r="I631" s="5">
        <v>44593</v>
      </c>
      <c r="J631" s="6">
        <v>0</v>
      </c>
      <c r="K631" s="6">
        <v>0</v>
      </c>
      <c r="L631" s="6">
        <v>0.21299999999999999</v>
      </c>
      <c r="M631" s="6">
        <v>0.21299999999999999</v>
      </c>
      <c r="N631" s="6">
        <v>0.21299999999999999</v>
      </c>
      <c r="O631" s="6">
        <v>0.21299999999999999</v>
      </c>
      <c r="P631" s="6">
        <v>20</v>
      </c>
      <c r="Q631" s="4" t="s">
        <v>26</v>
      </c>
      <c r="R631" s="4">
        <v>0</v>
      </c>
      <c r="S631" s="4" t="s">
        <v>211</v>
      </c>
      <c r="T631" s="4" t="s">
        <v>456</v>
      </c>
      <c r="U631" s="4">
        <v>0</v>
      </c>
      <c r="V631" s="4">
        <v>16</v>
      </c>
      <c r="W631" s="4">
        <v>53</v>
      </c>
    </row>
    <row r="632" spans="1:23" ht="11.25" customHeight="1" x14ac:dyDescent="0.25">
      <c r="A632" s="4" t="s">
        <v>28</v>
      </c>
      <c r="B632" s="4" t="s">
        <v>22</v>
      </c>
      <c r="C632" s="4" t="s">
        <v>23</v>
      </c>
      <c r="D632" s="4" t="s">
        <v>24</v>
      </c>
      <c r="E632" s="4" t="s">
        <v>24</v>
      </c>
      <c r="F632" s="4" t="s">
        <v>25</v>
      </c>
      <c r="G632" s="4" t="s">
        <v>25</v>
      </c>
      <c r="H632" s="4" t="s">
        <v>25</v>
      </c>
      <c r="I632" s="5">
        <v>44593</v>
      </c>
      <c r="J632" s="6">
        <v>0</v>
      </c>
      <c r="K632" s="6">
        <v>0</v>
      </c>
      <c r="L632" s="6">
        <v>151.86000000000001</v>
      </c>
      <c r="M632" s="6">
        <v>151.86000000000001</v>
      </c>
      <c r="N632" s="6">
        <v>151.86000000000001</v>
      </c>
      <c r="O632" s="6">
        <v>151.86000000000001</v>
      </c>
      <c r="P632" s="6">
        <v>1171</v>
      </c>
      <c r="Q632" s="4" t="s">
        <v>26</v>
      </c>
      <c r="R632" s="4">
        <v>0</v>
      </c>
      <c r="S632" s="4" t="s">
        <v>211</v>
      </c>
      <c r="T632" s="4" t="s">
        <v>456</v>
      </c>
      <c r="U632" s="4">
        <v>0</v>
      </c>
      <c r="V632" s="4">
        <v>16</v>
      </c>
      <c r="W632" s="4">
        <v>53</v>
      </c>
    </row>
    <row r="633" spans="1:23" ht="11.25" customHeight="1" x14ac:dyDescent="0.25">
      <c r="A633" s="4" t="s">
        <v>21</v>
      </c>
      <c r="B633" s="4" t="s">
        <v>22</v>
      </c>
      <c r="C633" s="4" t="s">
        <v>23</v>
      </c>
      <c r="D633" s="4" t="s">
        <v>24</v>
      </c>
      <c r="E633" s="4" t="s">
        <v>24</v>
      </c>
      <c r="F633" s="4" t="s">
        <v>25</v>
      </c>
      <c r="G633" s="4" t="s">
        <v>25</v>
      </c>
      <c r="H633" s="4" t="s">
        <v>25</v>
      </c>
      <c r="I633" s="5">
        <v>44621</v>
      </c>
      <c r="J633" s="6">
        <v>0</v>
      </c>
      <c r="K633" s="6">
        <v>0</v>
      </c>
      <c r="L633" s="6">
        <v>11630.394</v>
      </c>
      <c r="M633" s="6">
        <v>11630.394</v>
      </c>
      <c r="N633" s="6">
        <v>11630.394</v>
      </c>
      <c r="O633" s="6">
        <v>11630.394</v>
      </c>
      <c r="P633" s="6">
        <v>58822</v>
      </c>
      <c r="Q633" s="4" t="s">
        <v>26</v>
      </c>
      <c r="R633" s="4">
        <v>0</v>
      </c>
      <c r="S633" s="4" t="s">
        <v>212</v>
      </c>
      <c r="T633" s="4" t="s">
        <v>457</v>
      </c>
      <c r="U633" s="4">
        <v>0</v>
      </c>
      <c r="V633" s="4">
        <v>16</v>
      </c>
      <c r="W633" s="4">
        <v>53</v>
      </c>
    </row>
    <row r="634" spans="1:23" ht="11.25" customHeight="1" x14ac:dyDescent="0.25">
      <c r="A634" s="4" t="s">
        <v>27</v>
      </c>
      <c r="B634" s="4" t="s">
        <v>22</v>
      </c>
      <c r="C634" s="4" t="s">
        <v>23</v>
      </c>
      <c r="D634" s="4" t="s">
        <v>24</v>
      </c>
      <c r="E634" s="4" t="s">
        <v>24</v>
      </c>
      <c r="F634" s="4" t="s">
        <v>25</v>
      </c>
      <c r="G634" s="4" t="s">
        <v>25</v>
      </c>
      <c r="H634" s="4" t="s">
        <v>25</v>
      </c>
      <c r="I634" s="5">
        <v>44621</v>
      </c>
      <c r="J634" s="6">
        <v>0</v>
      </c>
      <c r="K634" s="6">
        <v>0</v>
      </c>
      <c r="L634" s="6">
        <v>-95.64</v>
      </c>
      <c r="M634" s="6">
        <v>-95.64</v>
      </c>
      <c r="N634" s="6">
        <v>-95.64</v>
      </c>
      <c r="O634" s="6">
        <v>-95.64</v>
      </c>
      <c r="P634" s="6">
        <v>20</v>
      </c>
      <c r="Q634" s="4" t="s">
        <v>26</v>
      </c>
      <c r="R634" s="4">
        <v>0</v>
      </c>
      <c r="S634" s="4" t="s">
        <v>212</v>
      </c>
      <c r="T634" s="4" t="s">
        <v>457</v>
      </c>
      <c r="U634" s="4">
        <v>0</v>
      </c>
      <c r="V634" s="4">
        <v>16</v>
      </c>
      <c r="W634" s="4">
        <v>53</v>
      </c>
    </row>
    <row r="635" spans="1:23" ht="11.25" customHeight="1" x14ac:dyDescent="0.25">
      <c r="A635" s="4" t="s">
        <v>28</v>
      </c>
      <c r="B635" s="4" t="s">
        <v>22</v>
      </c>
      <c r="C635" s="4" t="s">
        <v>23</v>
      </c>
      <c r="D635" s="4" t="s">
        <v>24</v>
      </c>
      <c r="E635" s="4" t="s">
        <v>24</v>
      </c>
      <c r="F635" s="4" t="s">
        <v>25</v>
      </c>
      <c r="G635" s="4" t="s">
        <v>25</v>
      </c>
      <c r="H635" s="4" t="s">
        <v>25</v>
      </c>
      <c r="I635" s="5">
        <v>44621</v>
      </c>
      <c r="J635" s="6">
        <v>0</v>
      </c>
      <c r="K635" s="6">
        <v>0</v>
      </c>
      <c r="L635" s="6">
        <v>155.41999999999999</v>
      </c>
      <c r="M635" s="6">
        <v>155.41999999999999</v>
      </c>
      <c r="N635" s="6">
        <v>155.41999999999999</v>
      </c>
      <c r="O635" s="6">
        <v>155.41999999999999</v>
      </c>
      <c r="P635" s="6">
        <v>1205</v>
      </c>
      <c r="Q635" s="4" t="s">
        <v>26</v>
      </c>
      <c r="R635" s="4">
        <v>0</v>
      </c>
      <c r="S635" s="4" t="s">
        <v>212</v>
      </c>
      <c r="T635" s="4" t="s">
        <v>457</v>
      </c>
      <c r="U635" s="4">
        <v>0</v>
      </c>
      <c r="V635" s="4">
        <v>16</v>
      </c>
      <c r="W635" s="4">
        <v>53</v>
      </c>
    </row>
    <row r="636" spans="1:23" ht="11.25" customHeight="1" x14ac:dyDescent="0.25">
      <c r="A636" s="4" t="s">
        <v>28</v>
      </c>
      <c r="B636" s="4" t="s">
        <v>22</v>
      </c>
      <c r="C636" s="4" t="s">
        <v>23</v>
      </c>
      <c r="D636" s="4" t="s">
        <v>24</v>
      </c>
      <c r="E636" s="4" t="s">
        <v>24</v>
      </c>
      <c r="F636" s="4" t="s">
        <v>25</v>
      </c>
      <c r="G636" s="4" t="s">
        <v>25</v>
      </c>
      <c r="H636" s="4" t="s">
        <v>25</v>
      </c>
      <c r="I636" s="5">
        <v>44621</v>
      </c>
      <c r="J636" s="6">
        <v>0</v>
      </c>
      <c r="K636" s="6">
        <v>0</v>
      </c>
      <c r="L636" s="6">
        <v>0.375</v>
      </c>
      <c r="M636" s="6">
        <v>0.375</v>
      </c>
      <c r="N636" s="6">
        <v>0.375</v>
      </c>
      <c r="O636" s="6">
        <v>0.375</v>
      </c>
      <c r="P636" s="6">
        <v>2</v>
      </c>
      <c r="Q636" s="4" t="s">
        <v>26</v>
      </c>
      <c r="R636" s="4">
        <v>0</v>
      </c>
      <c r="S636" s="4" t="s">
        <v>212</v>
      </c>
      <c r="T636" s="4" t="s">
        <v>457</v>
      </c>
      <c r="U636" s="4">
        <v>0</v>
      </c>
      <c r="V636" s="4">
        <v>16</v>
      </c>
      <c r="W636" s="4">
        <v>53</v>
      </c>
    </row>
    <row r="637" spans="1:23" ht="11.25" customHeight="1" x14ac:dyDescent="0.25">
      <c r="A637" s="4" t="s">
        <v>21</v>
      </c>
      <c r="B637" s="4" t="s">
        <v>22</v>
      </c>
      <c r="C637" s="4" t="s">
        <v>23</v>
      </c>
      <c r="D637" s="4" t="s">
        <v>24</v>
      </c>
      <c r="E637" s="4" t="s">
        <v>24</v>
      </c>
      <c r="F637" s="4" t="s">
        <v>25</v>
      </c>
      <c r="G637" s="4" t="s">
        <v>25</v>
      </c>
      <c r="H637" s="4" t="s">
        <v>25</v>
      </c>
      <c r="I637" s="5">
        <v>44652</v>
      </c>
      <c r="J637" s="6">
        <v>0</v>
      </c>
      <c r="K637" s="6">
        <v>0</v>
      </c>
      <c r="L637" s="6">
        <v>11631.782999999999</v>
      </c>
      <c r="M637" s="6">
        <v>11631.782999999999</v>
      </c>
      <c r="N637" s="6">
        <v>11631.782999999999</v>
      </c>
      <c r="O637" s="6">
        <v>11631.782999999999</v>
      </c>
      <c r="P637" s="6">
        <v>58593</v>
      </c>
      <c r="Q637" s="4" t="s">
        <v>26</v>
      </c>
      <c r="R637" s="4">
        <v>0</v>
      </c>
      <c r="S637" s="4" t="s">
        <v>213</v>
      </c>
      <c r="T637" s="4" t="s">
        <v>458</v>
      </c>
      <c r="U637" s="4">
        <v>0</v>
      </c>
      <c r="V637" s="4">
        <v>16</v>
      </c>
      <c r="W637" s="4">
        <v>53</v>
      </c>
    </row>
    <row r="638" spans="1:23" ht="11.25" customHeight="1" x14ac:dyDescent="0.25">
      <c r="A638" s="4" t="s">
        <v>27</v>
      </c>
      <c r="B638" s="4" t="s">
        <v>22</v>
      </c>
      <c r="C638" s="4" t="s">
        <v>23</v>
      </c>
      <c r="D638" s="4" t="s">
        <v>24</v>
      </c>
      <c r="E638" s="4" t="s">
        <v>24</v>
      </c>
      <c r="F638" s="4" t="s">
        <v>25</v>
      </c>
      <c r="G638" s="4" t="s">
        <v>25</v>
      </c>
      <c r="H638" s="4" t="s">
        <v>25</v>
      </c>
      <c r="I638" s="5">
        <v>44652</v>
      </c>
      <c r="J638" s="6">
        <v>0</v>
      </c>
      <c r="K638" s="6">
        <v>0</v>
      </c>
      <c r="L638" s="6">
        <v>-5.1999999999999998E-2</v>
      </c>
      <c r="M638" s="6">
        <v>-5.1999999999999998E-2</v>
      </c>
      <c r="N638" s="6">
        <v>-5.1999999999999998E-2</v>
      </c>
      <c r="O638" s="6">
        <v>-5.1999999999999998E-2</v>
      </c>
      <c r="P638" s="6">
        <v>32</v>
      </c>
      <c r="Q638" s="4" t="s">
        <v>26</v>
      </c>
      <c r="R638" s="4">
        <v>0</v>
      </c>
      <c r="S638" s="4" t="s">
        <v>213</v>
      </c>
      <c r="T638" s="4" t="s">
        <v>458</v>
      </c>
      <c r="U638" s="4">
        <v>0</v>
      </c>
      <c r="V638" s="4">
        <v>16</v>
      </c>
      <c r="W638" s="4">
        <v>53</v>
      </c>
    </row>
    <row r="639" spans="1:23" ht="11.25" customHeight="1" x14ac:dyDescent="0.25">
      <c r="A639" s="4" t="s">
        <v>28</v>
      </c>
      <c r="B639" s="4" t="s">
        <v>22</v>
      </c>
      <c r="C639" s="4" t="s">
        <v>23</v>
      </c>
      <c r="D639" s="4" t="s">
        <v>24</v>
      </c>
      <c r="E639" s="4" t="s">
        <v>24</v>
      </c>
      <c r="F639" s="4" t="s">
        <v>25</v>
      </c>
      <c r="G639" s="4" t="s">
        <v>25</v>
      </c>
      <c r="H639" s="4" t="s">
        <v>25</v>
      </c>
      <c r="I639" s="5">
        <v>44652</v>
      </c>
      <c r="J639" s="6">
        <v>0</v>
      </c>
      <c r="K639" s="6">
        <v>0</v>
      </c>
      <c r="L639" s="6">
        <v>195.16800000000001</v>
      </c>
      <c r="M639" s="6">
        <v>195.16800000000001</v>
      </c>
      <c r="N639" s="6">
        <v>195.16800000000001</v>
      </c>
      <c r="O639" s="6">
        <v>195.16800000000001</v>
      </c>
      <c r="P639" s="6">
        <v>1309</v>
      </c>
      <c r="Q639" s="4" t="s">
        <v>26</v>
      </c>
      <c r="R639" s="4">
        <v>0</v>
      </c>
      <c r="S639" s="4" t="s">
        <v>213</v>
      </c>
      <c r="T639" s="4" t="s">
        <v>458</v>
      </c>
      <c r="U639" s="4">
        <v>0</v>
      </c>
      <c r="V639" s="4">
        <v>16</v>
      </c>
      <c r="W639" s="4">
        <v>53</v>
      </c>
    </row>
    <row r="640" spans="1:23" ht="11.25" customHeight="1" x14ac:dyDescent="0.25">
      <c r="A640" s="4" t="s">
        <v>28</v>
      </c>
      <c r="B640" s="4" t="s">
        <v>22</v>
      </c>
      <c r="C640" s="4" t="s">
        <v>23</v>
      </c>
      <c r="D640" s="4" t="s">
        <v>24</v>
      </c>
      <c r="E640" s="4" t="s">
        <v>24</v>
      </c>
      <c r="F640" s="4" t="s">
        <v>25</v>
      </c>
      <c r="G640" s="4" t="s">
        <v>25</v>
      </c>
      <c r="H640" s="4" t="s">
        <v>25</v>
      </c>
      <c r="I640" s="5">
        <v>44652</v>
      </c>
      <c r="J640" s="6">
        <v>0</v>
      </c>
      <c r="K640" s="6">
        <v>0</v>
      </c>
      <c r="L640" s="6">
        <v>0.435</v>
      </c>
      <c r="M640" s="6">
        <v>0.435</v>
      </c>
      <c r="N640" s="6">
        <v>0.435</v>
      </c>
      <c r="O640" s="6">
        <v>0.435</v>
      </c>
      <c r="P640" s="6">
        <v>2</v>
      </c>
      <c r="Q640" s="4" t="s">
        <v>26</v>
      </c>
      <c r="R640" s="4">
        <v>0</v>
      </c>
      <c r="S640" s="4" t="s">
        <v>213</v>
      </c>
      <c r="T640" s="4" t="s">
        <v>458</v>
      </c>
      <c r="U640" s="4">
        <v>0</v>
      </c>
      <c r="V640" s="4">
        <v>16</v>
      </c>
      <c r="W640" s="4">
        <v>53</v>
      </c>
    </row>
    <row r="641" spans="1:23" ht="11.25" customHeight="1" x14ac:dyDescent="0.25">
      <c r="A641" s="4" t="s">
        <v>21</v>
      </c>
      <c r="B641" s="4" t="s">
        <v>22</v>
      </c>
      <c r="C641" s="4" t="s">
        <v>23</v>
      </c>
      <c r="D641" s="4" t="s">
        <v>24</v>
      </c>
      <c r="E641" s="4" t="s">
        <v>24</v>
      </c>
      <c r="F641" s="4" t="s">
        <v>25</v>
      </c>
      <c r="G641" s="4" t="s">
        <v>25</v>
      </c>
      <c r="H641" s="4" t="s">
        <v>25</v>
      </c>
      <c r="I641" s="5">
        <v>44682</v>
      </c>
      <c r="J641" s="6">
        <v>0</v>
      </c>
      <c r="K641" s="6">
        <v>0</v>
      </c>
      <c r="L641" s="6">
        <v>10110.762000000001</v>
      </c>
      <c r="M641" s="6">
        <v>10110.762000000001</v>
      </c>
      <c r="N641" s="6">
        <v>10110.762000000001</v>
      </c>
      <c r="O641" s="6">
        <v>10110.762000000001</v>
      </c>
      <c r="P641" s="6">
        <v>59627</v>
      </c>
      <c r="Q641" s="4" t="s">
        <v>26</v>
      </c>
      <c r="R641" s="4">
        <v>0</v>
      </c>
      <c r="S641" s="4" t="s">
        <v>214</v>
      </c>
      <c r="T641" s="4" t="s">
        <v>459</v>
      </c>
      <c r="U641" s="4">
        <v>0</v>
      </c>
      <c r="V641" s="4">
        <v>16</v>
      </c>
      <c r="W641" s="4">
        <v>53</v>
      </c>
    </row>
    <row r="642" spans="1:23" ht="11.25" customHeight="1" x14ac:dyDescent="0.25">
      <c r="A642" s="4" t="s">
        <v>27</v>
      </c>
      <c r="B642" s="4" t="s">
        <v>22</v>
      </c>
      <c r="C642" s="4" t="s">
        <v>23</v>
      </c>
      <c r="D642" s="4" t="s">
        <v>24</v>
      </c>
      <c r="E642" s="4" t="s">
        <v>24</v>
      </c>
      <c r="F642" s="4" t="s">
        <v>25</v>
      </c>
      <c r="G642" s="4" t="s">
        <v>25</v>
      </c>
      <c r="H642" s="4" t="s">
        <v>25</v>
      </c>
      <c r="I642" s="5">
        <v>44682</v>
      </c>
      <c r="J642" s="6">
        <v>0</v>
      </c>
      <c r="K642" s="6">
        <v>0</v>
      </c>
      <c r="L642" s="6">
        <v>0.94299999999999995</v>
      </c>
      <c r="M642" s="6">
        <v>0.94299999999999995</v>
      </c>
      <c r="N642" s="6">
        <v>0.94299999999999995</v>
      </c>
      <c r="O642" s="6">
        <v>0.94299999999999995</v>
      </c>
      <c r="P642" s="6">
        <v>38</v>
      </c>
      <c r="Q642" s="4" t="s">
        <v>26</v>
      </c>
      <c r="R642" s="4">
        <v>0</v>
      </c>
      <c r="S642" s="4" t="s">
        <v>214</v>
      </c>
      <c r="T642" s="4" t="s">
        <v>459</v>
      </c>
      <c r="U642" s="4">
        <v>0</v>
      </c>
      <c r="V642" s="4">
        <v>16</v>
      </c>
      <c r="W642" s="4">
        <v>53</v>
      </c>
    </row>
    <row r="643" spans="1:23" ht="11.25" customHeight="1" x14ac:dyDescent="0.25">
      <c r="A643" s="4" t="s">
        <v>28</v>
      </c>
      <c r="B643" s="4" t="s">
        <v>22</v>
      </c>
      <c r="C643" s="4" t="s">
        <v>23</v>
      </c>
      <c r="D643" s="4" t="s">
        <v>24</v>
      </c>
      <c r="E643" s="4" t="s">
        <v>24</v>
      </c>
      <c r="F643" s="4" t="s">
        <v>25</v>
      </c>
      <c r="G643" s="4" t="s">
        <v>25</v>
      </c>
      <c r="H643" s="4" t="s">
        <v>25</v>
      </c>
      <c r="I643" s="5">
        <v>44682</v>
      </c>
      <c r="J643" s="6">
        <v>0</v>
      </c>
      <c r="K643" s="6">
        <v>0</v>
      </c>
      <c r="L643" s="6">
        <v>184.58199999999999</v>
      </c>
      <c r="M643" s="6">
        <v>184.58199999999999</v>
      </c>
      <c r="N643" s="6">
        <v>184.58199999999999</v>
      </c>
      <c r="O643" s="6">
        <v>184.58199999999999</v>
      </c>
      <c r="P643" s="6">
        <v>1463</v>
      </c>
      <c r="Q643" s="4" t="s">
        <v>26</v>
      </c>
      <c r="R643" s="4">
        <v>0</v>
      </c>
      <c r="S643" s="4" t="s">
        <v>214</v>
      </c>
      <c r="T643" s="4" t="s">
        <v>459</v>
      </c>
      <c r="U643" s="4">
        <v>0</v>
      </c>
      <c r="V643" s="4">
        <v>16</v>
      </c>
      <c r="W643" s="4">
        <v>53</v>
      </c>
    </row>
    <row r="644" spans="1:23" ht="11.25" customHeight="1" x14ac:dyDescent="0.25">
      <c r="A644" s="4" t="s">
        <v>28</v>
      </c>
      <c r="B644" s="4" t="s">
        <v>22</v>
      </c>
      <c r="C644" s="4" t="s">
        <v>23</v>
      </c>
      <c r="D644" s="4" t="s">
        <v>24</v>
      </c>
      <c r="E644" s="4" t="s">
        <v>24</v>
      </c>
      <c r="F644" s="4" t="s">
        <v>25</v>
      </c>
      <c r="G644" s="4" t="s">
        <v>25</v>
      </c>
      <c r="H644" s="4" t="s">
        <v>25</v>
      </c>
      <c r="I644" s="5">
        <v>44682</v>
      </c>
      <c r="J644" s="6">
        <v>0</v>
      </c>
      <c r="K644" s="6">
        <v>0</v>
      </c>
      <c r="L644" s="6">
        <v>0.30499999999999999</v>
      </c>
      <c r="M644" s="6">
        <v>0.30499999999999999</v>
      </c>
      <c r="N644" s="6">
        <v>0.30499999999999999</v>
      </c>
      <c r="O644" s="6">
        <v>0.30499999999999999</v>
      </c>
      <c r="P644" s="6">
        <v>1</v>
      </c>
      <c r="Q644" s="4" t="s">
        <v>26</v>
      </c>
      <c r="R644" s="4">
        <v>0</v>
      </c>
      <c r="S644" s="4" t="s">
        <v>214</v>
      </c>
      <c r="T644" s="4" t="s">
        <v>459</v>
      </c>
      <c r="U644" s="4">
        <v>0</v>
      </c>
      <c r="V644" s="4">
        <v>16</v>
      </c>
      <c r="W644" s="4">
        <v>53</v>
      </c>
    </row>
    <row r="645" spans="1:23" ht="11.25" customHeight="1" x14ac:dyDescent="0.25">
      <c r="A645" s="4" t="s">
        <v>21</v>
      </c>
      <c r="B645" s="4" t="s">
        <v>22</v>
      </c>
      <c r="C645" s="4" t="s">
        <v>23</v>
      </c>
      <c r="D645" s="4" t="s">
        <v>24</v>
      </c>
      <c r="E645" s="4" t="s">
        <v>24</v>
      </c>
      <c r="F645" s="4" t="s">
        <v>25</v>
      </c>
      <c r="G645" s="4" t="s">
        <v>25</v>
      </c>
      <c r="H645" s="4" t="s">
        <v>25</v>
      </c>
      <c r="I645" s="5">
        <v>44713</v>
      </c>
      <c r="J645" s="6">
        <v>0</v>
      </c>
      <c r="K645" s="6">
        <v>0</v>
      </c>
      <c r="L645" s="6">
        <v>8718.4410000000007</v>
      </c>
      <c r="M645" s="6">
        <v>8718.4410000000007</v>
      </c>
      <c r="N645" s="6">
        <v>8718.4410000000007</v>
      </c>
      <c r="O645" s="6">
        <v>8718.4410000000007</v>
      </c>
      <c r="P645" s="6">
        <v>58861</v>
      </c>
      <c r="Q645" s="4" t="s">
        <v>26</v>
      </c>
      <c r="R645" s="4">
        <v>0</v>
      </c>
      <c r="S645" s="4" t="s">
        <v>215</v>
      </c>
      <c r="T645" s="4" t="s">
        <v>460</v>
      </c>
      <c r="U645" s="4">
        <v>0</v>
      </c>
      <c r="V645" s="4">
        <v>16</v>
      </c>
      <c r="W645" s="4">
        <v>53</v>
      </c>
    </row>
    <row r="646" spans="1:23" ht="11.25" customHeight="1" x14ac:dyDescent="0.25">
      <c r="A646" s="4" t="s">
        <v>27</v>
      </c>
      <c r="B646" s="4" t="s">
        <v>22</v>
      </c>
      <c r="C646" s="4" t="s">
        <v>23</v>
      </c>
      <c r="D646" s="4" t="s">
        <v>24</v>
      </c>
      <c r="E646" s="4" t="s">
        <v>24</v>
      </c>
      <c r="F646" s="4" t="s">
        <v>25</v>
      </c>
      <c r="G646" s="4" t="s">
        <v>25</v>
      </c>
      <c r="H646" s="4" t="s">
        <v>25</v>
      </c>
      <c r="I646" s="5">
        <v>44713</v>
      </c>
      <c r="J646" s="6">
        <v>0</v>
      </c>
      <c r="K646" s="6">
        <v>0</v>
      </c>
      <c r="L646" s="6">
        <v>0.59799999999999998</v>
      </c>
      <c r="M646" s="6">
        <v>0.59799999999999998</v>
      </c>
      <c r="N646" s="6">
        <v>0.59799999999999998</v>
      </c>
      <c r="O646" s="6">
        <v>0.59799999999999998</v>
      </c>
      <c r="P646" s="6">
        <v>27</v>
      </c>
      <c r="Q646" s="4" t="s">
        <v>26</v>
      </c>
      <c r="R646" s="4">
        <v>0</v>
      </c>
      <c r="S646" s="4" t="s">
        <v>215</v>
      </c>
      <c r="T646" s="4" t="s">
        <v>460</v>
      </c>
      <c r="U646" s="4">
        <v>0</v>
      </c>
      <c r="V646" s="4">
        <v>16</v>
      </c>
      <c r="W646" s="4">
        <v>53</v>
      </c>
    </row>
    <row r="647" spans="1:23" ht="11.25" customHeight="1" x14ac:dyDescent="0.25">
      <c r="A647" s="4" t="s">
        <v>28</v>
      </c>
      <c r="B647" s="4" t="s">
        <v>22</v>
      </c>
      <c r="C647" s="4" t="s">
        <v>23</v>
      </c>
      <c r="D647" s="4" t="s">
        <v>24</v>
      </c>
      <c r="E647" s="4" t="s">
        <v>24</v>
      </c>
      <c r="F647" s="4" t="s">
        <v>25</v>
      </c>
      <c r="G647" s="4" t="s">
        <v>25</v>
      </c>
      <c r="H647" s="4" t="s">
        <v>25</v>
      </c>
      <c r="I647" s="5">
        <v>44713</v>
      </c>
      <c r="J647" s="6">
        <v>0</v>
      </c>
      <c r="K647" s="6">
        <v>0</v>
      </c>
      <c r="L647" s="6">
        <v>185.44499999999999</v>
      </c>
      <c r="M647" s="6">
        <v>185.44499999999999</v>
      </c>
      <c r="N647" s="6">
        <v>185.44499999999999</v>
      </c>
      <c r="O647" s="6">
        <v>185.44499999999999</v>
      </c>
      <c r="P647" s="6">
        <v>1625</v>
      </c>
      <c r="Q647" s="4" t="s">
        <v>26</v>
      </c>
      <c r="R647" s="4">
        <v>0</v>
      </c>
      <c r="S647" s="4" t="s">
        <v>215</v>
      </c>
      <c r="T647" s="4" t="s">
        <v>460</v>
      </c>
      <c r="U647" s="4">
        <v>0</v>
      </c>
      <c r="V647" s="4">
        <v>16</v>
      </c>
      <c r="W647" s="4">
        <v>53</v>
      </c>
    </row>
    <row r="648" spans="1:23" ht="11.25" customHeight="1" x14ac:dyDescent="0.25">
      <c r="A648" s="4" t="s">
        <v>28</v>
      </c>
      <c r="B648" s="4" t="s">
        <v>22</v>
      </c>
      <c r="C648" s="4" t="s">
        <v>23</v>
      </c>
      <c r="D648" s="4" t="s">
        <v>24</v>
      </c>
      <c r="E648" s="4" t="s">
        <v>24</v>
      </c>
      <c r="F648" s="4" t="s">
        <v>25</v>
      </c>
      <c r="G648" s="4" t="s">
        <v>25</v>
      </c>
      <c r="H648" s="4" t="s">
        <v>25</v>
      </c>
      <c r="I648" s="5">
        <v>44713</v>
      </c>
      <c r="J648" s="6">
        <v>0</v>
      </c>
      <c r="K648" s="6">
        <v>0</v>
      </c>
      <c r="L648" s="6">
        <v>0.183</v>
      </c>
      <c r="M648" s="6">
        <v>0.183</v>
      </c>
      <c r="N648" s="6">
        <v>0.183</v>
      </c>
      <c r="O648" s="6">
        <v>0.183</v>
      </c>
      <c r="P648" s="6">
        <v>2</v>
      </c>
      <c r="Q648" s="4" t="s">
        <v>26</v>
      </c>
      <c r="R648" s="4">
        <v>0</v>
      </c>
      <c r="S648" s="4" t="s">
        <v>215</v>
      </c>
      <c r="T648" s="4" t="s">
        <v>460</v>
      </c>
      <c r="U648" s="4">
        <v>0</v>
      </c>
      <c r="V648" s="4">
        <v>16</v>
      </c>
      <c r="W648" s="4">
        <v>53</v>
      </c>
    </row>
    <row r="649" spans="1:23" ht="11.25" customHeight="1" x14ac:dyDescent="0.25">
      <c r="A649" s="4" t="s">
        <v>21</v>
      </c>
      <c r="B649" s="4" t="s">
        <v>22</v>
      </c>
      <c r="C649" s="4" t="s">
        <v>23</v>
      </c>
      <c r="D649" s="4" t="s">
        <v>24</v>
      </c>
      <c r="E649" s="4" t="s">
        <v>24</v>
      </c>
      <c r="F649" s="4" t="s">
        <v>25</v>
      </c>
      <c r="G649" s="4" t="s">
        <v>25</v>
      </c>
      <c r="H649" s="4" t="s">
        <v>25</v>
      </c>
      <c r="I649" s="5">
        <v>44743</v>
      </c>
      <c r="J649" s="6">
        <v>0</v>
      </c>
      <c r="K649" s="6">
        <v>0</v>
      </c>
      <c r="L649" s="6">
        <v>8307.1640000000007</v>
      </c>
      <c r="M649" s="6">
        <v>8307.1640000000007</v>
      </c>
      <c r="N649" s="6">
        <v>8307.1640000000007</v>
      </c>
      <c r="O649" s="6">
        <v>8307.1640000000007</v>
      </c>
      <c r="P649" s="6">
        <v>60940</v>
      </c>
      <c r="Q649" s="4" t="s">
        <v>26</v>
      </c>
      <c r="R649" s="4">
        <v>0</v>
      </c>
      <c r="S649" s="4" t="s">
        <v>216</v>
      </c>
      <c r="T649" s="4" t="s">
        <v>461</v>
      </c>
      <c r="U649" s="4">
        <v>0</v>
      </c>
      <c r="V649" s="4">
        <v>16</v>
      </c>
      <c r="W649" s="4">
        <v>53</v>
      </c>
    </row>
    <row r="650" spans="1:23" ht="11.25" customHeight="1" x14ac:dyDescent="0.25">
      <c r="A650" s="4" t="s">
        <v>27</v>
      </c>
      <c r="B650" s="4" t="s">
        <v>22</v>
      </c>
      <c r="C650" s="4" t="s">
        <v>23</v>
      </c>
      <c r="D650" s="4" t="s">
        <v>24</v>
      </c>
      <c r="E650" s="4" t="s">
        <v>24</v>
      </c>
      <c r="F650" s="4" t="s">
        <v>25</v>
      </c>
      <c r="G650" s="4" t="s">
        <v>25</v>
      </c>
      <c r="H650" s="4" t="s">
        <v>25</v>
      </c>
      <c r="I650" s="5">
        <v>44743</v>
      </c>
      <c r="J650" s="6">
        <v>0</v>
      </c>
      <c r="K650" s="6">
        <v>0</v>
      </c>
      <c r="L650" s="6">
        <v>2.2999999999999998</v>
      </c>
      <c r="M650" s="6">
        <v>2.2999999999999998</v>
      </c>
      <c r="N650" s="6">
        <v>2.2999999999999998</v>
      </c>
      <c r="O650" s="6">
        <v>2.2999999999999998</v>
      </c>
      <c r="P650" s="6">
        <v>44</v>
      </c>
      <c r="Q650" s="4" t="s">
        <v>26</v>
      </c>
      <c r="R650" s="4">
        <v>0</v>
      </c>
      <c r="S650" s="4" t="s">
        <v>216</v>
      </c>
      <c r="T650" s="4" t="s">
        <v>461</v>
      </c>
      <c r="U650" s="4">
        <v>0</v>
      </c>
      <c r="V650" s="4">
        <v>16</v>
      </c>
      <c r="W650" s="4">
        <v>53</v>
      </c>
    </row>
    <row r="651" spans="1:23" ht="11.25" customHeight="1" x14ac:dyDescent="0.25">
      <c r="A651" s="4" t="s">
        <v>28</v>
      </c>
      <c r="B651" s="4" t="s">
        <v>22</v>
      </c>
      <c r="C651" s="4" t="s">
        <v>23</v>
      </c>
      <c r="D651" s="4" t="s">
        <v>24</v>
      </c>
      <c r="E651" s="4" t="s">
        <v>24</v>
      </c>
      <c r="F651" s="4" t="s">
        <v>25</v>
      </c>
      <c r="G651" s="4" t="s">
        <v>25</v>
      </c>
      <c r="H651" s="4" t="s">
        <v>25</v>
      </c>
      <c r="I651" s="5">
        <v>44743</v>
      </c>
      <c r="J651" s="6">
        <v>0</v>
      </c>
      <c r="K651" s="6">
        <v>0</v>
      </c>
      <c r="L651" s="6">
        <v>187.185</v>
      </c>
      <c r="M651" s="6">
        <v>187.185</v>
      </c>
      <c r="N651" s="6">
        <v>187.185</v>
      </c>
      <c r="O651" s="6">
        <v>187.185</v>
      </c>
      <c r="P651" s="6">
        <v>1729</v>
      </c>
      <c r="Q651" s="4" t="s">
        <v>26</v>
      </c>
      <c r="R651" s="4">
        <v>0</v>
      </c>
      <c r="S651" s="4" t="s">
        <v>216</v>
      </c>
      <c r="T651" s="4" t="s">
        <v>461</v>
      </c>
      <c r="U651" s="4">
        <v>0</v>
      </c>
      <c r="V651" s="4">
        <v>16</v>
      </c>
      <c r="W651" s="4">
        <v>53</v>
      </c>
    </row>
    <row r="652" spans="1:23" ht="11.25" customHeight="1" x14ac:dyDescent="0.25">
      <c r="A652" s="4" t="s">
        <v>28</v>
      </c>
      <c r="B652" s="4" t="s">
        <v>22</v>
      </c>
      <c r="C652" s="4" t="s">
        <v>23</v>
      </c>
      <c r="D652" s="4" t="s">
        <v>24</v>
      </c>
      <c r="E652" s="4" t="s">
        <v>24</v>
      </c>
      <c r="F652" s="4" t="s">
        <v>25</v>
      </c>
      <c r="G652" s="4" t="s">
        <v>25</v>
      </c>
      <c r="H652" s="4" t="s">
        <v>25</v>
      </c>
      <c r="I652" s="5">
        <v>44743</v>
      </c>
      <c r="J652" s="6">
        <v>0</v>
      </c>
      <c r="K652" s="6">
        <v>0</v>
      </c>
      <c r="L652" s="6">
        <v>0.48199999999999998</v>
      </c>
      <c r="M652" s="6">
        <v>0.48199999999999998</v>
      </c>
      <c r="N652" s="6">
        <v>0.48199999999999998</v>
      </c>
      <c r="O652" s="6">
        <v>0.48199999999999998</v>
      </c>
      <c r="P652" s="6">
        <v>0</v>
      </c>
      <c r="Q652" s="4" t="s">
        <v>26</v>
      </c>
      <c r="R652" s="4">
        <v>0</v>
      </c>
      <c r="S652" s="4" t="s">
        <v>216</v>
      </c>
      <c r="T652" s="4" t="s">
        <v>461</v>
      </c>
      <c r="U652" s="4">
        <v>0</v>
      </c>
      <c r="V652" s="4">
        <v>16</v>
      </c>
      <c r="W652" s="4">
        <v>53</v>
      </c>
    </row>
    <row r="653" spans="1:23" ht="11.25" customHeight="1" x14ac:dyDescent="0.25">
      <c r="A653" s="4" t="s">
        <v>56</v>
      </c>
      <c r="B653" s="4" t="s">
        <v>22</v>
      </c>
      <c r="C653" s="4" t="s">
        <v>23</v>
      </c>
      <c r="D653" s="4" t="s">
        <v>24</v>
      </c>
      <c r="E653" s="4" t="s">
        <v>24</v>
      </c>
      <c r="F653" s="4" t="s">
        <v>25</v>
      </c>
      <c r="G653" s="4" t="s">
        <v>25</v>
      </c>
      <c r="H653" s="4" t="s">
        <v>25</v>
      </c>
      <c r="I653" s="5">
        <v>44774</v>
      </c>
      <c r="J653" s="6">
        <v>0</v>
      </c>
      <c r="K653" s="6">
        <v>0</v>
      </c>
      <c r="L653" s="6">
        <v>8307.1640000000007</v>
      </c>
      <c r="M653" s="6">
        <v>8307.1640000000007</v>
      </c>
      <c r="N653" s="6">
        <v>8307.1640000000007</v>
      </c>
      <c r="O653" s="6">
        <v>8307.1640000000007</v>
      </c>
      <c r="P653" s="6">
        <v>60940</v>
      </c>
      <c r="Q653" s="4" t="s">
        <v>26</v>
      </c>
      <c r="R653" s="4">
        <v>0</v>
      </c>
      <c r="S653" s="4" t="s">
        <v>217</v>
      </c>
      <c r="T653" s="4" t="s">
        <v>462</v>
      </c>
      <c r="U653" s="4">
        <v>0</v>
      </c>
      <c r="V653" s="4">
        <v>16</v>
      </c>
      <c r="W653" s="4">
        <v>53</v>
      </c>
    </row>
    <row r="654" spans="1:23" ht="11.25" customHeight="1" x14ac:dyDescent="0.25">
      <c r="A654" s="4" t="s">
        <v>56</v>
      </c>
      <c r="B654" s="4" t="s">
        <v>22</v>
      </c>
      <c r="C654" s="4" t="s">
        <v>23</v>
      </c>
      <c r="D654" s="4" t="s">
        <v>24</v>
      </c>
      <c r="E654" s="4" t="s">
        <v>24</v>
      </c>
      <c r="F654" s="4" t="s">
        <v>25</v>
      </c>
      <c r="G654" s="4" t="s">
        <v>25</v>
      </c>
      <c r="H654" s="4" t="s">
        <v>25</v>
      </c>
      <c r="I654" s="5">
        <v>44774</v>
      </c>
      <c r="J654" s="6">
        <v>0</v>
      </c>
      <c r="K654" s="6">
        <v>0</v>
      </c>
      <c r="L654" s="6">
        <v>2.2999999999999998</v>
      </c>
      <c r="M654" s="6">
        <v>2.2999999999999998</v>
      </c>
      <c r="N654" s="6">
        <v>2.2999999999999998</v>
      </c>
      <c r="O654" s="6">
        <v>2.2999999999999998</v>
      </c>
      <c r="P654" s="6">
        <v>44</v>
      </c>
      <c r="Q654" s="4" t="s">
        <v>26</v>
      </c>
      <c r="R654" s="4">
        <v>0</v>
      </c>
      <c r="S654" s="4" t="s">
        <v>217</v>
      </c>
      <c r="T654" s="4" t="s">
        <v>462</v>
      </c>
      <c r="U654" s="4">
        <v>0</v>
      </c>
      <c r="V654" s="4">
        <v>16</v>
      </c>
      <c r="W654" s="4">
        <v>53</v>
      </c>
    </row>
    <row r="655" spans="1:23" ht="11.25" customHeight="1" x14ac:dyDescent="0.25">
      <c r="A655" s="4" t="s">
        <v>56</v>
      </c>
      <c r="B655" s="4" t="s">
        <v>22</v>
      </c>
      <c r="C655" s="4" t="s">
        <v>23</v>
      </c>
      <c r="D655" s="4" t="s">
        <v>24</v>
      </c>
      <c r="E655" s="4" t="s">
        <v>24</v>
      </c>
      <c r="F655" s="4" t="s">
        <v>25</v>
      </c>
      <c r="G655" s="4" t="s">
        <v>25</v>
      </c>
      <c r="H655" s="4" t="s">
        <v>25</v>
      </c>
      <c r="I655" s="5">
        <v>44774</v>
      </c>
      <c r="J655" s="6">
        <v>0</v>
      </c>
      <c r="K655" s="6">
        <v>0</v>
      </c>
      <c r="L655" s="6">
        <v>187.185</v>
      </c>
      <c r="M655" s="6">
        <v>187.185</v>
      </c>
      <c r="N655" s="6">
        <v>187.185</v>
      </c>
      <c r="O655" s="6">
        <v>187.185</v>
      </c>
      <c r="P655" s="6">
        <v>1729</v>
      </c>
      <c r="Q655" s="4" t="s">
        <v>26</v>
      </c>
      <c r="R655" s="4">
        <v>0</v>
      </c>
      <c r="S655" s="4" t="s">
        <v>217</v>
      </c>
      <c r="T655" s="4" t="s">
        <v>462</v>
      </c>
      <c r="U655" s="4">
        <v>0</v>
      </c>
      <c r="V655" s="4">
        <v>16</v>
      </c>
      <c r="W655" s="4">
        <v>53</v>
      </c>
    </row>
    <row r="656" spans="1:23" ht="11.25" customHeight="1" x14ac:dyDescent="0.25">
      <c r="A656" s="4" t="s">
        <v>56</v>
      </c>
      <c r="B656" s="4" t="s">
        <v>22</v>
      </c>
      <c r="C656" s="4" t="s">
        <v>23</v>
      </c>
      <c r="D656" s="4" t="s">
        <v>24</v>
      </c>
      <c r="E656" s="4" t="s">
        <v>24</v>
      </c>
      <c r="F656" s="4" t="s">
        <v>25</v>
      </c>
      <c r="G656" s="4" t="s">
        <v>25</v>
      </c>
      <c r="H656" s="4" t="s">
        <v>25</v>
      </c>
      <c r="I656" s="5">
        <v>44774</v>
      </c>
      <c r="J656" s="6">
        <v>0</v>
      </c>
      <c r="K656" s="6">
        <v>0</v>
      </c>
      <c r="L656" s="6">
        <v>0.48199999999999998</v>
      </c>
      <c r="M656" s="6">
        <v>0.48199999999999998</v>
      </c>
      <c r="N656" s="6">
        <v>0.48199999999999998</v>
      </c>
      <c r="O656" s="6">
        <v>0.48199999999999998</v>
      </c>
      <c r="P656" s="6">
        <v>0</v>
      </c>
      <c r="Q656" s="4" t="s">
        <v>26</v>
      </c>
      <c r="R656" s="4">
        <v>0</v>
      </c>
      <c r="S656" s="4" t="s">
        <v>217</v>
      </c>
      <c r="T656" s="4" t="s">
        <v>462</v>
      </c>
      <c r="U656" s="4">
        <v>0</v>
      </c>
      <c r="V656" s="4">
        <v>16</v>
      </c>
      <c r="W656" s="4">
        <v>53</v>
      </c>
    </row>
    <row r="657" spans="1:23" ht="11.25" customHeight="1" x14ac:dyDescent="0.25">
      <c r="A657" s="4" t="s">
        <v>21</v>
      </c>
      <c r="B657" s="4" t="s">
        <v>22</v>
      </c>
      <c r="C657" s="4" t="s">
        <v>23</v>
      </c>
      <c r="D657" s="4" t="s">
        <v>24</v>
      </c>
      <c r="E657" s="4" t="s">
        <v>29</v>
      </c>
      <c r="F657" s="4" t="s">
        <v>25</v>
      </c>
      <c r="G657" s="4" t="s">
        <v>25</v>
      </c>
      <c r="H657" s="4" t="s">
        <v>25</v>
      </c>
      <c r="I657" s="5">
        <v>44440</v>
      </c>
      <c r="J657" s="6">
        <v>0</v>
      </c>
      <c r="K657" s="6">
        <v>0</v>
      </c>
      <c r="L657" s="6">
        <v>298.62</v>
      </c>
      <c r="M657" s="6">
        <v>298.62</v>
      </c>
      <c r="N657" s="6">
        <v>298.62</v>
      </c>
      <c r="O657" s="6">
        <v>298.62</v>
      </c>
      <c r="P657" s="6">
        <v>387</v>
      </c>
      <c r="Q657" s="4" t="s">
        <v>26</v>
      </c>
      <c r="R657" s="4">
        <v>0</v>
      </c>
      <c r="S657" s="4" t="s">
        <v>230</v>
      </c>
      <c r="T657" s="4" t="s">
        <v>475</v>
      </c>
      <c r="U657" s="4">
        <v>0</v>
      </c>
      <c r="V657" s="4">
        <v>17</v>
      </c>
      <c r="W657" s="4">
        <v>54</v>
      </c>
    </row>
    <row r="658" spans="1:23" ht="11.25" customHeight="1" x14ac:dyDescent="0.25">
      <c r="A658" s="4" t="s">
        <v>28</v>
      </c>
      <c r="B658" s="4" t="s">
        <v>22</v>
      </c>
      <c r="C658" s="4" t="s">
        <v>23</v>
      </c>
      <c r="D658" s="4" t="s">
        <v>24</v>
      </c>
      <c r="E658" s="4" t="s">
        <v>29</v>
      </c>
      <c r="F658" s="4" t="s">
        <v>25</v>
      </c>
      <c r="G658" s="4" t="s">
        <v>25</v>
      </c>
      <c r="H658" s="4" t="s">
        <v>25</v>
      </c>
      <c r="I658" s="5">
        <v>44440</v>
      </c>
      <c r="J658" s="6">
        <v>0</v>
      </c>
      <c r="K658" s="6">
        <v>0</v>
      </c>
      <c r="L658" s="6">
        <v>4.92</v>
      </c>
      <c r="M658" s="6">
        <v>4.92</v>
      </c>
      <c r="N658" s="6">
        <v>4.92</v>
      </c>
      <c r="O658" s="6">
        <v>4.92</v>
      </c>
      <c r="P658" s="6">
        <v>17</v>
      </c>
      <c r="Q658" s="4" t="s">
        <v>26</v>
      </c>
      <c r="R658" s="4">
        <v>0</v>
      </c>
      <c r="S658" s="4" t="s">
        <v>230</v>
      </c>
      <c r="T658" s="4" t="s">
        <v>475</v>
      </c>
      <c r="U658" s="4">
        <v>0</v>
      </c>
      <c r="V658" s="4">
        <v>17</v>
      </c>
      <c r="W658" s="4">
        <v>54</v>
      </c>
    </row>
    <row r="659" spans="1:23" ht="11.25" customHeight="1" x14ac:dyDescent="0.25">
      <c r="A659" s="4" t="s">
        <v>21</v>
      </c>
      <c r="B659" s="4" t="s">
        <v>22</v>
      </c>
      <c r="C659" s="4" t="s">
        <v>23</v>
      </c>
      <c r="D659" s="4" t="s">
        <v>24</v>
      </c>
      <c r="E659" s="4" t="s">
        <v>29</v>
      </c>
      <c r="F659" s="4" t="s">
        <v>25</v>
      </c>
      <c r="G659" s="4" t="s">
        <v>25</v>
      </c>
      <c r="H659" s="4" t="s">
        <v>25</v>
      </c>
      <c r="I659" s="5">
        <v>44470</v>
      </c>
      <c r="J659" s="6">
        <v>0</v>
      </c>
      <c r="K659" s="6">
        <v>0</v>
      </c>
      <c r="L659" s="6">
        <v>303.66000000000003</v>
      </c>
      <c r="M659" s="6">
        <v>303.66000000000003</v>
      </c>
      <c r="N659" s="6">
        <v>303.66000000000003</v>
      </c>
      <c r="O659" s="6">
        <v>303.66000000000003</v>
      </c>
      <c r="P659" s="6">
        <v>383</v>
      </c>
      <c r="Q659" s="4" t="s">
        <v>26</v>
      </c>
      <c r="R659" s="4">
        <v>0</v>
      </c>
      <c r="S659" s="4" t="s">
        <v>231</v>
      </c>
      <c r="T659" s="4" t="s">
        <v>476</v>
      </c>
      <c r="U659" s="4">
        <v>0</v>
      </c>
      <c r="V659" s="4">
        <v>17</v>
      </c>
      <c r="W659" s="4">
        <v>54</v>
      </c>
    </row>
    <row r="660" spans="1:23" ht="11.25" customHeight="1" x14ac:dyDescent="0.25">
      <c r="A660" s="4" t="s">
        <v>28</v>
      </c>
      <c r="B660" s="4" t="s">
        <v>22</v>
      </c>
      <c r="C660" s="4" t="s">
        <v>23</v>
      </c>
      <c r="D660" s="4" t="s">
        <v>24</v>
      </c>
      <c r="E660" s="4" t="s">
        <v>29</v>
      </c>
      <c r="F660" s="4" t="s">
        <v>25</v>
      </c>
      <c r="G660" s="4" t="s">
        <v>25</v>
      </c>
      <c r="H660" s="4" t="s">
        <v>25</v>
      </c>
      <c r="I660" s="5">
        <v>44470</v>
      </c>
      <c r="J660" s="6">
        <v>0</v>
      </c>
      <c r="K660" s="6">
        <v>0</v>
      </c>
      <c r="L660" s="6">
        <v>4.92</v>
      </c>
      <c r="M660" s="6">
        <v>4.92</v>
      </c>
      <c r="N660" s="6">
        <v>4.92</v>
      </c>
      <c r="O660" s="6">
        <v>4.92</v>
      </c>
      <c r="P660" s="6">
        <v>14</v>
      </c>
      <c r="Q660" s="4" t="s">
        <v>26</v>
      </c>
      <c r="R660" s="4">
        <v>0</v>
      </c>
      <c r="S660" s="4" t="s">
        <v>231</v>
      </c>
      <c r="T660" s="4" t="s">
        <v>476</v>
      </c>
      <c r="U660" s="4">
        <v>0</v>
      </c>
      <c r="V660" s="4">
        <v>17</v>
      </c>
      <c r="W660" s="4">
        <v>54</v>
      </c>
    </row>
    <row r="661" spans="1:23" ht="11.25" customHeight="1" x14ac:dyDescent="0.25">
      <c r="A661" s="4" t="s">
        <v>21</v>
      </c>
      <c r="B661" s="4" t="s">
        <v>22</v>
      </c>
      <c r="C661" s="4" t="s">
        <v>23</v>
      </c>
      <c r="D661" s="4" t="s">
        <v>24</v>
      </c>
      <c r="E661" s="4" t="s">
        <v>29</v>
      </c>
      <c r="F661" s="4" t="s">
        <v>25</v>
      </c>
      <c r="G661" s="4" t="s">
        <v>25</v>
      </c>
      <c r="H661" s="4" t="s">
        <v>25</v>
      </c>
      <c r="I661" s="5">
        <v>44501</v>
      </c>
      <c r="J661" s="6">
        <v>0</v>
      </c>
      <c r="K661" s="6">
        <v>0</v>
      </c>
      <c r="L661" s="6">
        <v>311.31</v>
      </c>
      <c r="M661" s="6">
        <v>311.31</v>
      </c>
      <c r="N661" s="6">
        <v>311.31</v>
      </c>
      <c r="O661" s="6">
        <v>311.31</v>
      </c>
      <c r="P661" s="6">
        <v>380</v>
      </c>
      <c r="Q661" s="4" t="s">
        <v>26</v>
      </c>
      <c r="R661" s="4">
        <v>0</v>
      </c>
      <c r="S661" s="4" t="s">
        <v>232</v>
      </c>
      <c r="T661" s="4" t="s">
        <v>477</v>
      </c>
      <c r="U661" s="4">
        <v>0</v>
      </c>
      <c r="V661" s="4">
        <v>17</v>
      </c>
      <c r="W661" s="4">
        <v>54</v>
      </c>
    </row>
    <row r="662" spans="1:23" ht="11.25" customHeight="1" x14ac:dyDescent="0.25">
      <c r="A662" s="4" t="s">
        <v>27</v>
      </c>
      <c r="B662" s="4" t="s">
        <v>22</v>
      </c>
      <c r="C662" s="4" t="s">
        <v>23</v>
      </c>
      <c r="D662" s="4" t="s">
        <v>24</v>
      </c>
      <c r="E662" s="4" t="s">
        <v>29</v>
      </c>
      <c r="F662" s="4" t="s">
        <v>25</v>
      </c>
      <c r="G662" s="4" t="s">
        <v>25</v>
      </c>
      <c r="H662" s="4" t="s">
        <v>25</v>
      </c>
      <c r="I662" s="5">
        <v>44501</v>
      </c>
      <c r="J662" s="6">
        <v>0</v>
      </c>
      <c r="K662" s="6">
        <v>0</v>
      </c>
      <c r="L662" s="6">
        <v>0.03</v>
      </c>
      <c r="M662" s="6">
        <v>0.03</v>
      </c>
      <c r="N662" s="6">
        <v>0.03</v>
      </c>
      <c r="O662" s="6">
        <v>0.03</v>
      </c>
      <c r="P662" s="6">
        <v>0</v>
      </c>
      <c r="Q662" s="4" t="s">
        <v>26</v>
      </c>
      <c r="R662" s="4">
        <v>0</v>
      </c>
      <c r="S662" s="4" t="s">
        <v>232</v>
      </c>
      <c r="T662" s="4" t="s">
        <v>477</v>
      </c>
      <c r="U662" s="4">
        <v>0</v>
      </c>
      <c r="V662" s="4">
        <v>17</v>
      </c>
      <c r="W662" s="4">
        <v>54</v>
      </c>
    </row>
    <row r="663" spans="1:23" ht="11.25" customHeight="1" x14ac:dyDescent="0.25">
      <c r="A663" s="4" t="s">
        <v>28</v>
      </c>
      <c r="B663" s="4" t="s">
        <v>22</v>
      </c>
      <c r="C663" s="4" t="s">
        <v>23</v>
      </c>
      <c r="D663" s="4" t="s">
        <v>24</v>
      </c>
      <c r="E663" s="4" t="s">
        <v>29</v>
      </c>
      <c r="F663" s="4" t="s">
        <v>25</v>
      </c>
      <c r="G663" s="4" t="s">
        <v>25</v>
      </c>
      <c r="H663" s="4" t="s">
        <v>25</v>
      </c>
      <c r="I663" s="5">
        <v>44501</v>
      </c>
      <c r="J663" s="6">
        <v>0</v>
      </c>
      <c r="K663" s="6">
        <v>0</v>
      </c>
      <c r="L663" s="6">
        <v>5.01</v>
      </c>
      <c r="M663" s="6">
        <v>5.01</v>
      </c>
      <c r="N663" s="6">
        <v>5.01</v>
      </c>
      <c r="O663" s="6">
        <v>5.01</v>
      </c>
      <c r="P663" s="6">
        <v>18</v>
      </c>
      <c r="Q663" s="4" t="s">
        <v>26</v>
      </c>
      <c r="R663" s="4">
        <v>0</v>
      </c>
      <c r="S663" s="4" t="s">
        <v>232</v>
      </c>
      <c r="T663" s="4" t="s">
        <v>477</v>
      </c>
      <c r="U663" s="4">
        <v>0</v>
      </c>
      <c r="V663" s="4">
        <v>17</v>
      </c>
      <c r="W663" s="4">
        <v>54</v>
      </c>
    </row>
    <row r="664" spans="1:23" ht="11.25" customHeight="1" x14ac:dyDescent="0.25">
      <c r="A664" s="4" t="s">
        <v>21</v>
      </c>
      <c r="B664" s="4" t="s">
        <v>22</v>
      </c>
      <c r="C664" s="4" t="s">
        <v>23</v>
      </c>
      <c r="D664" s="4" t="s">
        <v>24</v>
      </c>
      <c r="E664" s="4" t="s">
        <v>29</v>
      </c>
      <c r="F664" s="4" t="s">
        <v>25</v>
      </c>
      <c r="G664" s="4" t="s">
        <v>25</v>
      </c>
      <c r="H664" s="4" t="s">
        <v>25</v>
      </c>
      <c r="I664" s="5">
        <v>44531</v>
      </c>
      <c r="J664" s="6">
        <v>0</v>
      </c>
      <c r="K664" s="6">
        <v>0</v>
      </c>
      <c r="L664" s="6">
        <v>316.5</v>
      </c>
      <c r="M664" s="6">
        <v>316.5</v>
      </c>
      <c r="N664" s="6">
        <v>316.5</v>
      </c>
      <c r="O664" s="6">
        <v>316.5</v>
      </c>
      <c r="P664" s="6">
        <v>307</v>
      </c>
      <c r="Q664" s="4" t="s">
        <v>26</v>
      </c>
      <c r="R664" s="4">
        <v>0</v>
      </c>
      <c r="S664" s="4" t="s">
        <v>233</v>
      </c>
      <c r="T664" s="4" t="s">
        <v>478</v>
      </c>
      <c r="U664" s="4">
        <v>0</v>
      </c>
      <c r="V664" s="4">
        <v>17</v>
      </c>
      <c r="W664" s="4">
        <v>54</v>
      </c>
    </row>
    <row r="665" spans="1:23" ht="11.25" customHeight="1" x14ac:dyDescent="0.25">
      <c r="A665" s="4" t="s">
        <v>27</v>
      </c>
      <c r="B665" s="4" t="s">
        <v>22</v>
      </c>
      <c r="C665" s="4" t="s">
        <v>23</v>
      </c>
      <c r="D665" s="4" t="s">
        <v>24</v>
      </c>
      <c r="E665" s="4" t="s">
        <v>29</v>
      </c>
      <c r="F665" s="4" t="s">
        <v>25</v>
      </c>
      <c r="G665" s="4" t="s">
        <v>25</v>
      </c>
      <c r="H665" s="4" t="s">
        <v>25</v>
      </c>
      <c r="I665" s="5">
        <v>44531</v>
      </c>
      <c r="J665" s="6">
        <v>0</v>
      </c>
      <c r="K665" s="6">
        <v>0</v>
      </c>
      <c r="L665" s="6">
        <v>0.75</v>
      </c>
      <c r="M665" s="6">
        <v>0.75</v>
      </c>
      <c r="N665" s="6">
        <v>0.75</v>
      </c>
      <c r="O665" s="6">
        <v>0.75</v>
      </c>
      <c r="P665" s="6">
        <v>10</v>
      </c>
      <c r="Q665" s="4" t="s">
        <v>26</v>
      </c>
      <c r="R665" s="4">
        <v>0</v>
      </c>
      <c r="S665" s="4" t="s">
        <v>233</v>
      </c>
      <c r="T665" s="4" t="s">
        <v>478</v>
      </c>
      <c r="U665" s="4">
        <v>0</v>
      </c>
      <c r="V665" s="4">
        <v>17</v>
      </c>
      <c r="W665" s="4">
        <v>54</v>
      </c>
    </row>
    <row r="666" spans="1:23" ht="11.25" customHeight="1" x14ac:dyDescent="0.25">
      <c r="A666" s="4" t="s">
        <v>28</v>
      </c>
      <c r="B666" s="4" t="s">
        <v>22</v>
      </c>
      <c r="C666" s="4" t="s">
        <v>23</v>
      </c>
      <c r="D666" s="4" t="s">
        <v>24</v>
      </c>
      <c r="E666" s="4" t="s">
        <v>29</v>
      </c>
      <c r="F666" s="4" t="s">
        <v>25</v>
      </c>
      <c r="G666" s="4" t="s">
        <v>25</v>
      </c>
      <c r="H666" s="4" t="s">
        <v>25</v>
      </c>
      <c r="I666" s="5">
        <v>44531</v>
      </c>
      <c r="J666" s="6">
        <v>0</v>
      </c>
      <c r="K666" s="6">
        <v>0</v>
      </c>
      <c r="L666" s="6">
        <v>4.8899999999999997</v>
      </c>
      <c r="M666" s="6">
        <v>4.8899999999999997</v>
      </c>
      <c r="N666" s="6">
        <v>4.8899999999999997</v>
      </c>
      <c r="O666" s="6">
        <v>4.8899999999999997</v>
      </c>
      <c r="P666" s="6">
        <v>16</v>
      </c>
      <c r="Q666" s="4" t="s">
        <v>26</v>
      </c>
      <c r="R666" s="4">
        <v>0</v>
      </c>
      <c r="S666" s="4" t="s">
        <v>233</v>
      </c>
      <c r="T666" s="4" t="s">
        <v>478</v>
      </c>
      <c r="U666" s="4">
        <v>0</v>
      </c>
      <c r="V666" s="4">
        <v>17</v>
      </c>
      <c r="W666" s="4">
        <v>54</v>
      </c>
    </row>
    <row r="667" spans="1:23" ht="11.25" customHeight="1" x14ac:dyDescent="0.25">
      <c r="A667" s="4" t="s">
        <v>28</v>
      </c>
      <c r="B667" s="4" t="s">
        <v>22</v>
      </c>
      <c r="C667" s="4" t="s">
        <v>23</v>
      </c>
      <c r="D667" s="4" t="s">
        <v>24</v>
      </c>
      <c r="E667" s="4" t="s">
        <v>29</v>
      </c>
      <c r="F667" s="4" t="s">
        <v>25</v>
      </c>
      <c r="G667" s="4" t="s">
        <v>25</v>
      </c>
      <c r="H667" s="4" t="s">
        <v>25</v>
      </c>
      <c r="I667" s="5">
        <v>44531</v>
      </c>
      <c r="J667" s="6">
        <v>0</v>
      </c>
      <c r="K667" s="6">
        <v>0</v>
      </c>
      <c r="L667" s="6">
        <v>0.03</v>
      </c>
      <c r="M667" s="6">
        <v>0.03</v>
      </c>
      <c r="N667" s="6">
        <v>0.03</v>
      </c>
      <c r="O667" s="6">
        <v>0.03</v>
      </c>
      <c r="P667" s="6">
        <v>1</v>
      </c>
      <c r="Q667" s="4" t="s">
        <v>26</v>
      </c>
      <c r="R667" s="4">
        <v>0</v>
      </c>
      <c r="S667" s="4" t="s">
        <v>233</v>
      </c>
      <c r="T667" s="4" t="s">
        <v>478</v>
      </c>
      <c r="U667" s="4">
        <v>0</v>
      </c>
      <c r="V667" s="4">
        <v>17</v>
      </c>
      <c r="W667" s="4">
        <v>54</v>
      </c>
    </row>
    <row r="668" spans="1:23" ht="11.25" customHeight="1" x14ac:dyDescent="0.25">
      <c r="A668" s="4" t="s">
        <v>21</v>
      </c>
      <c r="B668" s="4" t="s">
        <v>22</v>
      </c>
      <c r="C668" s="4" t="s">
        <v>23</v>
      </c>
      <c r="D668" s="4" t="s">
        <v>24</v>
      </c>
      <c r="E668" s="4" t="s">
        <v>29</v>
      </c>
      <c r="F668" s="4" t="s">
        <v>25</v>
      </c>
      <c r="G668" s="4" t="s">
        <v>25</v>
      </c>
      <c r="H668" s="4" t="s">
        <v>25</v>
      </c>
      <c r="I668" s="5">
        <v>44562</v>
      </c>
      <c r="J668" s="6">
        <v>0</v>
      </c>
      <c r="K668" s="6">
        <v>0</v>
      </c>
      <c r="L668" s="6">
        <v>322.44</v>
      </c>
      <c r="M668" s="6">
        <v>322.44</v>
      </c>
      <c r="N668" s="6">
        <v>322.44</v>
      </c>
      <c r="O668" s="6">
        <v>322.44</v>
      </c>
      <c r="P668" s="6">
        <v>316</v>
      </c>
      <c r="Q668" s="4" t="s">
        <v>26</v>
      </c>
      <c r="R668" s="4">
        <v>0</v>
      </c>
      <c r="S668" s="4" t="s">
        <v>234</v>
      </c>
      <c r="T668" s="4" t="s">
        <v>479</v>
      </c>
      <c r="U668" s="4">
        <v>0</v>
      </c>
      <c r="V668" s="4">
        <v>17</v>
      </c>
      <c r="W668" s="4">
        <v>54</v>
      </c>
    </row>
    <row r="669" spans="1:23" ht="11.25" customHeight="1" x14ac:dyDescent="0.25">
      <c r="A669" s="4" t="s">
        <v>27</v>
      </c>
      <c r="B669" s="4" t="s">
        <v>22</v>
      </c>
      <c r="C669" s="4" t="s">
        <v>23</v>
      </c>
      <c r="D669" s="4" t="s">
        <v>24</v>
      </c>
      <c r="E669" s="4" t="s">
        <v>29</v>
      </c>
      <c r="F669" s="4" t="s">
        <v>25</v>
      </c>
      <c r="G669" s="4" t="s">
        <v>25</v>
      </c>
      <c r="H669" s="4" t="s">
        <v>25</v>
      </c>
      <c r="I669" s="5">
        <v>44562</v>
      </c>
      <c r="J669" s="6">
        <v>0</v>
      </c>
      <c r="K669" s="6">
        <v>0</v>
      </c>
      <c r="L669" s="6">
        <v>0.24</v>
      </c>
      <c r="M669" s="6">
        <v>0.24</v>
      </c>
      <c r="N669" s="6">
        <v>0.24</v>
      </c>
      <c r="O669" s="6">
        <v>0.24</v>
      </c>
      <c r="P669" s="6">
        <v>5</v>
      </c>
      <c r="Q669" s="4" t="s">
        <v>26</v>
      </c>
      <c r="R669" s="4">
        <v>0</v>
      </c>
      <c r="S669" s="4" t="s">
        <v>234</v>
      </c>
      <c r="T669" s="4" t="s">
        <v>479</v>
      </c>
      <c r="U669" s="4">
        <v>0</v>
      </c>
      <c r="V669" s="4">
        <v>17</v>
      </c>
      <c r="W669" s="4">
        <v>54</v>
      </c>
    </row>
    <row r="670" spans="1:23" ht="11.25" customHeight="1" x14ac:dyDescent="0.25">
      <c r="A670" s="4" t="s">
        <v>28</v>
      </c>
      <c r="B670" s="4" t="s">
        <v>22</v>
      </c>
      <c r="C670" s="4" t="s">
        <v>23</v>
      </c>
      <c r="D670" s="4" t="s">
        <v>24</v>
      </c>
      <c r="E670" s="4" t="s">
        <v>29</v>
      </c>
      <c r="F670" s="4" t="s">
        <v>25</v>
      </c>
      <c r="G670" s="4" t="s">
        <v>25</v>
      </c>
      <c r="H670" s="4" t="s">
        <v>25</v>
      </c>
      <c r="I670" s="5">
        <v>44562</v>
      </c>
      <c r="J670" s="6">
        <v>0</v>
      </c>
      <c r="K670" s="6">
        <v>0</v>
      </c>
      <c r="L670" s="6">
        <v>5.0999999999999996</v>
      </c>
      <c r="M670" s="6">
        <v>5.0999999999999996</v>
      </c>
      <c r="N670" s="6">
        <v>5.0999999999999996</v>
      </c>
      <c r="O670" s="6">
        <v>5.0999999999999996</v>
      </c>
      <c r="P670" s="6">
        <v>16</v>
      </c>
      <c r="Q670" s="4" t="s">
        <v>26</v>
      </c>
      <c r="R670" s="4">
        <v>0</v>
      </c>
      <c r="S670" s="4" t="s">
        <v>234</v>
      </c>
      <c r="T670" s="4" t="s">
        <v>479</v>
      </c>
      <c r="U670" s="4">
        <v>0</v>
      </c>
      <c r="V670" s="4">
        <v>17</v>
      </c>
      <c r="W670" s="4">
        <v>54</v>
      </c>
    </row>
    <row r="671" spans="1:23" ht="11.25" customHeight="1" x14ac:dyDescent="0.25">
      <c r="A671" s="4" t="s">
        <v>21</v>
      </c>
      <c r="B671" s="4" t="s">
        <v>22</v>
      </c>
      <c r="C671" s="4" t="s">
        <v>23</v>
      </c>
      <c r="D671" s="4" t="s">
        <v>24</v>
      </c>
      <c r="E671" s="4" t="s">
        <v>29</v>
      </c>
      <c r="F671" s="4" t="s">
        <v>25</v>
      </c>
      <c r="G671" s="4" t="s">
        <v>25</v>
      </c>
      <c r="H671" s="4" t="s">
        <v>25</v>
      </c>
      <c r="I671" s="5">
        <v>44593</v>
      </c>
      <c r="J671" s="6">
        <v>0</v>
      </c>
      <c r="K671" s="6">
        <v>0</v>
      </c>
      <c r="L671" s="6">
        <v>330.03</v>
      </c>
      <c r="M671" s="6">
        <v>330.03</v>
      </c>
      <c r="N671" s="6">
        <v>330.03</v>
      </c>
      <c r="O671" s="6">
        <v>330.03</v>
      </c>
      <c r="P671" s="6">
        <v>314</v>
      </c>
      <c r="Q671" s="4" t="s">
        <v>26</v>
      </c>
      <c r="R671" s="4">
        <v>0</v>
      </c>
      <c r="S671" s="4" t="s">
        <v>235</v>
      </c>
      <c r="T671" s="4" t="s">
        <v>480</v>
      </c>
      <c r="U671" s="4">
        <v>0</v>
      </c>
      <c r="V671" s="4">
        <v>17</v>
      </c>
      <c r="W671" s="4">
        <v>54</v>
      </c>
    </row>
    <row r="672" spans="1:23" ht="11.25" customHeight="1" x14ac:dyDescent="0.25">
      <c r="A672" s="4" t="s">
        <v>27</v>
      </c>
      <c r="B672" s="4" t="s">
        <v>22</v>
      </c>
      <c r="C672" s="4" t="s">
        <v>23</v>
      </c>
      <c r="D672" s="4" t="s">
        <v>24</v>
      </c>
      <c r="E672" s="4" t="s">
        <v>29</v>
      </c>
      <c r="F672" s="4" t="s">
        <v>25</v>
      </c>
      <c r="G672" s="4" t="s">
        <v>25</v>
      </c>
      <c r="H672" s="4" t="s">
        <v>25</v>
      </c>
      <c r="I672" s="5">
        <v>44593</v>
      </c>
      <c r="J672" s="6">
        <v>0</v>
      </c>
      <c r="K672" s="6">
        <v>0</v>
      </c>
      <c r="L672" s="6">
        <v>0.15</v>
      </c>
      <c r="M672" s="6">
        <v>0.15</v>
      </c>
      <c r="N672" s="6">
        <v>0.15</v>
      </c>
      <c r="O672" s="6">
        <v>0.15</v>
      </c>
      <c r="P672" s="6">
        <v>4</v>
      </c>
      <c r="Q672" s="4" t="s">
        <v>26</v>
      </c>
      <c r="R672" s="4">
        <v>0</v>
      </c>
      <c r="S672" s="4" t="s">
        <v>235</v>
      </c>
      <c r="T672" s="4" t="s">
        <v>480</v>
      </c>
      <c r="U672" s="4">
        <v>0</v>
      </c>
      <c r="V672" s="4">
        <v>17</v>
      </c>
      <c r="W672" s="4">
        <v>54</v>
      </c>
    </row>
    <row r="673" spans="1:23" ht="11.25" customHeight="1" x14ac:dyDescent="0.25">
      <c r="A673" s="4" t="s">
        <v>28</v>
      </c>
      <c r="B673" s="4" t="s">
        <v>22</v>
      </c>
      <c r="C673" s="4" t="s">
        <v>23</v>
      </c>
      <c r="D673" s="4" t="s">
        <v>24</v>
      </c>
      <c r="E673" s="4" t="s">
        <v>29</v>
      </c>
      <c r="F673" s="4" t="s">
        <v>25</v>
      </c>
      <c r="G673" s="4" t="s">
        <v>25</v>
      </c>
      <c r="H673" s="4" t="s">
        <v>25</v>
      </c>
      <c r="I673" s="5">
        <v>44593</v>
      </c>
      <c r="J673" s="6">
        <v>0</v>
      </c>
      <c r="K673" s="6">
        <v>0</v>
      </c>
      <c r="L673" s="6">
        <v>5.07</v>
      </c>
      <c r="M673" s="6">
        <v>5.07</v>
      </c>
      <c r="N673" s="6">
        <v>5.07</v>
      </c>
      <c r="O673" s="6">
        <v>5.07</v>
      </c>
      <c r="P673" s="6">
        <v>17</v>
      </c>
      <c r="Q673" s="4" t="s">
        <v>26</v>
      </c>
      <c r="R673" s="4">
        <v>0</v>
      </c>
      <c r="S673" s="4" t="s">
        <v>235</v>
      </c>
      <c r="T673" s="4" t="s">
        <v>480</v>
      </c>
      <c r="U673" s="4">
        <v>0</v>
      </c>
      <c r="V673" s="4">
        <v>17</v>
      </c>
      <c r="W673" s="4">
        <v>54</v>
      </c>
    </row>
    <row r="674" spans="1:23" ht="11.25" customHeight="1" x14ac:dyDescent="0.25">
      <c r="A674" s="4" t="s">
        <v>21</v>
      </c>
      <c r="B674" s="4" t="s">
        <v>22</v>
      </c>
      <c r="C674" s="4" t="s">
        <v>23</v>
      </c>
      <c r="D674" s="4" t="s">
        <v>24</v>
      </c>
      <c r="E674" s="4" t="s">
        <v>29</v>
      </c>
      <c r="F674" s="4" t="s">
        <v>25</v>
      </c>
      <c r="G674" s="4" t="s">
        <v>25</v>
      </c>
      <c r="H674" s="4" t="s">
        <v>25</v>
      </c>
      <c r="I674" s="5">
        <v>44621</v>
      </c>
      <c r="J674" s="6">
        <v>0</v>
      </c>
      <c r="K674" s="6">
        <v>0</v>
      </c>
      <c r="L674" s="6">
        <v>397.71</v>
      </c>
      <c r="M674" s="6">
        <v>397.71</v>
      </c>
      <c r="N674" s="6">
        <v>397.71</v>
      </c>
      <c r="O674" s="6">
        <v>397.71</v>
      </c>
      <c r="P674" s="6">
        <v>433</v>
      </c>
      <c r="Q674" s="4" t="s">
        <v>26</v>
      </c>
      <c r="R674" s="4">
        <v>0</v>
      </c>
      <c r="S674" s="4" t="s">
        <v>236</v>
      </c>
      <c r="T674" s="4" t="s">
        <v>481</v>
      </c>
      <c r="U674" s="4">
        <v>0</v>
      </c>
      <c r="V674" s="4">
        <v>17</v>
      </c>
      <c r="W674" s="4">
        <v>54</v>
      </c>
    </row>
    <row r="675" spans="1:23" ht="11.25" customHeight="1" x14ac:dyDescent="0.25">
      <c r="A675" s="4" t="s">
        <v>27</v>
      </c>
      <c r="B675" s="4" t="s">
        <v>22</v>
      </c>
      <c r="C675" s="4" t="s">
        <v>23</v>
      </c>
      <c r="D675" s="4" t="s">
        <v>24</v>
      </c>
      <c r="E675" s="4" t="s">
        <v>29</v>
      </c>
      <c r="F675" s="4" t="s">
        <v>25</v>
      </c>
      <c r="G675" s="4" t="s">
        <v>25</v>
      </c>
      <c r="H675" s="4" t="s">
        <v>25</v>
      </c>
      <c r="I675" s="5">
        <v>44621</v>
      </c>
      <c r="J675" s="6">
        <v>0</v>
      </c>
      <c r="K675" s="6">
        <v>0</v>
      </c>
      <c r="L675" s="6">
        <v>0.27</v>
      </c>
      <c r="M675" s="6">
        <v>0.27</v>
      </c>
      <c r="N675" s="6">
        <v>0.27</v>
      </c>
      <c r="O675" s="6">
        <v>0.27</v>
      </c>
      <c r="P675" s="6">
        <v>4</v>
      </c>
      <c r="Q675" s="4" t="s">
        <v>26</v>
      </c>
      <c r="R675" s="4">
        <v>0</v>
      </c>
      <c r="S675" s="4" t="s">
        <v>236</v>
      </c>
      <c r="T675" s="4" t="s">
        <v>481</v>
      </c>
      <c r="U675" s="4">
        <v>0</v>
      </c>
      <c r="V675" s="4">
        <v>17</v>
      </c>
      <c r="W675" s="4">
        <v>54</v>
      </c>
    </row>
    <row r="676" spans="1:23" ht="11.25" customHeight="1" x14ac:dyDescent="0.25">
      <c r="A676" s="4" t="s">
        <v>28</v>
      </c>
      <c r="B676" s="4" t="s">
        <v>22</v>
      </c>
      <c r="C676" s="4" t="s">
        <v>23</v>
      </c>
      <c r="D676" s="4" t="s">
        <v>24</v>
      </c>
      <c r="E676" s="4" t="s">
        <v>29</v>
      </c>
      <c r="F676" s="4" t="s">
        <v>25</v>
      </c>
      <c r="G676" s="4" t="s">
        <v>25</v>
      </c>
      <c r="H676" s="4" t="s">
        <v>25</v>
      </c>
      <c r="I676" s="5">
        <v>44621</v>
      </c>
      <c r="J676" s="6">
        <v>0</v>
      </c>
      <c r="K676" s="6">
        <v>0</v>
      </c>
      <c r="L676" s="6">
        <v>5.64</v>
      </c>
      <c r="M676" s="6">
        <v>5.64</v>
      </c>
      <c r="N676" s="6">
        <v>5.64</v>
      </c>
      <c r="O676" s="6">
        <v>5.64</v>
      </c>
      <c r="P676" s="6">
        <v>25</v>
      </c>
      <c r="Q676" s="4" t="s">
        <v>26</v>
      </c>
      <c r="R676" s="4">
        <v>0</v>
      </c>
      <c r="S676" s="4" t="s">
        <v>236</v>
      </c>
      <c r="T676" s="4" t="s">
        <v>481</v>
      </c>
      <c r="U676" s="4">
        <v>0</v>
      </c>
      <c r="V676" s="4">
        <v>17</v>
      </c>
      <c r="W676" s="4">
        <v>54</v>
      </c>
    </row>
    <row r="677" spans="1:23" ht="11.25" customHeight="1" x14ac:dyDescent="0.25">
      <c r="A677" s="4" t="s">
        <v>21</v>
      </c>
      <c r="B677" s="4" t="s">
        <v>22</v>
      </c>
      <c r="C677" s="4" t="s">
        <v>23</v>
      </c>
      <c r="D677" s="4" t="s">
        <v>24</v>
      </c>
      <c r="E677" s="4" t="s">
        <v>29</v>
      </c>
      <c r="F677" s="4" t="s">
        <v>25</v>
      </c>
      <c r="G677" s="4" t="s">
        <v>25</v>
      </c>
      <c r="H677" s="4" t="s">
        <v>25</v>
      </c>
      <c r="I677" s="5">
        <v>44652</v>
      </c>
      <c r="J677" s="6">
        <v>0</v>
      </c>
      <c r="K677" s="6">
        <v>0</v>
      </c>
      <c r="L677" s="6">
        <v>404.76</v>
      </c>
      <c r="M677" s="6">
        <v>404.76</v>
      </c>
      <c r="N677" s="6">
        <v>404.76</v>
      </c>
      <c r="O677" s="6">
        <v>404.76</v>
      </c>
      <c r="P677" s="6">
        <v>389</v>
      </c>
      <c r="Q677" s="4" t="s">
        <v>26</v>
      </c>
      <c r="R677" s="4">
        <v>0</v>
      </c>
      <c r="S677" s="4" t="s">
        <v>237</v>
      </c>
      <c r="T677" s="4" t="s">
        <v>482</v>
      </c>
      <c r="U677" s="4">
        <v>0</v>
      </c>
      <c r="V677" s="4">
        <v>17</v>
      </c>
      <c r="W677" s="4">
        <v>54</v>
      </c>
    </row>
    <row r="678" spans="1:23" ht="11.25" customHeight="1" x14ac:dyDescent="0.25">
      <c r="A678" s="4" t="s">
        <v>27</v>
      </c>
      <c r="B678" s="4" t="s">
        <v>22</v>
      </c>
      <c r="C678" s="4" t="s">
        <v>23</v>
      </c>
      <c r="D678" s="4" t="s">
        <v>24</v>
      </c>
      <c r="E678" s="4" t="s">
        <v>29</v>
      </c>
      <c r="F678" s="4" t="s">
        <v>25</v>
      </c>
      <c r="G678" s="4" t="s">
        <v>25</v>
      </c>
      <c r="H678" s="4" t="s">
        <v>25</v>
      </c>
      <c r="I678" s="5">
        <v>44652</v>
      </c>
      <c r="J678" s="6">
        <v>0</v>
      </c>
      <c r="K678" s="6">
        <v>0</v>
      </c>
      <c r="L678" s="6">
        <v>0.18</v>
      </c>
      <c r="M678" s="6">
        <v>0.18</v>
      </c>
      <c r="N678" s="6">
        <v>0.18</v>
      </c>
      <c r="O678" s="6">
        <v>0.18</v>
      </c>
      <c r="P678" s="6">
        <v>2</v>
      </c>
      <c r="Q678" s="4" t="s">
        <v>26</v>
      </c>
      <c r="R678" s="4">
        <v>0</v>
      </c>
      <c r="S678" s="4" t="s">
        <v>237</v>
      </c>
      <c r="T678" s="4" t="s">
        <v>482</v>
      </c>
      <c r="U678" s="4">
        <v>0</v>
      </c>
      <c r="V678" s="4">
        <v>17</v>
      </c>
      <c r="W678" s="4">
        <v>54</v>
      </c>
    </row>
    <row r="679" spans="1:23" ht="11.25" customHeight="1" x14ac:dyDescent="0.25">
      <c r="A679" s="4" t="s">
        <v>28</v>
      </c>
      <c r="B679" s="4" t="s">
        <v>22</v>
      </c>
      <c r="C679" s="4" t="s">
        <v>23</v>
      </c>
      <c r="D679" s="4" t="s">
        <v>24</v>
      </c>
      <c r="E679" s="4" t="s">
        <v>29</v>
      </c>
      <c r="F679" s="4" t="s">
        <v>25</v>
      </c>
      <c r="G679" s="4" t="s">
        <v>25</v>
      </c>
      <c r="H679" s="4" t="s">
        <v>25</v>
      </c>
      <c r="I679" s="5">
        <v>44652</v>
      </c>
      <c r="J679" s="6">
        <v>0</v>
      </c>
      <c r="K679" s="6">
        <v>0</v>
      </c>
      <c r="L679" s="6">
        <v>5.46</v>
      </c>
      <c r="M679" s="6">
        <v>5.46</v>
      </c>
      <c r="N679" s="6">
        <v>5.46</v>
      </c>
      <c r="O679" s="6">
        <v>5.46</v>
      </c>
      <c r="P679" s="6">
        <v>19</v>
      </c>
      <c r="Q679" s="4" t="s">
        <v>26</v>
      </c>
      <c r="R679" s="4">
        <v>0</v>
      </c>
      <c r="S679" s="4" t="s">
        <v>237</v>
      </c>
      <c r="T679" s="4" t="s">
        <v>482</v>
      </c>
      <c r="U679" s="4">
        <v>0</v>
      </c>
      <c r="V679" s="4">
        <v>17</v>
      </c>
      <c r="W679" s="4">
        <v>54</v>
      </c>
    </row>
    <row r="680" spans="1:23" ht="11.25" customHeight="1" x14ac:dyDescent="0.25">
      <c r="A680" s="4" t="s">
        <v>21</v>
      </c>
      <c r="B680" s="4" t="s">
        <v>22</v>
      </c>
      <c r="C680" s="4" t="s">
        <v>23</v>
      </c>
      <c r="D680" s="4" t="s">
        <v>24</v>
      </c>
      <c r="E680" s="4" t="s">
        <v>29</v>
      </c>
      <c r="F680" s="4" t="s">
        <v>25</v>
      </c>
      <c r="G680" s="4" t="s">
        <v>25</v>
      </c>
      <c r="H680" s="4" t="s">
        <v>25</v>
      </c>
      <c r="I680" s="5">
        <v>44682</v>
      </c>
      <c r="J680" s="6">
        <v>0</v>
      </c>
      <c r="K680" s="6">
        <v>0</v>
      </c>
      <c r="L680" s="6">
        <v>373.44</v>
      </c>
      <c r="M680" s="6">
        <v>373.44</v>
      </c>
      <c r="N680" s="6">
        <v>373.44</v>
      </c>
      <c r="O680" s="6">
        <v>373.44</v>
      </c>
      <c r="P680" s="6">
        <v>462</v>
      </c>
      <c r="Q680" s="4" t="s">
        <v>26</v>
      </c>
      <c r="R680" s="4">
        <v>0</v>
      </c>
      <c r="S680" s="4" t="s">
        <v>238</v>
      </c>
      <c r="T680" s="4" t="s">
        <v>483</v>
      </c>
      <c r="U680" s="4">
        <v>0</v>
      </c>
      <c r="V680" s="4">
        <v>17</v>
      </c>
      <c r="W680" s="4">
        <v>54</v>
      </c>
    </row>
    <row r="681" spans="1:23" ht="11.25" customHeight="1" x14ac:dyDescent="0.25">
      <c r="A681" s="4" t="s">
        <v>27</v>
      </c>
      <c r="B681" s="4" t="s">
        <v>22</v>
      </c>
      <c r="C681" s="4" t="s">
        <v>23</v>
      </c>
      <c r="D681" s="4" t="s">
        <v>24</v>
      </c>
      <c r="E681" s="4" t="s">
        <v>29</v>
      </c>
      <c r="F681" s="4" t="s">
        <v>25</v>
      </c>
      <c r="G681" s="4" t="s">
        <v>25</v>
      </c>
      <c r="H681" s="4" t="s">
        <v>25</v>
      </c>
      <c r="I681" s="5">
        <v>44682</v>
      </c>
      <c r="J681" s="6">
        <v>0</v>
      </c>
      <c r="K681" s="6">
        <v>0</v>
      </c>
      <c r="L681" s="6">
        <v>0.12</v>
      </c>
      <c r="M681" s="6">
        <v>0.12</v>
      </c>
      <c r="N681" s="6">
        <v>0.12</v>
      </c>
      <c r="O681" s="6">
        <v>0.12</v>
      </c>
      <c r="P681" s="6">
        <v>1</v>
      </c>
      <c r="Q681" s="4" t="s">
        <v>26</v>
      </c>
      <c r="R681" s="4">
        <v>0</v>
      </c>
      <c r="S681" s="4" t="s">
        <v>238</v>
      </c>
      <c r="T681" s="4" t="s">
        <v>483</v>
      </c>
      <c r="U681" s="4">
        <v>0</v>
      </c>
      <c r="V681" s="4">
        <v>17</v>
      </c>
      <c r="W681" s="4">
        <v>54</v>
      </c>
    </row>
    <row r="682" spans="1:23" ht="11.25" customHeight="1" x14ac:dyDescent="0.25">
      <c r="A682" s="4" t="s">
        <v>28</v>
      </c>
      <c r="B682" s="4" t="s">
        <v>22</v>
      </c>
      <c r="C682" s="4" t="s">
        <v>23</v>
      </c>
      <c r="D682" s="4" t="s">
        <v>24</v>
      </c>
      <c r="E682" s="4" t="s">
        <v>29</v>
      </c>
      <c r="F682" s="4" t="s">
        <v>25</v>
      </c>
      <c r="G682" s="4" t="s">
        <v>25</v>
      </c>
      <c r="H682" s="4" t="s">
        <v>25</v>
      </c>
      <c r="I682" s="5">
        <v>44682</v>
      </c>
      <c r="J682" s="6">
        <v>0</v>
      </c>
      <c r="K682" s="6">
        <v>0</v>
      </c>
      <c r="L682" s="6">
        <v>4.92</v>
      </c>
      <c r="M682" s="6">
        <v>4.92</v>
      </c>
      <c r="N682" s="6">
        <v>4.92</v>
      </c>
      <c r="O682" s="6">
        <v>4.92</v>
      </c>
      <c r="P682" s="6">
        <v>17</v>
      </c>
      <c r="Q682" s="4" t="s">
        <v>26</v>
      </c>
      <c r="R682" s="4">
        <v>0</v>
      </c>
      <c r="S682" s="4" t="s">
        <v>238</v>
      </c>
      <c r="T682" s="4" t="s">
        <v>483</v>
      </c>
      <c r="U682" s="4">
        <v>0</v>
      </c>
      <c r="V682" s="4">
        <v>17</v>
      </c>
      <c r="W682" s="4">
        <v>54</v>
      </c>
    </row>
    <row r="683" spans="1:23" ht="11.25" customHeight="1" x14ac:dyDescent="0.25">
      <c r="A683" s="4" t="s">
        <v>21</v>
      </c>
      <c r="B683" s="4" t="s">
        <v>22</v>
      </c>
      <c r="C683" s="4" t="s">
        <v>23</v>
      </c>
      <c r="D683" s="4" t="s">
        <v>24</v>
      </c>
      <c r="E683" s="4" t="s">
        <v>29</v>
      </c>
      <c r="F683" s="4" t="s">
        <v>25</v>
      </c>
      <c r="G683" s="4" t="s">
        <v>25</v>
      </c>
      <c r="H683" s="4" t="s">
        <v>25</v>
      </c>
      <c r="I683" s="5">
        <v>44713</v>
      </c>
      <c r="J683" s="6">
        <v>0</v>
      </c>
      <c r="K683" s="6">
        <v>0</v>
      </c>
      <c r="L683" s="6">
        <v>393.57</v>
      </c>
      <c r="M683" s="6">
        <v>393.57</v>
      </c>
      <c r="N683" s="6">
        <v>393.57</v>
      </c>
      <c r="O683" s="6">
        <v>393.57</v>
      </c>
      <c r="P683" s="6">
        <v>524</v>
      </c>
      <c r="Q683" s="4" t="s">
        <v>26</v>
      </c>
      <c r="R683" s="4">
        <v>0</v>
      </c>
      <c r="S683" s="4" t="s">
        <v>239</v>
      </c>
      <c r="T683" s="4" t="s">
        <v>484</v>
      </c>
      <c r="U683" s="4">
        <v>0</v>
      </c>
      <c r="V683" s="4">
        <v>17</v>
      </c>
      <c r="W683" s="4">
        <v>54</v>
      </c>
    </row>
    <row r="684" spans="1:23" ht="11.25" customHeight="1" x14ac:dyDescent="0.25">
      <c r="A684" s="4" t="s">
        <v>27</v>
      </c>
      <c r="B684" s="4" t="s">
        <v>22</v>
      </c>
      <c r="C684" s="4" t="s">
        <v>23</v>
      </c>
      <c r="D684" s="4" t="s">
        <v>24</v>
      </c>
      <c r="E684" s="4" t="s">
        <v>29</v>
      </c>
      <c r="F684" s="4" t="s">
        <v>25</v>
      </c>
      <c r="G684" s="4" t="s">
        <v>25</v>
      </c>
      <c r="H684" s="4" t="s">
        <v>25</v>
      </c>
      <c r="I684" s="5">
        <v>44713</v>
      </c>
      <c r="J684" s="6">
        <v>0</v>
      </c>
      <c r="K684" s="6">
        <v>0</v>
      </c>
      <c r="L684" s="6">
        <v>0.12</v>
      </c>
      <c r="M684" s="6">
        <v>0.12</v>
      </c>
      <c r="N684" s="6">
        <v>0.12</v>
      </c>
      <c r="O684" s="6">
        <v>0.12</v>
      </c>
      <c r="P684" s="6">
        <v>2</v>
      </c>
      <c r="Q684" s="4" t="s">
        <v>26</v>
      </c>
      <c r="R684" s="4">
        <v>0</v>
      </c>
      <c r="S684" s="4" t="s">
        <v>239</v>
      </c>
      <c r="T684" s="4" t="s">
        <v>484</v>
      </c>
      <c r="U684" s="4">
        <v>0</v>
      </c>
      <c r="V684" s="4">
        <v>17</v>
      </c>
      <c r="W684" s="4">
        <v>54</v>
      </c>
    </row>
    <row r="685" spans="1:23" ht="11.25" customHeight="1" x14ac:dyDescent="0.25">
      <c r="A685" s="4" t="s">
        <v>28</v>
      </c>
      <c r="B685" s="4" t="s">
        <v>22</v>
      </c>
      <c r="C685" s="4" t="s">
        <v>23</v>
      </c>
      <c r="D685" s="4" t="s">
        <v>24</v>
      </c>
      <c r="E685" s="4" t="s">
        <v>29</v>
      </c>
      <c r="F685" s="4" t="s">
        <v>25</v>
      </c>
      <c r="G685" s="4" t="s">
        <v>25</v>
      </c>
      <c r="H685" s="4" t="s">
        <v>25</v>
      </c>
      <c r="I685" s="5">
        <v>44713</v>
      </c>
      <c r="J685" s="6">
        <v>0</v>
      </c>
      <c r="K685" s="6">
        <v>0</v>
      </c>
      <c r="L685" s="6">
        <v>5.25</v>
      </c>
      <c r="M685" s="6">
        <v>5.25</v>
      </c>
      <c r="N685" s="6">
        <v>5.25</v>
      </c>
      <c r="O685" s="6">
        <v>5.25</v>
      </c>
      <c r="P685" s="6">
        <v>20</v>
      </c>
      <c r="Q685" s="4" t="s">
        <v>26</v>
      </c>
      <c r="R685" s="4">
        <v>0</v>
      </c>
      <c r="S685" s="4" t="s">
        <v>239</v>
      </c>
      <c r="T685" s="4" t="s">
        <v>484</v>
      </c>
      <c r="U685" s="4">
        <v>0</v>
      </c>
      <c r="V685" s="4">
        <v>17</v>
      </c>
      <c r="W685" s="4">
        <v>54</v>
      </c>
    </row>
    <row r="686" spans="1:23" ht="11.25" customHeight="1" x14ac:dyDescent="0.25">
      <c r="A686" s="4" t="s">
        <v>21</v>
      </c>
      <c r="B686" s="4" t="s">
        <v>22</v>
      </c>
      <c r="C686" s="4" t="s">
        <v>23</v>
      </c>
      <c r="D686" s="4" t="s">
        <v>24</v>
      </c>
      <c r="E686" s="4" t="s">
        <v>29</v>
      </c>
      <c r="F686" s="4" t="s">
        <v>25</v>
      </c>
      <c r="G686" s="4" t="s">
        <v>25</v>
      </c>
      <c r="H686" s="4" t="s">
        <v>25</v>
      </c>
      <c r="I686" s="5">
        <v>44743</v>
      </c>
      <c r="J686" s="6">
        <v>0</v>
      </c>
      <c r="K686" s="6">
        <v>0</v>
      </c>
      <c r="L686" s="6">
        <v>332.52</v>
      </c>
      <c r="M686" s="6">
        <v>332.52</v>
      </c>
      <c r="N686" s="6">
        <v>332.52</v>
      </c>
      <c r="O686" s="6">
        <v>332.52</v>
      </c>
      <c r="P686" s="6">
        <v>445</v>
      </c>
      <c r="Q686" s="4" t="s">
        <v>26</v>
      </c>
      <c r="R686" s="4">
        <v>0</v>
      </c>
      <c r="S686" s="4" t="s">
        <v>240</v>
      </c>
      <c r="T686" s="4" t="s">
        <v>485</v>
      </c>
      <c r="U686" s="4">
        <v>0</v>
      </c>
      <c r="V686" s="4">
        <v>17</v>
      </c>
      <c r="W686" s="4">
        <v>54</v>
      </c>
    </row>
    <row r="687" spans="1:23" ht="11.25" customHeight="1" x14ac:dyDescent="0.25">
      <c r="A687" s="4" t="s">
        <v>27</v>
      </c>
      <c r="B687" s="4" t="s">
        <v>22</v>
      </c>
      <c r="C687" s="4" t="s">
        <v>23</v>
      </c>
      <c r="D687" s="4" t="s">
        <v>24</v>
      </c>
      <c r="E687" s="4" t="s">
        <v>29</v>
      </c>
      <c r="F687" s="4" t="s">
        <v>25</v>
      </c>
      <c r="G687" s="4" t="s">
        <v>25</v>
      </c>
      <c r="H687" s="4" t="s">
        <v>25</v>
      </c>
      <c r="I687" s="5">
        <v>44743</v>
      </c>
      <c r="J687" s="6">
        <v>0</v>
      </c>
      <c r="K687" s="6">
        <v>0</v>
      </c>
      <c r="L687" s="6">
        <v>0.18</v>
      </c>
      <c r="M687" s="6">
        <v>0.18</v>
      </c>
      <c r="N687" s="6">
        <v>0.18</v>
      </c>
      <c r="O687" s="6">
        <v>0.18</v>
      </c>
      <c r="P687" s="6">
        <v>4</v>
      </c>
      <c r="Q687" s="4" t="s">
        <v>26</v>
      </c>
      <c r="R687" s="4">
        <v>0</v>
      </c>
      <c r="S687" s="4" t="s">
        <v>240</v>
      </c>
      <c r="T687" s="4" t="s">
        <v>485</v>
      </c>
      <c r="U687" s="4">
        <v>0</v>
      </c>
      <c r="V687" s="4">
        <v>17</v>
      </c>
      <c r="W687" s="4">
        <v>54</v>
      </c>
    </row>
    <row r="688" spans="1:23" ht="11.25" customHeight="1" x14ac:dyDescent="0.25">
      <c r="A688" s="4" t="s">
        <v>28</v>
      </c>
      <c r="B688" s="4" t="s">
        <v>22</v>
      </c>
      <c r="C688" s="4" t="s">
        <v>23</v>
      </c>
      <c r="D688" s="4" t="s">
        <v>24</v>
      </c>
      <c r="E688" s="4" t="s">
        <v>29</v>
      </c>
      <c r="F688" s="4" t="s">
        <v>25</v>
      </c>
      <c r="G688" s="4" t="s">
        <v>25</v>
      </c>
      <c r="H688" s="4" t="s">
        <v>25</v>
      </c>
      <c r="I688" s="5">
        <v>44743</v>
      </c>
      <c r="J688" s="6">
        <v>0</v>
      </c>
      <c r="K688" s="6">
        <v>0</v>
      </c>
      <c r="L688" s="6">
        <v>4.5</v>
      </c>
      <c r="M688" s="6">
        <v>4.5</v>
      </c>
      <c r="N688" s="6">
        <v>4.5</v>
      </c>
      <c r="O688" s="6">
        <v>4.5</v>
      </c>
      <c r="P688" s="6">
        <v>16</v>
      </c>
      <c r="Q688" s="4" t="s">
        <v>26</v>
      </c>
      <c r="R688" s="4">
        <v>0</v>
      </c>
      <c r="S688" s="4" t="s">
        <v>240</v>
      </c>
      <c r="T688" s="4" t="s">
        <v>485</v>
      </c>
      <c r="U688" s="4">
        <v>0</v>
      </c>
      <c r="V688" s="4">
        <v>17</v>
      </c>
      <c r="W688" s="4">
        <v>54</v>
      </c>
    </row>
    <row r="689" spans="1:23" ht="11.25" customHeight="1" x14ac:dyDescent="0.25">
      <c r="A689" s="4" t="s">
        <v>56</v>
      </c>
      <c r="B689" s="4" t="s">
        <v>22</v>
      </c>
      <c r="C689" s="4" t="s">
        <v>23</v>
      </c>
      <c r="D689" s="4" t="s">
        <v>24</v>
      </c>
      <c r="E689" s="4" t="s">
        <v>29</v>
      </c>
      <c r="F689" s="4" t="s">
        <v>25</v>
      </c>
      <c r="G689" s="4" t="s">
        <v>25</v>
      </c>
      <c r="H689" s="4" t="s">
        <v>25</v>
      </c>
      <c r="I689" s="5">
        <v>44774</v>
      </c>
      <c r="J689" s="6">
        <v>0</v>
      </c>
      <c r="K689" s="6">
        <v>0</v>
      </c>
      <c r="L689" s="6">
        <v>332.52</v>
      </c>
      <c r="M689" s="6">
        <v>332.52</v>
      </c>
      <c r="N689" s="6">
        <v>332.52</v>
      </c>
      <c r="O689" s="6">
        <v>332.52</v>
      </c>
      <c r="P689" s="6">
        <v>445</v>
      </c>
      <c r="Q689" s="4" t="s">
        <v>26</v>
      </c>
      <c r="R689" s="4">
        <v>0</v>
      </c>
      <c r="S689" s="4" t="s">
        <v>241</v>
      </c>
      <c r="T689" s="4" t="s">
        <v>486</v>
      </c>
      <c r="U689" s="4">
        <v>0</v>
      </c>
      <c r="V689" s="4">
        <v>17</v>
      </c>
      <c r="W689" s="4">
        <v>54</v>
      </c>
    </row>
    <row r="690" spans="1:23" ht="11.25" customHeight="1" x14ac:dyDescent="0.25">
      <c r="A690" s="4" t="s">
        <v>56</v>
      </c>
      <c r="B690" s="4" t="s">
        <v>22</v>
      </c>
      <c r="C690" s="4" t="s">
        <v>23</v>
      </c>
      <c r="D690" s="4" t="s">
        <v>24</v>
      </c>
      <c r="E690" s="4" t="s">
        <v>29</v>
      </c>
      <c r="F690" s="4" t="s">
        <v>25</v>
      </c>
      <c r="G690" s="4" t="s">
        <v>25</v>
      </c>
      <c r="H690" s="4" t="s">
        <v>25</v>
      </c>
      <c r="I690" s="5">
        <v>44774</v>
      </c>
      <c r="J690" s="6">
        <v>0</v>
      </c>
      <c r="K690" s="6">
        <v>0</v>
      </c>
      <c r="L690" s="6">
        <v>0.18</v>
      </c>
      <c r="M690" s="6">
        <v>0.18</v>
      </c>
      <c r="N690" s="6">
        <v>0.18</v>
      </c>
      <c r="O690" s="6">
        <v>0.18</v>
      </c>
      <c r="P690" s="6">
        <v>4</v>
      </c>
      <c r="Q690" s="4" t="s">
        <v>26</v>
      </c>
      <c r="R690" s="4">
        <v>0</v>
      </c>
      <c r="S690" s="4" t="s">
        <v>241</v>
      </c>
      <c r="T690" s="4" t="s">
        <v>486</v>
      </c>
      <c r="U690" s="4">
        <v>0</v>
      </c>
      <c r="V690" s="4">
        <v>17</v>
      </c>
      <c r="W690" s="4">
        <v>54</v>
      </c>
    </row>
    <row r="691" spans="1:23" ht="11.25" customHeight="1" x14ac:dyDescent="0.25">
      <c r="A691" s="4" t="s">
        <v>56</v>
      </c>
      <c r="B691" s="4" t="s">
        <v>22</v>
      </c>
      <c r="C691" s="4" t="s">
        <v>23</v>
      </c>
      <c r="D691" s="4" t="s">
        <v>24</v>
      </c>
      <c r="E691" s="4" t="s">
        <v>29</v>
      </c>
      <c r="F691" s="4" t="s">
        <v>25</v>
      </c>
      <c r="G691" s="4" t="s">
        <v>25</v>
      </c>
      <c r="H691" s="4" t="s">
        <v>25</v>
      </c>
      <c r="I691" s="5">
        <v>44774</v>
      </c>
      <c r="J691" s="6">
        <v>0</v>
      </c>
      <c r="K691" s="6">
        <v>0</v>
      </c>
      <c r="L691" s="6">
        <v>4.5</v>
      </c>
      <c r="M691" s="6">
        <v>4.5</v>
      </c>
      <c r="N691" s="6">
        <v>4.5</v>
      </c>
      <c r="O691" s="6">
        <v>4.5</v>
      </c>
      <c r="P691" s="6">
        <v>16</v>
      </c>
      <c r="Q691" s="4" t="s">
        <v>26</v>
      </c>
      <c r="R691" s="4">
        <v>0</v>
      </c>
      <c r="S691" s="4" t="s">
        <v>241</v>
      </c>
      <c r="T691" s="4" t="s">
        <v>486</v>
      </c>
      <c r="U691" s="4">
        <v>0</v>
      </c>
      <c r="V691" s="4">
        <v>17</v>
      </c>
      <c r="W691" s="4">
        <v>54</v>
      </c>
    </row>
    <row r="692" spans="1:23" ht="11.25" customHeight="1" x14ac:dyDescent="0.25">
      <c r="A692" s="4" t="s">
        <v>21</v>
      </c>
      <c r="B692" s="4" t="s">
        <v>22</v>
      </c>
      <c r="C692" s="4" t="s">
        <v>23</v>
      </c>
      <c r="D692" s="4" t="s">
        <v>24</v>
      </c>
      <c r="E692" s="4" t="s">
        <v>30</v>
      </c>
      <c r="F692" s="4" t="s">
        <v>25</v>
      </c>
      <c r="G692" s="4" t="s">
        <v>25</v>
      </c>
      <c r="H692" s="4" t="s">
        <v>25</v>
      </c>
      <c r="I692" s="5">
        <v>44440</v>
      </c>
      <c r="J692" s="6">
        <v>0</v>
      </c>
      <c r="K692" s="6">
        <v>0</v>
      </c>
      <c r="L692" s="6">
        <v>597.149</v>
      </c>
      <c r="M692" s="6">
        <v>597.149</v>
      </c>
      <c r="N692" s="6">
        <v>597.149</v>
      </c>
      <c r="O692" s="6">
        <v>597.149</v>
      </c>
      <c r="P692" s="6">
        <v>2679</v>
      </c>
      <c r="Q692" s="4" t="s">
        <v>26</v>
      </c>
      <c r="R692" s="4">
        <v>0</v>
      </c>
      <c r="S692" s="4" t="s">
        <v>242</v>
      </c>
      <c r="T692" s="4" t="s">
        <v>487</v>
      </c>
      <c r="U692" s="4">
        <v>0</v>
      </c>
      <c r="V692" s="4">
        <v>18</v>
      </c>
      <c r="W692" s="4">
        <v>55</v>
      </c>
    </row>
    <row r="693" spans="1:23" ht="11.25" customHeight="1" x14ac:dyDescent="0.25">
      <c r="A693" s="4" t="s">
        <v>28</v>
      </c>
      <c r="B693" s="4" t="s">
        <v>22</v>
      </c>
      <c r="C693" s="4" t="s">
        <v>23</v>
      </c>
      <c r="D693" s="4" t="s">
        <v>24</v>
      </c>
      <c r="E693" s="4" t="s">
        <v>30</v>
      </c>
      <c r="F693" s="4" t="s">
        <v>25</v>
      </c>
      <c r="G693" s="4" t="s">
        <v>25</v>
      </c>
      <c r="H693" s="4" t="s">
        <v>25</v>
      </c>
      <c r="I693" s="5">
        <v>44440</v>
      </c>
      <c r="J693" s="6">
        <v>0</v>
      </c>
      <c r="K693" s="6">
        <v>0</v>
      </c>
      <c r="L693" s="6">
        <v>8.1050000000000004</v>
      </c>
      <c r="M693" s="6">
        <v>8.1050000000000004</v>
      </c>
      <c r="N693" s="6">
        <v>8.1050000000000004</v>
      </c>
      <c r="O693" s="6">
        <v>8.1050000000000004</v>
      </c>
      <c r="P693" s="6">
        <v>66</v>
      </c>
      <c r="Q693" s="4" t="s">
        <v>26</v>
      </c>
      <c r="R693" s="4">
        <v>0</v>
      </c>
      <c r="S693" s="4" t="s">
        <v>242</v>
      </c>
      <c r="T693" s="4" t="s">
        <v>487</v>
      </c>
      <c r="U693" s="4">
        <v>0</v>
      </c>
      <c r="V693" s="4">
        <v>18</v>
      </c>
      <c r="W693" s="4">
        <v>55</v>
      </c>
    </row>
    <row r="694" spans="1:23" ht="11.25" customHeight="1" x14ac:dyDescent="0.25">
      <c r="A694" s="4" t="s">
        <v>21</v>
      </c>
      <c r="B694" s="4" t="s">
        <v>22</v>
      </c>
      <c r="C694" s="4" t="s">
        <v>23</v>
      </c>
      <c r="D694" s="4" t="s">
        <v>24</v>
      </c>
      <c r="E694" s="4" t="s">
        <v>30</v>
      </c>
      <c r="F694" s="4" t="s">
        <v>25</v>
      </c>
      <c r="G694" s="4" t="s">
        <v>25</v>
      </c>
      <c r="H694" s="4" t="s">
        <v>25</v>
      </c>
      <c r="I694" s="5">
        <v>44470</v>
      </c>
      <c r="J694" s="6">
        <v>0</v>
      </c>
      <c r="K694" s="6">
        <v>0</v>
      </c>
      <c r="L694" s="6">
        <v>615.96799999999996</v>
      </c>
      <c r="M694" s="6">
        <v>615.96799999999996</v>
      </c>
      <c r="N694" s="6">
        <v>615.96799999999996</v>
      </c>
      <c r="O694" s="6">
        <v>615.96799999999996</v>
      </c>
      <c r="P694" s="6">
        <v>2497</v>
      </c>
      <c r="Q694" s="4" t="s">
        <v>26</v>
      </c>
      <c r="R694" s="4">
        <v>0</v>
      </c>
      <c r="S694" s="4" t="s">
        <v>243</v>
      </c>
      <c r="T694" s="4" t="s">
        <v>488</v>
      </c>
      <c r="U694" s="4">
        <v>0</v>
      </c>
      <c r="V694" s="4">
        <v>18</v>
      </c>
      <c r="W694" s="4">
        <v>55</v>
      </c>
    </row>
    <row r="695" spans="1:23" ht="11.25" customHeight="1" x14ac:dyDescent="0.25">
      <c r="A695" s="4" t="s">
        <v>28</v>
      </c>
      <c r="B695" s="4" t="s">
        <v>22</v>
      </c>
      <c r="C695" s="4" t="s">
        <v>23</v>
      </c>
      <c r="D695" s="4" t="s">
        <v>24</v>
      </c>
      <c r="E695" s="4" t="s">
        <v>30</v>
      </c>
      <c r="F695" s="4" t="s">
        <v>25</v>
      </c>
      <c r="G695" s="4" t="s">
        <v>25</v>
      </c>
      <c r="H695" s="4" t="s">
        <v>25</v>
      </c>
      <c r="I695" s="5">
        <v>44470</v>
      </c>
      <c r="J695" s="6">
        <v>0</v>
      </c>
      <c r="K695" s="6">
        <v>0</v>
      </c>
      <c r="L695" s="6">
        <v>8.7520000000000007</v>
      </c>
      <c r="M695" s="6">
        <v>8.7520000000000007</v>
      </c>
      <c r="N695" s="6">
        <v>8.7520000000000007</v>
      </c>
      <c r="O695" s="6">
        <v>8.7520000000000007</v>
      </c>
      <c r="P695" s="6">
        <v>60</v>
      </c>
      <c r="Q695" s="4" t="s">
        <v>26</v>
      </c>
      <c r="R695" s="4">
        <v>0</v>
      </c>
      <c r="S695" s="4" t="s">
        <v>243</v>
      </c>
      <c r="T695" s="4" t="s">
        <v>488</v>
      </c>
      <c r="U695" s="4">
        <v>0</v>
      </c>
      <c r="V695" s="4">
        <v>18</v>
      </c>
      <c r="W695" s="4">
        <v>55</v>
      </c>
    </row>
    <row r="696" spans="1:23" ht="11.25" customHeight="1" x14ac:dyDescent="0.25">
      <c r="A696" s="4" t="s">
        <v>21</v>
      </c>
      <c r="B696" s="4" t="s">
        <v>22</v>
      </c>
      <c r="C696" s="4" t="s">
        <v>23</v>
      </c>
      <c r="D696" s="4" t="s">
        <v>24</v>
      </c>
      <c r="E696" s="4" t="s">
        <v>30</v>
      </c>
      <c r="F696" s="4" t="s">
        <v>25</v>
      </c>
      <c r="G696" s="4" t="s">
        <v>25</v>
      </c>
      <c r="H696" s="4" t="s">
        <v>25</v>
      </c>
      <c r="I696" s="5">
        <v>44501</v>
      </c>
      <c r="J696" s="6">
        <v>0</v>
      </c>
      <c r="K696" s="6">
        <v>0</v>
      </c>
      <c r="L696" s="6">
        <v>626.92399999999998</v>
      </c>
      <c r="M696" s="6">
        <v>626.92399999999998</v>
      </c>
      <c r="N696" s="6">
        <v>626.92399999999998</v>
      </c>
      <c r="O696" s="6">
        <v>626.92399999999998</v>
      </c>
      <c r="P696" s="6">
        <v>2712</v>
      </c>
      <c r="Q696" s="4" t="s">
        <v>26</v>
      </c>
      <c r="R696" s="4">
        <v>0</v>
      </c>
      <c r="S696" s="4" t="s">
        <v>244</v>
      </c>
      <c r="T696" s="4" t="s">
        <v>489</v>
      </c>
      <c r="U696" s="4">
        <v>0</v>
      </c>
      <c r="V696" s="4">
        <v>18</v>
      </c>
      <c r="W696" s="4">
        <v>55</v>
      </c>
    </row>
    <row r="697" spans="1:23" ht="11.25" customHeight="1" x14ac:dyDescent="0.25">
      <c r="A697" s="4" t="s">
        <v>27</v>
      </c>
      <c r="B697" s="4" t="s">
        <v>22</v>
      </c>
      <c r="C697" s="4" t="s">
        <v>23</v>
      </c>
      <c r="D697" s="4" t="s">
        <v>24</v>
      </c>
      <c r="E697" s="4" t="s">
        <v>30</v>
      </c>
      <c r="F697" s="4" t="s">
        <v>25</v>
      </c>
      <c r="G697" s="4" t="s">
        <v>25</v>
      </c>
      <c r="H697" s="4" t="s">
        <v>25</v>
      </c>
      <c r="I697" s="5">
        <v>44501</v>
      </c>
      <c r="J697" s="6">
        <v>0</v>
      </c>
      <c r="K697" s="6">
        <v>0</v>
      </c>
      <c r="L697" s="6">
        <v>3.1E-2</v>
      </c>
      <c r="M697" s="6">
        <v>3.1E-2</v>
      </c>
      <c r="N697" s="6">
        <v>3.1E-2</v>
      </c>
      <c r="O697" s="6">
        <v>3.1E-2</v>
      </c>
      <c r="P697" s="6">
        <v>1</v>
      </c>
      <c r="Q697" s="4" t="s">
        <v>26</v>
      </c>
      <c r="R697" s="4">
        <v>0</v>
      </c>
      <c r="S697" s="4" t="s">
        <v>244</v>
      </c>
      <c r="T697" s="4" t="s">
        <v>489</v>
      </c>
      <c r="U697" s="4">
        <v>0</v>
      </c>
      <c r="V697" s="4">
        <v>18</v>
      </c>
      <c r="W697" s="4">
        <v>55</v>
      </c>
    </row>
    <row r="698" spans="1:23" ht="11.25" customHeight="1" x14ac:dyDescent="0.25">
      <c r="A698" s="4" t="s">
        <v>28</v>
      </c>
      <c r="B698" s="4" t="s">
        <v>22</v>
      </c>
      <c r="C698" s="4" t="s">
        <v>23</v>
      </c>
      <c r="D698" s="4" t="s">
        <v>24</v>
      </c>
      <c r="E698" s="4" t="s">
        <v>30</v>
      </c>
      <c r="F698" s="4" t="s">
        <v>25</v>
      </c>
      <c r="G698" s="4" t="s">
        <v>25</v>
      </c>
      <c r="H698" s="4" t="s">
        <v>25</v>
      </c>
      <c r="I698" s="5">
        <v>44501</v>
      </c>
      <c r="J698" s="6">
        <v>0</v>
      </c>
      <c r="K698" s="6">
        <v>0</v>
      </c>
      <c r="L698" s="6">
        <v>8.3179999999999996</v>
      </c>
      <c r="M698" s="6">
        <v>8.3179999999999996</v>
      </c>
      <c r="N698" s="6">
        <v>8.3179999999999996</v>
      </c>
      <c r="O698" s="6">
        <v>8.3179999999999996</v>
      </c>
      <c r="P698" s="6">
        <v>68</v>
      </c>
      <c r="Q698" s="4" t="s">
        <v>26</v>
      </c>
      <c r="R698" s="4">
        <v>0</v>
      </c>
      <c r="S698" s="4" t="s">
        <v>244</v>
      </c>
      <c r="T698" s="4" t="s">
        <v>489</v>
      </c>
      <c r="U698" s="4">
        <v>0</v>
      </c>
      <c r="V698" s="4">
        <v>18</v>
      </c>
      <c r="W698" s="4">
        <v>55</v>
      </c>
    </row>
    <row r="699" spans="1:23" ht="11.25" customHeight="1" x14ac:dyDescent="0.25">
      <c r="A699" s="4" t="s">
        <v>21</v>
      </c>
      <c r="B699" s="4" t="s">
        <v>22</v>
      </c>
      <c r="C699" s="4" t="s">
        <v>23</v>
      </c>
      <c r="D699" s="4" t="s">
        <v>24</v>
      </c>
      <c r="E699" s="4" t="s">
        <v>30</v>
      </c>
      <c r="F699" s="4" t="s">
        <v>25</v>
      </c>
      <c r="G699" s="4" t="s">
        <v>25</v>
      </c>
      <c r="H699" s="4" t="s">
        <v>25</v>
      </c>
      <c r="I699" s="5">
        <v>44531</v>
      </c>
      <c r="J699" s="6">
        <v>0</v>
      </c>
      <c r="K699" s="6">
        <v>0</v>
      </c>
      <c r="L699" s="6">
        <v>646.73</v>
      </c>
      <c r="M699" s="6">
        <v>646.73</v>
      </c>
      <c r="N699" s="6">
        <v>646.73</v>
      </c>
      <c r="O699" s="6">
        <v>646.73</v>
      </c>
      <c r="P699" s="6">
        <v>2623</v>
      </c>
      <c r="Q699" s="4" t="s">
        <v>26</v>
      </c>
      <c r="R699" s="4">
        <v>0</v>
      </c>
      <c r="S699" s="4" t="s">
        <v>245</v>
      </c>
      <c r="T699" s="4" t="s">
        <v>490</v>
      </c>
      <c r="U699" s="4">
        <v>0</v>
      </c>
      <c r="V699" s="4">
        <v>18</v>
      </c>
      <c r="W699" s="4">
        <v>55</v>
      </c>
    </row>
    <row r="700" spans="1:23" ht="11.25" customHeight="1" x14ac:dyDescent="0.25">
      <c r="A700" s="4" t="s">
        <v>27</v>
      </c>
      <c r="B700" s="4" t="s">
        <v>22</v>
      </c>
      <c r="C700" s="4" t="s">
        <v>23</v>
      </c>
      <c r="D700" s="4" t="s">
        <v>24</v>
      </c>
      <c r="E700" s="4" t="s">
        <v>30</v>
      </c>
      <c r="F700" s="4" t="s">
        <v>25</v>
      </c>
      <c r="G700" s="4" t="s">
        <v>25</v>
      </c>
      <c r="H700" s="4" t="s">
        <v>25</v>
      </c>
      <c r="I700" s="5">
        <v>44531</v>
      </c>
      <c r="J700" s="6">
        <v>0</v>
      </c>
      <c r="K700" s="6">
        <v>0</v>
      </c>
      <c r="L700" s="6">
        <v>0.26400000000000001</v>
      </c>
      <c r="M700" s="6">
        <v>0.26400000000000001</v>
      </c>
      <c r="N700" s="6">
        <v>0.26400000000000001</v>
      </c>
      <c r="O700" s="6">
        <v>0.26400000000000001</v>
      </c>
      <c r="P700" s="6">
        <v>14</v>
      </c>
      <c r="Q700" s="4" t="s">
        <v>26</v>
      </c>
      <c r="R700" s="4">
        <v>0</v>
      </c>
      <c r="S700" s="4" t="s">
        <v>245</v>
      </c>
      <c r="T700" s="4" t="s">
        <v>490</v>
      </c>
      <c r="U700" s="4">
        <v>0</v>
      </c>
      <c r="V700" s="4">
        <v>18</v>
      </c>
      <c r="W700" s="4">
        <v>55</v>
      </c>
    </row>
    <row r="701" spans="1:23" ht="11.25" customHeight="1" x14ac:dyDescent="0.25">
      <c r="A701" s="4" t="s">
        <v>28</v>
      </c>
      <c r="B701" s="4" t="s">
        <v>22</v>
      </c>
      <c r="C701" s="4" t="s">
        <v>23</v>
      </c>
      <c r="D701" s="4" t="s">
        <v>24</v>
      </c>
      <c r="E701" s="4" t="s">
        <v>30</v>
      </c>
      <c r="F701" s="4" t="s">
        <v>25</v>
      </c>
      <c r="G701" s="4" t="s">
        <v>25</v>
      </c>
      <c r="H701" s="4" t="s">
        <v>25</v>
      </c>
      <c r="I701" s="5">
        <v>44531</v>
      </c>
      <c r="J701" s="6">
        <v>0</v>
      </c>
      <c r="K701" s="6">
        <v>0</v>
      </c>
      <c r="L701" s="6">
        <v>8.0549999999999997</v>
      </c>
      <c r="M701" s="6">
        <v>8.0549999999999997</v>
      </c>
      <c r="N701" s="6">
        <v>8.0549999999999997</v>
      </c>
      <c r="O701" s="6">
        <v>8.0549999999999997</v>
      </c>
      <c r="P701" s="6">
        <v>71</v>
      </c>
      <c r="Q701" s="4" t="s">
        <v>26</v>
      </c>
      <c r="R701" s="4">
        <v>0</v>
      </c>
      <c r="S701" s="4" t="s">
        <v>245</v>
      </c>
      <c r="T701" s="4" t="s">
        <v>490</v>
      </c>
      <c r="U701" s="4">
        <v>0</v>
      </c>
      <c r="V701" s="4">
        <v>18</v>
      </c>
      <c r="W701" s="4">
        <v>55</v>
      </c>
    </row>
    <row r="702" spans="1:23" ht="11.25" customHeight="1" x14ac:dyDescent="0.25">
      <c r="A702" s="4" t="s">
        <v>21</v>
      </c>
      <c r="B702" s="4" t="s">
        <v>22</v>
      </c>
      <c r="C702" s="4" t="s">
        <v>23</v>
      </c>
      <c r="D702" s="4" t="s">
        <v>24</v>
      </c>
      <c r="E702" s="4" t="s">
        <v>30</v>
      </c>
      <c r="F702" s="4" t="s">
        <v>25</v>
      </c>
      <c r="G702" s="4" t="s">
        <v>25</v>
      </c>
      <c r="H702" s="4" t="s">
        <v>25</v>
      </c>
      <c r="I702" s="5">
        <v>44562</v>
      </c>
      <c r="J702" s="6">
        <v>0</v>
      </c>
      <c r="K702" s="6">
        <v>0</v>
      </c>
      <c r="L702" s="6">
        <v>668.20899999999995</v>
      </c>
      <c r="M702" s="6">
        <v>668.20899999999995</v>
      </c>
      <c r="N702" s="6">
        <v>668.20899999999995</v>
      </c>
      <c r="O702" s="6">
        <v>668.20899999999995</v>
      </c>
      <c r="P702" s="6">
        <v>2371</v>
      </c>
      <c r="Q702" s="4" t="s">
        <v>26</v>
      </c>
      <c r="R702" s="4">
        <v>0</v>
      </c>
      <c r="S702" s="4" t="s">
        <v>246</v>
      </c>
      <c r="T702" s="4" t="s">
        <v>491</v>
      </c>
      <c r="U702" s="4">
        <v>0</v>
      </c>
      <c r="V702" s="4">
        <v>18</v>
      </c>
      <c r="W702" s="4">
        <v>55</v>
      </c>
    </row>
    <row r="703" spans="1:23" ht="11.25" customHeight="1" x14ac:dyDescent="0.25">
      <c r="A703" s="4" t="s">
        <v>27</v>
      </c>
      <c r="B703" s="4" t="s">
        <v>22</v>
      </c>
      <c r="C703" s="4" t="s">
        <v>23</v>
      </c>
      <c r="D703" s="4" t="s">
        <v>24</v>
      </c>
      <c r="E703" s="4" t="s">
        <v>30</v>
      </c>
      <c r="F703" s="4" t="s">
        <v>25</v>
      </c>
      <c r="G703" s="4" t="s">
        <v>25</v>
      </c>
      <c r="H703" s="4" t="s">
        <v>25</v>
      </c>
      <c r="I703" s="5">
        <v>44562</v>
      </c>
      <c r="J703" s="6">
        <v>0</v>
      </c>
      <c r="K703" s="6">
        <v>0</v>
      </c>
      <c r="L703" s="6">
        <v>9.7000000000000003E-2</v>
      </c>
      <c r="M703" s="6">
        <v>9.7000000000000003E-2</v>
      </c>
      <c r="N703" s="6">
        <v>9.7000000000000003E-2</v>
      </c>
      <c r="O703" s="6">
        <v>9.7000000000000003E-2</v>
      </c>
      <c r="P703" s="6">
        <v>2</v>
      </c>
      <c r="Q703" s="4" t="s">
        <v>26</v>
      </c>
      <c r="R703" s="4">
        <v>0</v>
      </c>
      <c r="S703" s="4" t="s">
        <v>246</v>
      </c>
      <c r="T703" s="4" t="s">
        <v>491</v>
      </c>
      <c r="U703" s="4">
        <v>0</v>
      </c>
      <c r="V703" s="4">
        <v>18</v>
      </c>
      <c r="W703" s="4">
        <v>55</v>
      </c>
    </row>
    <row r="704" spans="1:23" ht="11.25" customHeight="1" x14ac:dyDescent="0.25">
      <c r="A704" s="4" t="s">
        <v>28</v>
      </c>
      <c r="B704" s="4" t="s">
        <v>22</v>
      </c>
      <c r="C704" s="4" t="s">
        <v>23</v>
      </c>
      <c r="D704" s="4" t="s">
        <v>24</v>
      </c>
      <c r="E704" s="4" t="s">
        <v>30</v>
      </c>
      <c r="F704" s="4" t="s">
        <v>25</v>
      </c>
      <c r="G704" s="4" t="s">
        <v>25</v>
      </c>
      <c r="H704" s="4" t="s">
        <v>25</v>
      </c>
      <c r="I704" s="5">
        <v>44562</v>
      </c>
      <c r="J704" s="6">
        <v>0</v>
      </c>
      <c r="K704" s="6">
        <v>0</v>
      </c>
      <c r="L704" s="6">
        <v>9.0340000000000007</v>
      </c>
      <c r="M704" s="6">
        <v>9.0340000000000007</v>
      </c>
      <c r="N704" s="6">
        <v>9.0340000000000007</v>
      </c>
      <c r="O704" s="6">
        <v>9.0340000000000007</v>
      </c>
      <c r="P704" s="6">
        <v>65</v>
      </c>
      <c r="Q704" s="4" t="s">
        <v>26</v>
      </c>
      <c r="R704" s="4">
        <v>0</v>
      </c>
      <c r="S704" s="4" t="s">
        <v>246</v>
      </c>
      <c r="T704" s="4" t="s">
        <v>491</v>
      </c>
      <c r="U704" s="4">
        <v>0</v>
      </c>
      <c r="V704" s="4">
        <v>18</v>
      </c>
      <c r="W704" s="4">
        <v>55</v>
      </c>
    </row>
    <row r="705" spans="1:23" ht="11.25" customHeight="1" x14ac:dyDescent="0.25">
      <c r="A705" s="4" t="s">
        <v>21</v>
      </c>
      <c r="B705" s="4" t="s">
        <v>22</v>
      </c>
      <c r="C705" s="4" t="s">
        <v>23</v>
      </c>
      <c r="D705" s="4" t="s">
        <v>24</v>
      </c>
      <c r="E705" s="4" t="s">
        <v>30</v>
      </c>
      <c r="F705" s="4" t="s">
        <v>25</v>
      </c>
      <c r="G705" s="4" t="s">
        <v>25</v>
      </c>
      <c r="H705" s="4" t="s">
        <v>25</v>
      </c>
      <c r="I705" s="5">
        <v>44593</v>
      </c>
      <c r="J705" s="6">
        <v>0</v>
      </c>
      <c r="K705" s="6">
        <v>0</v>
      </c>
      <c r="L705" s="6">
        <v>690.976</v>
      </c>
      <c r="M705" s="6">
        <v>690.976</v>
      </c>
      <c r="N705" s="6">
        <v>690.976</v>
      </c>
      <c r="O705" s="6">
        <v>690.976</v>
      </c>
      <c r="P705" s="6">
        <v>2199</v>
      </c>
      <c r="Q705" s="4" t="s">
        <v>26</v>
      </c>
      <c r="R705" s="4">
        <v>0</v>
      </c>
      <c r="S705" s="4" t="s">
        <v>247</v>
      </c>
      <c r="T705" s="4" t="s">
        <v>492</v>
      </c>
      <c r="U705" s="4">
        <v>0</v>
      </c>
      <c r="V705" s="4">
        <v>18</v>
      </c>
      <c r="W705" s="4">
        <v>55</v>
      </c>
    </row>
    <row r="706" spans="1:23" ht="11.25" customHeight="1" x14ac:dyDescent="0.25">
      <c r="A706" s="4" t="s">
        <v>27</v>
      </c>
      <c r="B706" s="4" t="s">
        <v>22</v>
      </c>
      <c r="C706" s="4" t="s">
        <v>23</v>
      </c>
      <c r="D706" s="4" t="s">
        <v>24</v>
      </c>
      <c r="E706" s="4" t="s">
        <v>30</v>
      </c>
      <c r="F706" s="4" t="s">
        <v>25</v>
      </c>
      <c r="G706" s="4" t="s">
        <v>25</v>
      </c>
      <c r="H706" s="4" t="s">
        <v>25</v>
      </c>
      <c r="I706" s="5">
        <v>44593</v>
      </c>
      <c r="J706" s="6">
        <v>0</v>
      </c>
      <c r="K706" s="6">
        <v>0</v>
      </c>
      <c r="L706" s="6">
        <v>6.0000000000000001E-3</v>
      </c>
      <c r="M706" s="6">
        <v>6.0000000000000001E-3</v>
      </c>
      <c r="N706" s="6">
        <v>6.0000000000000001E-3</v>
      </c>
      <c r="O706" s="6">
        <v>6.0000000000000001E-3</v>
      </c>
      <c r="P706" s="6">
        <v>1</v>
      </c>
      <c r="Q706" s="4" t="s">
        <v>26</v>
      </c>
      <c r="R706" s="4">
        <v>0</v>
      </c>
      <c r="S706" s="4" t="s">
        <v>247</v>
      </c>
      <c r="T706" s="4" t="s">
        <v>492</v>
      </c>
      <c r="U706" s="4">
        <v>0</v>
      </c>
      <c r="V706" s="4">
        <v>18</v>
      </c>
      <c r="W706" s="4">
        <v>55</v>
      </c>
    </row>
    <row r="707" spans="1:23" ht="11.25" customHeight="1" x14ac:dyDescent="0.25">
      <c r="A707" s="4" t="s">
        <v>28</v>
      </c>
      <c r="B707" s="4" t="s">
        <v>22</v>
      </c>
      <c r="C707" s="4" t="s">
        <v>23</v>
      </c>
      <c r="D707" s="4" t="s">
        <v>24</v>
      </c>
      <c r="E707" s="4" t="s">
        <v>30</v>
      </c>
      <c r="F707" s="4" t="s">
        <v>25</v>
      </c>
      <c r="G707" s="4" t="s">
        <v>25</v>
      </c>
      <c r="H707" s="4" t="s">
        <v>25</v>
      </c>
      <c r="I707" s="5">
        <v>44593</v>
      </c>
      <c r="J707" s="6">
        <v>0</v>
      </c>
      <c r="K707" s="6">
        <v>0</v>
      </c>
      <c r="L707" s="6">
        <v>8.9779999999999998</v>
      </c>
      <c r="M707" s="6">
        <v>8.9779999999999998</v>
      </c>
      <c r="N707" s="6">
        <v>8.9779999999999998</v>
      </c>
      <c r="O707" s="6">
        <v>8.9779999999999998</v>
      </c>
      <c r="P707" s="6">
        <v>56</v>
      </c>
      <c r="Q707" s="4" t="s">
        <v>26</v>
      </c>
      <c r="R707" s="4">
        <v>0</v>
      </c>
      <c r="S707" s="4" t="s">
        <v>247</v>
      </c>
      <c r="T707" s="4" t="s">
        <v>492</v>
      </c>
      <c r="U707" s="4">
        <v>0</v>
      </c>
      <c r="V707" s="4">
        <v>18</v>
      </c>
      <c r="W707" s="4">
        <v>55</v>
      </c>
    </row>
    <row r="708" spans="1:23" ht="11.25" customHeight="1" x14ac:dyDescent="0.25">
      <c r="A708" s="4" t="s">
        <v>21</v>
      </c>
      <c r="B708" s="4" t="s">
        <v>22</v>
      </c>
      <c r="C708" s="4" t="s">
        <v>23</v>
      </c>
      <c r="D708" s="4" t="s">
        <v>24</v>
      </c>
      <c r="E708" s="4" t="s">
        <v>30</v>
      </c>
      <c r="F708" s="4" t="s">
        <v>25</v>
      </c>
      <c r="G708" s="4" t="s">
        <v>25</v>
      </c>
      <c r="H708" s="4" t="s">
        <v>25</v>
      </c>
      <c r="I708" s="5">
        <v>44621</v>
      </c>
      <c r="J708" s="6">
        <v>0</v>
      </c>
      <c r="K708" s="6">
        <v>0</v>
      </c>
      <c r="L708" s="6">
        <v>826.26599999999996</v>
      </c>
      <c r="M708" s="6">
        <v>826.26599999999996</v>
      </c>
      <c r="N708" s="6">
        <v>826.26599999999996</v>
      </c>
      <c r="O708" s="6">
        <v>826.26599999999996</v>
      </c>
      <c r="P708" s="6">
        <v>2738</v>
      </c>
      <c r="Q708" s="4" t="s">
        <v>26</v>
      </c>
      <c r="R708" s="4">
        <v>0</v>
      </c>
      <c r="S708" s="4" t="s">
        <v>248</v>
      </c>
      <c r="T708" s="4" t="s">
        <v>493</v>
      </c>
      <c r="U708" s="4">
        <v>0</v>
      </c>
      <c r="V708" s="4">
        <v>18</v>
      </c>
      <c r="W708" s="4">
        <v>55</v>
      </c>
    </row>
    <row r="709" spans="1:23" ht="11.25" customHeight="1" x14ac:dyDescent="0.25">
      <c r="A709" s="4" t="s">
        <v>27</v>
      </c>
      <c r="B709" s="4" t="s">
        <v>22</v>
      </c>
      <c r="C709" s="4" t="s">
        <v>23</v>
      </c>
      <c r="D709" s="4" t="s">
        <v>24</v>
      </c>
      <c r="E709" s="4" t="s">
        <v>30</v>
      </c>
      <c r="F709" s="4" t="s">
        <v>25</v>
      </c>
      <c r="G709" s="4" t="s">
        <v>25</v>
      </c>
      <c r="H709" s="4" t="s">
        <v>25</v>
      </c>
      <c r="I709" s="5">
        <v>44621</v>
      </c>
      <c r="J709" s="6">
        <v>0</v>
      </c>
      <c r="K709" s="6">
        <v>0</v>
      </c>
      <c r="L709" s="6">
        <v>0.20300000000000001</v>
      </c>
      <c r="M709" s="6">
        <v>0.20300000000000001</v>
      </c>
      <c r="N709" s="6">
        <v>0.20300000000000001</v>
      </c>
      <c r="O709" s="6">
        <v>0.20300000000000001</v>
      </c>
      <c r="P709" s="6">
        <v>3</v>
      </c>
      <c r="Q709" s="4" t="s">
        <v>26</v>
      </c>
      <c r="R709" s="4">
        <v>0</v>
      </c>
      <c r="S709" s="4" t="s">
        <v>248</v>
      </c>
      <c r="T709" s="4" t="s">
        <v>493</v>
      </c>
      <c r="U709" s="4">
        <v>0</v>
      </c>
      <c r="V709" s="4">
        <v>18</v>
      </c>
      <c r="W709" s="4">
        <v>55</v>
      </c>
    </row>
    <row r="710" spans="1:23" ht="11.25" customHeight="1" x14ac:dyDescent="0.25">
      <c r="A710" s="4" t="s">
        <v>28</v>
      </c>
      <c r="B710" s="4" t="s">
        <v>22</v>
      </c>
      <c r="C710" s="4" t="s">
        <v>23</v>
      </c>
      <c r="D710" s="4" t="s">
        <v>24</v>
      </c>
      <c r="E710" s="4" t="s">
        <v>30</v>
      </c>
      <c r="F710" s="4" t="s">
        <v>25</v>
      </c>
      <c r="G710" s="4" t="s">
        <v>25</v>
      </c>
      <c r="H710" s="4" t="s">
        <v>25</v>
      </c>
      <c r="I710" s="5">
        <v>44621</v>
      </c>
      <c r="J710" s="6">
        <v>0</v>
      </c>
      <c r="K710" s="6">
        <v>0</v>
      </c>
      <c r="L710" s="6">
        <v>9.8320000000000007</v>
      </c>
      <c r="M710" s="6">
        <v>9.8320000000000007</v>
      </c>
      <c r="N710" s="6">
        <v>9.8320000000000007</v>
      </c>
      <c r="O710" s="6">
        <v>9.8320000000000007</v>
      </c>
      <c r="P710" s="6">
        <v>65</v>
      </c>
      <c r="Q710" s="4" t="s">
        <v>26</v>
      </c>
      <c r="R710" s="4">
        <v>0</v>
      </c>
      <c r="S710" s="4" t="s">
        <v>248</v>
      </c>
      <c r="T710" s="4" t="s">
        <v>493</v>
      </c>
      <c r="U710" s="4">
        <v>0</v>
      </c>
      <c r="V710" s="4">
        <v>18</v>
      </c>
      <c r="W710" s="4">
        <v>55</v>
      </c>
    </row>
    <row r="711" spans="1:23" ht="11.25" customHeight="1" x14ac:dyDescent="0.25">
      <c r="A711" s="4" t="s">
        <v>21</v>
      </c>
      <c r="B711" s="4" t="s">
        <v>22</v>
      </c>
      <c r="C711" s="4" t="s">
        <v>23</v>
      </c>
      <c r="D711" s="4" t="s">
        <v>24</v>
      </c>
      <c r="E711" s="4" t="s">
        <v>30</v>
      </c>
      <c r="F711" s="4" t="s">
        <v>25</v>
      </c>
      <c r="G711" s="4" t="s">
        <v>25</v>
      </c>
      <c r="H711" s="4" t="s">
        <v>25</v>
      </c>
      <c r="I711" s="5">
        <v>44652</v>
      </c>
      <c r="J711" s="6">
        <v>0</v>
      </c>
      <c r="K711" s="6">
        <v>0</v>
      </c>
      <c r="L711" s="6">
        <v>844.17399999999998</v>
      </c>
      <c r="M711" s="6">
        <v>844.17399999999998</v>
      </c>
      <c r="N711" s="6">
        <v>844.17399999999998</v>
      </c>
      <c r="O711" s="6">
        <v>844.17399999999998</v>
      </c>
      <c r="P711" s="6">
        <v>2802</v>
      </c>
      <c r="Q711" s="4" t="s">
        <v>26</v>
      </c>
      <c r="R711" s="4">
        <v>0</v>
      </c>
      <c r="S711" s="4" t="s">
        <v>249</v>
      </c>
      <c r="T711" s="4" t="s">
        <v>494</v>
      </c>
      <c r="U711" s="4">
        <v>0</v>
      </c>
      <c r="V711" s="4">
        <v>18</v>
      </c>
      <c r="W711" s="4">
        <v>55</v>
      </c>
    </row>
    <row r="712" spans="1:23" ht="11.25" customHeight="1" x14ac:dyDescent="0.25">
      <c r="A712" s="4" t="s">
        <v>27</v>
      </c>
      <c r="B712" s="4" t="s">
        <v>22</v>
      </c>
      <c r="C712" s="4" t="s">
        <v>23</v>
      </c>
      <c r="D712" s="4" t="s">
        <v>24</v>
      </c>
      <c r="E712" s="4" t="s">
        <v>30</v>
      </c>
      <c r="F712" s="4" t="s">
        <v>25</v>
      </c>
      <c r="G712" s="4" t="s">
        <v>25</v>
      </c>
      <c r="H712" s="4" t="s">
        <v>25</v>
      </c>
      <c r="I712" s="5">
        <v>44652</v>
      </c>
      <c r="J712" s="6">
        <v>0</v>
      </c>
      <c r="K712" s="6">
        <v>0</v>
      </c>
      <c r="L712" s="6">
        <v>0.17</v>
      </c>
      <c r="M712" s="6">
        <v>0.17</v>
      </c>
      <c r="N712" s="6">
        <v>0.17</v>
      </c>
      <c r="O712" s="6">
        <v>0.17</v>
      </c>
      <c r="P712" s="6">
        <v>4</v>
      </c>
      <c r="Q712" s="4" t="s">
        <v>26</v>
      </c>
      <c r="R712" s="4">
        <v>0</v>
      </c>
      <c r="S712" s="4" t="s">
        <v>249</v>
      </c>
      <c r="T712" s="4" t="s">
        <v>494</v>
      </c>
      <c r="U712" s="4">
        <v>0</v>
      </c>
      <c r="V712" s="4">
        <v>18</v>
      </c>
      <c r="W712" s="4">
        <v>55</v>
      </c>
    </row>
    <row r="713" spans="1:23" ht="11.25" customHeight="1" x14ac:dyDescent="0.25">
      <c r="A713" s="4" t="s">
        <v>28</v>
      </c>
      <c r="B713" s="4" t="s">
        <v>22</v>
      </c>
      <c r="C713" s="4" t="s">
        <v>23</v>
      </c>
      <c r="D713" s="4" t="s">
        <v>24</v>
      </c>
      <c r="E713" s="4" t="s">
        <v>30</v>
      </c>
      <c r="F713" s="4" t="s">
        <v>25</v>
      </c>
      <c r="G713" s="4" t="s">
        <v>25</v>
      </c>
      <c r="H713" s="4" t="s">
        <v>25</v>
      </c>
      <c r="I713" s="5">
        <v>44652</v>
      </c>
      <c r="J713" s="6">
        <v>0</v>
      </c>
      <c r="K713" s="6">
        <v>0</v>
      </c>
      <c r="L713" s="6">
        <v>9.8450000000000006</v>
      </c>
      <c r="M713" s="6">
        <v>9.8450000000000006</v>
      </c>
      <c r="N713" s="6">
        <v>9.8450000000000006</v>
      </c>
      <c r="O713" s="6">
        <v>9.8450000000000006</v>
      </c>
      <c r="P713" s="6">
        <v>62</v>
      </c>
      <c r="Q713" s="4" t="s">
        <v>26</v>
      </c>
      <c r="R713" s="4">
        <v>0</v>
      </c>
      <c r="S713" s="4" t="s">
        <v>249</v>
      </c>
      <c r="T713" s="4" t="s">
        <v>494</v>
      </c>
      <c r="U713" s="4">
        <v>0</v>
      </c>
      <c r="V713" s="4">
        <v>18</v>
      </c>
      <c r="W713" s="4">
        <v>55</v>
      </c>
    </row>
    <row r="714" spans="1:23" ht="11.25" customHeight="1" x14ac:dyDescent="0.25">
      <c r="A714" s="4" t="s">
        <v>21</v>
      </c>
      <c r="B714" s="4" t="s">
        <v>22</v>
      </c>
      <c r="C714" s="4" t="s">
        <v>23</v>
      </c>
      <c r="D714" s="4" t="s">
        <v>24</v>
      </c>
      <c r="E714" s="4" t="s">
        <v>30</v>
      </c>
      <c r="F714" s="4" t="s">
        <v>25</v>
      </c>
      <c r="G714" s="4" t="s">
        <v>25</v>
      </c>
      <c r="H714" s="4" t="s">
        <v>25</v>
      </c>
      <c r="I714" s="5">
        <v>44682</v>
      </c>
      <c r="J714" s="6">
        <v>0</v>
      </c>
      <c r="K714" s="6">
        <v>0</v>
      </c>
      <c r="L714" s="6">
        <v>744.93399999999997</v>
      </c>
      <c r="M714" s="6">
        <v>744.93399999999997</v>
      </c>
      <c r="N714" s="6">
        <v>744.93399999999997</v>
      </c>
      <c r="O714" s="6">
        <v>744.93399999999997</v>
      </c>
      <c r="P714" s="6">
        <v>3418</v>
      </c>
      <c r="Q714" s="4" t="s">
        <v>26</v>
      </c>
      <c r="R714" s="4">
        <v>0</v>
      </c>
      <c r="S714" s="4" t="s">
        <v>250</v>
      </c>
      <c r="T714" s="4" t="s">
        <v>495</v>
      </c>
      <c r="U714" s="4">
        <v>0</v>
      </c>
      <c r="V714" s="4">
        <v>18</v>
      </c>
      <c r="W714" s="4">
        <v>55</v>
      </c>
    </row>
    <row r="715" spans="1:23" ht="11.25" customHeight="1" x14ac:dyDescent="0.25">
      <c r="A715" s="4" t="s">
        <v>27</v>
      </c>
      <c r="B715" s="4" t="s">
        <v>22</v>
      </c>
      <c r="C715" s="4" t="s">
        <v>23</v>
      </c>
      <c r="D715" s="4" t="s">
        <v>24</v>
      </c>
      <c r="E715" s="4" t="s">
        <v>30</v>
      </c>
      <c r="F715" s="4" t="s">
        <v>25</v>
      </c>
      <c r="G715" s="4" t="s">
        <v>25</v>
      </c>
      <c r="H715" s="4" t="s">
        <v>25</v>
      </c>
      <c r="I715" s="5">
        <v>44682</v>
      </c>
      <c r="J715" s="6">
        <v>0</v>
      </c>
      <c r="K715" s="6">
        <v>0</v>
      </c>
      <c r="L715" s="6">
        <v>0.09</v>
      </c>
      <c r="M715" s="6">
        <v>0.09</v>
      </c>
      <c r="N715" s="6">
        <v>0.09</v>
      </c>
      <c r="O715" s="6">
        <v>0.09</v>
      </c>
      <c r="P715" s="6">
        <v>3</v>
      </c>
      <c r="Q715" s="4" t="s">
        <v>26</v>
      </c>
      <c r="R715" s="4">
        <v>0</v>
      </c>
      <c r="S715" s="4" t="s">
        <v>250</v>
      </c>
      <c r="T715" s="4" t="s">
        <v>495</v>
      </c>
      <c r="U715" s="4">
        <v>0</v>
      </c>
      <c r="V715" s="4">
        <v>18</v>
      </c>
      <c r="W715" s="4">
        <v>55</v>
      </c>
    </row>
    <row r="716" spans="1:23" ht="11.25" customHeight="1" x14ac:dyDescent="0.25">
      <c r="A716" s="4" t="s">
        <v>28</v>
      </c>
      <c r="B716" s="4" t="s">
        <v>22</v>
      </c>
      <c r="C716" s="4" t="s">
        <v>23</v>
      </c>
      <c r="D716" s="4" t="s">
        <v>24</v>
      </c>
      <c r="E716" s="4" t="s">
        <v>30</v>
      </c>
      <c r="F716" s="4" t="s">
        <v>25</v>
      </c>
      <c r="G716" s="4" t="s">
        <v>25</v>
      </c>
      <c r="H716" s="4" t="s">
        <v>25</v>
      </c>
      <c r="I716" s="5">
        <v>44682</v>
      </c>
      <c r="J716" s="6">
        <v>0</v>
      </c>
      <c r="K716" s="6">
        <v>0</v>
      </c>
      <c r="L716" s="6">
        <v>8.3629999999999995</v>
      </c>
      <c r="M716" s="6">
        <v>8.3629999999999995</v>
      </c>
      <c r="N716" s="6">
        <v>8.3629999999999995</v>
      </c>
      <c r="O716" s="6">
        <v>8.3629999999999995</v>
      </c>
      <c r="P716" s="6">
        <v>72</v>
      </c>
      <c r="Q716" s="4" t="s">
        <v>26</v>
      </c>
      <c r="R716" s="4">
        <v>0</v>
      </c>
      <c r="S716" s="4" t="s">
        <v>250</v>
      </c>
      <c r="T716" s="4" t="s">
        <v>495</v>
      </c>
      <c r="U716" s="4">
        <v>0</v>
      </c>
      <c r="V716" s="4">
        <v>18</v>
      </c>
      <c r="W716" s="4">
        <v>55</v>
      </c>
    </row>
    <row r="717" spans="1:23" ht="11.25" customHeight="1" x14ac:dyDescent="0.25">
      <c r="A717" s="4" t="s">
        <v>21</v>
      </c>
      <c r="B717" s="4" t="s">
        <v>22</v>
      </c>
      <c r="C717" s="4" t="s">
        <v>23</v>
      </c>
      <c r="D717" s="4" t="s">
        <v>24</v>
      </c>
      <c r="E717" s="4" t="s">
        <v>30</v>
      </c>
      <c r="F717" s="4" t="s">
        <v>25</v>
      </c>
      <c r="G717" s="4" t="s">
        <v>25</v>
      </c>
      <c r="H717" s="4" t="s">
        <v>25</v>
      </c>
      <c r="I717" s="5">
        <v>44713</v>
      </c>
      <c r="J717" s="6">
        <v>0</v>
      </c>
      <c r="K717" s="6">
        <v>0</v>
      </c>
      <c r="L717" s="6">
        <v>760.18700000000001</v>
      </c>
      <c r="M717" s="6">
        <v>760.18700000000001</v>
      </c>
      <c r="N717" s="6">
        <v>760.18700000000001</v>
      </c>
      <c r="O717" s="6">
        <v>760.18700000000001</v>
      </c>
      <c r="P717" s="6">
        <v>4296</v>
      </c>
      <c r="Q717" s="4" t="s">
        <v>26</v>
      </c>
      <c r="R717" s="4">
        <v>0</v>
      </c>
      <c r="S717" s="4" t="s">
        <v>251</v>
      </c>
      <c r="T717" s="4" t="s">
        <v>496</v>
      </c>
      <c r="U717" s="4">
        <v>0</v>
      </c>
      <c r="V717" s="4">
        <v>18</v>
      </c>
      <c r="W717" s="4">
        <v>55</v>
      </c>
    </row>
    <row r="718" spans="1:23" ht="11.25" customHeight="1" x14ac:dyDescent="0.25">
      <c r="A718" s="4" t="s">
        <v>27</v>
      </c>
      <c r="B718" s="4" t="s">
        <v>22</v>
      </c>
      <c r="C718" s="4" t="s">
        <v>23</v>
      </c>
      <c r="D718" s="4" t="s">
        <v>24</v>
      </c>
      <c r="E718" s="4" t="s">
        <v>30</v>
      </c>
      <c r="F718" s="4" t="s">
        <v>25</v>
      </c>
      <c r="G718" s="4" t="s">
        <v>25</v>
      </c>
      <c r="H718" s="4" t="s">
        <v>25</v>
      </c>
      <c r="I718" s="5">
        <v>44713</v>
      </c>
      <c r="J718" s="6">
        <v>0</v>
      </c>
      <c r="K718" s="6">
        <v>0</v>
      </c>
      <c r="L718" s="6">
        <v>0.03</v>
      </c>
      <c r="M718" s="6">
        <v>0.03</v>
      </c>
      <c r="N718" s="6">
        <v>0.03</v>
      </c>
      <c r="O718" s="6">
        <v>0.03</v>
      </c>
      <c r="P718" s="6">
        <v>2</v>
      </c>
      <c r="Q718" s="4" t="s">
        <v>26</v>
      </c>
      <c r="R718" s="4">
        <v>0</v>
      </c>
      <c r="S718" s="4" t="s">
        <v>251</v>
      </c>
      <c r="T718" s="4" t="s">
        <v>496</v>
      </c>
      <c r="U718" s="4">
        <v>0</v>
      </c>
      <c r="V718" s="4">
        <v>18</v>
      </c>
      <c r="W718" s="4">
        <v>55</v>
      </c>
    </row>
    <row r="719" spans="1:23" ht="11.25" customHeight="1" x14ac:dyDescent="0.25">
      <c r="A719" s="4" t="s">
        <v>28</v>
      </c>
      <c r="B719" s="4" t="s">
        <v>22</v>
      </c>
      <c r="C719" s="4" t="s">
        <v>23</v>
      </c>
      <c r="D719" s="4" t="s">
        <v>24</v>
      </c>
      <c r="E719" s="4" t="s">
        <v>30</v>
      </c>
      <c r="F719" s="4" t="s">
        <v>25</v>
      </c>
      <c r="G719" s="4" t="s">
        <v>25</v>
      </c>
      <c r="H719" s="4" t="s">
        <v>25</v>
      </c>
      <c r="I719" s="5">
        <v>44713</v>
      </c>
      <c r="J719" s="6">
        <v>0</v>
      </c>
      <c r="K719" s="6">
        <v>0</v>
      </c>
      <c r="L719" s="6">
        <v>8.2219999999999995</v>
      </c>
      <c r="M719" s="6">
        <v>8.2219999999999995</v>
      </c>
      <c r="N719" s="6">
        <v>8.2219999999999995</v>
      </c>
      <c r="O719" s="6">
        <v>8.2219999999999995</v>
      </c>
      <c r="P719" s="6">
        <v>87</v>
      </c>
      <c r="Q719" s="4" t="s">
        <v>26</v>
      </c>
      <c r="R719" s="4">
        <v>0</v>
      </c>
      <c r="S719" s="4" t="s">
        <v>251</v>
      </c>
      <c r="T719" s="4" t="s">
        <v>496</v>
      </c>
      <c r="U719" s="4">
        <v>0</v>
      </c>
      <c r="V719" s="4">
        <v>18</v>
      </c>
      <c r="W719" s="4">
        <v>55</v>
      </c>
    </row>
    <row r="720" spans="1:23" ht="11.25" customHeight="1" x14ac:dyDescent="0.25">
      <c r="A720" s="4" t="s">
        <v>21</v>
      </c>
      <c r="B720" s="4" t="s">
        <v>22</v>
      </c>
      <c r="C720" s="4" t="s">
        <v>23</v>
      </c>
      <c r="D720" s="4" t="s">
        <v>24</v>
      </c>
      <c r="E720" s="4" t="s">
        <v>30</v>
      </c>
      <c r="F720" s="4" t="s">
        <v>25</v>
      </c>
      <c r="G720" s="4" t="s">
        <v>25</v>
      </c>
      <c r="H720" s="4" t="s">
        <v>25</v>
      </c>
      <c r="I720" s="5">
        <v>44743</v>
      </c>
      <c r="J720" s="6">
        <v>0</v>
      </c>
      <c r="K720" s="6">
        <v>0</v>
      </c>
      <c r="L720" s="6">
        <v>627.928</v>
      </c>
      <c r="M720" s="6">
        <v>627.928</v>
      </c>
      <c r="N720" s="6">
        <v>627.928</v>
      </c>
      <c r="O720" s="6">
        <v>627.928</v>
      </c>
      <c r="P720" s="6">
        <v>4086</v>
      </c>
      <c r="Q720" s="4" t="s">
        <v>26</v>
      </c>
      <c r="R720" s="4">
        <v>0</v>
      </c>
      <c r="S720" s="4" t="s">
        <v>252</v>
      </c>
      <c r="T720" s="4" t="s">
        <v>497</v>
      </c>
      <c r="U720" s="4">
        <v>0</v>
      </c>
      <c r="V720" s="4">
        <v>18</v>
      </c>
      <c r="W720" s="4">
        <v>55</v>
      </c>
    </row>
    <row r="721" spans="1:23" ht="11.25" customHeight="1" x14ac:dyDescent="0.25">
      <c r="A721" s="4" t="s">
        <v>27</v>
      </c>
      <c r="B721" s="4" t="s">
        <v>22</v>
      </c>
      <c r="C721" s="4" t="s">
        <v>23</v>
      </c>
      <c r="D721" s="4" t="s">
        <v>24</v>
      </c>
      <c r="E721" s="4" t="s">
        <v>30</v>
      </c>
      <c r="F721" s="4" t="s">
        <v>25</v>
      </c>
      <c r="G721" s="4" t="s">
        <v>25</v>
      </c>
      <c r="H721" s="4" t="s">
        <v>25</v>
      </c>
      <c r="I721" s="5">
        <v>44743</v>
      </c>
      <c r="J721" s="6">
        <v>0</v>
      </c>
      <c r="K721" s="6">
        <v>0</v>
      </c>
      <c r="L721" s="6">
        <v>9.8000000000000004E-2</v>
      </c>
      <c r="M721" s="6">
        <v>9.8000000000000004E-2</v>
      </c>
      <c r="N721" s="6">
        <v>9.8000000000000004E-2</v>
      </c>
      <c r="O721" s="6">
        <v>9.8000000000000004E-2</v>
      </c>
      <c r="P721" s="6">
        <v>1</v>
      </c>
      <c r="Q721" s="4" t="s">
        <v>26</v>
      </c>
      <c r="R721" s="4">
        <v>0</v>
      </c>
      <c r="S721" s="4" t="s">
        <v>252</v>
      </c>
      <c r="T721" s="4" t="s">
        <v>497</v>
      </c>
      <c r="U721" s="4">
        <v>0</v>
      </c>
      <c r="V721" s="4">
        <v>18</v>
      </c>
      <c r="W721" s="4">
        <v>55</v>
      </c>
    </row>
    <row r="722" spans="1:23" ht="11.25" customHeight="1" x14ac:dyDescent="0.25">
      <c r="A722" s="4" t="s">
        <v>28</v>
      </c>
      <c r="B722" s="4" t="s">
        <v>22</v>
      </c>
      <c r="C722" s="4" t="s">
        <v>23</v>
      </c>
      <c r="D722" s="4" t="s">
        <v>24</v>
      </c>
      <c r="E722" s="4" t="s">
        <v>30</v>
      </c>
      <c r="F722" s="4" t="s">
        <v>25</v>
      </c>
      <c r="G722" s="4" t="s">
        <v>25</v>
      </c>
      <c r="H722" s="4" t="s">
        <v>25</v>
      </c>
      <c r="I722" s="5">
        <v>44743</v>
      </c>
      <c r="J722" s="6">
        <v>0</v>
      </c>
      <c r="K722" s="6">
        <v>0</v>
      </c>
      <c r="L722" s="6">
        <v>7.0810000000000004</v>
      </c>
      <c r="M722" s="6">
        <v>7.0810000000000004</v>
      </c>
      <c r="N722" s="6">
        <v>7.0810000000000004</v>
      </c>
      <c r="O722" s="6">
        <v>7.0810000000000004</v>
      </c>
      <c r="P722" s="6">
        <v>72</v>
      </c>
      <c r="Q722" s="4" t="s">
        <v>26</v>
      </c>
      <c r="R722" s="4">
        <v>0</v>
      </c>
      <c r="S722" s="4" t="s">
        <v>252</v>
      </c>
      <c r="T722" s="4" t="s">
        <v>497</v>
      </c>
      <c r="U722" s="4">
        <v>0</v>
      </c>
      <c r="V722" s="4">
        <v>18</v>
      </c>
      <c r="W722" s="4">
        <v>55</v>
      </c>
    </row>
    <row r="723" spans="1:23" ht="11.25" customHeight="1" x14ac:dyDescent="0.25">
      <c r="A723" s="4" t="s">
        <v>56</v>
      </c>
      <c r="B723" s="4" t="s">
        <v>22</v>
      </c>
      <c r="C723" s="4" t="s">
        <v>23</v>
      </c>
      <c r="D723" s="4" t="s">
        <v>24</v>
      </c>
      <c r="E723" s="4" t="s">
        <v>30</v>
      </c>
      <c r="F723" s="4" t="s">
        <v>25</v>
      </c>
      <c r="G723" s="4" t="s">
        <v>25</v>
      </c>
      <c r="H723" s="4" t="s">
        <v>25</v>
      </c>
      <c r="I723" s="5">
        <v>44774</v>
      </c>
      <c r="J723" s="6">
        <v>0</v>
      </c>
      <c r="K723" s="6">
        <v>0</v>
      </c>
      <c r="L723" s="6">
        <v>627.928</v>
      </c>
      <c r="M723" s="6">
        <v>627.928</v>
      </c>
      <c r="N723" s="6">
        <v>627.928</v>
      </c>
      <c r="O723" s="6">
        <v>627.928</v>
      </c>
      <c r="P723" s="6">
        <v>4086</v>
      </c>
      <c r="Q723" s="4" t="s">
        <v>26</v>
      </c>
      <c r="R723" s="4">
        <v>0</v>
      </c>
      <c r="S723" s="4" t="s">
        <v>253</v>
      </c>
      <c r="T723" s="4" t="s">
        <v>498</v>
      </c>
      <c r="U723" s="4">
        <v>0</v>
      </c>
      <c r="V723" s="4">
        <v>18</v>
      </c>
      <c r="W723" s="4">
        <v>55</v>
      </c>
    </row>
    <row r="724" spans="1:23" ht="11.25" customHeight="1" x14ac:dyDescent="0.25">
      <c r="A724" s="4" t="s">
        <v>56</v>
      </c>
      <c r="B724" s="4" t="s">
        <v>22</v>
      </c>
      <c r="C724" s="4" t="s">
        <v>23</v>
      </c>
      <c r="D724" s="4" t="s">
        <v>24</v>
      </c>
      <c r="E724" s="4" t="s">
        <v>30</v>
      </c>
      <c r="F724" s="4" t="s">
        <v>25</v>
      </c>
      <c r="G724" s="4" t="s">
        <v>25</v>
      </c>
      <c r="H724" s="4" t="s">
        <v>25</v>
      </c>
      <c r="I724" s="5">
        <v>44774</v>
      </c>
      <c r="J724" s="6">
        <v>0</v>
      </c>
      <c r="K724" s="6">
        <v>0</v>
      </c>
      <c r="L724" s="6">
        <v>9.8000000000000004E-2</v>
      </c>
      <c r="M724" s="6">
        <v>9.8000000000000004E-2</v>
      </c>
      <c r="N724" s="6">
        <v>9.8000000000000004E-2</v>
      </c>
      <c r="O724" s="6">
        <v>9.8000000000000004E-2</v>
      </c>
      <c r="P724" s="6">
        <v>1</v>
      </c>
      <c r="Q724" s="4" t="s">
        <v>26</v>
      </c>
      <c r="R724" s="4">
        <v>0</v>
      </c>
      <c r="S724" s="4" t="s">
        <v>253</v>
      </c>
      <c r="T724" s="4" t="s">
        <v>498</v>
      </c>
      <c r="U724" s="4">
        <v>0</v>
      </c>
      <c r="V724" s="4">
        <v>18</v>
      </c>
      <c r="W724" s="4">
        <v>55</v>
      </c>
    </row>
    <row r="725" spans="1:23" ht="11.25" customHeight="1" x14ac:dyDescent="0.25">
      <c r="A725" s="4" t="s">
        <v>56</v>
      </c>
      <c r="B725" s="4" t="s">
        <v>22</v>
      </c>
      <c r="C725" s="4" t="s">
        <v>23</v>
      </c>
      <c r="D725" s="4" t="s">
        <v>24</v>
      </c>
      <c r="E725" s="4" t="s">
        <v>30</v>
      </c>
      <c r="F725" s="4" t="s">
        <v>25</v>
      </c>
      <c r="G725" s="4" t="s">
        <v>25</v>
      </c>
      <c r="H725" s="4" t="s">
        <v>25</v>
      </c>
      <c r="I725" s="5">
        <v>44774</v>
      </c>
      <c r="J725" s="6">
        <v>0</v>
      </c>
      <c r="K725" s="6">
        <v>0</v>
      </c>
      <c r="L725" s="6">
        <v>7.0810000000000004</v>
      </c>
      <c r="M725" s="6">
        <v>7.0810000000000004</v>
      </c>
      <c r="N725" s="6">
        <v>7.0810000000000004</v>
      </c>
      <c r="O725" s="6">
        <v>7.0810000000000004</v>
      </c>
      <c r="P725" s="6">
        <v>72</v>
      </c>
      <c r="Q725" s="4" t="s">
        <v>26</v>
      </c>
      <c r="R725" s="4">
        <v>0</v>
      </c>
      <c r="S725" s="4" t="s">
        <v>253</v>
      </c>
      <c r="T725" s="4" t="s">
        <v>498</v>
      </c>
      <c r="U725" s="4">
        <v>0</v>
      </c>
      <c r="V725" s="4">
        <v>18</v>
      </c>
      <c r="W725" s="4">
        <v>55</v>
      </c>
    </row>
    <row r="726" spans="1:23" ht="11.25" customHeight="1" x14ac:dyDescent="0.25">
      <c r="A726" s="4" t="s">
        <v>21</v>
      </c>
      <c r="B726" s="4" t="s">
        <v>22</v>
      </c>
      <c r="C726" s="4" t="s">
        <v>23</v>
      </c>
      <c r="D726" s="4" t="s">
        <v>24</v>
      </c>
      <c r="E726" s="4" t="s">
        <v>31</v>
      </c>
      <c r="F726" s="4" t="s">
        <v>25</v>
      </c>
      <c r="G726" s="4" t="s">
        <v>25</v>
      </c>
      <c r="H726" s="4" t="s">
        <v>25</v>
      </c>
      <c r="I726" s="5">
        <v>44440</v>
      </c>
      <c r="J726" s="6">
        <v>0</v>
      </c>
      <c r="K726" s="6">
        <v>0</v>
      </c>
      <c r="L726" s="6">
        <v>450.00700000000001</v>
      </c>
      <c r="M726" s="6">
        <v>450.00700000000001</v>
      </c>
      <c r="N726" s="6">
        <v>450.00700000000001</v>
      </c>
      <c r="O726" s="6">
        <v>450.00700000000001</v>
      </c>
      <c r="P726" s="6">
        <v>5438</v>
      </c>
      <c r="Q726" s="4" t="s">
        <v>26</v>
      </c>
      <c r="R726" s="4">
        <v>0</v>
      </c>
      <c r="S726" s="4" t="s">
        <v>254</v>
      </c>
      <c r="T726" s="4" t="s">
        <v>499</v>
      </c>
      <c r="U726" s="4">
        <v>0</v>
      </c>
      <c r="V726" s="4">
        <v>19</v>
      </c>
      <c r="W726" s="4">
        <v>56</v>
      </c>
    </row>
    <row r="727" spans="1:23" ht="11.25" customHeight="1" x14ac:dyDescent="0.25">
      <c r="A727" s="4" t="s">
        <v>28</v>
      </c>
      <c r="B727" s="4" t="s">
        <v>22</v>
      </c>
      <c r="C727" s="4" t="s">
        <v>23</v>
      </c>
      <c r="D727" s="4" t="s">
        <v>24</v>
      </c>
      <c r="E727" s="4" t="s">
        <v>31</v>
      </c>
      <c r="F727" s="4" t="s">
        <v>25</v>
      </c>
      <c r="G727" s="4" t="s">
        <v>25</v>
      </c>
      <c r="H727" s="4" t="s">
        <v>25</v>
      </c>
      <c r="I727" s="5">
        <v>44440</v>
      </c>
      <c r="J727" s="6">
        <v>0</v>
      </c>
      <c r="K727" s="6">
        <v>0</v>
      </c>
      <c r="L727" s="6">
        <v>4.25</v>
      </c>
      <c r="M727" s="6">
        <v>4.25</v>
      </c>
      <c r="N727" s="6">
        <v>4.25</v>
      </c>
      <c r="O727" s="6">
        <v>4.25</v>
      </c>
      <c r="P727" s="6">
        <v>75</v>
      </c>
      <c r="Q727" s="4" t="s">
        <v>26</v>
      </c>
      <c r="R727" s="4">
        <v>0</v>
      </c>
      <c r="S727" s="4" t="s">
        <v>254</v>
      </c>
      <c r="T727" s="4" t="s">
        <v>499</v>
      </c>
      <c r="U727" s="4">
        <v>0</v>
      </c>
      <c r="V727" s="4">
        <v>19</v>
      </c>
      <c r="W727" s="4">
        <v>56</v>
      </c>
    </row>
    <row r="728" spans="1:23" ht="11.25" customHeight="1" x14ac:dyDescent="0.25">
      <c r="A728" s="4" t="s">
        <v>21</v>
      </c>
      <c r="B728" s="4" t="s">
        <v>22</v>
      </c>
      <c r="C728" s="4" t="s">
        <v>23</v>
      </c>
      <c r="D728" s="4" t="s">
        <v>24</v>
      </c>
      <c r="E728" s="4" t="s">
        <v>31</v>
      </c>
      <c r="F728" s="4" t="s">
        <v>25</v>
      </c>
      <c r="G728" s="4" t="s">
        <v>25</v>
      </c>
      <c r="H728" s="4" t="s">
        <v>25</v>
      </c>
      <c r="I728" s="5">
        <v>44470</v>
      </c>
      <c r="J728" s="6">
        <v>0</v>
      </c>
      <c r="K728" s="6">
        <v>0</v>
      </c>
      <c r="L728" s="6">
        <v>491.18599999999998</v>
      </c>
      <c r="M728" s="6">
        <v>491.18599999999998</v>
      </c>
      <c r="N728" s="6">
        <v>491.18599999999998</v>
      </c>
      <c r="O728" s="6">
        <v>491.18599999999998</v>
      </c>
      <c r="P728" s="6">
        <v>5567</v>
      </c>
      <c r="Q728" s="4" t="s">
        <v>26</v>
      </c>
      <c r="R728" s="4">
        <v>0</v>
      </c>
      <c r="S728" s="4" t="s">
        <v>255</v>
      </c>
      <c r="T728" s="4" t="s">
        <v>500</v>
      </c>
      <c r="U728" s="4">
        <v>0</v>
      </c>
      <c r="V728" s="4">
        <v>19</v>
      </c>
      <c r="W728" s="4">
        <v>56</v>
      </c>
    </row>
    <row r="729" spans="1:23" ht="11.25" customHeight="1" x14ac:dyDescent="0.25">
      <c r="A729" s="4" t="s">
        <v>28</v>
      </c>
      <c r="B729" s="4" t="s">
        <v>22</v>
      </c>
      <c r="C729" s="4" t="s">
        <v>23</v>
      </c>
      <c r="D729" s="4" t="s">
        <v>24</v>
      </c>
      <c r="E729" s="4" t="s">
        <v>31</v>
      </c>
      <c r="F729" s="4" t="s">
        <v>25</v>
      </c>
      <c r="G729" s="4" t="s">
        <v>25</v>
      </c>
      <c r="H729" s="4" t="s">
        <v>25</v>
      </c>
      <c r="I729" s="5">
        <v>44470</v>
      </c>
      <c r="J729" s="6">
        <v>0</v>
      </c>
      <c r="K729" s="6">
        <v>0</v>
      </c>
      <c r="L729" s="6">
        <v>5.4349999999999996</v>
      </c>
      <c r="M729" s="6">
        <v>5.4349999999999996</v>
      </c>
      <c r="N729" s="6">
        <v>5.4349999999999996</v>
      </c>
      <c r="O729" s="6">
        <v>5.4349999999999996</v>
      </c>
      <c r="P729" s="6">
        <v>78</v>
      </c>
      <c r="Q729" s="4" t="s">
        <v>26</v>
      </c>
      <c r="R729" s="4">
        <v>0</v>
      </c>
      <c r="S729" s="4" t="s">
        <v>255</v>
      </c>
      <c r="T729" s="4" t="s">
        <v>500</v>
      </c>
      <c r="U729" s="4">
        <v>0</v>
      </c>
      <c r="V729" s="4">
        <v>19</v>
      </c>
      <c r="W729" s="4">
        <v>56</v>
      </c>
    </row>
    <row r="730" spans="1:23" ht="11.25" customHeight="1" x14ac:dyDescent="0.25">
      <c r="A730" s="4" t="s">
        <v>21</v>
      </c>
      <c r="B730" s="4" t="s">
        <v>22</v>
      </c>
      <c r="C730" s="4" t="s">
        <v>23</v>
      </c>
      <c r="D730" s="4" t="s">
        <v>24</v>
      </c>
      <c r="E730" s="4" t="s">
        <v>31</v>
      </c>
      <c r="F730" s="4" t="s">
        <v>25</v>
      </c>
      <c r="G730" s="4" t="s">
        <v>25</v>
      </c>
      <c r="H730" s="4" t="s">
        <v>25</v>
      </c>
      <c r="I730" s="5">
        <v>44501</v>
      </c>
      <c r="J730" s="6">
        <v>0</v>
      </c>
      <c r="K730" s="6">
        <v>0</v>
      </c>
      <c r="L730" s="6">
        <v>483.25599999999997</v>
      </c>
      <c r="M730" s="6">
        <v>483.25599999999997</v>
      </c>
      <c r="N730" s="6">
        <v>483.25599999999997</v>
      </c>
      <c r="O730" s="6">
        <v>483.25599999999997</v>
      </c>
      <c r="P730" s="6">
        <v>5716</v>
      </c>
      <c r="Q730" s="4" t="s">
        <v>26</v>
      </c>
      <c r="R730" s="4">
        <v>0</v>
      </c>
      <c r="S730" s="4" t="s">
        <v>256</v>
      </c>
      <c r="T730" s="4" t="s">
        <v>501</v>
      </c>
      <c r="U730" s="4">
        <v>0</v>
      </c>
      <c r="V730" s="4">
        <v>19</v>
      </c>
      <c r="W730" s="4">
        <v>56</v>
      </c>
    </row>
    <row r="731" spans="1:23" ht="11.25" customHeight="1" x14ac:dyDescent="0.25">
      <c r="A731" s="4" t="s">
        <v>28</v>
      </c>
      <c r="B731" s="4" t="s">
        <v>22</v>
      </c>
      <c r="C731" s="4" t="s">
        <v>23</v>
      </c>
      <c r="D731" s="4" t="s">
        <v>24</v>
      </c>
      <c r="E731" s="4" t="s">
        <v>31</v>
      </c>
      <c r="F731" s="4" t="s">
        <v>25</v>
      </c>
      <c r="G731" s="4" t="s">
        <v>25</v>
      </c>
      <c r="H731" s="4" t="s">
        <v>25</v>
      </c>
      <c r="I731" s="5">
        <v>44501</v>
      </c>
      <c r="J731" s="6">
        <v>0</v>
      </c>
      <c r="K731" s="6">
        <v>0</v>
      </c>
      <c r="L731" s="6">
        <v>4.3049999999999997</v>
      </c>
      <c r="M731" s="6">
        <v>4.3049999999999997</v>
      </c>
      <c r="N731" s="6">
        <v>4.3049999999999997</v>
      </c>
      <c r="O731" s="6">
        <v>4.3049999999999997</v>
      </c>
      <c r="P731" s="6">
        <v>78</v>
      </c>
      <c r="Q731" s="4" t="s">
        <v>26</v>
      </c>
      <c r="R731" s="4">
        <v>0</v>
      </c>
      <c r="S731" s="4" t="s">
        <v>256</v>
      </c>
      <c r="T731" s="4" t="s">
        <v>501</v>
      </c>
      <c r="U731" s="4">
        <v>0</v>
      </c>
      <c r="V731" s="4">
        <v>19</v>
      </c>
      <c r="W731" s="4">
        <v>56</v>
      </c>
    </row>
    <row r="732" spans="1:23" ht="11.25" customHeight="1" x14ac:dyDescent="0.25">
      <c r="A732" s="4" t="s">
        <v>21</v>
      </c>
      <c r="B732" s="4" t="s">
        <v>22</v>
      </c>
      <c r="C732" s="4" t="s">
        <v>23</v>
      </c>
      <c r="D732" s="4" t="s">
        <v>24</v>
      </c>
      <c r="E732" s="4" t="s">
        <v>31</v>
      </c>
      <c r="F732" s="4" t="s">
        <v>25</v>
      </c>
      <c r="G732" s="4" t="s">
        <v>25</v>
      </c>
      <c r="H732" s="4" t="s">
        <v>25</v>
      </c>
      <c r="I732" s="5">
        <v>44531</v>
      </c>
      <c r="J732" s="6">
        <v>0</v>
      </c>
      <c r="K732" s="6">
        <v>0</v>
      </c>
      <c r="L732" s="6">
        <v>512.75900000000001</v>
      </c>
      <c r="M732" s="6">
        <v>512.75900000000001</v>
      </c>
      <c r="N732" s="6">
        <v>512.75900000000001</v>
      </c>
      <c r="O732" s="6">
        <v>512.75900000000001</v>
      </c>
      <c r="P732" s="6">
        <v>5890</v>
      </c>
      <c r="Q732" s="4" t="s">
        <v>26</v>
      </c>
      <c r="R732" s="4">
        <v>0</v>
      </c>
      <c r="S732" s="4" t="s">
        <v>257</v>
      </c>
      <c r="T732" s="4" t="s">
        <v>502</v>
      </c>
      <c r="U732" s="4">
        <v>0</v>
      </c>
      <c r="V732" s="4">
        <v>19</v>
      </c>
      <c r="W732" s="4">
        <v>56</v>
      </c>
    </row>
    <row r="733" spans="1:23" ht="11.25" customHeight="1" x14ac:dyDescent="0.25">
      <c r="A733" s="4" t="s">
        <v>27</v>
      </c>
      <c r="B733" s="4" t="s">
        <v>22</v>
      </c>
      <c r="C733" s="4" t="s">
        <v>23</v>
      </c>
      <c r="D733" s="4" t="s">
        <v>24</v>
      </c>
      <c r="E733" s="4" t="s">
        <v>31</v>
      </c>
      <c r="F733" s="4" t="s">
        <v>25</v>
      </c>
      <c r="G733" s="4" t="s">
        <v>25</v>
      </c>
      <c r="H733" s="4" t="s">
        <v>25</v>
      </c>
      <c r="I733" s="5">
        <v>44531</v>
      </c>
      <c r="J733" s="6">
        <v>0</v>
      </c>
      <c r="K733" s="6">
        <v>0</v>
      </c>
      <c r="L733" s="6">
        <v>-9.7000000000000003E-2</v>
      </c>
      <c r="M733" s="6">
        <v>-9.7000000000000003E-2</v>
      </c>
      <c r="N733" s="6">
        <v>-9.7000000000000003E-2</v>
      </c>
      <c r="O733" s="6">
        <v>-9.7000000000000003E-2</v>
      </c>
      <c r="P733" s="6">
        <v>3</v>
      </c>
      <c r="Q733" s="4" t="s">
        <v>26</v>
      </c>
      <c r="R733" s="4">
        <v>0</v>
      </c>
      <c r="S733" s="4" t="s">
        <v>257</v>
      </c>
      <c r="T733" s="4" t="s">
        <v>502</v>
      </c>
      <c r="U733" s="4">
        <v>0</v>
      </c>
      <c r="V733" s="4">
        <v>19</v>
      </c>
      <c r="W733" s="4">
        <v>56</v>
      </c>
    </row>
    <row r="734" spans="1:23" ht="11.25" customHeight="1" x14ac:dyDescent="0.25">
      <c r="A734" s="4" t="s">
        <v>28</v>
      </c>
      <c r="B734" s="4" t="s">
        <v>22</v>
      </c>
      <c r="C734" s="4" t="s">
        <v>23</v>
      </c>
      <c r="D734" s="4" t="s">
        <v>24</v>
      </c>
      <c r="E734" s="4" t="s">
        <v>31</v>
      </c>
      <c r="F734" s="4" t="s">
        <v>25</v>
      </c>
      <c r="G734" s="4" t="s">
        <v>25</v>
      </c>
      <c r="H734" s="4" t="s">
        <v>25</v>
      </c>
      <c r="I734" s="5">
        <v>44531</v>
      </c>
      <c r="J734" s="6">
        <v>0</v>
      </c>
      <c r="K734" s="6">
        <v>0</v>
      </c>
      <c r="L734" s="6">
        <v>3.9460000000000002</v>
      </c>
      <c r="M734" s="6">
        <v>3.9460000000000002</v>
      </c>
      <c r="N734" s="6">
        <v>3.9460000000000002</v>
      </c>
      <c r="O734" s="6">
        <v>3.9460000000000002</v>
      </c>
      <c r="P734" s="6">
        <v>71</v>
      </c>
      <c r="Q734" s="4" t="s">
        <v>26</v>
      </c>
      <c r="R734" s="4">
        <v>0</v>
      </c>
      <c r="S734" s="4" t="s">
        <v>257</v>
      </c>
      <c r="T734" s="4" t="s">
        <v>502</v>
      </c>
      <c r="U734" s="4">
        <v>0</v>
      </c>
      <c r="V734" s="4">
        <v>19</v>
      </c>
      <c r="W734" s="4">
        <v>56</v>
      </c>
    </row>
    <row r="735" spans="1:23" ht="11.25" customHeight="1" x14ac:dyDescent="0.25">
      <c r="A735" s="4" t="s">
        <v>21</v>
      </c>
      <c r="B735" s="4" t="s">
        <v>22</v>
      </c>
      <c r="C735" s="4" t="s">
        <v>23</v>
      </c>
      <c r="D735" s="4" t="s">
        <v>24</v>
      </c>
      <c r="E735" s="4" t="s">
        <v>31</v>
      </c>
      <c r="F735" s="4" t="s">
        <v>25</v>
      </c>
      <c r="G735" s="4" t="s">
        <v>25</v>
      </c>
      <c r="H735" s="4" t="s">
        <v>25</v>
      </c>
      <c r="I735" s="5">
        <v>44562</v>
      </c>
      <c r="J735" s="6">
        <v>0</v>
      </c>
      <c r="K735" s="6">
        <v>0</v>
      </c>
      <c r="L735" s="6">
        <v>575.22</v>
      </c>
      <c r="M735" s="6">
        <v>575.22</v>
      </c>
      <c r="N735" s="6">
        <v>575.22</v>
      </c>
      <c r="O735" s="6">
        <v>575.22</v>
      </c>
      <c r="P735" s="6">
        <v>5935</v>
      </c>
      <c r="Q735" s="4" t="s">
        <v>26</v>
      </c>
      <c r="R735" s="4">
        <v>0</v>
      </c>
      <c r="S735" s="4" t="s">
        <v>258</v>
      </c>
      <c r="T735" s="4" t="s">
        <v>503</v>
      </c>
      <c r="U735" s="4">
        <v>0</v>
      </c>
      <c r="V735" s="4">
        <v>19</v>
      </c>
      <c r="W735" s="4">
        <v>56</v>
      </c>
    </row>
    <row r="736" spans="1:23" ht="11.25" customHeight="1" x14ac:dyDescent="0.25">
      <c r="A736" s="4" t="s">
        <v>27</v>
      </c>
      <c r="B736" s="4" t="s">
        <v>22</v>
      </c>
      <c r="C736" s="4" t="s">
        <v>23</v>
      </c>
      <c r="D736" s="4" t="s">
        <v>24</v>
      </c>
      <c r="E736" s="4" t="s">
        <v>31</v>
      </c>
      <c r="F736" s="4" t="s">
        <v>25</v>
      </c>
      <c r="G736" s="4" t="s">
        <v>25</v>
      </c>
      <c r="H736" s="4" t="s">
        <v>25</v>
      </c>
      <c r="I736" s="5">
        <v>44562</v>
      </c>
      <c r="J736" s="6">
        <v>0</v>
      </c>
      <c r="K736" s="6">
        <v>0</v>
      </c>
      <c r="L736" s="6">
        <v>2.1000000000000001E-2</v>
      </c>
      <c r="M736" s="6">
        <v>2.1000000000000001E-2</v>
      </c>
      <c r="N736" s="6">
        <v>2.1000000000000001E-2</v>
      </c>
      <c r="O736" s="6">
        <v>2.1000000000000001E-2</v>
      </c>
      <c r="P736" s="6">
        <v>2</v>
      </c>
      <c r="Q736" s="4" t="s">
        <v>26</v>
      </c>
      <c r="R736" s="4">
        <v>0</v>
      </c>
      <c r="S736" s="4" t="s">
        <v>258</v>
      </c>
      <c r="T736" s="4" t="s">
        <v>503</v>
      </c>
      <c r="U736" s="4">
        <v>0</v>
      </c>
      <c r="V736" s="4">
        <v>19</v>
      </c>
      <c r="W736" s="4">
        <v>56</v>
      </c>
    </row>
    <row r="737" spans="1:23" ht="11.25" customHeight="1" x14ac:dyDescent="0.25">
      <c r="A737" s="4" t="s">
        <v>28</v>
      </c>
      <c r="B737" s="4" t="s">
        <v>22</v>
      </c>
      <c r="C737" s="4" t="s">
        <v>23</v>
      </c>
      <c r="D737" s="4" t="s">
        <v>24</v>
      </c>
      <c r="E737" s="4" t="s">
        <v>31</v>
      </c>
      <c r="F737" s="4" t="s">
        <v>25</v>
      </c>
      <c r="G737" s="4" t="s">
        <v>25</v>
      </c>
      <c r="H737" s="4" t="s">
        <v>25</v>
      </c>
      <c r="I737" s="5">
        <v>44562</v>
      </c>
      <c r="J737" s="6">
        <v>0</v>
      </c>
      <c r="K737" s="6">
        <v>0</v>
      </c>
      <c r="L737" s="6">
        <v>5.07</v>
      </c>
      <c r="M737" s="6">
        <v>5.07</v>
      </c>
      <c r="N737" s="6">
        <v>5.07</v>
      </c>
      <c r="O737" s="6">
        <v>5.07</v>
      </c>
      <c r="P737" s="6">
        <v>75</v>
      </c>
      <c r="Q737" s="4" t="s">
        <v>26</v>
      </c>
      <c r="R737" s="4">
        <v>0</v>
      </c>
      <c r="S737" s="4" t="s">
        <v>258</v>
      </c>
      <c r="T737" s="4" t="s">
        <v>503</v>
      </c>
      <c r="U737" s="4">
        <v>0</v>
      </c>
      <c r="V737" s="4">
        <v>19</v>
      </c>
      <c r="W737" s="4">
        <v>56</v>
      </c>
    </row>
    <row r="738" spans="1:23" ht="11.25" customHeight="1" x14ac:dyDescent="0.25">
      <c r="A738" s="4" t="s">
        <v>21</v>
      </c>
      <c r="B738" s="4" t="s">
        <v>22</v>
      </c>
      <c r="C738" s="4" t="s">
        <v>23</v>
      </c>
      <c r="D738" s="4" t="s">
        <v>24</v>
      </c>
      <c r="E738" s="4" t="s">
        <v>31</v>
      </c>
      <c r="F738" s="4" t="s">
        <v>25</v>
      </c>
      <c r="G738" s="4" t="s">
        <v>25</v>
      </c>
      <c r="H738" s="4" t="s">
        <v>25</v>
      </c>
      <c r="I738" s="5">
        <v>44593</v>
      </c>
      <c r="J738" s="6">
        <v>0</v>
      </c>
      <c r="K738" s="6">
        <v>0</v>
      </c>
      <c r="L738" s="6">
        <v>631.27800000000002</v>
      </c>
      <c r="M738" s="6">
        <v>631.27800000000002</v>
      </c>
      <c r="N738" s="6">
        <v>631.27800000000002</v>
      </c>
      <c r="O738" s="6">
        <v>631.27800000000002</v>
      </c>
      <c r="P738" s="6">
        <v>5962</v>
      </c>
      <c r="Q738" s="4" t="s">
        <v>26</v>
      </c>
      <c r="R738" s="4">
        <v>0</v>
      </c>
      <c r="S738" s="4" t="s">
        <v>259</v>
      </c>
      <c r="T738" s="4" t="s">
        <v>504</v>
      </c>
      <c r="U738" s="4">
        <v>0</v>
      </c>
      <c r="V738" s="4">
        <v>19</v>
      </c>
      <c r="W738" s="4">
        <v>56</v>
      </c>
    </row>
    <row r="739" spans="1:23" ht="11.25" customHeight="1" x14ac:dyDescent="0.25">
      <c r="A739" s="4" t="s">
        <v>28</v>
      </c>
      <c r="B739" s="4" t="s">
        <v>22</v>
      </c>
      <c r="C739" s="4" t="s">
        <v>23</v>
      </c>
      <c r="D739" s="4" t="s">
        <v>24</v>
      </c>
      <c r="E739" s="4" t="s">
        <v>31</v>
      </c>
      <c r="F739" s="4" t="s">
        <v>25</v>
      </c>
      <c r="G739" s="4" t="s">
        <v>25</v>
      </c>
      <c r="H739" s="4" t="s">
        <v>25</v>
      </c>
      <c r="I739" s="5">
        <v>44593</v>
      </c>
      <c r="J739" s="6">
        <v>0</v>
      </c>
      <c r="K739" s="6">
        <v>0</v>
      </c>
      <c r="L739" s="6">
        <v>5.9489999999999998</v>
      </c>
      <c r="M739" s="6">
        <v>5.9489999999999998</v>
      </c>
      <c r="N739" s="6">
        <v>5.9489999999999998</v>
      </c>
      <c r="O739" s="6">
        <v>5.9489999999999998</v>
      </c>
      <c r="P739" s="6">
        <v>83</v>
      </c>
      <c r="Q739" s="4" t="s">
        <v>26</v>
      </c>
      <c r="R739" s="4">
        <v>0</v>
      </c>
      <c r="S739" s="4" t="s">
        <v>259</v>
      </c>
      <c r="T739" s="4" t="s">
        <v>504</v>
      </c>
      <c r="U739" s="4">
        <v>0</v>
      </c>
      <c r="V739" s="4">
        <v>19</v>
      </c>
      <c r="W739" s="4">
        <v>56</v>
      </c>
    </row>
    <row r="740" spans="1:23" ht="11.25" customHeight="1" x14ac:dyDescent="0.25">
      <c r="A740" s="4" t="s">
        <v>21</v>
      </c>
      <c r="B740" s="4" t="s">
        <v>22</v>
      </c>
      <c r="C740" s="4" t="s">
        <v>23</v>
      </c>
      <c r="D740" s="4" t="s">
        <v>24</v>
      </c>
      <c r="E740" s="4" t="s">
        <v>31</v>
      </c>
      <c r="F740" s="4" t="s">
        <v>25</v>
      </c>
      <c r="G740" s="4" t="s">
        <v>25</v>
      </c>
      <c r="H740" s="4" t="s">
        <v>25</v>
      </c>
      <c r="I740" s="5">
        <v>44621</v>
      </c>
      <c r="J740" s="6">
        <v>0</v>
      </c>
      <c r="K740" s="6">
        <v>0</v>
      </c>
      <c r="L740" s="6">
        <v>761.79200000000003</v>
      </c>
      <c r="M740" s="6">
        <v>761.79200000000003</v>
      </c>
      <c r="N740" s="6">
        <v>761.79200000000003</v>
      </c>
      <c r="O740" s="6">
        <v>761.79200000000003</v>
      </c>
      <c r="P740" s="6">
        <v>6963</v>
      </c>
      <c r="Q740" s="4" t="s">
        <v>26</v>
      </c>
      <c r="R740" s="4">
        <v>0</v>
      </c>
      <c r="S740" s="4" t="s">
        <v>260</v>
      </c>
      <c r="T740" s="4" t="s">
        <v>505</v>
      </c>
      <c r="U740" s="4">
        <v>0</v>
      </c>
      <c r="V740" s="4">
        <v>19</v>
      </c>
      <c r="W740" s="4">
        <v>56</v>
      </c>
    </row>
    <row r="741" spans="1:23" ht="11.25" customHeight="1" x14ac:dyDescent="0.25">
      <c r="A741" s="4" t="s">
        <v>27</v>
      </c>
      <c r="B741" s="4" t="s">
        <v>22</v>
      </c>
      <c r="C741" s="4" t="s">
        <v>23</v>
      </c>
      <c r="D741" s="4" t="s">
        <v>24</v>
      </c>
      <c r="E741" s="4" t="s">
        <v>31</v>
      </c>
      <c r="F741" s="4" t="s">
        <v>25</v>
      </c>
      <c r="G741" s="4" t="s">
        <v>25</v>
      </c>
      <c r="H741" s="4" t="s">
        <v>25</v>
      </c>
      <c r="I741" s="5">
        <v>44621</v>
      </c>
      <c r="J741" s="6">
        <v>0</v>
      </c>
      <c r="K741" s="6">
        <v>0</v>
      </c>
      <c r="L741" s="6">
        <v>0.13600000000000001</v>
      </c>
      <c r="M741" s="6">
        <v>0.13600000000000001</v>
      </c>
      <c r="N741" s="6">
        <v>0.13600000000000001</v>
      </c>
      <c r="O741" s="6">
        <v>0.13600000000000001</v>
      </c>
      <c r="P741" s="6">
        <v>2</v>
      </c>
      <c r="Q741" s="4" t="s">
        <v>26</v>
      </c>
      <c r="R741" s="4">
        <v>0</v>
      </c>
      <c r="S741" s="4" t="s">
        <v>260</v>
      </c>
      <c r="T741" s="4" t="s">
        <v>505</v>
      </c>
      <c r="U741" s="4">
        <v>0</v>
      </c>
      <c r="V741" s="4">
        <v>19</v>
      </c>
      <c r="W741" s="4">
        <v>56</v>
      </c>
    </row>
    <row r="742" spans="1:23" ht="11.25" customHeight="1" x14ac:dyDescent="0.25">
      <c r="A742" s="4" t="s">
        <v>28</v>
      </c>
      <c r="B742" s="4" t="s">
        <v>22</v>
      </c>
      <c r="C742" s="4" t="s">
        <v>23</v>
      </c>
      <c r="D742" s="4" t="s">
        <v>24</v>
      </c>
      <c r="E742" s="4" t="s">
        <v>31</v>
      </c>
      <c r="F742" s="4" t="s">
        <v>25</v>
      </c>
      <c r="G742" s="4" t="s">
        <v>25</v>
      </c>
      <c r="H742" s="4" t="s">
        <v>25</v>
      </c>
      <c r="I742" s="5">
        <v>44621</v>
      </c>
      <c r="J742" s="6">
        <v>0</v>
      </c>
      <c r="K742" s="6">
        <v>0</v>
      </c>
      <c r="L742" s="6">
        <v>5.52</v>
      </c>
      <c r="M742" s="6">
        <v>5.52</v>
      </c>
      <c r="N742" s="6">
        <v>5.52</v>
      </c>
      <c r="O742" s="6">
        <v>5.52</v>
      </c>
      <c r="P742" s="6">
        <v>82</v>
      </c>
      <c r="Q742" s="4" t="s">
        <v>26</v>
      </c>
      <c r="R742" s="4">
        <v>0</v>
      </c>
      <c r="S742" s="4" t="s">
        <v>260</v>
      </c>
      <c r="T742" s="4" t="s">
        <v>505</v>
      </c>
      <c r="U742" s="4">
        <v>0</v>
      </c>
      <c r="V742" s="4">
        <v>19</v>
      </c>
      <c r="W742" s="4">
        <v>56</v>
      </c>
    </row>
    <row r="743" spans="1:23" ht="11.25" customHeight="1" x14ac:dyDescent="0.25">
      <c r="A743" s="4" t="s">
        <v>21</v>
      </c>
      <c r="B743" s="4" t="s">
        <v>22</v>
      </c>
      <c r="C743" s="4" t="s">
        <v>23</v>
      </c>
      <c r="D743" s="4" t="s">
        <v>24</v>
      </c>
      <c r="E743" s="4" t="s">
        <v>31</v>
      </c>
      <c r="F743" s="4" t="s">
        <v>25</v>
      </c>
      <c r="G743" s="4" t="s">
        <v>25</v>
      </c>
      <c r="H743" s="4" t="s">
        <v>25</v>
      </c>
      <c r="I743" s="5">
        <v>44652</v>
      </c>
      <c r="J743" s="6">
        <v>0</v>
      </c>
      <c r="K743" s="6">
        <v>0</v>
      </c>
      <c r="L743" s="6">
        <v>773.93899999999996</v>
      </c>
      <c r="M743" s="6">
        <v>773.93899999999996</v>
      </c>
      <c r="N743" s="6">
        <v>773.93899999999996</v>
      </c>
      <c r="O743" s="6">
        <v>773.93899999999996</v>
      </c>
      <c r="P743" s="6">
        <v>7117</v>
      </c>
      <c r="Q743" s="4" t="s">
        <v>26</v>
      </c>
      <c r="R743" s="4">
        <v>0</v>
      </c>
      <c r="S743" s="4" t="s">
        <v>261</v>
      </c>
      <c r="T743" s="4" t="s">
        <v>506</v>
      </c>
      <c r="U743" s="4">
        <v>0</v>
      </c>
      <c r="V743" s="4">
        <v>19</v>
      </c>
      <c r="W743" s="4">
        <v>56</v>
      </c>
    </row>
    <row r="744" spans="1:23" ht="11.25" customHeight="1" x14ac:dyDescent="0.25">
      <c r="A744" s="4" t="s">
        <v>28</v>
      </c>
      <c r="B744" s="4" t="s">
        <v>22</v>
      </c>
      <c r="C744" s="4" t="s">
        <v>23</v>
      </c>
      <c r="D744" s="4" t="s">
        <v>24</v>
      </c>
      <c r="E744" s="4" t="s">
        <v>31</v>
      </c>
      <c r="F744" s="4" t="s">
        <v>25</v>
      </c>
      <c r="G744" s="4" t="s">
        <v>25</v>
      </c>
      <c r="H744" s="4" t="s">
        <v>25</v>
      </c>
      <c r="I744" s="5">
        <v>44652</v>
      </c>
      <c r="J744" s="6">
        <v>0</v>
      </c>
      <c r="K744" s="6">
        <v>0</v>
      </c>
      <c r="L744" s="6">
        <v>5.9610000000000003</v>
      </c>
      <c r="M744" s="6">
        <v>5.9610000000000003</v>
      </c>
      <c r="N744" s="6">
        <v>5.9610000000000003</v>
      </c>
      <c r="O744" s="6">
        <v>5.9610000000000003</v>
      </c>
      <c r="P744" s="6">
        <v>86</v>
      </c>
      <c r="Q744" s="4" t="s">
        <v>26</v>
      </c>
      <c r="R744" s="4">
        <v>0</v>
      </c>
      <c r="S744" s="4" t="s">
        <v>261</v>
      </c>
      <c r="T744" s="4" t="s">
        <v>506</v>
      </c>
      <c r="U744" s="4">
        <v>0</v>
      </c>
      <c r="V744" s="4">
        <v>19</v>
      </c>
      <c r="W744" s="4">
        <v>56</v>
      </c>
    </row>
    <row r="745" spans="1:23" ht="11.25" customHeight="1" x14ac:dyDescent="0.25">
      <c r="A745" s="4" t="s">
        <v>21</v>
      </c>
      <c r="B745" s="4" t="s">
        <v>22</v>
      </c>
      <c r="C745" s="4" t="s">
        <v>23</v>
      </c>
      <c r="D745" s="4" t="s">
        <v>24</v>
      </c>
      <c r="E745" s="4" t="s">
        <v>31</v>
      </c>
      <c r="F745" s="4" t="s">
        <v>25</v>
      </c>
      <c r="G745" s="4" t="s">
        <v>25</v>
      </c>
      <c r="H745" s="4" t="s">
        <v>25</v>
      </c>
      <c r="I745" s="5">
        <v>44682</v>
      </c>
      <c r="J745" s="6">
        <v>0</v>
      </c>
      <c r="K745" s="6">
        <v>0</v>
      </c>
      <c r="L745" s="6">
        <v>578.27800000000002</v>
      </c>
      <c r="M745" s="6">
        <v>578.27800000000002</v>
      </c>
      <c r="N745" s="6">
        <v>578.27800000000002</v>
      </c>
      <c r="O745" s="6">
        <v>578.27800000000002</v>
      </c>
      <c r="P745" s="6">
        <v>6538</v>
      </c>
      <c r="Q745" s="4" t="s">
        <v>26</v>
      </c>
      <c r="R745" s="4">
        <v>0</v>
      </c>
      <c r="S745" s="4" t="s">
        <v>262</v>
      </c>
      <c r="T745" s="4" t="s">
        <v>507</v>
      </c>
      <c r="U745" s="4">
        <v>0</v>
      </c>
      <c r="V745" s="4">
        <v>19</v>
      </c>
      <c r="W745" s="4">
        <v>56</v>
      </c>
    </row>
    <row r="746" spans="1:23" ht="11.25" customHeight="1" x14ac:dyDescent="0.25">
      <c r="A746" s="4" t="s">
        <v>27</v>
      </c>
      <c r="B746" s="4" t="s">
        <v>22</v>
      </c>
      <c r="C746" s="4" t="s">
        <v>23</v>
      </c>
      <c r="D746" s="4" t="s">
        <v>24</v>
      </c>
      <c r="E746" s="4" t="s">
        <v>31</v>
      </c>
      <c r="F746" s="4" t="s">
        <v>25</v>
      </c>
      <c r="G746" s="4" t="s">
        <v>25</v>
      </c>
      <c r="H746" s="4" t="s">
        <v>25</v>
      </c>
      <c r="I746" s="5">
        <v>44682</v>
      </c>
      <c r="J746" s="6">
        <v>0</v>
      </c>
      <c r="K746" s="6">
        <v>0</v>
      </c>
      <c r="L746" s="6">
        <v>-7.3999999999999996E-2</v>
      </c>
      <c r="M746" s="6">
        <v>-7.3999999999999996E-2</v>
      </c>
      <c r="N746" s="6">
        <v>-7.3999999999999996E-2</v>
      </c>
      <c r="O746" s="6">
        <v>-7.3999999999999996E-2</v>
      </c>
      <c r="P746" s="6">
        <v>0</v>
      </c>
      <c r="Q746" s="4" t="s">
        <v>26</v>
      </c>
      <c r="R746" s="4">
        <v>0</v>
      </c>
      <c r="S746" s="4" t="s">
        <v>262</v>
      </c>
      <c r="T746" s="4" t="s">
        <v>507</v>
      </c>
      <c r="U746" s="4">
        <v>0</v>
      </c>
      <c r="V746" s="4">
        <v>19</v>
      </c>
      <c r="W746" s="4">
        <v>56</v>
      </c>
    </row>
    <row r="747" spans="1:23" ht="11.25" customHeight="1" x14ac:dyDescent="0.25">
      <c r="A747" s="4" t="s">
        <v>28</v>
      </c>
      <c r="B747" s="4" t="s">
        <v>22</v>
      </c>
      <c r="C747" s="4" t="s">
        <v>23</v>
      </c>
      <c r="D747" s="4" t="s">
        <v>24</v>
      </c>
      <c r="E747" s="4" t="s">
        <v>31</v>
      </c>
      <c r="F747" s="4" t="s">
        <v>25</v>
      </c>
      <c r="G747" s="4" t="s">
        <v>25</v>
      </c>
      <c r="H747" s="4" t="s">
        <v>25</v>
      </c>
      <c r="I747" s="5">
        <v>44682</v>
      </c>
      <c r="J747" s="6">
        <v>0</v>
      </c>
      <c r="K747" s="6">
        <v>0</v>
      </c>
      <c r="L747" s="6">
        <v>4.4569999999999999</v>
      </c>
      <c r="M747" s="6">
        <v>4.4569999999999999</v>
      </c>
      <c r="N747" s="6">
        <v>4.4569999999999999</v>
      </c>
      <c r="O747" s="6">
        <v>4.4569999999999999</v>
      </c>
      <c r="P747" s="6">
        <v>60</v>
      </c>
      <c r="Q747" s="4" t="s">
        <v>26</v>
      </c>
      <c r="R747" s="4">
        <v>0</v>
      </c>
      <c r="S747" s="4" t="s">
        <v>262</v>
      </c>
      <c r="T747" s="4" t="s">
        <v>507</v>
      </c>
      <c r="U747" s="4">
        <v>0</v>
      </c>
      <c r="V747" s="4">
        <v>19</v>
      </c>
      <c r="W747" s="4">
        <v>56</v>
      </c>
    </row>
    <row r="748" spans="1:23" ht="11.25" customHeight="1" x14ac:dyDescent="0.25">
      <c r="A748" s="4" t="s">
        <v>21</v>
      </c>
      <c r="B748" s="4" t="s">
        <v>22</v>
      </c>
      <c r="C748" s="4" t="s">
        <v>23</v>
      </c>
      <c r="D748" s="4" t="s">
        <v>24</v>
      </c>
      <c r="E748" s="4" t="s">
        <v>31</v>
      </c>
      <c r="F748" s="4" t="s">
        <v>25</v>
      </c>
      <c r="G748" s="4" t="s">
        <v>25</v>
      </c>
      <c r="H748" s="4" t="s">
        <v>25</v>
      </c>
      <c r="I748" s="5">
        <v>44713</v>
      </c>
      <c r="J748" s="6">
        <v>0</v>
      </c>
      <c r="K748" s="6">
        <v>0</v>
      </c>
      <c r="L748" s="6">
        <v>508.09199999999998</v>
      </c>
      <c r="M748" s="6">
        <v>508.09199999999998</v>
      </c>
      <c r="N748" s="6">
        <v>508.09199999999998</v>
      </c>
      <c r="O748" s="6">
        <v>508.09199999999998</v>
      </c>
      <c r="P748" s="6">
        <v>6780</v>
      </c>
      <c r="Q748" s="4" t="s">
        <v>26</v>
      </c>
      <c r="R748" s="4">
        <v>0</v>
      </c>
      <c r="S748" s="4" t="s">
        <v>263</v>
      </c>
      <c r="T748" s="4" t="s">
        <v>508</v>
      </c>
      <c r="U748" s="4">
        <v>0</v>
      </c>
      <c r="V748" s="4">
        <v>19</v>
      </c>
      <c r="W748" s="4">
        <v>56</v>
      </c>
    </row>
    <row r="749" spans="1:23" ht="11.25" customHeight="1" x14ac:dyDescent="0.25">
      <c r="A749" s="4" t="s">
        <v>28</v>
      </c>
      <c r="B749" s="4" t="s">
        <v>22</v>
      </c>
      <c r="C749" s="4" t="s">
        <v>23</v>
      </c>
      <c r="D749" s="4" t="s">
        <v>24</v>
      </c>
      <c r="E749" s="4" t="s">
        <v>31</v>
      </c>
      <c r="F749" s="4" t="s">
        <v>25</v>
      </c>
      <c r="G749" s="4" t="s">
        <v>25</v>
      </c>
      <c r="H749" s="4" t="s">
        <v>25</v>
      </c>
      <c r="I749" s="5">
        <v>44713</v>
      </c>
      <c r="J749" s="6">
        <v>0</v>
      </c>
      <c r="K749" s="6">
        <v>0</v>
      </c>
      <c r="L749" s="6">
        <v>3.7810000000000001</v>
      </c>
      <c r="M749" s="6">
        <v>3.7810000000000001</v>
      </c>
      <c r="N749" s="6">
        <v>3.7810000000000001</v>
      </c>
      <c r="O749" s="6">
        <v>3.7810000000000001</v>
      </c>
      <c r="P749" s="6">
        <v>59</v>
      </c>
      <c r="Q749" s="4" t="s">
        <v>26</v>
      </c>
      <c r="R749" s="4">
        <v>0</v>
      </c>
      <c r="S749" s="4" t="s">
        <v>263</v>
      </c>
      <c r="T749" s="4" t="s">
        <v>508</v>
      </c>
      <c r="U749" s="4">
        <v>0</v>
      </c>
      <c r="V749" s="4">
        <v>19</v>
      </c>
      <c r="W749" s="4">
        <v>56</v>
      </c>
    </row>
    <row r="750" spans="1:23" ht="11.25" customHeight="1" x14ac:dyDescent="0.25">
      <c r="A750" s="4" t="s">
        <v>21</v>
      </c>
      <c r="B750" s="4" t="s">
        <v>22</v>
      </c>
      <c r="C750" s="4" t="s">
        <v>23</v>
      </c>
      <c r="D750" s="4" t="s">
        <v>24</v>
      </c>
      <c r="E750" s="4" t="s">
        <v>31</v>
      </c>
      <c r="F750" s="4" t="s">
        <v>25</v>
      </c>
      <c r="G750" s="4" t="s">
        <v>25</v>
      </c>
      <c r="H750" s="4" t="s">
        <v>25</v>
      </c>
      <c r="I750" s="5">
        <v>44743</v>
      </c>
      <c r="J750" s="6">
        <v>0</v>
      </c>
      <c r="K750" s="6">
        <v>0</v>
      </c>
      <c r="L750" s="6">
        <v>372.983</v>
      </c>
      <c r="M750" s="6">
        <v>372.983</v>
      </c>
      <c r="N750" s="6">
        <v>372.983</v>
      </c>
      <c r="O750" s="6">
        <v>372.983</v>
      </c>
      <c r="P750" s="6">
        <v>5580</v>
      </c>
      <c r="Q750" s="4" t="s">
        <v>26</v>
      </c>
      <c r="R750" s="4">
        <v>0</v>
      </c>
      <c r="S750" s="4" t="s">
        <v>264</v>
      </c>
      <c r="T750" s="4" t="s">
        <v>509</v>
      </c>
      <c r="U750" s="4">
        <v>0</v>
      </c>
      <c r="V750" s="4">
        <v>19</v>
      </c>
      <c r="W750" s="4">
        <v>56</v>
      </c>
    </row>
    <row r="751" spans="1:23" ht="11.25" customHeight="1" x14ac:dyDescent="0.25">
      <c r="A751" s="4" t="s">
        <v>27</v>
      </c>
      <c r="B751" s="4" t="s">
        <v>22</v>
      </c>
      <c r="C751" s="4" t="s">
        <v>23</v>
      </c>
      <c r="D751" s="4" t="s">
        <v>24</v>
      </c>
      <c r="E751" s="4" t="s">
        <v>31</v>
      </c>
      <c r="F751" s="4" t="s">
        <v>25</v>
      </c>
      <c r="G751" s="4" t="s">
        <v>25</v>
      </c>
      <c r="H751" s="4" t="s">
        <v>25</v>
      </c>
      <c r="I751" s="5">
        <v>44743</v>
      </c>
      <c r="J751" s="6">
        <v>0</v>
      </c>
      <c r="K751" s="6">
        <v>0</v>
      </c>
      <c r="L751" s="6">
        <v>4.2000000000000003E-2</v>
      </c>
      <c r="M751" s="6">
        <v>4.2000000000000003E-2</v>
      </c>
      <c r="N751" s="6">
        <v>4.2000000000000003E-2</v>
      </c>
      <c r="O751" s="6">
        <v>4.2000000000000003E-2</v>
      </c>
      <c r="P751" s="6">
        <v>1</v>
      </c>
      <c r="Q751" s="4" t="s">
        <v>26</v>
      </c>
      <c r="R751" s="4">
        <v>0</v>
      </c>
      <c r="S751" s="4" t="s">
        <v>264</v>
      </c>
      <c r="T751" s="4" t="s">
        <v>509</v>
      </c>
      <c r="U751" s="4">
        <v>0</v>
      </c>
      <c r="V751" s="4">
        <v>19</v>
      </c>
      <c r="W751" s="4">
        <v>56</v>
      </c>
    </row>
    <row r="752" spans="1:23" ht="11.25" customHeight="1" x14ac:dyDescent="0.25">
      <c r="A752" s="4" t="s">
        <v>28</v>
      </c>
      <c r="B752" s="4" t="s">
        <v>22</v>
      </c>
      <c r="C752" s="4" t="s">
        <v>23</v>
      </c>
      <c r="D752" s="4" t="s">
        <v>24</v>
      </c>
      <c r="E752" s="4" t="s">
        <v>31</v>
      </c>
      <c r="F752" s="4" t="s">
        <v>25</v>
      </c>
      <c r="G752" s="4" t="s">
        <v>25</v>
      </c>
      <c r="H752" s="4" t="s">
        <v>25</v>
      </c>
      <c r="I752" s="5">
        <v>44743</v>
      </c>
      <c r="J752" s="6">
        <v>0</v>
      </c>
      <c r="K752" s="6">
        <v>0</v>
      </c>
      <c r="L752" s="6">
        <v>3.3650000000000002</v>
      </c>
      <c r="M752" s="6">
        <v>3.3650000000000002</v>
      </c>
      <c r="N752" s="6">
        <v>3.3650000000000002</v>
      </c>
      <c r="O752" s="6">
        <v>3.3650000000000002</v>
      </c>
      <c r="P752" s="6">
        <v>54</v>
      </c>
      <c r="Q752" s="4" t="s">
        <v>26</v>
      </c>
      <c r="R752" s="4">
        <v>0</v>
      </c>
      <c r="S752" s="4" t="s">
        <v>264</v>
      </c>
      <c r="T752" s="4" t="s">
        <v>509</v>
      </c>
      <c r="U752" s="4">
        <v>0</v>
      </c>
      <c r="V752" s="4">
        <v>19</v>
      </c>
      <c r="W752" s="4">
        <v>56</v>
      </c>
    </row>
    <row r="753" spans="1:23" ht="11.25" customHeight="1" x14ac:dyDescent="0.25">
      <c r="A753" s="4" t="s">
        <v>56</v>
      </c>
      <c r="B753" s="4" t="s">
        <v>22</v>
      </c>
      <c r="C753" s="4" t="s">
        <v>23</v>
      </c>
      <c r="D753" s="4" t="s">
        <v>24</v>
      </c>
      <c r="E753" s="4" t="s">
        <v>31</v>
      </c>
      <c r="F753" s="4" t="s">
        <v>25</v>
      </c>
      <c r="G753" s="4" t="s">
        <v>25</v>
      </c>
      <c r="H753" s="4" t="s">
        <v>25</v>
      </c>
      <c r="I753" s="5">
        <v>44774</v>
      </c>
      <c r="J753" s="6">
        <v>0</v>
      </c>
      <c r="K753" s="6">
        <v>0</v>
      </c>
      <c r="L753" s="6">
        <v>372.983</v>
      </c>
      <c r="M753" s="6">
        <v>372.983</v>
      </c>
      <c r="N753" s="6">
        <v>372.983</v>
      </c>
      <c r="O753" s="6">
        <v>372.983</v>
      </c>
      <c r="P753" s="6">
        <v>5580</v>
      </c>
      <c r="Q753" s="4" t="s">
        <v>26</v>
      </c>
      <c r="R753" s="4">
        <v>0</v>
      </c>
      <c r="S753" s="4" t="s">
        <v>265</v>
      </c>
      <c r="T753" s="4" t="s">
        <v>510</v>
      </c>
      <c r="U753" s="4">
        <v>0</v>
      </c>
      <c r="V753" s="4">
        <v>19</v>
      </c>
      <c r="W753" s="4">
        <v>56</v>
      </c>
    </row>
    <row r="754" spans="1:23" ht="11.25" customHeight="1" x14ac:dyDescent="0.25">
      <c r="A754" s="4" t="s">
        <v>56</v>
      </c>
      <c r="B754" s="4" t="s">
        <v>22</v>
      </c>
      <c r="C754" s="4" t="s">
        <v>23</v>
      </c>
      <c r="D754" s="4" t="s">
        <v>24</v>
      </c>
      <c r="E754" s="4" t="s">
        <v>31</v>
      </c>
      <c r="F754" s="4" t="s">
        <v>25</v>
      </c>
      <c r="G754" s="4" t="s">
        <v>25</v>
      </c>
      <c r="H754" s="4" t="s">
        <v>25</v>
      </c>
      <c r="I754" s="5">
        <v>44774</v>
      </c>
      <c r="J754" s="6">
        <v>0</v>
      </c>
      <c r="K754" s="6">
        <v>0</v>
      </c>
      <c r="L754" s="6">
        <v>4.2000000000000003E-2</v>
      </c>
      <c r="M754" s="6">
        <v>4.2000000000000003E-2</v>
      </c>
      <c r="N754" s="6">
        <v>4.2000000000000003E-2</v>
      </c>
      <c r="O754" s="6">
        <v>4.2000000000000003E-2</v>
      </c>
      <c r="P754" s="6">
        <v>1</v>
      </c>
      <c r="Q754" s="4" t="s">
        <v>26</v>
      </c>
      <c r="R754" s="4">
        <v>0</v>
      </c>
      <c r="S754" s="4" t="s">
        <v>265</v>
      </c>
      <c r="T754" s="4" t="s">
        <v>510</v>
      </c>
      <c r="U754" s="4">
        <v>0</v>
      </c>
      <c r="V754" s="4">
        <v>19</v>
      </c>
      <c r="W754" s="4">
        <v>56</v>
      </c>
    </row>
    <row r="755" spans="1:23" ht="11.25" customHeight="1" x14ac:dyDescent="0.25">
      <c r="A755" s="4" t="s">
        <v>56</v>
      </c>
      <c r="B755" s="4" t="s">
        <v>22</v>
      </c>
      <c r="C755" s="4" t="s">
        <v>23</v>
      </c>
      <c r="D755" s="4" t="s">
        <v>24</v>
      </c>
      <c r="E755" s="4" t="s">
        <v>31</v>
      </c>
      <c r="F755" s="4" t="s">
        <v>25</v>
      </c>
      <c r="G755" s="4" t="s">
        <v>25</v>
      </c>
      <c r="H755" s="4" t="s">
        <v>25</v>
      </c>
      <c r="I755" s="5">
        <v>44774</v>
      </c>
      <c r="J755" s="6">
        <v>0</v>
      </c>
      <c r="K755" s="6">
        <v>0</v>
      </c>
      <c r="L755" s="6">
        <v>3.3650000000000002</v>
      </c>
      <c r="M755" s="6">
        <v>3.3650000000000002</v>
      </c>
      <c r="N755" s="6">
        <v>3.3650000000000002</v>
      </c>
      <c r="O755" s="6">
        <v>3.3650000000000002</v>
      </c>
      <c r="P755" s="6">
        <v>54</v>
      </c>
      <c r="Q755" s="4" t="s">
        <v>26</v>
      </c>
      <c r="R755" s="4">
        <v>0</v>
      </c>
      <c r="S755" s="4" t="s">
        <v>265</v>
      </c>
      <c r="T755" s="4" t="s">
        <v>510</v>
      </c>
      <c r="U755" s="4">
        <v>0</v>
      </c>
      <c r="V755" s="4">
        <v>19</v>
      </c>
      <c r="W755" s="4">
        <v>56</v>
      </c>
    </row>
    <row r="756" spans="1:23" ht="11.25" customHeight="1" x14ac:dyDescent="0.25">
      <c r="A756" s="4" t="s">
        <v>21</v>
      </c>
      <c r="B756" s="4" t="s">
        <v>22</v>
      </c>
      <c r="C756" s="4" t="s">
        <v>23</v>
      </c>
      <c r="D756" s="4" t="s">
        <v>24</v>
      </c>
      <c r="E756" s="4" t="s">
        <v>32</v>
      </c>
      <c r="F756" s="4" t="s">
        <v>25</v>
      </c>
      <c r="G756" s="4" t="s">
        <v>25</v>
      </c>
      <c r="H756" s="4" t="s">
        <v>25</v>
      </c>
      <c r="I756" s="5">
        <v>44440</v>
      </c>
      <c r="J756" s="6">
        <v>0</v>
      </c>
      <c r="K756" s="6">
        <v>0</v>
      </c>
      <c r="L756" s="6">
        <v>109.006</v>
      </c>
      <c r="M756" s="6">
        <v>109.006</v>
      </c>
      <c r="N756" s="6">
        <v>109.006</v>
      </c>
      <c r="O756" s="6">
        <v>109.006</v>
      </c>
      <c r="P756" s="6">
        <v>1450</v>
      </c>
      <c r="Q756" s="4" t="s">
        <v>26</v>
      </c>
      <c r="R756" s="4">
        <v>0</v>
      </c>
      <c r="S756" s="4" t="s">
        <v>266</v>
      </c>
      <c r="T756" s="4" t="s">
        <v>511</v>
      </c>
      <c r="U756" s="4">
        <v>0</v>
      </c>
      <c r="V756" s="4">
        <v>20</v>
      </c>
      <c r="W756" s="4">
        <v>57</v>
      </c>
    </row>
    <row r="757" spans="1:23" ht="11.25" customHeight="1" x14ac:dyDescent="0.25">
      <c r="A757" s="4" t="s">
        <v>28</v>
      </c>
      <c r="B757" s="4" t="s">
        <v>22</v>
      </c>
      <c r="C757" s="4" t="s">
        <v>23</v>
      </c>
      <c r="D757" s="4" t="s">
        <v>24</v>
      </c>
      <c r="E757" s="4" t="s">
        <v>32</v>
      </c>
      <c r="F757" s="4" t="s">
        <v>25</v>
      </c>
      <c r="G757" s="4" t="s">
        <v>25</v>
      </c>
      <c r="H757" s="4" t="s">
        <v>25</v>
      </c>
      <c r="I757" s="5">
        <v>44440</v>
      </c>
      <c r="J757" s="6">
        <v>0</v>
      </c>
      <c r="K757" s="6">
        <v>0</v>
      </c>
      <c r="L757" s="6">
        <v>0.191</v>
      </c>
      <c r="M757" s="6">
        <v>0.191</v>
      </c>
      <c r="N757" s="6">
        <v>0.191</v>
      </c>
      <c r="O757" s="6">
        <v>0.191</v>
      </c>
      <c r="P757" s="6">
        <v>6</v>
      </c>
      <c r="Q757" s="4" t="s">
        <v>26</v>
      </c>
      <c r="R757" s="4">
        <v>0</v>
      </c>
      <c r="S757" s="4" t="s">
        <v>266</v>
      </c>
      <c r="T757" s="4" t="s">
        <v>511</v>
      </c>
      <c r="U757" s="4">
        <v>0</v>
      </c>
      <c r="V757" s="4">
        <v>20</v>
      </c>
      <c r="W757" s="4">
        <v>57</v>
      </c>
    </row>
    <row r="758" spans="1:23" ht="11.25" customHeight="1" x14ac:dyDescent="0.25">
      <c r="A758" s="4" t="s">
        <v>21</v>
      </c>
      <c r="B758" s="4" t="s">
        <v>22</v>
      </c>
      <c r="C758" s="4" t="s">
        <v>23</v>
      </c>
      <c r="D758" s="4" t="s">
        <v>24</v>
      </c>
      <c r="E758" s="4" t="s">
        <v>32</v>
      </c>
      <c r="F758" s="4" t="s">
        <v>25</v>
      </c>
      <c r="G758" s="4" t="s">
        <v>25</v>
      </c>
      <c r="H758" s="4" t="s">
        <v>25</v>
      </c>
      <c r="I758" s="5">
        <v>44470</v>
      </c>
      <c r="J758" s="6">
        <v>0</v>
      </c>
      <c r="K758" s="6">
        <v>0</v>
      </c>
      <c r="L758" s="6">
        <v>127.86799999999999</v>
      </c>
      <c r="M758" s="6">
        <v>127.86799999999999</v>
      </c>
      <c r="N758" s="6">
        <v>127.86799999999999</v>
      </c>
      <c r="O758" s="6">
        <v>127.86799999999999</v>
      </c>
      <c r="P758" s="6">
        <v>1675</v>
      </c>
      <c r="Q758" s="4" t="s">
        <v>26</v>
      </c>
      <c r="R758" s="4">
        <v>0</v>
      </c>
      <c r="S758" s="4" t="s">
        <v>267</v>
      </c>
      <c r="T758" s="4" t="s">
        <v>512</v>
      </c>
      <c r="U758" s="4">
        <v>0</v>
      </c>
      <c r="V758" s="4">
        <v>20</v>
      </c>
      <c r="W758" s="4">
        <v>57</v>
      </c>
    </row>
    <row r="759" spans="1:23" ht="11.25" customHeight="1" x14ac:dyDescent="0.25">
      <c r="A759" s="4" t="s">
        <v>28</v>
      </c>
      <c r="B759" s="4" t="s">
        <v>22</v>
      </c>
      <c r="C759" s="4" t="s">
        <v>23</v>
      </c>
      <c r="D759" s="4" t="s">
        <v>24</v>
      </c>
      <c r="E759" s="4" t="s">
        <v>32</v>
      </c>
      <c r="F759" s="4" t="s">
        <v>25</v>
      </c>
      <c r="G759" s="4" t="s">
        <v>25</v>
      </c>
      <c r="H759" s="4" t="s">
        <v>25</v>
      </c>
      <c r="I759" s="5">
        <v>44470</v>
      </c>
      <c r="J759" s="6">
        <v>0</v>
      </c>
      <c r="K759" s="6">
        <v>0</v>
      </c>
      <c r="L759" s="6">
        <v>0.46899999999999997</v>
      </c>
      <c r="M759" s="6">
        <v>0.46899999999999997</v>
      </c>
      <c r="N759" s="6">
        <v>0.46899999999999997</v>
      </c>
      <c r="O759" s="6">
        <v>0.46899999999999997</v>
      </c>
      <c r="P759" s="6">
        <v>12</v>
      </c>
      <c r="Q759" s="4" t="s">
        <v>26</v>
      </c>
      <c r="R759" s="4">
        <v>0</v>
      </c>
      <c r="S759" s="4" t="s">
        <v>267</v>
      </c>
      <c r="T759" s="4" t="s">
        <v>512</v>
      </c>
      <c r="U759" s="4">
        <v>0</v>
      </c>
      <c r="V759" s="4">
        <v>20</v>
      </c>
      <c r="W759" s="4">
        <v>57</v>
      </c>
    </row>
    <row r="760" spans="1:23" ht="11.25" customHeight="1" x14ac:dyDescent="0.25">
      <c r="A760" s="4" t="s">
        <v>21</v>
      </c>
      <c r="B760" s="4" t="s">
        <v>22</v>
      </c>
      <c r="C760" s="4" t="s">
        <v>23</v>
      </c>
      <c r="D760" s="4" t="s">
        <v>24</v>
      </c>
      <c r="E760" s="4" t="s">
        <v>32</v>
      </c>
      <c r="F760" s="4" t="s">
        <v>25</v>
      </c>
      <c r="G760" s="4" t="s">
        <v>25</v>
      </c>
      <c r="H760" s="4" t="s">
        <v>25</v>
      </c>
      <c r="I760" s="5">
        <v>44501</v>
      </c>
      <c r="J760" s="6">
        <v>0</v>
      </c>
      <c r="K760" s="6">
        <v>0</v>
      </c>
      <c r="L760" s="6">
        <v>118.97799999999999</v>
      </c>
      <c r="M760" s="6">
        <v>118.97799999999999</v>
      </c>
      <c r="N760" s="6">
        <v>118.97799999999999</v>
      </c>
      <c r="O760" s="6">
        <v>118.97799999999999</v>
      </c>
      <c r="P760" s="6">
        <v>1569</v>
      </c>
      <c r="Q760" s="4" t="s">
        <v>26</v>
      </c>
      <c r="R760" s="4">
        <v>0</v>
      </c>
      <c r="S760" s="4" t="s">
        <v>268</v>
      </c>
      <c r="T760" s="4" t="s">
        <v>513</v>
      </c>
      <c r="U760" s="4">
        <v>0</v>
      </c>
      <c r="V760" s="4">
        <v>20</v>
      </c>
      <c r="W760" s="4">
        <v>57</v>
      </c>
    </row>
    <row r="761" spans="1:23" ht="11.25" customHeight="1" x14ac:dyDescent="0.25">
      <c r="A761" s="4" t="s">
        <v>28</v>
      </c>
      <c r="B761" s="4" t="s">
        <v>22</v>
      </c>
      <c r="C761" s="4" t="s">
        <v>23</v>
      </c>
      <c r="D761" s="4" t="s">
        <v>24</v>
      </c>
      <c r="E761" s="4" t="s">
        <v>32</v>
      </c>
      <c r="F761" s="4" t="s">
        <v>25</v>
      </c>
      <c r="G761" s="4" t="s">
        <v>25</v>
      </c>
      <c r="H761" s="4" t="s">
        <v>25</v>
      </c>
      <c r="I761" s="5">
        <v>44501</v>
      </c>
      <c r="J761" s="6">
        <v>0</v>
      </c>
      <c r="K761" s="6">
        <v>0</v>
      </c>
      <c r="L761" s="6">
        <v>0.182</v>
      </c>
      <c r="M761" s="6">
        <v>0.182</v>
      </c>
      <c r="N761" s="6">
        <v>0.182</v>
      </c>
      <c r="O761" s="6">
        <v>0.182</v>
      </c>
      <c r="P761" s="6">
        <v>3</v>
      </c>
      <c r="Q761" s="4" t="s">
        <v>26</v>
      </c>
      <c r="R761" s="4">
        <v>0</v>
      </c>
      <c r="S761" s="4" t="s">
        <v>268</v>
      </c>
      <c r="T761" s="4" t="s">
        <v>513</v>
      </c>
      <c r="U761" s="4">
        <v>0</v>
      </c>
      <c r="V761" s="4">
        <v>20</v>
      </c>
      <c r="W761" s="4">
        <v>57</v>
      </c>
    </row>
    <row r="762" spans="1:23" ht="11.25" customHeight="1" x14ac:dyDescent="0.25">
      <c r="A762" s="4" t="s">
        <v>21</v>
      </c>
      <c r="B762" s="4" t="s">
        <v>22</v>
      </c>
      <c r="C762" s="4" t="s">
        <v>23</v>
      </c>
      <c r="D762" s="4" t="s">
        <v>24</v>
      </c>
      <c r="E762" s="4" t="s">
        <v>32</v>
      </c>
      <c r="F762" s="4" t="s">
        <v>25</v>
      </c>
      <c r="G762" s="4" t="s">
        <v>25</v>
      </c>
      <c r="H762" s="4" t="s">
        <v>25</v>
      </c>
      <c r="I762" s="5">
        <v>44531</v>
      </c>
      <c r="J762" s="6">
        <v>0</v>
      </c>
      <c r="K762" s="6">
        <v>0</v>
      </c>
      <c r="L762" s="6">
        <v>128.209</v>
      </c>
      <c r="M762" s="6">
        <v>128.209</v>
      </c>
      <c r="N762" s="6">
        <v>128.209</v>
      </c>
      <c r="O762" s="6">
        <v>128.209</v>
      </c>
      <c r="P762" s="6">
        <v>1730</v>
      </c>
      <c r="Q762" s="4" t="s">
        <v>26</v>
      </c>
      <c r="R762" s="4">
        <v>0</v>
      </c>
      <c r="S762" s="4" t="s">
        <v>269</v>
      </c>
      <c r="T762" s="4" t="s">
        <v>514</v>
      </c>
      <c r="U762" s="4">
        <v>0</v>
      </c>
      <c r="V762" s="4">
        <v>20</v>
      </c>
      <c r="W762" s="4">
        <v>57</v>
      </c>
    </row>
    <row r="763" spans="1:23" ht="11.25" customHeight="1" x14ac:dyDescent="0.25">
      <c r="A763" s="4" t="s">
        <v>27</v>
      </c>
      <c r="B763" s="4" t="s">
        <v>22</v>
      </c>
      <c r="C763" s="4" t="s">
        <v>23</v>
      </c>
      <c r="D763" s="4" t="s">
        <v>24</v>
      </c>
      <c r="E763" s="4" t="s">
        <v>32</v>
      </c>
      <c r="F763" s="4" t="s">
        <v>25</v>
      </c>
      <c r="G763" s="4" t="s">
        <v>25</v>
      </c>
      <c r="H763" s="4" t="s">
        <v>25</v>
      </c>
      <c r="I763" s="5">
        <v>44531</v>
      </c>
      <c r="J763" s="6">
        <v>0</v>
      </c>
      <c r="K763" s="6">
        <v>0</v>
      </c>
      <c r="L763" s="6">
        <v>-7.8E-2</v>
      </c>
      <c r="M763" s="6">
        <v>-7.8E-2</v>
      </c>
      <c r="N763" s="6">
        <v>-7.8E-2</v>
      </c>
      <c r="O763" s="6">
        <v>-7.8E-2</v>
      </c>
      <c r="P763" s="6">
        <v>-2</v>
      </c>
      <c r="Q763" s="4" t="s">
        <v>26</v>
      </c>
      <c r="R763" s="4">
        <v>0</v>
      </c>
      <c r="S763" s="4" t="s">
        <v>269</v>
      </c>
      <c r="T763" s="4" t="s">
        <v>514</v>
      </c>
      <c r="U763" s="4">
        <v>0</v>
      </c>
      <c r="V763" s="4">
        <v>20</v>
      </c>
      <c r="W763" s="4">
        <v>57</v>
      </c>
    </row>
    <row r="764" spans="1:23" ht="11.25" customHeight="1" x14ac:dyDescent="0.25">
      <c r="A764" s="4" t="s">
        <v>28</v>
      </c>
      <c r="B764" s="4" t="s">
        <v>22</v>
      </c>
      <c r="C764" s="4" t="s">
        <v>23</v>
      </c>
      <c r="D764" s="4" t="s">
        <v>24</v>
      </c>
      <c r="E764" s="4" t="s">
        <v>32</v>
      </c>
      <c r="F764" s="4" t="s">
        <v>25</v>
      </c>
      <c r="G764" s="4" t="s">
        <v>25</v>
      </c>
      <c r="H764" s="4" t="s">
        <v>25</v>
      </c>
      <c r="I764" s="5">
        <v>44531</v>
      </c>
      <c r="J764" s="6">
        <v>0</v>
      </c>
      <c r="K764" s="6">
        <v>0</v>
      </c>
      <c r="L764" s="6">
        <v>0.28799999999999998</v>
      </c>
      <c r="M764" s="6">
        <v>0.28799999999999998</v>
      </c>
      <c r="N764" s="6">
        <v>0.28799999999999998</v>
      </c>
      <c r="O764" s="6">
        <v>0.28799999999999998</v>
      </c>
      <c r="P764" s="6">
        <v>5</v>
      </c>
      <c r="Q764" s="4" t="s">
        <v>26</v>
      </c>
      <c r="R764" s="4">
        <v>0</v>
      </c>
      <c r="S764" s="4" t="s">
        <v>269</v>
      </c>
      <c r="T764" s="4" t="s">
        <v>514</v>
      </c>
      <c r="U764" s="4">
        <v>0</v>
      </c>
      <c r="V764" s="4">
        <v>20</v>
      </c>
      <c r="W764" s="4">
        <v>57</v>
      </c>
    </row>
    <row r="765" spans="1:23" ht="11.25" customHeight="1" x14ac:dyDescent="0.25">
      <c r="A765" s="4" t="s">
        <v>21</v>
      </c>
      <c r="B765" s="4" t="s">
        <v>22</v>
      </c>
      <c r="C765" s="4" t="s">
        <v>23</v>
      </c>
      <c r="D765" s="4" t="s">
        <v>24</v>
      </c>
      <c r="E765" s="4" t="s">
        <v>32</v>
      </c>
      <c r="F765" s="4" t="s">
        <v>25</v>
      </c>
      <c r="G765" s="4" t="s">
        <v>25</v>
      </c>
      <c r="H765" s="4" t="s">
        <v>25</v>
      </c>
      <c r="I765" s="5">
        <v>44562</v>
      </c>
      <c r="J765" s="6">
        <v>0</v>
      </c>
      <c r="K765" s="6">
        <v>0</v>
      </c>
      <c r="L765" s="6">
        <v>168.92099999999999</v>
      </c>
      <c r="M765" s="6">
        <v>168.92099999999999</v>
      </c>
      <c r="N765" s="6">
        <v>168.92099999999999</v>
      </c>
      <c r="O765" s="6">
        <v>168.92099999999999</v>
      </c>
      <c r="P765" s="6">
        <v>2126</v>
      </c>
      <c r="Q765" s="4" t="s">
        <v>26</v>
      </c>
      <c r="R765" s="4">
        <v>0</v>
      </c>
      <c r="S765" s="4" t="s">
        <v>270</v>
      </c>
      <c r="T765" s="4" t="s">
        <v>515</v>
      </c>
      <c r="U765" s="4">
        <v>0</v>
      </c>
      <c r="V765" s="4">
        <v>20</v>
      </c>
      <c r="W765" s="4">
        <v>57</v>
      </c>
    </row>
    <row r="766" spans="1:23" ht="11.25" customHeight="1" x14ac:dyDescent="0.25">
      <c r="A766" s="4" t="s">
        <v>27</v>
      </c>
      <c r="B766" s="4" t="s">
        <v>22</v>
      </c>
      <c r="C766" s="4" t="s">
        <v>23</v>
      </c>
      <c r="D766" s="4" t="s">
        <v>24</v>
      </c>
      <c r="E766" s="4" t="s">
        <v>32</v>
      </c>
      <c r="F766" s="4" t="s">
        <v>25</v>
      </c>
      <c r="G766" s="4" t="s">
        <v>25</v>
      </c>
      <c r="H766" s="4" t="s">
        <v>25</v>
      </c>
      <c r="I766" s="5">
        <v>44562</v>
      </c>
      <c r="J766" s="6">
        <v>0</v>
      </c>
      <c r="K766" s="6">
        <v>0</v>
      </c>
      <c r="L766" s="6">
        <v>-0.88200000000000001</v>
      </c>
      <c r="M766" s="6">
        <v>-0.88200000000000001</v>
      </c>
      <c r="N766" s="6">
        <v>-0.88200000000000001</v>
      </c>
      <c r="O766" s="6">
        <v>-0.88200000000000001</v>
      </c>
      <c r="P766" s="6">
        <v>-1</v>
      </c>
      <c r="Q766" s="4" t="s">
        <v>26</v>
      </c>
      <c r="R766" s="4">
        <v>0</v>
      </c>
      <c r="S766" s="4" t="s">
        <v>270</v>
      </c>
      <c r="T766" s="4" t="s">
        <v>515</v>
      </c>
      <c r="U766" s="4">
        <v>0</v>
      </c>
      <c r="V766" s="4">
        <v>20</v>
      </c>
      <c r="W766" s="4">
        <v>57</v>
      </c>
    </row>
    <row r="767" spans="1:23" ht="11.25" customHeight="1" x14ac:dyDescent="0.25">
      <c r="A767" s="4" t="s">
        <v>28</v>
      </c>
      <c r="B767" s="4" t="s">
        <v>22</v>
      </c>
      <c r="C767" s="4" t="s">
        <v>23</v>
      </c>
      <c r="D767" s="4" t="s">
        <v>24</v>
      </c>
      <c r="E767" s="4" t="s">
        <v>32</v>
      </c>
      <c r="F767" s="4" t="s">
        <v>25</v>
      </c>
      <c r="G767" s="4" t="s">
        <v>25</v>
      </c>
      <c r="H767" s="4" t="s">
        <v>25</v>
      </c>
      <c r="I767" s="5">
        <v>44562</v>
      </c>
      <c r="J767" s="6">
        <v>0</v>
      </c>
      <c r="K767" s="6">
        <v>0</v>
      </c>
      <c r="L767" s="6">
        <v>0.61</v>
      </c>
      <c r="M767" s="6">
        <v>0.61</v>
      </c>
      <c r="N767" s="6">
        <v>0.61</v>
      </c>
      <c r="O767" s="6">
        <v>0.61</v>
      </c>
      <c r="P767" s="6">
        <v>14</v>
      </c>
      <c r="Q767" s="4" t="s">
        <v>26</v>
      </c>
      <c r="R767" s="4">
        <v>0</v>
      </c>
      <c r="S767" s="4" t="s">
        <v>270</v>
      </c>
      <c r="T767" s="4" t="s">
        <v>515</v>
      </c>
      <c r="U767" s="4">
        <v>0</v>
      </c>
      <c r="V767" s="4">
        <v>20</v>
      </c>
      <c r="W767" s="4">
        <v>57</v>
      </c>
    </row>
    <row r="768" spans="1:23" ht="11.25" customHeight="1" x14ac:dyDescent="0.25">
      <c r="A768" s="4" t="s">
        <v>21</v>
      </c>
      <c r="B768" s="4" t="s">
        <v>22</v>
      </c>
      <c r="C768" s="4" t="s">
        <v>23</v>
      </c>
      <c r="D768" s="4" t="s">
        <v>24</v>
      </c>
      <c r="E768" s="4" t="s">
        <v>32</v>
      </c>
      <c r="F768" s="4" t="s">
        <v>25</v>
      </c>
      <c r="G768" s="4" t="s">
        <v>25</v>
      </c>
      <c r="H768" s="4" t="s">
        <v>25</v>
      </c>
      <c r="I768" s="5">
        <v>44593</v>
      </c>
      <c r="J768" s="6">
        <v>0</v>
      </c>
      <c r="K768" s="6">
        <v>0</v>
      </c>
      <c r="L768" s="6">
        <v>222.44399999999999</v>
      </c>
      <c r="M768" s="6">
        <v>222.44399999999999</v>
      </c>
      <c r="N768" s="6">
        <v>222.44399999999999</v>
      </c>
      <c r="O768" s="6">
        <v>222.44399999999999</v>
      </c>
      <c r="P768" s="6">
        <v>2526</v>
      </c>
      <c r="Q768" s="4" t="s">
        <v>26</v>
      </c>
      <c r="R768" s="4">
        <v>0</v>
      </c>
      <c r="S768" s="4" t="s">
        <v>271</v>
      </c>
      <c r="T768" s="4" t="s">
        <v>516</v>
      </c>
      <c r="U768" s="4">
        <v>0</v>
      </c>
      <c r="V768" s="4">
        <v>20</v>
      </c>
      <c r="W768" s="4">
        <v>57</v>
      </c>
    </row>
    <row r="769" spans="1:23" ht="11.25" customHeight="1" x14ac:dyDescent="0.25">
      <c r="A769" s="4" t="s">
        <v>28</v>
      </c>
      <c r="B769" s="4" t="s">
        <v>22</v>
      </c>
      <c r="C769" s="4" t="s">
        <v>23</v>
      </c>
      <c r="D769" s="4" t="s">
        <v>24</v>
      </c>
      <c r="E769" s="4" t="s">
        <v>32</v>
      </c>
      <c r="F769" s="4" t="s">
        <v>25</v>
      </c>
      <c r="G769" s="4" t="s">
        <v>25</v>
      </c>
      <c r="H769" s="4" t="s">
        <v>25</v>
      </c>
      <c r="I769" s="5">
        <v>44593</v>
      </c>
      <c r="J769" s="6">
        <v>0</v>
      </c>
      <c r="K769" s="6">
        <v>0</v>
      </c>
      <c r="L769" s="6">
        <v>0.68100000000000005</v>
      </c>
      <c r="M769" s="6">
        <v>0.68100000000000005</v>
      </c>
      <c r="N769" s="6">
        <v>0.68100000000000005</v>
      </c>
      <c r="O769" s="6">
        <v>0.68100000000000005</v>
      </c>
      <c r="P769" s="6">
        <v>13</v>
      </c>
      <c r="Q769" s="4" t="s">
        <v>26</v>
      </c>
      <c r="R769" s="4">
        <v>0</v>
      </c>
      <c r="S769" s="4" t="s">
        <v>271</v>
      </c>
      <c r="T769" s="4" t="s">
        <v>516</v>
      </c>
      <c r="U769" s="4">
        <v>0</v>
      </c>
      <c r="V769" s="4">
        <v>20</v>
      </c>
      <c r="W769" s="4">
        <v>57</v>
      </c>
    </row>
    <row r="770" spans="1:23" ht="11.25" customHeight="1" x14ac:dyDescent="0.25">
      <c r="A770" s="4" t="s">
        <v>21</v>
      </c>
      <c r="B770" s="4" t="s">
        <v>22</v>
      </c>
      <c r="C770" s="4" t="s">
        <v>23</v>
      </c>
      <c r="D770" s="4" t="s">
        <v>24</v>
      </c>
      <c r="E770" s="4" t="s">
        <v>32</v>
      </c>
      <c r="F770" s="4" t="s">
        <v>25</v>
      </c>
      <c r="G770" s="4" t="s">
        <v>25</v>
      </c>
      <c r="H770" s="4" t="s">
        <v>25</v>
      </c>
      <c r="I770" s="5">
        <v>44621</v>
      </c>
      <c r="J770" s="6">
        <v>0</v>
      </c>
      <c r="K770" s="6">
        <v>0</v>
      </c>
      <c r="L770" s="6">
        <v>285.83800000000002</v>
      </c>
      <c r="M770" s="6">
        <v>285.83800000000002</v>
      </c>
      <c r="N770" s="6">
        <v>285.83800000000002</v>
      </c>
      <c r="O770" s="6">
        <v>285.83800000000002</v>
      </c>
      <c r="P770" s="6">
        <v>3123</v>
      </c>
      <c r="Q770" s="4" t="s">
        <v>26</v>
      </c>
      <c r="R770" s="4">
        <v>0</v>
      </c>
      <c r="S770" s="4" t="s">
        <v>272</v>
      </c>
      <c r="T770" s="4" t="s">
        <v>517</v>
      </c>
      <c r="U770" s="4">
        <v>0</v>
      </c>
      <c r="V770" s="4">
        <v>20</v>
      </c>
      <c r="W770" s="4">
        <v>57</v>
      </c>
    </row>
    <row r="771" spans="1:23" ht="11.25" customHeight="1" x14ac:dyDescent="0.25">
      <c r="A771" s="4" t="s">
        <v>28</v>
      </c>
      <c r="B771" s="4" t="s">
        <v>22</v>
      </c>
      <c r="C771" s="4" t="s">
        <v>23</v>
      </c>
      <c r="D771" s="4" t="s">
        <v>24</v>
      </c>
      <c r="E771" s="4" t="s">
        <v>32</v>
      </c>
      <c r="F771" s="4" t="s">
        <v>25</v>
      </c>
      <c r="G771" s="4" t="s">
        <v>25</v>
      </c>
      <c r="H771" s="4" t="s">
        <v>25</v>
      </c>
      <c r="I771" s="5">
        <v>44621</v>
      </c>
      <c r="J771" s="6">
        <v>0</v>
      </c>
      <c r="K771" s="6">
        <v>0</v>
      </c>
      <c r="L771" s="6">
        <v>1.347</v>
      </c>
      <c r="M771" s="6">
        <v>1.347</v>
      </c>
      <c r="N771" s="6">
        <v>1.347</v>
      </c>
      <c r="O771" s="6">
        <v>1.347</v>
      </c>
      <c r="P771" s="6">
        <v>16</v>
      </c>
      <c r="Q771" s="4" t="s">
        <v>26</v>
      </c>
      <c r="R771" s="4">
        <v>0</v>
      </c>
      <c r="S771" s="4" t="s">
        <v>272</v>
      </c>
      <c r="T771" s="4" t="s">
        <v>517</v>
      </c>
      <c r="U771" s="4">
        <v>0</v>
      </c>
      <c r="V771" s="4">
        <v>20</v>
      </c>
      <c r="W771" s="4">
        <v>57</v>
      </c>
    </row>
    <row r="772" spans="1:23" ht="11.25" customHeight="1" x14ac:dyDescent="0.25">
      <c r="A772" s="4" t="s">
        <v>21</v>
      </c>
      <c r="B772" s="4" t="s">
        <v>22</v>
      </c>
      <c r="C772" s="4" t="s">
        <v>23</v>
      </c>
      <c r="D772" s="4" t="s">
        <v>24</v>
      </c>
      <c r="E772" s="4" t="s">
        <v>32</v>
      </c>
      <c r="F772" s="4" t="s">
        <v>25</v>
      </c>
      <c r="G772" s="4" t="s">
        <v>25</v>
      </c>
      <c r="H772" s="4" t="s">
        <v>25</v>
      </c>
      <c r="I772" s="5">
        <v>44652</v>
      </c>
      <c r="J772" s="6">
        <v>0</v>
      </c>
      <c r="K772" s="6">
        <v>0</v>
      </c>
      <c r="L772" s="6">
        <v>292.87</v>
      </c>
      <c r="M772" s="6">
        <v>292.87</v>
      </c>
      <c r="N772" s="6">
        <v>292.87</v>
      </c>
      <c r="O772" s="6">
        <v>292.87</v>
      </c>
      <c r="P772" s="6">
        <v>3184</v>
      </c>
      <c r="Q772" s="4" t="s">
        <v>26</v>
      </c>
      <c r="R772" s="4">
        <v>0</v>
      </c>
      <c r="S772" s="4" t="s">
        <v>273</v>
      </c>
      <c r="T772" s="4" t="s">
        <v>518</v>
      </c>
      <c r="U772" s="4">
        <v>0</v>
      </c>
      <c r="V772" s="4">
        <v>20</v>
      </c>
      <c r="W772" s="4">
        <v>57</v>
      </c>
    </row>
    <row r="773" spans="1:23" ht="11.25" customHeight="1" x14ac:dyDescent="0.25">
      <c r="A773" s="4" t="s">
        <v>28</v>
      </c>
      <c r="B773" s="4" t="s">
        <v>22</v>
      </c>
      <c r="C773" s="4" t="s">
        <v>23</v>
      </c>
      <c r="D773" s="4" t="s">
        <v>24</v>
      </c>
      <c r="E773" s="4" t="s">
        <v>32</v>
      </c>
      <c r="F773" s="4" t="s">
        <v>25</v>
      </c>
      <c r="G773" s="4" t="s">
        <v>25</v>
      </c>
      <c r="H773" s="4" t="s">
        <v>25</v>
      </c>
      <c r="I773" s="5">
        <v>44652</v>
      </c>
      <c r="J773" s="6">
        <v>0</v>
      </c>
      <c r="K773" s="6">
        <v>0</v>
      </c>
      <c r="L773" s="6">
        <v>1.137</v>
      </c>
      <c r="M773" s="6">
        <v>1.137</v>
      </c>
      <c r="N773" s="6">
        <v>1.137</v>
      </c>
      <c r="O773" s="6">
        <v>1.137</v>
      </c>
      <c r="P773" s="6">
        <v>15</v>
      </c>
      <c r="Q773" s="4" t="s">
        <v>26</v>
      </c>
      <c r="R773" s="4">
        <v>0</v>
      </c>
      <c r="S773" s="4" t="s">
        <v>273</v>
      </c>
      <c r="T773" s="4" t="s">
        <v>518</v>
      </c>
      <c r="U773" s="4">
        <v>0</v>
      </c>
      <c r="V773" s="4">
        <v>20</v>
      </c>
      <c r="W773" s="4">
        <v>57</v>
      </c>
    </row>
    <row r="774" spans="1:23" ht="11.25" customHeight="1" x14ac:dyDescent="0.25">
      <c r="A774" s="4" t="s">
        <v>21</v>
      </c>
      <c r="B774" s="4" t="s">
        <v>22</v>
      </c>
      <c r="C774" s="4" t="s">
        <v>23</v>
      </c>
      <c r="D774" s="4" t="s">
        <v>24</v>
      </c>
      <c r="E774" s="4" t="s">
        <v>32</v>
      </c>
      <c r="F774" s="4" t="s">
        <v>25</v>
      </c>
      <c r="G774" s="4" t="s">
        <v>25</v>
      </c>
      <c r="H774" s="4" t="s">
        <v>25</v>
      </c>
      <c r="I774" s="5">
        <v>44682</v>
      </c>
      <c r="J774" s="6">
        <v>0</v>
      </c>
      <c r="K774" s="6">
        <v>0</v>
      </c>
      <c r="L774" s="6">
        <v>169.56299999999999</v>
      </c>
      <c r="M774" s="6">
        <v>169.56299999999999</v>
      </c>
      <c r="N774" s="6">
        <v>169.56299999999999</v>
      </c>
      <c r="O774" s="6">
        <v>169.56299999999999</v>
      </c>
      <c r="P774" s="6">
        <v>2030</v>
      </c>
      <c r="Q774" s="4" t="s">
        <v>26</v>
      </c>
      <c r="R774" s="4">
        <v>0</v>
      </c>
      <c r="S774" s="4" t="s">
        <v>274</v>
      </c>
      <c r="T774" s="4" t="s">
        <v>519</v>
      </c>
      <c r="U774" s="4">
        <v>0</v>
      </c>
      <c r="V774" s="4">
        <v>20</v>
      </c>
      <c r="W774" s="4">
        <v>57</v>
      </c>
    </row>
    <row r="775" spans="1:23" ht="11.25" customHeight="1" x14ac:dyDescent="0.25">
      <c r="A775" s="4" t="s">
        <v>28</v>
      </c>
      <c r="B775" s="4" t="s">
        <v>22</v>
      </c>
      <c r="C775" s="4" t="s">
        <v>23</v>
      </c>
      <c r="D775" s="4" t="s">
        <v>24</v>
      </c>
      <c r="E775" s="4" t="s">
        <v>32</v>
      </c>
      <c r="F775" s="4" t="s">
        <v>25</v>
      </c>
      <c r="G775" s="4" t="s">
        <v>25</v>
      </c>
      <c r="H775" s="4" t="s">
        <v>25</v>
      </c>
      <c r="I775" s="5">
        <v>44682</v>
      </c>
      <c r="J775" s="6">
        <v>0</v>
      </c>
      <c r="K775" s="6">
        <v>0</v>
      </c>
      <c r="L775" s="6">
        <v>1.4379999999999999</v>
      </c>
      <c r="M775" s="6">
        <v>1.4379999999999999</v>
      </c>
      <c r="N775" s="6">
        <v>1.4379999999999999</v>
      </c>
      <c r="O775" s="6">
        <v>1.4379999999999999</v>
      </c>
      <c r="P775" s="6">
        <v>15</v>
      </c>
      <c r="Q775" s="4" t="s">
        <v>26</v>
      </c>
      <c r="R775" s="4">
        <v>0</v>
      </c>
      <c r="S775" s="4" t="s">
        <v>274</v>
      </c>
      <c r="T775" s="4" t="s">
        <v>519</v>
      </c>
      <c r="U775" s="4">
        <v>0</v>
      </c>
      <c r="V775" s="4">
        <v>20</v>
      </c>
      <c r="W775" s="4">
        <v>57</v>
      </c>
    </row>
    <row r="776" spans="1:23" ht="11.25" customHeight="1" x14ac:dyDescent="0.25">
      <c r="A776" s="4" t="s">
        <v>21</v>
      </c>
      <c r="B776" s="4" t="s">
        <v>22</v>
      </c>
      <c r="C776" s="4" t="s">
        <v>23</v>
      </c>
      <c r="D776" s="4" t="s">
        <v>24</v>
      </c>
      <c r="E776" s="4" t="s">
        <v>32</v>
      </c>
      <c r="F776" s="4" t="s">
        <v>25</v>
      </c>
      <c r="G776" s="4" t="s">
        <v>25</v>
      </c>
      <c r="H776" s="4" t="s">
        <v>25</v>
      </c>
      <c r="I776" s="5">
        <v>44713</v>
      </c>
      <c r="J776" s="6">
        <v>0</v>
      </c>
      <c r="K776" s="6">
        <v>0</v>
      </c>
      <c r="L776" s="6">
        <v>114.813</v>
      </c>
      <c r="M776" s="6">
        <v>114.813</v>
      </c>
      <c r="N776" s="6">
        <v>114.813</v>
      </c>
      <c r="O776" s="6">
        <v>114.813</v>
      </c>
      <c r="P776" s="6">
        <v>1519</v>
      </c>
      <c r="Q776" s="4" t="s">
        <v>26</v>
      </c>
      <c r="R776" s="4">
        <v>0</v>
      </c>
      <c r="S776" s="4" t="s">
        <v>275</v>
      </c>
      <c r="T776" s="4" t="s">
        <v>520</v>
      </c>
      <c r="U776" s="4">
        <v>0</v>
      </c>
      <c r="V776" s="4">
        <v>20</v>
      </c>
      <c r="W776" s="4">
        <v>57</v>
      </c>
    </row>
    <row r="777" spans="1:23" ht="11.25" customHeight="1" x14ac:dyDescent="0.25">
      <c r="A777" s="4" t="s">
        <v>28</v>
      </c>
      <c r="B777" s="4" t="s">
        <v>22</v>
      </c>
      <c r="C777" s="4" t="s">
        <v>23</v>
      </c>
      <c r="D777" s="4" t="s">
        <v>24</v>
      </c>
      <c r="E777" s="4" t="s">
        <v>32</v>
      </c>
      <c r="F777" s="4" t="s">
        <v>25</v>
      </c>
      <c r="G777" s="4" t="s">
        <v>25</v>
      </c>
      <c r="H777" s="4" t="s">
        <v>25</v>
      </c>
      <c r="I777" s="5">
        <v>44713</v>
      </c>
      <c r="J777" s="6">
        <v>0</v>
      </c>
      <c r="K777" s="6">
        <v>0</v>
      </c>
      <c r="L777" s="6">
        <v>0.79500000000000004</v>
      </c>
      <c r="M777" s="6">
        <v>0.79500000000000004</v>
      </c>
      <c r="N777" s="6">
        <v>0.79500000000000004</v>
      </c>
      <c r="O777" s="6">
        <v>0.79500000000000004</v>
      </c>
      <c r="P777" s="6">
        <v>9</v>
      </c>
      <c r="Q777" s="4" t="s">
        <v>26</v>
      </c>
      <c r="R777" s="4">
        <v>0</v>
      </c>
      <c r="S777" s="4" t="s">
        <v>275</v>
      </c>
      <c r="T777" s="4" t="s">
        <v>520</v>
      </c>
      <c r="U777" s="4">
        <v>0</v>
      </c>
      <c r="V777" s="4">
        <v>20</v>
      </c>
      <c r="W777" s="4">
        <v>57</v>
      </c>
    </row>
    <row r="778" spans="1:23" ht="11.25" customHeight="1" x14ac:dyDescent="0.25">
      <c r="A778" s="4" t="s">
        <v>21</v>
      </c>
      <c r="B778" s="4" t="s">
        <v>22</v>
      </c>
      <c r="C778" s="4" t="s">
        <v>23</v>
      </c>
      <c r="D778" s="4" t="s">
        <v>24</v>
      </c>
      <c r="E778" s="4" t="s">
        <v>32</v>
      </c>
      <c r="F778" s="4" t="s">
        <v>25</v>
      </c>
      <c r="G778" s="4" t="s">
        <v>25</v>
      </c>
      <c r="H778" s="4" t="s">
        <v>25</v>
      </c>
      <c r="I778" s="5">
        <v>44743</v>
      </c>
      <c r="J778" s="6">
        <v>0</v>
      </c>
      <c r="K778" s="6">
        <v>0</v>
      </c>
      <c r="L778" s="6">
        <v>66.433999999999997</v>
      </c>
      <c r="M778" s="6">
        <v>66.433999999999997</v>
      </c>
      <c r="N778" s="6">
        <v>66.433999999999997</v>
      </c>
      <c r="O778" s="6">
        <v>66.433999999999997</v>
      </c>
      <c r="P778" s="6">
        <v>973</v>
      </c>
      <c r="Q778" s="4" t="s">
        <v>26</v>
      </c>
      <c r="R778" s="4">
        <v>0</v>
      </c>
      <c r="S778" s="4" t="s">
        <v>276</v>
      </c>
      <c r="T778" s="4" t="s">
        <v>521</v>
      </c>
      <c r="U778" s="4">
        <v>0</v>
      </c>
      <c r="V778" s="4">
        <v>20</v>
      </c>
      <c r="W778" s="4">
        <v>57</v>
      </c>
    </row>
    <row r="779" spans="1:23" ht="11.25" customHeight="1" x14ac:dyDescent="0.25">
      <c r="A779" s="4" t="s">
        <v>28</v>
      </c>
      <c r="B779" s="4" t="s">
        <v>22</v>
      </c>
      <c r="C779" s="4" t="s">
        <v>23</v>
      </c>
      <c r="D779" s="4" t="s">
        <v>24</v>
      </c>
      <c r="E779" s="4" t="s">
        <v>32</v>
      </c>
      <c r="F779" s="4" t="s">
        <v>25</v>
      </c>
      <c r="G779" s="4" t="s">
        <v>25</v>
      </c>
      <c r="H779" s="4" t="s">
        <v>25</v>
      </c>
      <c r="I779" s="5">
        <v>44743</v>
      </c>
      <c r="J779" s="6">
        <v>0</v>
      </c>
      <c r="K779" s="6">
        <v>0</v>
      </c>
      <c r="L779" s="6">
        <v>0.56399999999999995</v>
      </c>
      <c r="M779" s="6">
        <v>0.56399999999999995</v>
      </c>
      <c r="N779" s="6">
        <v>0.56399999999999995</v>
      </c>
      <c r="O779" s="6">
        <v>0.56399999999999995</v>
      </c>
      <c r="P779" s="6">
        <v>8</v>
      </c>
      <c r="Q779" s="4" t="s">
        <v>26</v>
      </c>
      <c r="R779" s="4">
        <v>0</v>
      </c>
      <c r="S779" s="4" t="s">
        <v>276</v>
      </c>
      <c r="T779" s="4" t="s">
        <v>521</v>
      </c>
      <c r="U779" s="4">
        <v>0</v>
      </c>
      <c r="V779" s="4">
        <v>20</v>
      </c>
      <c r="W779" s="4">
        <v>57</v>
      </c>
    </row>
    <row r="780" spans="1:23" ht="11.25" customHeight="1" x14ac:dyDescent="0.25">
      <c r="A780" s="4" t="s">
        <v>56</v>
      </c>
      <c r="B780" s="4" t="s">
        <v>22</v>
      </c>
      <c r="C780" s="4" t="s">
        <v>23</v>
      </c>
      <c r="D780" s="4" t="s">
        <v>24</v>
      </c>
      <c r="E780" s="4" t="s">
        <v>32</v>
      </c>
      <c r="F780" s="4" t="s">
        <v>25</v>
      </c>
      <c r="G780" s="4" t="s">
        <v>25</v>
      </c>
      <c r="H780" s="4" t="s">
        <v>25</v>
      </c>
      <c r="I780" s="5">
        <v>44774</v>
      </c>
      <c r="J780" s="6">
        <v>0</v>
      </c>
      <c r="K780" s="6">
        <v>0</v>
      </c>
      <c r="L780" s="6">
        <v>66.433999999999997</v>
      </c>
      <c r="M780" s="6">
        <v>66.433999999999997</v>
      </c>
      <c r="N780" s="6">
        <v>66.433999999999997</v>
      </c>
      <c r="O780" s="6">
        <v>66.433999999999997</v>
      </c>
      <c r="P780" s="6">
        <v>973</v>
      </c>
      <c r="Q780" s="4" t="s">
        <v>26</v>
      </c>
      <c r="R780" s="4">
        <v>0</v>
      </c>
      <c r="S780" s="4" t="s">
        <v>277</v>
      </c>
      <c r="T780" s="4" t="s">
        <v>522</v>
      </c>
      <c r="U780" s="4">
        <v>0</v>
      </c>
      <c r="V780" s="4">
        <v>20</v>
      </c>
      <c r="W780" s="4">
        <v>57</v>
      </c>
    </row>
    <row r="781" spans="1:23" ht="11.25" customHeight="1" x14ac:dyDescent="0.25">
      <c r="A781" s="4" t="s">
        <v>56</v>
      </c>
      <c r="B781" s="4" t="s">
        <v>22</v>
      </c>
      <c r="C781" s="4" t="s">
        <v>23</v>
      </c>
      <c r="D781" s="4" t="s">
        <v>24</v>
      </c>
      <c r="E781" s="4" t="s">
        <v>32</v>
      </c>
      <c r="F781" s="4" t="s">
        <v>25</v>
      </c>
      <c r="G781" s="4" t="s">
        <v>25</v>
      </c>
      <c r="H781" s="4" t="s">
        <v>25</v>
      </c>
      <c r="I781" s="5">
        <v>44774</v>
      </c>
      <c r="J781" s="6">
        <v>0</v>
      </c>
      <c r="K781" s="6">
        <v>0</v>
      </c>
      <c r="L781" s="6">
        <v>0.56399999999999995</v>
      </c>
      <c r="M781" s="6">
        <v>0.56399999999999995</v>
      </c>
      <c r="N781" s="6">
        <v>0.56399999999999995</v>
      </c>
      <c r="O781" s="6">
        <v>0.56399999999999995</v>
      </c>
      <c r="P781" s="6">
        <v>8</v>
      </c>
      <c r="Q781" s="4" t="s">
        <v>26</v>
      </c>
      <c r="R781" s="4">
        <v>0</v>
      </c>
      <c r="S781" s="4" t="s">
        <v>277</v>
      </c>
      <c r="T781" s="4" t="s">
        <v>522</v>
      </c>
      <c r="U781" s="4">
        <v>0</v>
      </c>
      <c r="V781" s="4">
        <v>20</v>
      </c>
      <c r="W781" s="4">
        <v>57</v>
      </c>
    </row>
    <row r="782" spans="1:23" ht="11.25" customHeight="1" x14ac:dyDescent="0.25">
      <c r="A782" s="4" t="s">
        <v>21</v>
      </c>
      <c r="B782" s="4" t="s">
        <v>43</v>
      </c>
      <c r="C782" s="4" t="s">
        <v>33</v>
      </c>
      <c r="D782" s="4" t="s">
        <v>44</v>
      </c>
      <c r="E782" s="4" t="s">
        <v>25</v>
      </c>
      <c r="F782" s="4" t="s">
        <v>25</v>
      </c>
      <c r="G782" s="4" t="s">
        <v>25</v>
      </c>
      <c r="H782" s="4" t="s">
        <v>35</v>
      </c>
      <c r="I782" s="5">
        <v>44440</v>
      </c>
      <c r="J782" s="6">
        <v>0</v>
      </c>
      <c r="K782" s="6">
        <v>0</v>
      </c>
      <c r="L782" s="6">
        <v>0.439</v>
      </c>
      <c r="M782" s="6">
        <v>0.439</v>
      </c>
      <c r="N782" s="6">
        <v>0.439</v>
      </c>
      <c r="O782" s="6">
        <v>0.439</v>
      </c>
      <c r="P782" s="6">
        <v>0</v>
      </c>
      <c r="Q782" s="4" t="s">
        <v>26</v>
      </c>
      <c r="R782" s="4">
        <v>0</v>
      </c>
      <c r="S782" s="4" t="s">
        <v>278</v>
      </c>
      <c r="T782" s="4" t="s">
        <v>523</v>
      </c>
      <c r="U782" s="4">
        <v>0</v>
      </c>
      <c r="V782" s="4">
        <v>28</v>
      </c>
      <c r="W782" s="4">
        <v>65</v>
      </c>
    </row>
    <row r="783" spans="1:23" ht="11.25" customHeight="1" x14ac:dyDescent="0.25">
      <c r="A783" s="4" t="s">
        <v>21</v>
      </c>
      <c r="B783" s="4" t="s">
        <v>43</v>
      </c>
      <c r="C783" s="4" t="s">
        <v>33</v>
      </c>
      <c r="D783" s="4" t="s">
        <v>44</v>
      </c>
      <c r="E783" s="4" t="s">
        <v>25</v>
      </c>
      <c r="F783" s="4" t="s">
        <v>25</v>
      </c>
      <c r="G783" s="4" t="s">
        <v>25</v>
      </c>
      <c r="H783" s="4" t="s">
        <v>35</v>
      </c>
      <c r="I783" s="5">
        <v>44470</v>
      </c>
      <c r="J783" s="6">
        <v>0</v>
      </c>
      <c r="K783" s="6">
        <v>0</v>
      </c>
      <c r="L783" s="6">
        <v>0.68200000000000005</v>
      </c>
      <c r="M783" s="6">
        <v>0.68200000000000005</v>
      </c>
      <c r="N783" s="6">
        <v>0.68200000000000005</v>
      </c>
      <c r="O783" s="6">
        <v>0.68200000000000005</v>
      </c>
      <c r="P783" s="6">
        <v>0</v>
      </c>
      <c r="Q783" s="4" t="s">
        <v>26</v>
      </c>
      <c r="R783" s="4">
        <v>0</v>
      </c>
      <c r="S783" s="4" t="s">
        <v>279</v>
      </c>
      <c r="T783" s="4" t="s">
        <v>524</v>
      </c>
      <c r="U783" s="4">
        <v>0</v>
      </c>
      <c r="V783" s="4">
        <v>28</v>
      </c>
      <c r="W783" s="4">
        <v>65</v>
      </c>
    </row>
    <row r="784" spans="1:23" ht="11.25" customHeight="1" x14ac:dyDescent="0.25">
      <c r="A784" s="4" t="s">
        <v>21</v>
      </c>
      <c r="B784" s="4" t="s">
        <v>43</v>
      </c>
      <c r="C784" s="4" t="s">
        <v>33</v>
      </c>
      <c r="D784" s="4" t="s">
        <v>44</v>
      </c>
      <c r="E784" s="4" t="s">
        <v>25</v>
      </c>
      <c r="F784" s="4" t="s">
        <v>25</v>
      </c>
      <c r="G784" s="4" t="s">
        <v>25</v>
      </c>
      <c r="H784" s="4" t="s">
        <v>35</v>
      </c>
      <c r="I784" s="5">
        <v>44501</v>
      </c>
      <c r="J784" s="6">
        <v>0</v>
      </c>
      <c r="K784" s="6">
        <v>0</v>
      </c>
      <c r="L784" s="6">
        <v>0.317</v>
      </c>
      <c r="M784" s="6">
        <v>0.317</v>
      </c>
      <c r="N784" s="6">
        <v>0.317</v>
      </c>
      <c r="O784" s="6">
        <v>0.317</v>
      </c>
      <c r="P784" s="6">
        <v>0</v>
      </c>
      <c r="Q784" s="4" t="s">
        <v>26</v>
      </c>
      <c r="R784" s="4">
        <v>0</v>
      </c>
      <c r="S784" s="4" t="s">
        <v>280</v>
      </c>
      <c r="T784" s="4" t="s">
        <v>525</v>
      </c>
      <c r="U784" s="4">
        <v>0</v>
      </c>
      <c r="V784" s="4">
        <v>28</v>
      </c>
      <c r="W784" s="4">
        <v>65</v>
      </c>
    </row>
    <row r="785" spans="1:23" ht="11.25" customHeight="1" x14ac:dyDescent="0.25">
      <c r="A785" s="4" t="s">
        <v>21</v>
      </c>
      <c r="B785" s="4" t="s">
        <v>43</v>
      </c>
      <c r="C785" s="4" t="s">
        <v>33</v>
      </c>
      <c r="D785" s="4" t="s">
        <v>44</v>
      </c>
      <c r="E785" s="4" t="s">
        <v>25</v>
      </c>
      <c r="F785" s="4" t="s">
        <v>25</v>
      </c>
      <c r="G785" s="4" t="s">
        <v>25</v>
      </c>
      <c r="H785" s="4" t="s">
        <v>35</v>
      </c>
      <c r="I785" s="5">
        <v>44531</v>
      </c>
      <c r="J785" s="6">
        <v>0</v>
      </c>
      <c r="K785" s="6">
        <v>0</v>
      </c>
      <c r="L785" s="6">
        <v>0.26200000000000001</v>
      </c>
      <c r="M785" s="6">
        <v>0.26200000000000001</v>
      </c>
      <c r="N785" s="6">
        <v>0.26200000000000001</v>
      </c>
      <c r="O785" s="6">
        <v>0.26200000000000001</v>
      </c>
      <c r="P785" s="6">
        <v>0</v>
      </c>
      <c r="Q785" s="4" t="s">
        <v>26</v>
      </c>
      <c r="R785" s="4">
        <v>0</v>
      </c>
      <c r="S785" s="4" t="s">
        <v>281</v>
      </c>
      <c r="T785" s="4" t="s">
        <v>526</v>
      </c>
      <c r="U785" s="4">
        <v>0</v>
      </c>
      <c r="V785" s="4">
        <v>28</v>
      </c>
      <c r="W785" s="4">
        <v>65</v>
      </c>
    </row>
    <row r="786" spans="1:23" ht="11.25" customHeight="1" x14ac:dyDescent="0.25">
      <c r="A786" s="4" t="s">
        <v>21</v>
      </c>
      <c r="B786" s="4" t="s">
        <v>43</v>
      </c>
      <c r="C786" s="4" t="s">
        <v>33</v>
      </c>
      <c r="D786" s="4" t="s">
        <v>44</v>
      </c>
      <c r="E786" s="4" t="s">
        <v>25</v>
      </c>
      <c r="F786" s="4" t="s">
        <v>25</v>
      </c>
      <c r="G786" s="4" t="s">
        <v>25</v>
      </c>
      <c r="H786" s="4" t="s">
        <v>35</v>
      </c>
      <c r="I786" s="5">
        <v>44562</v>
      </c>
      <c r="J786" s="6">
        <v>0</v>
      </c>
      <c r="K786" s="6">
        <v>0</v>
      </c>
      <c r="L786" s="6">
        <v>0.42599999999999999</v>
      </c>
      <c r="M786" s="6">
        <v>0.42599999999999999</v>
      </c>
      <c r="N786" s="6">
        <v>0.42599999999999999</v>
      </c>
      <c r="O786" s="6">
        <v>0.42599999999999999</v>
      </c>
      <c r="P786" s="6">
        <v>0</v>
      </c>
      <c r="Q786" s="4" t="s">
        <v>26</v>
      </c>
      <c r="R786" s="4">
        <v>0</v>
      </c>
      <c r="S786" s="4" t="s">
        <v>282</v>
      </c>
      <c r="T786" s="4" t="s">
        <v>527</v>
      </c>
      <c r="U786" s="4">
        <v>0</v>
      </c>
      <c r="V786" s="4">
        <v>28</v>
      </c>
      <c r="W786" s="4">
        <v>65</v>
      </c>
    </row>
    <row r="787" spans="1:23" ht="11.25" customHeight="1" x14ac:dyDescent="0.25">
      <c r="A787" s="4" t="s">
        <v>21</v>
      </c>
      <c r="B787" s="4" t="s">
        <v>43</v>
      </c>
      <c r="C787" s="4" t="s">
        <v>33</v>
      </c>
      <c r="D787" s="4" t="s">
        <v>44</v>
      </c>
      <c r="E787" s="4" t="s">
        <v>25</v>
      </c>
      <c r="F787" s="4" t="s">
        <v>25</v>
      </c>
      <c r="G787" s="4" t="s">
        <v>25</v>
      </c>
      <c r="H787" s="4" t="s">
        <v>35</v>
      </c>
      <c r="I787" s="5">
        <v>44593</v>
      </c>
      <c r="J787" s="6">
        <v>0</v>
      </c>
      <c r="K787" s="6">
        <v>0</v>
      </c>
      <c r="L787" s="6">
        <v>0.34699999999999998</v>
      </c>
      <c r="M787" s="6">
        <v>0.34699999999999998</v>
      </c>
      <c r="N787" s="6">
        <v>0.34699999999999998</v>
      </c>
      <c r="O787" s="6">
        <v>0.34699999999999998</v>
      </c>
      <c r="P787" s="6">
        <v>0</v>
      </c>
      <c r="Q787" s="4" t="s">
        <v>26</v>
      </c>
      <c r="R787" s="4">
        <v>0</v>
      </c>
      <c r="S787" s="4" t="s">
        <v>283</v>
      </c>
      <c r="T787" s="4" t="s">
        <v>528</v>
      </c>
      <c r="U787" s="4">
        <v>0</v>
      </c>
      <c r="V787" s="4">
        <v>28</v>
      </c>
      <c r="W787" s="4">
        <v>65</v>
      </c>
    </row>
    <row r="788" spans="1:23" ht="11.25" customHeight="1" x14ac:dyDescent="0.25">
      <c r="A788" s="4" t="s">
        <v>21</v>
      </c>
      <c r="B788" s="4" t="s">
        <v>43</v>
      </c>
      <c r="C788" s="4" t="s">
        <v>33</v>
      </c>
      <c r="D788" s="4" t="s">
        <v>44</v>
      </c>
      <c r="E788" s="4" t="s">
        <v>25</v>
      </c>
      <c r="F788" s="4" t="s">
        <v>25</v>
      </c>
      <c r="G788" s="4" t="s">
        <v>25</v>
      </c>
      <c r="H788" s="4" t="s">
        <v>35</v>
      </c>
      <c r="I788" s="5">
        <v>44621</v>
      </c>
      <c r="J788" s="6">
        <v>0</v>
      </c>
      <c r="K788" s="6">
        <v>0</v>
      </c>
      <c r="L788" s="6">
        <v>0.35099999999999998</v>
      </c>
      <c r="M788" s="6">
        <v>0.35099999999999998</v>
      </c>
      <c r="N788" s="6">
        <v>0.35099999999999998</v>
      </c>
      <c r="O788" s="6">
        <v>0.35099999999999998</v>
      </c>
      <c r="P788" s="6">
        <v>0</v>
      </c>
      <c r="Q788" s="4" t="s">
        <v>26</v>
      </c>
      <c r="R788" s="4">
        <v>0</v>
      </c>
      <c r="S788" s="4" t="s">
        <v>284</v>
      </c>
      <c r="T788" s="4" t="s">
        <v>529</v>
      </c>
      <c r="U788" s="4">
        <v>0</v>
      </c>
      <c r="V788" s="4">
        <v>28</v>
      </c>
      <c r="W788" s="4">
        <v>65</v>
      </c>
    </row>
    <row r="789" spans="1:23" ht="11.25" customHeight="1" x14ac:dyDescent="0.25">
      <c r="A789" s="4" t="s">
        <v>21</v>
      </c>
      <c r="B789" s="4" t="s">
        <v>43</v>
      </c>
      <c r="C789" s="4" t="s">
        <v>33</v>
      </c>
      <c r="D789" s="4" t="s">
        <v>44</v>
      </c>
      <c r="E789" s="4" t="s">
        <v>25</v>
      </c>
      <c r="F789" s="4" t="s">
        <v>25</v>
      </c>
      <c r="G789" s="4" t="s">
        <v>25</v>
      </c>
      <c r="H789" s="4" t="s">
        <v>35</v>
      </c>
      <c r="I789" s="5">
        <v>44652</v>
      </c>
      <c r="J789" s="6">
        <v>0</v>
      </c>
      <c r="K789" s="6">
        <v>0</v>
      </c>
      <c r="L789" s="6">
        <v>0.30199999999999999</v>
      </c>
      <c r="M789" s="6">
        <v>0.30199999999999999</v>
      </c>
      <c r="N789" s="6">
        <v>0.30199999999999999</v>
      </c>
      <c r="O789" s="6">
        <v>0.30199999999999999</v>
      </c>
      <c r="P789" s="6">
        <v>0</v>
      </c>
      <c r="Q789" s="4" t="s">
        <v>26</v>
      </c>
      <c r="R789" s="4">
        <v>0</v>
      </c>
      <c r="S789" s="4" t="s">
        <v>285</v>
      </c>
      <c r="T789" s="4" t="s">
        <v>530</v>
      </c>
      <c r="U789" s="4">
        <v>0</v>
      </c>
      <c r="V789" s="4">
        <v>28</v>
      </c>
      <c r="W789" s="4">
        <v>65</v>
      </c>
    </row>
    <row r="790" spans="1:23" ht="11.25" customHeight="1" x14ac:dyDescent="0.25">
      <c r="A790" s="4" t="s">
        <v>21</v>
      </c>
      <c r="B790" s="4" t="s">
        <v>43</v>
      </c>
      <c r="C790" s="4" t="s">
        <v>33</v>
      </c>
      <c r="D790" s="4" t="s">
        <v>44</v>
      </c>
      <c r="E790" s="4" t="s">
        <v>25</v>
      </c>
      <c r="F790" s="4" t="s">
        <v>25</v>
      </c>
      <c r="G790" s="4" t="s">
        <v>25</v>
      </c>
      <c r="H790" s="4" t="s">
        <v>35</v>
      </c>
      <c r="I790" s="5">
        <v>44682</v>
      </c>
      <c r="J790" s="6">
        <v>0</v>
      </c>
      <c r="K790" s="6">
        <v>0</v>
      </c>
      <c r="L790" s="6">
        <v>0.54500000000000004</v>
      </c>
      <c r="M790" s="6">
        <v>0.54500000000000004</v>
      </c>
      <c r="N790" s="6">
        <v>0.54500000000000004</v>
      </c>
      <c r="O790" s="6">
        <v>0.54500000000000004</v>
      </c>
      <c r="P790" s="6">
        <v>0</v>
      </c>
      <c r="Q790" s="4" t="s">
        <v>26</v>
      </c>
      <c r="R790" s="4">
        <v>0</v>
      </c>
      <c r="S790" s="4" t="s">
        <v>286</v>
      </c>
      <c r="T790" s="4" t="s">
        <v>531</v>
      </c>
      <c r="U790" s="4">
        <v>0</v>
      </c>
      <c r="V790" s="4">
        <v>28</v>
      </c>
      <c r="W790" s="4">
        <v>65</v>
      </c>
    </row>
    <row r="791" spans="1:23" ht="11.25" customHeight="1" x14ac:dyDescent="0.25">
      <c r="A791" s="4" t="s">
        <v>21</v>
      </c>
      <c r="B791" s="4" t="s">
        <v>43</v>
      </c>
      <c r="C791" s="4" t="s">
        <v>33</v>
      </c>
      <c r="D791" s="4" t="s">
        <v>44</v>
      </c>
      <c r="E791" s="4" t="s">
        <v>25</v>
      </c>
      <c r="F791" s="4" t="s">
        <v>25</v>
      </c>
      <c r="G791" s="4" t="s">
        <v>25</v>
      </c>
      <c r="H791" s="4" t="s">
        <v>35</v>
      </c>
      <c r="I791" s="5">
        <v>44713</v>
      </c>
      <c r="J791" s="6">
        <v>0</v>
      </c>
      <c r="K791" s="6">
        <v>0</v>
      </c>
      <c r="L791" s="6">
        <v>0.55300000000000005</v>
      </c>
      <c r="M791" s="6">
        <v>0.55300000000000005</v>
      </c>
      <c r="N791" s="6">
        <v>0.55300000000000005</v>
      </c>
      <c r="O791" s="6">
        <v>0.55300000000000005</v>
      </c>
      <c r="P791" s="6">
        <v>0</v>
      </c>
      <c r="Q791" s="4" t="s">
        <v>26</v>
      </c>
      <c r="R791" s="4">
        <v>0</v>
      </c>
      <c r="S791" s="4" t="s">
        <v>287</v>
      </c>
      <c r="T791" s="4" t="s">
        <v>532</v>
      </c>
      <c r="U791" s="4">
        <v>0</v>
      </c>
      <c r="V791" s="4">
        <v>28</v>
      </c>
      <c r="W791" s="4">
        <v>65</v>
      </c>
    </row>
    <row r="792" spans="1:23" ht="11.25" customHeight="1" x14ac:dyDescent="0.25">
      <c r="A792" s="4" t="s">
        <v>21</v>
      </c>
      <c r="B792" s="4" t="s">
        <v>43</v>
      </c>
      <c r="C792" s="4" t="s">
        <v>33</v>
      </c>
      <c r="D792" s="4" t="s">
        <v>44</v>
      </c>
      <c r="E792" s="4" t="s">
        <v>25</v>
      </c>
      <c r="F792" s="4" t="s">
        <v>25</v>
      </c>
      <c r="G792" s="4" t="s">
        <v>25</v>
      </c>
      <c r="H792" s="4" t="s">
        <v>35</v>
      </c>
      <c r="I792" s="5">
        <v>44743</v>
      </c>
      <c r="J792" s="6">
        <v>0</v>
      </c>
      <c r="K792" s="6">
        <v>0</v>
      </c>
      <c r="L792" s="6">
        <v>0.59</v>
      </c>
      <c r="M792" s="6">
        <v>0.59</v>
      </c>
      <c r="N792" s="6">
        <v>0.59</v>
      </c>
      <c r="O792" s="6">
        <v>0.59</v>
      </c>
      <c r="P792" s="6">
        <v>0</v>
      </c>
      <c r="Q792" s="4" t="s">
        <v>26</v>
      </c>
      <c r="R792" s="4">
        <v>0</v>
      </c>
      <c r="S792" s="4" t="s">
        <v>288</v>
      </c>
      <c r="T792" s="4" t="s">
        <v>533</v>
      </c>
      <c r="U792" s="4">
        <v>0</v>
      </c>
      <c r="V792" s="4">
        <v>28</v>
      </c>
      <c r="W792" s="4">
        <v>65</v>
      </c>
    </row>
    <row r="793" spans="1:23" ht="11.25" customHeight="1" x14ac:dyDescent="0.25">
      <c r="A793" s="4" t="s">
        <v>56</v>
      </c>
      <c r="B793" s="4" t="s">
        <v>43</v>
      </c>
      <c r="C793" s="4" t="s">
        <v>33</v>
      </c>
      <c r="D793" s="4" t="s">
        <v>44</v>
      </c>
      <c r="E793" s="4" t="s">
        <v>25</v>
      </c>
      <c r="F793" s="4" t="s">
        <v>25</v>
      </c>
      <c r="G793" s="4" t="s">
        <v>25</v>
      </c>
      <c r="H793" s="4" t="s">
        <v>35</v>
      </c>
      <c r="I793" s="5">
        <v>44774</v>
      </c>
      <c r="J793" s="6">
        <v>0</v>
      </c>
      <c r="K793" s="6">
        <v>0</v>
      </c>
      <c r="L793" s="6">
        <v>0.59</v>
      </c>
      <c r="M793" s="6">
        <v>0.59</v>
      </c>
      <c r="N793" s="6">
        <v>0.59</v>
      </c>
      <c r="O793" s="6">
        <v>0.59</v>
      </c>
      <c r="P793" s="6">
        <v>0</v>
      </c>
      <c r="Q793" s="4" t="s">
        <v>26</v>
      </c>
      <c r="R793" s="4">
        <v>0</v>
      </c>
      <c r="S793" s="4" t="s">
        <v>289</v>
      </c>
      <c r="T793" s="4" t="s">
        <v>534</v>
      </c>
      <c r="U793" s="4">
        <v>0</v>
      </c>
      <c r="V793" s="4">
        <v>28</v>
      </c>
      <c r="W793" s="4">
        <v>65</v>
      </c>
    </row>
    <row r="794" spans="1:23" ht="11.25" customHeight="1" x14ac:dyDescent="0.25">
      <c r="A794" s="4" t="s">
        <v>21</v>
      </c>
      <c r="B794" s="4" t="s">
        <v>43</v>
      </c>
      <c r="C794" s="4" t="s">
        <v>33</v>
      </c>
      <c r="D794" s="4" t="s">
        <v>44</v>
      </c>
      <c r="E794" s="4" t="s">
        <v>25</v>
      </c>
      <c r="F794" s="4" t="s">
        <v>25</v>
      </c>
      <c r="G794" s="4" t="s">
        <v>25</v>
      </c>
      <c r="H794" s="4" t="s">
        <v>36</v>
      </c>
      <c r="I794" s="5">
        <v>44440</v>
      </c>
      <c r="J794" s="6">
        <v>0</v>
      </c>
      <c r="K794" s="6">
        <v>0</v>
      </c>
      <c r="L794" s="6">
        <v>1.4E-2</v>
      </c>
      <c r="M794" s="6">
        <v>1.4E-2</v>
      </c>
      <c r="N794" s="6">
        <v>1.4E-2</v>
      </c>
      <c r="O794" s="6">
        <v>1.4E-2</v>
      </c>
      <c r="P794" s="6">
        <v>0</v>
      </c>
      <c r="Q794" s="4" t="s">
        <v>26</v>
      </c>
      <c r="R794" s="4">
        <v>0</v>
      </c>
      <c r="S794" s="4" t="s">
        <v>290</v>
      </c>
      <c r="T794" s="4" t="s">
        <v>535</v>
      </c>
      <c r="U794" s="4">
        <v>0</v>
      </c>
      <c r="V794" s="4">
        <v>27</v>
      </c>
      <c r="W794" s="4">
        <v>64</v>
      </c>
    </row>
    <row r="795" spans="1:23" ht="11.25" customHeight="1" x14ac:dyDescent="0.25">
      <c r="A795" s="4" t="s">
        <v>21</v>
      </c>
      <c r="B795" s="4" t="s">
        <v>43</v>
      </c>
      <c r="C795" s="4" t="s">
        <v>33</v>
      </c>
      <c r="D795" s="4" t="s">
        <v>44</v>
      </c>
      <c r="E795" s="4" t="s">
        <v>25</v>
      </c>
      <c r="F795" s="4" t="s">
        <v>25</v>
      </c>
      <c r="G795" s="4" t="s">
        <v>25</v>
      </c>
      <c r="H795" s="4" t="s">
        <v>36</v>
      </c>
      <c r="I795" s="5">
        <v>44470</v>
      </c>
      <c r="J795" s="6">
        <v>0</v>
      </c>
      <c r="K795" s="6">
        <v>0</v>
      </c>
      <c r="L795" s="6">
        <v>1.7000000000000001E-2</v>
      </c>
      <c r="M795" s="6">
        <v>1.7000000000000001E-2</v>
      </c>
      <c r="N795" s="6">
        <v>1.7000000000000001E-2</v>
      </c>
      <c r="O795" s="6">
        <v>1.7000000000000001E-2</v>
      </c>
      <c r="P795" s="6">
        <v>0</v>
      </c>
      <c r="Q795" s="4" t="s">
        <v>26</v>
      </c>
      <c r="R795" s="4">
        <v>0</v>
      </c>
      <c r="S795" s="4" t="s">
        <v>291</v>
      </c>
      <c r="T795" s="4" t="s">
        <v>536</v>
      </c>
      <c r="U795" s="4">
        <v>0</v>
      </c>
      <c r="V795" s="4">
        <v>27</v>
      </c>
      <c r="W795" s="4">
        <v>64</v>
      </c>
    </row>
    <row r="796" spans="1:23" ht="11.25" customHeight="1" x14ac:dyDescent="0.25">
      <c r="A796" s="4" t="s">
        <v>21</v>
      </c>
      <c r="B796" s="4" t="s">
        <v>43</v>
      </c>
      <c r="C796" s="4" t="s">
        <v>33</v>
      </c>
      <c r="D796" s="4" t="s">
        <v>44</v>
      </c>
      <c r="E796" s="4" t="s">
        <v>25</v>
      </c>
      <c r="F796" s="4" t="s">
        <v>25</v>
      </c>
      <c r="G796" s="4" t="s">
        <v>25</v>
      </c>
      <c r="H796" s="4" t="s">
        <v>36</v>
      </c>
      <c r="I796" s="5">
        <v>44501</v>
      </c>
      <c r="J796" s="6">
        <v>0</v>
      </c>
      <c r="K796" s="6">
        <v>0</v>
      </c>
      <c r="L796" s="6">
        <v>1.6E-2</v>
      </c>
      <c r="M796" s="6">
        <v>1.6E-2</v>
      </c>
      <c r="N796" s="6">
        <v>1.6E-2</v>
      </c>
      <c r="O796" s="6">
        <v>1.6E-2</v>
      </c>
      <c r="P796" s="6">
        <v>0</v>
      </c>
      <c r="Q796" s="4" t="s">
        <v>26</v>
      </c>
      <c r="R796" s="4">
        <v>0</v>
      </c>
      <c r="S796" s="4" t="s">
        <v>292</v>
      </c>
      <c r="T796" s="4" t="s">
        <v>537</v>
      </c>
      <c r="U796" s="4">
        <v>0</v>
      </c>
      <c r="V796" s="4">
        <v>27</v>
      </c>
      <c r="W796" s="4">
        <v>64</v>
      </c>
    </row>
    <row r="797" spans="1:23" ht="11.25" customHeight="1" x14ac:dyDescent="0.25">
      <c r="A797" s="4" t="s">
        <v>21</v>
      </c>
      <c r="B797" s="4" t="s">
        <v>43</v>
      </c>
      <c r="C797" s="4" t="s">
        <v>33</v>
      </c>
      <c r="D797" s="4" t="s">
        <v>44</v>
      </c>
      <c r="E797" s="4" t="s">
        <v>25</v>
      </c>
      <c r="F797" s="4" t="s">
        <v>25</v>
      </c>
      <c r="G797" s="4" t="s">
        <v>25</v>
      </c>
      <c r="H797" s="4" t="s">
        <v>36</v>
      </c>
      <c r="I797" s="5">
        <v>44531</v>
      </c>
      <c r="J797" s="6">
        <v>0</v>
      </c>
      <c r="K797" s="6">
        <v>0</v>
      </c>
      <c r="L797" s="6">
        <v>1.4999999999999999E-2</v>
      </c>
      <c r="M797" s="6">
        <v>1.4999999999999999E-2</v>
      </c>
      <c r="N797" s="6">
        <v>1.4999999999999999E-2</v>
      </c>
      <c r="O797" s="6">
        <v>1.4999999999999999E-2</v>
      </c>
      <c r="P797" s="6">
        <v>0</v>
      </c>
      <c r="Q797" s="4" t="s">
        <v>26</v>
      </c>
      <c r="R797" s="4">
        <v>0</v>
      </c>
      <c r="S797" s="4" t="s">
        <v>293</v>
      </c>
      <c r="T797" s="4" t="s">
        <v>538</v>
      </c>
      <c r="U797" s="4">
        <v>0</v>
      </c>
      <c r="V797" s="4">
        <v>27</v>
      </c>
      <c r="W797" s="4">
        <v>64</v>
      </c>
    </row>
    <row r="798" spans="1:23" ht="11.25" customHeight="1" x14ac:dyDescent="0.25">
      <c r="A798" s="4" t="s">
        <v>21</v>
      </c>
      <c r="B798" s="4" t="s">
        <v>43</v>
      </c>
      <c r="C798" s="4" t="s">
        <v>33</v>
      </c>
      <c r="D798" s="4" t="s">
        <v>44</v>
      </c>
      <c r="E798" s="4" t="s">
        <v>25</v>
      </c>
      <c r="F798" s="4" t="s">
        <v>25</v>
      </c>
      <c r="G798" s="4" t="s">
        <v>25</v>
      </c>
      <c r="H798" s="4" t="s">
        <v>36</v>
      </c>
      <c r="I798" s="5">
        <v>44562</v>
      </c>
      <c r="J798" s="6">
        <v>0</v>
      </c>
      <c r="K798" s="6">
        <v>0</v>
      </c>
      <c r="L798" s="6">
        <v>1.7000000000000001E-2</v>
      </c>
      <c r="M798" s="6">
        <v>1.7000000000000001E-2</v>
      </c>
      <c r="N798" s="6">
        <v>1.7000000000000001E-2</v>
      </c>
      <c r="O798" s="6">
        <v>1.7000000000000001E-2</v>
      </c>
      <c r="P798" s="6">
        <v>0</v>
      </c>
      <c r="Q798" s="4" t="s">
        <v>26</v>
      </c>
      <c r="R798" s="4">
        <v>0</v>
      </c>
      <c r="S798" s="4" t="s">
        <v>294</v>
      </c>
      <c r="T798" s="4" t="s">
        <v>539</v>
      </c>
      <c r="U798" s="4">
        <v>0</v>
      </c>
      <c r="V798" s="4">
        <v>27</v>
      </c>
      <c r="W798" s="4">
        <v>64</v>
      </c>
    </row>
    <row r="799" spans="1:23" ht="11.25" customHeight="1" x14ac:dyDescent="0.25">
      <c r="A799" s="4" t="s">
        <v>21</v>
      </c>
      <c r="B799" s="4" t="s">
        <v>43</v>
      </c>
      <c r="C799" s="4" t="s">
        <v>33</v>
      </c>
      <c r="D799" s="4" t="s">
        <v>44</v>
      </c>
      <c r="E799" s="4" t="s">
        <v>25</v>
      </c>
      <c r="F799" s="4" t="s">
        <v>25</v>
      </c>
      <c r="G799" s="4" t="s">
        <v>25</v>
      </c>
      <c r="H799" s="4" t="s">
        <v>36</v>
      </c>
      <c r="I799" s="5">
        <v>44593</v>
      </c>
      <c r="J799" s="6">
        <v>0</v>
      </c>
      <c r="K799" s="6">
        <v>0</v>
      </c>
      <c r="L799" s="6">
        <v>1.6E-2</v>
      </c>
      <c r="M799" s="6">
        <v>1.6E-2</v>
      </c>
      <c r="N799" s="6">
        <v>1.6E-2</v>
      </c>
      <c r="O799" s="6">
        <v>1.6E-2</v>
      </c>
      <c r="P799" s="6">
        <v>0</v>
      </c>
      <c r="Q799" s="4" t="s">
        <v>26</v>
      </c>
      <c r="R799" s="4">
        <v>0</v>
      </c>
      <c r="S799" s="4" t="s">
        <v>295</v>
      </c>
      <c r="T799" s="4" t="s">
        <v>540</v>
      </c>
      <c r="U799" s="4">
        <v>0</v>
      </c>
      <c r="V799" s="4">
        <v>27</v>
      </c>
      <c r="W799" s="4">
        <v>64</v>
      </c>
    </row>
    <row r="800" spans="1:23" ht="11.25" customHeight="1" x14ac:dyDescent="0.25">
      <c r="A800" s="4" t="s">
        <v>21</v>
      </c>
      <c r="B800" s="4" t="s">
        <v>43</v>
      </c>
      <c r="C800" s="4" t="s">
        <v>33</v>
      </c>
      <c r="D800" s="4" t="s">
        <v>44</v>
      </c>
      <c r="E800" s="4" t="s">
        <v>25</v>
      </c>
      <c r="F800" s="4" t="s">
        <v>25</v>
      </c>
      <c r="G800" s="4" t="s">
        <v>25</v>
      </c>
      <c r="H800" s="4" t="s">
        <v>36</v>
      </c>
      <c r="I800" s="5">
        <v>44621</v>
      </c>
      <c r="J800" s="6">
        <v>0</v>
      </c>
      <c r="K800" s="6">
        <v>0</v>
      </c>
      <c r="L800" s="6">
        <v>1.6E-2</v>
      </c>
      <c r="M800" s="6">
        <v>1.6E-2</v>
      </c>
      <c r="N800" s="6">
        <v>1.6E-2</v>
      </c>
      <c r="O800" s="6">
        <v>1.6E-2</v>
      </c>
      <c r="P800" s="6">
        <v>0</v>
      </c>
      <c r="Q800" s="4" t="s">
        <v>26</v>
      </c>
      <c r="R800" s="4">
        <v>0</v>
      </c>
      <c r="S800" s="4" t="s">
        <v>296</v>
      </c>
      <c r="T800" s="4" t="s">
        <v>541</v>
      </c>
      <c r="U800" s="4">
        <v>0</v>
      </c>
      <c r="V800" s="4">
        <v>27</v>
      </c>
      <c r="W800" s="4">
        <v>64</v>
      </c>
    </row>
    <row r="801" spans="1:23" ht="11.25" customHeight="1" x14ac:dyDescent="0.25">
      <c r="A801" s="4" t="s">
        <v>21</v>
      </c>
      <c r="B801" s="4" t="s">
        <v>43</v>
      </c>
      <c r="C801" s="4" t="s">
        <v>33</v>
      </c>
      <c r="D801" s="4" t="s">
        <v>44</v>
      </c>
      <c r="E801" s="4" t="s">
        <v>25</v>
      </c>
      <c r="F801" s="4" t="s">
        <v>25</v>
      </c>
      <c r="G801" s="4" t="s">
        <v>25</v>
      </c>
      <c r="H801" s="4" t="s">
        <v>36</v>
      </c>
      <c r="I801" s="5">
        <v>44652</v>
      </c>
      <c r="J801" s="6">
        <v>0</v>
      </c>
      <c r="K801" s="6">
        <v>0</v>
      </c>
      <c r="L801" s="6">
        <v>2.1999999999999999E-2</v>
      </c>
      <c r="M801" s="6">
        <v>2.1999999999999999E-2</v>
      </c>
      <c r="N801" s="6">
        <v>2.1999999999999999E-2</v>
      </c>
      <c r="O801" s="6">
        <v>2.1999999999999999E-2</v>
      </c>
      <c r="P801" s="6">
        <v>0</v>
      </c>
      <c r="Q801" s="4" t="s">
        <v>26</v>
      </c>
      <c r="R801" s="4">
        <v>0</v>
      </c>
      <c r="S801" s="4" t="s">
        <v>297</v>
      </c>
      <c r="T801" s="4" t="s">
        <v>542</v>
      </c>
      <c r="U801" s="4">
        <v>0</v>
      </c>
      <c r="V801" s="4">
        <v>27</v>
      </c>
      <c r="W801" s="4">
        <v>64</v>
      </c>
    </row>
    <row r="802" spans="1:23" ht="11.25" customHeight="1" x14ac:dyDescent="0.25">
      <c r="A802" s="4" t="s">
        <v>21</v>
      </c>
      <c r="B802" s="4" t="s">
        <v>43</v>
      </c>
      <c r="C802" s="4" t="s">
        <v>33</v>
      </c>
      <c r="D802" s="4" t="s">
        <v>44</v>
      </c>
      <c r="E802" s="4" t="s">
        <v>25</v>
      </c>
      <c r="F802" s="4" t="s">
        <v>25</v>
      </c>
      <c r="G802" s="4" t="s">
        <v>25</v>
      </c>
      <c r="H802" s="4" t="s">
        <v>36</v>
      </c>
      <c r="I802" s="5">
        <v>44682</v>
      </c>
      <c r="J802" s="6">
        <v>0</v>
      </c>
      <c r="K802" s="6">
        <v>0</v>
      </c>
      <c r="L802" s="6">
        <v>2.3E-2</v>
      </c>
      <c r="M802" s="6">
        <v>2.3E-2</v>
      </c>
      <c r="N802" s="6">
        <v>2.3E-2</v>
      </c>
      <c r="O802" s="6">
        <v>2.3E-2</v>
      </c>
      <c r="P802" s="6">
        <v>0</v>
      </c>
      <c r="Q802" s="4" t="s">
        <v>26</v>
      </c>
      <c r="R802" s="4">
        <v>0</v>
      </c>
      <c r="S802" s="4" t="s">
        <v>298</v>
      </c>
      <c r="T802" s="4" t="s">
        <v>543</v>
      </c>
      <c r="U802" s="4">
        <v>0</v>
      </c>
      <c r="V802" s="4">
        <v>27</v>
      </c>
      <c r="W802" s="4">
        <v>64</v>
      </c>
    </row>
    <row r="803" spans="1:23" ht="11.25" customHeight="1" x14ac:dyDescent="0.25">
      <c r="A803" s="4" t="s">
        <v>21</v>
      </c>
      <c r="B803" s="4" t="s">
        <v>43</v>
      </c>
      <c r="C803" s="4" t="s">
        <v>33</v>
      </c>
      <c r="D803" s="4" t="s">
        <v>44</v>
      </c>
      <c r="E803" s="4" t="s">
        <v>25</v>
      </c>
      <c r="F803" s="4" t="s">
        <v>25</v>
      </c>
      <c r="G803" s="4" t="s">
        <v>25</v>
      </c>
      <c r="H803" s="4" t="s">
        <v>36</v>
      </c>
      <c r="I803" s="5">
        <v>44713</v>
      </c>
      <c r="J803" s="6">
        <v>0</v>
      </c>
      <c r="K803" s="6">
        <v>0</v>
      </c>
      <c r="L803" s="6">
        <v>1.7000000000000001E-2</v>
      </c>
      <c r="M803" s="6">
        <v>1.7000000000000001E-2</v>
      </c>
      <c r="N803" s="6">
        <v>1.7000000000000001E-2</v>
      </c>
      <c r="O803" s="6">
        <v>1.7000000000000001E-2</v>
      </c>
      <c r="P803" s="6">
        <v>0</v>
      </c>
      <c r="Q803" s="4" t="s">
        <v>26</v>
      </c>
      <c r="R803" s="4">
        <v>0</v>
      </c>
      <c r="S803" s="4" t="s">
        <v>299</v>
      </c>
      <c r="T803" s="4" t="s">
        <v>544</v>
      </c>
      <c r="U803" s="4">
        <v>0</v>
      </c>
      <c r="V803" s="4">
        <v>27</v>
      </c>
      <c r="W803" s="4">
        <v>64</v>
      </c>
    </row>
    <row r="804" spans="1:23" ht="11.25" customHeight="1" x14ac:dyDescent="0.25">
      <c r="A804" s="4" t="s">
        <v>21</v>
      </c>
      <c r="B804" s="4" t="s">
        <v>43</v>
      </c>
      <c r="C804" s="4" t="s">
        <v>33</v>
      </c>
      <c r="D804" s="4" t="s">
        <v>44</v>
      </c>
      <c r="E804" s="4" t="s">
        <v>25</v>
      </c>
      <c r="F804" s="4" t="s">
        <v>25</v>
      </c>
      <c r="G804" s="4" t="s">
        <v>25</v>
      </c>
      <c r="H804" s="4" t="s">
        <v>36</v>
      </c>
      <c r="I804" s="5">
        <v>44743</v>
      </c>
      <c r="J804" s="6">
        <v>0</v>
      </c>
      <c r="K804" s="6">
        <v>0</v>
      </c>
      <c r="L804" s="6">
        <v>1.4E-2</v>
      </c>
      <c r="M804" s="6">
        <v>1.4E-2</v>
      </c>
      <c r="N804" s="6">
        <v>1.4E-2</v>
      </c>
      <c r="O804" s="6">
        <v>1.4E-2</v>
      </c>
      <c r="P804" s="6">
        <v>0</v>
      </c>
      <c r="Q804" s="4" t="s">
        <v>26</v>
      </c>
      <c r="R804" s="4">
        <v>0</v>
      </c>
      <c r="S804" s="4" t="s">
        <v>300</v>
      </c>
      <c r="T804" s="4" t="s">
        <v>545</v>
      </c>
      <c r="U804" s="4">
        <v>0</v>
      </c>
      <c r="V804" s="4">
        <v>27</v>
      </c>
      <c r="W804" s="4">
        <v>64</v>
      </c>
    </row>
    <row r="805" spans="1:23" ht="11.25" customHeight="1" x14ac:dyDescent="0.25">
      <c r="A805" s="4" t="s">
        <v>56</v>
      </c>
      <c r="B805" s="4" t="s">
        <v>43</v>
      </c>
      <c r="C805" s="4" t="s">
        <v>33</v>
      </c>
      <c r="D805" s="4" t="s">
        <v>44</v>
      </c>
      <c r="E805" s="4" t="s">
        <v>25</v>
      </c>
      <c r="F805" s="4" t="s">
        <v>25</v>
      </c>
      <c r="G805" s="4" t="s">
        <v>25</v>
      </c>
      <c r="H805" s="4" t="s">
        <v>36</v>
      </c>
      <c r="I805" s="5">
        <v>44774</v>
      </c>
      <c r="J805" s="6">
        <v>0</v>
      </c>
      <c r="K805" s="6">
        <v>0</v>
      </c>
      <c r="L805" s="6">
        <v>1.4E-2</v>
      </c>
      <c r="M805" s="6">
        <v>1.4E-2</v>
      </c>
      <c r="N805" s="6">
        <v>1.4E-2</v>
      </c>
      <c r="O805" s="6">
        <v>1.4E-2</v>
      </c>
      <c r="P805" s="6">
        <v>0</v>
      </c>
      <c r="Q805" s="4" t="s">
        <v>26</v>
      </c>
      <c r="R805" s="4">
        <v>0</v>
      </c>
      <c r="S805" s="4" t="s">
        <v>301</v>
      </c>
      <c r="T805" s="4" t="s">
        <v>546</v>
      </c>
      <c r="U805" s="4">
        <v>0</v>
      </c>
      <c r="V805" s="4">
        <v>27</v>
      </c>
      <c r="W805" s="4">
        <v>64</v>
      </c>
    </row>
    <row r="806" spans="1:23" ht="11.25" customHeight="1" x14ac:dyDescent="0.25">
      <c r="A806" s="4" t="s">
        <v>21</v>
      </c>
      <c r="B806" s="4" t="s">
        <v>43</v>
      </c>
      <c r="C806" s="4" t="s">
        <v>33</v>
      </c>
      <c r="D806" s="4" t="s">
        <v>44</v>
      </c>
      <c r="E806" s="4" t="s">
        <v>25</v>
      </c>
      <c r="F806" s="4" t="s">
        <v>25</v>
      </c>
      <c r="G806" s="4" t="s">
        <v>25</v>
      </c>
      <c r="H806" s="4" t="s">
        <v>34</v>
      </c>
      <c r="I806" s="5">
        <v>44440</v>
      </c>
      <c r="J806" s="6">
        <v>0</v>
      </c>
      <c r="K806" s="6">
        <v>0</v>
      </c>
      <c r="L806" s="6">
        <v>1.9E-2</v>
      </c>
      <c r="M806" s="6">
        <v>1.9E-2</v>
      </c>
      <c r="N806" s="6">
        <v>1.9E-2</v>
      </c>
      <c r="O806" s="6">
        <v>1.9E-2</v>
      </c>
      <c r="P806" s="6">
        <v>0</v>
      </c>
      <c r="Q806" s="4" t="s">
        <v>26</v>
      </c>
      <c r="R806" s="4">
        <v>0</v>
      </c>
      <c r="S806" s="4" t="s">
        <v>302</v>
      </c>
      <c r="T806" s="4" t="s">
        <v>547</v>
      </c>
      <c r="U806" s="4">
        <v>0</v>
      </c>
      <c r="V806" s="4">
        <v>26</v>
      </c>
      <c r="W806" s="4">
        <v>63</v>
      </c>
    </row>
    <row r="807" spans="1:23" ht="11.25" customHeight="1" x14ac:dyDescent="0.25">
      <c r="A807" s="4" t="s">
        <v>21</v>
      </c>
      <c r="B807" s="4" t="s">
        <v>43</v>
      </c>
      <c r="C807" s="4" t="s">
        <v>33</v>
      </c>
      <c r="D807" s="4" t="s">
        <v>44</v>
      </c>
      <c r="E807" s="4" t="s">
        <v>25</v>
      </c>
      <c r="F807" s="4" t="s">
        <v>25</v>
      </c>
      <c r="G807" s="4" t="s">
        <v>25</v>
      </c>
      <c r="H807" s="4" t="s">
        <v>34</v>
      </c>
      <c r="I807" s="5">
        <v>44470</v>
      </c>
      <c r="J807" s="6">
        <v>0</v>
      </c>
      <c r="K807" s="6">
        <v>0</v>
      </c>
      <c r="L807" s="6">
        <v>0.02</v>
      </c>
      <c r="M807" s="6">
        <v>0.02</v>
      </c>
      <c r="N807" s="6">
        <v>0.02</v>
      </c>
      <c r="O807" s="6">
        <v>0.02</v>
      </c>
      <c r="P807" s="6">
        <v>0</v>
      </c>
      <c r="Q807" s="4" t="s">
        <v>26</v>
      </c>
      <c r="R807" s="4">
        <v>0</v>
      </c>
      <c r="S807" s="4" t="s">
        <v>303</v>
      </c>
      <c r="T807" s="4" t="s">
        <v>548</v>
      </c>
      <c r="U807" s="4">
        <v>0</v>
      </c>
      <c r="V807" s="4">
        <v>26</v>
      </c>
      <c r="W807" s="4">
        <v>63</v>
      </c>
    </row>
    <row r="808" spans="1:23" ht="11.25" customHeight="1" x14ac:dyDescent="0.25">
      <c r="A808" s="4" t="s">
        <v>21</v>
      </c>
      <c r="B808" s="4" t="s">
        <v>43</v>
      </c>
      <c r="C808" s="4" t="s">
        <v>33</v>
      </c>
      <c r="D808" s="4" t="s">
        <v>44</v>
      </c>
      <c r="E808" s="4" t="s">
        <v>25</v>
      </c>
      <c r="F808" s="4" t="s">
        <v>25</v>
      </c>
      <c r="G808" s="4" t="s">
        <v>25</v>
      </c>
      <c r="H808" s="4" t="s">
        <v>34</v>
      </c>
      <c r="I808" s="5">
        <v>44501</v>
      </c>
      <c r="J808" s="6">
        <v>0</v>
      </c>
      <c r="K808" s="6">
        <v>0</v>
      </c>
      <c r="L808" s="6">
        <v>2.1000000000000001E-2</v>
      </c>
      <c r="M808" s="6">
        <v>2.1000000000000001E-2</v>
      </c>
      <c r="N808" s="6">
        <v>2.1000000000000001E-2</v>
      </c>
      <c r="O808" s="6">
        <v>2.1000000000000001E-2</v>
      </c>
      <c r="P808" s="6">
        <v>0</v>
      </c>
      <c r="Q808" s="4" t="s">
        <v>26</v>
      </c>
      <c r="R808" s="4">
        <v>0</v>
      </c>
      <c r="S808" s="4" t="s">
        <v>304</v>
      </c>
      <c r="T808" s="4" t="s">
        <v>549</v>
      </c>
      <c r="U808" s="4">
        <v>0</v>
      </c>
      <c r="V808" s="4">
        <v>26</v>
      </c>
      <c r="W808" s="4">
        <v>63</v>
      </c>
    </row>
    <row r="809" spans="1:23" ht="11.25" customHeight="1" x14ac:dyDescent="0.25">
      <c r="A809" s="4" t="s">
        <v>21</v>
      </c>
      <c r="B809" s="4" t="s">
        <v>43</v>
      </c>
      <c r="C809" s="4" t="s">
        <v>33</v>
      </c>
      <c r="D809" s="4" t="s">
        <v>44</v>
      </c>
      <c r="E809" s="4" t="s">
        <v>25</v>
      </c>
      <c r="F809" s="4" t="s">
        <v>25</v>
      </c>
      <c r="G809" s="4" t="s">
        <v>25</v>
      </c>
      <c r="H809" s="4" t="s">
        <v>34</v>
      </c>
      <c r="I809" s="5">
        <v>44531</v>
      </c>
      <c r="J809" s="6">
        <v>0</v>
      </c>
      <c r="K809" s="6">
        <v>0</v>
      </c>
      <c r="L809" s="6">
        <v>0.02</v>
      </c>
      <c r="M809" s="6">
        <v>0.02</v>
      </c>
      <c r="N809" s="6">
        <v>0.02</v>
      </c>
      <c r="O809" s="6">
        <v>0.02</v>
      </c>
      <c r="P809" s="6">
        <v>0</v>
      </c>
      <c r="Q809" s="4" t="s">
        <v>26</v>
      </c>
      <c r="R809" s="4">
        <v>0</v>
      </c>
      <c r="S809" s="4" t="s">
        <v>305</v>
      </c>
      <c r="T809" s="4" t="s">
        <v>550</v>
      </c>
      <c r="U809" s="4">
        <v>0</v>
      </c>
      <c r="V809" s="4">
        <v>26</v>
      </c>
      <c r="W809" s="4">
        <v>63</v>
      </c>
    </row>
    <row r="810" spans="1:23" ht="11.25" customHeight="1" x14ac:dyDescent="0.25">
      <c r="A810" s="4" t="s">
        <v>21</v>
      </c>
      <c r="B810" s="4" t="s">
        <v>43</v>
      </c>
      <c r="C810" s="4" t="s">
        <v>33</v>
      </c>
      <c r="D810" s="4" t="s">
        <v>44</v>
      </c>
      <c r="E810" s="4" t="s">
        <v>25</v>
      </c>
      <c r="F810" s="4" t="s">
        <v>25</v>
      </c>
      <c r="G810" s="4" t="s">
        <v>25</v>
      </c>
      <c r="H810" s="4" t="s">
        <v>34</v>
      </c>
      <c r="I810" s="5">
        <v>44562</v>
      </c>
      <c r="J810" s="6">
        <v>0</v>
      </c>
      <c r="K810" s="6">
        <v>0</v>
      </c>
      <c r="L810" s="6">
        <v>2.1999999999999999E-2</v>
      </c>
      <c r="M810" s="6">
        <v>2.1999999999999999E-2</v>
      </c>
      <c r="N810" s="6">
        <v>2.1999999999999999E-2</v>
      </c>
      <c r="O810" s="6">
        <v>2.1999999999999999E-2</v>
      </c>
      <c r="P810" s="6">
        <v>0</v>
      </c>
      <c r="Q810" s="4" t="s">
        <v>26</v>
      </c>
      <c r="R810" s="4">
        <v>0</v>
      </c>
      <c r="S810" s="4" t="s">
        <v>306</v>
      </c>
      <c r="T810" s="4" t="s">
        <v>551</v>
      </c>
      <c r="U810" s="4">
        <v>0</v>
      </c>
      <c r="V810" s="4">
        <v>26</v>
      </c>
      <c r="W810" s="4">
        <v>63</v>
      </c>
    </row>
    <row r="811" spans="1:23" ht="11.25" customHeight="1" x14ac:dyDescent="0.25">
      <c r="A811" s="4" t="s">
        <v>21</v>
      </c>
      <c r="B811" s="4" t="s">
        <v>43</v>
      </c>
      <c r="C811" s="4" t="s">
        <v>33</v>
      </c>
      <c r="D811" s="4" t="s">
        <v>44</v>
      </c>
      <c r="E811" s="4" t="s">
        <v>25</v>
      </c>
      <c r="F811" s="4" t="s">
        <v>25</v>
      </c>
      <c r="G811" s="4" t="s">
        <v>25</v>
      </c>
      <c r="H811" s="4" t="s">
        <v>34</v>
      </c>
      <c r="I811" s="5">
        <v>44593</v>
      </c>
      <c r="J811" s="6">
        <v>0</v>
      </c>
      <c r="K811" s="6">
        <v>0</v>
      </c>
      <c r="L811" s="6">
        <v>2.1000000000000001E-2</v>
      </c>
      <c r="M811" s="6">
        <v>2.1000000000000001E-2</v>
      </c>
      <c r="N811" s="6">
        <v>2.1000000000000001E-2</v>
      </c>
      <c r="O811" s="6">
        <v>2.1000000000000001E-2</v>
      </c>
      <c r="P811" s="6">
        <v>0</v>
      </c>
      <c r="Q811" s="4" t="s">
        <v>26</v>
      </c>
      <c r="R811" s="4">
        <v>0</v>
      </c>
      <c r="S811" s="4" t="s">
        <v>307</v>
      </c>
      <c r="T811" s="4" t="s">
        <v>552</v>
      </c>
      <c r="U811" s="4">
        <v>0</v>
      </c>
      <c r="V811" s="4">
        <v>26</v>
      </c>
      <c r="W811" s="4">
        <v>63</v>
      </c>
    </row>
    <row r="812" spans="1:23" ht="11.25" customHeight="1" x14ac:dyDescent="0.25">
      <c r="A812" s="4" t="s">
        <v>21</v>
      </c>
      <c r="B812" s="4" t="s">
        <v>43</v>
      </c>
      <c r="C812" s="4" t="s">
        <v>33</v>
      </c>
      <c r="D812" s="4" t="s">
        <v>44</v>
      </c>
      <c r="E812" s="4" t="s">
        <v>25</v>
      </c>
      <c r="F812" s="4" t="s">
        <v>25</v>
      </c>
      <c r="G812" s="4" t="s">
        <v>25</v>
      </c>
      <c r="H812" s="4" t="s">
        <v>34</v>
      </c>
      <c r="I812" s="5">
        <v>44621</v>
      </c>
      <c r="J812" s="6">
        <v>0</v>
      </c>
      <c r="K812" s="6">
        <v>0</v>
      </c>
      <c r="L812" s="6">
        <v>1.9E-2</v>
      </c>
      <c r="M812" s="6">
        <v>1.9E-2</v>
      </c>
      <c r="N812" s="6">
        <v>1.9E-2</v>
      </c>
      <c r="O812" s="6">
        <v>1.9E-2</v>
      </c>
      <c r="P812" s="6">
        <v>0</v>
      </c>
      <c r="Q812" s="4" t="s">
        <v>26</v>
      </c>
      <c r="R812" s="4">
        <v>0</v>
      </c>
      <c r="S812" s="4" t="s">
        <v>308</v>
      </c>
      <c r="T812" s="4" t="s">
        <v>553</v>
      </c>
      <c r="U812" s="4">
        <v>0</v>
      </c>
      <c r="V812" s="4">
        <v>26</v>
      </c>
      <c r="W812" s="4">
        <v>63</v>
      </c>
    </row>
    <row r="813" spans="1:23" ht="11.25" customHeight="1" x14ac:dyDescent="0.25">
      <c r="A813" s="4" t="s">
        <v>21</v>
      </c>
      <c r="B813" s="4" t="s">
        <v>43</v>
      </c>
      <c r="C813" s="4" t="s">
        <v>33</v>
      </c>
      <c r="D813" s="4" t="s">
        <v>44</v>
      </c>
      <c r="E813" s="4" t="s">
        <v>25</v>
      </c>
      <c r="F813" s="4" t="s">
        <v>25</v>
      </c>
      <c r="G813" s="4" t="s">
        <v>25</v>
      </c>
      <c r="H813" s="4" t="s">
        <v>34</v>
      </c>
      <c r="I813" s="5">
        <v>44652</v>
      </c>
      <c r="J813" s="6">
        <v>0</v>
      </c>
      <c r="K813" s="6">
        <v>0</v>
      </c>
      <c r="L813" s="6">
        <v>3.3000000000000002E-2</v>
      </c>
      <c r="M813" s="6">
        <v>3.3000000000000002E-2</v>
      </c>
      <c r="N813" s="6">
        <v>3.3000000000000002E-2</v>
      </c>
      <c r="O813" s="6">
        <v>3.3000000000000002E-2</v>
      </c>
      <c r="P813" s="6">
        <v>0</v>
      </c>
      <c r="Q813" s="4" t="s">
        <v>26</v>
      </c>
      <c r="R813" s="4">
        <v>0</v>
      </c>
      <c r="S813" s="4" t="s">
        <v>309</v>
      </c>
      <c r="T813" s="4" t="s">
        <v>554</v>
      </c>
      <c r="U813" s="4">
        <v>0</v>
      </c>
      <c r="V813" s="4">
        <v>26</v>
      </c>
      <c r="W813" s="4">
        <v>63</v>
      </c>
    </row>
    <row r="814" spans="1:23" ht="11.25" customHeight="1" x14ac:dyDescent="0.25">
      <c r="A814" s="4" t="s">
        <v>21</v>
      </c>
      <c r="B814" s="4" t="s">
        <v>43</v>
      </c>
      <c r="C814" s="4" t="s">
        <v>33</v>
      </c>
      <c r="D814" s="4" t="s">
        <v>44</v>
      </c>
      <c r="E814" s="4" t="s">
        <v>25</v>
      </c>
      <c r="F814" s="4" t="s">
        <v>25</v>
      </c>
      <c r="G814" s="4" t="s">
        <v>25</v>
      </c>
      <c r="H814" s="4" t="s">
        <v>34</v>
      </c>
      <c r="I814" s="5">
        <v>44682</v>
      </c>
      <c r="J814" s="6">
        <v>0</v>
      </c>
      <c r="K814" s="6">
        <v>0</v>
      </c>
      <c r="L814" s="6">
        <v>2.5999999999999999E-2</v>
      </c>
      <c r="M814" s="6">
        <v>2.5999999999999999E-2</v>
      </c>
      <c r="N814" s="6">
        <v>2.5999999999999999E-2</v>
      </c>
      <c r="O814" s="6">
        <v>2.5999999999999999E-2</v>
      </c>
      <c r="P814" s="6">
        <v>0</v>
      </c>
      <c r="Q814" s="4" t="s">
        <v>26</v>
      </c>
      <c r="R814" s="4">
        <v>0</v>
      </c>
      <c r="S814" s="4" t="s">
        <v>310</v>
      </c>
      <c r="T814" s="4" t="s">
        <v>555</v>
      </c>
      <c r="U814" s="4">
        <v>0</v>
      </c>
      <c r="V814" s="4">
        <v>26</v>
      </c>
      <c r="W814" s="4">
        <v>63</v>
      </c>
    </row>
    <row r="815" spans="1:23" ht="11.25" customHeight="1" x14ac:dyDescent="0.25">
      <c r="A815" s="4" t="s">
        <v>21</v>
      </c>
      <c r="B815" s="4" t="s">
        <v>43</v>
      </c>
      <c r="C815" s="4" t="s">
        <v>33</v>
      </c>
      <c r="D815" s="4" t="s">
        <v>44</v>
      </c>
      <c r="E815" s="4" t="s">
        <v>25</v>
      </c>
      <c r="F815" s="4" t="s">
        <v>25</v>
      </c>
      <c r="G815" s="4" t="s">
        <v>25</v>
      </c>
      <c r="H815" s="4" t="s">
        <v>34</v>
      </c>
      <c r="I815" s="5">
        <v>44713</v>
      </c>
      <c r="J815" s="6">
        <v>0</v>
      </c>
      <c r="K815" s="6">
        <v>0</v>
      </c>
      <c r="L815" s="6">
        <v>2.5000000000000001E-2</v>
      </c>
      <c r="M815" s="6">
        <v>2.5000000000000001E-2</v>
      </c>
      <c r="N815" s="6">
        <v>2.5000000000000001E-2</v>
      </c>
      <c r="O815" s="6">
        <v>2.5000000000000001E-2</v>
      </c>
      <c r="P815" s="6">
        <v>0</v>
      </c>
      <c r="Q815" s="4" t="s">
        <v>26</v>
      </c>
      <c r="R815" s="4">
        <v>0</v>
      </c>
      <c r="S815" s="4" t="s">
        <v>311</v>
      </c>
      <c r="T815" s="4" t="s">
        <v>556</v>
      </c>
      <c r="U815" s="4">
        <v>0</v>
      </c>
      <c r="V815" s="4">
        <v>26</v>
      </c>
      <c r="W815" s="4">
        <v>63</v>
      </c>
    </row>
    <row r="816" spans="1:23" ht="11.25" customHeight="1" x14ac:dyDescent="0.25">
      <c r="A816" s="4" t="s">
        <v>21</v>
      </c>
      <c r="B816" s="4" t="s">
        <v>43</v>
      </c>
      <c r="C816" s="4" t="s">
        <v>33</v>
      </c>
      <c r="D816" s="4" t="s">
        <v>44</v>
      </c>
      <c r="E816" s="4" t="s">
        <v>25</v>
      </c>
      <c r="F816" s="4" t="s">
        <v>25</v>
      </c>
      <c r="G816" s="4" t="s">
        <v>25</v>
      </c>
      <c r="H816" s="4" t="s">
        <v>34</v>
      </c>
      <c r="I816" s="5">
        <v>44743</v>
      </c>
      <c r="J816" s="6">
        <v>0</v>
      </c>
      <c r="K816" s="6">
        <v>0</v>
      </c>
      <c r="L816" s="6">
        <v>2.3E-2</v>
      </c>
      <c r="M816" s="6">
        <v>2.3E-2</v>
      </c>
      <c r="N816" s="6">
        <v>2.3E-2</v>
      </c>
      <c r="O816" s="6">
        <v>2.3E-2</v>
      </c>
      <c r="P816" s="6">
        <v>0</v>
      </c>
      <c r="Q816" s="4" t="s">
        <v>26</v>
      </c>
      <c r="R816" s="4">
        <v>0</v>
      </c>
      <c r="S816" s="4" t="s">
        <v>312</v>
      </c>
      <c r="T816" s="4" t="s">
        <v>557</v>
      </c>
      <c r="U816" s="4">
        <v>0</v>
      </c>
      <c r="V816" s="4">
        <v>26</v>
      </c>
      <c r="W816" s="4">
        <v>63</v>
      </c>
    </row>
    <row r="817" spans="1:23" ht="11.25" customHeight="1" x14ac:dyDescent="0.25">
      <c r="A817" s="4" t="s">
        <v>56</v>
      </c>
      <c r="B817" s="4" t="s">
        <v>43</v>
      </c>
      <c r="C817" s="4" t="s">
        <v>33</v>
      </c>
      <c r="D817" s="4" t="s">
        <v>44</v>
      </c>
      <c r="E817" s="4" t="s">
        <v>25</v>
      </c>
      <c r="F817" s="4" t="s">
        <v>25</v>
      </c>
      <c r="G817" s="4" t="s">
        <v>25</v>
      </c>
      <c r="H817" s="4" t="s">
        <v>34</v>
      </c>
      <c r="I817" s="5">
        <v>44774</v>
      </c>
      <c r="J817" s="6">
        <v>0</v>
      </c>
      <c r="K817" s="6">
        <v>0</v>
      </c>
      <c r="L817" s="6">
        <v>2.3E-2</v>
      </c>
      <c r="M817" s="6">
        <v>2.3E-2</v>
      </c>
      <c r="N817" s="6">
        <v>2.3E-2</v>
      </c>
      <c r="O817" s="6">
        <v>2.3E-2</v>
      </c>
      <c r="P817" s="6">
        <v>0</v>
      </c>
      <c r="Q817" s="4" t="s">
        <v>26</v>
      </c>
      <c r="R817" s="4">
        <v>0</v>
      </c>
      <c r="S817" s="4" t="s">
        <v>313</v>
      </c>
      <c r="T817" s="4" t="s">
        <v>558</v>
      </c>
      <c r="U817" s="4">
        <v>0</v>
      </c>
      <c r="V817" s="4">
        <v>26</v>
      </c>
      <c r="W817" s="4">
        <v>63</v>
      </c>
    </row>
    <row r="818" spans="1:23" ht="11.25" customHeight="1" x14ac:dyDescent="0.25">
      <c r="A818" s="4" t="s">
        <v>21</v>
      </c>
      <c r="B818" s="4" t="s">
        <v>43</v>
      </c>
      <c r="C818" s="4" t="s">
        <v>23</v>
      </c>
      <c r="D818" s="4" t="s">
        <v>44</v>
      </c>
      <c r="E818" s="4" t="s">
        <v>52</v>
      </c>
      <c r="F818" s="4" t="s">
        <v>53</v>
      </c>
      <c r="G818" s="4" t="s">
        <v>25</v>
      </c>
      <c r="H818" s="4" t="s">
        <v>25</v>
      </c>
      <c r="I818" s="5">
        <v>44440</v>
      </c>
      <c r="J818" s="6">
        <v>0</v>
      </c>
      <c r="K818" s="6">
        <v>0</v>
      </c>
      <c r="L818" s="6">
        <v>4221.4189999999999</v>
      </c>
      <c r="M818" s="6">
        <v>4221.4189999999999</v>
      </c>
      <c r="N818" s="6">
        <v>4221.4189999999999</v>
      </c>
      <c r="O818" s="6">
        <v>4221.4189999999999</v>
      </c>
      <c r="P818" s="6">
        <v>0</v>
      </c>
      <c r="Q818" s="4" t="s">
        <v>26</v>
      </c>
      <c r="R818" s="4">
        <v>0</v>
      </c>
      <c r="S818" s="4" t="s">
        <v>314</v>
      </c>
      <c r="T818" s="4" t="s">
        <v>559</v>
      </c>
      <c r="U818" s="4">
        <v>0</v>
      </c>
      <c r="V818" s="4">
        <v>29</v>
      </c>
      <c r="W818" s="4">
        <v>66</v>
      </c>
    </row>
    <row r="819" spans="1:23" ht="11.25" customHeight="1" x14ac:dyDescent="0.25">
      <c r="A819" s="4" t="s">
        <v>27</v>
      </c>
      <c r="B819" s="4" t="s">
        <v>43</v>
      </c>
      <c r="C819" s="4" t="s">
        <v>23</v>
      </c>
      <c r="D819" s="4" t="s">
        <v>44</v>
      </c>
      <c r="E819" s="4" t="s">
        <v>52</v>
      </c>
      <c r="F819" s="4" t="s">
        <v>53</v>
      </c>
      <c r="G819" s="4" t="s">
        <v>25</v>
      </c>
      <c r="H819" s="4" t="s">
        <v>25</v>
      </c>
      <c r="I819" s="5">
        <v>44440</v>
      </c>
      <c r="J819" s="6">
        <v>0</v>
      </c>
      <c r="K819" s="6">
        <v>0</v>
      </c>
      <c r="L819" s="6">
        <v>-2.798</v>
      </c>
      <c r="M819" s="6">
        <v>-2.798</v>
      </c>
      <c r="N819" s="6">
        <v>-2.798</v>
      </c>
      <c r="O819" s="6">
        <v>-2.798</v>
      </c>
      <c r="P819" s="6">
        <v>0</v>
      </c>
      <c r="Q819" s="4" t="s">
        <v>26</v>
      </c>
      <c r="R819" s="4">
        <v>0</v>
      </c>
      <c r="S819" s="4" t="s">
        <v>314</v>
      </c>
      <c r="T819" s="4" t="s">
        <v>559</v>
      </c>
      <c r="U819" s="4">
        <v>0</v>
      </c>
      <c r="V819" s="4">
        <v>29</v>
      </c>
      <c r="W819" s="4">
        <v>66</v>
      </c>
    </row>
    <row r="820" spans="1:23" ht="11.25" customHeight="1" x14ac:dyDescent="0.25">
      <c r="A820" s="4" t="s">
        <v>28</v>
      </c>
      <c r="B820" s="4" t="s">
        <v>43</v>
      </c>
      <c r="C820" s="4" t="s">
        <v>23</v>
      </c>
      <c r="D820" s="4" t="s">
        <v>44</v>
      </c>
      <c r="E820" s="4" t="s">
        <v>52</v>
      </c>
      <c r="F820" s="4" t="s">
        <v>53</v>
      </c>
      <c r="G820" s="4" t="s">
        <v>25</v>
      </c>
      <c r="H820" s="4" t="s">
        <v>25</v>
      </c>
      <c r="I820" s="5">
        <v>44440</v>
      </c>
      <c r="J820" s="6">
        <v>0</v>
      </c>
      <c r="K820" s="6">
        <v>0</v>
      </c>
      <c r="L820" s="6">
        <v>22.244</v>
      </c>
      <c r="M820" s="6">
        <v>22.244</v>
      </c>
      <c r="N820" s="6">
        <v>22.244</v>
      </c>
      <c r="O820" s="6">
        <v>22.244</v>
      </c>
      <c r="P820" s="6">
        <v>0</v>
      </c>
      <c r="Q820" s="4" t="s">
        <v>26</v>
      </c>
      <c r="R820" s="4">
        <v>0</v>
      </c>
      <c r="S820" s="4" t="s">
        <v>314</v>
      </c>
      <c r="T820" s="4" t="s">
        <v>559</v>
      </c>
      <c r="U820" s="4">
        <v>0</v>
      </c>
      <c r="V820" s="4">
        <v>29</v>
      </c>
      <c r="W820" s="4">
        <v>66</v>
      </c>
    </row>
    <row r="821" spans="1:23" ht="11.25" customHeight="1" x14ac:dyDescent="0.25">
      <c r="A821" s="4" t="s">
        <v>21</v>
      </c>
      <c r="B821" s="4" t="s">
        <v>43</v>
      </c>
      <c r="C821" s="4" t="s">
        <v>23</v>
      </c>
      <c r="D821" s="4" t="s">
        <v>44</v>
      </c>
      <c r="E821" s="4" t="s">
        <v>52</v>
      </c>
      <c r="F821" s="4" t="s">
        <v>53</v>
      </c>
      <c r="G821" s="4" t="s">
        <v>25</v>
      </c>
      <c r="H821" s="4" t="s">
        <v>25</v>
      </c>
      <c r="I821" s="5">
        <v>44470</v>
      </c>
      <c r="J821" s="6">
        <v>0</v>
      </c>
      <c r="K821" s="6">
        <v>0</v>
      </c>
      <c r="L821" s="6">
        <v>4139.8969999999999</v>
      </c>
      <c r="M821" s="6">
        <v>4139.8969999999999</v>
      </c>
      <c r="N821" s="6">
        <v>4139.8969999999999</v>
      </c>
      <c r="O821" s="6">
        <v>4139.8969999999999</v>
      </c>
      <c r="P821" s="6">
        <v>0</v>
      </c>
      <c r="Q821" s="4" t="s">
        <v>26</v>
      </c>
      <c r="R821" s="4">
        <v>0</v>
      </c>
      <c r="S821" s="4" t="s">
        <v>315</v>
      </c>
      <c r="T821" s="4" t="s">
        <v>560</v>
      </c>
      <c r="U821" s="4">
        <v>0</v>
      </c>
      <c r="V821" s="4">
        <v>29</v>
      </c>
      <c r="W821" s="4">
        <v>66</v>
      </c>
    </row>
    <row r="822" spans="1:23" ht="11.25" customHeight="1" x14ac:dyDescent="0.25">
      <c r="A822" s="4" t="s">
        <v>27</v>
      </c>
      <c r="B822" s="4" t="s">
        <v>43</v>
      </c>
      <c r="C822" s="4" t="s">
        <v>23</v>
      </c>
      <c r="D822" s="4" t="s">
        <v>44</v>
      </c>
      <c r="E822" s="4" t="s">
        <v>52</v>
      </c>
      <c r="F822" s="4" t="s">
        <v>53</v>
      </c>
      <c r="G822" s="4" t="s">
        <v>25</v>
      </c>
      <c r="H822" s="4" t="s">
        <v>25</v>
      </c>
      <c r="I822" s="5">
        <v>44470</v>
      </c>
      <c r="J822" s="6">
        <v>0</v>
      </c>
      <c r="K822" s="6">
        <v>0</v>
      </c>
      <c r="L822" s="6">
        <v>-0.50900000000000001</v>
      </c>
      <c r="M822" s="6">
        <v>-0.50900000000000001</v>
      </c>
      <c r="N822" s="6">
        <v>-0.50900000000000001</v>
      </c>
      <c r="O822" s="6">
        <v>-0.50900000000000001</v>
      </c>
      <c r="P822" s="6">
        <v>0</v>
      </c>
      <c r="Q822" s="4" t="s">
        <v>26</v>
      </c>
      <c r="R822" s="4">
        <v>0</v>
      </c>
      <c r="S822" s="4" t="s">
        <v>315</v>
      </c>
      <c r="T822" s="4" t="s">
        <v>560</v>
      </c>
      <c r="U822" s="4">
        <v>0</v>
      </c>
      <c r="V822" s="4">
        <v>29</v>
      </c>
      <c r="W822" s="4">
        <v>66</v>
      </c>
    </row>
    <row r="823" spans="1:23" ht="11.25" customHeight="1" x14ac:dyDescent="0.25">
      <c r="A823" s="4" t="s">
        <v>28</v>
      </c>
      <c r="B823" s="4" t="s">
        <v>43</v>
      </c>
      <c r="C823" s="4" t="s">
        <v>23</v>
      </c>
      <c r="D823" s="4" t="s">
        <v>44</v>
      </c>
      <c r="E823" s="4" t="s">
        <v>52</v>
      </c>
      <c r="F823" s="4" t="s">
        <v>53</v>
      </c>
      <c r="G823" s="4" t="s">
        <v>25</v>
      </c>
      <c r="H823" s="4" t="s">
        <v>25</v>
      </c>
      <c r="I823" s="5">
        <v>44470</v>
      </c>
      <c r="J823" s="6">
        <v>0</v>
      </c>
      <c r="K823" s="6">
        <v>0</v>
      </c>
      <c r="L823" s="6">
        <v>24.475000000000001</v>
      </c>
      <c r="M823" s="6">
        <v>24.475000000000001</v>
      </c>
      <c r="N823" s="6">
        <v>24.475000000000001</v>
      </c>
      <c r="O823" s="6">
        <v>24.475000000000001</v>
      </c>
      <c r="P823" s="6">
        <v>0</v>
      </c>
      <c r="Q823" s="4" t="s">
        <v>26</v>
      </c>
      <c r="R823" s="4">
        <v>0</v>
      </c>
      <c r="S823" s="4" t="s">
        <v>315</v>
      </c>
      <c r="T823" s="4" t="s">
        <v>560</v>
      </c>
      <c r="U823" s="4">
        <v>0</v>
      </c>
      <c r="V823" s="4">
        <v>29</v>
      </c>
      <c r="W823" s="4">
        <v>66</v>
      </c>
    </row>
    <row r="824" spans="1:23" ht="11.25" customHeight="1" x14ac:dyDescent="0.25">
      <c r="A824" s="4" t="s">
        <v>21</v>
      </c>
      <c r="B824" s="4" t="s">
        <v>43</v>
      </c>
      <c r="C824" s="4" t="s">
        <v>23</v>
      </c>
      <c r="D824" s="4" t="s">
        <v>44</v>
      </c>
      <c r="E824" s="4" t="s">
        <v>52</v>
      </c>
      <c r="F824" s="4" t="s">
        <v>53</v>
      </c>
      <c r="G824" s="4" t="s">
        <v>25</v>
      </c>
      <c r="H824" s="4" t="s">
        <v>25</v>
      </c>
      <c r="I824" s="5">
        <v>44501</v>
      </c>
      <c r="J824" s="6">
        <v>0</v>
      </c>
      <c r="K824" s="6">
        <v>0</v>
      </c>
      <c r="L824" s="6">
        <v>1158.2470000000001</v>
      </c>
      <c r="M824" s="6">
        <v>1158.2470000000001</v>
      </c>
      <c r="N824" s="6">
        <v>1158.2470000000001</v>
      </c>
      <c r="O824" s="6">
        <v>1158.2470000000001</v>
      </c>
      <c r="P824" s="6">
        <v>0</v>
      </c>
      <c r="Q824" s="4" t="s">
        <v>26</v>
      </c>
      <c r="R824" s="4">
        <v>0</v>
      </c>
      <c r="S824" s="4" t="s">
        <v>316</v>
      </c>
      <c r="T824" s="4" t="s">
        <v>561</v>
      </c>
      <c r="U824" s="4">
        <v>0</v>
      </c>
      <c r="V824" s="4">
        <v>29</v>
      </c>
      <c r="W824" s="4">
        <v>66</v>
      </c>
    </row>
    <row r="825" spans="1:23" ht="11.25" customHeight="1" x14ac:dyDescent="0.25">
      <c r="A825" s="4" t="s">
        <v>27</v>
      </c>
      <c r="B825" s="4" t="s">
        <v>43</v>
      </c>
      <c r="C825" s="4" t="s">
        <v>23</v>
      </c>
      <c r="D825" s="4" t="s">
        <v>44</v>
      </c>
      <c r="E825" s="4" t="s">
        <v>52</v>
      </c>
      <c r="F825" s="4" t="s">
        <v>53</v>
      </c>
      <c r="G825" s="4" t="s">
        <v>25</v>
      </c>
      <c r="H825" s="4" t="s">
        <v>25</v>
      </c>
      <c r="I825" s="5">
        <v>44501</v>
      </c>
      <c r="J825" s="6">
        <v>0</v>
      </c>
      <c r="K825" s="6">
        <v>0</v>
      </c>
      <c r="L825" s="6">
        <v>-5.1230000000000002</v>
      </c>
      <c r="M825" s="6">
        <v>-5.1230000000000002</v>
      </c>
      <c r="N825" s="6">
        <v>-5.1230000000000002</v>
      </c>
      <c r="O825" s="6">
        <v>-5.1230000000000002</v>
      </c>
      <c r="P825" s="6">
        <v>0</v>
      </c>
      <c r="Q825" s="4" t="s">
        <v>26</v>
      </c>
      <c r="R825" s="4">
        <v>0</v>
      </c>
      <c r="S825" s="4" t="s">
        <v>316</v>
      </c>
      <c r="T825" s="4" t="s">
        <v>561</v>
      </c>
      <c r="U825" s="4">
        <v>0</v>
      </c>
      <c r="V825" s="4">
        <v>29</v>
      </c>
      <c r="W825" s="4">
        <v>66</v>
      </c>
    </row>
    <row r="826" spans="1:23" ht="11.25" customHeight="1" x14ac:dyDescent="0.25">
      <c r="A826" s="4" t="s">
        <v>28</v>
      </c>
      <c r="B826" s="4" t="s">
        <v>43</v>
      </c>
      <c r="C826" s="4" t="s">
        <v>23</v>
      </c>
      <c r="D826" s="4" t="s">
        <v>44</v>
      </c>
      <c r="E826" s="4" t="s">
        <v>52</v>
      </c>
      <c r="F826" s="4" t="s">
        <v>53</v>
      </c>
      <c r="G826" s="4" t="s">
        <v>25</v>
      </c>
      <c r="H826" s="4" t="s">
        <v>25</v>
      </c>
      <c r="I826" s="5">
        <v>44501</v>
      </c>
      <c r="J826" s="6">
        <v>0</v>
      </c>
      <c r="K826" s="6">
        <v>0</v>
      </c>
      <c r="L826" s="6">
        <v>4.3579999999999997</v>
      </c>
      <c r="M826" s="6">
        <v>4.3579999999999997</v>
      </c>
      <c r="N826" s="6">
        <v>4.3579999999999997</v>
      </c>
      <c r="O826" s="6">
        <v>4.3579999999999997</v>
      </c>
      <c r="P826" s="6">
        <v>0</v>
      </c>
      <c r="Q826" s="4" t="s">
        <v>26</v>
      </c>
      <c r="R826" s="4">
        <v>0</v>
      </c>
      <c r="S826" s="4" t="s">
        <v>316</v>
      </c>
      <c r="T826" s="4" t="s">
        <v>561</v>
      </c>
      <c r="U826" s="4">
        <v>0</v>
      </c>
      <c r="V826" s="4">
        <v>29</v>
      </c>
      <c r="W826" s="4">
        <v>66</v>
      </c>
    </row>
    <row r="827" spans="1:23" ht="11.25" customHeight="1" x14ac:dyDescent="0.25">
      <c r="A827" s="4" t="s">
        <v>21</v>
      </c>
      <c r="B827" s="4" t="s">
        <v>43</v>
      </c>
      <c r="C827" s="4" t="s">
        <v>23</v>
      </c>
      <c r="D827" s="4" t="s">
        <v>44</v>
      </c>
      <c r="E827" s="4" t="s">
        <v>52</v>
      </c>
      <c r="F827" s="4" t="s">
        <v>53</v>
      </c>
      <c r="G827" s="4" t="s">
        <v>25</v>
      </c>
      <c r="H827" s="4" t="s">
        <v>25</v>
      </c>
      <c r="I827" s="5">
        <v>44531</v>
      </c>
      <c r="J827" s="6">
        <v>0</v>
      </c>
      <c r="K827" s="6">
        <v>0</v>
      </c>
      <c r="L827" s="6">
        <v>855.24</v>
      </c>
      <c r="M827" s="6">
        <v>855.24</v>
      </c>
      <c r="N827" s="6">
        <v>855.24</v>
      </c>
      <c r="O827" s="6">
        <v>855.24</v>
      </c>
      <c r="P827" s="6">
        <v>0</v>
      </c>
      <c r="Q827" s="4" t="s">
        <v>26</v>
      </c>
      <c r="R827" s="4">
        <v>0</v>
      </c>
      <c r="S827" s="4" t="s">
        <v>317</v>
      </c>
      <c r="T827" s="4" t="s">
        <v>562</v>
      </c>
      <c r="U827" s="4">
        <v>0</v>
      </c>
      <c r="V827" s="4">
        <v>29</v>
      </c>
      <c r="W827" s="4">
        <v>66</v>
      </c>
    </row>
    <row r="828" spans="1:23" ht="11.25" customHeight="1" x14ac:dyDescent="0.25">
      <c r="A828" s="4" t="s">
        <v>27</v>
      </c>
      <c r="B828" s="4" t="s">
        <v>43</v>
      </c>
      <c r="C828" s="4" t="s">
        <v>23</v>
      </c>
      <c r="D828" s="4" t="s">
        <v>44</v>
      </c>
      <c r="E828" s="4" t="s">
        <v>52</v>
      </c>
      <c r="F828" s="4" t="s">
        <v>53</v>
      </c>
      <c r="G828" s="4" t="s">
        <v>25</v>
      </c>
      <c r="H828" s="4" t="s">
        <v>25</v>
      </c>
      <c r="I828" s="5">
        <v>44531</v>
      </c>
      <c r="J828" s="6">
        <v>0</v>
      </c>
      <c r="K828" s="6">
        <v>0</v>
      </c>
      <c r="L828" s="6">
        <v>-4.3449999999999998</v>
      </c>
      <c r="M828" s="6">
        <v>-4.3449999999999998</v>
      </c>
      <c r="N828" s="6">
        <v>-4.3449999999999998</v>
      </c>
      <c r="O828" s="6">
        <v>-4.3449999999999998</v>
      </c>
      <c r="P828" s="6">
        <v>0</v>
      </c>
      <c r="Q828" s="4" t="s">
        <v>26</v>
      </c>
      <c r="R828" s="4">
        <v>0</v>
      </c>
      <c r="S828" s="4" t="s">
        <v>317</v>
      </c>
      <c r="T828" s="4" t="s">
        <v>562</v>
      </c>
      <c r="U828" s="4">
        <v>0</v>
      </c>
      <c r="V828" s="4">
        <v>29</v>
      </c>
      <c r="W828" s="4">
        <v>66</v>
      </c>
    </row>
    <row r="829" spans="1:23" ht="11.25" customHeight="1" x14ac:dyDescent="0.25">
      <c r="A829" s="4" t="s">
        <v>28</v>
      </c>
      <c r="B829" s="4" t="s">
        <v>43</v>
      </c>
      <c r="C829" s="4" t="s">
        <v>23</v>
      </c>
      <c r="D829" s="4" t="s">
        <v>44</v>
      </c>
      <c r="E829" s="4" t="s">
        <v>52</v>
      </c>
      <c r="F829" s="4" t="s">
        <v>53</v>
      </c>
      <c r="G829" s="4" t="s">
        <v>25</v>
      </c>
      <c r="H829" s="4" t="s">
        <v>25</v>
      </c>
      <c r="I829" s="5">
        <v>44531</v>
      </c>
      <c r="J829" s="6">
        <v>0</v>
      </c>
      <c r="K829" s="6">
        <v>0</v>
      </c>
      <c r="L829" s="6">
        <v>4.9770000000000003</v>
      </c>
      <c r="M829" s="6">
        <v>4.9770000000000003</v>
      </c>
      <c r="N829" s="6">
        <v>4.9770000000000003</v>
      </c>
      <c r="O829" s="6">
        <v>4.9770000000000003</v>
      </c>
      <c r="P829" s="6">
        <v>0</v>
      </c>
      <c r="Q829" s="4" t="s">
        <v>26</v>
      </c>
      <c r="R829" s="4">
        <v>0</v>
      </c>
      <c r="S829" s="4" t="s">
        <v>317</v>
      </c>
      <c r="T829" s="4" t="s">
        <v>562</v>
      </c>
      <c r="U829" s="4">
        <v>0</v>
      </c>
      <c r="V829" s="4">
        <v>29</v>
      </c>
      <c r="W829" s="4">
        <v>66</v>
      </c>
    </row>
    <row r="830" spans="1:23" ht="11.25" customHeight="1" x14ac:dyDescent="0.25">
      <c r="A830" s="4" t="s">
        <v>21</v>
      </c>
      <c r="B830" s="4" t="s">
        <v>43</v>
      </c>
      <c r="C830" s="4" t="s">
        <v>23</v>
      </c>
      <c r="D830" s="4" t="s">
        <v>44</v>
      </c>
      <c r="E830" s="4" t="s">
        <v>52</v>
      </c>
      <c r="F830" s="4" t="s">
        <v>53</v>
      </c>
      <c r="G830" s="4" t="s">
        <v>25</v>
      </c>
      <c r="H830" s="4" t="s">
        <v>25</v>
      </c>
      <c r="I830" s="5">
        <v>44562</v>
      </c>
      <c r="J830" s="6">
        <v>0</v>
      </c>
      <c r="K830" s="6">
        <v>0</v>
      </c>
      <c r="L830" s="6">
        <v>866.11800000000005</v>
      </c>
      <c r="M830" s="6">
        <v>866.11800000000005</v>
      </c>
      <c r="N830" s="6">
        <v>866.11800000000005</v>
      </c>
      <c r="O830" s="6">
        <v>866.11800000000005</v>
      </c>
      <c r="P830" s="6">
        <v>0</v>
      </c>
      <c r="Q830" s="4" t="s">
        <v>26</v>
      </c>
      <c r="R830" s="4">
        <v>0</v>
      </c>
      <c r="S830" s="4" t="s">
        <v>318</v>
      </c>
      <c r="T830" s="4" t="s">
        <v>563</v>
      </c>
      <c r="U830" s="4">
        <v>0</v>
      </c>
      <c r="V830" s="4">
        <v>29</v>
      </c>
      <c r="W830" s="4">
        <v>66</v>
      </c>
    </row>
    <row r="831" spans="1:23" ht="11.25" customHeight="1" x14ac:dyDescent="0.25">
      <c r="A831" s="4" t="s">
        <v>27</v>
      </c>
      <c r="B831" s="4" t="s">
        <v>43</v>
      </c>
      <c r="C831" s="4" t="s">
        <v>23</v>
      </c>
      <c r="D831" s="4" t="s">
        <v>44</v>
      </c>
      <c r="E831" s="4" t="s">
        <v>52</v>
      </c>
      <c r="F831" s="4" t="s">
        <v>53</v>
      </c>
      <c r="G831" s="4" t="s">
        <v>25</v>
      </c>
      <c r="H831" s="4" t="s">
        <v>25</v>
      </c>
      <c r="I831" s="5">
        <v>44562</v>
      </c>
      <c r="J831" s="6">
        <v>0</v>
      </c>
      <c r="K831" s="6">
        <v>0</v>
      </c>
      <c r="L831" s="6">
        <v>-9.0739999999999998</v>
      </c>
      <c r="M831" s="6">
        <v>-9.0739999999999998</v>
      </c>
      <c r="N831" s="6">
        <v>-9.0739999999999998</v>
      </c>
      <c r="O831" s="6">
        <v>-9.0739999999999998</v>
      </c>
      <c r="P831" s="6">
        <v>0</v>
      </c>
      <c r="Q831" s="4" t="s">
        <v>26</v>
      </c>
      <c r="R831" s="4">
        <v>0</v>
      </c>
      <c r="S831" s="4" t="s">
        <v>318</v>
      </c>
      <c r="T831" s="4" t="s">
        <v>563</v>
      </c>
      <c r="U831" s="4">
        <v>0</v>
      </c>
      <c r="V831" s="4">
        <v>29</v>
      </c>
      <c r="W831" s="4">
        <v>66</v>
      </c>
    </row>
    <row r="832" spans="1:23" ht="11.25" customHeight="1" x14ac:dyDescent="0.25">
      <c r="A832" s="4" t="s">
        <v>28</v>
      </c>
      <c r="B832" s="4" t="s">
        <v>43</v>
      </c>
      <c r="C832" s="4" t="s">
        <v>23</v>
      </c>
      <c r="D832" s="4" t="s">
        <v>44</v>
      </c>
      <c r="E832" s="4" t="s">
        <v>52</v>
      </c>
      <c r="F832" s="4" t="s">
        <v>53</v>
      </c>
      <c r="G832" s="4" t="s">
        <v>25</v>
      </c>
      <c r="H832" s="4" t="s">
        <v>25</v>
      </c>
      <c r="I832" s="5">
        <v>44562</v>
      </c>
      <c r="J832" s="6">
        <v>0</v>
      </c>
      <c r="K832" s="6">
        <v>0</v>
      </c>
      <c r="L832" s="6">
        <v>5.968</v>
      </c>
      <c r="M832" s="6">
        <v>5.968</v>
      </c>
      <c r="N832" s="6">
        <v>5.968</v>
      </c>
      <c r="O832" s="6">
        <v>5.968</v>
      </c>
      <c r="P832" s="6">
        <v>0</v>
      </c>
      <c r="Q832" s="4" t="s">
        <v>26</v>
      </c>
      <c r="R832" s="4">
        <v>0</v>
      </c>
      <c r="S832" s="4" t="s">
        <v>318</v>
      </c>
      <c r="T832" s="4" t="s">
        <v>563</v>
      </c>
      <c r="U832" s="4">
        <v>0</v>
      </c>
      <c r="V832" s="4">
        <v>29</v>
      </c>
      <c r="W832" s="4">
        <v>66</v>
      </c>
    </row>
    <row r="833" spans="1:23" ht="11.25" customHeight="1" x14ac:dyDescent="0.25">
      <c r="A833" s="4" t="s">
        <v>21</v>
      </c>
      <c r="B833" s="4" t="s">
        <v>43</v>
      </c>
      <c r="C833" s="4" t="s">
        <v>23</v>
      </c>
      <c r="D833" s="4" t="s">
        <v>44</v>
      </c>
      <c r="E833" s="4" t="s">
        <v>52</v>
      </c>
      <c r="F833" s="4" t="s">
        <v>53</v>
      </c>
      <c r="G833" s="4" t="s">
        <v>25</v>
      </c>
      <c r="H833" s="4" t="s">
        <v>25</v>
      </c>
      <c r="I833" s="5">
        <v>44593</v>
      </c>
      <c r="J833" s="6">
        <v>0</v>
      </c>
      <c r="K833" s="6">
        <v>0</v>
      </c>
      <c r="L833" s="6">
        <v>1470.595</v>
      </c>
      <c r="M833" s="6">
        <v>1470.595</v>
      </c>
      <c r="N833" s="6">
        <v>1470.595</v>
      </c>
      <c r="O833" s="6">
        <v>1470.595</v>
      </c>
      <c r="P833" s="6">
        <v>0</v>
      </c>
      <c r="Q833" s="4" t="s">
        <v>26</v>
      </c>
      <c r="R833" s="4">
        <v>0</v>
      </c>
      <c r="S833" s="4" t="s">
        <v>319</v>
      </c>
      <c r="T833" s="4" t="s">
        <v>564</v>
      </c>
      <c r="U833" s="4">
        <v>0</v>
      </c>
      <c r="V833" s="4">
        <v>29</v>
      </c>
      <c r="W833" s="4">
        <v>66</v>
      </c>
    </row>
    <row r="834" spans="1:23" ht="11.25" customHeight="1" x14ac:dyDescent="0.25">
      <c r="A834" s="4" t="s">
        <v>27</v>
      </c>
      <c r="B834" s="4" t="s">
        <v>43</v>
      </c>
      <c r="C834" s="4" t="s">
        <v>23</v>
      </c>
      <c r="D834" s="4" t="s">
        <v>44</v>
      </c>
      <c r="E834" s="4" t="s">
        <v>52</v>
      </c>
      <c r="F834" s="4" t="s">
        <v>53</v>
      </c>
      <c r="G834" s="4" t="s">
        <v>25</v>
      </c>
      <c r="H834" s="4" t="s">
        <v>25</v>
      </c>
      <c r="I834" s="5">
        <v>44593</v>
      </c>
      <c r="J834" s="6">
        <v>0</v>
      </c>
      <c r="K834" s="6">
        <v>0</v>
      </c>
      <c r="L834" s="6">
        <v>-8.4079999999999995</v>
      </c>
      <c r="M834" s="6">
        <v>-8.4079999999999995</v>
      </c>
      <c r="N834" s="6">
        <v>-8.4079999999999995</v>
      </c>
      <c r="O834" s="6">
        <v>-8.4079999999999995</v>
      </c>
      <c r="P834" s="6">
        <v>0</v>
      </c>
      <c r="Q834" s="4" t="s">
        <v>26</v>
      </c>
      <c r="R834" s="4">
        <v>0</v>
      </c>
      <c r="S834" s="4" t="s">
        <v>319</v>
      </c>
      <c r="T834" s="4" t="s">
        <v>564</v>
      </c>
      <c r="U834" s="4">
        <v>0</v>
      </c>
      <c r="V834" s="4">
        <v>29</v>
      </c>
      <c r="W834" s="4">
        <v>66</v>
      </c>
    </row>
    <row r="835" spans="1:23" ht="11.25" customHeight="1" x14ac:dyDescent="0.25">
      <c r="A835" s="4" t="s">
        <v>28</v>
      </c>
      <c r="B835" s="4" t="s">
        <v>43</v>
      </c>
      <c r="C835" s="4" t="s">
        <v>23</v>
      </c>
      <c r="D835" s="4" t="s">
        <v>44</v>
      </c>
      <c r="E835" s="4" t="s">
        <v>52</v>
      </c>
      <c r="F835" s="4" t="s">
        <v>53</v>
      </c>
      <c r="G835" s="4" t="s">
        <v>25</v>
      </c>
      <c r="H835" s="4" t="s">
        <v>25</v>
      </c>
      <c r="I835" s="5">
        <v>44593</v>
      </c>
      <c r="J835" s="6">
        <v>0</v>
      </c>
      <c r="K835" s="6">
        <v>0</v>
      </c>
      <c r="L835" s="6">
        <v>7.8650000000000002</v>
      </c>
      <c r="M835" s="6">
        <v>7.8650000000000002</v>
      </c>
      <c r="N835" s="6">
        <v>7.8650000000000002</v>
      </c>
      <c r="O835" s="6">
        <v>7.8650000000000002</v>
      </c>
      <c r="P835" s="6">
        <v>0</v>
      </c>
      <c r="Q835" s="4" t="s">
        <v>26</v>
      </c>
      <c r="R835" s="4">
        <v>0</v>
      </c>
      <c r="S835" s="4" t="s">
        <v>319</v>
      </c>
      <c r="T835" s="4" t="s">
        <v>564</v>
      </c>
      <c r="U835" s="4">
        <v>0</v>
      </c>
      <c r="V835" s="4">
        <v>29</v>
      </c>
      <c r="W835" s="4">
        <v>66</v>
      </c>
    </row>
    <row r="836" spans="1:23" ht="11.25" customHeight="1" x14ac:dyDescent="0.25">
      <c r="A836" s="4" t="s">
        <v>28</v>
      </c>
      <c r="B836" s="4" t="s">
        <v>43</v>
      </c>
      <c r="C836" s="4" t="s">
        <v>23</v>
      </c>
      <c r="D836" s="4" t="s">
        <v>44</v>
      </c>
      <c r="E836" s="4" t="s">
        <v>52</v>
      </c>
      <c r="F836" s="4" t="s">
        <v>53</v>
      </c>
      <c r="G836" s="4" t="s">
        <v>25</v>
      </c>
      <c r="H836" s="4" t="s">
        <v>25</v>
      </c>
      <c r="I836" s="5">
        <v>44593</v>
      </c>
      <c r="J836" s="6">
        <v>0</v>
      </c>
      <c r="K836" s="6">
        <v>0</v>
      </c>
      <c r="L836" s="6">
        <v>0.2</v>
      </c>
      <c r="M836" s="6">
        <v>0.2</v>
      </c>
      <c r="N836" s="6">
        <v>0.2</v>
      </c>
      <c r="O836" s="6">
        <v>0.2</v>
      </c>
      <c r="P836" s="6">
        <v>0</v>
      </c>
      <c r="Q836" s="4" t="s">
        <v>26</v>
      </c>
      <c r="R836" s="4">
        <v>0</v>
      </c>
      <c r="S836" s="4" t="s">
        <v>319</v>
      </c>
      <c r="T836" s="4" t="s">
        <v>564</v>
      </c>
      <c r="U836" s="4">
        <v>0</v>
      </c>
      <c r="V836" s="4">
        <v>29</v>
      </c>
      <c r="W836" s="4">
        <v>66</v>
      </c>
    </row>
    <row r="837" spans="1:23" ht="11.25" customHeight="1" x14ac:dyDescent="0.25">
      <c r="A837" s="4" t="s">
        <v>21</v>
      </c>
      <c r="B837" s="4" t="s">
        <v>43</v>
      </c>
      <c r="C837" s="4" t="s">
        <v>23</v>
      </c>
      <c r="D837" s="4" t="s">
        <v>44</v>
      </c>
      <c r="E837" s="4" t="s">
        <v>52</v>
      </c>
      <c r="F837" s="4" t="s">
        <v>53</v>
      </c>
      <c r="G837" s="4" t="s">
        <v>25</v>
      </c>
      <c r="H837" s="4" t="s">
        <v>25</v>
      </c>
      <c r="I837" s="5">
        <v>44621</v>
      </c>
      <c r="J837" s="6">
        <v>0</v>
      </c>
      <c r="K837" s="6">
        <v>0</v>
      </c>
      <c r="L837" s="6">
        <v>1109.2260000000001</v>
      </c>
      <c r="M837" s="6">
        <v>1109.2260000000001</v>
      </c>
      <c r="N837" s="6">
        <v>1109.2260000000001</v>
      </c>
      <c r="O837" s="6">
        <v>1109.2260000000001</v>
      </c>
      <c r="P837" s="6">
        <v>0</v>
      </c>
      <c r="Q837" s="4" t="s">
        <v>26</v>
      </c>
      <c r="R837" s="4">
        <v>0</v>
      </c>
      <c r="S837" s="4" t="s">
        <v>320</v>
      </c>
      <c r="T837" s="4" t="s">
        <v>565</v>
      </c>
      <c r="U837" s="4">
        <v>0</v>
      </c>
      <c r="V837" s="4">
        <v>29</v>
      </c>
      <c r="W837" s="4">
        <v>66</v>
      </c>
    </row>
    <row r="838" spans="1:23" ht="11.25" customHeight="1" x14ac:dyDescent="0.25">
      <c r="A838" s="4" t="s">
        <v>27</v>
      </c>
      <c r="B838" s="4" t="s">
        <v>43</v>
      </c>
      <c r="C838" s="4" t="s">
        <v>23</v>
      </c>
      <c r="D838" s="4" t="s">
        <v>44</v>
      </c>
      <c r="E838" s="4" t="s">
        <v>52</v>
      </c>
      <c r="F838" s="4" t="s">
        <v>53</v>
      </c>
      <c r="G838" s="4" t="s">
        <v>25</v>
      </c>
      <c r="H838" s="4" t="s">
        <v>25</v>
      </c>
      <c r="I838" s="5">
        <v>44621</v>
      </c>
      <c r="J838" s="6">
        <v>0</v>
      </c>
      <c r="K838" s="6">
        <v>0</v>
      </c>
      <c r="L838" s="6">
        <v>-2.52</v>
      </c>
      <c r="M838" s="6">
        <v>-2.52</v>
      </c>
      <c r="N838" s="6">
        <v>-2.52</v>
      </c>
      <c r="O838" s="6">
        <v>-2.52</v>
      </c>
      <c r="P838" s="6">
        <v>0</v>
      </c>
      <c r="Q838" s="4" t="s">
        <v>26</v>
      </c>
      <c r="R838" s="4">
        <v>0</v>
      </c>
      <c r="S838" s="4" t="s">
        <v>320</v>
      </c>
      <c r="T838" s="4" t="s">
        <v>565</v>
      </c>
      <c r="U838" s="4">
        <v>0</v>
      </c>
      <c r="V838" s="4">
        <v>29</v>
      </c>
      <c r="W838" s="4">
        <v>66</v>
      </c>
    </row>
    <row r="839" spans="1:23" ht="11.25" customHeight="1" x14ac:dyDescent="0.25">
      <c r="A839" s="4" t="s">
        <v>28</v>
      </c>
      <c r="B839" s="4" t="s">
        <v>43</v>
      </c>
      <c r="C839" s="4" t="s">
        <v>23</v>
      </c>
      <c r="D839" s="4" t="s">
        <v>44</v>
      </c>
      <c r="E839" s="4" t="s">
        <v>52</v>
      </c>
      <c r="F839" s="4" t="s">
        <v>53</v>
      </c>
      <c r="G839" s="4" t="s">
        <v>25</v>
      </c>
      <c r="H839" s="4" t="s">
        <v>25</v>
      </c>
      <c r="I839" s="5">
        <v>44621</v>
      </c>
      <c r="J839" s="6">
        <v>0</v>
      </c>
      <c r="K839" s="6">
        <v>0</v>
      </c>
      <c r="L839" s="6">
        <v>9.6630000000000003</v>
      </c>
      <c r="M839" s="6">
        <v>9.6630000000000003</v>
      </c>
      <c r="N839" s="6">
        <v>9.6630000000000003</v>
      </c>
      <c r="O839" s="6">
        <v>9.6630000000000003</v>
      </c>
      <c r="P839" s="6">
        <v>0</v>
      </c>
      <c r="Q839" s="4" t="s">
        <v>26</v>
      </c>
      <c r="R839" s="4">
        <v>0</v>
      </c>
      <c r="S839" s="4" t="s">
        <v>320</v>
      </c>
      <c r="T839" s="4" t="s">
        <v>565</v>
      </c>
      <c r="U839" s="4">
        <v>0</v>
      </c>
      <c r="V839" s="4">
        <v>29</v>
      </c>
      <c r="W839" s="4">
        <v>66</v>
      </c>
    </row>
    <row r="840" spans="1:23" ht="11.25" customHeight="1" x14ac:dyDescent="0.25">
      <c r="A840" s="4" t="s">
        <v>28</v>
      </c>
      <c r="B840" s="4" t="s">
        <v>43</v>
      </c>
      <c r="C840" s="4" t="s">
        <v>23</v>
      </c>
      <c r="D840" s="4" t="s">
        <v>44</v>
      </c>
      <c r="E840" s="4" t="s">
        <v>52</v>
      </c>
      <c r="F840" s="4" t="s">
        <v>53</v>
      </c>
      <c r="G840" s="4" t="s">
        <v>25</v>
      </c>
      <c r="H840" s="4" t="s">
        <v>25</v>
      </c>
      <c r="I840" s="5">
        <v>44621</v>
      </c>
      <c r="J840" s="6">
        <v>0</v>
      </c>
      <c r="K840" s="6">
        <v>0</v>
      </c>
      <c r="L840" s="6">
        <v>0.1</v>
      </c>
      <c r="M840" s="6">
        <v>0.1</v>
      </c>
      <c r="N840" s="6">
        <v>0.1</v>
      </c>
      <c r="O840" s="6">
        <v>0.1</v>
      </c>
      <c r="P840" s="6">
        <v>0</v>
      </c>
      <c r="Q840" s="4" t="s">
        <v>26</v>
      </c>
      <c r="R840" s="4">
        <v>0</v>
      </c>
      <c r="S840" s="4" t="s">
        <v>320</v>
      </c>
      <c r="T840" s="4" t="s">
        <v>565</v>
      </c>
      <c r="U840" s="4">
        <v>0</v>
      </c>
      <c r="V840" s="4">
        <v>29</v>
      </c>
      <c r="W840" s="4">
        <v>66</v>
      </c>
    </row>
    <row r="841" spans="1:23" ht="11.25" customHeight="1" x14ac:dyDescent="0.25">
      <c r="A841" s="4" t="s">
        <v>21</v>
      </c>
      <c r="B841" s="4" t="s">
        <v>43</v>
      </c>
      <c r="C841" s="4" t="s">
        <v>23</v>
      </c>
      <c r="D841" s="4" t="s">
        <v>44</v>
      </c>
      <c r="E841" s="4" t="s">
        <v>52</v>
      </c>
      <c r="F841" s="4" t="s">
        <v>53</v>
      </c>
      <c r="G841" s="4" t="s">
        <v>25</v>
      </c>
      <c r="H841" s="4" t="s">
        <v>25</v>
      </c>
      <c r="I841" s="5">
        <v>44652</v>
      </c>
      <c r="J841" s="6">
        <v>0</v>
      </c>
      <c r="K841" s="6">
        <v>0</v>
      </c>
      <c r="L841" s="6">
        <v>2171.328</v>
      </c>
      <c r="M841" s="6">
        <v>2171.328</v>
      </c>
      <c r="N841" s="6">
        <v>2171.328</v>
      </c>
      <c r="O841" s="6">
        <v>2171.328</v>
      </c>
      <c r="P841" s="6">
        <v>0</v>
      </c>
      <c r="Q841" s="4" t="s">
        <v>26</v>
      </c>
      <c r="R841" s="4">
        <v>0</v>
      </c>
      <c r="S841" s="4" t="s">
        <v>321</v>
      </c>
      <c r="T841" s="4" t="s">
        <v>566</v>
      </c>
      <c r="U841" s="4">
        <v>0</v>
      </c>
      <c r="V841" s="4">
        <v>29</v>
      </c>
      <c r="W841" s="4">
        <v>66</v>
      </c>
    </row>
    <row r="842" spans="1:23" ht="11.25" customHeight="1" x14ac:dyDescent="0.25">
      <c r="A842" s="4" t="s">
        <v>27</v>
      </c>
      <c r="B842" s="4" t="s">
        <v>43</v>
      </c>
      <c r="C842" s="4" t="s">
        <v>23</v>
      </c>
      <c r="D842" s="4" t="s">
        <v>44</v>
      </c>
      <c r="E842" s="4" t="s">
        <v>52</v>
      </c>
      <c r="F842" s="4" t="s">
        <v>53</v>
      </c>
      <c r="G842" s="4" t="s">
        <v>25</v>
      </c>
      <c r="H842" s="4" t="s">
        <v>25</v>
      </c>
      <c r="I842" s="5">
        <v>44652</v>
      </c>
      <c r="J842" s="6">
        <v>0</v>
      </c>
      <c r="K842" s="6">
        <v>0</v>
      </c>
      <c r="L842" s="6">
        <v>-1.71</v>
      </c>
      <c r="M842" s="6">
        <v>-1.71</v>
      </c>
      <c r="N842" s="6">
        <v>-1.71</v>
      </c>
      <c r="O842" s="6">
        <v>-1.71</v>
      </c>
      <c r="P842" s="6">
        <v>0</v>
      </c>
      <c r="Q842" s="4" t="s">
        <v>26</v>
      </c>
      <c r="R842" s="4">
        <v>0</v>
      </c>
      <c r="S842" s="4" t="s">
        <v>321</v>
      </c>
      <c r="T842" s="4" t="s">
        <v>566</v>
      </c>
      <c r="U842" s="4">
        <v>0</v>
      </c>
      <c r="V842" s="4">
        <v>29</v>
      </c>
      <c r="W842" s="4">
        <v>66</v>
      </c>
    </row>
    <row r="843" spans="1:23" ht="11.25" customHeight="1" x14ac:dyDescent="0.25">
      <c r="A843" s="4" t="s">
        <v>28</v>
      </c>
      <c r="B843" s="4" t="s">
        <v>43</v>
      </c>
      <c r="C843" s="4" t="s">
        <v>23</v>
      </c>
      <c r="D843" s="4" t="s">
        <v>44</v>
      </c>
      <c r="E843" s="4" t="s">
        <v>52</v>
      </c>
      <c r="F843" s="4" t="s">
        <v>53</v>
      </c>
      <c r="G843" s="4" t="s">
        <v>25</v>
      </c>
      <c r="H843" s="4" t="s">
        <v>25</v>
      </c>
      <c r="I843" s="5">
        <v>44652</v>
      </c>
      <c r="J843" s="6">
        <v>0</v>
      </c>
      <c r="K843" s="6">
        <v>0</v>
      </c>
      <c r="L843" s="6">
        <v>17.768000000000001</v>
      </c>
      <c r="M843" s="6">
        <v>17.768000000000001</v>
      </c>
      <c r="N843" s="6">
        <v>17.768000000000001</v>
      </c>
      <c r="O843" s="6">
        <v>17.768000000000001</v>
      </c>
      <c r="P843" s="6">
        <v>0</v>
      </c>
      <c r="Q843" s="4" t="s">
        <v>26</v>
      </c>
      <c r="R843" s="4">
        <v>0</v>
      </c>
      <c r="S843" s="4" t="s">
        <v>321</v>
      </c>
      <c r="T843" s="4" t="s">
        <v>566</v>
      </c>
      <c r="U843" s="4">
        <v>0</v>
      </c>
      <c r="V843" s="4">
        <v>29</v>
      </c>
      <c r="W843" s="4">
        <v>66</v>
      </c>
    </row>
    <row r="844" spans="1:23" ht="11.25" customHeight="1" x14ac:dyDescent="0.25">
      <c r="A844" s="4" t="s">
        <v>21</v>
      </c>
      <c r="B844" s="4" t="s">
        <v>43</v>
      </c>
      <c r="C844" s="4" t="s">
        <v>23</v>
      </c>
      <c r="D844" s="4" t="s">
        <v>44</v>
      </c>
      <c r="E844" s="4" t="s">
        <v>52</v>
      </c>
      <c r="F844" s="4" t="s">
        <v>53</v>
      </c>
      <c r="G844" s="4" t="s">
        <v>25</v>
      </c>
      <c r="H844" s="4" t="s">
        <v>25</v>
      </c>
      <c r="I844" s="5">
        <v>44682</v>
      </c>
      <c r="J844" s="6">
        <v>0</v>
      </c>
      <c r="K844" s="6">
        <v>0</v>
      </c>
      <c r="L844" s="6">
        <v>3103.2150000000001</v>
      </c>
      <c r="M844" s="6">
        <v>3103.2150000000001</v>
      </c>
      <c r="N844" s="6">
        <v>3103.2150000000001</v>
      </c>
      <c r="O844" s="6">
        <v>3103.2150000000001</v>
      </c>
      <c r="P844" s="6">
        <v>0</v>
      </c>
      <c r="Q844" s="4" t="s">
        <v>26</v>
      </c>
      <c r="R844" s="4">
        <v>0</v>
      </c>
      <c r="S844" s="4" t="s">
        <v>322</v>
      </c>
      <c r="T844" s="4" t="s">
        <v>567</v>
      </c>
      <c r="U844" s="4">
        <v>0</v>
      </c>
      <c r="V844" s="4">
        <v>29</v>
      </c>
      <c r="W844" s="4">
        <v>66</v>
      </c>
    </row>
    <row r="845" spans="1:23" ht="11.25" customHeight="1" x14ac:dyDescent="0.25">
      <c r="A845" s="4" t="s">
        <v>27</v>
      </c>
      <c r="B845" s="4" t="s">
        <v>43</v>
      </c>
      <c r="C845" s="4" t="s">
        <v>23</v>
      </c>
      <c r="D845" s="4" t="s">
        <v>44</v>
      </c>
      <c r="E845" s="4" t="s">
        <v>52</v>
      </c>
      <c r="F845" s="4" t="s">
        <v>53</v>
      </c>
      <c r="G845" s="4" t="s">
        <v>25</v>
      </c>
      <c r="H845" s="4" t="s">
        <v>25</v>
      </c>
      <c r="I845" s="5">
        <v>44682</v>
      </c>
      <c r="J845" s="6">
        <v>0</v>
      </c>
      <c r="K845" s="6">
        <v>0</v>
      </c>
      <c r="L845" s="6">
        <v>-3.7570000000000001</v>
      </c>
      <c r="M845" s="6">
        <v>-3.7570000000000001</v>
      </c>
      <c r="N845" s="6">
        <v>-3.7570000000000001</v>
      </c>
      <c r="O845" s="6">
        <v>-3.7570000000000001</v>
      </c>
      <c r="P845" s="6">
        <v>0</v>
      </c>
      <c r="Q845" s="4" t="s">
        <v>26</v>
      </c>
      <c r="R845" s="4">
        <v>0</v>
      </c>
      <c r="S845" s="4" t="s">
        <v>322</v>
      </c>
      <c r="T845" s="4" t="s">
        <v>567</v>
      </c>
      <c r="U845" s="4">
        <v>0</v>
      </c>
      <c r="V845" s="4">
        <v>29</v>
      </c>
      <c r="W845" s="4">
        <v>66</v>
      </c>
    </row>
    <row r="846" spans="1:23" ht="11.25" customHeight="1" x14ac:dyDescent="0.25">
      <c r="A846" s="4" t="s">
        <v>28</v>
      </c>
      <c r="B846" s="4" t="s">
        <v>43</v>
      </c>
      <c r="C846" s="4" t="s">
        <v>23</v>
      </c>
      <c r="D846" s="4" t="s">
        <v>44</v>
      </c>
      <c r="E846" s="4" t="s">
        <v>52</v>
      </c>
      <c r="F846" s="4" t="s">
        <v>53</v>
      </c>
      <c r="G846" s="4" t="s">
        <v>25</v>
      </c>
      <c r="H846" s="4" t="s">
        <v>25</v>
      </c>
      <c r="I846" s="5">
        <v>44682</v>
      </c>
      <c r="J846" s="6">
        <v>0</v>
      </c>
      <c r="K846" s="6">
        <v>0</v>
      </c>
      <c r="L846" s="6">
        <v>28.504999999999999</v>
      </c>
      <c r="M846" s="6">
        <v>28.504999999999999</v>
      </c>
      <c r="N846" s="6">
        <v>28.504999999999999</v>
      </c>
      <c r="O846" s="6">
        <v>28.504999999999999</v>
      </c>
      <c r="P846" s="6">
        <v>0</v>
      </c>
      <c r="Q846" s="4" t="s">
        <v>26</v>
      </c>
      <c r="R846" s="4">
        <v>0</v>
      </c>
      <c r="S846" s="4" t="s">
        <v>322</v>
      </c>
      <c r="T846" s="4" t="s">
        <v>567</v>
      </c>
      <c r="U846" s="4">
        <v>0</v>
      </c>
      <c r="V846" s="4">
        <v>29</v>
      </c>
      <c r="W846" s="4">
        <v>66</v>
      </c>
    </row>
    <row r="847" spans="1:23" ht="11.25" customHeight="1" x14ac:dyDescent="0.25">
      <c r="A847" s="4" t="s">
        <v>21</v>
      </c>
      <c r="B847" s="4" t="s">
        <v>43</v>
      </c>
      <c r="C847" s="4" t="s">
        <v>23</v>
      </c>
      <c r="D847" s="4" t="s">
        <v>44</v>
      </c>
      <c r="E847" s="4" t="s">
        <v>52</v>
      </c>
      <c r="F847" s="4" t="s">
        <v>53</v>
      </c>
      <c r="G847" s="4" t="s">
        <v>25</v>
      </c>
      <c r="H847" s="4" t="s">
        <v>25</v>
      </c>
      <c r="I847" s="5">
        <v>44713</v>
      </c>
      <c r="J847" s="6">
        <v>0</v>
      </c>
      <c r="K847" s="6">
        <v>0</v>
      </c>
      <c r="L847" s="6">
        <v>2082.3110000000001</v>
      </c>
      <c r="M847" s="6">
        <v>2082.3110000000001</v>
      </c>
      <c r="N847" s="6">
        <v>2082.3110000000001</v>
      </c>
      <c r="O847" s="6">
        <v>2082.3110000000001</v>
      </c>
      <c r="P847" s="6">
        <v>0</v>
      </c>
      <c r="Q847" s="4" t="s">
        <v>26</v>
      </c>
      <c r="R847" s="4">
        <v>0</v>
      </c>
      <c r="S847" s="4" t="s">
        <v>323</v>
      </c>
      <c r="T847" s="4" t="s">
        <v>568</v>
      </c>
      <c r="U847" s="4">
        <v>0</v>
      </c>
      <c r="V847" s="4">
        <v>29</v>
      </c>
      <c r="W847" s="4">
        <v>66</v>
      </c>
    </row>
    <row r="848" spans="1:23" ht="11.25" customHeight="1" x14ac:dyDescent="0.25">
      <c r="A848" s="4" t="s">
        <v>27</v>
      </c>
      <c r="B848" s="4" t="s">
        <v>43</v>
      </c>
      <c r="C848" s="4" t="s">
        <v>23</v>
      </c>
      <c r="D848" s="4" t="s">
        <v>44</v>
      </c>
      <c r="E848" s="4" t="s">
        <v>52</v>
      </c>
      <c r="F848" s="4" t="s">
        <v>53</v>
      </c>
      <c r="G848" s="4" t="s">
        <v>25</v>
      </c>
      <c r="H848" s="4" t="s">
        <v>25</v>
      </c>
      <c r="I848" s="5">
        <v>44713</v>
      </c>
      <c r="J848" s="6">
        <v>0</v>
      </c>
      <c r="K848" s="6">
        <v>0</v>
      </c>
      <c r="L848" s="6">
        <v>0.105</v>
      </c>
      <c r="M848" s="6">
        <v>0.105</v>
      </c>
      <c r="N848" s="6">
        <v>0.105</v>
      </c>
      <c r="O848" s="6">
        <v>0.105</v>
      </c>
      <c r="P848" s="6">
        <v>0</v>
      </c>
      <c r="Q848" s="4" t="s">
        <v>26</v>
      </c>
      <c r="R848" s="4">
        <v>0</v>
      </c>
      <c r="S848" s="4" t="s">
        <v>323</v>
      </c>
      <c r="T848" s="4" t="s">
        <v>568</v>
      </c>
      <c r="U848" s="4">
        <v>0</v>
      </c>
      <c r="V848" s="4">
        <v>29</v>
      </c>
      <c r="W848" s="4">
        <v>66</v>
      </c>
    </row>
    <row r="849" spans="1:23" ht="11.25" customHeight="1" x14ac:dyDescent="0.25">
      <c r="A849" s="4" t="s">
        <v>28</v>
      </c>
      <c r="B849" s="4" t="s">
        <v>43</v>
      </c>
      <c r="C849" s="4" t="s">
        <v>23</v>
      </c>
      <c r="D849" s="4" t="s">
        <v>44</v>
      </c>
      <c r="E849" s="4" t="s">
        <v>52</v>
      </c>
      <c r="F849" s="4" t="s">
        <v>53</v>
      </c>
      <c r="G849" s="4" t="s">
        <v>25</v>
      </c>
      <c r="H849" s="4" t="s">
        <v>25</v>
      </c>
      <c r="I849" s="5">
        <v>44713</v>
      </c>
      <c r="J849" s="6">
        <v>0</v>
      </c>
      <c r="K849" s="6">
        <v>0</v>
      </c>
      <c r="L849" s="6">
        <v>19.702999999999999</v>
      </c>
      <c r="M849" s="6">
        <v>19.702999999999999</v>
      </c>
      <c r="N849" s="6">
        <v>19.702999999999999</v>
      </c>
      <c r="O849" s="6">
        <v>19.702999999999999</v>
      </c>
      <c r="P849" s="6">
        <v>0</v>
      </c>
      <c r="Q849" s="4" t="s">
        <v>26</v>
      </c>
      <c r="R849" s="4">
        <v>0</v>
      </c>
      <c r="S849" s="4" t="s">
        <v>323</v>
      </c>
      <c r="T849" s="4" t="s">
        <v>568</v>
      </c>
      <c r="U849" s="4">
        <v>0</v>
      </c>
      <c r="V849" s="4">
        <v>29</v>
      </c>
      <c r="W849" s="4">
        <v>66</v>
      </c>
    </row>
    <row r="850" spans="1:23" ht="11.25" customHeight="1" x14ac:dyDescent="0.25">
      <c r="A850" s="4" t="s">
        <v>21</v>
      </c>
      <c r="B850" s="4" t="s">
        <v>43</v>
      </c>
      <c r="C850" s="4" t="s">
        <v>23</v>
      </c>
      <c r="D850" s="4" t="s">
        <v>44</v>
      </c>
      <c r="E850" s="4" t="s">
        <v>52</v>
      </c>
      <c r="F850" s="4" t="s">
        <v>53</v>
      </c>
      <c r="G850" s="4" t="s">
        <v>25</v>
      </c>
      <c r="H850" s="4" t="s">
        <v>25</v>
      </c>
      <c r="I850" s="5">
        <v>44743</v>
      </c>
      <c r="J850" s="6">
        <v>0</v>
      </c>
      <c r="K850" s="6">
        <v>0</v>
      </c>
      <c r="L850" s="6">
        <v>2441.4639999999999</v>
      </c>
      <c r="M850" s="6">
        <v>2441.4639999999999</v>
      </c>
      <c r="N850" s="6">
        <v>2441.4639999999999</v>
      </c>
      <c r="O850" s="6">
        <v>2441.4639999999999</v>
      </c>
      <c r="P850" s="6">
        <v>0</v>
      </c>
      <c r="Q850" s="4" t="s">
        <v>26</v>
      </c>
      <c r="R850" s="4">
        <v>0</v>
      </c>
      <c r="S850" s="4" t="s">
        <v>324</v>
      </c>
      <c r="T850" s="4" t="s">
        <v>569</v>
      </c>
      <c r="U850" s="4">
        <v>0</v>
      </c>
      <c r="V850" s="4">
        <v>29</v>
      </c>
      <c r="W850" s="4">
        <v>66</v>
      </c>
    </row>
    <row r="851" spans="1:23" ht="11.25" customHeight="1" x14ac:dyDescent="0.25">
      <c r="A851" s="4" t="s">
        <v>27</v>
      </c>
      <c r="B851" s="4" t="s">
        <v>43</v>
      </c>
      <c r="C851" s="4" t="s">
        <v>23</v>
      </c>
      <c r="D851" s="4" t="s">
        <v>44</v>
      </c>
      <c r="E851" s="4" t="s">
        <v>52</v>
      </c>
      <c r="F851" s="4" t="s">
        <v>53</v>
      </c>
      <c r="G851" s="4" t="s">
        <v>25</v>
      </c>
      <c r="H851" s="4" t="s">
        <v>25</v>
      </c>
      <c r="I851" s="5">
        <v>44743</v>
      </c>
      <c r="J851" s="6">
        <v>0</v>
      </c>
      <c r="K851" s="6">
        <v>0</v>
      </c>
      <c r="L851" s="6">
        <v>-4.4029999999999996</v>
      </c>
      <c r="M851" s="6">
        <v>-4.4029999999999996</v>
      </c>
      <c r="N851" s="6">
        <v>-4.4029999999999996</v>
      </c>
      <c r="O851" s="6">
        <v>-4.4029999999999996</v>
      </c>
      <c r="P851" s="6">
        <v>0</v>
      </c>
      <c r="Q851" s="4" t="s">
        <v>26</v>
      </c>
      <c r="R851" s="4">
        <v>0</v>
      </c>
      <c r="S851" s="4" t="s">
        <v>324</v>
      </c>
      <c r="T851" s="4" t="s">
        <v>569</v>
      </c>
      <c r="U851" s="4">
        <v>0</v>
      </c>
      <c r="V851" s="4">
        <v>29</v>
      </c>
      <c r="W851" s="4">
        <v>66</v>
      </c>
    </row>
    <row r="852" spans="1:23" ht="11.25" customHeight="1" x14ac:dyDescent="0.25">
      <c r="A852" s="4" t="s">
        <v>28</v>
      </c>
      <c r="B852" s="4" t="s">
        <v>43</v>
      </c>
      <c r="C852" s="4" t="s">
        <v>23</v>
      </c>
      <c r="D852" s="4" t="s">
        <v>44</v>
      </c>
      <c r="E852" s="4" t="s">
        <v>52</v>
      </c>
      <c r="F852" s="4" t="s">
        <v>53</v>
      </c>
      <c r="G852" s="4" t="s">
        <v>25</v>
      </c>
      <c r="H852" s="4" t="s">
        <v>25</v>
      </c>
      <c r="I852" s="5">
        <v>44743</v>
      </c>
      <c r="J852" s="6">
        <v>0</v>
      </c>
      <c r="K852" s="6">
        <v>0</v>
      </c>
      <c r="L852" s="6">
        <v>30.4</v>
      </c>
      <c r="M852" s="6">
        <v>30.4</v>
      </c>
      <c r="N852" s="6">
        <v>30.4</v>
      </c>
      <c r="O852" s="6">
        <v>30.4</v>
      </c>
      <c r="P852" s="6">
        <v>0</v>
      </c>
      <c r="Q852" s="4" t="s">
        <v>26</v>
      </c>
      <c r="R852" s="4">
        <v>0</v>
      </c>
      <c r="S852" s="4" t="s">
        <v>324</v>
      </c>
      <c r="T852" s="4" t="s">
        <v>569</v>
      </c>
      <c r="U852" s="4">
        <v>0</v>
      </c>
      <c r="V852" s="4">
        <v>29</v>
      </c>
      <c r="W852" s="4">
        <v>66</v>
      </c>
    </row>
    <row r="853" spans="1:23" ht="11.25" customHeight="1" x14ac:dyDescent="0.25">
      <c r="A853" s="4" t="s">
        <v>56</v>
      </c>
      <c r="B853" s="4" t="s">
        <v>43</v>
      </c>
      <c r="C853" s="4" t="s">
        <v>23</v>
      </c>
      <c r="D853" s="4" t="s">
        <v>44</v>
      </c>
      <c r="E853" s="4" t="s">
        <v>52</v>
      </c>
      <c r="F853" s="4" t="s">
        <v>53</v>
      </c>
      <c r="G853" s="4" t="s">
        <v>25</v>
      </c>
      <c r="H853" s="4" t="s">
        <v>25</v>
      </c>
      <c r="I853" s="5">
        <v>44774</v>
      </c>
      <c r="J853" s="6">
        <v>0</v>
      </c>
      <c r="K853" s="6">
        <v>0</v>
      </c>
      <c r="L853" s="6">
        <v>2441.4639999999999</v>
      </c>
      <c r="M853" s="6">
        <v>2441.4639999999999</v>
      </c>
      <c r="N853" s="6">
        <v>2441.4639999999999</v>
      </c>
      <c r="O853" s="6">
        <v>2441.4639999999999</v>
      </c>
      <c r="P853" s="6">
        <v>0</v>
      </c>
      <c r="Q853" s="4" t="s">
        <v>26</v>
      </c>
      <c r="R853" s="4">
        <v>0</v>
      </c>
      <c r="S853" s="4" t="s">
        <v>325</v>
      </c>
      <c r="T853" s="4" t="s">
        <v>570</v>
      </c>
      <c r="U853" s="4">
        <v>0</v>
      </c>
      <c r="V853" s="4">
        <v>29</v>
      </c>
      <c r="W853" s="4">
        <v>66</v>
      </c>
    </row>
    <row r="854" spans="1:23" ht="11.25" customHeight="1" x14ac:dyDescent="0.25">
      <c r="A854" s="4" t="s">
        <v>56</v>
      </c>
      <c r="B854" s="4" t="s">
        <v>43</v>
      </c>
      <c r="C854" s="4" t="s">
        <v>23</v>
      </c>
      <c r="D854" s="4" t="s">
        <v>44</v>
      </c>
      <c r="E854" s="4" t="s">
        <v>52</v>
      </c>
      <c r="F854" s="4" t="s">
        <v>53</v>
      </c>
      <c r="G854" s="4" t="s">
        <v>25</v>
      </c>
      <c r="H854" s="4" t="s">
        <v>25</v>
      </c>
      <c r="I854" s="5">
        <v>44774</v>
      </c>
      <c r="J854" s="6">
        <v>0</v>
      </c>
      <c r="K854" s="6">
        <v>0</v>
      </c>
      <c r="L854" s="6">
        <v>-4.4029999999999996</v>
      </c>
      <c r="M854" s="6">
        <v>-4.4029999999999996</v>
      </c>
      <c r="N854" s="6">
        <v>-4.4029999999999996</v>
      </c>
      <c r="O854" s="6">
        <v>-4.4029999999999996</v>
      </c>
      <c r="P854" s="6">
        <v>0</v>
      </c>
      <c r="Q854" s="4" t="s">
        <v>26</v>
      </c>
      <c r="R854" s="4">
        <v>0</v>
      </c>
      <c r="S854" s="4" t="s">
        <v>325</v>
      </c>
      <c r="T854" s="4" t="s">
        <v>570</v>
      </c>
      <c r="U854" s="4">
        <v>0</v>
      </c>
      <c r="V854" s="4">
        <v>29</v>
      </c>
      <c r="W854" s="4">
        <v>66</v>
      </c>
    </row>
    <row r="855" spans="1:23" ht="11.25" customHeight="1" x14ac:dyDescent="0.25">
      <c r="A855" s="4" t="s">
        <v>56</v>
      </c>
      <c r="B855" s="4" t="s">
        <v>43</v>
      </c>
      <c r="C855" s="4" t="s">
        <v>23</v>
      </c>
      <c r="D855" s="4" t="s">
        <v>44</v>
      </c>
      <c r="E855" s="4" t="s">
        <v>52</v>
      </c>
      <c r="F855" s="4" t="s">
        <v>53</v>
      </c>
      <c r="G855" s="4" t="s">
        <v>25</v>
      </c>
      <c r="H855" s="4" t="s">
        <v>25</v>
      </c>
      <c r="I855" s="5">
        <v>44774</v>
      </c>
      <c r="J855" s="6">
        <v>0</v>
      </c>
      <c r="K855" s="6">
        <v>0</v>
      </c>
      <c r="L855" s="6">
        <v>30.4</v>
      </c>
      <c r="M855" s="6">
        <v>30.4</v>
      </c>
      <c r="N855" s="6">
        <v>30.4</v>
      </c>
      <c r="O855" s="6">
        <v>30.4</v>
      </c>
      <c r="P855" s="6">
        <v>0</v>
      </c>
      <c r="Q855" s="4" t="s">
        <v>26</v>
      </c>
      <c r="R855" s="4">
        <v>0</v>
      </c>
      <c r="S855" s="4" t="s">
        <v>325</v>
      </c>
      <c r="T855" s="4" t="s">
        <v>570</v>
      </c>
      <c r="U855" s="4">
        <v>0</v>
      </c>
      <c r="V855" s="4">
        <v>29</v>
      </c>
      <c r="W855" s="4">
        <v>66</v>
      </c>
    </row>
    <row r="856" spans="1:23" ht="11.25" customHeight="1" x14ac:dyDescent="0.25">
      <c r="A856" s="4" t="s">
        <v>21</v>
      </c>
      <c r="B856" s="4" t="s">
        <v>43</v>
      </c>
      <c r="C856" s="4" t="s">
        <v>23</v>
      </c>
      <c r="D856" s="4" t="s">
        <v>44</v>
      </c>
      <c r="E856" s="4" t="s">
        <v>52</v>
      </c>
      <c r="F856" s="4" t="s">
        <v>54</v>
      </c>
      <c r="G856" s="4" t="s">
        <v>25</v>
      </c>
      <c r="H856" s="4" t="s">
        <v>25</v>
      </c>
      <c r="I856" s="5">
        <v>44440</v>
      </c>
      <c r="J856" s="6">
        <v>0</v>
      </c>
      <c r="K856" s="6">
        <v>0</v>
      </c>
      <c r="L856" s="6">
        <v>9623.5360000000001</v>
      </c>
      <c r="M856" s="6">
        <v>2598.3547199999998</v>
      </c>
      <c r="N856" s="6">
        <v>9623.5360000000001</v>
      </c>
      <c r="O856" s="6">
        <v>2598.3547199999998</v>
      </c>
      <c r="P856" s="6">
        <v>0</v>
      </c>
      <c r="Q856" s="4" t="s">
        <v>26</v>
      </c>
      <c r="R856" s="4">
        <v>0</v>
      </c>
      <c r="S856" s="4" t="s">
        <v>314</v>
      </c>
      <c r="T856" s="4" t="s">
        <v>559</v>
      </c>
      <c r="U856" s="4">
        <v>0</v>
      </c>
      <c r="V856" s="4">
        <v>29</v>
      </c>
      <c r="W856" s="4">
        <v>66</v>
      </c>
    </row>
    <row r="857" spans="1:23" ht="11.25" customHeight="1" x14ac:dyDescent="0.25">
      <c r="A857" s="4" t="s">
        <v>27</v>
      </c>
      <c r="B857" s="4" t="s">
        <v>43</v>
      </c>
      <c r="C857" s="4" t="s">
        <v>23</v>
      </c>
      <c r="D857" s="4" t="s">
        <v>44</v>
      </c>
      <c r="E857" s="4" t="s">
        <v>52</v>
      </c>
      <c r="F857" s="4" t="s">
        <v>54</v>
      </c>
      <c r="G857" s="4" t="s">
        <v>25</v>
      </c>
      <c r="H857" s="4" t="s">
        <v>25</v>
      </c>
      <c r="I857" s="5">
        <v>44440</v>
      </c>
      <c r="J857" s="6">
        <v>0</v>
      </c>
      <c r="K857" s="6">
        <v>0</v>
      </c>
      <c r="L857" s="6">
        <v>12.765000000000001</v>
      </c>
      <c r="M857" s="6">
        <v>3.4465499999999998</v>
      </c>
      <c r="N857" s="6">
        <v>12.765000000000001</v>
      </c>
      <c r="O857" s="6">
        <v>3.4465499999999998</v>
      </c>
      <c r="P857" s="6">
        <v>0</v>
      </c>
      <c r="Q857" s="4" t="s">
        <v>26</v>
      </c>
      <c r="R857" s="4">
        <v>0</v>
      </c>
      <c r="S857" s="4" t="s">
        <v>314</v>
      </c>
      <c r="T857" s="4" t="s">
        <v>559</v>
      </c>
      <c r="U857" s="4">
        <v>0</v>
      </c>
      <c r="V857" s="4">
        <v>29</v>
      </c>
      <c r="W857" s="4">
        <v>66</v>
      </c>
    </row>
    <row r="858" spans="1:23" ht="11.25" customHeight="1" x14ac:dyDescent="0.25">
      <c r="A858" s="4" t="s">
        <v>28</v>
      </c>
      <c r="B858" s="4" t="s">
        <v>43</v>
      </c>
      <c r="C858" s="4" t="s">
        <v>23</v>
      </c>
      <c r="D858" s="4" t="s">
        <v>44</v>
      </c>
      <c r="E858" s="4" t="s">
        <v>52</v>
      </c>
      <c r="F858" s="4" t="s">
        <v>54</v>
      </c>
      <c r="G858" s="4" t="s">
        <v>25</v>
      </c>
      <c r="H858" s="4" t="s">
        <v>25</v>
      </c>
      <c r="I858" s="5">
        <v>44440</v>
      </c>
      <c r="J858" s="6">
        <v>0</v>
      </c>
      <c r="K858" s="6">
        <v>0</v>
      </c>
      <c r="L858" s="6">
        <v>43.823999999999998</v>
      </c>
      <c r="M858" s="6">
        <v>11.83248</v>
      </c>
      <c r="N858" s="6">
        <v>43.823999999999998</v>
      </c>
      <c r="O858" s="6">
        <v>11.83248</v>
      </c>
      <c r="P858" s="6">
        <v>0</v>
      </c>
      <c r="Q858" s="4" t="s">
        <v>26</v>
      </c>
      <c r="R858" s="4">
        <v>0</v>
      </c>
      <c r="S858" s="4" t="s">
        <v>314</v>
      </c>
      <c r="T858" s="4" t="s">
        <v>559</v>
      </c>
      <c r="U858" s="4">
        <v>0</v>
      </c>
      <c r="V858" s="4">
        <v>29</v>
      </c>
      <c r="W858" s="4">
        <v>66</v>
      </c>
    </row>
    <row r="859" spans="1:23" ht="11.25" customHeight="1" x14ac:dyDescent="0.25">
      <c r="A859" s="4" t="s">
        <v>21</v>
      </c>
      <c r="B859" s="4" t="s">
        <v>43</v>
      </c>
      <c r="C859" s="4" t="s">
        <v>23</v>
      </c>
      <c r="D859" s="4" t="s">
        <v>44</v>
      </c>
      <c r="E859" s="4" t="s">
        <v>52</v>
      </c>
      <c r="F859" s="4" t="s">
        <v>54</v>
      </c>
      <c r="G859" s="4" t="s">
        <v>25</v>
      </c>
      <c r="H859" s="4" t="s">
        <v>25</v>
      </c>
      <c r="I859" s="5">
        <v>44470</v>
      </c>
      <c r="J859" s="6">
        <v>0</v>
      </c>
      <c r="K859" s="6">
        <v>0</v>
      </c>
      <c r="L859" s="6">
        <v>9792.9860000000008</v>
      </c>
      <c r="M859" s="6">
        <v>2644.1062200000001</v>
      </c>
      <c r="N859" s="6">
        <v>9792.9860000000008</v>
      </c>
      <c r="O859" s="6">
        <v>2644.1062200000001</v>
      </c>
      <c r="P859" s="6">
        <v>0</v>
      </c>
      <c r="Q859" s="4" t="s">
        <v>26</v>
      </c>
      <c r="R859" s="4">
        <v>0</v>
      </c>
      <c r="S859" s="4" t="s">
        <v>315</v>
      </c>
      <c r="T859" s="4" t="s">
        <v>560</v>
      </c>
      <c r="U859" s="4">
        <v>0</v>
      </c>
      <c r="V859" s="4">
        <v>29</v>
      </c>
      <c r="W859" s="4">
        <v>66</v>
      </c>
    </row>
    <row r="860" spans="1:23" ht="11.25" customHeight="1" x14ac:dyDescent="0.25">
      <c r="A860" s="4" t="s">
        <v>27</v>
      </c>
      <c r="B860" s="4" t="s">
        <v>43</v>
      </c>
      <c r="C860" s="4" t="s">
        <v>23</v>
      </c>
      <c r="D860" s="4" t="s">
        <v>44</v>
      </c>
      <c r="E860" s="4" t="s">
        <v>52</v>
      </c>
      <c r="F860" s="4" t="s">
        <v>54</v>
      </c>
      <c r="G860" s="4" t="s">
        <v>25</v>
      </c>
      <c r="H860" s="4" t="s">
        <v>25</v>
      </c>
      <c r="I860" s="5">
        <v>44470</v>
      </c>
      <c r="J860" s="6">
        <v>0</v>
      </c>
      <c r="K860" s="6">
        <v>0</v>
      </c>
      <c r="L860" s="6">
        <v>1.034</v>
      </c>
      <c r="M860" s="6">
        <v>0.27917999999999998</v>
      </c>
      <c r="N860" s="6">
        <v>1.034</v>
      </c>
      <c r="O860" s="6">
        <v>0.27917999999999998</v>
      </c>
      <c r="P860" s="6">
        <v>0</v>
      </c>
      <c r="Q860" s="4" t="s">
        <v>26</v>
      </c>
      <c r="R860" s="4">
        <v>0</v>
      </c>
      <c r="S860" s="4" t="s">
        <v>315</v>
      </c>
      <c r="T860" s="4" t="s">
        <v>560</v>
      </c>
      <c r="U860" s="4">
        <v>0</v>
      </c>
      <c r="V860" s="4">
        <v>29</v>
      </c>
      <c r="W860" s="4">
        <v>66</v>
      </c>
    </row>
    <row r="861" spans="1:23" ht="11.25" customHeight="1" x14ac:dyDescent="0.25">
      <c r="A861" s="4" t="s">
        <v>28</v>
      </c>
      <c r="B861" s="4" t="s">
        <v>43</v>
      </c>
      <c r="C861" s="4" t="s">
        <v>23</v>
      </c>
      <c r="D861" s="4" t="s">
        <v>44</v>
      </c>
      <c r="E861" s="4" t="s">
        <v>52</v>
      </c>
      <c r="F861" s="4" t="s">
        <v>54</v>
      </c>
      <c r="G861" s="4" t="s">
        <v>25</v>
      </c>
      <c r="H861" s="4" t="s">
        <v>25</v>
      </c>
      <c r="I861" s="5">
        <v>44470</v>
      </c>
      <c r="J861" s="6">
        <v>0</v>
      </c>
      <c r="K861" s="6">
        <v>0</v>
      </c>
      <c r="L861" s="6">
        <v>52.6</v>
      </c>
      <c r="M861" s="6">
        <v>14.202</v>
      </c>
      <c r="N861" s="6">
        <v>52.6</v>
      </c>
      <c r="O861" s="6">
        <v>14.202</v>
      </c>
      <c r="P861" s="6">
        <v>0</v>
      </c>
      <c r="Q861" s="4" t="s">
        <v>26</v>
      </c>
      <c r="R861" s="4">
        <v>0</v>
      </c>
      <c r="S861" s="4" t="s">
        <v>315</v>
      </c>
      <c r="T861" s="4" t="s">
        <v>560</v>
      </c>
      <c r="U861" s="4">
        <v>0</v>
      </c>
      <c r="V861" s="4">
        <v>29</v>
      </c>
      <c r="W861" s="4">
        <v>66</v>
      </c>
    </row>
    <row r="862" spans="1:23" ht="11.25" customHeight="1" x14ac:dyDescent="0.25">
      <c r="A862" s="4" t="s">
        <v>21</v>
      </c>
      <c r="B862" s="4" t="s">
        <v>43</v>
      </c>
      <c r="C862" s="4" t="s">
        <v>23</v>
      </c>
      <c r="D862" s="4" t="s">
        <v>44</v>
      </c>
      <c r="E862" s="4" t="s">
        <v>52</v>
      </c>
      <c r="F862" s="4" t="s">
        <v>54</v>
      </c>
      <c r="G862" s="4" t="s">
        <v>25</v>
      </c>
      <c r="H862" s="4" t="s">
        <v>25</v>
      </c>
      <c r="I862" s="5">
        <v>44501</v>
      </c>
      <c r="J862" s="6">
        <v>0</v>
      </c>
      <c r="K862" s="6">
        <v>0</v>
      </c>
      <c r="L862" s="6">
        <v>1895.463</v>
      </c>
      <c r="M862" s="6">
        <v>511.77501000000001</v>
      </c>
      <c r="N862" s="6">
        <v>1895.463</v>
      </c>
      <c r="O862" s="6">
        <v>511.77501000000001</v>
      </c>
      <c r="P862" s="6">
        <v>0</v>
      </c>
      <c r="Q862" s="4" t="s">
        <v>26</v>
      </c>
      <c r="R862" s="4">
        <v>0</v>
      </c>
      <c r="S862" s="4" t="s">
        <v>316</v>
      </c>
      <c r="T862" s="4" t="s">
        <v>561</v>
      </c>
      <c r="U862" s="4">
        <v>0</v>
      </c>
      <c r="V862" s="4">
        <v>29</v>
      </c>
      <c r="W862" s="4">
        <v>66</v>
      </c>
    </row>
    <row r="863" spans="1:23" ht="11.25" customHeight="1" x14ac:dyDescent="0.25">
      <c r="A863" s="4" t="s">
        <v>27</v>
      </c>
      <c r="B863" s="4" t="s">
        <v>43</v>
      </c>
      <c r="C863" s="4" t="s">
        <v>23</v>
      </c>
      <c r="D863" s="4" t="s">
        <v>44</v>
      </c>
      <c r="E863" s="4" t="s">
        <v>52</v>
      </c>
      <c r="F863" s="4" t="s">
        <v>54</v>
      </c>
      <c r="G863" s="4" t="s">
        <v>25</v>
      </c>
      <c r="H863" s="4" t="s">
        <v>25</v>
      </c>
      <c r="I863" s="5">
        <v>44501</v>
      </c>
      <c r="J863" s="6">
        <v>0</v>
      </c>
      <c r="K863" s="6">
        <v>0</v>
      </c>
      <c r="L863" s="6">
        <v>4.5720000000000001</v>
      </c>
      <c r="M863" s="6">
        <v>1.23444</v>
      </c>
      <c r="N863" s="6">
        <v>4.5720000000000001</v>
      </c>
      <c r="O863" s="6">
        <v>1.23444</v>
      </c>
      <c r="P863" s="6">
        <v>0</v>
      </c>
      <c r="Q863" s="4" t="s">
        <v>26</v>
      </c>
      <c r="R863" s="4">
        <v>0</v>
      </c>
      <c r="S863" s="4" t="s">
        <v>316</v>
      </c>
      <c r="T863" s="4" t="s">
        <v>561</v>
      </c>
      <c r="U863" s="4">
        <v>0</v>
      </c>
      <c r="V863" s="4">
        <v>29</v>
      </c>
      <c r="W863" s="4">
        <v>66</v>
      </c>
    </row>
    <row r="864" spans="1:23" ht="11.25" customHeight="1" x14ac:dyDescent="0.25">
      <c r="A864" s="4" t="s">
        <v>28</v>
      </c>
      <c r="B864" s="4" t="s">
        <v>43</v>
      </c>
      <c r="C864" s="4" t="s">
        <v>23</v>
      </c>
      <c r="D864" s="4" t="s">
        <v>44</v>
      </c>
      <c r="E864" s="4" t="s">
        <v>52</v>
      </c>
      <c r="F864" s="4" t="s">
        <v>54</v>
      </c>
      <c r="G864" s="4" t="s">
        <v>25</v>
      </c>
      <c r="H864" s="4" t="s">
        <v>25</v>
      </c>
      <c r="I864" s="5">
        <v>44501</v>
      </c>
      <c r="J864" s="6">
        <v>0</v>
      </c>
      <c r="K864" s="6">
        <v>0</v>
      </c>
      <c r="L864" s="6">
        <v>3.0859999999999999</v>
      </c>
      <c r="M864" s="6">
        <v>0.83321999999999996</v>
      </c>
      <c r="N864" s="6">
        <v>3.0859999999999999</v>
      </c>
      <c r="O864" s="6">
        <v>0.83321999999999996</v>
      </c>
      <c r="P864" s="6">
        <v>0</v>
      </c>
      <c r="Q864" s="4" t="s">
        <v>26</v>
      </c>
      <c r="R864" s="4">
        <v>0</v>
      </c>
      <c r="S864" s="4" t="s">
        <v>316</v>
      </c>
      <c r="T864" s="4" t="s">
        <v>561</v>
      </c>
      <c r="U864" s="4">
        <v>0</v>
      </c>
      <c r="V864" s="4">
        <v>29</v>
      </c>
      <c r="W864" s="4">
        <v>66</v>
      </c>
    </row>
    <row r="865" spans="1:23" ht="11.25" customHeight="1" x14ac:dyDescent="0.25">
      <c r="A865" s="4" t="s">
        <v>21</v>
      </c>
      <c r="B865" s="4" t="s">
        <v>43</v>
      </c>
      <c r="C865" s="4" t="s">
        <v>23</v>
      </c>
      <c r="D865" s="4" t="s">
        <v>44</v>
      </c>
      <c r="E865" s="4" t="s">
        <v>52</v>
      </c>
      <c r="F865" s="4" t="s">
        <v>54</v>
      </c>
      <c r="G865" s="4" t="s">
        <v>25</v>
      </c>
      <c r="H865" s="4" t="s">
        <v>25</v>
      </c>
      <c r="I865" s="5">
        <v>44531</v>
      </c>
      <c r="J865" s="6">
        <v>0</v>
      </c>
      <c r="K865" s="6">
        <v>0</v>
      </c>
      <c r="L865" s="6">
        <v>1072.81</v>
      </c>
      <c r="M865" s="6">
        <v>289.65870000000001</v>
      </c>
      <c r="N865" s="6">
        <v>1072.81</v>
      </c>
      <c r="O865" s="6">
        <v>289.65870000000001</v>
      </c>
      <c r="P865" s="6">
        <v>0</v>
      </c>
      <c r="Q865" s="4" t="s">
        <v>26</v>
      </c>
      <c r="R865" s="4">
        <v>0</v>
      </c>
      <c r="S865" s="4" t="s">
        <v>317</v>
      </c>
      <c r="T865" s="4" t="s">
        <v>562</v>
      </c>
      <c r="U865" s="4">
        <v>0</v>
      </c>
      <c r="V865" s="4">
        <v>29</v>
      </c>
      <c r="W865" s="4">
        <v>66</v>
      </c>
    </row>
    <row r="866" spans="1:23" ht="11.25" customHeight="1" x14ac:dyDescent="0.25">
      <c r="A866" s="4" t="s">
        <v>27</v>
      </c>
      <c r="B866" s="4" t="s">
        <v>43</v>
      </c>
      <c r="C866" s="4" t="s">
        <v>23</v>
      </c>
      <c r="D866" s="4" t="s">
        <v>44</v>
      </c>
      <c r="E866" s="4" t="s">
        <v>52</v>
      </c>
      <c r="F866" s="4" t="s">
        <v>54</v>
      </c>
      <c r="G866" s="4" t="s">
        <v>25</v>
      </c>
      <c r="H866" s="4" t="s">
        <v>25</v>
      </c>
      <c r="I866" s="5">
        <v>44531</v>
      </c>
      <c r="J866" s="6">
        <v>0</v>
      </c>
      <c r="K866" s="6">
        <v>0</v>
      </c>
      <c r="L866" s="6">
        <v>-7.9459999999999997</v>
      </c>
      <c r="M866" s="6">
        <v>-2.1454200000000001</v>
      </c>
      <c r="N866" s="6">
        <v>-7.9459999999999997</v>
      </c>
      <c r="O866" s="6">
        <v>-2.1454200000000001</v>
      </c>
      <c r="P866" s="6">
        <v>0</v>
      </c>
      <c r="Q866" s="4" t="s">
        <v>26</v>
      </c>
      <c r="R866" s="4">
        <v>0</v>
      </c>
      <c r="S866" s="4" t="s">
        <v>317</v>
      </c>
      <c r="T866" s="4" t="s">
        <v>562</v>
      </c>
      <c r="U866" s="4">
        <v>0</v>
      </c>
      <c r="V866" s="4">
        <v>29</v>
      </c>
      <c r="W866" s="4">
        <v>66</v>
      </c>
    </row>
    <row r="867" spans="1:23" ht="11.25" customHeight="1" x14ac:dyDescent="0.25">
      <c r="A867" s="4" t="s">
        <v>28</v>
      </c>
      <c r="B867" s="4" t="s">
        <v>43</v>
      </c>
      <c r="C867" s="4" t="s">
        <v>23</v>
      </c>
      <c r="D867" s="4" t="s">
        <v>44</v>
      </c>
      <c r="E867" s="4" t="s">
        <v>52</v>
      </c>
      <c r="F867" s="4" t="s">
        <v>54</v>
      </c>
      <c r="G867" s="4" t="s">
        <v>25</v>
      </c>
      <c r="H867" s="4" t="s">
        <v>25</v>
      </c>
      <c r="I867" s="5">
        <v>44531</v>
      </c>
      <c r="J867" s="6">
        <v>0</v>
      </c>
      <c r="K867" s="6">
        <v>0</v>
      </c>
      <c r="L867" s="6">
        <v>7.1970000000000001</v>
      </c>
      <c r="M867" s="6">
        <v>1.94319</v>
      </c>
      <c r="N867" s="6">
        <v>7.1970000000000001</v>
      </c>
      <c r="O867" s="6">
        <v>1.94319</v>
      </c>
      <c r="P867" s="6">
        <v>0</v>
      </c>
      <c r="Q867" s="4" t="s">
        <v>26</v>
      </c>
      <c r="R867" s="4">
        <v>0</v>
      </c>
      <c r="S867" s="4" t="s">
        <v>317</v>
      </c>
      <c r="T867" s="4" t="s">
        <v>562</v>
      </c>
      <c r="U867" s="4">
        <v>0</v>
      </c>
      <c r="V867" s="4">
        <v>29</v>
      </c>
      <c r="W867" s="4">
        <v>66</v>
      </c>
    </row>
    <row r="868" spans="1:23" ht="11.25" customHeight="1" x14ac:dyDescent="0.25">
      <c r="A868" s="4" t="s">
        <v>21</v>
      </c>
      <c r="B868" s="4" t="s">
        <v>43</v>
      </c>
      <c r="C868" s="4" t="s">
        <v>23</v>
      </c>
      <c r="D868" s="4" t="s">
        <v>44</v>
      </c>
      <c r="E868" s="4" t="s">
        <v>52</v>
      </c>
      <c r="F868" s="4" t="s">
        <v>54</v>
      </c>
      <c r="G868" s="4" t="s">
        <v>25</v>
      </c>
      <c r="H868" s="4" t="s">
        <v>25</v>
      </c>
      <c r="I868" s="5">
        <v>44562</v>
      </c>
      <c r="J868" s="6">
        <v>0</v>
      </c>
      <c r="K868" s="6">
        <v>0</v>
      </c>
      <c r="L868" s="6">
        <v>1094.652</v>
      </c>
      <c r="M868" s="6">
        <v>295.55604</v>
      </c>
      <c r="N868" s="6">
        <v>1094.652</v>
      </c>
      <c r="O868" s="6">
        <v>295.55604</v>
      </c>
      <c r="P868" s="6">
        <v>0</v>
      </c>
      <c r="Q868" s="4" t="s">
        <v>26</v>
      </c>
      <c r="R868" s="4">
        <v>0</v>
      </c>
      <c r="S868" s="4" t="s">
        <v>318</v>
      </c>
      <c r="T868" s="4" t="s">
        <v>563</v>
      </c>
      <c r="U868" s="4">
        <v>0</v>
      </c>
      <c r="V868" s="4">
        <v>29</v>
      </c>
      <c r="W868" s="4">
        <v>66</v>
      </c>
    </row>
    <row r="869" spans="1:23" ht="11.25" customHeight="1" x14ac:dyDescent="0.25">
      <c r="A869" s="4" t="s">
        <v>27</v>
      </c>
      <c r="B869" s="4" t="s">
        <v>43</v>
      </c>
      <c r="C869" s="4" t="s">
        <v>23</v>
      </c>
      <c r="D869" s="4" t="s">
        <v>44</v>
      </c>
      <c r="E869" s="4" t="s">
        <v>52</v>
      </c>
      <c r="F869" s="4" t="s">
        <v>54</v>
      </c>
      <c r="G869" s="4" t="s">
        <v>25</v>
      </c>
      <c r="H869" s="4" t="s">
        <v>25</v>
      </c>
      <c r="I869" s="5">
        <v>44562</v>
      </c>
      <c r="J869" s="6">
        <v>0</v>
      </c>
      <c r="K869" s="6">
        <v>0</v>
      </c>
      <c r="L869" s="6">
        <v>-4.165</v>
      </c>
      <c r="M869" s="6">
        <v>-1.1245499999999999</v>
      </c>
      <c r="N869" s="6">
        <v>-4.165</v>
      </c>
      <c r="O869" s="6">
        <v>-1.1245499999999999</v>
      </c>
      <c r="P869" s="6">
        <v>0</v>
      </c>
      <c r="Q869" s="4" t="s">
        <v>26</v>
      </c>
      <c r="R869" s="4">
        <v>0</v>
      </c>
      <c r="S869" s="4" t="s">
        <v>318</v>
      </c>
      <c r="T869" s="4" t="s">
        <v>563</v>
      </c>
      <c r="U869" s="4">
        <v>0</v>
      </c>
      <c r="V869" s="4">
        <v>29</v>
      </c>
      <c r="W869" s="4">
        <v>66</v>
      </c>
    </row>
    <row r="870" spans="1:23" ht="11.25" customHeight="1" x14ac:dyDescent="0.25">
      <c r="A870" s="4" t="s">
        <v>28</v>
      </c>
      <c r="B870" s="4" t="s">
        <v>43</v>
      </c>
      <c r="C870" s="4" t="s">
        <v>23</v>
      </c>
      <c r="D870" s="4" t="s">
        <v>44</v>
      </c>
      <c r="E870" s="4" t="s">
        <v>52</v>
      </c>
      <c r="F870" s="4" t="s">
        <v>54</v>
      </c>
      <c r="G870" s="4" t="s">
        <v>25</v>
      </c>
      <c r="H870" s="4" t="s">
        <v>25</v>
      </c>
      <c r="I870" s="5">
        <v>44562</v>
      </c>
      <c r="J870" s="6">
        <v>0</v>
      </c>
      <c r="K870" s="6">
        <v>0</v>
      </c>
      <c r="L870" s="6">
        <v>4.1390000000000002</v>
      </c>
      <c r="M870" s="6">
        <v>1.1175299999999999</v>
      </c>
      <c r="N870" s="6">
        <v>4.1390000000000002</v>
      </c>
      <c r="O870" s="6">
        <v>1.1175299999999999</v>
      </c>
      <c r="P870" s="6">
        <v>0</v>
      </c>
      <c r="Q870" s="4" t="s">
        <v>26</v>
      </c>
      <c r="R870" s="4">
        <v>0</v>
      </c>
      <c r="S870" s="4" t="s">
        <v>318</v>
      </c>
      <c r="T870" s="4" t="s">
        <v>563</v>
      </c>
      <c r="U870" s="4">
        <v>0</v>
      </c>
      <c r="V870" s="4">
        <v>29</v>
      </c>
      <c r="W870" s="4">
        <v>66</v>
      </c>
    </row>
    <row r="871" spans="1:23" ht="11.25" customHeight="1" x14ac:dyDescent="0.25">
      <c r="A871" s="4" t="s">
        <v>28</v>
      </c>
      <c r="B871" s="4" t="s">
        <v>43</v>
      </c>
      <c r="C871" s="4" t="s">
        <v>23</v>
      </c>
      <c r="D871" s="4" t="s">
        <v>44</v>
      </c>
      <c r="E871" s="4" t="s">
        <v>52</v>
      </c>
      <c r="F871" s="4" t="s">
        <v>54</v>
      </c>
      <c r="G871" s="4" t="s">
        <v>25</v>
      </c>
      <c r="H871" s="4" t="s">
        <v>25</v>
      </c>
      <c r="I871" s="5">
        <v>44562</v>
      </c>
      <c r="J871" s="6">
        <v>0</v>
      </c>
      <c r="K871" s="6">
        <v>0</v>
      </c>
      <c r="L871" s="6">
        <v>0.51200000000000001</v>
      </c>
      <c r="M871" s="6">
        <v>0.13824</v>
      </c>
      <c r="N871" s="6">
        <v>0.51200000000000001</v>
      </c>
      <c r="O871" s="6">
        <v>0.13824</v>
      </c>
      <c r="P871" s="6">
        <v>0</v>
      </c>
      <c r="Q871" s="4" t="s">
        <v>26</v>
      </c>
      <c r="R871" s="4">
        <v>0</v>
      </c>
      <c r="S871" s="4" t="s">
        <v>318</v>
      </c>
      <c r="T871" s="4" t="s">
        <v>563</v>
      </c>
      <c r="U871" s="4">
        <v>0</v>
      </c>
      <c r="V871" s="4">
        <v>29</v>
      </c>
      <c r="W871" s="4">
        <v>66</v>
      </c>
    </row>
    <row r="872" spans="1:23" ht="11.25" customHeight="1" x14ac:dyDescent="0.25">
      <c r="A872" s="4" t="s">
        <v>21</v>
      </c>
      <c r="B872" s="4" t="s">
        <v>43</v>
      </c>
      <c r="C872" s="4" t="s">
        <v>23</v>
      </c>
      <c r="D872" s="4" t="s">
        <v>44</v>
      </c>
      <c r="E872" s="4" t="s">
        <v>52</v>
      </c>
      <c r="F872" s="4" t="s">
        <v>54</v>
      </c>
      <c r="G872" s="4" t="s">
        <v>25</v>
      </c>
      <c r="H872" s="4" t="s">
        <v>25</v>
      </c>
      <c r="I872" s="5">
        <v>44593</v>
      </c>
      <c r="J872" s="6">
        <v>0</v>
      </c>
      <c r="K872" s="6">
        <v>0</v>
      </c>
      <c r="L872" s="6">
        <v>3305.2649999999999</v>
      </c>
      <c r="M872" s="6">
        <v>892.42155000000002</v>
      </c>
      <c r="N872" s="6">
        <v>3305.2649999999999</v>
      </c>
      <c r="O872" s="6">
        <v>892.42155000000002</v>
      </c>
      <c r="P872" s="6">
        <v>0</v>
      </c>
      <c r="Q872" s="4" t="s">
        <v>26</v>
      </c>
      <c r="R872" s="4">
        <v>0</v>
      </c>
      <c r="S872" s="4" t="s">
        <v>319</v>
      </c>
      <c r="T872" s="4" t="s">
        <v>564</v>
      </c>
      <c r="U872" s="4">
        <v>0</v>
      </c>
      <c r="V872" s="4">
        <v>29</v>
      </c>
      <c r="W872" s="4">
        <v>66</v>
      </c>
    </row>
    <row r="873" spans="1:23" ht="11.25" customHeight="1" x14ac:dyDescent="0.25">
      <c r="A873" s="4" t="s">
        <v>27</v>
      </c>
      <c r="B873" s="4" t="s">
        <v>43</v>
      </c>
      <c r="C873" s="4" t="s">
        <v>23</v>
      </c>
      <c r="D873" s="4" t="s">
        <v>44</v>
      </c>
      <c r="E873" s="4" t="s">
        <v>52</v>
      </c>
      <c r="F873" s="4" t="s">
        <v>54</v>
      </c>
      <c r="G873" s="4" t="s">
        <v>25</v>
      </c>
      <c r="H873" s="4" t="s">
        <v>25</v>
      </c>
      <c r="I873" s="5">
        <v>44593</v>
      </c>
      <c r="J873" s="6">
        <v>0</v>
      </c>
      <c r="K873" s="6">
        <v>0</v>
      </c>
      <c r="L873" s="6">
        <v>-11.685</v>
      </c>
      <c r="M873" s="6">
        <v>-3.1549499999999999</v>
      </c>
      <c r="N873" s="6">
        <v>-11.685</v>
      </c>
      <c r="O873" s="6">
        <v>-3.1549499999999999</v>
      </c>
      <c r="P873" s="6">
        <v>0</v>
      </c>
      <c r="Q873" s="4" t="s">
        <v>26</v>
      </c>
      <c r="R873" s="4">
        <v>0</v>
      </c>
      <c r="S873" s="4" t="s">
        <v>319</v>
      </c>
      <c r="T873" s="4" t="s">
        <v>564</v>
      </c>
      <c r="U873" s="4">
        <v>0</v>
      </c>
      <c r="V873" s="4">
        <v>29</v>
      </c>
      <c r="W873" s="4">
        <v>66</v>
      </c>
    </row>
    <row r="874" spans="1:23" ht="11.25" customHeight="1" x14ac:dyDescent="0.25">
      <c r="A874" s="4" t="s">
        <v>28</v>
      </c>
      <c r="B874" s="4" t="s">
        <v>43</v>
      </c>
      <c r="C874" s="4" t="s">
        <v>23</v>
      </c>
      <c r="D874" s="4" t="s">
        <v>44</v>
      </c>
      <c r="E874" s="4" t="s">
        <v>52</v>
      </c>
      <c r="F874" s="4" t="s">
        <v>54</v>
      </c>
      <c r="G874" s="4" t="s">
        <v>25</v>
      </c>
      <c r="H874" s="4" t="s">
        <v>25</v>
      </c>
      <c r="I874" s="5">
        <v>44593</v>
      </c>
      <c r="J874" s="6">
        <v>0</v>
      </c>
      <c r="K874" s="6">
        <v>0</v>
      </c>
      <c r="L874" s="6">
        <v>13.602</v>
      </c>
      <c r="M874" s="6">
        <v>3.6725400000000001</v>
      </c>
      <c r="N874" s="6">
        <v>13.602</v>
      </c>
      <c r="O874" s="6">
        <v>3.6725400000000001</v>
      </c>
      <c r="P874" s="6">
        <v>0</v>
      </c>
      <c r="Q874" s="4" t="s">
        <v>26</v>
      </c>
      <c r="R874" s="4">
        <v>0</v>
      </c>
      <c r="S874" s="4" t="s">
        <v>319</v>
      </c>
      <c r="T874" s="4" t="s">
        <v>564</v>
      </c>
      <c r="U874" s="4">
        <v>0</v>
      </c>
      <c r="V874" s="4">
        <v>29</v>
      </c>
      <c r="W874" s="4">
        <v>66</v>
      </c>
    </row>
    <row r="875" spans="1:23" ht="11.25" customHeight="1" x14ac:dyDescent="0.25">
      <c r="A875" s="4" t="s">
        <v>21</v>
      </c>
      <c r="B875" s="4" t="s">
        <v>43</v>
      </c>
      <c r="C875" s="4" t="s">
        <v>23</v>
      </c>
      <c r="D875" s="4" t="s">
        <v>44</v>
      </c>
      <c r="E875" s="4" t="s">
        <v>52</v>
      </c>
      <c r="F875" s="4" t="s">
        <v>54</v>
      </c>
      <c r="G875" s="4" t="s">
        <v>25</v>
      </c>
      <c r="H875" s="4" t="s">
        <v>25</v>
      </c>
      <c r="I875" s="5">
        <v>44621</v>
      </c>
      <c r="J875" s="6">
        <v>0</v>
      </c>
      <c r="K875" s="6">
        <v>0</v>
      </c>
      <c r="L875" s="6">
        <v>2070.011</v>
      </c>
      <c r="M875" s="6">
        <v>828.00440000000003</v>
      </c>
      <c r="N875" s="6">
        <v>2070.011</v>
      </c>
      <c r="O875" s="6">
        <v>828.00440000000003</v>
      </c>
      <c r="P875" s="6">
        <v>0</v>
      </c>
      <c r="Q875" s="4" t="s">
        <v>26</v>
      </c>
      <c r="R875" s="4">
        <v>0</v>
      </c>
      <c r="S875" s="4" t="s">
        <v>320</v>
      </c>
      <c r="T875" s="4" t="s">
        <v>565</v>
      </c>
      <c r="U875" s="4">
        <v>0</v>
      </c>
      <c r="V875" s="4">
        <v>29</v>
      </c>
      <c r="W875" s="4">
        <v>66</v>
      </c>
    </row>
    <row r="876" spans="1:23" ht="11.25" customHeight="1" x14ac:dyDescent="0.25">
      <c r="A876" s="4" t="s">
        <v>27</v>
      </c>
      <c r="B876" s="4" t="s">
        <v>43</v>
      </c>
      <c r="C876" s="4" t="s">
        <v>23</v>
      </c>
      <c r="D876" s="4" t="s">
        <v>44</v>
      </c>
      <c r="E876" s="4" t="s">
        <v>52</v>
      </c>
      <c r="F876" s="4" t="s">
        <v>54</v>
      </c>
      <c r="G876" s="4" t="s">
        <v>25</v>
      </c>
      <c r="H876" s="4" t="s">
        <v>25</v>
      </c>
      <c r="I876" s="5">
        <v>44621</v>
      </c>
      <c r="J876" s="6">
        <v>0</v>
      </c>
      <c r="K876" s="6">
        <v>0</v>
      </c>
      <c r="L876" s="6">
        <v>-109.158</v>
      </c>
      <c r="M876" s="6">
        <v>-43.663200000000003</v>
      </c>
      <c r="N876" s="6">
        <v>-109.158</v>
      </c>
      <c r="O876" s="6">
        <v>-43.663200000000003</v>
      </c>
      <c r="P876" s="6">
        <v>0</v>
      </c>
      <c r="Q876" s="4" t="s">
        <v>26</v>
      </c>
      <c r="R876" s="4">
        <v>0</v>
      </c>
      <c r="S876" s="4" t="s">
        <v>320</v>
      </c>
      <c r="T876" s="4" t="s">
        <v>565</v>
      </c>
      <c r="U876" s="4">
        <v>0</v>
      </c>
      <c r="V876" s="4">
        <v>29</v>
      </c>
      <c r="W876" s="4">
        <v>66</v>
      </c>
    </row>
    <row r="877" spans="1:23" ht="11.25" customHeight="1" x14ac:dyDescent="0.25">
      <c r="A877" s="4" t="s">
        <v>28</v>
      </c>
      <c r="B877" s="4" t="s">
        <v>43</v>
      </c>
      <c r="C877" s="4" t="s">
        <v>23</v>
      </c>
      <c r="D877" s="4" t="s">
        <v>44</v>
      </c>
      <c r="E877" s="4" t="s">
        <v>52</v>
      </c>
      <c r="F877" s="4" t="s">
        <v>54</v>
      </c>
      <c r="G877" s="4" t="s">
        <v>25</v>
      </c>
      <c r="H877" s="4" t="s">
        <v>25</v>
      </c>
      <c r="I877" s="5">
        <v>44621</v>
      </c>
      <c r="J877" s="6">
        <v>0</v>
      </c>
      <c r="K877" s="6">
        <v>0</v>
      </c>
      <c r="L877" s="6">
        <v>21.001999999999999</v>
      </c>
      <c r="M877" s="6">
        <v>8.4008000000000003</v>
      </c>
      <c r="N877" s="6">
        <v>21.001999999999999</v>
      </c>
      <c r="O877" s="6">
        <v>8.4008000000000003</v>
      </c>
      <c r="P877" s="6">
        <v>0</v>
      </c>
      <c r="Q877" s="4" t="s">
        <v>26</v>
      </c>
      <c r="R877" s="4">
        <v>0</v>
      </c>
      <c r="S877" s="4" t="s">
        <v>320</v>
      </c>
      <c r="T877" s="4" t="s">
        <v>565</v>
      </c>
      <c r="U877" s="4">
        <v>0</v>
      </c>
      <c r="V877" s="4">
        <v>29</v>
      </c>
      <c r="W877" s="4">
        <v>66</v>
      </c>
    </row>
    <row r="878" spans="1:23" ht="11.25" customHeight="1" x14ac:dyDescent="0.25">
      <c r="A878" s="4" t="s">
        <v>28</v>
      </c>
      <c r="B878" s="4" t="s">
        <v>43</v>
      </c>
      <c r="C878" s="4" t="s">
        <v>23</v>
      </c>
      <c r="D878" s="4" t="s">
        <v>44</v>
      </c>
      <c r="E878" s="4" t="s">
        <v>52</v>
      </c>
      <c r="F878" s="4" t="s">
        <v>54</v>
      </c>
      <c r="G878" s="4" t="s">
        <v>25</v>
      </c>
      <c r="H878" s="4" t="s">
        <v>25</v>
      </c>
      <c r="I878" s="5">
        <v>44621</v>
      </c>
      <c r="J878" s="6">
        <v>0</v>
      </c>
      <c r="K878" s="6">
        <v>0</v>
      </c>
      <c r="L878" s="6">
        <v>7.3999999999999996E-2</v>
      </c>
      <c r="M878" s="6">
        <v>1.9980000000000001E-2</v>
      </c>
      <c r="N878" s="6">
        <v>7.3999999999999996E-2</v>
      </c>
      <c r="O878" s="6">
        <v>1.9980000000000001E-2</v>
      </c>
      <c r="P878" s="6">
        <v>0</v>
      </c>
      <c r="Q878" s="4" t="s">
        <v>26</v>
      </c>
      <c r="R878" s="4">
        <v>0</v>
      </c>
      <c r="S878" s="4" t="s">
        <v>320</v>
      </c>
      <c r="T878" s="4" t="s">
        <v>565</v>
      </c>
      <c r="U878" s="4">
        <v>0</v>
      </c>
      <c r="V878" s="4">
        <v>29</v>
      </c>
      <c r="W878" s="4">
        <v>66</v>
      </c>
    </row>
    <row r="879" spans="1:23" ht="11.25" customHeight="1" x14ac:dyDescent="0.25">
      <c r="A879" s="4" t="s">
        <v>21</v>
      </c>
      <c r="B879" s="4" t="s">
        <v>43</v>
      </c>
      <c r="C879" s="4" t="s">
        <v>23</v>
      </c>
      <c r="D879" s="4" t="s">
        <v>44</v>
      </c>
      <c r="E879" s="4" t="s">
        <v>52</v>
      </c>
      <c r="F879" s="4" t="s">
        <v>54</v>
      </c>
      <c r="G879" s="4" t="s">
        <v>25</v>
      </c>
      <c r="H879" s="4" t="s">
        <v>25</v>
      </c>
      <c r="I879" s="5">
        <v>44652</v>
      </c>
      <c r="J879" s="6">
        <v>0</v>
      </c>
      <c r="K879" s="6">
        <v>0</v>
      </c>
      <c r="L879" s="6">
        <v>5306.0870000000004</v>
      </c>
      <c r="M879" s="6">
        <v>2122.4348</v>
      </c>
      <c r="N879" s="6">
        <v>5306.0870000000004</v>
      </c>
      <c r="O879" s="6">
        <v>2122.4348</v>
      </c>
      <c r="P879" s="6">
        <v>0</v>
      </c>
      <c r="Q879" s="4" t="s">
        <v>26</v>
      </c>
      <c r="R879" s="4">
        <v>0</v>
      </c>
      <c r="S879" s="4" t="s">
        <v>321</v>
      </c>
      <c r="T879" s="4" t="s">
        <v>566</v>
      </c>
      <c r="U879" s="4">
        <v>0</v>
      </c>
      <c r="V879" s="4">
        <v>29</v>
      </c>
      <c r="W879" s="4">
        <v>66</v>
      </c>
    </row>
    <row r="880" spans="1:23" ht="11.25" customHeight="1" x14ac:dyDescent="0.25">
      <c r="A880" s="4" t="s">
        <v>27</v>
      </c>
      <c r="B880" s="4" t="s">
        <v>43</v>
      </c>
      <c r="C880" s="4" t="s">
        <v>23</v>
      </c>
      <c r="D880" s="4" t="s">
        <v>44</v>
      </c>
      <c r="E880" s="4" t="s">
        <v>52</v>
      </c>
      <c r="F880" s="4" t="s">
        <v>54</v>
      </c>
      <c r="G880" s="4" t="s">
        <v>25</v>
      </c>
      <c r="H880" s="4" t="s">
        <v>25</v>
      </c>
      <c r="I880" s="5">
        <v>44652</v>
      </c>
      <c r="J880" s="6">
        <v>0</v>
      </c>
      <c r="K880" s="6">
        <v>0</v>
      </c>
      <c r="L880" s="6">
        <v>-1.0529999999999999</v>
      </c>
      <c r="M880" s="6">
        <v>-0.42120000000000002</v>
      </c>
      <c r="N880" s="6">
        <v>-1.0529999999999999</v>
      </c>
      <c r="O880" s="6">
        <v>-0.42120000000000002</v>
      </c>
      <c r="P880" s="6">
        <v>0</v>
      </c>
      <c r="Q880" s="4" t="s">
        <v>26</v>
      </c>
      <c r="R880" s="4">
        <v>0</v>
      </c>
      <c r="S880" s="4" t="s">
        <v>321</v>
      </c>
      <c r="T880" s="4" t="s">
        <v>566</v>
      </c>
      <c r="U880" s="4">
        <v>0</v>
      </c>
      <c r="V880" s="4">
        <v>29</v>
      </c>
      <c r="W880" s="4">
        <v>66</v>
      </c>
    </row>
    <row r="881" spans="1:23" ht="11.25" customHeight="1" x14ac:dyDescent="0.25">
      <c r="A881" s="4" t="s">
        <v>28</v>
      </c>
      <c r="B881" s="4" t="s">
        <v>43</v>
      </c>
      <c r="C881" s="4" t="s">
        <v>23</v>
      </c>
      <c r="D881" s="4" t="s">
        <v>44</v>
      </c>
      <c r="E881" s="4" t="s">
        <v>52</v>
      </c>
      <c r="F881" s="4" t="s">
        <v>54</v>
      </c>
      <c r="G881" s="4" t="s">
        <v>25</v>
      </c>
      <c r="H881" s="4" t="s">
        <v>25</v>
      </c>
      <c r="I881" s="5">
        <v>44652</v>
      </c>
      <c r="J881" s="6">
        <v>0</v>
      </c>
      <c r="K881" s="6">
        <v>0</v>
      </c>
      <c r="L881" s="6">
        <v>61.082999999999998</v>
      </c>
      <c r="M881" s="6">
        <v>24.433199999999999</v>
      </c>
      <c r="N881" s="6">
        <v>61.082999999999998</v>
      </c>
      <c r="O881" s="6">
        <v>24.433199999999999</v>
      </c>
      <c r="P881" s="6">
        <v>0</v>
      </c>
      <c r="Q881" s="4" t="s">
        <v>26</v>
      </c>
      <c r="R881" s="4">
        <v>0</v>
      </c>
      <c r="S881" s="4" t="s">
        <v>321</v>
      </c>
      <c r="T881" s="4" t="s">
        <v>566</v>
      </c>
      <c r="U881" s="4">
        <v>0</v>
      </c>
      <c r="V881" s="4">
        <v>29</v>
      </c>
      <c r="W881" s="4">
        <v>66</v>
      </c>
    </row>
    <row r="882" spans="1:23" ht="11.25" customHeight="1" x14ac:dyDescent="0.25">
      <c r="A882" s="4" t="s">
        <v>21</v>
      </c>
      <c r="B882" s="4" t="s">
        <v>43</v>
      </c>
      <c r="C882" s="4" t="s">
        <v>23</v>
      </c>
      <c r="D882" s="4" t="s">
        <v>44</v>
      </c>
      <c r="E882" s="4" t="s">
        <v>52</v>
      </c>
      <c r="F882" s="4" t="s">
        <v>54</v>
      </c>
      <c r="G882" s="4" t="s">
        <v>25</v>
      </c>
      <c r="H882" s="4" t="s">
        <v>25</v>
      </c>
      <c r="I882" s="5">
        <v>44682</v>
      </c>
      <c r="J882" s="6">
        <v>0</v>
      </c>
      <c r="K882" s="6">
        <v>0</v>
      </c>
      <c r="L882" s="6">
        <v>8382.3169999999991</v>
      </c>
      <c r="M882" s="6">
        <v>3352.9268000000002</v>
      </c>
      <c r="N882" s="6">
        <v>8382.3169999999991</v>
      </c>
      <c r="O882" s="6">
        <v>3352.9268000000002</v>
      </c>
      <c r="P882" s="6">
        <v>0</v>
      </c>
      <c r="Q882" s="4" t="s">
        <v>26</v>
      </c>
      <c r="R882" s="4">
        <v>0</v>
      </c>
      <c r="S882" s="4" t="s">
        <v>322</v>
      </c>
      <c r="T882" s="4" t="s">
        <v>567</v>
      </c>
      <c r="U882" s="4">
        <v>0</v>
      </c>
      <c r="V882" s="4">
        <v>29</v>
      </c>
      <c r="W882" s="4">
        <v>66</v>
      </c>
    </row>
    <row r="883" spans="1:23" ht="11.25" customHeight="1" x14ac:dyDescent="0.25">
      <c r="A883" s="4" t="s">
        <v>27</v>
      </c>
      <c r="B883" s="4" t="s">
        <v>43</v>
      </c>
      <c r="C883" s="4" t="s">
        <v>23</v>
      </c>
      <c r="D883" s="4" t="s">
        <v>44</v>
      </c>
      <c r="E883" s="4" t="s">
        <v>52</v>
      </c>
      <c r="F883" s="4" t="s">
        <v>54</v>
      </c>
      <c r="G883" s="4" t="s">
        <v>25</v>
      </c>
      <c r="H883" s="4" t="s">
        <v>25</v>
      </c>
      <c r="I883" s="5">
        <v>44682</v>
      </c>
      <c r="J883" s="6">
        <v>0</v>
      </c>
      <c r="K883" s="6">
        <v>0</v>
      </c>
      <c r="L883" s="6">
        <v>-0.59699999999999998</v>
      </c>
      <c r="M883" s="6">
        <v>-0.16119</v>
      </c>
      <c r="N883" s="6">
        <v>-0.59699999999999998</v>
      </c>
      <c r="O883" s="6">
        <v>-0.16119</v>
      </c>
      <c r="P883" s="6">
        <v>0</v>
      </c>
      <c r="Q883" s="4" t="s">
        <v>26</v>
      </c>
      <c r="R883" s="4">
        <v>0</v>
      </c>
      <c r="S883" s="4" t="s">
        <v>322</v>
      </c>
      <c r="T883" s="4" t="s">
        <v>567</v>
      </c>
      <c r="U883" s="4">
        <v>0</v>
      </c>
      <c r="V883" s="4">
        <v>29</v>
      </c>
      <c r="W883" s="4">
        <v>66</v>
      </c>
    </row>
    <row r="884" spans="1:23" ht="11.25" customHeight="1" x14ac:dyDescent="0.25">
      <c r="A884" s="4" t="s">
        <v>28</v>
      </c>
      <c r="B884" s="4" t="s">
        <v>43</v>
      </c>
      <c r="C884" s="4" t="s">
        <v>23</v>
      </c>
      <c r="D884" s="4" t="s">
        <v>44</v>
      </c>
      <c r="E884" s="4" t="s">
        <v>52</v>
      </c>
      <c r="F884" s="4" t="s">
        <v>54</v>
      </c>
      <c r="G884" s="4" t="s">
        <v>25</v>
      </c>
      <c r="H884" s="4" t="s">
        <v>25</v>
      </c>
      <c r="I884" s="5">
        <v>44682</v>
      </c>
      <c r="J884" s="6">
        <v>0</v>
      </c>
      <c r="K884" s="6">
        <v>0</v>
      </c>
      <c r="L884" s="6">
        <v>127.547</v>
      </c>
      <c r="M884" s="6">
        <v>51.018799999999999</v>
      </c>
      <c r="N884" s="6">
        <v>127.547</v>
      </c>
      <c r="O884" s="6">
        <v>51.018799999999999</v>
      </c>
      <c r="P884" s="6">
        <v>0</v>
      </c>
      <c r="Q884" s="4" t="s">
        <v>26</v>
      </c>
      <c r="R884" s="4">
        <v>0</v>
      </c>
      <c r="S884" s="4" t="s">
        <v>322</v>
      </c>
      <c r="T884" s="4" t="s">
        <v>567</v>
      </c>
      <c r="U884" s="4">
        <v>0</v>
      </c>
      <c r="V884" s="4">
        <v>29</v>
      </c>
      <c r="W884" s="4">
        <v>66</v>
      </c>
    </row>
    <row r="885" spans="1:23" ht="11.25" customHeight="1" x14ac:dyDescent="0.25">
      <c r="A885" s="4" t="s">
        <v>28</v>
      </c>
      <c r="B885" s="4" t="s">
        <v>43</v>
      </c>
      <c r="C885" s="4" t="s">
        <v>23</v>
      </c>
      <c r="D885" s="4" t="s">
        <v>44</v>
      </c>
      <c r="E885" s="4" t="s">
        <v>52</v>
      </c>
      <c r="F885" s="4" t="s">
        <v>54</v>
      </c>
      <c r="G885" s="4" t="s">
        <v>25</v>
      </c>
      <c r="H885" s="4" t="s">
        <v>25</v>
      </c>
      <c r="I885" s="5">
        <v>44682</v>
      </c>
      <c r="J885" s="6">
        <v>0</v>
      </c>
      <c r="K885" s="6">
        <v>0</v>
      </c>
      <c r="L885" s="6">
        <v>0.13</v>
      </c>
      <c r="M885" s="6">
        <v>3.5099999999999999E-2</v>
      </c>
      <c r="N885" s="6">
        <v>0.13</v>
      </c>
      <c r="O885" s="6">
        <v>3.5099999999999999E-2</v>
      </c>
      <c r="P885" s="6">
        <v>0</v>
      </c>
      <c r="Q885" s="4" t="s">
        <v>26</v>
      </c>
      <c r="R885" s="4">
        <v>0</v>
      </c>
      <c r="S885" s="4" t="s">
        <v>322</v>
      </c>
      <c r="T885" s="4" t="s">
        <v>567</v>
      </c>
      <c r="U885" s="4">
        <v>0</v>
      </c>
      <c r="V885" s="4">
        <v>29</v>
      </c>
      <c r="W885" s="4">
        <v>66</v>
      </c>
    </row>
    <row r="886" spans="1:23" ht="11.25" customHeight="1" x14ac:dyDescent="0.25">
      <c r="A886" s="4" t="s">
        <v>21</v>
      </c>
      <c r="B886" s="4" t="s">
        <v>43</v>
      </c>
      <c r="C886" s="4" t="s">
        <v>23</v>
      </c>
      <c r="D886" s="4" t="s">
        <v>44</v>
      </c>
      <c r="E886" s="4" t="s">
        <v>52</v>
      </c>
      <c r="F886" s="4" t="s">
        <v>54</v>
      </c>
      <c r="G886" s="4" t="s">
        <v>25</v>
      </c>
      <c r="H886" s="4" t="s">
        <v>25</v>
      </c>
      <c r="I886" s="5">
        <v>44713</v>
      </c>
      <c r="J886" s="6">
        <v>0</v>
      </c>
      <c r="K886" s="6">
        <v>0</v>
      </c>
      <c r="L886" s="6">
        <v>6080.9279999999999</v>
      </c>
      <c r="M886" s="6">
        <v>2432.3712</v>
      </c>
      <c r="N886" s="6">
        <v>6080.9279999999999</v>
      </c>
      <c r="O886" s="6">
        <v>2432.3712</v>
      </c>
      <c r="P886" s="6">
        <v>0</v>
      </c>
      <c r="Q886" s="4" t="s">
        <v>26</v>
      </c>
      <c r="R886" s="4">
        <v>0</v>
      </c>
      <c r="S886" s="4" t="s">
        <v>323</v>
      </c>
      <c r="T886" s="4" t="s">
        <v>568</v>
      </c>
      <c r="U886" s="4">
        <v>0</v>
      </c>
      <c r="V886" s="4">
        <v>29</v>
      </c>
      <c r="W886" s="4">
        <v>66</v>
      </c>
    </row>
    <row r="887" spans="1:23" ht="11.25" customHeight="1" x14ac:dyDescent="0.25">
      <c r="A887" s="4" t="s">
        <v>27</v>
      </c>
      <c r="B887" s="4" t="s">
        <v>43</v>
      </c>
      <c r="C887" s="4" t="s">
        <v>23</v>
      </c>
      <c r="D887" s="4" t="s">
        <v>44</v>
      </c>
      <c r="E887" s="4" t="s">
        <v>52</v>
      </c>
      <c r="F887" s="4" t="s">
        <v>54</v>
      </c>
      <c r="G887" s="4" t="s">
        <v>25</v>
      </c>
      <c r="H887" s="4" t="s">
        <v>25</v>
      </c>
      <c r="I887" s="5">
        <v>44713</v>
      </c>
      <c r="J887" s="6">
        <v>0</v>
      </c>
      <c r="K887" s="6">
        <v>0</v>
      </c>
      <c r="L887" s="6">
        <v>2.972</v>
      </c>
      <c r="M887" s="6">
        <v>0.80244000000000004</v>
      </c>
      <c r="N887" s="6">
        <v>2.972</v>
      </c>
      <c r="O887" s="6">
        <v>0.80244000000000004</v>
      </c>
      <c r="P887" s="6">
        <v>0</v>
      </c>
      <c r="Q887" s="4" t="s">
        <v>26</v>
      </c>
      <c r="R887" s="4">
        <v>0</v>
      </c>
      <c r="S887" s="4" t="s">
        <v>323</v>
      </c>
      <c r="T887" s="4" t="s">
        <v>568</v>
      </c>
      <c r="U887" s="4">
        <v>0</v>
      </c>
      <c r="V887" s="4">
        <v>29</v>
      </c>
      <c r="W887" s="4">
        <v>66</v>
      </c>
    </row>
    <row r="888" spans="1:23" ht="11.25" customHeight="1" x14ac:dyDescent="0.25">
      <c r="A888" s="4" t="s">
        <v>28</v>
      </c>
      <c r="B888" s="4" t="s">
        <v>43</v>
      </c>
      <c r="C888" s="4" t="s">
        <v>23</v>
      </c>
      <c r="D888" s="4" t="s">
        <v>44</v>
      </c>
      <c r="E888" s="4" t="s">
        <v>52</v>
      </c>
      <c r="F888" s="4" t="s">
        <v>54</v>
      </c>
      <c r="G888" s="4" t="s">
        <v>25</v>
      </c>
      <c r="H888" s="4" t="s">
        <v>25</v>
      </c>
      <c r="I888" s="5">
        <v>44713</v>
      </c>
      <c r="J888" s="6">
        <v>0</v>
      </c>
      <c r="K888" s="6">
        <v>0</v>
      </c>
      <c r="L888" s="6">
        <v>75.545000000000002</v>
      </c>
      <c r="M888" s="6">
        <v>30.218</v>
      </c>
      <c r="N888" s="6">
        <v>75.545000000000002</v>
      </c>
      <c r="O888" s="6">
        <v>30.218</v>
      </c>
      <c r="P888" s="6">
        <v>0</v>
      </c>
      <c r="Q888" s="4" t="s">
        <v>26</v>
      </c>
      <c r="R888" s="4">
        <v>0</v>
      </c>
      <c r="S888" s="4" t="s">
        <v>323</v>
      </c>
      <c r="T888" s="4" t="s">
        <v>568</v>
      </c>
      <c r="U888" s="4">
        <v>0</v>
      </c>
      <c r="V888" s="4">
        <v>29</v>
      </c>
      <c r="W888" s="4">
        <v>66</v>
      </c>
    </row>
    <row r="889" spans="1:23" ht="11.25" customHeight="1" x14ac:dyDescent="0.25">
      <c r="A889" s="4" t="s">
        <v>21</v>
      </c>
      <c r="B889" s="4" t="s">
        <v>43</v>
      </c>
      <c r="C889" s="4" t="s">
        <v>23</v>
      </c>
      <c r="D889" s="4" t="s">
        <v>44</v>
      </c>
      <c r="E889" s="4" t="s">
        <v>52</v>
      </c>
      <c r="F889" s="4" t="s">
        <v>54</v>
      </c>
      <c r="G889" s="4" t="s">
        <v>25</v>
      </c>
      <c r="H889" s="4" t="s">
        <v>25</v>
      </c>
      <c r="I889" s="5">
        <v>44743</v>
      </c>
      <c r="J889" s="6">
        <v>0</v>
      </c>
      <c r="K889" s="6">
        <v>0</v>
      </c>
      <c r="L889" s="6">
        <v>7343.5330000000004</v>
      </c>
      <c r="M889" s="6">
        <v>2937.4132</v>
      </c>
      <c r="N889" s="6">
        <v>7343.5330000000004</v>
      </c>
      <c r="O889" s="6">
        <v>2937.4132</v>
      </c>
      <c r="P889" s="6">
        <v>0</v>
      </c>
      <c r="Q889" s="4" t="s">
        <v>26</v>
      </c>
      <c r="R889" s="4">
        <v>0</v>
      </c>
      <c r="S889" s="4" t="s">
        <v>324</v>
      </c>
      <c r="T889" s="4" t="s">
        <v>569</v>
      </c>
      <c r="U889" s="4">
        <v>0</v>
      </c>
      <c r="V889" s="4">
        <v>29</v>
      </c>
      <c r="W889" s="4">
        <v>66</v>
      </c>
    </row>
    <row r="890" spans="1:23" ht="11.25" customHeight="1" x14ac:dyDescent="0.25">
      <c r="A890" s="4" t="s">
        <v>27</v>
      </c>
      <c r="B890" s="4" t="s">
        <v>43</v>
      </c>
      <c r="C890" s="4" t="s">
        <v>23</v>
      </c>
      <c r="D890" s="4" t="s">
        <v>44</v>
      </c>
      <c r="E890" s="4" t="s">
        <v>52</v>
      </c>
      <c r="F890" s="4" t="s">
        <v>54</v>
      </c>
      <c r="G890" s="4" t="s">
        <v>25</v>
      </c>
      <c r="H890" s="4" t="s">
        <v>25</v>
      </c>
      <c r="I890" s="5">
        <v>44743</v>
      </c>
      <c r="J890" s="6">
        <v>0</v>
      </c>
      <c r="K890" s="6">
        <v>0</v>
      </c>
      <c r="L890" s="6">
        <v>10.722</v>
      </c>
      <c r="M890" s="6">
        <v>2.8949400000000001</v>
      </c>
      <c r="N890" s="6">
        <v>10.722</v>
      </c>
      <c r="O890" s="6">
        <v>2.8949400000000001</v>
      </c>
      <c r="P890" s="6">
        <v>0</v>
      </c>
      <c r="Q890" s="4" t="s">
        <v>26</v>
      </c>
      <c r="R890" s="4">
        <v>0</v>
      </c>
      <c r="S890" s="4" t="s">
        <v>324</v>
      </c>
      <c r="T890" s="4" t="s">
        <v>569</v>
      </c>
      <c r="U890" s="4">
        <v>0</v>
      </c>
      <c r="V890" s="4">
        <v>29</v>
      </c>
      <c r="W890" s="4">
        <v>66</v>
      </c>
    </row>
    <row r="891" spans="1:23" ht="11.25" customHeight="1" x14ac:dyDescent="0.25">
      <c r="A891" s="4" t="s">
        <v>28</v>
      </c>
      <c r="B891" s="4" t="s">
        <v>43</v>
      </c>
      <c r="C891" s="4" t="s">
        <v>23</v>
      </c>
      <c r="D891" s="4" t="s">
        <v>44</v>
      </c>
      <c r="E891" s="4" t="s">
        <v>52</v>
      </c>
      <c r="F891" s="4" t="s">
        <v>54</v>
      </c>
      <c r="G891" s="4" t="s">
        <v>25</v>
      </c>
      <c r="H891" s="4" t="s">
        <v>25</v>
      </c>
      <c r="I891" s="5">
        <v>44743</v>
      </c>
      <c r="J891" s="6">
        <v>0</v>
      </c>
      <c r="K891" s="6">
        <v>0</v>
      </c>
      <c r="L891" s="6">
        <v>167.989</v>
      </c>
      <c r="M891" s="6">
        <v>67.195599999999999</v>
      </c>
      <c r="N891" s="6">
        <v>167.989</v>
      </c>
      <c r="O891" s="6">
        <v>67.195599999999999</v>
      </c>
      <c r="P891" s="6">
        <v>0</v>
      </c>
      <c r="Q891" s="4" t="s">
        <v>26</v>
      </c>
      <c r="R891" s="4">
        <v>0</v>
      </c>
      <c r="S891" s="4" t="s">
        <v>324</v>
      </c>
      <c r="T891" s="4" t="s">
        <v>569</v>
      </c>
      <c r="U891" s="4">
        <v>0</v>
      </c>
      <c r="V891" s="4">
        <v>29</v>
      </c>
      <c r="W891" s="4">
        <v>66</v>
      </c>
    </row>
    <row r="892" spans="1:23" ht="11.25" customHeight="1" x14ac:dyDescent="0.25">
      <c r="A892" s="4" t="s">
        <v>56</v>
      </c>
      <c r="B892" s="4" t="s">
        <v>43</v>
      </c>
      <c r="C892" s="4" t="s">
        <v>23</v>
      </c>
      <c r="D892" s="4" t="s">
        <v>44</v>
      </c>
      <c r="E892" s="4" t="s">
        <v>52</v>
      </c>
      <c r="F892" s="4" t="s">
        <v>54</v>
      </c>
      <c r="G892" s="4" t="s">
        <v>25</v>
      </c>
      <c r="H892" s="4" t="s">
        <v>25</v>
      </c>
      <c r="I892" s="5">
        <v>44774</v>
      </c>
      <c r="J892" s="6">
        <v>0</v>
      </c>
      <c r="K892" s="6">
        <v>0</v>
      </c>
      <c r="L892" s="6">
        <v>7343.5330000000004</v>
      </c>
      <c r="M892" s="6">
        <v>2937.4132</v>
      </c>
      <c r="N892" s="6">
        <v>7343.5330000000004</v>
      </c>
      <c r="O892" s="6">
        <v>2937.4132</v>
      </c>
      <c r="P892" s="6">
        <v>0</v>
      </c>
      <c r="Q892" s="4" t="s">
        <v>26</v>
      </c>
      <c r="R892" s="4">
        <v>0</v>
      </c>
      <c r="S892" s="4" t="s">
        <v>325</v>
      </c>
      <c r="T892" s="4" t="s">
        <v>570</v>
      </c>
      <c r="U892" s="4">
        <v>0</v>
      </c>
      <c r="V892" s="4">
        <v>29</v>
      </c>
      <c r="W892" s="4">
        <v>66</v>
      </c>
    </row>
    <row r="893" spans="1:23" ht="11.25" customHeight="1" x14ac:dyDescent="0.25">
      <c r="A893" s="4" t="s">
        <v>56</v>
      </c>
      <c r="B893" s="4" t="s">
        <v>43</v>
      </c>
      <c r="C893" s="4" t="s">
        <v>23</v>
      </c>
      <c r="D893" s="4" t="s">
        <v>44</v>
      </c>
      <c r="E893" s="4" t="s">
        <v>52</v>
      </c>
      <c r="F893" s="4" t="s">
        <v>54</v>
      </c>
      <c r="G893" s="4" t="s">
        <v>25</v>
      </c>
      <c r="H893" s="4" t="s">
        <v>25</v>
      </c>
      <c r="I893" s="5">
        <v>44774</v>
      </c>
      <c r="J893" s="6">
        <v>0</v>
      </c>
      <c r="K893" s="6">
        <v>0</v>
      </c>
      <c r="L893" s="6">
        <v>10.722</v>
      </c>
      <c r="M893" s="6">
        <v>2.8949400000000001</v>
      </c>
      <c r="N893" s="6">
        <v>10.722</v>
      </c>
      <c r="O893" s="6">
        <v>2.8949400000000001</v>
      </c>
      <c r="P893" s="6">
        <v>0</v>
      </c>
      <c r="Q893" s="4" t="s">
        <v>26</v>
      </c>
      <c r="R893" s="4">
        <v>0</v>
      </c>
      <c r="S893" s="4" t="s">
        <v>325</v>
      </c>
      <c r="T893" s="4" t="s">
        <v>570</v>
      </c>
      <c r="U893" s="4">
        <v>0</v>
      </c>
      <c r="V893" s="4">
        <v>29</v>
      </c>
      <c r="W893" s="4">
        <v>66</v>
      </c>
    </row>
    <row r="894" spans="1:23" ht="11.25" customHeight="1" x14ac:dyDescent="0.25">
      <c r="A894" s="4" t="s">
        <v>56</v>
      </c>
      <c r="B894" s="4" t="s">
        <v>43</v>
      </c>
      <c r="C894" s="4" t="s">
        <v>23</v>
      </c>
      <c r="D894" s="4" t="s">
        <v>44</v>
      </c>
      <c r="E894" s="4" t="s">
        <v>52</v>
      </c>
      <c r="F894" s="4" t="s">
        <v>54</v>
      </c>
      <c r="G894" s="4" t="s">
        <v>25</v>
      </c>
      <c r="H894" s="4" t="s">
        <v>25</v>
      </c>
      <c r="I894" s="5">
        <v>44774</v>
      </c>
      <c r="J894" s="6">
        <v>0</v>
      </c>
      <c r="K894" s="6">
        <v>0</v>
      </c>
      <c r="L894" s="6">
        <v>167.989</v>
      </c>
      <c r="M894" s="6">
        <v>67.195599999999999</v>
      </c>
      <c r="N894" s="6">
        <v>167.989</v>
      </c>
      <c r="O894" s="6">
        <v>67.195599999999999</v>
      </c>
      <c r="P894" s="6">
        <v>0</v>
      </c>
      <c r="Q894" s="4" t="s">
        <v>26</v>
      </c>
      <c r="R894" s="4">
        <v>0</v>
      </c>
      <c r="S894" s="4" t="s">
        <v>325</v>
      </c>
      <c r="T894" s="4" t="s">
        <v>570</v>
      </c>
      <c r="U894" s="4">
        <v>0</v>
      </c>
      <c r="V894" s="4">
        <v>29</v>
      </c>
      <c r="W894" s="4">
        <v>66</v>
      </c>
    </row>
    <row r="895" spans="1:23" ht="11.25" customHeight="1" x14ac:dyDescent="0.25">
      <c r="A895" s="4" t="s">
        <v>21</v>
      </c>
      <c r="B895" s="4" t="s">
        <v>43</v>
      </c>
      <c r="C895" s="4" t="s">
        <v>23</v>
      </c>
      <c r="D895" s="4" t="s">
        <v>44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44440</v>
      </c>
      <c r="J895" s="6">
        <v>0</v>
      </c>
      <c r="K895" s="6">
        <v>0</v>
      </c>
      <c r="L895" s="6">
        <v>7106.2569999999996</v>
      </c>
      <c r="M895" s="6">
        <v>7106.2569999999996</v>
      </c>
      <c r="N895" s="6">
        <v>7106.2569999999996</v>
      </c>
      <c r="O895" s="6">
        <v>7106.2569999999996</v>
      </c>
      <c r="P895" s="6">
        <v>24681</v>
      </c>
      <c r="Q895" s="4" t="s">
        <v>26</v>
      </c>
      <c r="R895" s="4">
        <v>0</v>
      </c>
      <c r="S895" s="4" t="s">
        <v>314</v>
      </c>
      <c r="T895" s="4" t="s">
        <v>559</v>
      </c>
      <c r="U895" s="4">
        <v>0</v>
      </c>
      <c r="V895" s="4">
        <v>29</v>
      </c>
      <c r="W895" s="4">
        <v>66</v>
      </c>
    </row>
    <row r="896" spans="1:23" ht="11.25" customHeight="1" x14ac:dyDescent="0.25">
      <c r="A896" s="4" t="s">
        <v>27</v>
      </c>
      <c r="B896" s="4" t="s">
        <v>43</v>
      </c>
      <c r="C896" s="4" t="s">
        <v>23</v>
      </c>
      <c r="D896" s="4" t="s">
        <v>44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44440</v>
      </c>
      <c r="J896" s="6">
        <v>0</v>
      </c>
      <c r="K896" s="6">
        <v>0</v>
      </c>
      <c r="L896" s="6">
        <v>-1.9510000000000001</v>
      </c>
      <c r="M896" s="6">
        <v>-1.9510000000000001</v>
      </c>
      <c r="N896" s="6">
        <v>-1.9510000000000001</v>
      </c>
      <c r="O896" s="6">
        <v>-1.9510000000000001</v>
      </c>
      <c r="P896" s="6">
        <v>-7</v>
      </c>
      <c r="Q896" s="4" t="s">
        <v>26</v>
      </c>
      <c r="R896" s="4">
        <v>0</v>
      </c>
      <c r="S896" s="4" t="s">
        <v>314</v>
      </c>
      <c r="T896" s="4" t="s">
        <v>559</v>
      </c>
      <c r="U896" s="4">
        <v>0</v>
      </c>
      <c r="V896" s="4">
        <v>29</v>
      </c>
      <c r="W896" s="4">
        <v>66</v>
      </c>
    </row>
    <row r="897" spans="1:23" ht="11.25" customHeight="1" x14ac:dyDescent="0.25">
      <c r="A897" s="4" t="s">
        <v>28</v>
      </c>
      <c r="B897" s="4" t="s">
        <v>43</v>
      </c>
      <c r="C897" s="4" t="s">
        <v>23</v>
      </c>
      <c r="D897" s="4" t="s">
        <v>44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44440</v>
      </c>
      <c r="J897" s="6">
        <v>0</v>
      </c>
      <c r="K897" s="6">
        <v>0</v>
      </c>
      <c r="L897" s="6">
        <v>49.664999999999999</v>
      </c>
      <c r="M897" s="6">
        <v>49.664999999999999</v>
      </c>
      <c r="N897" s="6">
        <v>49.664999999999999</v>
      </c>
      <c r="O897" s="6">
        <v>49.664999999999999</v>
      </c>
      <c r="P897" s="6">
        <v>201</v>
      </c>
      <c r="Q897" s="4" t="s">
        <v>26</v>
      </c>
      <c r="R897" s="4">
        <v>0</v>
      </c>
      <c r="S897" s="4" t="s">
        <v>314</v>
      </c>
      <c r="T897" s="4" t="s">
        <v>559</v>
      </c>
      <c r="U897" s="4">
        <v>0</v>
      </c>
      <c r="V897" s="4">
        <v>29</v>
      </c>
      <c r="W897" s="4">
        <v>66</v>
      </c>
    </row>
    <row r="898" spans="1:23" ht="11.25" customHeight="1" x14ac:dyDescent="0.25">
      <c r="A898" s="4" t="s">
        <v>21</v>
      </c>
      <c r="B898" s="4" t="s">
        <v>43</v>
      </c>
      <c r="C898" s="4" t="s">
        <v>23</v>
      </c>
      <c r="D898" s="4" t="s">
        <v>44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44470</v>
      </c>
      <c r="J898" s="6">
        <v>0</v>
      </c>
      <c r="K898" s="6">
        <v>0</v>
      </c>
      <c r="L898" s="6">
        <v>7352.8180000000002</v>
      </c>
      <c r="M898" s="6">
        <v>7352.8180000000002</v>
      </c>
      <c r="N898" s="6">
        <v>7352.8180000000002</v>
      </c>
      <c r="O898" s="6">
        <v>7352.8180000000002</v>
      </c>
      <c r="P898" s="6">
        <v>24594</v>
      </c>
      <c r="Q898" s="4" t="s">
        <v>26</v>
      </c>
      <c r="R898" s="4">
        <v>0</v>
      </c>
      <c r="S898" s="4" t="s">
        <v>315</v>
      </c>
      <c r="T898" s="4" t="s">
        <v>560</v>
      </c>
      <c r="U898" s="4">
        <v>0</v>
      </c>
      <c r="V898" s="4">
        <v>29</v>
      </c>
      <c r="W898" s="4">
        <v>66</v>
      </c>
    </row>
    <row r="899" spans="1:23" ht="11.25" customHeight="1" x14ac:dyDescent="0.25">
      <c r="A899" s="4" t="s">
        <v>27</v>
      </c>
      <c r="B899" s="4" t="s">
        <v>43</v>
      </c>
      <c r="C899" s="4" t="s">
        <v>23</v>
      </c>
      <c r="D899" s="4" t="s">
        <v>44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44470</v>
      </c>
      <c r="J899" s="6">
        <v>0</v>
      </c>
      <c r="K899" s="6">
        <v>0</v>
      </c>
      <c r="L899" s="6">
        <v>-2.5510000000000002</v>
      </c>
      <c r="M899" s="6">
        <v>-2.5510000000000002</v>
      </c>
      <c r="N899" s="6">
        <v>-2.5510000000000002</v>
      </c>
      <c r="O899" s="6">
        <v>-2.5510000000000002</v>
      </c>
      <c r="P899" s="6">
        <v>-16</v>
      </c>
      <c r="Q899" s="4" t="s">
        <v>26</v>
      </c>
      <c r="R899" s="4">
        <v>0</v>
      </c>
      <c r="S899" s="4" t="s">
        <v>315</v>
      </c>
      <c r="T899" s="4" t="s">
        <v>560</v>
      </c>
      <c r="U899" s="4">
        <v>0</v>
      </c>
      <c r="V899" s="4">
        <v>29</v>
      </c>
      <c r="W899" s="4">
        <v>66</v>
      </c>
    </row>
    <row r="900" spans="1:23" ht="11.25" customHeight="1" x14ac:dyDescent="0.25">
      <c r="A900" s="4" t="s">
        <v>28</v>
      </c>
      <c r="B900" s="4" t="s">
        <v>43</v>
      </c>
      <c r="C900" s="4" t="s">
        <v>23</v>
      </c>
      <c r="D900" s="4" t="s">
        <v>44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44470</v>
      </c>
      <c r="J900" s="6">
        <v>0</v>
      </c>
      <c r="K900" s="6">
        <v>0</v>
      </c>
      <c r="L900" s="6">
        <v>58.216999999999999</v>
      </c>
      <c r="M900" s="6">
        <v>58.216999999999999</v>
      </c>
      <c r="N900" s="6">
        <v>58.216999999999999</v>
      </c>
      <c r="O900" s="6">
        <v>58.216999999999999</v>
      </c>
      <c r="P900" s="6">
        <v>227</v>
      </c>
      <c r="Q900" s="4" t="s">
        <v>26</v>
      </c>
      <c r="R900" s="4">
        <v>0</v>
      </c>
      <c r="S900" s="4" t="s">
        <v>315</v>
      </c>
      <c r="T900" s="4" t="s">
        <v>560</v>
      </c>
      <c r="U900" s="4">
        <v>0</v>
      </c>
      <c r="V900" s="4">
        <v>29</v>
      </c>
      <c r="W900" s="4">
        <v>66</v>
      </c>
    </row>
    <row r="901" spans="1:23" ht="11.25" customHeight="1" x14ac:dyDescent="0.25">
      <c r="A901" s="4" t="s">
        <v>21</v>
      </c>
      <c r="B901" s="4" t="s">
        <v>43</v>
      </c>
      <c r="C901" s="4" t="s">
        <v>23</v>
      </c>
      <c r="D901" s="4" t="s">
        <v>44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44501</v>
      </c>
      <c r="J901" s="6">
        <v>0</v>
      </c>
      <c r="K901" s="6">
        <v>0</v>
      </c>
      <c r="L901" s="6">
        <v>6247.442</v>
      </c>
      <c r="M901" s="6">
        <v>6247.442</v>
      </c>
      <c r="N901" s="6">
        <v>6247.442</v>
      </c>
      <c r="O901" s="6">
        <v>6247.442</v>
      </c>
      <c r="P901" s="6">
        <v>26289</v>
      </c>
      <c r="Q901" s="4" t="s">
        <v>26</v>
      </c>
      <c r="R901" s="4">
        <v>0</v>
      </c>
      <c r="S901" s="4" t="s">
        <v>316</v>
      </c>
      <c r="T901" s="4" t="s">
        <v>561</v>
      </c>
      <c r="U901" s="4">
        <v>0</v>
      </c>
      <c r="V901" s="4">
        <v>29</v>
      </c>
      <c r="W901" s="4">
        <v>66</v>
      </c>
    </row>
    <row r="902" spans="1:23" ht="11.25" customHeight="1" x14ac:dyDescent="0.25">
      <c r="A902" s="4" t="s">
        <v>27</v>
      </c>
      <c r="B902" s="4" t="s">
        <v>43</v>
      </c>
      <c r="C902" s="4" t="s">
        <v>23</v>
      </c>
      <c r="D902" s="4" t="s">
        <v>44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44501</v>
      </c>
      <c r="J902" s="6">
        <v>0</v>
      </c>
      <c r="K902" s="6">
        <v>0</v>
      </c>
      <c r="L902" s="6">
        <v>-5.1539999999999999</v>
      </c>
      <c r="M902" s="6">
        <v>-5.1539999999999999</v>
      </c>
      <c r="N902" s="6">
        <v>-5.1539999999999999</v>
      </c>
      <c r="O902" s="6">
        <v>-5.1539999999999999</v>
      </c>
      <c r="P902" s="6">
        <v>-1</v>
      </c>
      <c r="Q902" s="4" t="s">
        <v>26</v>
      </c>
      <c r="R902" s="4">
        <v>0</v>
      </c>
      <c r="S902" s="4" t="s">
        <v>316</v>
      </c>
      <c r="T902" s="4" t="s">
        <v>561</v>
      </c>
      <c r="U902" s="4">
        <v>0</v>
      </c>
      <c r="V902" s="4">
        <v>29</v>
      </c>
      <c r="W902" s="4">
        <v>66</v>
      </c>
    </row>
    <row r="903" spans="1:23" ht="11.25" customHeight="1" x14ac:dyDescent="0.25">
      <c r="A903" s="4" t="s">
        <v>28</v>
      </c>
      <c r="B903" s="4" t="s">
        <v>43</v>
      </c>
      <c r="C903" s="4" t="s">
        <v>23</v>
      </c>
      <c r="D903" s="4" t="s">
        <v>44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44501</v>
      </c>
      <c r="J903" s="6">
        <v>0</v>
      </c>
      <c r="K903" s="6">
        <v>0</v>
      </c>
      <c r="L903" s="6">
        <v>51.704000000000001</v>
      </c>
      <c r="M903" s="6">
        <v>51.704000000000001</v>
      </c>
      <c r="N903" s="6">
        <v>51.704000000000001</v>
      </c>
      <c r="O903" s="6">
        <v>51.704000000000001</v>
      </c>
      <c r="P903" s="6">
        <v>274</v>
      </c>
      <c r="Q903" s="4" t="s">
        <v>26</v>
      </c>
      <c r="R903" s="4">
        <v>0</v>
      </c>
      <c r="S903" s="4" t="s">
        <v>316</v>
      </c>
      <c r="T903" s="4" t="s">
        <v>561</v>
      </c>
      <c r="U903" s="4">
        <v>0</v>
      </c>
      <c r="V903" s="4">
        <v>29</v>
      </c>
      <c r="W903" s="4">
        <v>66</v>
      </c>
    </row>
    <row r="904" spans="1:23" ht="11.25" customHeight="1" x14ac:dyDescent="0.25">
      <c r="A904" s="4" t="s">
        <v>21</v>
      </c>
      <c r="B904" s="4" t="s">
        <v>43</v>
      </c>
      <c r="C904" s="4" t="s">
        <v>23</v>
      </c>
      <c r="D904" s="4" t="s">
        <v>44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44531</v>
      </c>
      <c r="J904" s="6">
        <v>0</v>
      </c>
      <c r="K904" s="6">
        <v>0</v>
      </c>
      <c r="L904" s="6">
        <v>6314.4870000000001</v>
      </c>
      <c r="M904" s="6">
        <v>6314.4870000000001</v>
      </c>
      <c r="N904" s="6">
        <v>6314.4870000000001</v>
      </c>
      <c r="O904" s="6">
        <v>6314.4870000000001</v>
      </c>
      <c r="P904" s="6">
        <v>27205</v>
      </c>
      <c r="Q904" s="4" t="s">
        <v>26</v>
      </c>
      <c r="R904" s="4">
        <v>0</v>
      </c>
      <c r="S904" s="4" t="s">
        <v>317</v>
      </c>
      <c r="T904" s="4" t="s">
        <v>562</v>
      </c>
      <c r="U904" s="4">
        <v>0</v>
      </c>
      <c r="V904" s="4">
        <v>29</v>
      </c>
      <c r="W904" s="4">
        <v>66</v>
      </c>
    </row>
    <row r="905" spans="1:23" ht="11.25" customHeight="1" x14ac:dyDescent="0.25">
      <c r="A905" s="4" t="s">
        <v>27</v>
      </c>
      <c r="B905" s="4" t="s">
        <v>43</v>
      </c>
      <c r="C905" s="4" t="s">
        <v>23</v>
      </c>
      <c r="D905" s="4" t="s">
        <v>44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44531</v>
      </c>
      <c r="J905" s="6">
        <v>0</v>
      </c>
      <c r="K905" s="6">
        <v>0</v>
      </c>
      <c r="L905" s="6">
        <v>-2.6829999999999998</v>
      </c>
      <c r="M905" s="6">
        <v>-2.6829999999999998</v>
      </c>
      <c r="N905" s="6">
        <v>-2.6829999999999998</v>
      </c>
      <c r="O905" s="6">
        <v>-2.6829999999999998</v>
      </c>
      <c r="P905" s="6">
        <v>4</v>
      </c>
      <c r="Q905" s="4" t="s">
        <v>26</v>
      </c>
      <c r="R905" s="4">
        <v>0</v>
      </c>
      <c r="S905" s="4" t="s">
        <v>317</v>
      </c>
      <c r="T905" s="4" t="s">
        <v>562</v>
      </c>
      <c r="U905" s="4">
        <v>0</v>
      </c>
      <c r="V905" s="4">
        <v>29</v>
      </c>
      <c r="W905" s="4">
        <v>66</v>
      </c>
    </row>
    <row r="906" spans="1:23" ht="11.25" customHeight="1" x14ac:dyDescent="0.25">
      <c r="A906" s="4" t="s">
        <v>28</v>
      </c>
      <c r="B906" s="4" t="s">
        <v>43</v>
      </c>
      <c r="C906" s="4" t="s">
        <v>23</v>
      </c>
      <c r="D906" s="4" t="s">
        <v>44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44531</v>
      </c>
      <c r="J906" s="6">
        <v>0</v>
      </c>
      <c r="K906" s="6">
        <v>0</v>
      </c>
      <c r="L906" s="6">
        <v>50.966000000000001</v>
      </c>
      <c r="M906" s="6">
        <v>50.966000000000001</v>
      </c>
      <c r="N906" s="6">
        <v>50.966000000000001</v>
      </c>
      <c r="O906" s="6">
        <v>50.966000000000001</v>
      </c>
      <c r="P906" s="6">
        <v>325</v>
      </c>
      <c r="Q906" s="4" t="s">
        <v>26</v>
      </c>
      <c r="R906" s="4">
        <v>0</v>
      </c>
      <c r="S906" s="4" t="s">
        <v>317</v>
      </c>
      <c r="T906" s="4" t="s">
        <v>562</v>
      </c>
      <c r="U906" s="4">
        <v>0</v>
      </c>
      <c r="V906" s="4">
        <v>29</v>
      </c>
      <c r="W906" s="4">
        <v>66</v>
      </c>
    </row>
    <row r="907" spans="1:23" ht="11.25" customHeight="1" x14ac:dyDescent="0.25">
      <c r="A907" s="4" t="s">
        <v>21</v>
      </c>
      <c r="B907" s="4" t="s">
        <v>43</v>
      </c>
      <c r="C907" s="4" t="s">
        <v>23</v>
      </c>
      <c r="D907" s="4" t="s">
        <v>44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44562</v>
      </c>
      <c r="J907" s="6">
        <v>0</v>
      </c>
      <c r="K907" s="6">
        <v>0</v>
      </c>
      <c r="L907" s="6">
        <v>6613.875</v>
      </c>
      <c r="M907" s="6">
        <v>6613.875</v>
      </c>
      <c r="N907" s="6">
        <v>6613.875</v>
      </c>
      <c r="O907" s="6">
        <v>6613.875</v>
      </c>
      <c r="P907" s="6">
        <v>27060</v>
      </c>
      <c r="Q907" s="4" t="s">
        <v>26</v>
      </c>
      <c r="R907" s="4">
        <v>0</v>
      </c>
      <c r="S907" s="4" t="s">
        <v>318</v>
      </c>
      <c r="T907" s="4" t="s">
        <v>563</v>
      </c>
      <c r="U907" s="4">
        <v>0</v>
      </c>
      <c r="V907" s="4">
        <v>29</v>
      </c>
      <c r="W907" s="4">
        <v>66</v>
      </c>
    </row>
    <row r="908" spans="1:23" ht="11.25" customHeight="1" x14ac:dyDescent="0.25">
      <c r="A908" s="4" t="s">
        <v>27</v>
      </c>
      <c r="B908" s="4" t="s">
        <v>43</v>
      </c>
      <c r="C908" s="4" t="s">
        <v>23</v>
      </c>
      <c r="D908" s="4" t="s">
        <v>44</v>
      </c>
      <c r="E908" s="4" t="s">
        <v>25</v>
      </c>
      <c r="F908" s="4" t="s">
        <v>25</v>
      </c>
      <c r="G908" s="4" t="s">
        <v>25</v>
      </c>
      <c r="H908" s="4" t="s">
        <v>25</v>
      </c>
      <c r="I908" s="5">
        <v>44562</v>
      </c>
      <c r="J908" s="6">
        <v>0</v>
      </c>
      <c r="K908" s="6">
        <v>0</v>
      </c>
      <c r="L908" s="6">
        <v>-9.1020000000000003</v>
      </c>
      <c r="M908" s="6">
        <v>-9.1020000000000003</v>
      </c>
      <c r="N908" s="6">
        <v>-9.1020000000000003</v>
      </c>
      <c r="O908" s="6">
        <v>-9.1020000000000003</v>
      </c>
      <c r="P908" s="6">
        <v>8</v>
      </c>
      <c r="Q908" s="4" t="s">
        <v>26</v>
      </c>
      <c r="R908" s="4">
        <v>0</v>
      </c>
      <c r="S908" s="4" t="s">
        <v>318</v>
      </c>
      <c r="T908" s="4" t="s">
        <v>563</v>
      </c>
      <c r="U908" s="4">
        <v>0</v>
      </c>
      <c r="V908" s="4">
        <v>29</v>
      </c>
      <c r="W908" s="4">
        <v>66</v>
      </c>
    </row>
    <row r="909" spans="1:23" ht="11.25" customHeight="1" x14ac:dyDescent="0.25">
      <c r="A909" s="4" t="s">
        <v>28</v>
      </c>
      <c r="B909" s="4" t="s">
        <v>43</v>
      </c>
      <c r="C909" s="4" t="s">
        <v>23</v>
      </c>
      <c r="D909" s="4" t="s">
        <v>44</v>
      </c>
      <c r="E909" s="4" t="s">
        <v>25</v>
      </c>
      <c r="F909" s="4" t="s">
        <v>25</v>
      </c>
      <c r="G909" s="4" t="s">
        <v>25</v>
      </c>
      <c r="H909" s="4" t="s">
        <v>25</v>
      </c>
      <c r="I909" s="5">
        <v>44562</v>
      </c>
      <c r="J909" s="6">
        <v>0</v>
      </c>
      <c r="K909" s="6">
        <v>0</v>
      </c>
      <c r="L909" s="6">
        <v>48.07</v>
      </c>
      <c r="M909" s="6">
        <v>48.07</v>
      </c>
      <c r="N909" s="6">
        <v>48.07</v>
      </c>
      <c r="O909" s="6">
        <v>48.07</v>
      </c>
      <c r="P909" s="6">
        <v>369</v>
      </c>
      <c r="Q909" s="4" t="s">
        <v>26</v>
      </c>
      <c r="R909" s="4">
        <v>0</v>
      </c>
      <c r="S909" s="4" t="s">
        <v>318</v>
      </c>
      <c r="T909" s="4" t="s">
        <v>563</v>
      </c>
      <c r="U909" s="4">
        <v>0</v>
      </c>
      <c r="V909" s="4">
        <v>29</v>
      </c>
      <c r="W909" s="4">
        <v>66</v>
      </c>
    </row>
    <row r="910" spans="1:23" ht="11.25" customHeight="1" x14ac:dyDescent="0.25">
      <c r="A910" s="4" t="s">
        <v>21</v>
      </c>
      <c r="B910" s="4" t="s">
        <v>43</v>
      </c>
      <c r="C910" s="4" t="s">
        <v>23</v>
      </c>
      <c r="D910" s="4" t="s">
        <v>44</v>
      </c>
      <c r="E910" s="4" t="s">
        <v>25</v>
      </c>
      <c r="F910" s="4" t="s">
        <v>25</v>
      </c>
      <c r="G910" s="4" t="s">
        <v>25</v>
      </c>
      <c r="H910" s="4" t="s">
        <v>25</v>
      </c>
      <c r="I910" s="5">
        <v>44593</v>
      </c>
      <c r="J910" s="6">
        <v>0</v>
      </c>
      <c r="K910" s="6">
        <v>0</v>
      </c>
      <c r="L910" s="6">
        <v>6744.0609999999997</v>
      </c>
      <c r="M910" s="6">
        <v>6744.0609999999997</v>
      </c>
      <c r="N910" s="6">
        <v>6744.0609999999997</v>
      </c>
      <c r="O910" s="6">
        <v>6744.0609999999997</v>
      </c>
      <c r="P910" s="6">
        <v>25766</v>
      </c>
      <c r="Q910" s="4" t="s">
        <v>26</v>
      </c>
      <c r="R910" s="4">
        <v>0</v>
      </c>
      <c r="S910" s="4" t="s">
        <v>319</v>
      </c>
      <c r="T910" s="4" t="s">
        <v>564</v>
      </c>
      <c r="U910" s="4">
        <v>0</v>
      </c>
      <c r="V910" s="4">
        <v>29</v>
      </c>
      <c r="W910" s="4">
        <v>66</v>
      </c>
    </row>
    <row r="911" spans="1:23" ht="11.25" customHeight="1" x14ac:dyDescent="0.25">
      <c r="A911" s="4" t="s">
        <v>27</v>
      </c>
      <c r="B911" s="4" t="s">
        <v>43</v>
      </c>
      <c r="C911" s="4" t="s">
        <v>23</v>
      </c>
      <c r="D911" s="4" t="s">
        <v>44</v>
      </c>
      <c r="E911" s="4" t="s">
        <v>25</v>
      </c>
      <c r="F911" s="4" t="s">
        <v>25</v>
      </c>
      <c r="G911" s="4" t="s">
        <v>25</v>
      </c>
      <c r="H911" s="4" t="s">
        <v>25</v>
      </c>
      <c r="I911" s="5">
        <v>44593</v>
      </c>
      <c r="J911" s="6">
        <v>0</v>
      </c>
      <c r="K911" s="6">
        <v>0</v>
      </c>
      <c r="L911" s="6">
        <v>-0.91900000000000004</v>
      </c>
      <c r="M911" s="6">
        <v>-0.91900000000000004</v>
      </c>
      <c r="N911" s="6">
        <v>-0.91900000000000004</v>
      </c>
      <c r="O911" s="6">
        <v>-0.91900000000000004</v>
      </c>
      <c r="P911" s="6">
        <v>0</v>
      </c>
      <c r="Q911" s="4" t="s">
        <v>26</v>
      </c>
      <c r="R911" s="4">
        <v>0</v>
      </c>
      <c r="S911" s="4" t="s">
        <v>319</v>
      </c>
      <c r="T911" s="4" t="s">
        <v>564</v>
      </c>
      <c r="U911" s="4">
        <v>0</v>
      </c>
      <c r="V911" s="4">
        <v>29</v>
      </c>
      <c r="W911" s="4">
        <v>66</v>
      </c>
    </row>
    <row r="912" spans="1:23" ht="11.25" customHeight="1" x14ac:dyDescent="0.25">
      <c r="A912" s="4" t="s">
        <v>28</v>
      </c>
      <c r="B912" s="4" t="s">
        <v>43</v>
      </c>
      <c r="C912" s="4" t="s">
        <v>23</v>
      </c>
      <c r="D912" s="4" t="s">
        <v>44</v>
      </c>
      <c r="E912" s="4" t="s">
        <v>25</v>
      </c>
      <c r="F912" s="4" t="s">
        <v>25</v>
      </c>
      <c r="G912" s="4" t="s">
        <v>25</v>
      </c>
      <c r="H912" s="4" t="s">
        <v>25</v>
      </c>
      <c r="I912" s="5">
        <v>44593</v>
      </c>
      <c r="J912" s="6">
        <v>0</v>
      </c>
      <c r="K912" s="6">
        <v>0</v>
      </c>
      <c r="L912" s="6">
        <v>54.429000000000002</v>
      </c>
      <c r="M912" s="6">
        <v>54.429000000000002</v>
      </c>
      <c r="N912" s="6">
        <v>54.429000000000002</v>
      </c>
      <c r="O912" s="6">
        <v>54.429000000000002</v>
      </c>
      <c r="P912" s="6">
        <v>407</v>
      </c>
      <c r="Q912" s="4" t="s">
        <v>26</v>
      </c>
      <c r="R912" s="4">
        <v>0</v>
      </c>
      <c r="S912" s="4" t="s">
        <v>319</v>
      </c>
      <c r="T912" s="4" t="s">
        <v>564</v>
      </c>
      <c r="U912" s="4">
        <v>0</v>
      </c>
      <c r="V912" s="4">
        <v>29</v>
      </c>
      <c r="W912" s="4">
        <v>66</v>
      </c>
    </row>
    <row r="913" spans="1:23" ht="11.25" customHeight="1" x14ac:dyDescent="0.25">
      <c r="A913" s="4" t="s">
        <v>28</v>
      </c>
      <c r="B913" s="4" t="s">
        <v>43</v>
      </c>
      <c r="C913" s="4" t="s">
        <v>23</v>
      </c>
      <c r="D913" s="4" t="s">
        <v>44</v>
      </c>
      <c r="E913" s="4" t="s">
        <v>25</v>
      </c>
      <c r="F913" s="4" t="s">
        <v>25</v>
      </c>
      <c r="G913" s="4" t="s">
        <v>25</v>
      </c>
      <c r="H913" s="4" t="s">
        <v>25</v>
      </c>
      <c r="I913" s="5">
        <v>44593</v>
      </c>
      <c r="J913" s="6">
        <v>0</v>
      </c>
      <c r="K913" s="6">
        <v>0</v>
      </c>
      <c r="L913" s="6">
        <v>6.9020000000000001</v>
      </c>
      <c r="M913" s="6">
        <v>6.9020000000000001</v>
      </c>
      <c r="N913" s="6">
        <v>6.9020000000000001</v>
      </c>
      <c r="O913" s="6">
        <v>6.9020000000000001</v>
      </c>
      <c r="P913" s="6">
        <v>0</v>
      </c>
      <c r="Q913" s="4" t="s">
        <v>26</v>
      </c>
      <c r="R913" s="4">
        <v>0</v>
      </c>
      <c r="S913" s="4" t="s">
        <v>319</v>
      </c>
      <c r="T913" s="4" t="s">
        <v>564</v>
      </c>
      <c r="U913" s="4">
        <v>0</v>
      </c>
      <c r="V913" s="4">
        <v>29</v>
      </c>
      <c r="W913" s="4">
        <v>66</v>
      </c>
    </row>
    <row r="914" spans="1:23" ht="11.25" customHeight="1" x14ac:dyDescent="0.25">
      <c r="A914" s="4" t="s">
        <v>21</v>
      </c>
      <c r="B914" s="4" t="s">
        <v>43</v>
      </c>
      <c r="C914" s="4" t="s">
        <v>23</v>
      </c>
      <c r="D914" s="4" t="s">
        <v>44</v>
      </c>
      <c r="E914" s="4" t="s">
        <v>25</v>
      </c>
      <c r="F914" s="4" t="s">
        <v>25</v>
      </c>
      <c r="G914" s="4" t="s">
        <v>25</v>
      </c>
      <c r="H914" s="4" t="s">
        <v>25</v>
      </c>
      <c r="I914" s="5">
        <v>44621</v>
      </c>
      <c r="J914" s="6">
        <v>0</v>
      </c>
      <c r="K914" s="6">
        <v>0</v>
      </c>
      <c r="L914" s="6">
        <v>6840.9759999999997</v>
      </c>
      <c r="M914" s="6">
        <v>6840.9759999999997</v>
      </c>
      <c r="N914" s="6">
        <v>6840.9759999999997</v>
      </c>
      <c r="O914" s="6">
        <v>6840.9759999999997</v>
      </c>
      <c r="P914" s="6">
        <v>26577</v>
      </c>
      <c r="Q914" s="4" t="s">
        <v>26</v>
      </c>
      <c r="R914" s="4">
        <v>0</v>
      </c>
      <c r="S914" s="4" t="s">
        <v>320</v>
      </c>
      <c r="T914" s="4" t="s">
        <v>565</v>
      </c>
      <c r="U914" s="4">
        <v>0</v>
      </c>
      <c r="V914" s="4">
        <v>29</v>
      </c>
      <c r="W914" s="4">
        <v>66</v>
      </c>
    </row>
    <row r="915" spans="1:23" ht="11.25" customHeight="1" x14ac:dyDescent="0.25">
      <c r="A915" s="4" t="s">
        <v>27</v>
      </c>
      <c r="B915" s="4" t="s">
        <v>43</v>
      </c>
      <c r="C915" s="4" t="s">
        <v>23</v>
      </c>
      <c r="D915" s="4" t="s">
        <v>44</v>
      </c>
      <c r="E915" s="4" t="s">
        <v>25</v>
      </c>
      <c r="F915" s="4" t="s">
        <v>25</v>
      </c>
      <c r="G915" s="4" t="s">
        <v>25</v>
      </c>
      <c r="H915" s="4" t="s">
        <v>25</v>
      </c>
      <c r="I915" s="5">
        <v>44621</v>
      </c>
      <c r="J915" s="6">
        <v>0</v>
      </c>
      <c r="K915" s="6">
        <v>0</v>
      </c>
      <c r="L915" s="6">
        <v>-14.576000000000001</v>
      </c>
      <c r="M915" s="6">
        <v>-14.576000000000001</v>
      </c>
      <c r="N915" s="6">
        <v>-14.576000000000001</v>
      </c>
      <c r="O915" s="6">
        <v>-14.576000000000001</v>
      </c>
      <c r="P915" s="6">
        <v>2</v>
      </c>
      <c r="Q915" s="4" t="s">
        <v>26</v>
      </c>
      <c r="R915" s="4">
        <v>0</v>
      </c>
      <c r="S915" s="4" t="s">
        <v>320</v>
      </c>
      <c r="T915" s="4" t="s">
        <v>565</v>
      </c>
      <c r="U915" s="4">
        <v>0</v>
      </c>
      <c r="V915" s="4">
        <v>29</v>
      </c>
      <c r="W915" s="4">
        <v>66</v>
      </c>
    </row>
    <row r="916" spans="1:23" ht="11.25" customHeight="1" x14ac:dyDescent="0.25">
      <c r="A916" s="4" t="s">
        <v>28</v>
      </c>
      <c r="B916" s="4" t="s">
        <v>43</v>
      </c>
      <c r="C916" s="4" t="s">
        <v>23</v>
      </c>
      <c r="D916" s="4" t="s">
        <v>44</v>
      </c>
      <c r="E916" s="4" t="s">
        <v>25</v>
      </c>
      <c r="F916" s="4" t="s">
        <v>25</v>
      </c>
      <c r="G916" s="4" t="s">
        <v>25</v>
      </c>
      <c r="H916" s="4" t="s">
        <v>25</v>
      </c>
      <c r="I916" s="5">
        <v>44621</v>
      </c>
      <c r="J916" s="6">
        <v>0</v>
      </c>
      <c r="K916" s="6">
        <v>0</v>
      </c>
      <c r="L916" s="6">
        <v>60.368000000000002</v>
      </c>
      <c r="M916" s="6">
        <v>60.368000000000002</v>
      </c>
      <c r="N916" s="6">
        <v>60.368000000000002</v>
      </c>
      <c r="O916" s="6">
        <v>60.368000000000002</v>
      </c>
      <c r="P916" s="6">
        <v>471</v>
      </c>
      <c r="Q916" s="4" t="s">
        <v>26</v>
      </c>
      <c r="R916" s="4">
        <v>0</v>
      </c>
      <c r="S916" s="4" t="s">
        <v>320</v>
      </c>
      <c r="T916" s="4" t="s">
        <v>565</v>
      </c>
      <c r="U916" s="4">
        <v>0</v>
      </c>
      <c r="V916" s="4">
        <v>29</v>
      </c>
      <c r="W916" s="4">
        <v>66</v>
      </c>
    </row>
    <row r="917" spans="1:23" ht="11.25" customHeight="1" x14ac:dyDescent="0.25">
      <c r="A917" s="4" t="s">
        <v>21</v>
      </c>
      <c r="B917" s="4" t="s">
        <v>43</v>
      </c>
      <c r="C917" s="4" t="s">
        <v>23</v>
      </c>
      <c r="D917" s="4" t="s">
        <v>44</v>
      </c>
      <c r="E917" s="4" t="s">
        <v>25</v>
      </c>
      <c r="F917" s="4" t="s">
        <v>25</v>
      </c>
      <c r="G917" s="4" t="s">
        <v>25</v>
      </c>
      <c r="H917" s="4" t="s">
        <v>25</v>
      </c>
      <c r="I917" s="5">
        <v>44652</v>
      </c>
      <c r="J917" s="6">
        <v>0</v>
      </c>
      <c r="K917" s="6">
        <v>0</v>
      </c>
      <c r="L917" s="6">
        <v>7022.2060000000001</v>
      </c>
      <c r="M917" s="6">
        <v>7022.2060000000001</v>
      </c>
      <c r="N917" s="6">
        <v>7022.2060000000001</v>
      </c>
      <c r="O917" s="6">
        <v>7022.2060000000001</v>
      </c>
      <c r="P917" s="6">
        <v>25443</v>
      </c>
      <c r="Q917" s="4" t="s">
        <v>26</v>
      </c>
      <c r="R917" s="4">
        <v>0</v>
      </c>
      <c r="S917" s="4" t="s">
        <v>321</v>
      </c>
      <c r="T917" s="4" t="s">
        <v>566</v>
      </c>
      <c r="U917" s="4">
        <v>0</v>
      </c>
      <c r="V917" s="4">
        <v>29</v>
      </c>
      <c r="W917" s="4">
        <v>66</v>
      </c>
    </row>
    <row r="918" spans="1:23" ht="11.25" customHeight="1" x14ac:dyDescent="0.25">
      <c r="A918" s="4" t="s">
        <v>27</v>
      </c>
      <c r="B918" s="4" t="s">
        <v>43</v>
      </c>
      <c r="C918" s="4" t="s">
        <v>23</v>
      </c>
      <c r="D918" s="4" t="s">
        <v>44</v>
      </c>
      <c r="E918" s="4" t="s">
        <v>25</v>
      </c>
      <c r="F918" s="4" t="s">
        <v>25</v>
      </c>
      <c r="G918" s="4" t="s">
        <v>25</v>
      </c>
      <c r="H918" s="4" t="s">
        <v>25</v>
      </c>
      <c r="I918" s="5">
        <v>44652</v>
      </c>
      <c r="J918" s="6">
        <v>0</v>
      </c>
      <c r="K918" s="6">
        <v>0</v>
      </c>
      <c r="L918" s="6">
        <v>-10.545999999999999</v>
      </c>
      <c r="M918" s="6">
        <v>-10.545999999999999</v>
      </c>
      <c r="N918" s="6">
        <v>-10.545999999999999</v>
      </c>
      <c r="O918" s="6">
        <v>-10.545999999999999</v>
      </c>
      <c r="P918" s="6">
        <v>5</v>
      </c>
      <c r="Q918" s="4" t="s">
        <v>26</v>
      </c>
      <c r="R918" s="4">
        <v>0</v>
      </c>
      <c r="S918" s="4" t="s">
        <v>321</v>
      </c>
      <c r="T918" s="4" t="s">
        <v>566</v>
      </c>
      <c r="U918" s="4">
        <v>0</v>
      </c>
      <c r="V918" s="4">
        <v>29</v>
      </c>
      <c r="W918" s="4">
        <v>66</v>
      </c>
    </row>
    <row r="919" spans="1:23" ht="11.25" customHeight="1" x14ac:dyDescent="0.25">
      <c r="A919" s="4" t="s">
        <v>28</v>
      </c>
      <c r="B919" s="4" t="s">
        <v>43</v>
      </c>
      <c r="C919" s="4" t="s">
        <v>23</v>
      </c>
      <c r="D919" s="4" t="s">
        <v>44</v>
      </c>
      <c r="E919" s="4" t="s">
        <v>25</v>
      </c>
      <c r="F919" s="4" t="s">
        <v>25</v>
      </c>
      <c r="G919" s="4" t="s">
        <v>25</v>
      </c>
      <c r="H919" s="4" t="s">
        <v>25</v>
      </c>
      <c r="I919" s="5">
        <v>44652</v>
      </c>
      <c r="J919" s="6">
        <v>0</v>
      </c>
      <c r="K919" s="6">
        <v>0</v>
      </c>
      <c r="L919" s="6">
        <v>71.492999999999995</v>
      </c>
      <c r="M919" s="6">
        <v>71.492999999999995</v>
      </c>
      <c r="N919" s="6">
        <v>71.492999999999995</v>
      </c>
      <c r="O919" s="6">
        <v>71.492999999999995</v>
      </c>
      <c r="P919" s="6">
        <v>537</v>
      </c>
      <c r="Q919" s="4" t="s">
        <v>26</v>
      </c>
      <c r="R919" s="4">
        <v>0</v>
      </c>
      <c r="S919" s="4" t="s">
        <v>321</v>
      </c>
      <c r="T919" s="4" t="s">
        <v>566</v>
      </c>
      <c r="U919" s="4">
        <v>0</v>
      </c>
      <c r="V919" s="4">
        <v>29</v>
      </c>
      <c r="W919" s="4">
        <v>66</v>
      </c>
    </row>
    <row r="920" spans="1:23" ht="11.25" customHeight="1" x14ac:dyDescent="0.25">
      <c r="A920" s="4" t="s">
        <v>28</v>
      </c>
      <c r="B920" s="4" t="s">
        <v>43</v>
      </c>
      <c r="C920" s="4" t="s">
        <v>23</v>
      </c>
      <c r="D920" s="4" t="s">
        <v>44</v>
      </c>
      <c r="E920" s="4" t="s">
        <v>25</v>
      </c>
      <c r="F920" s="4" t="s">
        <v>25</v>
      </c>
      <c r="G920" s="4" t="s">
        <v>25</v>
      </c>
      <c r="H920" s="4" t="s">
        <v>25</v>
      </c>
      <c r="I920" s="5">
        <v>44652</v>
      </c>
      <c r="J920" s="6">
        <v>0</v>
      </c>
      <c r="K920" s="6">
        <v>0</v>
      </c>
      <c r="L920" s="6">
        <v>1.1299999999999999</v>
      </c>
      <c r="M920" s="6">
        <v>1.1299999999999999</v>
      </c>
      <c r="N920" s="6">
        <v>1.1299999999999999</v>
      </c>
      <c r="O920" s="6">
        <v>1.1299999999999999</v>
      </c>
      <c r="P920" s="6">
        <v>3</v>
      </c>
      <c r="Q920" s="4" t="s">
        <v>26</v>
      </c>
      <c r="R920" s="4">
        <v>0</v>
      </c>
      <c r="S920" s="4" t="s">
        <v>321</v>
      </c>
      <c r="T920" s="4" t="s">
        <v>566</v>
      </c>
      <c r="U920" s="4">
        <v>0</v>
      </c>
      <c r="V920" s="4">
        <v>29</v>
      </c>
      <c r="W920" s="4">
        <v>66</v>
      </c>
    </row>
    <row r="921" spans="1:23" ht="11.25" customHeight="1" x14ac:dyDescent="0.25">
      <c r="A921" s="4" t="s">
        <v>21</v>
      </c>
      <c r="B921" s="4" t="s">
        <v>43</v>
      </c>
      <c r="C921" s="4" t="s">
        <v>23</v>
      </c>
      <c r="D921" s="4" t="s">
        <v>44</v>
      </c>
      <c r="E921" s="4" t="s">
        <v>25</v>
      </c>
      <c r="F921" s="4" t="s">
        <v>25</v>
      </c>
      <c r="G921" s="4" t="s">
        <v>25</v>
      </c>
      <c r="H921" s="4" t="s">
        <v>25</v>
      </c>
      <c r="I921" s="5">
        <v>44682</v>
      </c>
      <c r="J921" s="6">
        <v>0</v>
      </c>
      <c r="K921" s="6">
        <v>0</v>
      </c>
      <c r="L921" s="6">
        <v>8529.67</v>
      </c>
      <c r="M921" s="6">
        <v>8529.67</v>
      </c>
      <c r="N921" s="6">
        <v>8529.67</v>
      </c>
      <c r="O921" s="6">
        <v>8529.67</v>
      </c>
      <c r="P921" s="6">
        <v>24910</v>
      </c>
      <c r="Q921" s="4" t="s">
        <v>26</v>
      </c>
      <c r="R921" s="4">
        <v>0</v>
      </c>
      <c r="S921" s="4" t="s">
        <v>322</v>
      </c>
      <c r="T921" s="4" t="s">
        <v>567</v>
      </c>
      <c r="U921" s="4">
        <v>0</v>
      </c>
      <c r="V921" s="4">
        <v>29</v>
      </c>
      <c r="W921" s="4">
        <v>66</v>
      </c>
    </row>
    <row r="922" spans="1:23" ht="11.25" customHeight="1" x14ac:dyDescent="0.25">
      <c r="A922" s="4" t="s">
        <v>27</v>
      </c>
      <c r="B922" s="4" t="s">
        <v>43</v>
      </c>
      <c r="C922" s="4" t="s">
        <v>23</v>
      </c>
      <c r="D922" s="4" t="s">
        <v>44</v>
      </c>
      <c r="E922" s="4" t="s">
        <v>25</v>
      </c>
      <c r="F922" s="4" t="s">
        <v>25</v>
      </c>
      <c r="G922" s="4" t="s">
        <v>25</v>
      </c>
      <c r="H922" s="4" t="s">
        <v>25</v>
      </c>
      <c r="I922" s="5">
        <v>44682</v>
      </c>
      <c r="J922" s="6">
        <v>0</v>
      </c>
      <c r="K922" s="6">
        <v>0</v>
      </c>
      <c r="L922" s="6">
        <v>0.58399999999999996</v>
      </c>
      <c r="M922" s="6">
        <v>0.58399999999999996</v>
      </c>
      <c r="N922" s="6">
        <v>0.58399999999999996</v>
      </c>
      <c r="O922" s="6">
        <v>0.58399999999999996</v>
      </c>
      <c r="P922" s="6">
        <v>12</v>
      </c>
      <c r="Q922" s="4" t="s">
        <v>26</v>
      </c>
      <c r="R922" s="4">
        <v>0</v>
      </c>
      <c r="S922" s="4" t="s">
        <v>322</v>
      </c>
      <c r="T922" s="4" t="s">
        <v>567</v>
      </c>
      <c r="U922" s="4">
        <v>0</v>
      </c>
      <c r="V922" s="4">
        <v>29</v>
      </c>
      <c r="W922" s="4">
        <v>66</v>
      </c>
    </row>
    <row r="923" spans="1:23" ht="11.25" customHeight="1" x14ac:dyDescent="0.25">
      <c r="A923" s="4" t="s">
        <v>28</v>
      </c>
      <c r="B923" s="4" t="s">
        <v>43</v>
      </c>
      <c r="C923" s="4" t="s">
        <v>23</v>
      </c>
      <c r="D923" s="4" t="s">
        <v>44</v>
      </c>
      <c r="E923" s="4" t="s">
        <v>25</v>
      </c>
      <c r="F923" s="4" t="s">
        <v>25</v>
      </c>
      <c r="G923" s="4" t="s">
        <v>25</v>
      </c>
      <c r="H923" s="4" t="s">
        <v>25</v>
      </c>
      <c r="I923" s="5">
        <v>44682</v>
      </c>
      <c r="J923" s="6">
        <v>0</v>
      </c>
      <c r="K923" s="6">
        <v>0</v>
      </c>
      <c r="L923" s="6">
        <v>109.31399999999999</v>
      </c>
      <c r="M923" s="6">
        <v>109.31399999999999</v>
      </c>
      <c r="N923" s="6">
        <v>109.31399999999999</v>
      </c>
      <c r="O923" s="6">
        <v>109.31399999999999</v>
      </c>
      <c r="P923" s="6">
        <v>585</v>
      </c>
      <c r="Q923" s="4" t="s">
        <v>26</v>
      </c>
      <c r="R923" s="4">
        <v>0</v>
      </c>
      <c r="S923" s="4" t="s">
        <v>322</v>
      </c>
      <c r="T923" s="4" t="s">
        <v>567</v>
      </c>
      <c r="U923" s="4">
        <v>0</v>
      </c>
      <c r="V923" s="4">
        <v>29</v>
      </c>
      <c r="W923" s="4">
        <v>66</v>
      </c>
    </row>
    <row r="924" spans="1:23" ht="11.25" customHeight="1" x14ac:dyDescent="0.25">
      <c r="A924" s="4" t="s">
        <v>21</v>
      </c>
      <c r="B924" s="4" t="s">
        <v>43</v>
      </c>
      <c r="C924" s="4" t="s">
        <v>23</v>
      </c>
      <c r="D924" s="4" t="s">
        <v>44</v>
      </c>
      <c r="E924" s="4" t="s">
        <v>25</v>
      </c>
      <c r="F924" s="4" t="s">
        <v>25</v>
      </c>
      <c r="G924" s="4" t="s">
        <v>25</v>
      </c>
      <c r="H924" s="4" t="s">
        <v>25</v>
      </c>
      <c r="I924" s="5">
        <v>44713</v>
      </c>
      <c r="J924" s="6">
        <v>0</v>
      </c>
      <c r="K924" s="6">
        <v>0</v>
      </c>
      <c r="L924" s="6">
        <v>10383.521000000001</v>
      </c>
      <c r="M924" s="6">
        <v>10383.521000000001</v>
      </c>
      <c r="N924" s="6">
        <v>10383.521000000001</v>
      </c>
      <c r="O924" s="6">
        <v>10383.521000000001</v>
      </c>
      <c r="P924" s="6">
        <v>25200</v>
      </c>
      <c r="Q924" s="4" t="s">
        <v>26</v>
      </c>
      <c r="R924" s="4">
        <v>0</v>
      </c>
      <c r="S924" s="4" t="s">
        <v>323</v>
      </c>
      <c r="T924" s="4" t="s">
        <v>568</v>
      </c>
      <c r="U924" s="4">
        <v>0</v>
      </c>
      <c r="V924" s="4">
        <v>29</v>
      </c>
      <c r="W924" s="4">
        <v>66</v>
      </c>
    </row>
    <row r="925" spans="1:23" ht="11.25" customHeight="1" x14ac:dyDescent="0.25">
      <c r="A925" s="4" t="s">
        <v>27</v>
      </c>
      <c r="B925" s="4" t="s">
        <v>43</v>
      </c>
      <c r="C925" s="4" t="s">
        <v>23</v>
      </c>
      <c r="D925" s="4" t="s">
        <v>44</v>
      </c>
      <c r="E925" s="4" t="s">
        <v>25</v>
      </c>
      <c r="F925" s="4" t="s">
        <v>25</v>
      </c>
      <c r="G925" s="4" t="s">
        <v>25</v>
      </c>
      <c r="H925" s="4" t="s">
        <v>25</v>
      </c>
      <c r="I925" s="5">
        <v>44713</v>
      </c>
      <c r="J925" s="6">
        <v>0</v>
      </c>
      <c r="K925" s="6">
        <v>0</v>
      </c>
      <c r="L925" s="6">
        <v>0.182</v>
      </c>
      <c r="M925" s="6">
        <v>0.182</v>
      </c>
      <c r="N925" s="6">
        <v>0.182</v>
      </c>
      <c r="O925" s="6">
        <v>0.182</v>
      </c>
      <c r="P925" s="6">
        <v>4</v>
      </c>
      <c r="Q925" s="4" t="s">
        <v>26</v>
      </c>
      <c r="R925" s="4">
        <v>0</v>
      </c>
      <c r="S925" s="4" t="s">
        <v>323</v>
      </c>
      <c r="T925" s="4" t="s">
        <v>568</v>
      </c>
      <c r="U925" s="4">
        <v>0</v>
      </c>
      <c r="V925" s="4">
        <v>29</v>
      </c>
      <c r="W925" s="4">
        <v>66</v>
      </c>
    </row>
    <row r="926" spans="1:23" ht="11.25" customHeight="1" x14ac:dyDescent="0.25">
      <c r="A926" s="4" t="s">
        <v>28</v>
      </c>
      <c r="B926" s="4" t="s">
        <v>43</v>
      </c>
      <c r="C926" s="4" t="s">
        <v>23</v>
      </c>
      <c r="D926" s="4" t="s">
        <v>44</v>
      </c>
      <c r="E926" s="4" t="s">
        <v>25</v>
      </c>
      <c r="F926" s="4" t="s">
        <v>25</v>
      </c>
      <c r="G926" s="4" t="s">
        <v>25</v>
      </c>
      <c r="H926" s="4" t="s">
        <v>25</v>
      </c>
      <c r="I926" s="5">
        <v>44713</v>
      </c>
      <c r="J926" s="6">
        <v>0</v>
      </c>
      <c r="K926" s="6">
        <v>0</v>
      </c>
      <c r="L926" s="6">
        <v>229.316</v>
      </c>
      <c r="M926" s="6">
        <v>229.316</v>
      </c>
      <c r="N926" s="6">
        <v>229.316</v>
      </c>
      <c r="O926" s="6">
        <v>229.316</v>
      </c>
      <c r="P926" s="6">
        <v>640</v>
      </c>
      <c r="Q926" s="4" t="s">
        <v>26</v>
      </c>
      <c r="R926" s="4">
        <v>0</v>
      </c>
      <c r="S926" s="4" t="s">
        <v>323</v>
      </c>
      <c r="T926" s="4" t="s">
        <v>568</v>
      </c>
      <c r="U926" s="4">
        <v>0</v>
      </c>
      <c r="V926" s="4">
        <v>29</v>
      </c>
      <c r="W926" s="4">
        <v>66</v>
      </c>
    </row>
    <row r="927" spans="1:23" ht="11.25" customHeight="1" x14ac:dyDescent="0.25">
      <c r="A927" s="4" t="s">
        <v>21</v>
      </c>
      <c r="B927" s="4" t="s">
        <v>43</v>
      </c>
      <c r="C927" s="4" t="s">
        <v>23</v>
      </c>
      <c r="D927" s="4" t="s">
        <v>44</v>
      </c>
      <c r="E927" s="4" t="s">
        <v>25</v>
      </c>
      <c r="F927" s="4" t="s">
        <v>25</v>
      </c>
      <c r="G927" s="4" t="s">
        <v>25</v>
      </c>
      <c r="H927" s="4" t="s">
        <v>25</v>
      </c>
      <c r="I927" s="5">
        <v>44743</v>
      </c>
      <c r="J927" s="6">
        <v>0</v>
      </c>
      <c r="K927" s="6">
        <v>0</v>
      </c>
      <c r="L927" s="6">
        <v>9415.5849999999991</v>
      </c>
      <c r="M927" s="6">
        <v>9415.5849999999991</v>
      </c>
      <c r="N927" s="6">
        <v>9415.5849999999991</v>
      </c>
      <c r="O927" s="6">
        <v>9415.5849999999991</v>
      </c>
      <c r="P927" s="6">
        <v>25128</v>
      </c>
      <c r="Q927" s="4" t="s">
        <v>26</v>
      </c>
      <c r="R927" s="4">
        <v>0</v>
      </c>
      <c r="S927" s="4" t="s">
        <v>324</v>
      </c>
      <c r="T927" s="4" t="s">
        <v>569</v>
      </c>
      <c r="U927" s="4">
        <v>0</v>
      </c>
      <c r="V927" s="4">
        <v>29</v>
      </c>
      <c r="W927" s="4">
        <v>66</v>
      </c>
    </row>
    <row r="928" spans="1:23" ht="11.25" customHeight="1" x14ac:dyDescent="0.25">
      <c r="A928" s="4" t="s">
        <v>27</v>
      </c>
      <c r="B928" s="4" t="s">
        <v>43</v>
      </c>
      <c r="C928" s="4" t="s">
        <v>23</v>
      </c>
      <c r="D928" s="4" t="s">
        <v>44</v>
      </c>
      <c r="E928" s="4" t="s">
        <v>25</v>
      </c>
      <c r="F928" s="4" t="s">
        <v>25</v>
      </c>
      <c r="G928" s="4" t="s">
        <v>25</v>
      </c>
      <c r="H928" s="4" t="s">
        <v>25</v>
      </c>
      <c r="I928" s="5">
        <v>44743</v>
      </c>
      <c r="J928" s="6">
        <v>0</v>
      </c>
      <c r="K928" s="6">
        <v>0</v>
      </c>
      <c r="L928" s="6">
        <v>-7.2789999999999999</v>
      </c>
      <c r="M928" s="6">
        <v>-7.2789999999999999</v>
      </c>
      <c r="N928" s="6">
        <v>-7.2789999999999999</v>
      </c>
      <c r="O928" s="6">
        <v>-7.2789999999999999</v>
      </c>
      <c r="P928" s="6">
        <v>9</v>
      </c>
      <c r="Q928" s="4" t="s">
        <v>26</v>
      </c>
      <c r="R928" s="4">
        <v>0</v>
      </c>
      <c r="S928" s="4" t="s">
        <v>324</v>
      </c>
      <c r="T928" s="4" t="s">
        <v>569</v>
      </c>
      <c r="U928" s="4">
        <v>0</v>
      </c>
      <c r="V928" s="4">
        <v>29</v>
      </c>
      <c r="W928" s="4">
        <v>66</v>
      </c>
    </row>
    <row r="929" spans="1:23" ht="11.25" customHeight="1" x14ac:dyDescent="0.25">
      <c r="A929" s="4" t="s">
        <v>28</v>
      </c>
      <c r="B929" s="4" t="s">
        <v>43</v>
      </c>
      <c r="C929" s="4" t="s">
        <v>23</v>
      </c>
      <c r="D929" s="4" t="s">
        <v>44</v>
      </c>
      <c r="E929" s="4" t="s">
        <v>25</v>
      </c>
      <c r="F929" s="4" t="s">
        <v>25</v>
      </c>
      <c r="G929" s="4" t="s">
        <v>25</v>
      </c>
      <c r="H929" s="4" t="s">
        <v>25</v>
      </c>
      <c r="I929" s="5">
        <v>44743</v>
      </c>
      <c r="J929" s="6">
        <v>0</v>
      </c>
      <c r="K929" s="6">
        <v>0</v>
      </c>
      <c r="L929" s="6">
        <v>267.82900000000001</v>
      </c>
      <c r="M929" s="6">
        <v>267.82900000000001</v>
      </c>
      <c r="N929" s="6">
        <v>267.82900000000001</v>
      </c>
      <c r="O929" s="6">
        <v>267.82900000000001</v>
      </c>
      <c r="P929" s="6">
        <v>683</v>
      </c>
      <c r="Q929" s="4" t="s">
        <v>26</v>
      </c>
      <c r="R929" s="4">
        <v>0</v>
      </c>
      <c r="S929" s="4" t="s">
        <v>324</v>
      </c>
      <c r="T929" s="4" t="s">
        <v>569</v>
      </c>
      <c r="U929" s="4">
        <v>0</v>
      </c>
      <c r="V929" s="4">
        <v>29</v>
      </c>
      <c r="W929" s="4">
        <v>66</v>
      </c>
    </row>
    <row r="930" spans="1:23" ht="11.25" customHeight="1" x14ac:dyDescent="0.25">
      <c r="A930" s="4" t="s">
        <v>56</v>
      </c>
      <c r="B930" s="4" t="s">
        <v>43</v>
      </c>
      <c r="C930" s="4" t="s">
        <v>23</v>
      </c>
      <c r="D930" s="4" t="s">
        <v>44</v>
      </c>
      <c r="E930" s="4" t="s">
        <v>25</v>
      </c>
      <c r="F930" s="4" t="s">
        <v>25</v>
      </c>
      <c r="G930" s="4" t="s">
        <v>25</v>
      </c>
      <c r="H930" s="4" t="s">
        <v>25</v>
      </c>
      <c r="I930" s="5">
        <v>44774</v>
      </c>
      <c r="J930" s="6">
        <v>0</v>
      </c>
      <c r="K930" s="6">
        <v>0</v>
      </c>
      <c r="L930" s="6">
        <v>9415.5849999999991</v>
      </c>
      <c r="M930" s="6">
        <v>9415.5849999999991</v>
      </c>
      <c r="N930" s="6">
        <v>9415.5849999999991</v>
      </c>
      <c r="O930" s="6">
        <v>9415.5849999999991</v>
      </c>
      <c r="P930" s="6">
        <v>25128</v>
      </c>
      <c r="Q930" s="4" t="s">
        <v>26</v>
      </c>
      <c r="R930" s="4">
        <v>0</v>
      </c>
      <c r="S930" s="4" t="s">
        <v>325</v>
      </c>
      <c r="T930" s="4" t="s">
        <v>570</v>
      </c>
      <c r="U930" s="4">
        <v>0</v>
      </c>
      <c r="V930" s="4">
        <v>29</v>
      </c>
      <c r="W930" s="4">
        <v>66</v>
      </c>
    </row>
    <row r="931" spans="1:23" ht="11.25" customHeight="1" x14ac:dyDescent="0.25">
      <c r="A931" s="4" t="s">
        <v>56</v>
      </c>
      <c r="B931" s="4" t="s">
        <v>43</v>
      </c>
      <c r="C931" s="4" t="s">
        <v>23</v>
      </c>
      <c r="D931" s="4" t="s">
        <v>44</v>
      </c>
      <c r="E931" s="4" t="s">
        <v>25</v>
      </c>
      <c r="F931" s="4" t="s">
        <v>25</v>
      </c>
      <c r="G931" s="4" t="s">
        <v>25</v>
      </c>
      <c r="H931" s="4" t="s">
        <v>25</v>
      </c>
      <c r="I931" s="5">
        <v>44774</v>
      </c>
      <c r="J931" s="6">
        <v>0</v>
      </c>
      <c r="K931" s="6">
        <v>0</v>
      </c>
      <c r="L931" s="6">
        <v>-7.2789999999999999</v>
      </c>
      <c r="M931" s="6">
        <v>-7.2789999999999999</v>
      </c>
      <c r="N931" s="6">
        <v>-7.2789999999999999</v>
      </c>
      <c r="O931" s="6">
        <v>-7.2789999999999999</v>
      </c>
      <c r="P931" s="6">
        <v>9</v>
      </c>
      <c r="Q931" s="4" t="s">
        <v>26</v>
      </c>
      <c r="R931" s="4">
        <v>0</v>
      </c>
      <c r="S931" s="4" t="s">
        <v>325</v>
      </c>
      <c r="T931" s="4" t="s">
        <v>570</v>
      </c>
      <c r="U931" s="4">
        <v>0</v>
      </c>
      <c r="V931" s="4">
        <v>29</v>
      </c>
      <c r="W931" s="4">
        <v>66</v>
      </c>
    </row>
    <row r="932" spans="1:23" ht="11.25" customHeight="1" x14ac:dyDescent="0.25">
      <c r="A932" s="4" t="s">
        <v>56</v>
      </c>
      <c r="B932" s="4" t="s">
        <v>43</v>
      </c>
      <c r="C932" s="4" t="s">
        <v>23</v>
      </c>
      <c r="D932" s="4" t="s">
        <v>44</v>
      </c>
      <c r="E932" s="4" t="s">
        <v>25</v>
      </c>
      <c r="F932" s="4" t="s">
        <v>25</v>
      </c>
      <c r="G932" s="4" t="s">
        <v>25</v>
      </c>
      <c r="H932" s="4" t="s">
        <v>25</v>
      </c>
      <c r="I932" s="5">
        <v>44774</v>
      </c>
      <c r="J932" s="6">
        <v>0</v>
      </c>
      <c r="K932" s="6">
        <v>0</v>
      </c>
      <c r="L932" s="6">
        <v>267.82900000000001</v>
      </c>
      <c r="M932" s="6">
        <v>267.82900000000001</v>
      </c>
      <c r="N932" s="6">
        <v>267.82900000000001</v>
      </c>
      <c r="O932" s="6">
        <v>267.82900000000001</v>
      </c>
      <c r="P932" s="6">
        <v>683</v>
      </c>
      <c r="Q932" s="4" t="s">
        <v>26</v>
      </c>
      <c r="R932" s="4">
        <v>0</v>
      </c>
      <c r="S932" s="4" t="s">
        <v>325</v>
      </c>
      <c r="T932" s="4" t="s">
        <v>570</v>
      </c>
      <c r="U932" s="4">
        <v>0</v>
      </c>
      <c r="V932" s="4">
        <v>29</v>
      </c>
      <c r="W932" s="4">
        <v>66</v>
      </c>
    </row>
    <row r="933" spans="1:23" ht="11.25" customHeight="1" x14ac:dyDescent="0.25">
      <c r="A933" s="4" t="s">
        <v>21</v>
      </c>
      <c r="B933" s="4" t="s">
        <v>43</v>
      </c>
      <c r="C933" s="4" t="s">
        <v>23</v>
      </c>
      <c r="D933" s="4" t="s">
        <v>44</v>
      </c>
      <c r="E933" s="4" t="s">
        <v>55</v>
      </c>
      <c r="F933" s="4" t="s">
        <v>53</v>
      </c>
      <c r="G933" s="4" t="s">
        <v>25</v>
      </c>
      <c r="H933" s="4" t="s">
        <v>25</v>
      </c>
      <c r="I933" s="5">
        <v>44440</v>
      </c>
      <c r="J933" s="6">
        <v>0</v>
      </c>
      <c r="K933" s="6">
        <v>0</v>
      </c>
      <c r="L933" s="6">
        <v>1.968</v>
      </c>
      <c r="M933" s="6">
        <v>1.968</v>
      </c>
      <c r="N933" s="6">
        <v>1.968</v>
      </c>
      <c r="O933" s="6">
        <v>1.968</v>
      </c>
      <c r="P933" s="6">
        <v>0</v>
      </c>
      <c r="Q933" s="4" t="s">
        <v>26</v>
      </c>
      <c r="R933" s="4">
        <v>0</v>
      </c>
      <c r="S933" s="4" t="s">
        <v>326</v>
      </c>
      <c r="T933" s="4" t="s">
        <v>571</v>
      </c>
      <c r="U933" s="4">
        <v>0</v>
      </c>
      <c r="V933" s="4">
        <v>37</v>
      </c>
      <c r="W933" s="4">
        <v>74</v>
      </c>
    </row>
    <row r="934" spans="1:23" ht="11.25" customHeight="1" x14ac:dyDescent="0.25">
      <c r="A934" s="4" t="s">
        <v>21</v>
      </c>
      <c r="B934" s="4" t="s">
        <v>43</v>
      </c>
      <c r="C934" s="4" t="s">
        <v>23</v>
      </c>
      <c r="D934" s="4" t="s">
        <v>44</v>
      </c>
      <c r="E934" s="4" t="s">
        <v>55</v>
      </c>
      <c r="F934" s="4" t="s">
        <v>53</v>
      </c>
      <c r="G934" s="4" t="s">
        <v>25</v>
      </c>
      <c r="H934" s="4" t="s">
        <v>25</v>
      </c>
      <c r="I934" s="5">
        <v>44470</v>
      </c>
      <c r="J934" s="6">
        <v>0</v>
      </c>
      <c r="K934" s="6">
        <v>0</v>
      </c>
      <c r="L934" s="6">
        <v>2.2549999999999999</v>
      </c>
      <c r="M934" s="6">
        <v>2.2549999999999999</v>
      </c>
      <c r="N934" s="6">
        <v>2.2549999999999999</v>
      </c>
      <c r="O934" s="6">
        <v>2.2549999999999999</v>
      </c>
      <c r="P934" s="6">
        <v>0</v>
      </c>
      <c r="Q934" s="4" t="s">
        <v>26</v>
      </c>
      <c r="R934" s="4">
        <v>0</v>
      </c>
      <c r="S934" s="4" t="s">
        <v>327</v>
      </c>
      <c r="T934" s="4" t="s">
        <v>572</v>
      </c>
      <c r="U934" s="4">
        <v>0</v>
      </c>
      <c r="V934" s="4">
        <v>37</v>
      </c>
      <c r="W934" s="4">
        <v>74</v>
      </c>
    </row>
    <row r="935" spans="1:23" ht="11.25" customHeight="1" x14ac:dyDescent="0.25">
      <c r="A935" s="4" t="s">
        <v>21</v>
      </c>
      <c r="B935" s="4" t="s">
        <v>43</v>
      </c>
      <c r="C935" s="4" t="s">
        <v>23</v>
      </c>
      <c r="D935" s="4" t="s">
        <v>44</v>
      </c>
      <c r="E935" s="4" t="s">
        <v>55</v>
      </c>
      <c r="F935" s="4" t="s">
        <v>53</v>
      </c>
      <c r="G935" s="4" t="s">
        <v>25</v>
      </c>
      <c r="H935" s="4" t="s">
        <v>25</v>
      </c>
      <c r="I935" s="5">
        <v>44501</v>
      </c>
      <c r="J935" s="6">
        <v>0</v>
      </c>
      <c r="K935" s="6">
        <v>0</v>
      </c>
      <c r="L935" s="6">
        <v>0.1</v>
      </c>
      <c r="M935" s="6">
        <v>0.1</v>
      </c>
      <c r="N935" s="6">
        <v>0.1</v>
      </c>
      <c r="O935" s="6">
        <v>0.1</v>
      </c>
      <c r="P935" s="6">
        <v>0</v>
      </c>
      <c r="Q935" s="4" t="s">
        <v>26</v>
      </c>
      <c r="R935" s="4">
        <v>0</v>
      </c>
      <c r="S935" s="4" t="s">
        <v>328</v>
      </c>
      <c r="T935" s="4" t="s">
        <v>573</v>
      </c>
      <c r="U935" s="4">
        <v>0</v>
      </c>
      <c r="V935" s="4">
        <v>37</v>
      </c>
      <c r="W935" s="4">
        <v>74</v>
      </c>
    </row>
    <row r="936" spans="1:23" ht="11.25" customHeight="1" x14ac:dyDescent="0.25">
      <c r="A936" s="4" t="s">
        <v>21</v>
      </c>
      <c r="B936" s="4" t="s">
        <v>43</v>
      </c>
      <c r="C936" s="4" t="s">
        <v>23</v>
      </c>
      <c r="D936" s="4" t="s">
        <v>44</v>
      </c>
      <c r="E936" s="4" t="s">
        <v>55</v>
      </c>
      <c r="F936" s="4" t="s">
        <v>53</v>
      </c>
      <c r="G936" s="4" t="s">
        <v>25</v>
      </c>
      <c r="H936" s="4" t="s">
        <v>25</v>
      </c>
      <c r="I936" s="5">
        <v>44531</v>
      </c>
      <c r="J936" s="6">
        <v>0</v>
      </c>
      <c r="K936" s="6">
        <v>0</v>
      </c>
      <c r="L936" s="6">
        <v>4.1000000000000002E-2</v>
      </c>
      <c r="M936" s="6">
        <v>4.1000000000000002E-2</v>
      </c>
      <c r="N936" s="6">
        <v>4.1000000000000002E-2</v>
      </c>
      <c r="O936" s="6">
        <v>4.1000000000000002E-2</v>
      </c>
      <c r="P936" s="6">
        <v>0</v>
      </c>
      <c r="Q936" s="4" t="s">
        <v>26</v>
      </c>
      <c r="R936" s="4">
        <v>0</v>
      </c>
      <c r="S936" s="4" t="s">
        <v>329</v>
      </c>
      <c r="T936" s="4" t="s">
        <v>574</v>
      </c>
      <c r="U936" s="4">
        <v>0</v>
      </c>
      <c r="V936" s="4">
        <v>37</v>
      </c>
      <c r="W936" s="4">
        <v>74</v>
      </c>
    </row>
    <row r="937" spans="1:23" ht="11.25" customHeight="1" x14ac:dyDescent="0.25">
      <c r="A937" s="4" t="s">
        <v>21</v>
      </c>
      <c r="B937" s="4" t="s">
        <v>43</v>
      </c>
      <c r="C937" s="4" t="s">
        <v>23</v>
      </c>
      <c r="D937" s="4" t="s">
        <v>44</v>
      </c>
      <c r="E937" s="4" t="s">
        <v>55</v>
      </c>
      <c r="F937" s="4" t="s">
        <v>53</v>
      </c>
      <c r="G937" s="4" t="s">
        <v>25</v>
      </c>
      <c r="H937" s="4" t="s">
        <v>25</v>
      </c>
      <c r="I937" s="5">
        <v>44562</v>
      </c>
      <c r="J937" s="6">
        <v>0</v>
      </c>
      <c r="K937" s="6">
        <v>0</v>
      </c>
      <c r="L937" s="6">
        <v>0.67</v>
      </c>
      <c r="M937" s="6">
        <v>0.67</v>
      </c>
      <c r="N937" s="6">
        <v>0.67</v>
      </c>
      <c r="O937" s="6">
        <v>0.67</v>
      </c>
      <c r="P937" s="6">
        <v>0</v>
      </c>
      <c r="Q937" s="4" t="s">
        <v>26</v>
      </c>
      <c r="R937" s="4">
        <v>0</v>
      </c>
      <c r="S937" s="4" t="s">
        <v>330</v>
      </c>
      <c r="T937" s="4" t="s">
        <v>575</v>
      </c>
      <c r="U937" s="4">
        <v>0</v>
      </c>
      <c r="V937" s="4">
        <v>37</v>
      </c>
      <c r="W937" s="4">
        <v>74</v>
      </c>
    </row>
    <row r="938" spans="1:23" ht="11.25" customHeight="1" x14ac:dyDescent="0.25">
      <c r="A938" s="4" t="s">
        <v>21</v>
      </c>
      <c r="B938" s="4" t="s">
        <v>43</v>
      </c>
      <c r="C938" s="4" t="s">
        <v>23</v>
      </c>
      <c r="D938" s="4" t="s">
        <v>44</v>
      </c>
      <c r="E938" s="4" t="s">
        <v>55</v>
      </c>
      <c r="F938" s="4" t="s">
        <v>53</v>
      </c>
      <c r="G938" s="4" t="s">
        <v>25</v>
      </c>
      <c r="H938" s="4" t="s">
        <v>25</v>
      </c>
      <c r="I938" s="5">
        <v>44593</v>
      </c>
      <c r="J938" s="6">
        <v>0</v>
      </c>
      <c r="K938" s="6">
        <v>0</v>
      </c>
      <c r="L938" s="6">
        <v>0.71699999999999997</v>
      </c>
      <c r="M938" s="6">
        <v>0.71699999999999997</v>
      </c>
      <c r="N938" s="6">
        <v>0.71699999999999997</v>
      </c>
      <c r="O938" s="6">
        <v>0.71699999999999997</v>
      </c>
      <c r="P938" s="6">
        <v>0</v>
      </c>
      <c r="Q938" s="4" t="s">
        <v>26</v>
      </c>
      <c r="R938" s="4">
        <v>0</v>
      </c>
      <c r="S938" s="4" t="s">
        <v>331</v>
      </c>
      <c r="T938" s="4" t="s">
        <v>576</v>
      </c>
      <c r="U938" s="4">
        <v>0</v>
      </c>
      <c r="V938" s="4">
        <v>37</v>
      </c>
      <c r="W938" s="4">
        <v>74</v>
      </c>
    </row>
    <row r="939" spans="1:23" ht="11.25" customHeight="1" x14ac:dyDescent="0.25">
      <c r="A939" s="4" t="s">
        <v>21</v>
      </c>
      <c r="B939" s="4" t="s">
        <v>43</v>
      </c>
      <c r="C939" s="4" t="s">
        <v>23</v>
      </c>
      <c r="D939" s="4" t="s">
        <v>44</v>
      </c>
      <c r="E939" s="4" t="s">
        <v>55</v>
      </c>
      <c r="F939" s="4" t="s">
        <v>53</v>
      </c>
      <c r="G939" s="4" t="s">
        <v>25</v>
      </c>
      <c r="H939" s="4" t="s">
        <v>25</v>
      </c>
      <c r="I939" s="5">
        <v>44621</v>
      </c>
      <c r="J939" s="6">
        <v>0</v>
      </c>
      <c r="K939" s="6">
        <v>0</v>
      </c>
      <c r="L939" s="6">
        <v>2.8000000000000001E-2</v>
      </c>
      <c r="M939" s="6">
        <v>2.8000000000000001E-2</v>
      </c>
      <c r="N939" s="6">
        <v>2.8000000000000001E-2</v>
      </c>
      <c r="O939" s="6">
        <v>2.8000000000000001E-2</v>
      </c>
      <c r="P939" s="6">
        <v>0</v>
      </c>
      <c r="Q939" s="4" t="s">
        <v>26</v>
      </c>
      <c r="R939" s="4">
        <v>0</v>
      </c>
      <c r="S939" s="4" t="s">
        <v>332</v>
      </c>
      <c r="T939" s="4" t="s">
        <v>577</v>
      </c>
      <c r="U939" s="4">
        <v>0</v>
      </c>
      <c r="V939" s="4">
        <v>37</v>
      </c>
      <c r="W939" s="4">
        <v>74</v>
      </c>
    </row>
    <row r="940" spans="1:23" ht="11.25" customHeight="1" x14ac:dyDescent="0.25">
      <c r="A940" s="4" t="s">
        <v>21</v>
      </c>
      <c r="B940" s="4" t="s">
        <v>43</v>
      </c>
      <c r="C940" s="4" t="s">
        <v>23</v>
      </c>
      <c r="D940" s="4" t="s">
        <v>44</v>
      </c>
      <c r="E940" s="4" t="s">
        <v>55</v>
      </c>
      <c r="F940" s="4" t="s">
        <v>53</v>
      </c>
      <c r="G940" s="4" t="s">
        <v>25</v>
      </c>
      <c r="H940" s="4" t="s">
        <v>25</v>
      </c>
      <c r="I940" s="5">
        <v>44652</v>
      </c>
      <c r="J940" s="6">
        <v>0</v>
      </c>
      <c r="K940" s="6">
        <v>0</v>
      </c>
      <c r="L940" s="6">
        <v>1.4350000000000001</v>
      </c>
      <c r="M940" s="6">
        <v>1.4350000000000001</v>
      </c>
      <c r="N940" s="6">
        <v>1.4350000000000001</v>
      </c>
      <c r="O940" s="6">
        <v>1.4350000000000001</v>
      </c>
      <c r="P940" s="6">
        <v>0</v>
      </c>
      <c r="Q940" s="4" t="s">
        <v>26</v>
      </c>
      <c r="R940" s="4">
        <v>0</v>
      </c>
      <c r="S940" s="4" t="s">
        <v>333</v>
      </c>
      <c r="T940" s="4" t="s">
        <v>578</v>
      </c>
      <c r="U940" s="4">
        <v>0</v>
      </c>
      <c r="V940" s="4">
        <v>37</v>
      </c>
      <c r="W940" s="4">
        <v>74</v>
      </c>
    </row>
    <row r="941" spans="1:23" ht="11.25" customHeight="1" x14ac:dyDescent="0.25">
      <c r="A941" s="4" t="s">
        <v>21</v>
      </c>
      <c r="B941" s="4" t="s">
        <v>43</v>
      </c>
      <c r="C941" s="4" t="s">
        <v>23</v>
      </c>
      <c r="D941" s="4" t="s">
        <v>44</v>
      </c>
      <c r="E941" s="4" t="s">
        <v>55</v>
      </c>
      <c r="F941" s="4" t="s">
        <v>53</v>
      </c>
      <c r="G941" s="4" t="s">
        <v>25</v>
      </c>
      <c r="H941" s="4" t="s">
        <v>25</v>
      </c>
      <c r="I941" s="5">
        <v>44682</v>
      </c>
      <c r="J941" s="6">
        <v>0</v>
      </c>
      <c r="K941" s="6">
        <v>0</v>
      </c>
      <c r="L941" s="6">
        <v>1.353</v>
      </c>
      <c r="M941" s="6">
        <v>1.353</v>
      </c>
      <c r="N941" s="6">
        <v>1.353</v>
      </c>
      <c r="O941" s="6">
        <v>1.353</v>
      </c>
      <c r="P941" s="6">
        <v>0</v>
      </c>
      <c r="Q941" s="4" t="s">
        <v>26</v>
      </c>
      <c r="R941" s="4">
        <v>0</v>
      </c>
      <c r="S941" s="4" t="s">
        <v>334</v>
      </c>
      <c r="T941" s="4" t="s">
        <v>579</v>
      </c>
      <c r="U941" s="4">
        <v>0</v>
      </c>
      <c r="V941" s="4">
        <v>37</v>
      </c>
      <c r="W941" s="4">
        <v>74</v>
      </c>
    </row>
    <row r="942" spans="1:23" ht="11.25" customHeight="1" x14ac:dyDescent="0.25">
      <c r="A942" s="4" t="s">
        <v>21</v>
      </c>
      <c r="B942" s="4" t="s">
        <v>43</v>
      </c>
      <c r="C942" s="4" t="s">
        <v>23</v>
      </c>
      <c r="D942" s="4" t="s">
        <v>44</v>
      </c>
      <c r="E942" s="4" t="s">
        <v>55</v>
      </c>
      <c r="F942" s="4" t="s">
        <v>53</v>
      </c>
      <c r="G942" s="4" t="s">
        <v>25</v>
      </c>
      <c r="H942" s="4" t="s">
        <v>25</v>
      </c>
      <c r="I942" s="5">
        <v>44713</v>
      </c>
      <c r="J942" s="6">
        <v>0</v>
      </c>
      <c r="K942" s="6">
        <v>0</v>
      </c>
      <c r="L942" s="6">
        <v>0.246</v>
      </c>
      <c r="M942" s="6">
        <v>0.246</v>
      </c>
      <c r="N942" s="6">
        <v>0.246</v>
      </c>
      <c r="O942" s="6">
        <v>0.246</v>
      </c>
      <c r="P942" s="6">
        <v>0</v>
      </c>
      <c r="Q942" s="4" t="s">
        <v>26</v>
      </c>
      <c r="R942" s="4">
        <v>0</v>
      </c>
      <c r="S942" s="4" t="s">
        <v>335</v>
      </c>
      <c r="T942" s="4" t="s">
        <v>580</v>
      </c>
      <c r="U942" s="4">
        <v>0</v>
      </c>
      <c r="V942" s="4">
        <v>37</v>
      </c>
      <c r="W942" s="4">
        <v>74</v>
      </c>
    </row>
    <row r="943" spans="1:23" ht="11.25" customHeight="1" x14ac:dyDescent="0.25">
      <c r="A943" s="4" t="s">
        <v>21</v>
      </c>
      <c r="B943" s="4" t="s">
        <v>43</v>
      </c>
      <c r="C943" s="4" t="s">
        <v>23</v>
      </c>
      <c r="D943" s="4" t="s">
        <v>44</v>
      </c>
      <c r="E943" s="4" t="s">
        <v>55</v>
      </c>
      <c r="F943" s="4" t="s">
        <v>53</v>
      </c>
      <c r="G943" s="4" t="s">
        <v>25</v>
      </c>
      <c r="H943" s="4" t="s">
        <v>25</v>
      </c>
      <c r="I943" s="5">
        <v>44743</v>
      </c>
      <c r="J943" s="6">
        <v>0</v>
      </c>
      <c r="K943" s="6">
        <v>0</v>
      </c>
      <c r="L943" s="6">
        <v>0.20499999999999999</v>
      </c>
      <c r="M943" s="6">
        <v>0.20499999999999999</v>
      </c>
      <c r="N943" s="6">
        <v>0.20499999999999999</v>
      </c>
      <c r="O943" s="6">
        <v>0.20499999999999999</v>
      </c>
      <c r="P943" s="6">
        <v>0</v>
      </c>
      <c r="Q943" s="4" t="s">
        <v>26</v>
      </c>
      <c r="R943" s="4">
        <v>0</v>
      </c>
      <c r="S943" s="4" t="s">
        <v>336</v>
      </c>
      <c r="T943" s="4" t="s">
        <v>581</v>
      </c>
      <c r="U943" s="4">
        <v>0</v>
      </c>
      <c r="V943" s="4">
        <v>37</v>
      </c>
      <c r="W943" s="4">
        <v>74</v>
      </c>
    </row>
    <row r="944" spans="1:23" ht="11.25" customHeight="1" x14ac:dyDescent="0.25">
      <c r="A944" s="4" t="s">
        <v>56</v>
      </c>
      <c r="B944" s="4" t="s">
        <v>43</v>
      </c>
      <c r="C944" s="4" t="s">
        <v>23</v>
      </c>
      <c r="D944" s="4" t="s">
        <v>44</v>
      </c>
      <c r="E944" s="4" t="s">
        <v>55</v>
      </c>
      <c r="F944" s="4" t="s">
        <v>53</v>
      </c>
      <c r="G944" s="4" t="s">
        <v>25</v>
      </c>
      <c r="H944" s="4" t="s">
        <v>25</v>
      </c>
      <c r="I944" s="5">
        <v>44774</v>
      </c>
      <c r="J944" s="6">
        <v>0</v>
      </c>
      <c r="K944" s="6">
        <v>0</v>
      </c>
      <c r="L944" s="6">
        <v>0.20499999999999999</v>
      </c>
      <c r="M944" s="6">
        <v>0.20499999999999999</v>
      </c>
      <c r="N944" s="6">
        <v>0.20499999999999999</v>
      </c>
      <c r="O944" s="6">
        <v>0.20499999999999999</v>
      </c>
      <c r="P944" s="6">
        <v>0</v>
      </c>
      <c r="Q944" s="4" t="s">
        <v>26</v>
      </c>
      <c r="R944" s="4">
        <v>0</v>
      </c>
      <c r="S944" s="4" t="s">
        <v>337</v>
      </c>
      <c r="T944" s="4" t="s">
        <v>582</v>
      </c>
      <c r="U944" s="4">
        <v>0</v>
      </c>
      <c r="V944" s="4">
        <v>37</v>
      </c>
      <c r="W944" s="4">
        <v>74</v>
      </c>
    </row>
    <row r="945" spans="1:23" ht="11.25" customHeight="1" x14ac:dyDescent="0.25">
      <c r="A945" s="4" t="s">
        <v>21</v>
      </c>
      <c r="B945" s="4" t="s">
        <v>43</v>
      </c>
      <c r="C945" s="4" t="s">
        <v>23</v>
      </c>
      <c r="D945" s="4" t="s">
        <v>44</v>
      </c>
      <c r="E945" s="4" t="s">
        <v>55</v>
      </c>
      <c r="F945" s="4" t="s">
        <v>54</v>
      </c>
      <c r="G945" s="4" t="s">
        <v>25</v>
      </c>
      <c r="H945" s="4" t="s">
        <v>25</v>
      </c>
      <c r="I945" s="5">
        <v>44440</v>
      </c>
      <c r="J945" s="6">
        <v>0</v>
      </c>
      <c r="K945" s="6">
        <v>0</v>
      </c>
      <c r="L945" s="6">
        <v>3.403</v>
      </c>
      <c r="M945" s="6">
        <v>0.91881000000000002</v>
      </c>
      <c r="N945" s="6">
        <v>3.403</v>
      </c>
      <c r="O945" s="6">
        <v>0.91881000000000002</v>
      </c>
      <c r="P945" s="6">
        <v>0</v>
      </c>
      <c r="Q945" s="4" t="s">
        <v>26</v>
      </c>
      <c r="R945" s="4">
        <v>0</v>
      </c>
      <c r="S945" s="4" t="s">
        <v>326</v>
      </c>
      <c r="T945" s="4" t="s">
        <v>571</v>
      </c>
      <c r="U945" s="4">
        <v>0</v>
      </c>
      <c r="V945" s="4">
        <v>37</v>
      </c>
      <c r="W945" s="4">
        <v>74</v>
      </c>
    </row>
    <row r="946" spans="1:23" ht="11.25" customHeight="1" x14ac:dyDescent="0.25">
      <c r="A946" s="4" t="s">
        <v>21</v>
      </c>
      <c r="B946" s="4" t="s">
        <v>43</v>
      </c>
      <c r="C946" s="4" t="s">
        <v>23</v>
      </c>
      <c r="D946" s="4" t="s">
        <v>44</v>
      </c>
      <c r="E946" s="4" t="s">
        <v>55</v>
      </c>
      <c r="F946" s="4" t="s">
        <v>54</v>
      </c>
      <c r="G946" s="4" t="s">
        <v>25</v>
      </c>
      <c r="H946" s="4" t="s">
        <v>25</v>
      </c>
      <c r="I946" s="5">
        <v>44470</v>
      </c>
      <c r="J946" s="6">
        <v>0</v>
      </c>
      <c r="K946" s="6">
        <v>0</v>
      </c>
      <c r="L946" s="6">
        <v>4.4690000000000003</v>
      </c>
      <c r="M946" s="6">
        <v>1.2066300000000001</v>
      </c>
      <c r="N946" s="6">
        <v>4.4690000000000003</v>
      </c>
      <c r="O946" s="6">
        <v>1.2066300000000001</v>
      </c>
      <c r="P946" s="6">
        <v>0</v>
      </c>
      <c r="Q946" s="4" t="s">
        <v>26</v>
      </c>
      <c r="R946" s="4">
        <v>0</v>
      </c>
      <c r="S946" s="4" t="s">
        <v>327</v>
      </c>
      <c r="T946" s="4" t="s">
        <v>572</v>
      </c>
      <c r="U946" s="4">
        <v>0</v>
      </c>
      <c r="V946" s="4">
        <v>37</v>
      </c>
      <c r="W946" s="4">
        <v>74</v>
      </c>
    </row>
    <row r="947" spans="1:23" ht="11.25" customHeight="1" x14ac:dyDescent="0.25">
      <c r="A947" s="4" t="s">
        <v>21</v>
      </c>
      <c r="B947" s="4" t="s">
        <v>43</v>
      </c>
      <c r="C947" s="4" t="s">
        <v>23</v>
      </c>
      <c r="D947" s="4" t="s">
        <v>44</v>
      </c>
      <c r="E947" s="4" t="s">
        <v>55</v>
      </c>
      <c r="F947" s="4" t="s">
        <v>54</v>
      </c>
      <c r="G947" s="4" t="s">
        <v>25</v>
      </c>
      <c r="H947" s="4" t="s">
        <v>25</v>
      </c>
      <c r="I947" s="5">
        <v>44501</v>
      </c>
      <c r="J947" s="6">
        <v>0</v>
      </c>
      <c r="K947" s="6">
        <v>0</v>
      </c>
      <c r="L947" s="6">
        <v>4.1000000000000002E-2</v>
      </c>
      <c r="M947" s="6">
        <v>1.107E-2</v>
      </c>
      <c r="N947" s="6">
        <v>4.1000000000000002E-2</v>
      </c>
      <c r="O947" s="6">
        <v>1.107E-2</v>
      </c>
      <c r="P947" s="6">
        <v>0</v>
      </c>
      <c r="Q947" s="4" t="s">
        <v>26</v>
      </c>
      <c r="R947" s="4">
        <v>0</v>
      </c>
      <c r="S947" s="4" t="s">
        <v>328</v>
      </c>
      <c r="T947" s="4" t="s">
        <v>573</v>
      </c>
      <c r="U947" s="4">
        <v>0</v>
      </c>
      <c r="V947" s="4">
        <v>37</v>
      </c>
      <c r="W947" s="4">
        <v>74</v>
      </c>
    </row>
    <row r="948" spans="1:23" ht="11.25" customHeight="1" x14ac:dyDescent="0.25">
      <c r="A948" s="4" t="s">
        <v>21</v>
      </c>
      <c r="B948" s="4" t="s">
        <v>43</v>
      </c>
      <c r="C948" s="4" t="s">
        <v>23</v>
      </c>
      <c r="D948" s="4" t="s">
        <v>44</v>
      </c>
      <c r="E948" s="4" t="s">
        <v>55</v>
      </c>
      <c r="F948" s="4" t="s">
        <v>54</v>
      </c>
      <c r="G948" s="4" t="s">
        <v>25</v>
      </c>
      <c r="H948" s="4" t="s">
        <v>25</v>
      </c>
      <c r="I948" s="5">
        <v>44531</v>
      </c>
      <c r="J948" s="6">
        <v>0</v>
      </c>
      <c r="K948" s="6">
        <v>0</v>
      </c>
      <c r="L948" s="6">
        <v>0.73799999999999999</v>
      </c>
      <c r="M948" s="6">
        <v>0.19925999999999999</v>
      </c>
      <c r="N948" s="6">
        <v>0.73799999999999999</v>
      </c>
      <c r="O948" s="6">
        <v>0.19925999999999999</v>
      </c>
      <c r="P948" s="6">
        <v>0</v>
      </c>
      <c r="Q948" s="4" t="s">
        <v>26</v>
      </c>
      <c r="R948" s="4">
        <v>0</v>
      </c>
      <c r="S948" s="4" t="s">
        <v>329</v>
      </c>
      <c r="T948" s="4" t="s">
        <v>574</v>
      </c>
      <c r="U948" s="4">
        <v>0</v>
      </c>
      <c r="V948" s="4">
        <v>37</v>
      </c>
      <c r="W948" s="4">
        <v>74</v>
      </c>
    </row>
    <row r="949" spans="1:23" ht="11.25" customHeight="1" x14ac:dyDescent="0.25">
      <c r="A949" s="4" t="s">
        <v>21</v>
      </c>
      <c r="B949" s="4" t="s">
        <v>43</v>
      </c>
      <c r="C949" s="4" t="s">
        <v>23</v>
      </c>
      <c r="D949" s="4" t="s">
        <v>44</v>
      </c>
      <c r="E949" s="4" t="s">
        <v>55</v>
      </c>
      <c r="F949" s="4" t="s">
        <v>54</v>
      </c>
      <c r="G949" s="4" t="s">
        <v>25</v>
      </c>
      <c r="H949" s="4" t="s">
        <v>25</v>
      </c>
      <c r="I949" s="5">
        <v>44562</v>
      </c>
      <c r="J949" s="6">
        <v>0</v>
      </c>
      <c r="K949" s="6">
        <v>0</v>
      </c>
      <c r="L949" s="6">
        <v>1.3939999999999999</v>
      </c>
      <c r="M949" s="6">
        <v>0.37637999999999999</v>
      </c>
      <c r="N949" s="6">
        <v>1.3939999999999999</v>
      </c>
      <c r="O949" s="6">
        <v>0.37637999999999999</v>
      </c>
      <c r="P949" s="6">
        <v>0</v>
      </c>
      <c r="Q949" s="4" t="s">
        <v>26</v>
      </c>
      <c r="R949" s="4">
        <v>0</v>
      </c>
      <c r="S949" s="4" t="s">
        <v>330</v>
      </c>
      <c r="T949" s="4" t="s">
        <v>575</v>
      </c>
      <c r="U949" s="4">
        <v>0</v>
      </c>
      <c r="V949" s="4">
        <v>37</v>
      </c>
      <c r="W949" s="4">
        <v>74</v>
      </c>
    </row>
    <row r="950" spans="1:23" ht="11.25" customHeight="1" x14ac:dyDescent="0.25">
      <c r="A950" s="4" t="s">
        <v>21</v>
      </c>
      <c r="B950" s="4" t="s">
        <v>43</v>
      </c>
      <c r="C950" s="4" t="s">
        <v>23</v>
      </c>
      <c r="D950" s="4" t="s">
        <v>44</v>
      </c>
      <c r="E950" s="4" t="s">
        <v>55</v>
      </c>
      <c r="F950" s="4" t="s">
        <v>54</v>
      </c>
      <c r="G950" s="4" t="s">
        <v>25</v>
      </c>
      <c r="H950" s="4" t="s">
        <v>25</v>
      </c>
      <c r="I950" s="5">
        <v>44593</v>
      </c>
      <c r="J950" s="6">
        <v>0</v>
      </c>
      <c r="K950" s="6">
        <v>0</v>
      </c>
      <c r="L950" s="6">
        <v>2.2050000000000001</v>
      </c>
      <c r="M950" s="6">
        <v>0.59535000000000005</v>
      </c>
      <c r="N950" s="6">
        <v>2.2050000000000001</v>
      </c>
      <c r="O950" s="6">
        <v>0.59535000000000005</v>
      </c>
      <c r="P950" s="6">
        <v>0</v>
      </c>
      <c r="Q950" s="4" t="s">
        <v>26</v>
      </c>
      <c r="R950" s="4">
        <v>0</v>
      </c>
      <c r="S950" s="4" t="s">
        <v>331</v>
      </c>
      <c r="T950" s="4" t="s">
        <v>576</v>
      </c>
      <c r="U950" s="4">
        <v>0</v>
      </c>
      <c r="V950" s="4">
        <v>37</v>
      </c>
      <c r="W950" s="4">
        <v>74</v>
      </c>
    </row>
    <row r="951" spans="1:23" ht="11.25" customHeight="1" x14ac:dyDescent="0.25">
      <c r="A951" s="4" t="s">
        <v>21</v>
      </c>
      <c r="B951" s="4" t="s">
        <v>43</v>
      </c>
      <c r="C951" s="4" t="s">
        <v>23</v>
      </c>
      <c r="D951" s="4" t="s">
        <v>44</v>
      </c>
      <c r="E951" s="4" t="s">
        <v>55</v>
      </c>
      <c r="F951" s="4" t="s">
        <v>54</v>
      </c>
      <c r="G951" s="4" t="s">
        <v>25</v>
      </c>
      <c r="H951" s="4" t="s">
        <v>25</v>
      </c>
      <c r="I951" s="5">
        <v>44621</v>
      </c>
      <c r="J951" s="6">
        <v>0</v>
      </c>
      <c r="K951" s="6">
        <v>0</v>
      </c>
      <c r="L951" s="6">
        <v>0.58399999999999996</v>
      </c>
      <c r="M951" s="6">
        <v>0.2336</v>
      </c>
      <c r="N951" s="6">
        <v>0.58399999999999996</v>
      </c>
      <c r="O951" s="6">
        <v>0.2336</v>
      </c>
      <c r="P951" s="6">
        <v>0</v>
      </c>
      <c r="Q951" s="4" t="s">
        <v>26</v>
      </c>
      <c r="R951" s="4">
        <v>0</v>
      </c>
      <c r="S951" s="4" t="s">
        <v>332</v>
      </c>
      <c r="T951" s="4" t="s">
        <v>577</v>
      </c>
      <c r="U951" s="4">
        <v>0</v>
      </c>
      <c r="V951" s="4">
        <v>37</v>
      </c>
      <c r="W951" s="4">
        <v>74</v>
      </c>
    </row>
    <row r="952" spans="1:23" ht="11.25" customHeight="1" x14ac:dyDescent="0.25">
      <c r="A952" s="4" t="s">
        <v>21</v>
      </c>
      <c r="B952" s="4" t="s">
        <v>43</v>
      </c>
      <c r="C952" s="4" t="s">
        <v>23</v>
      </c>
      <c r="D952" s="4" t="s">
        <v>44</v>
      </c>
      <c r="E952" s="4" t="s">
        <v>55</v>
      </c>
      <c r="F952" s="4" t="s">
        <v>54</v>
      </c>
      <c r="G952" s="4" t="s">
        <v>25</v>
      </c>
      <c r="H952" s="4" t="s">
        <v>25</v>
      </c>
      <c r="I952" s="5">
        <v>44652</v>
      </c>
      <c r="J952" s="6">
        <v>0</v>
      </c>
      <c r="K952" s="6">
        <v>0</v>
      </c>
      <c r="L952" s="6">
        <v>2.5009999999999999</v>
      </c>
      <c r="M952" s="6">
        <v>0.67527000000000004</v>
      </c>
      <c r="N952" s="6">
        <v>2.5009999999999999</v>
      </c>
      <c r="O952" s="6">
        <v>0.67527000000000004</v>
      </c>
      <c r="P952" s="6">
        <v>0</v>
      </c>
      <c r="Q952" s="4" t="s">
        <v>26</v>
      </c>
      <c r="R952" s="4">
        <v>0</v>
      </c>
      <c r="S952" s="4" t="s">
        <v>333</v>
      </c>
      <c r="T952" s="4" t="s">
        <v>578</v>
      </c>
      <c r="U952" s="4">
        <v>0</v>
      </c>
      <c r="V952" s="4">
        <v>37</v>
      </c>
      <c r="W952" s="4">
        <v>74</v>
      </c>
    </row>
    <row r="953" spans="1:23" ht="11.25" customHeight="1" x14ac:dyDescent="0.25">
      <c r="A953" s="4" t="s">
        <v>21</v>
      </c>
      <c r="B953" s="4" t="s">
        <v>43</v>
      </c>
      <c r="C953" s="4" t="s">
        <v>23</v>
      </c>
      <c r="D953" s="4" t="s">
        <v>44</v>
      </c>
      <c r="E953" s="4" t="s">
        <v>55</v>
      </c>
      <c r="F953" s="4" t="s">
        <v>54</v>
      </c>
      <c r="G953" s="4" t="s">
        <v>25</v>
      </c>
      <c r="H953" s="4" t="s">
        <v>25</v>
      </c>
      <c r="I953" s="5">
        <v>44682</v>
      </c>
      <c r="J953" s="6">
        <v>0</v>
      </c>
      <c r="K953" s="6">
        <v>0</v>
      </c>
      <c r="L953" s="6">
        <v>3.3210000000000002</v>
      </c>
      <c r="M953" s="6">
        <v>0.89666999999999997</v>
      </c>
      <c r="N953" s="6">
        <v>3.3210000000000002</v>
      </c>
      <c r="O953" s="6">
        <v>0.89666999999999997</v>
      </c>
      <c r="P953" s="6">
        <v>0</v>
      </c>
      <c r="Q953" s="4" t="s">
        <v>26</v>
      </c>
      <c r="R953" s="4">
        <v>0</v>
      </c>
      <c r="S953" s="4" t="s">
        <v>334</v>
      </c>
      <c r="T953" s="4" t="s">
        <v>579</v>
      </c>
      <c r="U953" s="4">
        <v>0</v>
      </c>
      <c r="V953" s="4">
        <v>37</v>
      </c>
      <c r="W953" s="4">
        <v>74</v>
      </c>
    </row>
    <row r="954" spans="1:23" ht="11.25" customHeight="1" x14ac:dyDescent="0.25">
      <c r="A954" s="4" t="s">
        <v>21</v>
      </c>
      <c r="B954" s="4" t="s">
        <v>43</v>
      </c>
      <c r="C954" s="4" t="s">
        <v>23</v>
      </c>
      <c r="D954" s="4" t="s">
        <v>44</v>
      </c>
      <c r="E954" s="4" t="s">
        <v>55</v>
      </c>
      <c r="F954" s="4" t="s">
        <v>54</v>
      </c>
      <c r="G954" s="4" t="s">
        <v>25</v>
      </c>
      <c r="H954" s="4" t="s">
        <v>25</v>
      </c>
      <c r="I954" s="5">
        <v>44713</v>
      </c>
      <c r="J954" s="6">
        <v>0</v>
      </c>
      <c r="K954" s="6">
        <v>0</v>
      </c>
      <c r="L954" s="6">
        <v>0.73799999999999999</v>
      </c>
      <c r="M954" s="6">
        <v>0.19925999999999999</v>
      </c>
      <c r="N954" s="6">
        <v>0.73799999999999999</v>
      </c>
      <c r="O954" s="6">
        <v>0.19925999999999999</v>
      </c>
      <c r="P954" s="6">
        <v>0</v>
      </c>
      <c r="Q954" s="4" t="s">
        <v>26</v>
      </c>
      <c r="R954" s="4">
        <v>0</v>
      </c>
      <c r="S954" s="4" t="s">
        <v>335</v>
      </c>
      <c r="T954" s="4" t="s">
        <v>580</v>
      </c>
      <c r="U954" s="4">
        <v>0</v>
      </c>
      <c r="V954" s="4">
        <v>37</v>
      </c>
      <c r="W954" s="4">
        <v>74</v>
      </c>
    </row>
    <row r="955" spans="1:23" ht="11.25" customHeight="1" x14ac:dyDescent="0.25">
      <c r="A955" s="4" t="s">
        <v>21</v>
      </c>
      <c r="B955" s="4" t="s">
        <v>43</v>
      </c>
      <c r="C955" s="4" t="s">
        <v>23</v>
      </c>
      <c r="D955" s="4" t="s">
        <v>44</v>
      </c>
      <c r="E955" s="4" t="s">
        <v>55</v>
      </c>
      <c r="F955" s="4" t="s">
        <v>54</v>
      </c>
      <c r="G955" s="4" t="s">
        <v>25</v>
      </c>
      <c r="H955" s="4" t="s">
        <v>25</v>
      </c>
      <c r="I955" s="5">
        <v>44743</v>
      </c>
      <c r="J955" s="6">
        <v>0</v>
      </c>
      <c r="K955" s="6">
        <v>0</v>
      </c>
      <c r="L955" s="6">
        <v>0.65600000000000003</v>
      </c>
      <c r="M955" s="6">
        <v>0.17712</v>
      </c>
      <c r="N955" s="6">
        <v>0.65600000000000003</v>
      </c>
      <c r="O955" s="6">
        <v>0.17712</v>
      </c>
      <c r="P955" s="6">
        <v>0</v>
      </c>
      <c r="Q955" s="4" t="s">
        <v>26</v>
      </c>
      <c r="R955" s="4">
        <v>0</v>
      </c>
      <c r="S955" s="4" t="s">
        <v>336</v>
      </c>
      <c r="T955" s="4" t="s">
        <v>581</v>
      </c>
      <c r="U955" s="4">
        <v>0</v>
      </c>
      <c r="V955" s="4">
        <v>37</v>
      </c>
      <c r="W955" s="4">
        <v>74</v>
      </c>
    </row>
    <row r="956" spans="1:23" ht="11.25" customHeight="1" x14ac:dyDescent="0.25">
      <c r="A956" s="4" t="s">
        <v>56</v>
      </c>
      <c r="B956" s="4" t="s">
        <v>43</v>
      </c>
      <c r="C956" s="4" t="s">
        <v>23</v>
      </c>
      <c r="D956" s="4" t="s">
        <v>44</v>
      </c>
      <c r="E956" s="4" t="s">
        <v>55</v>
      </c>
      <c r="F956" s="4" t="s">
        <v>54</v>
      </c>
      <c r="G956" s="4" t="s">
        <v>25</v>
      </c>
      <c r="H956" s="4" t="s">
        <v>25</v>
      </c>
      <c r="I956" s="5">
        <v>44774</v>
      </c>
      <c r="J956" s="6">
        <v>0</v>
      </c>
      <c r="K956" s="6">
        <v>0</v>
      </c>
      <c r="L956" s="6">
        <v>0.65600000000000003</v>
      </c>
      <c r="M956" s="6">
        <v>0.17712</v>
      </c>
      <c r="N956" s="6">
        <v>0.65600000000000003</v>
      </c>
      <c r="O956" s="6">
        <v>0.17712</v>
      </c>
      <c r="P956" s="6">
        <v>0</v>
      </c>
      <c r="Q956" s="4" t="s">
        <v>26</v>
      </c>
      <c r="R956" s="4">
        <v>0</v>
      </c>
      <c r="S956" s="4" t="s">
        <v>337</v>
      </c>
      <c r="T956" s="4" t="s">
        <v>582</v>
      </c>
      <c r="U956" s="4">
        <v>0</v>
      </c>
      <c r="V956" s="4">
        <v>37</v>
      </c>
      <c r="W956" s="4">
        <v>74</v>
      </c>
    </row>
    <row r="957" spans="1:23" ht="11.25" customHeight="1" x14ac:dyDescent="0.25">
      <c r="A957" s="4" t="s">
        <v>21</v>
      </c>
      <c r="B957" s="4" t="s">
        <v>37</v>
      </c>
      <c r="C957" s="4" t="s">
        <v>33</v>
      </c>
      <c r="D957" s="4" t="s">
        <v>41</v>
      </c>
      <c r="E957" s="4" t="s">
        <v>25</v>
      </c>
      <c r="F957" s="4" t="s">
        <v>25</v>
      </c>
      <c r="G957" s="4" t="s">
        <v>25</v>
      </c>
      <c r="H957" s="4" t="s">
        <v>35</v>
      </c>
      <c r="I957" s="5">
        <v>44440</v>
      </c>
      <c r="J957" s="6">
        <v>0</v>
      </c>
      <c r="K957" s="6">
        <v>0</v>
      </c>
      <c r="L957" s="6">
        <v>56.54</v>
      </c>
      <c r="M957" s="6">
        <v>56.54</v>
      </c>
      <c r="N957" s="6">
        <v>56.54</v>
      </c>
      <c r="O957" s="6">
        <v>56.54</v>
      </c>
      <c r="P957" s="6">
        <v>0</v>
      </c>
      <c r="Q957" s="4" t="s">
        <v>26</v>
      </c>
      <c r="R957" s="4">
        <v>0</v>
      </c>
      <c r="S957" s="4" t="s">
        <v>338</v>
      </c>
      <c r="T957" s="4" t="s">
        <v>583</v>
      </c>
      <c r="U957" s="4">
        <v>0</v>
      </c>
      <c r="V957" s="4">
        <v>43</v>
      </c>
      <c r="W957" s="4">
        <v>80</v>
      </c>
    </row>
    <row r="958" spans="1:23" ht="11.25" customHeight="1" x14ac:dyDescent="0.25">
      <c r="A958" s="4" t="s">
        <v>28</v>
      </c>
      <c r="B958" s="4" t="s">
        <v>37</v>
      </c>
      <c r="C958" s="4" t="s">
        <v>33</v>
      </c>
      <c r="D958" s="4" t="s">
        <v>41</v>
      </c>
      <c r="E958" s="4" t="s">
        <v>25</v>
      </c>
      <c r="F958" s="4" t="s">
        <v>25</v>
      </c>
      <c r="G958" s="4" t="s">
        <v>25</v>
      </c>
      <c r="H958" s="4" t="s">
        <v>35</v>
      </c>
      <c r="I958" s="5">
        <v>44440</v>
      </c>
      <c r="J958" s="6">
        <v>0</v>
      </c>
      <c r="K958" s="6">
        <v>0</v>
      </c>
      <c r="L958" s="6">
        <v>4.7389999999999999</v>
      </c>
      <c r="M958" s="6">
        <v>4.7389999999999999</v>
      </c>
      <c r="N958" s="6">
        <v>4.7389999999999999</v>
      </c>
      <c r="O958" s="6">
        <v>4.7389999999999999</v>
      </c>
      <c r="P958" s="6">
        <v>0</v>
      </c>
      <c r="Q958" s="4" t="s">
        <v>26</v>
      </c>
      <c r="R958" s="4">
        <v>0</v>
      </c>
      <c r="S958" s="4" t="s">
        <v>338</v>
      </c>
      <c r="T958" s="4" t="s">
        <v>583</v>
      </c>
      <c r="U958" s="4">
        <v>0</v>
      </c>
      <c r="V958" s="4">
        <v>43</v>
      </c>
      <c r="W958" s="4">
        <v>80</v>
      </c>
    </row>
    <row r="959" spans="1:23" ht="11.25" customHeight="1" x14ac:dyDescent="0.25">
      <c r="A959" s="4" t="s">
        <v>21</v>
      </c>
      <c r="B959" s="4" t="s">
        <v>37</v>
      </c>
      <c r="C959" s="4" t="s">
        <v>33</v>
      </c>
      <c r="D959" s="4" t="s">
        <v>41</v>
      </c>
      <c r="E959" s="4" t="s">
        <v>25</v>
      </c>
      <c r="F959" s="4" t="s">
        <v>25</v>
      </c>
      <c r="G959" s="4" t="s">
        <v>25</v>
      </c>
      <c r="H959" s="4" t="s">
        <v>35</v>
      </c>
      <c r="I959" s="5">
        <v>44470</v>
      </c>
      <c r="J959" s="6">
        <v>0</v>
      </c>
      <c r="K959" s="6">
        <v>0</v>
      </c>
      <c r="L959" s="6">
        <v>66.213999999999999</v>
      </c>
      <c r="M959" s="6">
        <v>66.213999999999999</v>
      </c>
      <c r="N959" s="6">
        <v>66.213999999999999</v>
      </c>
      <c r="O959" s="6">
        <v>66.213999999999999</v>
      </c>
      <c r="P959" s="6">
        <v>0</v>
      </c>
      <c r="Q959" s="4" t="s">
        <v>26</v>
      </c>
      <c r="R959" s="4">
        <v>0</v>
      </c>
      <c r="S959" s="4" t="s">
        <v>339</v>
      </c>
      <c r="T959" s="4" t="s">
        <v>584</v>
      </c>
      <c r="U959" s="4">
        <v>0</v>
      </c>
      <c r="V959" s="4">
        <v>43</v>
      </c>
      <c r="W959" s="4">
        <v>80</v>
      </c>
    </row>
    <row r="960" spans="1:23" ht="11.25" customHeight="1" x14ac:dyDescent="0.25">
      <c r="A960" s="4" t="s">
        <v>28</v>
      </c>
      <c r="B960" s="4" t="s">
        <v>37</v>
      </c>
      <c r="C960" s="4" t="s">
        <v>33</v>
      </c>
      <c r="D960" s="4" t="s">
        <v>41</v>
      </c>
      <c r="E960" s="4" t="s">
        <v>25</v>
      </c>
      <c r="F960" s="4" t="s">
        <v>25</v>
      </c>
      <c r="G960" s="4" t="s">
        <v>25</v>
      </c>
      <c r="H960" s="4" t="s">
        <v>35</v>
      </c>
      <c r="I960" s="5">
        <v>44470</v>
      </c>
      <c r="J960" s="6">
        <v>0</v>
      </c>
      <c r="K960" s="6">
        <v>0</v>
      </c>
      <c r="L960" s="6">
        <v>4.109</v>
      </c>
      <c r="M960" s="6">
        <v>4.109</v>
      </c>
      <c r="N960" s="6">
        <v>4.109</v>
      </c>
      <c r="O960" s="6">
        <v>4.109</v>
      </c>
      <c r="P960" s="6">
        <v>0</v>
      </c>
      <c r="Q960" s="4" t="s">
        <v>26</v>
      </c>
      <c r="R960" s="4">
        <v>0</v>
      </c>
      <c r="S960" s="4" t="s">
        <v>339</v>
      </c>
      <c r="T960" s="4" t="s">
        <v>584</v>
      </c>
      <c r="U960" s="4">
        <v>0</v>
      </c>
      <c r="V960" s="4">
        <v>43</v>
      </c>
      <c r="W960" s="4">
        <v>80</v>
      </c>
    </row>
    <row r="961" spans="1:23" ht="11.25" customHeight="1" x14ac:dyDescent="0.25">
      <c r="A961" s="4" t="s">
        <v>21</v>
      </c>
      <c r="B961" s="4" t="s">
        <v>37</v>
      </c>
      <c r="C961" s="4" t="s">
        <v>33</v>
      </c>
      <c r="D961" s="4" t="s">
        <v>41</v>
      </c>
      <c r="E961" s="4" t="s">
        <v>25</v>
      </c>
      <c r="F961" s="4" t="s">
        <v>25</v>
      </c>
      <c r="G961" s="4" t="s">
        <v>25</v>
      </c>
      <c r="H961" s="4" t="s">
        <v>35</v>
      </c>
      <c r="I961" s="5">
        <v>44501</v>
      </c>
      <c r="J961" s="6">
        <v>0</v>
      </c>
      <c r="K961" s="6">
        <v>0</v>
      </c>
      <c r="L961" s="6">
        <v>64.161000000000001</v>
      </c>
      <c r="M961" s="6">
        <v>64.161000000000001</v>
      </c>
      <c r="N961" s="6">
        <v>64.161000000000001</v>
      </c>
      <c r="O961" s="6">
        <v>64.161000000000001</v>
      </c>
      <c r="P961" s="6">
        <v>0</v>
      </c>
      <c r="Q961" s="4" t="s">
        <v>26</v>
      </c>
      <c r="R961" s="4">
        <v>0</v>
      </c>
      <c r="S961" s="4" t="s">
        <v>340</v>
      </c>
      <c r="T961" s="4" t="s">
        <v>585</v>
      </c>
      <c r="U961" s="4">
        <v>0</v>
      </c>
      <c r="V961" s="4">
        <v>43</v>
      </c>
      <c r="W961" s="4">
        <v>80</v>
      </c>
    </row>
    <row r="962" spans="1:23" ht="11.25" customHeight="1" x14ac:dyDescent="0.25">
      <c r="A962" s="4" t="s">
        <v>28</v>
      </c>
      <c r="B962" s="4" t="s">
        <v>37</v>
      </c>
      <c r="C962" s="4" t="s">
        <v>33</v>
      </c>
      <c r="D962" s="4" t="s">
        <v>41</v>
      </c>
      <c r="E962" s="4" t="s">
        <v>25</v>
      </c>
      <c r="F962" s="4" t="s">
        <v>25</v>
      </c>
      <c r="G962" s="4" t="s">
        <v>25</v>
      </c>
      <c r="H962" s="4" t="s">
        <v>35</v>
      </c>
      <c r="I962" s="5">
        <v>44501</v>
      </c>
      <c r="J962" s="6">
        <v>0</v>
      </c>
      <c r="K962" s="6">
        <v>0</v>
      </c>
      <c r="L962" s="6">
        <v>3.621</v>
      </c>
      <c r="M962" s="6">
        <v>3.621</v>
      </c>
      <c r="N962" s="6">
        <v>3.621</v>
      </c>
      <c r="O962" s="6">
        <v>3.621</v>
      </c>
      <c r="P962" s="6">
        <v>0</v>
      </c>
      <c r="Q962" s="4" t="s">
        <v>26</v>
      </c>
      <c r="R962" s="4">
        <v>0</v>
      </c>
      <c r="S962" s="4" t="s">
        <v>340</v>
      </c>
      <c r="T962" s="4" t="s">
        <v>585</v>
      </c>
      <c r="U962" s="4">
        <v>0</v>
      </c>
      <c r="V962" s="4">
        <v>43</v>
      </c>
      <c r="W962" s="4">
        <v>80</v>
      </c>
    </row>
    <row r="963" spans="1:23" ht="11.25" customHeight="1" x14ac:dyDescent="0.25">
      <c r="A963" s="4" t="s">
        <v>21</v>
      </c>
      <c r="B963" s="4" t="s">
        <v>37</v>
      </c>
      <c r="C963" s="4" t="s">
        <v>33</v>
      </c>
      <c r="D963" s="4" t="s">
        <v>41</v>
      </c>
      <c r="E963" s="4" t="s">
        <v>25</v>
      </c>
      <c r="F963" s="4" t="s">
        <v>25</v>
      </c>
      <c r="G963" s="4" t="s">
        <v>25</v>
      </c>
      <c r="H963" s="4" t="s">
        <v>35</v>
      </c>
      <c r="I963" s="5">
        <v>44531</v>
      </c>
      <c r="J963" s="6">
        <v>0</v>
      </c>
      <c r="K963" s="6">
        <v>0</v>
      </c>
      <c r="L963" s="6">
        <v>79.045000000000002</v>
      </c>
      <c r="M963" s="6">
        <v>79.045000000000002</v>
      </c>
      <c r="N963" s="6">
        <v>79.045000000000002</v>
      </c>
      <c r="O963" s="6">
        <v>79.045000000000002</v>
      </c>
      <c r="P963" s="6">
        <v>0</v>
      </c>
      <c r="Q963" s="4" t="s">
        <v>26</v>
      </c>
      <c r="R963" s="4">
        <v>0</v>
      </c>
      <c r="S963" s="4" t="s">
        <v>341</v>
      </c>
      <c r="T963" s="4" t="s">
        <v>586</v>
      </c>
      <c r="U963" s="4">
        <v>0</v>
      </c>
      <c r="V963" s="4">
        <v>43</v>
      </c>
      <c r="W963" s="4">
        <v>80</v>
      </c>
    </row>
    <row r="964" spans="1:23" ht="11.25" customHeight="1" x14ac:dyDescent="0.25">
      <c r="A964" s="4" t="s">
        <v>28</v>
      </c>
      <c r="B964" s="4" t="s">
        <v>37</v>
      </c>
      <c r="C964" s="4" t="s">
        <v>33</v>
      </c>
      <c r="D964" s="4" t="s">
        <v>41</v>
      </c>
      <c r="E964" s="4" t="s">
        <v>25</v>
      </c>
      <c r="F964" s="4" t="s">
        <v>25</v>
      </c>
      <c r="G964" s="4" t="s">
        <v>25</v>
      </c>
      <c r="H964" s="4" t="s">
        <v>35</v>
      </c>
      <c r="I964" s="5">
        <v>44531</v>
      </c>
      <c r="J964" s="6">
        <v>0</v>
      </c>
      <c r="K964" s="6">
        <v>0</v>
      </c>
      <c r="L964" s="6">
        <v>3.218</v>
      </c>
      <c r="M964" s="6">
        <v>3.218</v>
      </c>
      <c r="N964" s="6">
        <v>3.218</v>
      </c>
      <c r="O964" s="6">
        <v>3.218</v>
      </c>
      <c r="P964" s="6">
        <v>0</v>
      </c>
      <c r="Q964" s="4" t="s">
        <v>26</v>
      </c>
      <c r="R964" s="4">
        <v>0</v>
      </c>
      <c r="S964" s="4" t="s">
        <v>341</v>
      </c>
      <c r="T964" s="4" t="s">
        <v>586</v>
      </c>
      <c r="U964" s="4">
        <v>0</v>
      </c>
      <c r="V964" s="4">
        <v>43</v>
      </c>
      <c r="W964" s="4">
        <v>80</v>
      </c>
    </row>
    <row r="965" spans="1:23" ht="11.25" customHeight="1" x14ac:dyDescent="0.25">
      <c r="A965" s="4" t="s">
        <v>21</v>
      </c>
      <c r="B965" s="4" t="s">
        <v>37</v>
      </c>
      <c r="C965" s="4" t="s">
        <v>33</v>
      </c>
      <c r="D965" s="4" t="s">
        <v>41</v>
      </c>
      <c r="E965" s="4" t="s">
        <v>25</v>
      </c>
      <c r="F965" s="4" t="s">
        <v>25</v>
      </c>
      <c r="G965" s="4" t="s">
        <v>25</v>
      </c>
      <c r="H965" s="4" t="s">
        <v>35</v>
      </c>
      <c r="I965" s="5">
        <v>44562</v>
      </c>
      <c r="J965" s="6">
        <v>0</v>
      </c>
      <c r="K965" s="6">
        <v>0</v>
      </c>
      <c r="L965" s="6">
        <v>75.718999999999994</v>
      </c>
      <c r="M965" s="6">
        <v>75.718999999999994</v>
      </c>
      <c r="N965" s="6">
        <v>75.718999999999994</v>
      </c>
      <c r="O965" s="6">
        <v>75.718999999999994</v>
      </c>
      <c r="P965" s="6">
        <v>0</v>
      </c>
      <c r="Q965" s="4" t="s">
        <v>26</v>
      </c>
      <c r="R965" s="4">
        <v>0</v>
      </c>
      <c r="S965" s="4" t="s">
        <v>342</v>
      </c>
      <c r="T965" s="4" t="s">
        <v>587</v>
      </c>
      <c r="U965" s="4">
        <v>0</v>
      </c>
      <c r="V965" s="4">
        <v>43</v>
      </c>
      <c r="W965" s="4">
        <v>80</v>
      </c>
    </row>
    <row r="966" spans="1:23" ht="11.25" customHeight="1" x14ac:dyDescent="0.25">
      <c r="A966" s="4" t="s">
        <v>27</v>
      </c>
      <c r="B966" s="4" t="s">
        <v>37</v>
      </c>
      <c r="C966" s="4" t="s">
        <v>33</v>
      </c>
      <c r="D966" s="4" t="s">
        <v>41</v>
      </c>
      <c r="E966" s="4" t="s">
        <v>25</v>
      </c>
      <c r="F966" s="4" t="s">
        <v>25</v>
      </c>
      <c r="G966" s="4" t="s">
        <v>25</v>
      </c>
      <c r="H966" s="4" t="s">
        <v>35</v>
      </c>
      <c r="I966" s="5">
        <v>44562</v>
      </c>
      <c r="J966" s="6">
        <v>0</v>
      </c>
      <c r="K966" s="6">
        <v>0</v>
      </c>
      <c r="L966" s="6">
        <v>-6</v>
      </c>
      <c r="M966" s="6">
        <v>-6</v>
      </c>
      <c r="N966" s="6">
        <v>-6</v>
      </c>
      <c r="O966" s="6">
        <v>-6</v>
      </c>
      <c r="P966" s="6">
        <v>0</v>
      </c>
      <c r="Q966" s="4" t="s">
        <v>26</v>
      </c>
      <c r="R966" s="4">
        <v>0</v>
      </c>
      <c r="S966" s="4" t="s">
        <v>342</v>
      </c>
      <c r="T966" s="4" t="s">
        <v>587</v>
      </c>
      <c r="U966" s="4">
        <v>0</v>
      </c>
      <c r="V966" s="4">
        <v>43</v>
      </c>
      <c r="W966" s="4">
        <v>80</v>
      </c>
    </row>
    <row r="967" spans="1:23" ht="11.25" customHeight="1" x14ac:dyDescent="0.25">
      <c r="A967" s="4" t="s">
        <v>28</v>
      </c>
      <c r="B967" s="4" t="s">
        <v>37</v>
      </c>
      <c r="C967" s="4" t="s">
        <v>33</v>
      </c>
      <c r="D967" s="4" t="s">
        <v>41</v>
      </c>
      <c r="E967" s="4" t="s">
        <v>25</v>
      </c>
      <c r="F967" s="4" t="s">
        <v>25</v>
      </c>
      <c r="G967" s="4" t="s">
        <v>25</v>
      </c>
      <c r="H967" s="4" t="s">
        <v>35</v>
      </c>
      <c r="I967" s="5">
        <v>44562</v>
      </c>
      <c r="J967" s="6">
        <v>0</v>
      </c>
      <c r="K967" s="6">
        <v>0</v>
      </c>
      <c r="L967" s="6">
        <v>0.57799999999999996</v>
      </c>
      <c r="M967" s="6">
        <v>0.57799999999999996</v>
      </c>
      <c r="N967" s="6">
        <v>0.57799999999999996</v>
      </c>
      <c r="O967" s="6">
        <v>0.57799999999999996</v>
      </c>
      <c r="P967" s="6">
        <v>0</v>
      </c>
      <c r="Q967" s="4" t="s">
        <v>26</v>
      </c>
      <c r="R967" s="4">
        <v>0</v>
      </c>
      <c r="S967" s="4" t="s">
        <v>342</v>
      </c>
      <c r="T967" s="4" t="s">
        <v>587</v>
      </c>
      <c r="U967" s="4">
        <v>0</v>
      </c>
      <c r="V967" s="4">
        <v>43</v>
      </c>
      <c r="W967" s="4">
        <v>80</v>
      </c>
    </row>
    <row r="968" spans="1:23" ht="11.25" customHeight="1" x14ac:dyDescent="0.25">
      <c r="A968" s="4" t="s">
        <v>21</v>
      </c>
      <c r="B968" s="4" t="s">
        <v>37</v>
      </c>
      <c r="C968" s="4" t="s">
        <v>33</v>
      </c>
      <c r="D968" s="4" t="s">
        <v>41</v>
      </c>
      <c r="E968" s="4" t="s">
        <v>25</v>
      </c>
      <c r="F968" s="4" t="s">
        <v>25</v>
      </c>
      <c r="G968" s="4" t="s">
        <v>25</v>
      </c>
      <c r="H968" s="4" t="s">
        <v>35</v>
      </c>
      <c r="I968" s="5">
        <v>44593</v>
      </c>
      <c r="J968" s="6">
        <v>0</v>
      </c>
      <c r="K968" s="6">
        <v>0</v>
      </c>
      <c r="L968" s="6">
        <v>84.117000000000004</v>
      </c>
      <c r="M968" s="6">
        <v>84.117000000000004</v>
      </c>
      <c r="N968" s="6">
        <v>84.117000000000004</v>
      </c>
      <c r="O968" s="6">
        <v>84.117000000000004</v>
      </c>
      <c r="P968" s="6">
        <v>0</v>
      </c>
      <c r="Q968" s="4" t="s">
        <v>26</v>
      </c>
      <c r="R968" s="4">
        <v>0</v>
      </c>
      <c r="S968" s="4" t="s">
        <v>343</v>
      </c>
      <c r="T968" s="4" t="s">
        <v>588</v>
      </c>
      <c r="U968" s="4">
        <v>0</v>
      </c>
      <c r="V968" s="4">
        <v>43</v>
      </c>
      <c r="W968" s="4">
        <v>80</v>
      </c>
    </row>
    <row r="969" spans="1:23" ht="11.25" customHeight="1" x14ac:dyDescent="0.25">
      <c r="A969" s="4" t="s">
        <v>28</v>
      </c>
      <c r="B969" s="4" t="s">
        <v>37</v>
      </c>
      <c r="C969" s="4" t="s">
        <v>33</v>
      </c>
      <c r="D969" s="4" t="s">
        <v>41</v>
      </c>
      <c r="E969" s="4" t="s">
        <v>25</v>
      </c>
      <c r="F969" s="4" t="s">
        <v>25</v>
      </c>
      <c r="G969" s="4" t="s">
        <v>25</v>
      </c>
      <c r="H969" s="4" t="s">
        <v>35</v>
      </c>
      <c r="I969" s="5">
        <v>44593</v>
      </c>
      <c r="J969" s="6">
        <v>0</v>
      </c>
      <c r="K969" s="6">
        <v>0</v>
      </c>
      <c r="L969" s="6">
        <v>2.6680000000000001</v>
      </c>
      <c r="M969" s="6">
        <v>2.6680000000000001</v>
      </c>
      <c r="N969" s="6">
        <v>2.6680000000000001</v>
      </c>
      <c r="O969" s="6">
        <v>2.6680000000000001</v>
      </c>
      <c r="P969" s="6">
        <v>0</v>
      </c>
      <c r="Q969" s="4" t="s">
        <v>26</v>
      </c>
      <c r="R969" s="4">
        <v>0</v>
      </c>
      <c r="S969" s="4" t="s">
        <v>343</v>
      </c>
      <c r="T969" s="4" t="s">
        <v>588</v>
      </c>
      <c r="U969" s="4">
        <v>0</v>
      </c>
      <c r="V969" s="4">
        <v>43</v>
      </c>
      <c r="W969" s="4">
        <v>80</v>
      </c>
    </row>
    <row r="970" spans="1:23" ht="11.25" customHeight="1" x14ac:dyDescent="0.25">
      <c r="A970" s="4" t="s">
        <v>21</v>
      </c>
      <c r="B970" s="4" t="s">
        <v>37</v>
      </c>
      <c r="C970" s="4" t="s">
        <v>33</v>
      </c>
      <c r="D970" s="4" t="s">
        <v>41</v>
      </c>
      <c r="E970" s="4" t="s">
        <v>25</v>
      </c>
      <c r="F970" s="4" t="s">
        <v>25</v>
      </c>
      <c r="G970" s="4" t="s">
        <v>25</v>
      </c>
      <c r="H970" s="4" t="s">
        <v>35</v>
      </c>
      <c r="I970" s="5">
        <v>44621</v>
      </c>
      <c r="J970" s="6">
        <v>0</v>
      </c>
      <c r="K970" s="6">
        <v>0</v>
      </c>
      <c r="L970" s="6">
        <v>81.427000000000007</v>
      </c>
      <c r="M970" s="6">
        <v>81.427000000000007</v>
      </c>
      <c r="N970" s="6">
        <v>81.427000000000007</v>
      </c>
      <c r="O970" s="6">
        <v>81.427000000000007</v>
      </c>
      <c r="P970" s="6">
        <v>0</v>
      </c>
      <c r="Q970" s="4" t="s">
        <v>26</v>
      </c>
      <c r="R970" s="4">
        <v>0</v>
      </c>
      <c r="S970" s="4" t="s">
        <v>344</v>
      </c>
      <c r="T970" s="4" t="s">
        <v>589</v>
      </c>
      <c r="U970" s="4">
        <v>0</v>
      </c>
      <c r="V970" s="4">
        <v>43</v>
      </c>
      <c r="W970" s="4">
        <v>80</v>
      </c>
    </row>
    <row r="971" spans="1:23" ht="11.25" customHeight="1" x14ac:dyDescent="0.25">
      <c r="A971" s="4" t="s">
        <v>28</v>
      </c>
      <c r="B971" s="4" t="s">
        <v>37</v>
      </c>
      <c r="C971" s="4" t="s">
        <v>33</v>
      </c>
      <c r="D971" s="4" t="s">
        <v>41</v>
      </c>
      <c r="E971" s="4" t="s">
        <v>25</v>
      </c>
      <c r="F971" s="4" t="s">
        <v>25</v>
      </c>
      <c r="G971" s="4" t="s">
        <v>25</v>
      </c>
      <c r="H971" s="4" t="s">
        <v>35</v>
      </c>
      <c r="I971" s="5">
        <v>44621</v>
      </c>
      <c r="J971" s="6">
        <v>0</v>
      </c>
      <c r="K971" s="6">
        <v>0</v>
      </c>
      <c r="L971" s="6">
        <v>2.2469999999999999</v>
      </c>
      <c r="M971" s="6">
        <v>2.2469999999999999</v>
      </c>
      <c r="N971" s="6">
        <v>2.2469999999999999</v>
      </c>
      <c r="O971" s="6">
        <v>2.2469999999999999</v>
      </c>
      <c r="P971" s="6">
        <v>0</v>
      </c>
      <c r="Q971" s="4" t="s">
        <v>26</v>
      </c>
      <c r="R971" s="4">
        <v>0</v>
      </c>
      <c r="S971" s="4" t="s">
        <v>344</v>
      </c>
      <c r="T971" s="4" t="s">
        <v>589</v>
      </c>
      <c r="U971" s="4">
        <v>0</v>
      </c>
      <c r="V971" s="4">
        <v>43</v>
      </c>
      <c r="W971" s="4">
        <v>80</v>
      </c>
    </row>
    <row r="972" spans="1:23" ht="11.25" customHeight="1" x14ac:dyDescent="0.25">
      <c r="A972" s="4" t="s">
        <v>21</v>
      </c>
      <c r="B972" s="4" t="s">
        <v>37</v>
      </c>
      <c r="C972" s="4" t="s">
        <v>33</v>
      </c>
      <c r="D972" s="4" t="s">
        <v>41</v>
      </c>
      <c r="E972" s="4" t="s">
        <v>25</v>
      </c>
      <c r="F972" s="4" t="s">
        <v>25</v>
      </c>
      <c r="G972" s="4" t="s">
        <v>25</v>
      </c>
      <c r="H972" s="4" t="s">
        <v>35</v>
      </c>
      <c r="I972" s="5">
        <v>44652</v>
      </c>
      <c r="J972" s="6">
        <v>0</v>
      </c>
      <c r="K972" s="6">
        <v>0</v>
      </c>
      <c r="L972" s="6">
        <v>84.117999999999995</v>
      </c>
      <c r="M972" s="6">
        <v>84.117999999999995</v>
      </c>
      <c r="N972" s="6">
        <v>84.117999999999995</v>
      </c>
      <c r="O972" s="6">
        <v>84.117999999999995</v>
      </c>
      <c r="P972" s="6">
        <v>0</v>
      </c>
      <c r="Q972" s="4" t="s">
        <v>26</v>
      </c>
      <c r="R972" s="4">
        <v>0</v>
      </c>
      <c r="S972" s="4" t="s">
        <v>345</v>
      </c>
      <c r="T972" s="4" t="s">
        <v>590</v>
      </c>
      <c r="U972" s="4">
        <v>0</v>
      </c>
      <c r="V972" s="4">
        <v>43</v>
      </c>
      <c r="W972" s="4">
        <v>80</v>
      </c>
    </row>
    <row r="973" spans="1:23" ht="11.25" customHeight="1" x14ac:dyDescent="0.25">
      <c r="A973" s="4" t="s">
        <v>28</v>
      </c>
      <c r="B973" s="4" t="s">
        <v>37</v>
      </c>
      <c r="C973" s="4" t="s">
        <v>33</v>
      </c>
      <c r="D973" s="4" t="s">
        <v>41</v>
      </c>
      <c r="E973" s="4" t="s">
        <v>25</v>
      </c>
      <c r="F973" s="4" t="s">
        <v>25</v>
      </c>
      <c r="G973" s="4" t="s">
        <v>25</v>
      </c>
      <c r="H973" s="4" t="s">
        <v>35</v>
      </c>
      <c r="I973" s="5">
        <v>44652</v>
      </c>
      <c r="J973" s="6">
        <v>0</v>
      </c>
      <c r="K973" s="6">
        <v>0</v>
      </c>
      <c r="L973" s="6">
        <v>1.849</v>
      </c>
      <c r="M973" s="6">
        <v>1.849</v>
      </c>
      <c r="N973" s="6">
        <v>1.849</v>
      </c>
      <c r="O973" s="6">
        <v>1.849</v>
      </c>
      <c r="P973" s="6">
        <v>0</v>
      </c>
      <c r="Q973" s="4" t="s">
        <v>26</v>
      </c>
      <c r="R973" s="4">
        <v>0</v>
      </c>
      <c r="S973" s="4" t="s">
        <v>345</v>
      </c>
      <c r="T973" s="4" t="s">
        <v>590</v>
      </c>
      <c r="U973" s="4">
        <v>0</v>
      </c>
      <c r="V973" s="4">
        <v>43</v>
      </c>
      <c r="W973" s="4">
        <v>80</v>
      </c>
    </row>
    <row r="974" spans="1:23" ht="11.25" customHeight="1" x14ac:dyDescent="0.25">
      <c r="A974" s="4" t="s">
        <v>21</v>
      </c>
      <c r="B974" s="4" t="s">
        <v>37</v>
      </c>
      <c r="C974" s="4" t="s">
        <v>33</v>
      </c>
      <c r="D974" s="4" t="s">
        <v>41</v>
      </c>
      <c r="E974" s="4" t="s">
        <v>25</v>
      </c>
      <c r="F974" s="4" t="s">
        <v>25</v>
      </c>
      <c r="G974" s="4" t="s">
        <v>25</v>
      </c>
      <c r="H974" s="4" t="s">
        <v>35</v>
      </c>
      <c r="I974" s="5">
        <v>44682</v>
      </c>
      <c r="J974" s="6">
        <v>0</v>
      </c>
      <c r="K974" s="6">
        <v>0</v>
      </c>
      <c r="L974" s="6">
        <v>69.53</v>
      </c>
      <c r="M974" s="6">
        <v>69.53</v>
      </c>
      <c r="N974" s="6">
        <v>69.53</v>
      </c>
      <c r="O974" s="6">
        <v>69.53</v>
      </c>
      <c r="P974" s="6">
        <v>0</v>
      </c>
      <c r="Q974" s="4" t="s">
        <v>26</v>
      </c>
      <c r="R974" s="4">
        <v>0</v>
      </c>
      <c r="S974" s="4" t="s">
        <v>346</v>
      </c>
      <c r="T974" s="4" t="s">
        <v>591</v>
      </c>
      <c r="U974" s="4">
        <v>0</v>
      </c>
      <c r="V974" s="4">
        <v>43</v>
      </c>
      <c r="W974" s="4">
        <v>80</v>
      </c>
    </row>
    <row r="975" spans="1:23" ht="11.25" customHeight="1" x14ac:dyDescent="0.25">
      <c r="A975" s="4" t="s">
        <v>28</v>
      </c>
      <c r="B975" s="4" t="s">
        <v>37</v>
      </c>
      <c r="C975" s="4" t="s">
        <v>33</v>
      </c>
      <c r="D975" s="4" t="s">
        <v>41</v>
      </c>
      <c r="E975" s="4" t="s">
        <v>25</v>
      </c>
      <c r="F975" s="4" t="s">
        <v>25</v>
      </c>
      <c r="G975" s="4" t="s">
        <v>25</v>
      </c>
      <c r="H975" s="4" t="s">
        <v>35</v>
      </c>
      <c r="I975" s="5">
        <v>44682</v>
      </c>
      <c r="J975" s="6">
        <v>0</v>
      </c>
      <c r="K975" s="6">
        <v>0</v>
      </c>
      <c r="L975" s="6">
        <v>3.597</v>
      </c>
      <c r="M975" s="6">
        <v>3.597</v>
      </c>
      <c r="N975" s="6">
        <v>3.597</v>
      </c>
      <c r="O975" s="6">
        <v>3.597</v>
      </c>
      <c r="P975" s="6">
        <v>0</v>
      </c>
      <c r="Q975" s="4" t="s">
        <v>26</v>
      </c>
      <c r="R975" s="4">
        <v>0</v>
      </c>
      <c r="S975" s="4" t="s">
        <v>346</v>
      </c>
      <c r="T975" s="4" t="s">
        <v>591</v>
      </c>
      <c r="U975" s="4">
        <v>0</v>
      </c>
      <c r="V975" s="4">
        <v>43</v>
      </c>
      <c r="W975" s="4">
        <v>80</v>
      </c>
    </row>
    <row r="976" spans="1:23" ht="11.25" customHeight="1" x14ac:dyDescent="0.25">
      <c r="A976" s="4" t="s">
        <v>21</v>
      </c>
      <c r="B976" s="4" t="s">
        <v>37</v>
      </c>
      <c r="C976" s="4" t="s">
        <v>33</v>
      </c>
      <c r="D976" s="4" t="s">
        <v>41</v>
      </c>
      <c r="E976" s="4" t="s">
        <v>25</v>
      </c>
      <c r="F976" s="4" t="s">
        <v>25</v>
      </c>
      <c r="G976" s="4" t="s">
        <v>25</v>
      </c>
      <c r="H976" s="4" t="s">
        <v>35</v>
      </c>
      <c r="I976" s="5">
        <v>44713</v>
      </c>
      <c r="J976" s="6">
        <v>0</v>
      </c>
      <c r="K976" s="6">
        <v>0</v>
      </c>
      <c r="L976" s="6">
        <v>50.558</v>
      </c>
      <c r="M976" s="6">
        <v>50.558</v>
      </c>
      <c r="N976" s="6">
        <v>50.558</v>
      </c>
      <c r="O976" s="6">
        <v>50.558</v>
      </c>
      <c r="P976" s="6">
        <v>0</v>
      </c>
      <c r="Q976" s="4" t="s">
        <v>26</v>
      </c>
      <c r="R976" s="4">
        <v>0</v>
      </c>
      <c r="S976" s="4" t="s">
        <v>347</v>
      </c>
      <c r="T976" s="4" t="s">
        <v>592</v>
      </c>
      <c r="U976" s="4">
        <v>0</v>
      </c>
      <c r="V976" s="4">
        <v>43</v>
      </c>
      <c r="W976" s="4">
        <v>80</v>
      </c>
    </row>
    <row r="977" spans="1:23" ht="11.25" customHeight="1" x14ac:dyDescent="0.25">
      <c r="A977" s="4" t="s">
        <v>28</v>
      </c>
      <c r="B977" s="4" t="s">
        <v>37</v>
      </c>
      <c r="C977" s="4" t="s">
        <v>33</v>
      </c>
      <c r="D977" s="4" t="s">
        <v>41</v>
      </c>
      <c r="E977" s="4" t="s">
        <v>25</v>
      </c>
      <c r="F977" s="4" t="s">
        <v>25</v>
      </c>
      <c r="G977" s="4" t="s">
        <v>25</v>
      </c>
      <c r="H977" s="4" t="s">
        <v>35</v>
      </c>
      <c r="I977" s="5">
        <v>44713</v>
      </c>
      <c r="J977" s="6">
        <v>0</v>
      </c>
      <c r="K977" s="6">
        <v>0</v>
      </c>
      <c r="L977" s="6">
        <v>3.012</v>
      </c>
      <c r="M977" s="6">
        <v>3.012</v>
      </c>
      <c r="N977" s="6">
        <v>3.012</v>
      </c>
      <c r="O977" s="6">
        <v>3.012</v>
      </c>
      <c r="P977" s="6">
        <v>0</v>
      </c>
      <c r="Q977" s="4" t="s">
        <v>26</v>
      </c>
      <c r="R977" s="4">
        <v>0</v>
      </c>
      <c r="S977" s="4" t="s">
        <v>347</v>
      </c>
      <c r="T977" s="4" t="s">
        <v>592</v>
      </c>
      <c r="U977" s="4">
        <v>0</v>
      </c>
      <c r="V977" s="4">
        <v>43</v>
      </c>
      <c r="W977" s="4">
        <v>80</v>
      </c>
    </row>
    <row r="978" spans="1:23" ht="11.25" customHeight="1" x14ac:dyDescent="0.25">
      <c r="A978" s="4" t="s">
        <v>21</v>
      </c>
      <c r="B978" s="4" t="s">
        <v>37</v>
      </c>
      <c r="C978" s="4" t="s">
        <v>33</v>
      </c>
      <c r="D978" s="4" t="s">
        <v>41</v>
      </c>
      <c r="E978" s="4" t="s">
        <v>25</v>
      </c>
      <c r="F978" s="4" t="s">
        <v>25</v>
      </c>
      <c r="G978" s="4" t="s">
        <v>25</v>
      </c>
      <c r="H978" s="4" t="s">
        <v>35</v>
      </c>
      <c r="I978" s="5">
        <v>44743</v>
      </c>
      <c r="J978" s="6">
        <v>0</v>
      </c>
      <c r="K978" s="6">
        <v>0</v>
      </c>
      <c r="L978" s="6">
        <v>41.808</v>
      </c>
      <c r="M978" s="6">
        <v>41.808</v>
      </c>
      <c r="N978" s="6">
        <v>41.808</v>
      </c>
      <c r="O978" s="6">
        <v>41.808</v>
      </c>
      <c r="P978" s="6">
        <v>0</v>
      </c>
      <c r="Q978" s="4" t="s">
        <v>26</v>
      </c>
      <c r="R978" s="4">
        <v>0</v>
      </c>
      <c r="S978" s="4" t="s">
        <v>348</v>
      </c>
      <c r="T978" s="4" t="s">
        <v>593</v>
      </c>
      <c r="U978" s="4">
        <v>0</v>
      </c>
      <c r="V978" s="4">
        <v>43</v>
      </c>
      <c r="W978" s="4">
        <v>80</v>
      </c>
    </row>
    <row r="979" spans="1:23" ht="11.25" customHeight="1" x14ac:dyDescent="0.25">
      <c r="A979" s="4" t="s">
        <v>28</v>
      </c>
      <c r="B979" s="4" t="s">
        <v>37</v>
      </c>
      <c r="C979" s="4" t="s">
        <v>33</v>
      </c>
      <c r="D979" s="4" t="s">
        <v>41</v>
      </c>
      <c r="E979" s="4" t="s">
        <v>25</v>
      </c>
      <c r="F979" s="4" t="s">
        <v>25</v>
      </c>
      <c r="G979" s="4" t="s">
        <v>25</v>
      </c>
      <c r="H979" s="4" t="s">
        <v>35</v>
      </c>
      <c r="I979" s="5">
        <v>44743</v>
      </c>
      <c r="J979" s="6">
        <v>0</v>
      </c>
      <c r="K979" s="6">
        <v>0</v>
      </c>
      <c r="L979" s="6">
        <v>7.38</v>
      </c>
      <c r="M979" s="6">
        <v>7.38</v>
      </c>
      <c r="N979" s="6">
        <v>7.38</v>
      </c>
      <c r="O979" s="6">
        <v>7.38</v>
      </c>
      <c r="P979" s="6">
        <v>0</v>
      </c>
      <c r="Q979" s="4" t="s">
        <v>26</v>
      </c>
      <c r="R979" s="4">
        <v>0</v>
      </c>
      <c r="S979" s="4" t="s">
        <v>348</v>
      </c>
      <c r="T979" s="4" t="s">
        <v>593</v>
      </c>
      <c r="U979" s="4">
        <v>0</v>
      </c>
      <c r="V979" s="4">
        <v>43</v>
      </c>
      <c r="W979" s="4">
        <v>80</v>
      </c>
    </row>
    <row r="980" spans="1:23" ht="11.25" customHeight="1" x14ac:dyDescent="0.25">
      <c r="A980" s="4" t="s">
        <v>56</v>
      </c>
      <c r="B980" s="4" t="s">
        <v>37</v>
      </c>
      <c r="C980" s="4" t="s">
        <v>33</v>
      </c>
      <c r="D980" s="4" t="s">
        <v>41</v>
      </c>
      <c r="E980" s="4" t="s">
        <v>25</v>
      </c>
      <c r="F980" s="4" t="s">
        <v>25</v>
      </c>
      <c r="G980" s="4" t="s">
        <v>25</v>
      </c>
      <c r="H980" s="4" t="s">
        <v>35</v>
      </c>
      <c r="I980" s="5">
        <v>44774</v>
      </c>
      <c r="J980" s="6">
        <v>0</v>
      </c>
      <c r="K980" s="6">
        <v>0</v>
      </c>
      <c r="L980" s="6">
        <v>41.808</v>
      </c>
      <c r="M980" s="6">
        <v>41.808</v>
      </c>
      <c r="N980" s="6">
        <v>41.808</v>
      </c>
      <c r="O980" s="6">
        <v>41.808</v>
      </c>
      <c r="P980" s="6">
        <v>0</v>
      </c>
      <c r="Q980" s="4" t="s">
        <v>26</v>
      </c>
      <c r="R980" s="4">
        <v>0</v>
      </c>
      <c r="S980" s="4" t="s">
        <v>349</v>
      </c>
      <c r="T980" s="4" t="s">
        <v>594</v>
      </c>
      <c r="U980" s="4">
        <v>0</v>
      </c>
      <c r="V980" s="4">
        <v>43</v>
      </c>
      <c r="W980" s="4">
        <v>80</v>
      </c>
    </row>
    <row r="981" spans="1:23" ht="11.25" customHeight="1" x14ac:dyDescent="0.25">
      <c r="A981" s="4" t="s">
        <v>56</v>
      </c>
      <c r="B981" s="4" t="s">
        <v>37</v>
      </c>
      <c r="C981" s="4" t="s">
        <v>33</v>
      </c>
      <c r="D981" s="4" t="s">
        <v>41</v>
      </c>
      <c r="E981" s="4" t="s">
        <v>25</v>
      </c>
      <c r="F981" s="4" t="s">
        <v>25</v>
      </c>
      <c r="G981" s="4" t="s">
        <v>25</v>
      </c>
      <c r="H981" s="4" t="s">
        <v>35</v>
      </c>
      <c r="I981" s="5">
        <v>44774</v>
      </c>
      <c r="J981" s="6">
        <v>0</v>
      </c>
      <c r="K981" s="6">
        <v>0</v>
      </c>
      <c r="L981" s="6">
        <v>7.38</v>
      </c>
      <c r="M981" s="6">
        <v>7.38</v>
      </c>
      <c r="N981" s="6">
        <v>7.38</v>
      </c>
      <c r="O981" s="6">
        <v>7.38</v>
      </c>
      <c r="P981" s="6">
        <v>0</v>
      </c>
      <c r="Q981" s="4" t="s">
        <v>26</v>
      </c>
      <c r="R981" s="4">
        <v>0</v>
      </c>
      <c r="S981" s="4" t="s">
        <v>349</v>
      </c>
      <c r="T981" s="4" t="s">
        <v>594</v>
      </c>
      <c r="U981" s="4">
        <v>0</v>
      </c>
      <c r="V981" s="4">
        <v>43</v>
      </c>
      <c r="W981" s="4">
        <v>80</v>
      </c>
    </row>
    <row r="982" spans="1:23" ht="11.25" customHeight="1" x14ac:dyDescent="0.25">
      <c r="A982" s="4" t="s">
        <v>21</v>
      </c>
      <c r="B982" s="4" t="s">
        <v>37</v>
      </c>
      <c r="C982" s="4" t="s">
        <v>33</v>
      </c>
      <c r="D982" s="4" t="s">
        <v>41</v>
      </c>
      <c r="E982" s="4" t="s">
        <v>25</v>
      </c>
      <c r="F982" s="4" t="s">
        <v>25</v>
      </c>
      <c r="G982" s="4" t="s">
        <v>25</v>
      </c>
      <c r="H982" s="4" t="s">
        <v>36</v>
      </c>
      <c r="I982" s="5">
        <v>44440</v>
      </c>
      <c r="J982" s="6">
        <v>0</v>
      </c>
      <c r="K982" s="6">
        <v>0</v>
      </c>
      <c r="L982" s="6">
        <v>3.05</v>
      </c>
      <c r="M982" s="6">
        <v>3.05</v>
      </c>
      <c r="N982" s="6">
        <v>3.05</v>
      </c>
      <c r="O982" s="6">
        <v>3.05</v>
      </c>
      <c r="P982" s="6">
        <v>0</v>
      </c>
      <c r="Q982" s="4" t="s">
        <v>26</v>
      </c>
      <c r="R982" s="4">
        <v>0</v>
      </c>
      <c r="S982" s="4" t="s">
        <v>350</v>
      </c>
      <c r="T982" s="4" t="s">
        <v>595</v>
      </c>
      <c r="U982" s="4">
        <v>0</v>
      </c>
      <c r="V982" s="4">
        <v>42</v>
      </c>
      <c r="W982" s="4">
        <v>79</v>
      </c>
    </row>
    <row r="983" spans="1:23" ht="11.25" customHeight="1" x14ac:dyDescent="0.25">
      <c r="A983" s="4" t="s">
        <v>28</v>
      </c>
      <c r="B983" s="4" t="s">
        <v>37</v>
      </c>
      <c r="C983" s="4" t="s">
        <v>33</v>
      </c>
      <c r="D983" s="4" t="s">
        <v>41</v>
      </c>
      <c r="E983" s="4" t="s">
        <v>25</v>
      </c>
      <c r="F983" s="4" t="s">
        <v>25</v>
      </c>
      <c r="G983" s="4" t="s">
        <v>25</v>
      </c>
      <c r="H983" s="4" t="s">
        <v>36</v>
      </c>
      <c r="I983" s="5">
        <v>44440</v>
      </c>
      <c r="J983" s="6">
        <v>0</v>
      </c>
      <c r="K983" s="6">
        <v>0</v>
      </c>
      <c r="L983" s="6">
        <v>0.152</v>
      </c>
      <c r="M983" s="6">
        <v>0.152</v>
      </c>
      <c r="N983" s="6">
        <v>0.152</v>
      </c>
      <c r="O983" s="6">
        <v>0.152</v>
      </c>
      <c r="P983" s="6">
        <v>0</v>
      </c>
      <c r="Q983" s="4" t="s">
        <v>26</v>
      </c>
      <c r="R983" s="4">
        <v>0</v>
      </c>
      <c r="S983" s="4" t="s">
        <v>350</v>
      </c>
      <c r="T983" s="4" t="s">
        <v>595</v>
      </c>
      <c r="U983" s="4">
        <v>0</v>
      </c>
      <c r="V983" s="4">
        <v>42</v>
      </c>
      <c r="W983" s="4">
        <v>79</v>
      </c>
    </row>
    <row r="984" spans="1:23" ht="11.25" customHeight="1" x14ac:dyDescent="0.25">
      <c r="A984" s="4" t="s">
        <v>21</v>
      </c>
      <c r="B984" s="4" t="s">
        <v>37</v>
      </c>
      <c r="C984" s="4" t="s">
        <v>33</v>
      </c>
      <c r="D984" s="4" t="s">
        <v>41</v>
      </c>
      <c r="E984" s="4" t="s">
        <v>25</v>
      </c>
      <c r="F984" s="4" t="s">
        <v>25</v>
      </c>
      <c r="G984" s="4" t="s">
        <v>25</v>
      </c>
      <c r="H984" s="4" t="s">
        <v>36</v>
      </c>
      <c r="I984" s="5">
        <v>44470</v>
      </c>
      <c r="J984" s="6">
        <v>0</v>
      </c>
      <c r="K984" s="6">
        <v>0</v>
      </c>
      <c r="L984" s="6">
        <v>3.4049999999999998</v>
      </c>
      <c r="M984" s="6">
        <v>3.4049999999999998</v>
      </c>
      <c r="N984" s="6">
        <v>3.4049999999999998</v>
      </c>
      <c r="O984" s="6">
        <v>3.4049999999999998</v>
      </c>
      <c r="P984" s="6">
        <v>0</v>
      </c>
      <c r="Q984" s="4" t="s">
        <v>26</v>
      </c>
      <c r="R984" s="4">
        <v>0</v>
      </c>
      <c r="S984" s="4" t="s">
        <v>351</v>
      </c>
      <c r="T984" s="4" t="s">
        <v>596</v>
      </c>
      <c r="U984" s="4">
        <v>0</v>
      </c>
      <c r="V984" s="4">
        <v>42</v>
      </c>
      <c r="W984" s="4">
        <v>79</v>
      </c>
    </row>
    <row r="985" spans="1:23" ht="11.25" customHeight="1" x14ac:dyDescent="0.25">
      <c r="A985" s="4" t="s">
        <v>28</v>
      </c>
      <c r="B985" s="4" t="s">
        <v>37</v>
      </c>
      <c r="C985" s="4" t="s">
        <v>33</v>
      </c>
      <c r="D985" s="4" t="s">
        <v>41</v>
      </c>
      <c r="E985" s="4" t="s">
        <v>25</v>
      </c>
      <c r="F985" s="4" t="s">
        <v>25</v>
      </c>
      <c r="G985" s="4" t="s">
        <v>25</v>
      </c>
      <c r="H985" s="4" t="s">
        <v>36</v>
      </c>
      <c r="I985" s="5">
        <v>44470</v>
      </c>
      <c r="J985" s="6">
        <v>0</v>
      </c>
      <c r="K985" s="6">
        <v>0</v>
      </c>
      <c r="L985" s="6">
        <v>0.111</v>
      </c>
      <c r="M985" s="6">
        <v>0.111</v>
      </c>
      <c r="N985" s="6">
        <v>0.111</v>
      </c>
      <c r="O985" s="6">
        <v>0.111</v>
      </c>
      <c r="P985" s="6">
        <v>0</v>
      </c>
      <c r="Q985" s="4" t="s">
        <v>26</v>
      </c>
      <c r="R985" s="4">
        <v>0</v>
      </c>
      <c r="S985" s="4" t="s">
        <v>351</v>
      </c>
      <c r="T985" s="4" t="s">
        <v>596</v>
      </c>
      <c r="U985" s="4">
        <v>0</v>
      </c>
      <c r="V985" s="4">
        <v>42</v>
      </c>
      <c r="W985" s="4">
        <v>79</v>
      </c>
    </row>
    <row r="986" spans="1:23" ht="11.25" customHeight="1" x14ac:dyDescent="0.25">
      <c r="A986" s="4" t="s">
        <v>21</v>
      </c>
      <c r="B986" s="4" t="s">
        <v>37</v>
      </c>
      <c r="C986" s="4" t="s">
        <v>33</v>
      </c>
      <c r="D986" s="4" t="s">
        <v>41</v>
      </c>
      <c r="E986" s="4" t="s">
        <v>25</v>
      </c>
      <c r="F986" s="4" t="s">
        <v>25</v>
      </c>
      <c r="G986" s="4" t="s">
        <v>25</v>
      </c>
      <c r="H986" s="4" t="s">
        <v>36</v>
      </c>
      <c r="I986" s="5">
        <v>44501</v>
      </c>
      <c r="J986" s="6">
        <v>0</v>
      </c>
      <c r="K986" s="6">
        <v>0</v>
      </c>
      <c r="L986" s="6">
        <v>7.4189999999999996</v>
      </c>
      <c r="M986" s="6">
        <v>7.4189999999999996</v>
      </c>
      <c r="N986" s="6">
        <v>7.4189999999999996</v>
      </c>
      <c r="O986" s="6">
        <v>7.4189999999999996</v>
      </c>
      <c r="P986" s="6">
        <v>0</v>
      </c>
      <c r="Q986" s="4" t="s">
        <v>26</v>
      </c>
      <c r="R986" s="4">
        <v>0</v>
      </c>
      <c r="S986" s="4" t="s">
        <v>352</v>
      </c>
      <c r="T986" s="4" t="s">
        <v>597</v>
      </c>
      <c r="U986" s="4">
        <v>0</v>
      </c>
      <c r="V986" s="4">
        <v>42</v>
      </c>
      <c r="W986" s="4">
        <v>79</v>
      </c>
    </row>
    <row r="987" spans="1:23" ht="11.25" customHeight="1" x14ac:dyDescent="0.25">
      <c r="A987" s="4" t="s">
        <v>28</v>
      </c>
      <c r="B987" s="4" t="s">
        <v>37</v>
      </c>
      <c r="C987" s="4" t="s">
        <v>33</v>
      </c>
      <c r="D987" s="4" t="s">
        <v>41</v>
      </c>
      <c r="E987" s="4" t="s">
        <v>25</v>
      </c>
      <c r="F987" s="4" t="s">
        <v>25</v>
      </c>
      <c r="G987" s="4" t="s">
        <v>25</v>
      </c>
      <c r="H987" s="4" t="s">
        <v>36</v>
      </c>
      <c r="I987" s="5">
        <v>44501</v>
      </c>
      <c r="J987" s="6">
        <v>0</v>
      </c>
      <c r="K987" s="6">
        <v>0</v>
      </c>
      <c r="L987" s="6">
        <v>0.153</v>
      </c>
      <c r="M987" s="6">
        <v>0.153</v>
      </c>
      <c r="N987" s="6">
        <v>0.153</v>
      </c>
      <c r="O987" s="6">
        <v>0.153</v>
      </c>
      <c r="P987" s="6">
        <v>0</v>
      </c>
      <c r="Q987" s="4" t="s">
        <v>26</v>
      </c>
      <c r="R987" s="4">
        <v>0</v>
      </c>
      <c r="S987" s="4" t="s">
        <v>352</v>
      </c>
      <c r="T987" s="4" t="s">
        <v>597</v>
      </c>
      <c r="U987" s="4">
        <v>0</v>
      </c>
      <c r="V987" s="4">
        <v>42</v>
      </c>
      <c r="W987" s="4">
        <v>79</v>
      </c>
    </row>
    <row r="988" spans="1:23" ht="11.25" customHeight="1" x14ac:dyDescent="0.25">
      <c r="A988" s="4" t="s">
        <v>21</v>
      </c>
      <c r="B988" s="4" t="s">
        <v>37</v>
      </c>
      <c r="C988" s="4" t="s">
        <v>33</v>
      </c>
      <c r="D988" s="4" t="s">
        <v>41</v>
      </c>
      <c r="E988" s="4" t="s">
        <v>25</v>
      </c>
      <c r="F988" s="4" t="s">
        <v>25</v>
      </c>
      <c r="G988" s="4" t="s">
        <v>25</v>
      </c>
      <c r="H988" s="4" t="s">
        <v>36</v>
      </c>
      <c r="I988" s="5">
        <v>44531</v>
      </c>
      <c r="J988" s="6">
        <v>0</v>
      </c>
      <c r="K988" s="6">
        <v>0</v>
      </c>
      <c r="L988" s="6">
        <v>5.024</v>
      </c>
      <c r="M988" s="6">
        <v>5.024</v>
      </c>
      <c r="N988" s="6">
        <v>5.024</v>
      </c>
      <c r="O988" s="6">
        <v>5.024</v>
      </c>
      <c r="P988" s="6">
        <v>0</v>
      </c>
      <c r="Q988" s="4" t="s">
        <v>26</v>
      </c>
      <c r="R988" s="4">
        <v>0</v>
      </c>
      <c r="S988" s="4" t="s">
        <v>353</v>
      </c>
      <c r="T988" s="4" t="s">
        <v>598</v>
      </c>
      <c r="U988" s="4">
        <v>0</v>
      </c>
      <c r="V988" s="4">
        <v>42</v>
      </c>
      <c r="W988" s="4">
        <v>79</v>
      </c>
    </row>
    <row r="989" spans="1:23" ht="11.25" customHeight="1" x14ac:dyDescent="0.25">
      <c r="A989" s="4" t="s">
        <v>27</v>
      </c>
      <c r="B989" s="4" t="s">
        <v>37</v>
      </c>
      <c r="C989" s="4" t="s">
        <v>33</v>
      </c>
      <c r="D989" s="4" t="s">
        <v>41</v>
      </c>
      <c r="E989" s="4" t="s">
        <v>25</v>
      </c>
      <c r="F989" s="4" t="s">
        <v>25</v>
      </c>
      <c r="G989" s="4" t="s">
        <v>25</v>
      </c>
      <c r="H989" s="4" t="s">
        <v>36</v>
      </c>
      <c r="I989" s="5">
        <v>44531</v>
      </c>
      <c r="J989" s="6">
        <v>0</v>
      </c>
      <c r="K989" s="6">
        <v>0</v>
      </c>
      <c r="L989" s="6">
        <v>-4.093</v>
      </c>
      <c r="M989" s="6">
        <v>-4.093</v>
      </c>
      <c r="N989" s="6">
        <v>-4.093</v>
      </c>
      <c r="O989" s="6">
        <v>-4.093</v>
      </c>
      <c r="P989" s="6">
        <v>0</v>
      </c>
      <c r="Q989" s="4" t="s">
        <v>26</v>
      </c>
      <c r="R989" s="4">
        <v>0</v>
      </c>
      <c r="S989" s="4" t="s">
        <v>353</v>
      </c>
      <c r="T989" s="4" t="s">
        <v>598</v>
      </c>
      <c r="U989" s="4">
        <v>0</v>
      </c>
      <c r="V989" s="4">
        <v>42</v>
      </c>
      <c r="W989" s="4">
        <v>79</v>
      </c>
    </row>
    <row r="990" spans="1:23" ht="11.25" customHeight="1" x14ac:dyDescent="0.25">
      <c r="A990" s="4" t="s">
        <v>28</v>
      </c>
      <c r="B990" s="4" t="s">
        <v>37</v>
      </c>
      <c r="C990" s="4" t="s">
        <v>33</v>
      </c>
      <c r="D990" s="4" t="s">
        <v>41</v>
      </c>
      <c r="E990" s="4" t="s">
        <v>25</v>
      </c>
      <c r="F990" s="4" t="s">
        <v>25</v>
      </c>
      <c r="G990" s="4" t="s">
        <v>25</v>
      </c>
      <c r="H990" s="4" t="s">
        <v>36</v>
      </c>
      <c r="I990" s="5">
        <v>44531</v>
      </c>
      <c r="J990" s="6">
        <v>0</v>
      </c>
      <c r="K990" s="6">
        <v>0</v>
      </c>
      <c r="L990" s="6">
        <v>3.4000000000000002E-2</v>
      </c>
      <c r="M990" s="6">
        <v>3.4000000000000002E-2</v>
      </c>
      <c r="N990" s="6">
        <v>3.4000000000000002E-2</v>
      </c>
      <c r="O990" s="6">
        <v>3.4000000000000002E-2</v>
      </c>
      <c r="P990" s="6">
        <v>0</v>
      </c>
      <c r="Q990" s="4" t="s">
        <v>26</v>
      </c>
      <c r="R990" s="4">
        <v>0</v>
      </c>
      <c r="S990" s="4" t="s">
        <v>353</v>
      </c>
      <c r="T990" s="4" t="s">
        <v>598</v>
      </c>
      <c r="U990" s="4">
        <v>0</v>
      </c>
      <c r="V990" s="4">
        <v>42</v>
      </c>
      <c r="W990" s="4">
        <v>79</v>
      </c>
    </row>
    <row r="991" spans="1:23" ht="11.25" customHeight="1" x14ac:dyDescent="0.25">
      <c r="A991" s="4" t="s">
        <v>21</v>
      </c>
      <c r="B991" s="4" t="s">
        <v>37</v>
      </c>
      <c r="C991" s="4" t="s">
        <v>33</v>
      </c>
      <c r="D991" s="4" t="s">
        <v>41</v>
      </c>
      <c r="E991" s="4" t="s">
        <v>25</v>
      </c>
      <c r="F991" s="4" t="s">
        <v>25</v>
      </c>
      <c r="G991" s="4" t="s">
        <v>25</v>
      </c>
      <c r="H991" s="4" t="s">
        <v>36</v>
      </c>
      <c r="I991" s="5">
        <v>44562</v>
      </c>
      <c r="J991" s="6">
        <v>0</v>
      </c>
      <c r="K991" s="6">
        <v>0</v>
      </c>
      <c r="L991" s="6">
        <v>3.8839999999999999</v>
      </c>
      <c r="M991" s="6">
        <v>3.8839999999999999</v>
      </c>
      <c r="N991" s="6">
        <v>3.8839999999999999</v>
      </c>
      <c r="O991" s="6">
        <v>3.8839999999999999</v>
      </c>
      <c r="P991" s="6">
        <v>0</v>
      </c>
      <c r="Q991" s="4" t="s">
        <v>26</v>
      </c>
      <c r="R991" s="4">
        <v>0</v>
      </c>
      <c r="S991" s="4" t="s">
        <v>354</v>
      </c>
      <c r="T991" s="4" t="s">
        <v>599</v>
      </c>
      <c r="U991" s="4">
        <v>0</v>
      </c>
      <c r="V991" s="4">
        <v>42</v>
      </c>
      <c r="W991" s="4">
        <v>79</v>
      </c>
    </row>
    <row r="992" spans="1:23" ht="11.25" customHeight="1" x14ac:dyDescent="0.25">
      <c r="A992" s="4" t="s">
        <v>28</v>
      </c>
      <c r="B992" s="4" t="s">
        <v>37</v>
      </c>
      <c r="C992" s="4" t="s">
        <v>33</v>
      </c>
      <c r="D992" s="4" t="s">
        <v>41</v>
      </c>
      <c r="E992" s="4" t="s">
        <v>25</v>
      </c>
      <c r="F992" s="4" t="s">
        <v>25</v>
      </c>
      <c r="G992" s="4" t="s">
        <v>25</v>
      </c>
      <c r="H992" s="4" t="s">
        <v>36</v>
      </c>
      <c r="I992" s="5">
        <v>44562</v>
      </c>
      <c r="J992" s="6">
        <v>0</v>
      </c>
      <c r="K992" s="6">
        <v>0</v>
      </c>
      <c r="L992" s="6">
        <v>0.115</v>
      </c>
      <c r="M992" s="6">
        <v>0.115</v>
      </c>
      <c r="N992" s="6">
        <v>0.115</v>
      </c>
      <c r="O992" s="6">
        <v>0.115</v>
      </c>
      <c r="P992" s="6">
        <v>0</v>
      </c>
      <c r="Q992" s="4" t="s">
        <v>26</v>
      </c>
      <c r="R992" s="4">
        <v>0</v>
      </c>
      <c r="S992" s="4" t="s">
        <v>354</v>
      </c>
      <c r="T992" s="4" t="s">
        <v>599</v>
      </c>
      <c r="U992" s="4">
        <v>0</v>
      </c>
      <c r="V992" s="4">
        <v>42</v>
      </c>
      <c r="W992" s="4">
        <v>79</v>
      </c>
    </row>
    <row r="993" spans="1:23" ht="11.25" customHeight="1" x14ac:dyDescent="0.25">
      <c r="A993" s="4" t="s">
        <v>21</v>
      </c>
      <c r="B993" s="4" t="s">
        <v>37</v>
      </c>
      <c r="C993" s="4" t="s">
        <v>33</v>
      </c>
      <c r="D993" s="4" t="s">
        <v>41</v>
      </c>
      <c r="E993" s="4" t="s">
        <v>25</v>
      </c>
      <c r="F993" s="4" t="s">
        <v>25</v>
      </c>
      <c r="G993" s="4" t="s">
        <v>25</v>
      </c>
      <c r="H993" s="4" t="s">
        <v>36</v>
      </c>
      <c r="I993" s="5">
        <v>44593</v>
      </c>
      <c r="J993" s="6">
        <v>0</v>
      </c>
      <c r="K993" s="6">
        <v>0</v>
      </c>
      <c r="L993" s="6">
        <v>5.4889999999999999</v>
      </c>
      <c r="M993" s="6">
        <v>5.4889999999999999</v>
      </c>
      <c r="N993" s="6">
        <v>5.4889999999999999</v>
      </c>
      <c r="O993" s="6">
        <v>5.4889999999999999</v>
      </c>
      <c r="P993" s="6">
        <v>0</v>
      </c>
      <c r="Q993" s="4" t="s">
        <v>26</v>
      </c>
      <c r="R993" s="4">
        <v>0</v>
      </c>
      <c r="S993" s="4" t="s">
        <v>355</v>
      </c>
      <c r="T993" s="4" t="s">
        <v>600</v>
      </c>
      <c r="U993" s="4">
        <v>0</v>
      </c>
      <c r="V993" s="4">
        <v>42</v>
      </c>
      <c r="W993" s="4">
        <v>79</v>
      </c>
    </row>
    <row r="994" spans="1:23" ht="11.25" customHeight="1" x14ac:dyDescent="0.25">
      <c r="A994" s="4" t="s">
        <v>28</v>
      </c>
      <c r="B994" s="4" t="s">
        <v>37</v>
      </c>
      <c r="C994" s="4" t="s">
        <v>33</v>
      </c>
      <c r="D994" s="4" t="s">
        <v>41</v>
      </c>
      <c r="E994" s="4" t="s">
        <v>25</v>
      </c>
      <c r="F994" s="4" t="s">
        <v>25</v>
      </c>
      <c r="G994" s="4" t="s">
        <v>25</v>
      </c>
      <c r="H994" s="4" t="s">
        <v>36</v>
      </c>
      <c r="I994" s="5">
        <v>44593</v>
      </c>
      <c r="J994" s="6">
        <v>0</v>
      </c>
      <c r="K994" s="6">
        <v>0</v>
      </c>
      <c r="L994" s="6">
        <v>0.11700000000000001</v>
      </c>
      <c r="M994" s="6">
        <v>0.11700000000000001</v>
      </c>
      <c r="N994" s="6">
        <v>0.11700000000000001</v>
      </c>
      <c r="O994" s="6">
        <v>0.11700000000000001</v>
      </c>
      <c r="P994" s="6">
        <v>0</v>
      </c>
      <c r="Q994" s="4" t="s">
        <v>26</v>
      </c>
      <c r="R994" s="4">
        <v>0</v>
      </c>
      <c r="S994" s="4" t="s">
        <v>355</v>
      </c>
      <c r="T994" s="4" t="s">
        <v>600</v>
      </c>
      <c r="U994" s="4">
        <v>0</v>
      </c>
      <c r="V994" s="4">
        <v>42</v>
      </c>
      <c r="W994" s="4">
        <v>79</v>
      </c>
    </row>
    <row r="995" spans="1:23" ht="11.25" customHeight="1" x14ac:dyDescent="0.25">
      <c r="A995" s="4" t="s">
        <v>21</v>
      </c>
      <c r="B995" s="4" t="s">
        <v>37</v>
      </c>
      <c r="C995" s="4" t="s">
        <v>33</v>
      </c>
      <c r="D995" s="4" t="s">
        <v>41</v>
      </c>
      <c r="E995" s="4" t="s">
        <v>25</v>
      </c>
      <c r="F995" s="4" t="s">
        <v>25</v>
      </c>
      <c r="G995" s="4" t="s">
        <v>25</v>
      </c>
      <c r="H995" s="4" t="s">
        <v>36</v>
      </c>
      <c r="I995" s="5">
        <v>44621</v>
      </c>
      <c r="J995" s="6">
        <v>0</v>
      </c>
      <c r="K995" s="6">
        <v>0</v>
      </c>
      <c r="L995" s="6">
        <v>4.4260000000000002</v>
      </c>
      <c r="M995" s="6">
        <v>4.4260000000000002</v>
      </c>
      <c r="N995" s="6">
        <v>4.4260000000000002</v>
      </c>
      <c r="O995" s="6">
        <v>4.4260000000000002</v>
      </c>
      <c r="P995" s="6">
        <v>0</v>
      </c>
      <c r="Q995" s="4" t="s">
        <v>26</v>
      </c>
      <c r="R995" s="4">
        <v>0</v>
      </c>
      <c r="S995" s="4" t="s">
        <v>356</v>
      </c>
      <c r="T995" s="4" t="s">
        <v>601</v>
      </c>
      <c r="U995" s="4">
        <v>0</v>
      </c>
      <c r="V995" s="4">
        <v>42</v>
      </c>
      <c r="W995" s="4">
        <v>79</v>
      </c>
    </row>
    <row r="996" spans="1:23" ht="11.25" customHeight="1" x14ac:dyDescent="0.25">
      <c r="A996" s="4" t="s">
        <v>27</v>
      </c>
      <c r="B996" s="4" t="s">
        <v>37</v>
      </c>
      <c r="C996" s="4" t="s">
        <v>33</v>
      </c>
      <c r="D996" s="4" t="s">
        <v>41</v>
      </c>
      <c r="E996" s="4" t="s">
        <v>25</v>
      </c>
      <c r="F996" s="4" t="s">
        <v>25</v>
      </c>
      <c r="G996" s="4" t="s">
        <v>25</v>
      </c>
      <c r="H996" s="4" t="s">
        <v>36</v>
      </c>
      <c r="I996" s="5">
        <v>44621</v>
      </c>
      <c r="J996" s="6">
        <v>0</v>
      </c>
      <c r="K996" s="6">
        <v>0</v>
      </c>
      <c r="L996" s="6">
        <v>-0.96</v>
      </c>
      <c r="M996" s="6">
        <v>-0.96</v>
      </c>
      <c r="N996" s="6">
        <v>-0.96</v>
      </c>
      <c r="O996" s="6">
        <v>-0.96</v>
      </c>
      <c r="P996" s="6">
        <v>0</v>
      </c>
      <c r="Q996" s="4" t="s">
        <v>26</v>
      </c>
      <c r="R996" s="4">
        <v>0</v>
      </c>
      <c r="S996" s="4" t="s">
        <v>356</v>
      </c>
      <c r="T996" s="4" t="s">
        <v>601</v>
      </c>
      <c r="U996" s="4">
        <v>0</v>
      </c>
      <c r="V996" s="4">
        <v>42</v>
      </c>
      <c r="W996" s="4">
        <v>79</v>
      </c>
    </row>
    <row r="997" spans="1:23" ht="11.25" customHeight="1" x14ac:dyDescent="0.25">
      <c r="A997" s="4" t="s">
        <v>28</v>
      </c>
      <c r="B997" s="4" t="s">
        <v>37</v>
      </c>
      <c r="C997" s="4" t="s">
        <v>33</v>
      </c>
      <c r="D997" s="4" t="s">
        <v>41</v>
      </c>
      <c r="E997" s="4" t="s">
        <v>25</v>
      </c>
      <c r="F997" s="4" t="s">
        <v>25</v>
      </c>
      <c r="G997" s="4" t="s">
        <v>25</v>
      </c>
      <c r="H997" s="4" t="s">
        <v>36</v>
      </c>
      <c r="I997" s="5">
        <v>44621</v>
      </c>
      <c r="J997" s="6">
        <v>0</v>
      </c>
      <c r="K997" s="6">
        <v>0</v>
      </c>
      <c r="L997" s="6">
        <v>4.2000000000000003E-2</v>
      </c>
      <c r="M997" s="6">
        <v>4.2000000000000003E-2</v>
      </c>
      <c r="N997" s="6">
        <v>4.2000000000000003E-2</v>
      </c>
      <c r="O997" s="6">
        <v>4.2000000000000003E-2</v>
      </c>
      <c r="P997" s="6">
        <v>0</v>
      </c>
      <c r="Q997" s="4" t="s">
        <v>26</v>
      </c>
      <c r="R997" s="4">
        <v>0</v>
      </c>
      <c r="S997" s="4" t="s">
        <v>356</v>
      </c>
      <c r="T997" s="4" t="s">
        <v>601</v>
      </c>
      <c r="U997" s="4">
        <v>0</v>
      </c>
      <c r="V997" s="4">
        <v>42</v>
      </c>
      <c r="W997" s="4">
        <v>79</v>
      </c>
    </row>
    <row r="998" spans="1:23" ht="11.25" customHeight="1" x14ac:dyDescent="0.25">
      <c r="A998" s="4" t="s">
        <v>21</v>
      </c>
      <c r="B998" s="4" t="s">
        <v>37</v>
      </c>
      <c r="C998" s="4" t="s">
        <v>33</v>
      </c>
      <c r="D998" s="4" t="s">
        <v>41</v>
      </c>
      <c r="E998" s="4" t="s">
        <v>25</v>
      </c>
      <c r="F998" s="4" t="s">
        <v>25</v>
      </c>
      <c r="G998" s="4" t="s">
        <v>25</v>
      </c>
      <c r="H998" s="4" t="s">
        <v>36</v>
      </c>
      <c r="I998" s="5">
        <v>44652</v>
      </c>
      <c r="J998" s="6">
        <v>0</v>
      </c>
      <c r="K998" s="6">
        <v>0</v>
      </c>
      <c r="L998" s="6">
        <v>4.2560000000000002</v>
      </c>
      <c r="M998" s="6">
        <v>4.2560000000000002</v>
      </c>
      <c r="N998" s="6">
        <v>4.2560000000000002</v>
      </c>
      <c r="O998" s="6">
        <v>4.2560000000000002</v>
      </c>
      <c r="P998" s="6">
        <v>0</v>
      </c>
      <c r="Q998" s="4" t="s">
        <v>26</v>
      </c>
      <c r="R998" s="4">
        <v>0</v>
      </c>
      <c r="S998" s="4" t="s">
        <v>357</v>
      </c>
      <c r="T998" s="4" t="s">
        <v>602</v>
      </c>
      <c r="U998" s="4">
        <v>0</v>
      </c>
      <c r="V998" s="4">
        <v>42</v>
      </c>
      <c r="W998" s="4">
        <v>79</v>
      </c>
    </row>
    <row r="999" spans="1:23" ht="11.25" customHeight="1" x14ac:dyDescent="0.25">
      <c r="A999" s="4" t="s">
        <v>28</v>
      </c>
      <c r="B999" s="4" t="s">
        <v>37</v>
      </c>
      <c r="C999" s="4" t="s">
        <v>33</v>
      </c>
      <c r="D999" s="4" t="s">
        <v>41</v>
      </c>
      <c r="E999" s="4" t="s">
        <v>25</v>
      </c>
      <c r="F999" s="4" t="s">
        <v>25</v>
      </c>
      <c r="G999" s="4" t="s">
        <v>25</v>
      </c>
      <c r="H999" s="4" t="s">
        <v>36</v>
      </c>
      <c r="I999" s="5">
        <v>44652</v>
      </c>
      <c r="J999" s="6">
        <v>0</v>
      </c>
      <c r="K999" s="6">
        <v>0</v>
      </c>
      <c r="L999" s="6">
        <v>0.124</v>
      </c>
      <c r="M999" s="6">
        <v>0.124</v>
      </c>
      <c r="N999" s="6">
        <v>0.124</v>
      </c>
      <c r="O999" s="6">
        <v>0.124</v>
      </c>
      <c r="P999" s="6">
        <v>0</v>
      </c>
      <c r="Q999" s="4" t="s">
        <v>26</v>
      </c>
      <c r="R999" s="4">
        <v>0</v>
      </c>
      <c r="S999" s="4" t="s">
        <v>357</v>
      </c>
      <c r="T999" s="4" t="s">
        <v>602</v>
      </c>
      <c r="U999" s="4">
        <v>0</v>
      </c>
      <c r="V999" s="4">
        <v>42</v>
      </c>
      <c r="W999" s="4">
        <v>79</v>
      </c>
    </row>
    <row r="1000" spans="1:23" ht="11.25" customHeight="1" x14ac:dyDescent="0.25">
      <c r="A1000" s="4" t="s">
        <v>21</v>
      </c>
      <c r="B1000" s="4" t="s">
        <v>37</v>
      </c>
      <c r="C1000" s="4" t="s">
        <v>33</v>
      </c>
      <c r="D1000" s="4" t="s">
        <v>41</v>
      </c>
      <c r="E1000" s="4" t="s">
        <v>25</v>
      </c>
      <c r="F1000" s="4" t="s">
        <v>25</v>
      </c>
      <c r="G1000" s="4" t="s">
        <v>25</v>
      </c>
      <c r="H1000" s="4" t="s">
        <v>36</v>
      </c>
      <c r="I1000" s="5">
        <v>44682</v>
      </c>
      <c r="J1000" s="6">
        <v>0</v>
      </c>
      <c r="K1000" s="6">
        <v>0</v>
      </c>
      <c r="L1000" s="6">
        <v>3.5950000000000002</v>
      </c>
      <c r="M1000" s="6">
        <v>3.5950000000000002</v>
      </c>
      <c r="N1000" s="6">
        <v>3.5950000000000002</v>
      </c>
      <c r="O1000" s="6">
        <v>3.5950000000000002</v>
      </c>
      <c r="P1000" s="6">
        <v>0</v>
      </c>
      <c r="Q1000" s="4" t="s">
        <v>26</v>
      </c>
      <c r="R1000" s="4">
        <v>0</v>
      </c>
      <c r="S1000" s="4" t="s">
        <v>358</v>
      </c>
      <c r="T1000" s="4" t="s">
        <v>603</v>
      </c>
      <c r="U1000" s="4">
        <v>0</v>
      </c>
      <c r="V1000" s="4">
        <v>42</v>
      </c>
      <c r="W1000" s="4">
        <v>79</v>
      </c>
    </row>
    <row r="1001" spans="1:23" ht="11.25" customHeight="1" x14ac:dyDescent="0.25">
      <c r="A1001" s="4" t="s">
        <v>28</v>
      </c>
      <c r="B1001" s="4" t="s">
        <v>37</v>
      </c>
      <c r="C1001" s="4" t="s">
        <v>33</v>
      </c>
      <c r="D1001" s="4" t="s">
        <v>41</v>
      </c>
      <c r="E1001" s="4" t="s">
        <v>25</v>
      </c>
      <c r="F1001" s="4" t="s">
        <v>25</v>
      </c>
      <c r="G1001" s="4" t="s">
        <v>25</v>
      </c>
      <c r="H1001" s="4" t="s">
        <v>36</v>
      </c>
      <c r="I1001" s="5">
        <v>44682</v>
      </c>
      <c r="J1001" s="6">
        <v>0</v>
      </c>
      <c r="K1001" s="6">
        <v>0</v>
      </c>
      <c r="L1001" s="6">
        <v>0.20599999999999999</v>
      </c>
      <c r="M1001" s="6">
        <v>0.20599999999999999</v>
      </c>
      <c r="N1001" s="6">
        <v>0.20599999999999999</v>
      </c>
      <c r="O1001" s="6">
        <v>0.20599999999999999</v>
      </c>
      <c r="P1001" s="6">
        <v>0</v>
      </c>
      <c r="Q1001" s="4" t="s">
        <v>26</v>
      </c>
      <c r="R1001" s="4">
        <v>0</v>
      </c>
      <c r="S1001" s="4" t="s">
        <v>358</v>
      </c>
      <c r="T1001" s="4" t="s">
        <v>603</v>
      </c>
      <c r="U1001" s="4">
        <v>0</v>
      </c>
      <c r="V1001" s="4">
        <v>42</v>
      </c>
      <c r="W1001" s="4">
        <v>79</v>
      </c>
    </row>
    <row r="1002" spans="1:23" ht="11.25" customHeight="1" x14ac:dyDescent="0.25">
      <c r="A1002" s="4" t="s">
        <v>21</v>
      </c>
      <c r="B1002" s="4" t="s">
        <v>37</v>
      </c>
      <c r="C1002" s="4" t="s">
        <v>33</v>
      </c>
      <c r="D1002" s="4" t="s">
        <v>41</v>
      </c>
      <c r="E1002" s="4" t="s">
        <v>25</v>
      </c>
      <c r="F1002" s="4" t="s">
        <v>25</v>
      </c>
      <c r="G1002" s="4" t="s">
        <v>25</v>
      </c>
      <c r="H1002" s="4" t="s">
        <v>36</v>
      </c>
      <c r="I1002" s="5">
        <v>44713</v>
      </c>
      <c r="J1002" s="6">
        <v>0</v>
      </c>
      <c r="K1002" s="6">
        <v>0</v>
      </c>
      <c r="L1002" s="6">
        <v>2.8490000000000002</v>
      </c>
      <c r="M1002" s="6">
        <v>2.8490000000000002</v>
      </c>
      <c r="N1002" s="6">
        <v>2.8490000000000002</v>
      </c>
      <c r="O1002" s="6">
        <v>2.8490000000000002</v>
      </c>
      <c r="P1002" s="6">
        <v>0</v>
      </c>
      <c r="Q1002" s="4" t="s">
        <v>26</v>
      </c>
      <c r="R1002" s="4">
        <v>0</v>
      </c>
      <c r="S1002" s="4" t="s">
        <v>359</v>
      </c>
      <c r="T1002" s="4" t="s">
        <v>604</v>
      </c>
      <c r="U1002" s="4">
        <v>0</v>
      </c>
      <c r="V1002" s="4">
        <v>42</v>
      </c>
      <c r="W1002" s="4">
        <v>79</v>
      </c>
    </row>
    <row r="1003" spans="1:23" ht="11.25" customHeight="1" x14ac:dyDescent="0.25">
      <c r="A1003" s="4" t="s">
        <v>28</v>
      </c>
      <c r="B1003" s="4" t="s">
        <v>37</v>
      </c>
      <c r="C1003" s="4" t="s">
        <v>33</v>
      </c>
      <c r="D1003" s="4" t="s">
        <v>41</v>
      </c>
      <c r="E1003" s="4" t="s">
        <v>25</v>
      </c>
      <c r="F1003" s="4" t="s">
        <v>25</v>
      </c>
      <c r="G1003" s="4" t="s">
        <v>25</v>
      </c>
      <c r="H1003" s="4" t="s">
        <v>36</v>
      </c>
      <c r="I1003" s="5">
        <v>44713</v>
      </c>
      <c r="J1003" s="6">
        <v>0</v>
      </c>
      <c r="K1003" s="6">
        <v>0</v>
      </c>
      <c r="L1003" s="6">
        <v>9.6000000000000002E-2</v>
      </c>
      <c r="M1003" s="6">
        <v>9.6000000000000002E-2</v>
      </c>
      <c r="N1003" s="6">
        <v>9.6000000000000002E-2</v>
      </c>
      <c r="O1003" s="6">
        <v>9.6000000000000002E-2</v>
      </c>
      <c r="P1003" s="6">
        <v>0</v>
      </c>
      <c r="Q1003" s="4" t="s">
        <v>26</v>
      </c>
      <c r="R1003" s="4">
        <v>0</v>
      </c>
      <c r="S1003" s="4" t="s">
        <v>359</v>
      </c>
      <c r="T1003" s="4" t="s">
        <v>604</v>
      </c>
      <c r="U1003" s="4">
        <v>0</v>
      </c>
      <c r="V1003" s="4">
        <v>42</v>
      </c>
      <c r="W1003" s="4">
        <v>79</v>
      </c>
    </row>
    <row r="1004" spans="1:23" ht="11.25" customHeight="1" x14ac:dyDescent="0.25">
      <c r="A1004" s="4" t="s">
        <v>21</v>
      </c>
      <c r="B1004" s="4" t="s">
        <v>37</v>
      </c>
      <c r="C1004" s="4" t="s">
        <v>33</v>
      </c>
      <c r="D1004" s="4" t="s">
        <v>41</v>
      </c>
      <c r="E1004" s="4" t="s">
        <v>25</v>
      </c>
      <c r="F1004" s="4" t="s">
        <v>25</v>
      </c>
      <c r="G1004" s="4" t="s">
        <v>25</v>
      </c>
      <c r="H1004" s="4" t="s">
        <v>36</v>
      </c>
      <c r="I1004" s="5">
        <v>44743</v>
      </c>
      <c r="J1004" s="6">
        <v>0</v>
      </c>
      <c r="K1004" s="6">
        <v>0</v>
      </c>
      <c r="L1004" s="6">
        <v>2.4489999999999998</v>
      </c>
      <c r="M1004" s="6">
        <v>2.4489999999999998</v>
      </c>
      <c r="N1004" s="6">
        <v>2.4489999999999998</v>
      </c>
      <c r="O1004" s="6">
        <v>2.4489999999999998</v>
      </c>
      <c r="P1004" s="6">
        <v>0</v>
      </c>
      <c r="Q1004" s="4" t="s">
        <v>26</v>
      </c>
      <c r="R1004" s="4">
        <v>0</v>
      </c>
      <c r="S1004" s="4" t="s">
        <v>360</v>
      </c>
      <c r="T1004" s="4" t="s">
        <v>605</v>
      </c>
      <c r="U1004" s="4">
        <v>0</v>
      </c>
      <c r="V1004" s="4">
        <v>42</v>
      </c>
      <c r="W1004" s="4">
        <v>79</v>
      </c>
    </row>
    <row r="1005" spans="1:23" ht="11.25" customHeight="1" x14ac:dyDescent="0.25">
      <c r="A1005" s="4" t="s">
        <v>28</v>
      </c>
      <c r="B1005" s="4" t="s">
        <v>37</v>
      </c>
      <c r="C1005" s="4" t="s">
        <v>33</v>
      </c>
      <c r="D1005" s="4" t="s">
        <v>41</v>
      </c>
      <c r="E1005" s="4" t="s">
        <v>25</v>
      </c>
      <c r="F1005" s="4" t="s">
        <v>25</v>
      </c>
      <c r="G1005" s="4" t="s">
        <v>25</v>
      </c>
      <c r="H1005" s="4" t="s">
        <v>36</v>
      </c>
      <c r="I1005" s="5">
        <v>44743</v>
      </c>
      <c r="J1005" s="6">
        <v>0</v>
      </c>
      <c r="K1005" s="6">
        <v>0</v>
      </c>
      <c r="L1005" s="6">
        <v>0.17199999999999999</v>
      </c>
      <c r="M1005" s="6">
        <v>0.17199999999999999</v>
      </c>
      <c r="N1005" s="6">
        <v>0.17199999999999999</v>
      </c>
      <c r="O1005" s="6">
        <v>0.17199999999999999</v>
      </c>
      <c r="P1005" s="6">
        <v>0</v>
      </c>
      <c r="Q1005" s="4" t="s">
        <v>26</v>
      </c>
      <c r="R1005" s="4">
        <v>0</v>
      </c>
      <c r="S1005" s="4" t="s">
        <v>360</v>
      </c>
      <c r="T1005" s="4" t="s">
        <v>605</v>
      </c>
      <c r="U1005" s="4">
        <v>0</v>
      </c>
      <c r="V1005" s="4">
        <v>42</v>
      </c>
      <c r="W1005" s="4">
        <v>79</v>
      </c>
    </row>
    <row r="1006" spans="1:23" ht="11.25" customHeight="1" x14ac:dyDescent="0.25">
      <c r="A1006" s="4" t="s">
        <v>56</v>
      </c>
      <c r="B1006" s="4" t="s">
        <v>37</v>
      </c>
      <c r="C1006" s="4" t="s">
        <v>33</v>
      </c>
      <c r="D1006" s="4" t="s">
        <v>41</v>
      </c>
      <c r="E1006" s="4" t="s">
        <v>25</v>
      </c>
      <c r="F1006" s="4" t="s">
        <v>25</v>
      </c>
      <c r="G1006" s="4" t="s">
        <v>25</v>
      </c>
      <c r="H1006" s="4" t="s">
        <v>36</v>
      </c>
      <c r="I1006" s="5">
        <v>44774</v>
      </c>
      <c r="J1006" s="6">
        <v>0</v>
      </c>
      <c r="K1006" s="6">
        <v>0</v>
      </c>
      <c r="L1006" s="6">
        <v>2.4489999999999998</v>
      </c>
      <c r="M1006" s="6">
        <v>2.4489999999999998</v>
      </c>
      <c r="N1006" s="6">
        <v>2.4489999999999998</v>
      </c>
      <c r="O1006" s="6">
        <v>2.4489999999999998</v>
      </c>
      <c r="P1006" s="6">
        <v>0</v>
      </c>
      <c r="Q1006" s="4" t="s">
        <v>26</v>
      </c>
      <c r="R1006" s="4">
        <v>0</v>
      </c>
      <c r="S1006" s="4" t="s">
        <v>361</v>
      </c>
      <c r="T1006" s="4" t="s">
        <v>606</v>
      </c>
      <c r="U1006" s="4">
        <v>0</v>
      </c>
      <c r="V1006" s="4">
        <v>42</v>
      </c>
      <c r="W1006" s="4">
        <v>79</v>
      </c>
    </row>
    <row r="1007" spans="1:23" ht="11.25" customHeight="1" x14ac:dyDescent="0.25">
      <c r="A1007" s="4" t="s">
        <v>56</v>
      </c>
      <c r="B1007" s="4" t="s">
        <v>37</v>
      </c>
      <c r="C1007" s="4" t="s">
        <v>33</v>
      </c>
      <c r="D1007" s="4" t="s">
        <v>41</v>
      </c>
      <c r="E1007" s="4" t="s">
        <v>25</v>
      </c>
      <c r="F1007" s="4" t="s">
        <v>25</v>
      </c>
      <c r="G1007" s="4" t="s">
        <v>25</v>
      </c>
      <c r="H1007" s="4" t="s">
        <v>36</v>
      </c>
      <c r="I1007" s="5">
        <v>44774</v>
      </c>
      <c r="J1007" s="6">
        <v>0</v>
      </c>
      <c r="K1007" s="6">
        <v>0</v>
      </c>
      <c r="L1007" s="6">
        <v>0.17199999999999999</v>
      </c>
      <c r="M1007" s="6">
        <v>0.17199999999999999</v>
      </c>
      <c r="N1007" s="6">
        <v>0.17199999999999999</v>
      </c>
      <c r="O1007" s="6">
        <v>0.17199999999999999</v>
      </c>
      <c r="P1007" s="6">
        <v>0</v>
      </c>
      <c r="Q1007" s="4" t="s">
        <v>26</v>
      </c>
      <c r="R1007" s="4">
        <v>0</v>
      </c>
      <c r="S1007" s="4" t="s">
        <v>361</v>
      </c>
      <c r="T1007" s="4" t="s">
        <v>606</v>
      </c>
      <c r="U1007" s="4">
        <v>0</v>
      </c>
      <c r="V1007" s="4">
        <v>42</v>
      </c>
      <c r="W1007" s="4">
        <v>79</v>
      </c>
    </row>
    <row r="1008" spans="1:23" ht="11.25" customHeight="1" x14ac:dyDescent="0.25">
      <c r="A1008" s="4" t="s">
        <v>28</v>
      </c>
      <c r="B1008" s="4" t="s">
        <v>37</v>
      </c>
      <c r="C1008" s="4" t="s">
        <v>33</v>
      </c>
      <c r="D1008" s="4" t="s">
        <v>41</v>
      </c>
      <c r="E1008" s="4" t="s">
        <v>25</v>
      </c>
      <c r="F1008" s="4" t="s">
        <v>25</v>
      </c>
      <c r="G1008" s="4" t="s">
        <v>25</v>
      </c>
      <c r="H1008" s="4" t="s">
        <v>25</v>
      </c>
      <c r="I1008" s="5">
        <v>44440</v>
      </c>
      <c r="J1008" s="6">
        <v>0</v>
      </c>
      <c r="K1008" s="6">
        <v>0</v>
      </c>
      <c r="L1008" s="6">
        <v>0.2</v>
      </c>
      <c r="M1008" s="6">
        <v>0.2</v>
      </c>
      <c r="N1008" s="6">
        <v>0.2</v>
      </c>
      <c r="O1008" s="6">
        <v>0.2</v>
      </c>
      <c r="P1008" s="6">
        <v>2</v>
      </c>
      <c r="Q1008" s="4" t="s">
        <v>26</v>
      </c>
      <c r="R1008" s="4">
        <v>0</v>
      </c>
      <c r="S1008" s="4" t="s">
        <v>362</v>
      </c>
      <c r="T1008" s="4" t="s">
        <v>607</v>
      </c>
      <c r="U1008" s="4">
        <v>0</v>
      </c>
      <c r="V1008" s="4">
        <v>44</v>
      </c>
      <c r="W1008" s="4">
        <v>81</v>
      </c>
    </row>
    <row r="1009" spans="1:23" ht="11.25" customHeight="1" x14ac:dyDescent="0.25">
      <c r="A1009" s="4" t="s">
        <v>28</v>
      </c>
      <c r="B1009" s="4" t="s">
        <v>37</v>
      </c>
      <c r="C1009" s="4" t="s">
        <v>33</v>
      </c>
      <c r="D1009" s="4" t="s">
        <v>41</v>
      </c>
      <c r="E1009" s="4" t="s">
        <v>25</v>
      </c>
      <c r="F1009" s="4" t="s">
        <v>25</v>
      </c>
      <c r="G1009" s="4" t="s">
        <v>25</v>
      </c>
      <c r="H1009" s="4" t="s">
        <v>25</v>
      </c>
      <c r="I1009" s="5">
        <v>44440</v>
      </c>
      <c r="J1009" s="6">
        <v>0</v>
      </c>
      <c r="K1009" s="6">
        <v>0</v>
      </c>
      <c r="L1009" s="6">
        <v>0.1</v>
      </c>
      <c r="M1009" s="6">
        <v>0.1</v>
      </c>
      <c r="N1009" s="6">
        <v>0.1</v>
      </c>
      <c r="O1009" s="6">
        <v>0.1</v>
      </c>
      <c r="P1009" s="6">
        <v>1</v>
      </c>
      <c r="Q1009" s="4" t="s">
        <v>26</v>
      </c>
      <c r="R1009" s="4">
        <v>0</v>
      </c>
      <c r="S1009" s="4" t="s">
        <v>362</v>
      </c>
      <c r="T1009" s="4" t="s">
        <v>607</v>
      </c>
      <c r="U1009" s="4">
        <v>0</v>
      </c>
      <c r="V1009" s="4">
        <v>44</v>
      </c>
      <c r="W1009" s="4">
        <v>81</v>
      </c>
    </row>
    <row r="1010" spans="1:23" ht="11.25" customHeight="1" x14ac:dyDescent="0.25">
      <c r="A1010" s="4" t="s">
        <v>28</v>
      </c>
      <c r="B1010" s="4" t="s">
        <v>37</v>
      </c>
      <c r="C1010" s="4" t="s">
        <v>33</v>
      </c>
      <c r="D1010" s="4" t="s">
        <v>41</v>
      </c>
      <c r="E1010" s="4" t="s">
        <v>25</v>
      </c>
      <c r="F1010" s="4" t="s">
        <v>25</v>
      </c>
      <c r="G1010" s="4" t="s">
        <v>25</v>
      </c>
      <c r="H1010" s="4" t="s">
        <v>25</v>
      </c>
      <c r="I1010" s="5">
        <v>44470</v>
      </c>
      <c r="J1010" s="6">
        <v>0</v>
      </c>
      <c r="K1010" s="6">
        <v>0</v>
      </c>
      <c r="L1010" s="6">
        <v>9.8000000000000004E-2</v>
      </c>
      <c r="M1010" s="6">
        <v>9.8000000000000004E-2</v>
      </c>
      <c r="N1010" s="6">
        <v>9.8000000000000004E-2</v>
      </c>
      <c r="O1010" s="6">
        <v>9.8000000000000004E-2</v>
      </c>
      <c r="P1010" s="6">
        <v>1</v>
      </c>
      <c r="Q1010" s="4" t="s">
        <v>26</v>
      </c>
      <c r="R1010" s="4">
        <v>0</v>
      </c>
      <c r="S1010" s="4" t="s">
        <v>363</v>
      </c>
      <c r="T1010" s="4" t="s">
        <v>608</v>
      </c>
      <c r="U1010" s="4">
        <v>0</v>
      </c>
      <c r="V1010" s="4">
        <v>44</v>
      </c>
      <c r="W1010" s="4">
        <v>81</v>
      </c>
    </row>
    <row r="1011" spans="1:23" ht="11.25" customHeight="1" x14ac:dyDescent="0.25">
      <c r="A1011" s="4" t="s">
        <v>28</v>
      </c>
      <c r="B1011" s="4" t="s">
        <v>37</v>
      </c>
      <c r="C1011" s="4" t="s">
        <v>33</v>
      </c>
      <c r="D1011" s="4" t="s">
        <v>41</v>
      </c>
      <c r="E1011" s="4" t="s">
        <v>25</v>
      </c>
      <c r="F1011" s="4" t="s">
        <v>25</v>
      </c>
      <c r="G1011" s="4" t="s">
        <v>25</v>
      </c>
      <c r="H1011" s="4" t="s">
        <v>25</v>
      </c>
      <c r="I1011" s="5">
        <v>44501</v>
      </c>
      <c r="J1011" s="6">
        <v>0</v>
      </c>
      <c r="K1011" s="6">
        <v>0</v>
      </c>
      <c r="L1011" s="6">
        <v>0.1</v>
      </c>
      <c r="M1011" s="6">
        <v>0.1</v>
      </c>
      <c r="N1011" s="6">
        <v>0.1</v>
      </c>
      <c r="O1011" s="6">
        <v>0.1</v>
      </c>
      <c r="P1011" s="6">
        <v>3</v>
      </c>
      <c r="Q1011" s="4" t="s">
        <v>26</v>
      </c>
      <c r="R1011" s="4">
        <v>0</v>
      </c>
      <c r="S1011" s="4" t="s">
        <v>364</v>
      </c>
      <c r="T1011" s="4" t="s">
        <v>609</v>
      </c>
      <c r="U1011" s="4">
        <v>0</v>
      </c>
      <c r="V1011" s="4">
        <v>44</v>
      </c>
      <c r="W1011" s="4">
        <v>81</v>
      </c>
    </row>
    <row r="1012" spans="1:23" ht="11.25" customHeight="1" x14ac:dyDescent="0.25">
      <c r="A1012" s="4" t="s">
        <v>28</v>
      </c>
      <c r="B1012" s="4" t="s">
        <v>37</v>
      </c>
      <c r="C1012" s="4" t="s">
        <v>33</v>
      </c>
      <c r="D1012" s="4" t="s">
        <v>41</v>
      </c>
      <c r="E1012" s="4" t="s">
        <v>25</v>
      </c>
      <c r="F1012" s="4" t="s">
        <v>25</v>
      </c>
      <c r="G1012" s="4" t="s">
        <v>25</v>
      </c>
      <c r="H1012" s="4" t="s">
        <v>25</v>
      </c>
      <c r="I1012" s="5">
        <v>44531</v>
      </c>
      <c r="J1012" s="6">
        <v>0</v>
      </c>
      <c r="K1012" s="6">
        <v>0</v>
      </c>
      <c r="L1012" s="6">
        <v>0.1</v>
      </c>
      <c r="M1012" s="6">
        <v>0.1</v>
      </c>
      <c r="N1012" s="6">
        <v>0.1</v>
      </c>
      <c r="O1012" s="6">
        <v>0.1</v>
      </c>
      <c r="P1012" s="6">
        <v>3</v>
      </c>
      <c r="Q1012" s="4" t="s">
        <v>26</v>
      </c>
      <c r="R1012" s="4">
        <v>0</v>
      </c>
      <c r="S1012" s="4" t="s">
        <v>365</v>
      </c>
      <c r="T1012" s="4" t="s">
        <v>610</v>
      </c>
      <c r="U1012" s="4">
        <v>0</v>
      </c>
      <c r="V1012" s="4">
        <v>44</v>
      </c>
      <c r="W1012" s="4">
        <v>81</v>
      </c>
    </row>
    <row r="1013" spans="1:23" ht="11.25" customHeight="1" x14ac:dyDescent="0.25">
      <c r="A1013" s="4" t="s">
        <v>28</v>
      </c>
      <c r="B1013" s="4" t="s">
        <v>37</v>
      </c>
      <c r="C1013" s="4" t="s">
        <v>33</v>
      </c>
      <c r="D1013" s="4" t="s">
        <v>41</v>
      </c>
      <c r="E1013" s="4" t="s">
        <v>25</v>
      </c>
      <c r="F1013" s="4" t="s">
        <v>25</v>
      </c>
      <c r="G1013" s="4" t="s">
        <v>25</v>
      </c>
      <c r="H1013" s="4" t="s">
        <v>25</v>
      </c>
      <c r="I1013" s="5">
        <v>44562</v>
      </c>
      <c r="J1013" s="6">
        <v>0</v>
      </c>
      <c r="K1013" s="6">
        <v>0</v>
      </c>
      <c r="L1013" s="6">
        <v>0.1</v>
      </c>
      <c r="M1013" s="6">
        <v>0.1</v>
      </c>
      <c r="N1013" s="6">
        <v>0.1</v>
      </c>
      <c r="O1013" s="6">
        <v>0.1</v>
      </c>
      <c r="P1013" s="6">
        <v>3</v>
      </c>
      <c r="Q1013" s="4" t="s">
        <v>26</v>
      </c>
      <c r="R1013" s="4">
        <v>0</v>
      </c>
      <c r="S1013" s="4" t="s">
        <v>366</v>
      </c>
      <c r="T1013" s="4" t="s">
        <v>611</v>
      </c>
      <c r="U1013" s="4">
        <v>0</v>
      </c>
      <c r="V1013" s="4">
        <v>44</v>
      </c>
      <c r="W1013" s="4">
        <v>81</v>
      </c>
    </row>
    <row r="1014" spans="1:23" ht="11.25" customHeight="1" x14ac:dyDescent="0.25">
      <c r="A1014" s="4" t="s">
        <v>28</v>
      </c>
      <c r="B1014" s="4" t="s">
        <v>37</v>
      </c>
      <c r="C1014" s="4" t="s">
        <v>33</v>
      </c>
      <c r="D1014" s="4" t="s">
        <v>41</v>
      </c>
      <c r="E1014" s="4" t="s">
        <v>25</v>
      </c>
      <c r="F1014" s="4" t="s">
        <v>25</v>
      </c>
      <c r="G1014" s="4" t="s">
        <v>25</v>
      </c>
      <c r="H1014" s="4" t="s">
        <v>25</v>
      </c>
      <c r="I1014" s="5">
        <v>44593</v>
      </c>
      <c r="J1014" s="6">
        <v>0</v>
      </c>
      <c r="K1014" s="6">
        <v>0</v>
      </c>
      <c r="L1014" s="6">
        <v>0.1</v>
      </c>
      <c r="M1014" s="6">
        <v>0.1</v>
      </c>
      <c r="N1014" s="6">
        <v>0.1</v>
      </c>
      <c r="O1014" s="6">
        <v>0.1</v>
      </c>
      <c r="P1014" s="6">
        <v>3</v>
      </c>
      <c r="Q1014" s="4" t="s">
        <v>26</v>
      </c>
      <c r="R1014" s="4">
        <v>0</v>
      </c>
      <c r="S1014" s="4" t="s">
        <v>367</v>
      </c>
      <c r="T1014" s="4" t="s">
        <v>612</v>
      </c>
      <c r="U1014" s="4">
        <v>0</v>
      </c>
      <c r="V1014" s="4">
        <v>44</v>
      </c>
      <c r="W1014" s="4">
        <v>81</v>
      </c>
    </row>
    <row r="1015" spans="1:23" ht="11.25" customHeight="1" x14ac:dyDescent="0.25">
      <c r="A1015" s="4" t="s">
        <v>28</v>
      </c>
      <c r="B1015" s="4" t="s">
        <v>37</v>
      </c>
      <c r="C1015" s="4" t="s">
        <v>33</v>
      </c>
      <c r="D1015" s="4" t="s">
        <v>41</v>
      </c>
      <c r="E1015" s="4" t="s">
        <v>25</v>
      </c>
      <c r="F1015" s="4" t="s">
        <v>25</v>
      </c>
      <c r="G1015" s="4" t="s">
        <v>25</v>
      </c>
      <c r="H1015" s="4" t="s">
        <v>25</v>
      </c>
      <c r="I1015" s="5">
        <v>44621</v>
      </c>
      <c r="J1015" s="6">
        <v>0</v>
      </c>
      <c r="K1015" s="6">
        <v>0</v>
      </c>
      <c r="L1015" s="6">
        <v>0.1</v>
      </c>
      <c r="M1015" s="6">
        <v>0.1</v>
      </c>
      <c r="N1015" s="6">
        <v>0.1</v>
      </c>
      <c r="O1015" s="6">
        <v>0.1</v>
      </c>
      <c r="P1015" s="6">
        <v>3</v>
      </c>
      <c r="Q1015" s="4" t="s">
        <v>26</v>
      </c>
      <c r="R1015" s="4">
        <v>0</v>
      </c>
      <c r="S1015" s="4" t="s">
        <v>368</v>
      </c>
      <c r="T1015" s="4" t="s">
        <v>613</v>
      </c>
      <c r="U1015" s="4">
        <v>0</v>
      </c>
      <c r="V1015" s="4">
        <v>44</v>
      </c>
      <c r="W1015" s="4">
        <v>81</v>
      </c>
    </row>
    <row r="1016" spans="1:23" ht="11.25" customHeight="1" x14ac:dyDescent="0.25">
      <c r="A1016" s="4" t="s">
        <v>28</v>
      </c>
      <c r="B1016" s="4" t="s">
        <v>37</v>
      </c>
      <c r="C1016" s="4" t="s">
        <v>33</v>
      </c>
      <c r="D1016" s="4" t="s">
        <v>41</v>
      </c>
      <c r="E1016" s="4" t="s">
        <v>25</v>
      </c>
      <c r="F1016" s="4" t="s">
        <v>25</v>
      </c>
      <c r="G1016" s="4" t="s">
        <v>25</v>
      </c>
      <c r="H1016" s="4" t="s">
        <v>25</v>
      </c>
      <c r="I1016" s="5">
        <v>44682</v>
      </c>
      <c r="J1016" s="6">
        <v>0</v>
      </c>
      <c r="K1016" s="6">
        <v>0</v>
      </c>
      <c r="L1016" s="6">
        <v>0.1</v>
      </c>
      <c r="M1016" s="6">
        <v>0.1</v>
      </c>
      <c r="N1016" s="6">
        <v>0.1</v>
      </c>
      <c r="O1016" s="6">
        <v>0.1</v>
      </c>
      <c r="P1016" s="6">
        <v>5</v>
      </c>
      <c r="Q1016" s="4" t="s">
        <v>26</v>
      </c>
      <c r="R1016" s="4">
        <v>0</v>
      </c>
      <c r="S1016" s="4" t="s">
        <v>369</v>
      </c>
      <c r="T1016" s="4" t="s">
        <v>614</v>
      </c>
      <c r="U1016" s="4">
        <v>0</v>
      </c>
      <c r="V1016" s="4">
        <v>44</v>
      </c>
      <c r="W1016" s="4">
        <v>81</v>
      </c>
    </row>
    <row r="1017" spans="1:23" ht="11.25" customHeight="1" x14ac:dyDescent="0.25">
      <c r="A1017" s="4" t="s">
        <v>28</v>
      </c>
      <c r="B1017" s="4" t="s">
        <v>37</v>
      </c>
      <c r="C1017" s="4" t="s">
        <v>33</v>
      </c>
      <c r="D1017" s="4" t="s">
        <v>41</v>
      </c>
      <c r="E1017" s="4" t="s">
        <v>25</v>
      </c>
      <c r="F1017" s="4" t="s">
        <v>25</v>
      </c>
      <c r="G1017" s="4" t="s">
        <v>25</v>
      </c>
      <c r="H1017" s="4" t="s">
        <v>25</v>
      </c>
      <c r="I1017" s="5">
        <v>44713</v>
      </c>
      <c r="J1017" s="6">
        <v>0</v>
      </c>
      <c r="K1017" s="6">
        <v>0</v>
      </c>
      <c r="L1017" s="6">
        <v>0.3</v>
      </c>
      <c r="M1017" s="6">
        <v>0.3</v>
      </c>
      <c r="N1017" s="6">
        <v>0.3</v>
      </c>
      <c r="O1017" s="6">
        <v>0.3</v>
      </c>
      <c r="P1017" s="6">
        <v>6</v>
      </c>
      <c r="Q1017" s="4" t="s">
        <v>26</v>
      </c>
      <c r="R1017" s="4">
        <v>0</v>
      </c>
      <c r="S1017" s="4" t="s">
        <v>370</v>
      </c>
      <c r="T1017" s="4" t="s">
        <v>615</v>
      </c>
      <c r="U1017" s="4">
        <v>0</v>
      </c>
      <c r="V1017" s="4">
        <v>44</v>
      </c>
      <c r="W1017" s="4">
        <v>81</v>
      </c>
    </row>
    <row r="1018" spans="1:23" ht="11.25" customHeight="1" x14ac:dyDescent="0.25">
      <c r="A1018" s="4" t="s">
        <v>28</v>
      </c>
      <c r="B1018" s="4" t="s">
        <v>37</v>
      </c>
      <c r="C1018" s="4" t="s">
        <v>33</v>
      </c>
      <c r="D1018" s="4" t="s">
        <v>41</v>
      </c>
      <c r="E1018" s="4" t="s">
        <v>25</v>
      </c>
      <c r="F1018" s="4" t="s">
        <v>25</v>
      </c>
      <c r="G1018" s="4" t="s">
        <v>25</v>
      </c>
      <c r="H1018" s="4" t="s">
        <v>25</v>
      </c>
      <c r="I1018" s="5">
        <v>44743</v>
      </c>
      <c r="J1018" s="6">
        <v>0</v>
      </c>
      <c r="K1018" s="6">
        <v>0</v>
      </c>
      <c r="L1018" s="6">
        <v>0.3</v>
      </c>
      <c r="M1018" s="6">
        <v>0.3</v>
      </c>
      <c r="N1018" s="6">
        <v>0.3</v>
      </c>
      <c r="O1018" s="6">
        <v>0.3</v>
      </c>
      <c r="P1018" s="6">
        <v>6</v>
      </c>
      <c r="Q1018" s="4" t="s">
        <v>26</v>
      </c>
      <c r="R1018" s="4">
        <v>0</v>
      </c>
      <c r="S1018" s="4" t="s">
        <v>371</v>
      </c>
      <c r="T1018" s="4" t="s">
        <v>616</v>
      </c>
      <c r="U1018" s="4">
        <v>0</v>
      </c>
      <c r="V1018" s="4">
        <v>44</v>
      </c>
      <c r="W1018" s="4">
        <v>81</v>
      </c>
    </row>
    <row r="1019" spans="1:23" ht="11.25" customHeight="1" x14ac:dyDescent="0.25">
      <c r="A1019" s="4" t="s">
        <v>56</v>
      </c>
      <c r="B1019" s="4" t="s">
        <v>37</v>
      </c>
      <c r="C1019" s="4" t="s">
        <v>33</v>
      </c>
      <c r="D1019" s="4" t="s">
        <v>41</v>
      </c>
      <c r="E1019" s="4" t="s">
        <v>25</v>
      </c>
      <c r="F1019" s="4" t="s">
        <v>25</v>
      </c>
      <c r="G1019" s="4" t="s">
        <v>25</v>
      </c>
      <c r="H1019" s="4" t="s">
        <v>25</v>
      </c>
      <c r="I1019" s="5">
        <v>44774</v>
      </c>
      <c r="J1019" s="6">
        <v>0</v>
      </c>
      <c r="K1019" s="6">
        <v>0</v>
      </c>
      <c r="L1019" s="6">
        <v>0.3</v>
      </c>
      <c r="M1019" s="6">
        <v>0.3</v>
      </c>
      <c r="N1019" s="6">
        <v>0.3</v>
      </c>
      <c r="O1019" s="6">
        <v>0.3</v>
      </c>
      <c r="P1019" s="6">
        <v>6</v>
      </c>
      <c r="Q1019" s="4" t="s">
        <v>26</v>
      </c>
      <c r="R1019" s="4">
        <v>0</v>
      </c>
      <c r="S1019" s="4" t="s">
        <v>372</v>
      </c>
      <c r="T1019" s="4" t="s">
        <v>617</v>
      </c>
      <c r="U1019" s="4">
        <v>0</v>
      </c>
      <c r="V1019" s="4">
        <v>44</v>
      </c>
      <c r="W1019" s="4">
        <v>81</v>
      </c>
    </row>
    <row r="1020" spans="1:23" ht="11.25" customHeight="1" x14ac:dyDescent="0.25">
      <c r="A1020" s="4" t="s">
        <v>21</v>
      </c>
      <c r="B1020" s="4" t="s">
        <v>37</v>
      </c>
      <c r="C1020" s="4" t="s">
        <v>33</v>
      </c>
      <c r="D1020" s="4" t="s">
        <v>41</v>
      </c>
      <c r="E1020" s="4" t="s">
        <v>25</v>
      </c>
      <c r="F1020" s="4" t="s">
        <v>25</v>
      </c>
      <c r="G1020" s="4" t="s">
        <v>25</v>
      </c>
      <c r="H1020" s="4" t="s">
        <v>34</v>
      </c>
      <c r="I1020" s="5">
        <v>44440</v>
      </c>
      <c r="J1020" s="6">
        <v>0</v>
      </c>
      <c r="K1020" s="6">
        <v>0</v>
      </c>
      <c r="L1020" s="6">
        <v>4.1390000000000002</v>
      </c>
      <c r="M1020" s="6">
        <v>4.1390000000000002</v>
      </c>
      <c r="N1020" s="6">
        <v>4.1390000000000002</v>
      </c>
      <c r="O1020" s="6">
        <v>4.1390000000000002</v>
      </c>
      <c r="P1020" s="6">
        <v>0</v>
      </c>
      <c r="Q1020" s="4" t="s">
        <v>26</v>
      </c>
      <c r="R1020" s="4">
        <v>0</v>
      </c>
      <c r="S1020" s="4" t="s">
        <v>373</v>
      </c>
      <c r="T1020" s="4" t="s">
        <v>618</v>
      </c>
      <c r="U1020" s="4">
        <v>0</v>
      </c>
      <c r="V1020" s="4">
        <v>41</v>
      </c>
      <c r="W1020" s="4">
        <v>78</v>
      </c>
    </row>
    <row r="1021" spans="1:23" ht="11.25" customHeight="1" x14ac:dyDescent="0.25">
      <c r="A1021" s="4" t="s">
        <v>28</v>
      </c>
      <c r="B1021" s="4" t="s">
        <v>37</v>
      </c>
      <c r="C1021" s="4" t="s">
        <v>33</v>
      </c>
      <c r="D1021" s="4" t="s">
        <v>41</v>
      </c>
      <c r="E1021" s="4" t="s">
        <v>25</v>
      </c>
      <c r="F1021" s="4" t="s">
        <v>25</v>
      </c>
      <c r="G1021" s="4" t="s">
        <v>25</v>
      </c>
      <c r="H1021" s="4" t="s">
        <v>34</v>
      </c>
      <c r="I1021" s="5">
        <v>44440</v>
      </c>
      <c r="J1021" s="6">
        <v>0</v>
      </c>
      <c r="K1021" s="6">
        <v>0</v>
      </c>
      <c r="L1021" s="6">
        <v>0.13500000000000001</v>
      </c>
      <c r="M1021" s="6">
        <v>0.13500000000000001</v>
      </c>
      <c r="N1021" s="6">
        <v>0.13500000000000001</v>
      </c>
      <c r="O1021" s="6">
        <v>0.13500000000000001</v>
      </c>
      <c r="P1021" s="6">
        <v>0</v>
      </c>
      <c r="Q1021" s="4" t="s">
        <v>26</v>
      </c>
      <c r="R1021" s="4">
        <v>0</v>
      </c>
      <c r="S1021" s="4" t="s">
        <v>373</v>
      </c>
      <c r="T1021" s="4" t="s">
        <v>618</v>
      </c>
      <c r="U1021" s="4">
        <v>0</v>
      </c>
      <c r="V1021" s="4">
        <v>41</v>
      </c>
      <c r="W1021" s="4">
        <v>78</v>
      </c>
    </row>
    <row r="1022" spans="1:23" ht="11.25" customHeight="1" x14ac:dyDescent="0.25">
      <c r="A1022" s="4" t="s">
        <v>21</v>
      </c>
      <c r="B1022" s="4" t="s">
        <v>37</v>
      </c>
      <c r="C1022" s="4" t="s">
        <v>33</v>
      </c>
      <c r="D1022" s="4" t="s">
        <v>41</v>
      </c>
      <c r="E1022" s="4" t="s">
        <v>25</v>
      </c>
      <c r="F1022" s="4" t="s">
        <v>25</v>
      </c>
      <c r="G1022" s="4" t="s">
        <v>25</v>
      </c>
      <c r="H1022" s="4" t="s">
        <v>34</v>
      </c>
      <c r="I1022" s="5">
        <v>44470</v>
      </c>
      <c r="J1022" s="6">
        <v>0</v>
      </c>
      <c r="K1022" s="6">
        <v>0</v>
      </c>
      <c r="L1022" s="6">
        <v>4.1980000000000004</v>
      </c>
      <c r="M1022" s="6">
        <v>4.1980000000000004</v>
      </c>
      <c r="N1022" s="6">
        <v>4.1980000000000004</v>
      </c>
      <c r="O1022" s="6">
        <v>4.1980000000000004</v>
      </c>
      <c r="P1022" s="6">
        <v>0</v>
      </c>
      <c r="Q1022" s="4" t="s">
        <v>26</v>
      </c>
      <c r="R1022" s="4">
        <v>0</v>
      </c>
      <c r="S1022" s="4" t="s">
        <v>374</v>
      </c>
      <c r="T1022" s="4" t="s">
        <v>619</v>
      </c>
      <c r="U1022" s="4">
        <v>0</v>
      </c>
      <c r="V1022" s="4">
        <v>41</v>
      </c>
      <c r="W1022" s="4">
        <v>78</v>
      </c>
    </row>
    <row r="1023" spans="1:23" ht="11.25" customHeight="1" x14ac:dyDescent="0.25">
      <c r="A1023" s="4" t="s">
        <v>28</v>
      </c>
      <c r="B1023" s="4" t="s">
        <v>37</v>
      </c>
      <c r="C1023" s="4" t="s">
        <v>33</v>
      </c>
      <c r="D1023" s="4" t="s">
        <v>41</v>
      </c>
      <c r="E1023" s="4" t="s">
        <v>25</v>
      </c>
      <c r="F1023" s="4" t="s">
        <v>25</v>
      </c>
      <c r="G1023" s="4" t="s">
        <v>25</v>
      </c>
      <c r="H1023" s="4" t="s">
        <v>34</v>
      </c>
      <c r="I1023" s="5">
        <v>44470</v>
      </c>
      <c r="J1023" s="6">
        <v>0</v>
      </c>
      <c r="K1023" s="6">
        <v>0</v>
      </c>
      <c r="L1023" s="6">
        <v>9.9000000000000005E-2</v>
      </c>
      <c r="M1023" s="6">
        <v>9.9000000000000005E-2</v>
      </c>
      <c r="N1023" s="6">
        <v>9.9000000000000005E-2</v>
      </c>
      <c r="O1023" s="6">
        <v>9.9000000000000005E-2</v>
      </c>
      <c r="P1023" s="6">
        <v>0</v>
      </c>
      <c r="Q1023" s="4" t="s">
        <v>26</v>
      </c>
      <c r="R1023" s="4">
        <v>0</v>
      </c>
      <c r="S1023" s="4" t="s">
        <v>374</v>
      </c>
      <c r="T1023" s="4" t="s">
        <v>619</v>
      </c>
      <c r="U1023" s="4">
        <v>0</v>
      </c>
      <c r="V1023" s="4">
        <v>41</v>
      </c>
      <c r="W1023" s="4">
        <v>78</v>
      </c>
    </row>
    <row r="1024" spans="1:23" ht="11.25" customHeight="1" x14ac:dyDescent="0.25">
      <c r="A1024" s="4" t="s">
        <v>28</v>
      </c>
      <c r="B1024" s="4" t="s">
        <v>37</v>
      </c>
      <c r="C1024" s="4" t="s">
        <v>33</v>
      </c>
      <c r="D1024" s="4" t="s">
        <v>41</v>
      </c>
      <c r="E1024" s="4" t="s">
        <v>25</v>
      </c>
      <c r="F1024" s="4" t="s">
        <v>25</v>
      </c>
      <c r="G1024" s="4" t="s">
        <v>25</v>
      </c>
      <c r="H1024" s="4" t="s">
        <v>34</v>
      </c>
      <c r="I1024" s="5">
        <v>44470</v>
      </c>
      <c r="J1024" s="6">
        <v>0</v>
      </c>
      <c r="K1024" s="6">
        <v>0</v>
      </c>
      <c r="L1024" s="6">
        <v>1E-3</v>
      </c>
      <c r="M1024" s="6">
        <v>1E-3</v>
      </c>
      <c r="N1024" s="6">
        <v>1E-3</v>
      </c>
      <c r="O1024" s="6">
        <v>1E-3</v>
      </c>
      <c r="P1024" s="6">
        <v>0</v>
      </c>
      <c r="Q1024" s="4" t="s">
        <v>26</v>
      </c>
      <c r="R1024" s="4">
        <v>0</v>
      </c>
      <c r="S1024" s="4" t="s">
        <v>374</v>
      </c>
      <c r="T1024" s="4" t="s">
        <v>619</v>
      </c>
      <c r="U1024" s="4">
        <v>0</v>
      </c>
      <c r="V1024" s="4">
        <v>41</v>
      </c>
      <c r="W1024" s="4">
        <v>78</v>
      </c>
    </row>
    <row r="1025" spans="1:23" ht="11.25" customHeight="1" x14ac:dyDescent="0.25">
      <c r="A1025" s="4" t="s">
        <v>21</v>
      </c>
      <c r="B1025" s="4" t="s">
        <v>37</v>
      </c>
      <c r="C1025" s="4" t="s">
        <v>33</v>
      </c>
      <c r="D1025" s="4" t="s">
        <v>41</v>
      </c>
      <c r="E1025" s="4" t="s">
        <v>25</v>
      </c>
      <c r="F1025" s="4" t="s">
        <v>25</v>
      </c>
      <c r="G1025" s="4" t="s">
        <v>25</v>
      </c>
      <c r="H1025" s="4" t="s">
        <v>34</v>
      </c>
      <c r="I1025" s="5">
        <v>44501</v>
      </c>
      <c r="J1025" s="6">
        <v>0</v>
      </c>
      <c r="K1025" s="6">
        <v>0</v>
      </c>
      <c r="L1025" s="6">
        <v>4.2629999999999999</v>
      </c>
      <c r="M1025" s="6">
        <v>4.2629999999999999</v>
      </c>
      <c r="N1025" s="6">
        <v>4.2629999999999999</v>
      </c>
      <c r="O1025" s="6">
        <v>4.2629999999999999</v>
      </c>
      <c r="P1025" s="6">
        <v>0</v>
      </c>
      <c r="Q1025" s="4" t="s">
        <v>26</v>
      </c>
      <c r="R1025" s="4">
        <v>0</v>
      </c>
      <c r="S1025" s="4" t="s">
        <v>375</v>
      </c>
      <c r="T1025" s="4" t="s">
        <v>620</v>
      </c>
      <c r="U1025" s="4">
        <v>0</v>
      </c>
      <c r="V1025" s="4">
        <v>41</v>
      </c>
      <c r="W1025" s="4">
        <v>78</v>
      </c>
    </row>
    <row r="1026" spans="1:23" ht="11.25" customHeight="1" x14ac:dyDescent="0.25">
      <c r="A1026" s="4" t="s">
        <v>28</v>
      </c>
      <c r="B1026" s="4" t="s">
        <v>37</v>
      </c>
      <c r="C1026" s="4" t="s">
        <v>33</v>
      </c>
      <c r="D1026" s="4" t="s">
        <v>41</v>
      </c>
      <c r="E1026" s="4" t="s">
        <v>25</v>
      </c>
      <c r="F1026" s="4" t="s">
        <v>25</v>
      </c>
      <c r="G1026" s="4" t="s">
        <v>25</v>
      </c>
      <c r="H1026" s="4" t="s">
        <v>34</v>
      </c>
      <c r="I1026" s="5">
        <v>44501</v>
      </c>
      <c r="J1026" s="6">
        <v>0</v>
      </c>
      <c r="K1026" s="6">
        <v>0</v>
      </c>
      <c r="L1026" s="6">
        <v>0.13600000000000001</v>
      </c>
      <c r="M1026" s="6">
        <v>0.13600000000000001</v>
      </c>
      <c r="N1026" s="6">
        <v>0.13600000000000001</v>
      </c>
      <c r="O1026" s="6">
        <v>0.13600000000000001</v>
      </c>
      <c r="P1026" s="6">
        <v>0</v>
      </c>
      <c r="Q1026" s="4" t="s">
        <v>26</v>
      </c>
      <c r="R1026" s="4">
        <v>0</v>
      </c>
      <c r="S1026" s="4" t="s">
        <v>375</v>
      </c>
      <c r="T1026" s="4" t="s">
        <v>620</v>
      </c>
      <c r="U1026" s="4">
        <v>0</v>
      </c>
      <c r="V1026" s="4">
        <v>41</v>
      </c>
      <c r="W1026" s="4">
        <v>78</v>
      </c>
    </row>
    <row r="1027" spans="1:23" ht="11.25" customHeight="1" x14ac:dyDescent="0.25">
      <c r="A1027" s="4" t="s">
        <v>21</v>
      </c>
      <c r="B1027" s="4" t="s">
        <v>37</v>
      </c>
      <c r="C1027" s="4" t="s">
        <v>33</v>
      </c>
      <c r="D1027" s="4" t="s">
        <v>41</v>
      </c>
      <c r="E1027" s="4" t="s">
        <v>25</v>
      </c>
      <c r="F1027" s="4" t="s">
        <v>25</v>
      </c>
      <c r="G1027" s="4" t="s">
        <v>25</v>
      </c>
      <c r="H1027" s="4" t="s">
        <v>34</v>
      </c>
      <c r="I1027" s="5">
        <v>44531</v>
      </c>
      <c r="J1027" s="6">
        <v>0</v>
      </c>
      <c r="K1027" s="6">
        <v>0</v>
      </c>
      <c r="L1027" s="6">
        <v>4.5640000000000001</v>
      </c>
      <c r="M1027" s="6">
        <v>4.5640000000000001</v>
      </c>
      <c r="N1027" s="6">
        <v>4.5640000000000001</v>
      </c>
      <c r="O1027" s="6">
        <v>4.5640000000000001</v>
      </c>
      <c r="P1027" s="6">
        <v>0</v>
      </c>
      <c r="Q1027" s="4" t="s">
        <v>26</v>
      </c>
      <c r="R1027" s="4">
        <v>0</v>
      </c>
      <c r="S1027" s="4" t="s">
        <v>376</v>
      </c>
      <c r="T1027" s="4" t="s">
        <v>621</v>
      </c>
      <c r="U1027" s="4">
        <v>0</v>
      </c>
      <c r="V1027" s="4">
        <v>41</v>
      </c>
      <c r="W1027" s="4">
        <v>78</v>
      </c>
    </row>
    <row r="1028" spans="1:23" ht="11.25" customHeight="1" x14ac:dyDescent="0.25">
      <c r="A1028" s="4" t="s">
        <v>28</v>
      </c>
      <c r="B1028" s="4" t="s">
        <v>37</v>
      </c>
      <c r="C1028" s="4" t="s">
        <v>33</v>
      </c>
      <c r="D1028" s="4" t="s">
        <v>41</v>
      </c>
      <c r="E1028" s="4" t="s">
        <v>25</v>
      </c>
      <c r="F1028" s="4" t="s">
        <v>25</v>
      </c>
      <c r="G1028" s="4" t="s">
        <v>25</v>
      </c>
      <c r="H1028" s="4" t="s">
        <v>34</v>
      </c>
      <c r="I1028" s="5">
        <v>44531</v>
      </c>
      <c r="J1028" s="6">
        <v>0</v>
      </c>
      <c r="K1028" s="6">
        <v>0</v>
      </c>
      <c r="L1028" s="6">
        <v>0.13900000000000001</v>
      </c>
      <c r="M1028" s="6">
        <v>0.13900000000000001</v>
      </c>
      <c r="N1028" s="6">
        <v>0.13900000000000001</v>
      </c>
      <c r="O1028" s="6">
        <v>0.13900000000000001</v>
      </c>
      <c r="P1028" s="6">
        <v>0</v>
      </c>
      <c r="Q1028" s="4" t="s">
        <v>26</v>
      </c>
      <c r="R1028" s="4">
        <v>0</v>
      </c>
      <c r="S1028" s="4" t="s">
        <v>376</v>
      </c>
      <c r="T1028" s="4" t="s">
        <v>621</v>
      </c>
      <c r="U1028" s="4">
        <v>0</v>
      </c>
      <c r="V1028" s="4">
        <v>41</v>
      </c>
      <c r="W1028" s="4">
        <v>78</v>
      </c>
    </row>
    <row r="1029" spans="1:23" ht="11.25" customHeight="1" x14ac:dyDescent="0.25">
      <c r="A1029" s="4" t="s">
        <v>21</v>
      </c>
      <c r="B1029" s="4" t="s">
        <v>37</v>
      </c>
      <c r="C1029" s="4" t="s">
        <v>33</v>
      </c>
      <c r="D1029" s="4" t="s">
        <v>41</v>
      </c>
      <c r="E1029" s="4" t="s">
        <v>25</v>
      </c>
      <c r="F1029" s="4" t="s">
        <v>25</v>
      </c>
      <c r="G1029" s="4" t="s">
        <v>25</v>
      </c>
      <c r="H1029" s="4" t="s">
        <v>34</v>
      </c>
      <c r="I1029" s="5">
        <v>44562</v>
      </c>
      <c r="J1029" s="6">
        <v>0</v>
      </c>
      <c r="K1029" s="6">
        <v>0</v>
      </c>
      <c r="L1029" s="6">
        <v>4.4950000000000001</v>
      </c>
      <c r="M1029" s="6">
        <v>4.4950000000000001</v>
      </c>
      <c r="N1029" s="6">
        <v>4.4950000000000001</v>
      </c>
      <c r="O1029" s="6">
        <v>4.4950000000000001</v>
      </c>
      <c r="P1029" s="6">
        <v>0</v>
      </c>
      <c r="Q1029" s="4" t="s">
        <v>26</v>
      </c>
      <c r="R1029" s="4">
        <v>0</v>
      </c>
      <c r="S1029" s="4" t="s">
        <v>377</v>
      </c>
      <c r="T1029" s="4" t="s">
        <v>622</v>
      </c>
      <c r="U1029" s="4">
        <v>0</v>
      </c>
      <c r="V1029" s="4">
        <v>41</v>
      </c>
      <c r="W1029" s="4">
        <v>78</v>
      </c>
    </row>
    <row r="1030" spans="1:23" ht="11.25" customHeight="1" x14ac:dyDescent="0.25">
      <c r="A1030" s="4" t="s">
        <v>28</v>
      </c>
      <c r="B1030" s="4" t="s">
        <v>37</v>
      </c>
      <c r="C1030" s="4" t="s">
        <v>33</v>
      </c>
      <c r="D1030" s="4" t="s">
        <v>41</v>
      </c>
      <c r="E1030" s="4" t="s">
        <v>25</v>
      </c>
      <c r="F1030" s="4" t="s">
        <v>25</v>
      </c>
      <c r="G1030" s="4" t="s">
        <v>25</v>
      </c>
      <c r="H1030" s="4" t="s">
        <v>34</v>
      </c>
      <c r="I1030" s="5">
        <v>44562</v>
      </c>
      <c r="J1030" s="6">
        <v>0</v>
      </c>
      <c r="K1030" s="6">
        <v>0</v>
      </c>
      <c r="L1030" s="6">
        <v>0.14699999999999999</v>
      </c>
      <c r="M1030" s="6">
        <v>0.14699999999999999</v>
      </c>
      <c r="N1030" s="6">
        <v>0.14699999999999999</v>
      </c>
      <c r="O1030" s="6">
        <v>0.14699999999999999</v>
      </c>
      <c r="P1030" s="6">
        <v>0</v>
      </c>
      <c r="Q1030" s="4" t="s">
        <v>26</v>
      </c>
      <c r="R1030" s="4">
        <v>0</v>
      </c>
      <c r="S1030" s="4" t="s">
        <v>377</v>
      </c>
      <c r="T1030" s="4" t="s">
        <v>622</v>
      </c>
      <c r="U1030" s="4">
        <v>0</v>
      </c>
      <c r="V1030" s="4">
        <v>41</v>
      </c>
      <c r="W1030" s="4">
        <v>78</v>
      </c>
    </row>
    <row r="1031" spans="1:23" ht="11.25" customHeight="1" x14ac:dyDescent="0.25">
      <c r="A1031" s="4" t="s">
        <v>21</v>
      </c>
      <c r="B1031" s="4" t="s">
        <v>37</v>
      </c>
      <c r="C1031" s="4" t="s">
        <v>33</v>
      </c>
      <c r="D1031" s="4" t="s">
        <v>41</v>
      </c>
      <c r="E1031" s="4" t="s">
        <v>25</v>
      </c>
      <c r="F1031" s="4" t="s">
        <v>25</v>
      </c>
      <c r="G1031" s="4" t="s">
        <v>25</v>
      </c>
      <c r="H1031" s="4" t="s">
        <v>34</v>
      </c>
      <c r="I1031" s="5">
        <v>44593</v>
      </c>
      <c r="J1031" s="6">
        <v>0</v>
      </c>
      <c r="K1031" s="6">
        <v>0</v>
      </c>
      <c r="L1031" s="6">
        <v>4.3879999999999999</v>
      </c>
      <c r="M1031" s="6">
        <v>4.3879999999999999</v>
      </c>
      <c r="N1031" s="6">
        <v>4.3879999999999999</v>
      </c>
      <c r="O1031" s="6">
        <v>4.3879999999999999</v>
      </c>
      <c r="P1031" s="6">
        <v>0</v>
      </c>
      <c r="Q1031" s="4" t="s">
        <v>26</v>
      </c>
      <c r="R1031" s="4">
        <v>0</v>
      </c>
      <c r="S1031" s="4" t="s">
        <v>378</v>
      </c>
      <c r="T1031" s="4" t="s">
        <v>623</v>
      </c>
      <c r="U1031" s="4">
        <v>0</v>
      </c>
      <c r="V1031" s="4">
        <v>41</v>
      </c>
      <c r="W1031" s="4">
        <v>78</v>
      </c>
    </row>
    <row r="1032" spans="1:23" ht="11.25" customHeight="1" x14ac:dyDescent="0.25">
      <c r="A1032" s="4" t="s">
        <v>28</v>
      </c>
      <c r="B1032" s="4" t="s">
        <v>37</v>
      </c>
      <c r="C1032" s="4" t="s">
        <v>33</v>
      </c>
      <c r="D1032" s="4" t="s">
        <v>41</v>
      </c>
      <c r="E1032" s="4" t="s">
        <v>25</v>
      </c>
      <c r="F1032" s="4" t="s">
        <v>25</v>
      </c>
      <c r="G1032" s="4" t="s">
        <v>25</v>
      </c>
      <c r="H1032" s="4" t="s">
        <v>34</v>
      </c>
      <c r="I1032" s="5">
        <v>44593</v>
      </c>
      <c r="J1032" s="6">
        <v>0</v>
      </c>
      <c r="K1032" s="6">
        <v>0</v>
      </c>
      <c r="L1032" s="6">
        <v>0.16800000000000001</v>
      </c>
      <c r="M1032" s="6">
        <v>0.16800000000000001</v>
      </c>
      <c r="N1032" s="6">
        <v>0.16800000000000001</v>
      </c>
      <c r="O1032" s="6">
        <v>0.16800000000000001</v>
      </c>
      <c r="P1032" s="6">
        <v>0</v>
      </c>
      <c r="Q1032" s="4" t="s">
        <v>26</v>
      </c>
      <c r="R1032" s="4">
        <v>0</v>
      </c>
      <c r="S1032" s="4" t="s">
        <v>378</v>
      </c>
      <c r="T1032" s="4" t="s">
        <v>623</v>
      </c>
      <c r="U1032" s="4">
        <v>0</v>
      </c>
      <c r="V1032" s="4">
        <v>41</v>
      </c>
      <c r="W1032" s="4">
        <v>78</v>
      </c>
    </row>
    <row r="1033" spans="1:23" ht="11.25" customHeight="1" x14ac:dyDescent="0.25">
      <c r="A1033" s="4" t="s">
        <v>21</v>
      </c>
      <c r="B1033" s="4" t="s">
        <v>37</v>
      </c>
      <c r="C1033" s="4" t="s">
        <v>33</v>
      </c>
      <c r="D1033" s="4" t="s">
        <v>41</v>
      </c>
      <c r="E1033" s="4" t="s">
        <v>25</v>
      </c>
      <c r="F1033" s="4" t="s">
        <v>25</v>
      </c>
      <c r="G1033" s="4" t="s">
        <v>25</v>
      </c>
      <c r="H1033" s="4" t="s">
        <v>34</v>
      </c>
      <c r="I1033" s="5">
        <v>44621</v>
      </c>
      <c r="J1033" s="6">
        <v>0</v>
      </c>
      <c r="K1033" s="6">
        <v>0</v>
      </c>
      <c r="L1033" s="6">
        <v>4.6660000000000004</v>
      </c>
      <c r="M1033" s="6">
        <v>4.6660000000000004</v>
      </c>
      <c r="N1033" s="6">
        <v>4.6660000000000004</v>
      </c>
      <c r="O1033" s="6">
        <v>4.6660000000000004</v>
      </c>
      <c r="P1033" s="6">
        <v>0</v>
      </c>
      <c r="Q1033" s="4" t="s">
        <v>26</v>
      </c>
      <c r="R1033" s="4">
        <v>0</v>
      </c>
      <c r="S1033" s="4" t="s">
        <v>379</v>
      </c>
      <c r="T1033" s="4" t="s">
        <v>624</v>
      </c>
      <c r="U1033" s="4">
        <v>0</v>
      </c>
      <c r="V1033" s="4">
        <v>41</v>
      </c>
      <c r="W1033" s="4">
        <v>78</v>
      </c>
    </row>
    <row r="1034" spans="1:23" ht="11.25" customHeight="1" x14ac:dyDescent="0.25">
      <c r="A1034" s="4" t="s">
        <v>28</v>
      </c>
      <c r="B1034" s="4" t="s">
        <v>37</v>
      </c>
      <c r="C1034" s="4" t="s">
        <v>33</v>
      </c>
      <c r="D1034" s="4" t="s">
        <v>41</v>
      </c>
      <c r="E1034" s="4" t="s">
        <v>25</v>
      </c>
      <c r="F1034" s="4" t="s">
        <v>25</v>
      </c>
      <c r="G1034" s="4" t="s">
        <v>25</v>
      </c>
      <c r="H1034" s="4" t="s">
        <v>34</v>
      </c>
      <c r="I1034" s="5">
        <v>44621</v>
      </c>
      <c r="J1034" s="6">
        <v>0</v>
      </c>
      <c r="K1034" s="6">
        <v>0</v>
      </c>
      <c r="L1034" s="6">
        <v>0.106</v>
      </c>
      <c r="M1034" s="6">
        <v>0.106</v>
      </c>
      <c r="N1034" s="6">
        <v>0.106</v>
      </c>
      <c r="O1034" s="6">
        <v>0.106</v>
      </c>
      <c r="P1034" s="6">
        <v>0</v>
      </c>
      <c r="Q1034" s="4" t="s">
        <v>26</v>
      </c>
      <c r="R1034" s="4">
        <v>0</v>
      </c>
      <c r="S1034" s="4" t="s">
        <v>379</v>
      </c>
      <c r="T1034" s="4" t="s">
        <v>624</v>
      </c>
      <c r="U1034" s="4">
        <v>0</v>
      </c>
      <c r="V1034" s="4">
        <v>41</v>
      </c>
      <c r="W1034" s="4">
        <v>78</v>
      </c>
    </row>
    <row r="1035" spans="1:23" ht="11.25" customHeight="1" x14ac:dyDescent="0.25">
      <c r="A1035" s="4" t="s">
        <v>21</v>
      </c>
      <c r="B1035" s="4" t="s">
        <v>37</v>
      </c>
      <c r="C1035" s="4" t="s">
        <v>33</v>
      </c>
      <c r="D1035" s="4" t="s">
        <v>41</v>
      </c>
      <c r="E1035" s="4" t="s">
        <v>25</v>
      </c>
      <c r="F1035" s="4" t="s">
        <v>25</v>
      </c>
      <c r="G1035" s="4" t="s">
        <v>25</v>
      </c>
      <c r="H1035" s="4" t="s">
        <v>34</v>
      </c>
      <c r="I1035" s="5">
        <v>44652</v>
      </c>
      <c r="J1035" s="6">
        <v>0</v>
      </c>
      <c r="K1035" s="6">
        <v>0</v>
      </c>
      <c r="L1035" s="6">
        <v>4.4059999999999997</v>
      </c>
      <c r="M1035" s="6">
        <v>4.4059999999999997</v>
      </c>
      <c r="N1035" s="6">
        <v>4.4059999999999997</v>
      </c>
      <c r="O1035" s="6">
        <v>4.4059999999999997</v>
      </c>
      <c r="P1035" s="6">
        <v>0</v>
      </c>
      <c r="Q1035" s="4" t="s">
        <v>26</v>
      </c>
      <c r="R1035" s="4">
        <v>0</v>
      </c>
      <c r="S1035" s="4" t="s">
        <v>380</v>
      </c>
      <c r="T1035" s="4" t="s">
        <v>625</v>
      </c>
      <c r="U1035" s="4">
        <v>0</v>
      </c>
      <c r="V1035" s="4">
        <v>41</v>
      </c>
      <c r="W1035" s="4">
        <v>78</v>
      </c>
    </row>
    <row r="1036" spans="1:23" ht="11.25" customHeight="1" x14ac:dyDescent="0.25">
      <c r="A1036" s="4" t="s">
        <v>28</v>
      </c>
      <c r="B1036" s="4" t="s">
        <v>37</v>
      </c>
      <c r="C1036" s="4" t="s">
        <v>33</v>
      </c>
      <c r="D1036" s="4" t="s">
        <v>41</v>
      </c>
      <c r="E1036" s="4" t="s">
        <v>25</v>
      </c>
      <c r="F1036" s="4" t="s">
        <v>25</v>
      </c>
      <c r="G1036" s="4" t="s">
        <v>25</v>
      </c>
      <c r="H1036" s="4" t="s">
        <v>34</v>
      </c>
      <c r="I1036" s="5">
        <v>44652</v>
      </c>
      <c r="J1036" s="6">
        <v>0</v>
      </c>
      <c r="K1036" s="6">
        <v>0</v>
      </c>
      <c r="L1036" s="6">
        <v>0.186</v>
      </c>
      <c r="M1036" s="6">
        <v>0.186</v>
      </c>
      <c r="N1036" s="6">
        <v>0.186</v>
      </c>
      <c r="O1036" s="6">
        <v>0.186</v>
      </c>
      <c r="P1036" s="6">
        <v>0</v>
      </c>
      <c r="Q1036" s="4" t="s">
        <v>26</v>
      </c>
      <c r="R1036" s="4">
        <v>0</v>
      </c>
      <c r="S1036" s="4" t="s">
        <v>380</v>
      </c>
      <c r="T1036" s="4" t="s">
        <v>625</v>
      </c>
      <c r="U1036" s="4">
        <v>0</v>
      </c>
      <c r="V1036" s="4">
        <v>41</v>
      </c>
      <c r="W1036" s="4">
        <v>78</v>
      </c>
    </row>
    <row r="1037" spans="1:23" ht="11.25" customHeight="1" x14ac:dyDescent="0.25">
      <c r="A1037" s="4" t="s">
        <v>21</v>
      </c>
      <c r="B1037" s="4" t="s">
        <v>37</v>
      </c>
      <c r="C1037" s="4" t="s">
        <v>33</v>
      </c>
      <c r="D1037" s="4" t="s">
        <v>41</v>
      </c>
      <c r="E1037" s="4" t="s">
        <v>25</v>
      </c>
      <c r="F1037" s="4" t="s">
        <v>25</v>
      </c>
      <c r="G1037" s="4" t="s">
        <v>25</v>
      </c>
      <c r="H1037" s="4" t="s">
        <v>34</v>
      </c>
      <c r="I1037" s="5">
        <v>44682</v>
      </c>
      <c r="J1037" s="6">
        <v>0</v>
      </c>
      <c r="K1037" s="6">
        <v>0</v>
      </c>
      <c r="L1037" s="6">
        <v>4.01</v>
      </c>
      <c r="M1037" s="6">
        <v>4.01</v>
      </c>
      <c r="N1037" s="6">
        <v>4.01</v>
      </c>
      <c r="O1037" s="6">
        <v>4.01</v>
      </c>
      <c r="P1037" s="6">
        <v>0</v>
      </c>
      <c r="Q1037" s="4" t="s">
        <v>26</v>
      </c>
      <c r="R1037" s="4">
        <v>0</v>
      </c>
      <c r="S1037" s="4" t="s">
        <v>381</v>
      </c>
      <c r="T1037" s="4" t="s">
        <v>626</v>
      </c>
      <c r="U1037" s="4">
        <v>0</v>
      </c>
      <c r="V1037" s="4">
        <v>41</v>
      </c>
      <c r="W1037" s="4">
        <v>78</v>
      </c>
    </row>
    <row r="1038" spans="1:23" ht="11.25" customHeight="1" x14ac:dyDescent="0.25">
      <c r="A1038" s="4" t="s">
        <v>28</v>
      </c>
      <c r="B1038" s="4" t="s">
        <v>37</v>
      </c>
      <c r="C1038" s="4" t="s">
        <v>33</v>
      </c>
      <c r="D1038" s="4" t="s">
        <v>41</v>
      </c>
      <c r="E1038" s="4" t="s">
        <v>25</v>
      </c>
      <c r="F1038" s="4" t="s">
        <v>25</v>
      </c>
      <c r="G1038" s="4" t="s">
        <v>25</v>
      </c>
      <c r="H1038" s="4" t="s">
        <v>34</v>
      </c>
      <c r="I1038" s="5">
        <v>44682</v>
      </c>
      <c r="J1038" s="6">
        <v>0</v>
      </c>
      <c r="K1038" s="6">
        <v>0</v>
      </c>
      <c r="L1038" s="6">
        <v>0.25900000000000001</v>
      </c>
      <c r="M1038" s="6">
        <v>0.25900000000000001</v>
      </c>
      <c r="N1038" s="6">
        <v>0.25900000000000001</v>
      </c>
      <c r="O1038" s="6">
        <v>0.25900000000000001</v>
      </c>
      <c r="P1038" s="6">
        <v>0</v>
      </c>
      <c r="Q1038" s="4" t="s">
        <v>26</v>
      </c>
      <c r="R1038" s="4">
        <v>0</v>
      </c>
      <c r="S1038" s="4" t="s">
        <v>381</v>
      </c>
      <c r="T1038" s="4" t="s">
        <v>626</v>
      </c>
      <c r="U1038" s="4">
        <v>0</v>
      </c>
      <c r="V1038" s="4">
        <v>41</v>
      </c>
      <c r="W1038" s="4">
        <v>78</v>
      </c>
    </row>
    <row r="1039" spans="1:23" ht="11.25" customHeight="1" x14ac:dyDescent="0.25">
      <c r="A1039" s="4" t="s">
        <v>21</v>
      </c>
      <c r="B1039" s="4" t="s">
        <v>37</v>
      </c>
      <c r="C1039" s="4" t="s">
        <v>33</v>
      </c>
      <c r="D1039" s="4" t="s">
        <v>41</v>
      </c>
      <c r="E1039" s="4" t="s">
        <v>25</v>
      </c>
      <c r="F1039" s="4" t="s">
        <v>25</v>
      </c>
      <c r="G1039" s="4" t="s">
        <v>25</v>
      </c>
      <c r="H1039" s="4" t="s">
        <v>34</v>
      </c>
      <c r="I1039" s="5">
        <v>44713</v>
      </c>
      <c r="J1039" s="6">
        <v>0</v>
      </c>
      <c r="K1039" s="6">
        <v>0</v>
      </c>
      <c r="L1039" s="6">
        <v>3.65</v>
      </c>
      <c r="M1039" s="6">
        <v>3.65</v>
      </c>
      <c r="N1039" s="6">
        <v>3.65</v>
      </c>
      <c r="O1039" s="6">
        <v>3.65</v>
      </c>
      <c r="P1039" s="6">
        <v>0</v>
      </c>
      <c r="Q1039" s="4" t="s">
        <v>26</v>
      </c>
      <c r="R1039" s="4">
        <v>0</v>
      </c>
      <c r="S1039" s="4" t="s">
        <v>382</v>
      </c>
      <c r="T1039" s="4" t="s">
        <v>627</v>
      </c>
      <c r="U1039" s="4">
        <v>0</v>
      </c>
      <c r="V1039" s="4">
        <v>41</v>
      </c>
      <c r="W1039" s="4">
        <v>78</v>
      </c>
    </row>
    <row r="1040" spans="1:23" ht="11.25" customHeight="1" x14ac:dyDescent="0.25">
      <c r="A1040" s="4" t="s">
        <v>28</v>
      </c>
      <c r="B1040" s="4" t="s">
        <v>37</v>
      </c>
      <c r="C1040" s="4" t="s">
        <v>33</v>
      </c>
      <c r="D1040" s="4" t="s">
        <v>41</v>
      </c>
      <c r="E1040" s="4" t="s">
        <v>25</v>
      </c>
      <c r="F1040" s="4" t="s">
        <v>25</v>
      </c>
      <c r="G1040" s="4" t="s">
        <v>25</v>
      </c>
      <c r="H1040" s="4" t="s">
        <v>34</v>
      </c>
      <c r="I1040" s="5">
        <v>44713</v>
      </c>
      <c r="J1040" s="6">
        <v>0</v>
      </c>
      <c r="K1040" s="6">
        <v>0</v>
      </c>
      <c r="L1040" s="6">
        <v>0.24199999999999999</v>
      </c>
      <c r="M1040" s="6">
        <v>0.24199999999999999</v>
      </c>
      <c r="N1040" s="6">
        <v>0.24199999999999999</v>
      </c>
      <c r="O1040" s="6">
        <v>0.24199999999999999</v>
      </c>
      <c r="P1040" s="6">
        <v>0</v>
      </c>
      <c r="Q1040" s="4" t="s">
        <v>26</v>
      </c>
      <c r="R1040" s="4">
        <v>0</v>
      </c>
      <c r="S1040" s="4" t="s">
        <v>382</v>
      </c>
      <c r="T1040" s="4" t="s">
        <v>627</v>
      </c>
      <c r="U1040" s="4">
        <v>0</v>
      </c>
      <c r="V1040" s="4">
        <v>41</v>
      </c>
      <c r="W1040" s="4">
        <v>78</v>
      </c>
    </row>
    <row r="1041" spans="1:23" ht="11.25" customHeight="1" x14ac:dyDescent="0.25">
      <c r="A1041" s="4" t="s">
        <v>21</v>
      </c>
      <c r="B1041" s="4" t="s">
        <v>37</v>
      </c>
      <c r="C1041" s="4" t="s">
        <v>33</v>
      </c>
      <c r="D1041" s="4" t="s">
        <v>41</v>
      </c>
      <c r="E1041" s="4" t="s">
        <v>25</v>
      </c>
      <c r="F1041" s="4" t="s">
        <v>25</v>
      </c>
      <c r="G1041" s="4" t="s">
        <v>25</v>
      </c>
      <c r="H1041" s="4" t="s">
        <v>34</v>
      </c>
      <c r="I1041" s="5">
        <v>44743</v>
      </c>
      <c r="J1041" s="6">
        <v>0</v>
      </c>
      <c r="K1041" s="6">
        <v>0</v>
      </c>
      <c r="L1041" s="6">
        <v>3.38</v>
      </c>
      <c r="M1041" s="6">
        <v>3.38</v>
      </c>
      <c r="N1041" s="6">
        <v>3.38</v>
      </c>
      <c r="O1041" s="6">
        <v>3.38</v>
      </c>
      <c r="P1041" s="6">
        <v>0</v>
      </c>
      <c r="Q1041" s="4" t="s">
        <v>26</v>
      </c>
      <c r="R1041" s="4">
        <v>0</v>
      </c>
      <c r="S1041" s="4" t="s">
        <v>383</v>
      </c>
      <c r="T1041" s="4" t="s">
        <v>628</v>
      </c>
      <c r="U1041" s="4">
        <v>0</v>
      </c>
      <c r="V1041" s="4">
        <v>41</v>
      </c>
      <c r="W1041" s="4">
        <v>78</v>
      </c>
    </row>
    <row r="1042" spans="1:23" ht="11.25" customHeight="1" x14ac:dyDescent="0.25">
      <c r="A1042" s="4" t="s">
        <v>28</v>
      </c>
      <c r="B1042" s="4" t="s">
        <v>37</v>
      </c>
      <c r="C1042" s="4" t="s">
        <v>33</v>
      </c>
      <c r="D1042" s="4" t="s">
        <v>41</v>
      </c>
      <c r="E1042" s="4" t="s">
        <v>25</v>
      </c>
      <c r="F1042" s="4" t="s">
        <v>25</v>
      </c>
      <c r="G1042" s="4" t="s">
        <v>25</v>
      </c>
      <c r="H1042" s="4" t="s">
        <v>34</v>
      </c>
      <c r="I1042" s="5">
        <v>44743</v>
      </c>
      <c r="J1042" s="6">
        <v>0</v>
      </c>
      <c r="K1042" s="6">
        <v>0</v>
      </c>
      <c r="L1042" s="6">
        <v>0.28199999999999997</v>
      </c>
      <c r="M1042" s="6">
        <v>0.28199999999999997</v>
      </c>
      <c r="N1042" s="6">
        <v>0.28199999999999997</v>
      </c>
      <c r="O1042" s="6">
        <v>0.28199999999999997</v>
      </c>
      <c r="P1042" s="6">
        <v>0</v>
      </c>
      <c r="Q1042" s="4" t="s">
        <v>26</v>
      </c>
      <c r="R1042" s="4">
        <v>0</v>
      </c>
      <c r="S1042" s="4" t="s">
        <v>383</v>
      </c>
      <c r="T1042" s="4" t="s">
        <v>628</v>
      </c>
      <c r="U1042" s="4">
        <v>0</v>
      </c>
      <c r="V1042" s="4">
        <v>41</v>
      </c>
      <c r="W1042" s="4">
        <v>78</v>
      </c>
    </row>
    <row r="1043" spans="1:23" ht="11.25" customHeight="1" x14ac:dyDescent="0.25">
      <c r="A1043" s="4" t="s">
        <v>56</v>
      </c>
      <c r="B1043" s="4" t="s">
        <v>37</v>
      </c>
      <c r="C1043" s="4" t="s">
        <v>33</v>
      </c>
      <c r="D1043" s="4" t="s">
        <v>41</v>
      </c>
      <c r="E1043" s="4" t="s">
        <v>25</v>
      </c>
      <c r="F1043" s="4" t="s">
        <v>25</v>
      </c>
      <c r="G1043" s="4" t="s">
        <v>25</v>
      </c>
      <c r="H1043" s="4" t="s">
        <v>34</v>
      </c>
      <c r="I1043" s="5">
        <v>44774</v>
      </c>
      <c r="J1043" s="6">
        <v>0</v>
      </c>
      <c r="K1043" s="6">
        <v>0</v>
      </c>
      <c r="L1043" s="6">
        <v>3.38</v>
      </c>
      <c r="M1043" s="6">
        <v>3.38</v>
      </c>
      <c r="N1043" s="6">
        <v>3.38</v>
      </c>
      <c r="O1043" s="6">
        <v>3.38</v>
      </c>
      <c r="P1043" s="6">
        <v>0</v>
      </c>
      <c r="Q1043" s="4" t="s">
        <v>26</v>
      </c>
      <c r="R1043" s="4">
        <v>0</v>
      </c>
      <c r="S1043" s="4" t="s">
        <v>384</v>
      </c>
      <c r="T1043" s="4" t="s">
        <v>629</v>
      </c>
      <c r="U1043" s="4">
        <v>0</v>
      </c>
      <c r="V1043" s="4">
        <v>41</v>
      </c>
      <c r="W1043" s="4">
        <v>78</v>
      </c>
    </row>
    <row r="1044" spans="1:23" ht="11.25" customHeight="1" x14ac:dyDescent="0.25">
      <c r="A1044" s="4" t="s">
        <v>56</v>
      </c>
      <c r="B1044" s="4" t="s">
        <v>37</v>
      </c>
      <c r="C1044" s="4" t="s">
        <v>33</v>
      </c>
      <c r="D1044" s="4" t="s">
        <v>41</v>
      </c>
      <c r="E1044" s="4" t="s">
        <v>25</v>
      </c>
      <c r="F1044" s="4" t="s">
        <v>25</v>
      </c>
      <c r="G1044" s="4" t="s">
        <v>25</v>
      </c>
      <c r="H1044" s="4" t="s">
        <v>34</v>
      </c>
      <c r="I1044" s="5">
        <v>44774</v>
      </c>
      <c r="J1044" s="6">
        <v>0</v>
      </c>
      <c r="K1044" s="6">
        <v>0</v>
      </c>
      <c r="L1044" s="6">
        <v>0.28199999999999997</v>
      </c>
      <c r="M1044" s="6">
        <v>0.28199999999999997</v>
      </c>
      <c r="N1044" s="6">
        <v>0.28199999999999997</v>
      </c>
      <c r="O1044" s="6">
        <v>0.28199999999999997</v>
      </c>
      <c r="P1044" s="6">
        <v>0</v>
      </c>
      <c r="Q1044" s="4" t="s">
        <v>26</v>
      </c>
      <c r="R1044" s="4">
        <v>0</v>
      </c>
      <c r="S1044" s="4" t="s">
        <v>384</v>
      </c>
      <c r="T1044" s="4" t="s">
        <v>629</v>
      </c>
      <c r="U1044" s="4">
        <v>0</v>
      </c>
      <c r="V1044" s="4">
        <v>41</v>
      </c>
      <c r="W1044" s="4">
        <v>78</v>
      </c>
    </row>
    <row r="1045" spans="1:23" ht="11.25" customHeight="1" x14ac:dyDescent="0.25">
      <c r="A1045" s="4" t="s">
        <v>21</v>
      </c>
      <c r="B1045" s="4" t="s">
        <v>37</v>
      </c>
      <c r="C1045" s="4" t="s">
        <v>33</v>
      </c>
      <c r="D1045" s="4" t="s">
        <v>38</v>
      </c>
      <c r="E1045" s="4" t="s">
        <v>25</v>
      </c>
      <c r="F1045" s="4" t="s">
        <v>25</v>
      </c>
      <c r="G1045" s="4" t="s">
        <v>25</v>
      </c>
      <c r="H1045" s="4" t="s">
        <v>35</v>
      </c>
      <c r="I1045" s="5">
        <v>44440</v>
      </c>
      <c r="J1045" s="6">
        <v>0</v>
      </c>
      <c r="K1045" s="6">
        <v>0</v>
      </c>
      <c r="L1045" s="6">
        <v>13.423999999999999</v>
      </c>
      <c r="M1045" s="6">
        <v>13.423999999999999</v>
      </c>
      <c r="N1045" s="6">
        <v>13.423999999999999</v>
      </c>
      <c r="O1045" s="6">
        <v>13.423999999999999</v>
      </c>
      <c r="P1045" s="6">
        <v>0</v>
      </c>
      <c r="Q1045" s="4" t="s">
        <v>26</v>
      </c>
      <c r="R1045" s="4">
        <v>0</v>
      </c>
      <c r="S1045" s="4" t="s">
        <v>338</v>
      </c>
      <c r="T1045" s="4" t="s">
        <v>583</v>
      </c>
      <c r="U1045" s="4">
        <v>0</v>
      </c>
      <c r="V1045" s="4">
        <v>43</v>
      </c>
      <c r="W1045" s="4">
        <v>80</v>
      </c>
    </row>
    <row r="1046" spans="1:23" ht="11.25" customHeight="1" x14ac:dyDescent="0.25">
      <c r="A1046" s="4" t="s">
        <v>28</v>
      </c>
      <c r="B1046" s="4" t="s">
        <v>37</v>
      </c>
      <c r="C1046" s="4" t="s">
        <v>33</v>
      </c>
      <c r="D1046" s="4" t="s">
        <v>38</v>
      </c>
      <c r="E1046" s="4" t="s">
        <v>25</v>
      </c>
      <c r="F1046" s="4" t="s">
        <v>25</v>
      </c>
      <c r="G1046" s="4" t="s">
        <v>25</v>
      </c>
      <c r="H1046" s="4" t="s">
        <v>35</v>
      </c>
      <c r="I1046" s="5">
        <v>44440</v>
      </c>
      <c r="J1046" s="6">
        <v>0</v>
      </c>
      <c r="K1046" s="6">
        <v>0</v>
      </c>
      <c r="L1046" s="6">
        <v>1.92</v>
      </c>
      <c r="M1046" s="6">
        <v>1.92</v>
      </c>
      <c r="N1046" s="6">
        <v>1.92</v>
      </c>
      <c r="O1046" s="6">
        <v>1.92</v>
      </c>
      <c r="P1046" s="6">
        <v>0</v>
      </c>
      <c r="Q1046" s="4" t="s">
        <v>26</v>
      </c>
      <c r="R1046" s="4">
        <v>0</v>
      </c>
      <c r="S1046" s="4" t="s">
        <v>338</v>
      </c>
      <c r="T1046" s="4" t="s">
        <v>583</v>
      </c>
      <c r="U1046" s="4">
        <v>0</v>
      </c>
      <c r="V1046" s="4">
        <v>43</v>
      </c>
      <c r="W1046" s="4">
        <v>80</v>
      </c>
    </row>
    <row r="1047" spans="1:23" ht="11.25" customHeight="1" x14ac:dyDescent="0.25">
      <c r="A1047" s="4" t="s">
        <v>21</v>
      </c>
      <c r="B1047" s="4" t="s">
        <v>37</v>
      </c>
      <c r="C1047" s="4" t="s">
        <v>33</v>
      </c>
      <c r="D1047" s="4" t="s">
        <v>38</v>
      </c>
      <c r="E1047" s="4" t="s">
        <v>25</v>
      </c>
      <c r="F1047" s="4" t="s">
        <v>25</v>
      </c>
      <c r="G1047" s="4" t="s">
        <v>25</v>
      </c>
      <c r="H1047" s="4" t="s">
        <v>35</v>
      </c>
      <c r="I1047" s="5">
        <v>44470</v>
      </c>
      <c r="J1047" s="6">
        <v>0</v>
      </c>
      <c r="K1047" s="6">
        <v>0</v>
      </c>
      <c r="L1047" s="6">
        <v>14.161</v>
      </c>
      <c r="M1047" s="6">
        <v>14.161</v>
      </c>
      <c r="N1047" s="6">
        <v>14.161</v>
      </c>
      <c r="O1047" s="6">
        <v>14.161</v>
      </c>
      <c r="P1047" s="6">
        <v>0</v>
      </c>
      <c r="Q1047" s="4" t="s">
        <v>26</v>
      </c>
      <c r="R1047" s="4">
        <v>0</v>
      </c>
      <c r="S1047" s="4" t="s">
        <v>339</v>
      </c>
      <c r="T1047" s="4" t="s">
        <v>584</v>
      </c>
      <c r="U1047" s="4">
        <v>0</v>
      </c>
      <c r="V1047" s="4">
        <v>43</v>
      </c>
      <c r="W1047" s="4">
        <v>80</v>
      </c>
    </row>
    <row r="1048" spans="1:23" ht="11.25" customHeight="1" x14ac:dyDescent="0.25">
      <c r="A1048" s="4" t="s">
        <v>28</v>
      </c>
      <c r="B1048" s="4" t="s">
        <v>37</v>
      </c>
      <c r="C1048" s="4" t="s">
        <v>33</v>
      </c>
      <c r="D1048" s="4" t="s">
        <v>38</v>
      </c>
      <c r="E1048" s="4" t="s">
        <v>25</v>
      </c>
      <c r="F1048" s="4" t="s">
        <v>25</v>
      </c>
      <c r="G1048" s="4" t="s">
        <v>25</v>
      </c>
      <c r="H1048" s="4" t="s">
        <v>35</v>
      </c>
      <c r="I1048" s="5">
        <v>44470</v>
      </c>
      <c r="J1048" s="6">
        <v>0</v>
      </c>
      <c r="K1048" s="6">
        <v>0</v>
      </c>
      <c r="L1048" s="6">
        <v>1.7430000000000001</v>
      </c>
      <c r="M1048" s="6">
        <v>1.7430000000000001</v>
      </c>
      <c r="N1048" s="6">
        <v>1.7430000000000001</v>
      </c>
      <c r="O1048" s="6">
        <v>1.7430000000000001</v>
      </c>
      <c r="P1048" s="6">
        <v>0</v>
      </c>
      <c r="Q1048" s="4" t="s">
        <v>26</v>
      </c>
      <c r="R1048" s="4">
        <v>0</v>
      </c>
      <c r="S1048" s="4" t="s">
        <v>339</v>
      </c>
      <c r="T1048" s="4" t="s">
        <v>584</v>
      </c>
      <c r="U1048" s="4">
        <v>0</v>
      </c>
      <c r="V1048" s="4">
        <v>43</v>
      </c>
      <c r="W1048" s="4">
        <v>80</v>
      </c>
    </row>
    <row r="1049" spans="1:23" ht="11.25" customHeight="1" x14ac:dyDescent="0.25">
      <c r="A1049" s="4" t="s">
        <v>21</v>
      </c>
      <c r="B1049" s="4" t="s">
        <v>37</v>
      </c>
      <c r="C1049" s="4" t="s">
        <v>33</v>
      </c>
      <c r="D1049" s="4" t="s">
        <v>38</v>
      </c>
      <c r="E1049" s="4" t="s">
        <v>25</v>
      </c>
      <c r="F1049" s="4" t="s">
        <v>25</v>
      </c>
      <c r="G1049" s="4" t="s">
        <v>25</v>
      </c>
      <c r="H1049" s="4" t="s">
        <v>35</v>
      </c>
      <c r="I1049" s="5">
        <v>44501</v>
      </c>
      <c r="J1049" s="6">
        <v>0</v>
      </c>
      <c r="K1049" s="6">
        <v>0</v>
      </c>
      <c r="L1049" s="6">
        <v>8.1609999999999996</v>
      </c>
      <c r="M1049" s="6">
        <v>8.1609999999999996</v>
      </c>
      <c r="N1049" s="6">
        <v>8.1609999999999996</v>
      </c>
      <c r="O1049" s="6">
        <v>8.1609999999999996</v>
      </c>
      <c r="P1049" s="6">
        <v>0</v>
      </c>
      <c r="Q1049" s="4" t="s">
        <v>26</v>
      </c>
      <c r="R1049" s="4">
        <v>0</v>
      </c>
      <c r="S1049" s="4" t="s">
        <v>340</v>
      </c>
      <c r="T1049" s="4" t="s">
        <v>585</v>
      </c>
      <c r="U1049" s="4">
        <v>0</v>
      </c>
      <c r="V1049" s="4">
        <v>43</v>
      </c>
      <c r="W1049" s="4">
        <v>80</v>
      </c>
    </row>
    <row r="1050" spans="1:23" ht="11.25" customHeight="1" x14ac:dyDescent="0.25">
      <c r="A1050" s="4" t="s">
        <v>28</v>
      </c>
      <c r="B1050" s="4" t="s">
        <v>37</v>
      </c>
      <c r="C1050" s="4" t="s">
        <v>33</v>
      </c>
      <c r="D1050" s="4" t="s">
        <v>38</v>
      </c>
      <c r="E1050" s="4" t="s">
        <v>25</v>
      </c>
      <c r="F1050" s="4" t="s">
        <v>25</v>
      </c>
      <c r="G1050" s="4" t="s">
        <v>25</v>
      </c>
      <c r="H1050" s="4" t="s">
        <v>35</v>
      </c>
      <c r="I1050" s="5">
        <v>44501</v>
      </c>
      <c r="J1050" s="6">
        <v>0</v>
      </c>
      <c r="K1050" s="6">
        <v>0</v>
      </c>
      <c r="L1050" s="6">
        <v>3.746</v>
      </c>
      <c r="M1050" s="6">
        <v>3.746</v>
      </c>
      <c r="N1050" s="6">
        <v>3.746</v>
      </c>
      <c r="O1050" s="6">
        <v>3.746</v>
      </c>
      <c r="P1050" s="6">
        <v>0</v>
      </c>
      <c r="Q1050" s="4" t="s">
        <v>26</v>
      </c>
      <c r="R1050" s="4">
        <v>0</v>
      </c>
      <c r="S1050" s="4" t="s">
        <v>340</v>
      </c>
      <c r="T1050" s="4" t="s">
        <v>585</v>
      </c>
      <c r="U1050" s="4">
        <v>0</v>
      </c>
      <c r="V1050" s="4">
        <v>43</v>
      </c>
      <c r="W1050" s="4">
        <v>80</v>
      </c>
    </row>
    <row r="1051" spans="1:23" ht="11.25" customHeight="1" x14ac:dyDescent="0.25">
      <c r="A1051" s="4" t="s">
        <v>21</v>
      </c>
      <c r="B1051" s="4" t="s">
        <v>37</v>
      </c>
      <c r="C1051" s="4" t="s">
        <v>33</v>
      </c>
      <c r="D1051" s="4" t="s">
        <v>38</v>
      </c>
      <c r="E1051" s="4" t="s">
        <v>25</v>
      </c>
      <c r="F1051" s="4" t="s">
        <v>25</v>
      </c>
      <c r="G1051" s="4" t="s">
        <v>25</v>
      </c>
      <c r="H1051" s="4" t="s">
        <v>35</v>
      </c>
      <c r="I1051" s="5">
        <v>44531</v>
      </c>
      <c r="J1051" s="6">
        <v>0</v>
      </c>
      <c r="K1051" s="6">
        <v>0</v>
      </c>
      <c r="L1051" s="6">
        <v>8.2840000000000007</v>
      </c>
      <c r="M1051" s="6">
        <v>8.2840000000000007</v>
      </c>
      <c r="N1051" s="6">
        <v>8.2840000000000007</v>
      </c>
      <c r="O1051" s="6">
        <v>8.2840000000000007</v>
      </c>
      <c r="P1051" s="6">
        <v>0</v>
      </c>
      <c r="Q1051" s="4" t="s">
        <v>26</v>
      </c>
      <c r="R1051" s="4">
        <v>0</v>
      </c>
      <c r="S1051" s="4" t="s">
        <v>341</v>
      </c>
      <c r="T1051" s="4" t="s">
        <v>586</v>
      </c>
      <c r="U1051" s="4">
        <v>0</v>
      </c>
      <c r="V1051" s="4">
        <v>43</v>
      </c>
      <c r="W1051" s="4">
        <v>80</v>
      </c>
    </row>
    <row r="1052" spans="1:23" ht="11.25" customHeight="1" x14ac:dyDescent="0.25">
      <c r="A1052" s="4" t="s">
        <v>28</v>
      </c>
      <c r="B1052" s="4" t="s">
        <v>37</v>
      </c>
      <c r="C1052" s="4" t="s">
        <v>33</v>
      </c>
      <c r="D1052" s="4" t="s">
        <v>38</v>
      </c>
      <c r="E1052" s="4" t="s">
        <v>25</v>
      </c>
      <c r="F1052" s="4" t="s">
        <v>25</v>
      </c>
      <c r="G1052" s="4" t="s">
        <v>25</v>
      </c>
      <c r="H1052" s="4" t="s">
        <v>35</v>
      </c>
      <c r="I1052" s="5">
        <v>44531</v>
      </c>
      <c r="J1052" s="6">
        <v>0</v>
      </c>
      <c r="K1052" s="6">
        <v>0</v>
      </c>
      <c r="L1052" s="6">
        <v>0.93600000000000005</v>
      </c>
      <c r="M1052" s="6">
        <v>0.93600000000000005</v>
      </c>
      <c r="N1052" s="6">
        <v>0.93600000000000005</v>
      </c>
      <c r="O1052" s="6">
        <v>0.93600000000000005</v>
      </c>
      <c r="P1052" s="6">
        <v>0</v>
      </c>
      <c r="Q1052" s="4" t="s">
        <v>26</v>
      </c>
      <c r="R1052" s="4">
        <v>0</v>
      </c>
      <c r="S1052" s="4" t="s">
        <v>341</v>
      </c>
      <c r="T1052" s="4" t="s">
        <v>586</v>
      </c>
      <c r="U1052" s="4">
        <v>0</v>
      </c>
      <c r="V1052" s="4">
        <v>43</v>
      </c>
      <c r="W1052" s="4">
        <v>80</v>
      </c>
    </row>
    <row r="1053" spans="1:23" ht="11.25" customHeight="1" x14ac:dyDescent="0.25">
      <c r="A1053" s="4" t="s">
        <v>21</v>
      </c>
      <c r="B1053" s="4" t="s">
        <v>37</v>
      </c>
      <c r="C1053" s="4" t="s">
        <v>33</v>
      </c>
      <c r="D1053" s="4" t="s">
        <v>38</v>
      </c>
      <c r="E1053" s="4" t="s">
        <v>25</v>
      </c>
      <c r="F1053" s="4" t="s">
        <v>25</v>
      </c>
      <c r="G1053" s="4" t="s">
        <v>25</v>
      </c>
      <c r="H1053" s="4" t="s">
        <v>35</v>
      </c>
      <c r="I1053" s="5">
        <v>44562</v>
      </c>
      <c r="J1053" s="6">
        <v>0</v>
      </c>
      <c r="K1053" s="6">
        <v>0</v>
      </c>
      <c r="L1053" s="6">
        <v>8.9380000000000006</v>
      </c>
      <c r="M1053" s="6">
        <v>8.9380000000000006</v>
      </c>
      <c r="N1053" s="6">
        <v>8.9380000000000006</v>
      </c>
      <c r="O1053" s="6">
        <v>8.9380000000000006</v>
      </c>
      <c r="P1053" s="6">
        <v>0</v>
      </c>
      <c r="Q1053" s="4" t="s">
        <v>26</v>
      </c>
      <c r="R1053" s="4">
        <v>0</v>
      </c>
      <c r="S1053" s="4" t="s">
        <v>342</v>
      </c>
      <c r="T1053" s="4" t="s">
        <v>587</v>
      </c>
      <c r="U1053" s="4">
        <v>0</v>
      </c>
      <c r="V1053" s="4">
        <v>43</v>
      </c>
      <c r="W1053" s="4">
        <v>80</v>
      </c>
    </row>
    <row r="1054" spans="1:23" ht="11.25" customHeight="1" x14ac:dyDescent="0.25">
      <c r="A1054" s="4" t="s">
        <v>21</v>
      </c>
      <c r="B1054" s="4" t="s">
        <v>37</v>
      </c>
      <c r="C1054" s="4" t="s">
        <v>33</v>
      </c>
      <c r="D1054" s="4" t="s">
        <v>38</v>
      </c>
      <c r="E1054" s="4" t="s">
        <v>25</v>
      </c>
      <c r="F1054" s="4" t="s">
        <v>25</v>
      </c>
      <c r="G1054" s="4" t="s">
        <v>25</v>
      </c>
      <c r="H1054" s="4" t="s">
        <v>35</v>
      </c>
      <c r="I1054" s="5">
        <v>44593</v>
      </c>
      <c r="J1054" s="6">
        <v>0</v>
      </c>
      <c r="K1054" s="6">
        <v>0</v>
      </c>
      <c r="L1054" s="6">
        <v>10.185</v>
      </c>
      <c r="M1054" s="6">
        <v>10.185</v>
      </c>
      <c r="N1054" s="6">
        <v>10.185</v>
      </c>
      <c r="O1054" s="6">
        <v>10.185</v>
      </c>
      <c r="P1054" s="6">
        <v>0</v>
      </c>
      <c r="Q1054" s="4" t="s">
        <v>26</v>
      </c>
      <c r="R1054" s="4">
        <v>0</v>
      </c>
      <c r="S1054" s="4" t="s">
        <v>343</v>
      </c>
      <c r="T1054" s="4" t="s">
        <v>588</v>
      </c>
      <c r="U1054" s="4">
        <v>0</v>
      </c>
      <c r="V1054" s="4">
        <v>43</v>
      </c>
      <c r="W1054" s="4">
        <v>80</v>
      </c>
    </row>
    <row r="1055" spans="1:23" ht="11.25" customHeight="1" x14ac:dyDescent="0.25">
      <c r="A1055" s="4" t="s">
        <v>28</v>
      </c>
      <c r="B1055" s="4" t="s">
        <v>37</v>
      </c>
      <c r="C1055" s="4" t="s">
        <v>33</v>
      </c>
      <c r="D1055" s="4" t="s">
        <v>38</v>
      </c>
      <c r="E1055" s="4" t="s">
        <v>25</v>
      </c>
      <c r="F1055" s="4" t="s">
        <v>25</v>
      </c>
      <c r="G1055" s="4" t="s">
        <v>25</v>
      </c>
      <c r="H1055" s="4" t="s">
        <v>35</v>
      </c>
      <c r="I1055" s="5">
        <v>44593</v>
      </c>
      <c r="J1055" s="6">
        <v>0</v>
      </c>
      <c r="K1055" s="6">
        <v>0</v>
      </c>
      <c r="L1055" s="6">
        <v>3.15</v>
      </c>
      <c r="M1055" s="6">
        <v>3.15</v>
      </c>
      <c r="N1055" s="6">
        <v>3.15</v>
      </c>
      <c r="O1055" s="6">
        <v>3.15</v>
      </c>
      <c r="P1055" s="6">
        <v>0</v>
      </c>
      <c r="Q1055" s="4" t="s">
        <v>26</v>
      </c>
      <c r="R1055" s="4">
        <v>0</v>
      </c>
      <c r="S1055" s="4" t="s">
        <v>343</v>
      </c>
      <c r="T1055" s="4" t="s">
        <v>588</v>
      </c>
      <c r="U1055" s="4">
        <v>0</v>
      </c>
      <c r="V1055" s="4">
        <v>43</v>
      </c>
      <c r="W1055" s="4">
        <v>80</v>
      </c>
    </row>
    <row r="1056" spans="1:23" ht="11.25" customHeight="1" x14ac:dyDescent="0.25">
      <c r="A1056" s="4" t="s">
        <v>21</v>
      </c>
      <c r="B1056" s="4" t="s">
        <v>37</v>
      </c>
      <c r="C1056" s="4" t="s">
        <v>33</v>
      </c>
      <c r="D1056" s="4" t="s">
        <v>38</v>
      </c>
      <c r="E1056" s="4" t="s">
        <v>25</v>
      </c>
      <c r="F1056" s="4" t="s">
        <v>25</v>
      </c>
      <c r="G1056" s="4" t="s">
        <v>25</v>
      </c>
      <c r="H1056" s="4" t="s">
        <v>35</v>
      </c>
      <c r="I1056" s="5">
        <v>44621</v>
      </c>
      <c r="J1056" s="6">
        <v>0</v>
      </c>
      <c r="K1056" s="6">
        <v>0</v>
      </c>
      <c r="L1056" s="6">
        <v>10.805</v>
      </c>
      <c r="M1056" s="6">
        <v>10.805</v>
      </c>
      <c r="N1056" s="6">
        <v>10.805</v>
      </c>
      <c r="O1056" s="6">
        <v>10.805</v>
      </c>
      <c r="P1056" s="6">
        <v>0</v>
      </c>
      <c r="Q1056" s="4" t="s">
        <v>26</v>
      </c>
      <c r="R1056" s="4">
        <v>0</v>
      </c>
      <c r="S1056" s="4" t="s">
        <v>344</v>
      </c>
      <c r="T1056" s="4" t="s">
        <v>589</v>
      </c>
      <c r="U1056" s="4">
        <v>0</v>
      </c>
      <c r="V1056" s="4">
        <v>43</v>
      </c>
      <c r="W1056" s="4">
        <v>80</v>
      </c>
    </row>
    <row r="1057" spans="1:23" ht="11.25" customHeight="1" x14ac:dyDescent="0.25">
      <c r="A1057" s="4" t="s">
        <v>28</v>
      </c>
      <c r="B1057" s="4" t="s">
        <v>37</v>
      </c>
      <c r="C1057" s="4" t="s">
        <v>33</v>
      </c>
      <c r="D1057" s="4" t="s">
        <v>38</v>
      </c>
      <c r="E1057" s="4" t="s">
        <v>25</v>
      </c>
      <c r="F1057" s="4" t="s">
        <v>25</v>
      </c>
      <c r="G1057" s="4" t="s">
        <v>25</v>
      </c>
      <c r="H1057" s="4" t="s">
        <v>35</v>
      </c>
      <c r="I1057" s="5">
        <v>44621</v>
      </c>
      <c r="J1057" s="6">
        <v>0</v>
      </c>
      <c r="K1057" s="6">
        <v>0</v>
      </c>
      <c r="L1057" s="6">
        <v>4.7E-2</v>
      </c>
      <c r="M1057" s="6">
        <v>4.7E-2</v>
      </c>
      <c r="N1057" s="6">
        <v>4.7E-2</v>
      </c>
      <c r="O1057" s="6">
        <v>4.7E-2</v>
      </c>
      <c r="P1057" s="6">
        <v>0</v>
      </c>
      <c r="Q1057" s="4" t="s">
        <v>26</v>
      </c>
      <c r="R1057" s="4">
        <v>0</v>
      </c>
      <c r="S1057" s="4" t="s">
        <v>344</v>
      </c>
      <c r="T1057" s="4" t="s">
        <v>589</v>
      </c>
      <c r="U1057" s="4">
        <v>0</v>
      </c>
      <c r="V1057" s="4">
        <v>43</v>
      </c>
      <c r="W1057" s="4">
        <v>80</v>
      </c>
    </row>
    <row r="1058" spans="1:23" ht="11.25" customHeight="1" x14ac:dyDescent="0.25">
      <c r="A1058" s="4" t="s">
        <v>28</v>
      </c>
      <c r="B1058" s="4" t="s">
        <v>37</v>
      </c>
      <c r="C1058" s="4" t="s">
        <v>33</v>
      </c>
      <c r="D1058" s="4" t="s">
        <v>38</v>
      </c>
      <c r="E1058" s="4" t="s">
        <v>25</v>
      </c>
      <c r="F1058" s="4" t="s">
        <v>25</v>
      </c>
      <c r="G1058" s="4" t="s">
        <v>25</v>
      </c>
      <c r="H1058" s="4" t="s">
        <v>35</v>
      </c>
      <c r="I1058" s="5">
        <v>44621</v>
      </c>
      <c r="J1058" s="6">
        <v>0</v>
      </c>
      <c r="K1058" s="6">
        <v>0</v>
      </c>
      <c r="L1058" s="6">
        <v>3.15</v>
      </c>
      <c r="M1058" s="6">
        <v>3.15</v>
      </c>
      <c r="N1058" s="6">
        <v>3.15</v>
      </c>
      <c r="O1058" s="6">
        <v>3.15</v>
      </c>
      <c r="P1058" s="6">
        <v>0</v>
      </c>
      <c r="Q1058" s="4" t="s">
        <v>26</v>
      </c>
      <c r="R1058" s="4">
        <v>0</v>
      </c>
      <c r="S1058" s="4" t="s">
        <v>344</v>
      </c>
      <c r="T1058" s="4" t="s">
        <v>589</v>
      </c>
      <c r="U1058" s="4">
        <v>0</v>
      </c>
      <c r="V1058" s="4">
        <v>43</v>
      </c>
      <c r="W1058" s="4">
        <v>80</v>
      </c>
    </row>
    <row r="1059" spans="1:23" ht="11.25" customHeight="1" x14ac:dyDescent="0.25">
      <c r="A1059" s="4" t="s">
        <v>21</v>
      </c>
      <c r="B1059" s="4" t="s">
        <v>37</v>
      </c>
      <c r="C1059" s="4" t="s">
        <v>33</v>
      </c>
      <c r="D1059" s="4" t="s">
        <v>38</v>
      </c>
      <c r="E1059" s="4" t="s">
        <v>25</v>
      </c>
      <c r="F1059" s="4" t="s">
        <v>25</v>
      </c>
      <c r="G1059" s="4" t="s">
        <v>25</v>
      </c>
      <c r="H1059" s="4" t="s">
        <v>35</v>
      </c>
      <c r="I1059" s="5">
        <v>44652</v>
      </c>
      <c r="J1059" s="6">
        <v>0</v>
      </c>
      <c r="K1059" s="6">
        <v>0</v>
      </c>
      <c r="L1059" s="6">
        <v>10.351000000000001</v>
      </c>
      <c r="M1059" s="6">
        <v>10.351000000000001</v>
      </c>
      <c r="N1059" s="6">
        <v>10.351000000000001</v>
      </c>
      <c r="O1059" s="6">
        <v>10.351000000000001</v>
      </c>
      <c r="P1059" s="6">
        <v>0</v>
      </c>
      <c r="Q1059" s="4" t="s">
        <v>26</v>
      </c>
      <c r="R1059" s="4">
        <v>0</v>
      </c>
      <c r="S1059" s="4" t="s">
        <v>345</v>
      </c>
      <c r="T1059" s="4" t="s">
        <v>590</v>
      </c>
      <c r="U1059" s="4">
        <v>0</v>
      </c>
      <c r="V1059" s="4">
        <v>43</v>
      </c>
      <c r="W1059" s="4">
        <v>80</v>
      </c>
    </row>
    <row r="1060" spans="1:23" ht="11.25" customHeight="1" x14ac:dyDescent="0.25">
      <c r="A1060" s="4" t="s">
        <v>28</v>
      </c>
      <c r="B1060" s="4" t="s">
        <v>37</v>
      </c>
      <c r="C1060" s="4" t="s">
        <v>33</v>
      </c>
      <c r="D1060" s="4" t="s">
        <v>38</v>
      </c>
      <c r="E1060" s="4" t="s">
        <v>25</v>
      </c>
      <c r="F1060" s="4" t="s">
        <v>25</v>
      </c>
      <c r="G1060" s="4" t="s">
        <v>25</v>
      </c>
      <c r="H1060" s="4" t="s">
        <v>35</v>
      </c>
      <c r="I1060" s="5">
        <v>44652</v>
      </c>
      <c r="J1060" s="6">
        <v>0</v>
      </c>
      <c r="K1060" s="6">
        <v>0</v>
      </c>
      <c r="L1060" s="6">
        <v>0.25600000000000001</v>
      </c>
      <c r="M1060" s="6">
        <v>0.25600000000000001</v>
      </c>
      <c r="N1060" s="6">
        <v>0.25600000000000001</v>
      </c>
      <c r="O1060" s="6">
        <v>0.25600000000000001</v>
      </c>
      <c r="P1060" s="6">
        <v>0</v>
      </c>
      <c r="Q1060" s="4" t="s">
        <v>26</v>
      </c>
      <c r="R1060" s="4">
        <v>0</v>
      </c>
      <c r="S1060" s="4" t="s">
        <v>345</v>
      </c>
      <c r="T1060" s="4" t="s">
        <v>590</v>
      </c>
      <c r="U1060" s="4">
        <v>0</v>
      </c>
      <c r="V1060" s="4">
        <v>43</v>
      </c>
      <c r="W1060" s="4">
        <v>80</v>
      </c>
    </row>
    <row r="1061" spans="1:23" ht="11.25" customHeight="1" x14ac:dyDescent="0.25">
      <c r="A1061" s="4" t="s">
        <v>21</v>
      </c>
      <c r="B1061" s="4" t="s">
        <v>37</v>
      </c>
      <c r="C1061" s="4" t="s">
        <v>33</v>
      </c>
      <c r="D1061" s="4" t="s">
        <v>38</v>
      </c>
      <c r="E1061" s="4" t="s">
        <v>25</v>
      </c>
      <c r="F1061" s="4" t="s">
        <v>25</v>
      </c>
      <c r="G1061" s="4" t="s">
        <v>25</v>
      </c>
      <c r="H1061" s="4" t="s">
        <v>35</v>
      </c>
      <c r="I1061" s="5">
        <v>44682</v>
      </c>
      <c r="J1061" s="6">
        <v>0</v>
      </c>
      <c r="K1061" s="6">
        <v>0</v>
      </c>
      <c r="L1061" s="6">
        <v>9.1</v>
      </c>
      <c r="M1061" s="6">
        <v>9.1</v>
      </c>
      <c r="N1061" s="6">
        <v>9.1</v>
      </c>
      <c r="O1061" s="6">
        <v>9.1</v>
      </c>
      <c r="P1061" s="6">
        <v>0</v>
      </c>
      <c r="Q1061" s="4" t="s">
        <v>26</v>
      </c>
      <c r="R1061" s="4">
        <v>0</v>
      </c>
      <c r="S1061" s="4" t="s">
        <v>346</v>
      </c>
      <c r="T1061" s="4" t="s">
        <v>591</v>
      </c>
      <c r="U1061" s="4">
        <v>0</v>
      </c>
      <c r="V1061" s="4">
        <v>43</v>
      </c>
      <c r="W1061" s="4">
        <v>80</v>
      </c>
    </row>
    <row r="1062" spans="1:23" ht="11.25" customHeight="1" x14ac:dyDescent="0.25">
      <c r="A1062" s="4" t="s">
        <v>28</v>
      </c>
      <c r="B1062" s="4" t="s">
        <v>37</v>
      </c>
      <c r="C1062" s="4" t="s">
        <v>33</v>
      </c>
      <c r="D1062" s="4" t="s">
        <v>38</v>
      </c>
      <c r="E1062" s="4" t="s">
        <v>25</v>
      </c>
      <c r="F1062" s="4" t="s">
        <v>25</v>
      </c>
      <c r="G1062" s="4" t="s">
        <v>25</v>
      </c>
      <c r="H1062" s="4" t="s">
        <v>35</v>
      </c>
      <c r="I1062" s="5">
        <v>44682</v>
      </c>
      <c r="J1062" s="6">
        <v>0</v>
      </c>
      <c r="K1062" s="6">
        <v>0</v>
      </c>
      <c r="L1062" s="6">
        <v>0.24</v>
      </c>
      <c r="M1062" s="6">
        <v>0.24</v>
      </c>
      <c r="N1062" s="6">
        <v>0.24</v>
      </c>
      <c r="O1062" s="6">
        <v>0.24</v>
      </c>
      <c r="P1062" s="6">
        <v>0</v>
      </c>
      <c r="Q1062" s="4" t="s">
        <v>26</v>
      </c>
      <c r="R1062" s="4">
        <v>0</v>
      </c>
      <c r="S1062" s="4" t="s">
        <v>346</v>
      </c>
      <c r="T1062" s="4" t="s">
        <v>591</v>
      </c>
      <c r="U1062" s="4">
        <v>0</v>
      </c>
      <c r="V1062" s="4">
        <v>43</v>
      </c>
      <c r="W1062" s="4">
        <v>80</v>
      </c>
    </row>
    <row r="1063" spans="1:23" ht="11.25" customHeight="1" x14ac:dyDescent="0.25">
      <c r="A1063" s="4" t="s">
        <v>21</v>
      </c>
      <c r="B1063" s="4" t="s">
        <v>37</v>
      </c>
      <c r="C1063" s="4" t="s">
        <v>33</v>
      </c>
      <c r="D1063" s="4" t="s">
        <v>38</v>
      </c>
      <c r="E1063" s="4" t="s">
        <v>25</v>
      </c>
      <c r="F1063" s="4" t="s">
        <v>25</v>
      </c>
      <c r="G1063" s="4" t="s">
        <v>25</v>
      </c>
      <c r="H1063" s="4" t="s">
        <v>35</v>
      </c>
      <c r="I1063" s="5">
        <v>44713</v>
      </c>
      <c r="J1063" s="6">
        <v>0</v>
      </c>
      <c r="K1063" s="6">
        <v>0</v>
      </c>
      <c r="L1063" s="6">
        <v>9.14</v>
      </c>
      <c r="M1063" s="6">
        <v>9.14</v>
      </c>
      <c r="N1063" s="6">
        <v>9.14</v>
      </c>
      <c r="O1063" s="6">
        <v>9.14</v>
      </c>
      <c r="P1063" s="6">
        <v>0</v>
      </c>
      <c r="Q1063" s="4" t="s">
        <v>26</v>
      </c>
      <c r="R1063" s="4">
        <v>0</v>
      </c>
      <c r="S1063" s="4" t="s">
        <v>347</v>
      </c>
      <c r="T1063" s="4" t="s">
        <v>592</v>
      </c>
      <c r="U1063" s="4">
        <v>0</v>
      </c>
      <c r="V1063" s="4">
        <v>43</v>
      </c>
      <c r="W1063" s="4">
        <v>80</v>
      </c>
    </row>
    <row r="1064" spans="1:23" ht="11.25" customHeight="1" x14ac:dyDescent="0.25">
      <c r="A1064" s="4" t="s">
        <v>28</v>
      </c>
      <c r="B1064" s="4" t="s">
        <v>37</v>
      </c>
      <c r="C1064" s="4" t="s">
        <v>33</v>
      </c>
      <c r="D1064" s="4" t="s">
        <v>38</v>
      </c>
      <c r="E1064" s="4" t="s">
        <v>25</v>
      </c>
      <c r="F1064" s="4" t="s">
        <v>25</v>
      </c>
      <c r="G1064" s="4" t="s">
        <v>25</v>
      </c>
      <c r="H1064" s="4" t="s">
        <v>35</v>
      </c>
      <c r="I1064" s="5">
        <v>44713</v>
      </c>
      <c r="J1064" s="6">
        <v>0</v>
      </c>
      <c r="K1064" s="6">
        <v>0</v>
      </c>
      <c r="L1064" s="6">
        <v>0.9</v>
      </c>
      <c r="M1064" s="6">
        <v>0.9</v>
      </c>
      <c r="N1064" s="6">
        <v>0.9</v>
      </c>
      <c r="O1064" s="6">
        <v>0.9</v>
      </c>
      <c r="P1064" s="6">
        <v>0</v>
      </c>
      <c r="Q1064" s="4" t="s">
        <v>26</v>
      </c>
      <c r="R1064" s="4">
        <v>0</v>
      </c>
      <c r="S1064" s="4" t="s">
        <v>347</v>
      </c>
      <c r="T1064" s="4" t="s">
        <v>592</v>
      </c>
      <c r="U1064" s="4">
        <v>0</v>
      </c>
      <c r="V1064" s="4">
        <v>43</v>
      </c>
      <c r="W1064" s="4">
        <v>80</v>
      </c>
    </row>
    <row r="1065" spans="1:23" ht="11.25" customHeight="1" x14ac:dyDescent="0.25">
      <c r="A1065" s="4" t="s">
        <v>21</v>
      </c>
      <c r="B1065" s="4" t="s">
        <v>37</v>
      </c>
      <c r="C1065" s="4" t="s">
        <v>33</v>
      </c>
      <c r="D1065" s="4" t="s">
        <v>38</v>
      </c>
      <c r="E1065" s="4" t="s">
        <v>25</v>
      </c>
      <c r="F1065" s="4" t="s">
        <v>25</v>
      </c>
      <c r="G1065" s="4" t="s">
        <v>25</v>
      </c>
      <c r="H1065" s="4" t="s">
        <v>35</v>
      </c>
      <c r="I1065" s="5">
        <v>44743</v>
      </c>
      <c r="J1065" s="6">
        <v>0</v>
      </c>
      <c r="K1065" s="6">
        <v>0</v>
      </c>
      <c r="L1065" s="6">
        <v>10.19</v>
      </c>
      <c r="M1065" s="6">
        <v>10.19</v>
      </c>
      <c r="N1065" s="6">
        <v>10.19</v>
      </c>
      <c r="O1065" s="6">
        <v>10.19</v>
      </c>
      <c r="P1065" s="6">
        <v>0</v>
      </c>
      <c r="Q1065" s="4" t="s">
        <v>26</v>
      </c>
      <c r="R1065" s="4">
        <v>0</v>
      </c>
      <c r="S1065" s="4" t="s">
        <v>348</v>
      </c>
      <c r="T1065" s="4" t="s">
        <v>593</v>
      </c>
      <c r="U1065" s="4">
        <v>0</v>
      </c>
      <c r="V1065" s="4">
        <v>43</v>
      </c>
      <c r="W1065" s="4">
        <v>80</v>
      </c>
    </row>
    <row r="1066" spans="1:23" ht="11.25" customHeight="1" x14ac:dyDescent="0.25">
      <c r="A1066" s="4" t="s">
        <v>28</v>
      </c>
      <c r="B1066" s="4" t="s">
        <v>37</v>
      </c>
      <c r="C1066" s="4" t="s">
        <v>33</v>
      </c>
      <c r="D1066" s="4" t="s">
        <v>38</v>
      </c>
      <c r="E1066" s="4" t="s">
        <v>25</v>
      </c>
      <c r="F1066" s="4" t="s">
        <v>25</v>
      </c>
      <c r="G1066" s="4" t="s">
        <v>25</v>
      </c>
      <c r="H1066" s="4" t="s">
        <v>35</v>
      </c>
      <c r="I1066" s="5">
        <v>44743</v>
      </c>
      <c r="J1066" s="6">
        <v>0</v>
      </c>
      <c r="K1066" s="6">
        <v>0</v>
      </c>
      <c r="L1066" s="6">
        <v>5.13</v>
      </c>
      <c r="M1066" s="6">
        <v>5.13</v>
      </c>
      <c r="N1066" s="6">
        <v>5.13</v>
      </c>
      <c r="O1066" s="6">
        <v>5.13</v>
      </c>
      <c r="P1066" s="6">
        <v>0</v>
      </c>
      <c r="Q1066" s="4" t="s">
        <v>26</v>
      </c>
      <c r="R1066" s="4">
        <v>0</v>
      </c>
      <c r="S1066" s="4" t="s">
        <v>348</v>
      </c>
      <c r="T1066" s="4" t="s">
        <v>593</v>
      </c>
      <c r="U1066" s="4">
        <v>0</v>
      </c>
      <c r="V1066" s="4">
        <v>43</v>
      </c>
      <c r="W1066" s="4">
        <v>80</v>
      </c>
    </row>
    <row r="1067" spans="1:23" ht="11.25" customHeight="1" x14ac:dyDescent="0.25">
      <c r="A1067" s="4" t="s">
        <v>56</v>
      </c>
      <c r="B1067" s="4" t="s">
        <v>37</v>
      </c>
      <c r="C1067" s="4" t="s">
        <v>33</v>
      </c>
      <c r="D1067" s="4" t="s">
        <v>38</v>
      </c>
      <c r="E1067" s="4" t="s">
        <v>25</v>
      </c>
      <c r="F1067" s="4" t="s">
        <v>25</v>
      </c>
      <c r="G1067" s="4" t="s">
        <v>25</v>
      </c>
      <c r="H1067" s="4" t="s">
        <v>35</v>
      </c>
      <c r="I1067" s="5">
        <v>44774</v>
      </c>
      <c r="J1067" s="6">
        <v>0</v>
      </c>
      <c r="K1067" s="6">
        <v>0</v>
      </c>
      <c r="L1067" s="6">
        <v>10.19</v>
      </c>
      <c r="M1067" s="6">
        <v>10.19</v>
      </c>
      <c r="N1067" s="6">
        <v>10.19</v>
      </c>
      <c r="O1067" s="6">
        <v>10.19</v>
      </c>
      <c r="P1067" s="6">
        <v>0</v>
      </c>
      <c r="Q1067" s="4" t="s">
        <v>26</v>
      </c>
      <c r="R1067" s="4">
        <v>0</v>
      </c>
      <c r="S1067" s="4" t="s">
        <v>349</v>
      </c>
      <c r="T1067" s="4" t="s">
        <v>594</v>
      </c>
      <c r="U1067" s="4">
        <v>0</v>
      </c>
      <c r="V1067" s="4">
        <v>43</v>
      </c>
      <c r="W1067" s="4">
        <v>80</v>
      </c>
    </row>
    <row r="1068" spans="1:23" ht="11.25" customHeight="1" x14ac:dyDescent="0.25">
      <c r="A1068" s="4" t="s">
        <v>56</v>
      </c>
      <c r="B1068" s="4" t="s">
        <v>37</v>
      </c>
      <c r="C1068" s="4" t="s">
        <v>33</v>
      </c>
      <c r="D1068" s="4" t="s">
        <v>38</v>
      </c>
      <c r="E1068" s="4" t="s">
        <v>25</v>
      </c>
      <c r="F1068" s="4" t="s">
        <v>25</v>
      </c>
      <c r="G1068" s="4" t="s">
        <v>25</v>
      </c>
      <c r="H1068" s="4" t="s">
        <v>35</v>
      </c>
      <c r="I1068" s="5">
        <v>44774</v>
      </c>
      <c r="J1068" s="6">
        <v>0</v>
      </c>
      <c r="K1068" s="6">
        <v>0</v>
      </c>
      <c r="L1068" s="6">
        <v>5.13</v>
      </c>
      <c r="M1068" s="6">
        <v>5.13</v>
      </c>
      <c r="N1068" s="6">
        <v>5.13</v>
      </c>
      <c r="O1068" s="6">
        <v>5.13</v>
      </c>
      <c r="P1068" s="6">
        <v>0</v>
      </c>
      <c r="Q1068" s="4" t="s">
        <v>26</v>
      </c>
      <c r="R1068" s="4">
        <v>0</v>
      </c>
      <c r="S1068" s="4" t="s">
        <v>349</v>
      </c>
      <c r="T1068" s="4" t="s">
        <v>594</v>
      </c>
      <c r="U1068" s="4">
        <v>0</v>
      </c>
      <c r="V1068" s="4">
        <v>43</v>
      </c>
      <c r="W1068" s="4">
        <v>80</v>
      </c>
    </row>
    <row r="1069" spans="1:23" ht="11.25" customHeight="1" x14ac:dyDescent="0.25">
      <c r="A1069" s="4" t="s">
        <v>21</v>
      </c>
      <c r="B1069" s="4" t="s">
        <v>37</v>
      </c>
      <c r="C1069" s="4" t="s">
        <v>33</v>
      </c>
      <c r="D1069" s="4" t="s">
        <v>38</v>
      </c>
      <c r="E1069" s="4" t="s">
        <v>25</v>
      </c>
      <c r="F1069" s="4" t="s">
        <v>25</v>
      </c>
      <c r="G1069" s="4" t="s">
        <v>25</v>
      </c>
      <c r="H1069" s="4" t="s">
        <v>36</v>
      </c>
      <c r="I1069" s="5">
        <v>44440</v>
      </c>
      <c r="J1069" s="6">
        <v>0</v>
      </c>
      <c r="K1069" s="6">
        <v>0</v>
      </c>
      <c r="L1069" s="6">
        <v>0.40300000000000002</v>
      </c>
      <c r="M1069" s="6">
        <v>0.40300000000000002</v>
      </c>
      <c r="N1069" s="6">
        <v>0.40300000000000002</v>
      </c>
      <c r="O1069" s="6">
        <v>0.40300000000000002</v>
      </c>
      <c r="P1069" s="6">
        <v>0</v>
      </c>
      <c r="Q1069" s="4" t="s">
        <v>26</v>
      </c>
      <c r="R1069" s="4">
        <v>0</v>
      </c>
      <c r="S1069" s="4" t="s">
        <v>350</v>
      </c>
      <c r="T1069" s="4" t="s">
        <v>595</v>
      </c>
      <c r="U1069" s="4">
        <v>0</v>
      </c>
      <c r="V1069" s="4">
        <v>42</v>
      </c>
      <c r="W1069" s="4">
        <v>79</v>
      </c>
    </row>
    <row r="1070" spans="1:23" ht="11.25" customHeight="1" x14ac:dyDescent="0.25">
      <c r="A1070" s="4" t="s">
        <v>28</v>
      </c>
      <c r="B1070" s="4" t="s">
        <v>37</v>
      </c>
      <c r="C1070" s="4" t="s">
        <v>33</v>
      </c>
      <c r="D1070" s="4" t="s">
        <v>38</v>
      </c>
      <c r="E1070" s="4" t="s">
        <v>25</v>
      </c>
      <c r="F1070" s="4" t="s">
        <v>25</v>
      </c>
      <c r="G1070" s="4" t="s">
        <v>25</v>
      </c>
      <c r="H1070" s="4" t="s">
        <v>36</v>
      </c>
      <c r="I1070" s="5">
        <v>44440</v>
      </c>
      <c r="J1070" s="6">
        <v>0</v>
      </c>
      <c r="K1070" s="6">
        <v>0</v>
      </c>
      <c r="L1070" s="6">
        <v>0.09</v>
      </c>
      <c r="M1070" s="6">
        <v>0.09</v>
      </c>
      <c r="N1070" s="6">
        <v>0.09</v>
      </c>
      <c r="O1070" s="6">
        <v>0.09</v>
      </c>
      <c r="P1070" s="6">
        <v>0</v>
      </c>
      <c r="Q1070" s="4" t="s">
        <v>26</v>
      </c>
      <c r="R1070" s="4">
        <v>0</v>
      </c>
      <c r="S1070" s="4" t="s">
        <v>350</v>
      </c>
      <c r="T1070" s="4" t="s">
        <v>595</v>
      </c>
      <c r="U1070" s="4">
        <v>0</v>
      </c>
      <c r="V1070" s="4">
        <v>42</v>
      </c>
      <c r="W1070" s="4">
        <v>79</v>
      </c>
    </row>
    <row r="1071" spans="1:23" ht="11.25" customHeight="1" x14ac:dyDescent="0.25">
      <c r="A1071" s="4" t="s">
        <v>21</v>
      </c>
      <c r="B1071" s="4" t="s">
        <v>37</v>
      </c>
      <c r="C1071" s="4" t="s">
        <v>33</v>
      </c>
      <c r="D1071" s="4" t="s">
        <v>38</v>
      </c>
      <c r="E1071" s="4" t="s">
        <v>25</v>
      </c>
      <c r="F1071" s="4" t="s">
        <v>25</v>
      </c>
      <c r="G1071" s="4" t="s">
        <v>25</v>
      </c>
      <c r="H1071" s="4" t="s">
        <v>36</v>
      </c>
      <c r="I1071" s="5">
        <v>44470</v>
      </c>
      <c r="J1071" s="6">
        <v>0</v>
      </c>
      <c r="K1071" s="6">
        <v>0</v>
      </c>
      <c r="L1071" s="6">
        <v>0.58499999999999996</v>
      </c>
      <c r="M1071" s="6">
        <v>0.58499999999999996</v>
      </c>
      <c r="N1071" s="6">
        <v>0.58499999999999996</v>
      </c>
      <c r="O1071" s="6">
        <v>0.58499999999999996</v>
      </c>
      <c r="P1071" s="6">
        <v>0</v>
      </c>
      <c r="Q1071" s="4" t="s">
        <v>26</v>
      </c>
      <c r="R1071" s="4">
        <v>0</v>
      </c>
      <c r="S1071" s="4" t="s">
        <v>351</v>
      </c>
      <c r="T1071" s="4" t="s">
        <v>596</v>
      </c>
      <c r="U1071" s="4">
        <v>0</v>
      </c>
      <c r="V1071" s="4">
        <v>42</v>
      </c>
      <c r="W1071" s="4">
        <v>79</v>
      </c>
    </row>
    <row r="1072" spans="1:23" ht="11.25" customHeight="1" x14ac:dyDescent="0.25">
      <c r="A1072" s="4" t="s">
        <v>21</v>
      </c>
      <c r="B1072" s="4" t="s">
        <v>37</v>
      </c>
      <c r="C1072" s="4" t="s">
        <v>33</v>
      </c>
      <c r="D1072" s="4" t="s">
        <v>38</v>
      </c>
      <c r="E1072" s="4" t="s">
        <v>25</v>
      </c>
      <c r="F1072" s="4" t="s">
        <v>25</v>
      </c>
      <c r="G1072" s="4" t="s">
        <v>25</v>
      </c>
      <c r="H1072" s="4" t="s">
        <v>36</v>
      </c>
      <c r="I1072" s="5">
        <v>44501</v>
      </c>
      <c r="J1072" s="6">
        <v>0</v>
      </c>
      <c r="K1072" s="6">
        <v>0</v>
      </c>
      <c r="L1072" s="6">
        <v>0.25600000000000001</v>
      </c>
      <c r="M1072" s="6">
        <v>0.25600000000000001</v>
      </c>
      <c r="N1072" s="6">
        <v>0.25600000000000001</v>
      </c>
      <c r="O1072" s="6">
        <v>0.25600000000000001</v>
      </c>
      <c r="P1072" s="6">
        <v>0</v>
      </c>
      <c r="Q1072" s="4" t="s">
        <v>26</v>
      </c>
      <c r="R1072" s="4">
        <v>0</v>
      </c>
      <c r="S1072" s="4" t="s">
        <v>352</v>
      </c>
      <c r="T1072" s="4" t="s">
        <v>597</v>
      </c>
      <c r="U1072" s="4">
        <v>0</v>
      </c>
      <c r="V1072" s="4">
        <v>42</v>
      </c>
      <c r="W1072" s="4">
        <v>79</v>
      </c>
    </row>
    <row r="1073" spans="1:23" ht="11.25" customHeight="1" x14ac:dyDescent="0.25">
      <c r="A1073" s="4" t="s">
        <v>28</v>
      </c>
      <c r="B1073" s="4" t="s">
        <v>37</v>
      </c>
      <c r="C1073" s="4" t="s">
        <v>33</v>
      </c>
      <c r="D1073" s="4" t="s">
        <v>38</v>
      </c>
      <c r="E1073" s="4" t="s">
        <v>25</v>
      </c>
      <c r="F1073" s="4" t="s">
        <v>25</v>
      </c>
      <c r="G1073" s="4" t="s">
        <v>25</v>
      </c>
      <c r="H1073" s="4" t="s">
        <v>36</v>
      </c>
      <c r="I1073" s="5">
        <v>44501</v>
      </c>
      <c r="J1073" s="6">
        <v>0</v>
      </c>
      <c r="K1073" s="6">
        <v>0</v>
      </c>
      <c r="L1073" s="6">
        <v>0.36</v>
      </c>
      <c r="M1073" s="6">
        <v>0.36</v>
      </c>
      <c r="N1073" s="6">
        <v>0.36</v>
      </c>
      <c r="O1073" s="6">
        <v>0.36</v>
      </c>
      <c r="P1073" s="6">
        <v>0</v>
      </c>
      <c r="Q1073" s="4" t="s">
        <v>26</v>
      </c>
      <c r="R1073" s="4">
        <v>0</v>
      </c>
      <c r="S1073" s="4" t="s">
        <v>352</v>
      </c>
      <c r="T1073" s="4" t="s">
        <v>597</v>
      </c>
      <c r="U1073" s="4">
        <v>0</v>
      </c>
      <c r="V1073" s="4">
        <v>42</v>
      </c>
      <c r="W1073" s="4">
        <v>79</v>
      </c>
    </row>
    <row r="1074" spans="1:23" ht="11.25" customHeight="1" x14ac:dyDescent="0.25">
      <c r="A1074" s="4" t="s">
        <v>21</v>
      </c>
      <c r="B1074" s="4" t="s">
        <v>37</v>
      </c>
      <c r="C1074" s="4" t="s">
        <v>33</v>
      </c>
      <c r="D1074" s="4" t="s">
        <v>38</v>
      </c>
      <c r="E1074" s="4" t="s">
        <v>25</v>
      </c>
      <c r="F1074" s="4" t="s">
        <v>25</v>
      </c>
      <c r="G1074" s="4" t="s">
        <v>25</v>
      </c>
      <c r="H1074" s="4" t="s">
        <v>36</v>
      </c>
      <c r="I1074" s="5">
        <v>44531</v>
      </c>
      <c r="J1074" s="6">
        <v>0</v>
      </c>
      <c r="K1074" s="6">
        <v>0</v>
      </c>
      <c r="L1074" s="6">
        <v>0.29599999999999999</v>
      </c>
      <c r="M1074" s="6">
        <v>0.29599999999999999</v>
      </c>
      <c r="N1074" s="6">
        <v>0.29599999999999999</v>
      </c>
      <c r="O1074" s="6">
        <v>0.29599999999999999</v>
      </c>
      <c r="P1074" s="6">
        <v>0</v>
      </c>
      <c r="Q1074" s="4" t="s">
        <v>26</v>
      </c>
      <c r="R1074" s="4">
        <v>0</v>
      </c>
      <c r="S1074" s="4" t="s">
        <v>353</v>
      </c>
      <c r="T1074" s="4" t="s">
        <v>598</v>
      </c>
      <c r="U1074" s="4">
        <v>0</v>
      </c>
      <c r="V1074" s="4">
        <v>42</v>
      </c>
      <c r="W1074" s="4">
        <v>79</v>
      </c>
    </row>
    <row r="1075" spans="1:23" ht="11.25" customHeight="1" x14ac:dyDescent="0.25">
      <c r="A1075" s="4" t="s">
        <v>28</v>
      </c>
      <c r="B1075" s="4" t="s">
        <v>37</v>
      </c>
      <c r="C1075" s="4" t="s">
        <v>33</v>
      </c>
      <c r="D1075" s="4" t="s">
        <v>38</v>
      </c>
      <c r="E1075" s="4" t="s">
        <v>25</v>
      </c>
      <c r="F1075" s="4" t="s">
        <v>25</v>
      </c>
      <c r="G1075" s="4" t="s">
        <v>25</v>
      </c>
      <c r="H1075" s="4" t="s">
        <v>36</v>
      </c>
      <c r="I1075" s="5">
        <v>44531</v>
      </c>
      <c r="J1075" s="6">
        <v>0</v>
      </c>
      <c r="K1075" s="6">
        <v>0</v>
      </c>
      <c r="L1075" s="6">
        <v>0.21</v>
      </c>
      <c r="M1075" s="6">
        <v>0.21</v>
      </c>
      <c r="N1075" s="6">
        <v>0.21</v>
      </c>
      <c r="O1075" s="6">
        <v>0.21</v>
      </c>
      <c r="P1075" s="6">
        <v>0</v>
      </c>
      <c r="Q1075" s="4" t="s">
        <v>26</v>
      </c>
      <c r="R1075" s="4">
        <v>0</v>
      </c>
      <c r="S1075" s="4" t="s">
        <v>353</v>
      </c>
      <c r="T1075" s="4" t="s">
        <v>598</v>
      </c>
      <c r="U1075" s="4">
        <v>0</v>
      </c>
      <c r="V1075" s="4">
        <v>42</v>
      </c>
      <c r="W1075" s="4">
        <v>79</v>
      </c>
    </row>
    <row r="1076" spans="1:23" ht="11.25" customHeight="1" x14ac:dyDescent="0.25">
      <c r="A1076" s="4" t="s">
        <v>21</v>
      </c>
      <c r="B1076" s="4" t="s">
        <v>37</v>
      </c>
      <c r="C1076" s="4" t="s">
        <v>33</v>
      </c>
      <c r="D1076" s="4" t="s">
        <v>38</v>
      </c>
      <c r="E1076" s="4" t="s">
        <v>25</v>
      </c>
      <c r="F1076" s="4" t="s">
        <v>25</v>
      </c>
      <c r="G1076" s="4" t="s">
        <v>25</v>
      </c>
      <c r="H1076" s="4" t="s">
        <v>36</v>
      </c>
      <c r="I1076" s="5">
        <v>44562</v>
      </c>
      <c r="J1076" s="6">
        <v>0</v>
      </c>
      <c r="K1076" s="6">
        <v>0</v>
      </c>
      <c r="L1076" s="6">
        <v>0.255</v>
      </c>
      <c r="M1076" s="6">
        <v>0.255</v>
      </c>
      <c r="N1076" s="6">
        <v>0.255</v>
      </c>
      <c r="O1076" s="6">
        <v>0.255</v>
      </c>
      <c r="P1076" s="6">
        <v>0</v>
      </c>
      <c r="Q1076" s="4" t="s">
        <v>26</v>
      </c>
      <c r="R1076" s="4">
        <v>0</v>
      </c>
      <c r="S1076" s="4" t="s">
        <v>354</v>
      </c>
      <c r="T1076" s="4" t="s">
        <v>599</v>
      </c>
      <c r="U1076" s="4">
        <v>0</v>
      </c>
      <c r="V1076" s="4">
        <v>42</v>
      </c>
      <c r="W1076" s="4">
        <v>79</v>
      </c>
    </row>
    <row r="1077" spans="1:23" ht="11.25" customHeight="1" x14ac:dyDescent="0.25">
      <c r="A1077" s="4" t="s">
        <v>21</v>
      </c>
      <c r="B1077" s="4" t="s">
        <v>37</v>
      </c>
      <c r="C1077" s="4" t="s">
        <v>33</v>
      </c>
      <c r="D1077" s="4" t="s">
        <v>38</v>
      </c>
      <c r="E1077" s="4" t="s">
        <v>25</v>
      </c>
      <c r="F1077" s="4" t="s">
        <v>25</v>
      </c>
      <c r="G1077" s="4" t="s">
        <v>25</v>
      </c>
      <c r="H1077" s="4" t="s">
        <v>36</v>
      </c>
      <c r="I1077" s="5">
        <v>44593</v>
      </c>
      <c r="J1077" s="6">
        <v>0</v>
      </c>
      <c r="K1077" s="6">
        <v>0</v>
      </c>
      <c r="L1077" s="6">
        <v>0.48899999999999999</v>
      </c>
      <c r="M1077" s="6">
        <v>0.48899999999999999</v>
      </c>
      <c r="N1077" s="6">
        <v>0.48899999999999999</v>
      </c>
      <c r="O1077" s="6">
        <v>0.48899999999999999</v>
      </c>
      <c r="P1077" s="6">
        <v>0</v>
      </c>
      <c r="Q1077" s="4" t="s">
        <v>26</v>
      </c>
      <c r="R1077" s="4">
        <v>0</v>
      </c>
      <c r="S1077" s="4" t="s">
        <v>355</v>
      </c>
      <c r="T1077" s="4" t="s">
        <v>600</v>
      </c>
      <c r="U1077" s="4">
        <v>0</v>
      </c>
      <c r="V1077" s="4">
        <v>42</v>
      </c>
      <c r="W1077" s="4">
        <v>79</v>
      </c>
    </row>
    <row r="1078" spans="1:23" ht="11.25" customHeight="1" x14ac:dyDescent="0.25">
      <c r="A1078" s="4" t="s">
        <v>21</v>
      </c>
      <c r="B1078" s="4" t="s">
        <v>37</v>
      </c>
      <c r="C1078" s="4" t="s">
        <v>33</v>
      </c>
      <c r="D1078" s="4" t="s">
        <v>38</v>
      </c>
      <c r="E1078" s="4" t="s">
        <v>25</v>
      </c>
      <c r="F1078" s="4" t="s">
        <v>25</v>
      </c>
      <c r="G1078" s="4" t="s">
        <v>25</v>
      </c>
      <c r="H1078" s="4" t="s">
        <v>36</v>
      </c>
      <c r="I1078" s="5">
        <v>44621</v>
      </c>
      <c r="J1078" s="6">
        <v>0</v>
      </c>
      <c r="K1078" s="6">
        <v>0</v>
      </c>
      <c r="L1078" s="6">
        <v>1.161</v>
      </c>
      <c r="M1078" s="6">
        <v>1.161</v>
      </c>
      <c r="N1078" s="6">
        <v>1.161</v>
      </c>
      <c r="O1078" s="6">
        <v>1.161</v>
      </c>
      <c r="P1078" s="6">
        <v>0</v>
      </c>
      <c r="Q1078" s="4" t="s">
        <v>26</v>
      </c>
      <c r="R1078" s="4">
        <v>0</v>
      </c>
      <c r="S1078" s="4" t="s">
        <v>356</v>
      </c>
      <c r="T1078" s="4" t="s">
        <v>601</v>
      </c>
      <c r="U1078" s="4">
        <v>0</v>
      </c>
      <c r="V1078" s="4">
        <v>42</v>
      </c>
      <c r="W1078" s="4">
        <v>79</v>
      </c>
    </row>
    <row r="1079" spans="1:23" ht="11.25" customHeight="1" x14ac:dyDescent="0.25">
      <c r="A1079" s="4" t="s">
        <v>28</v>
      </c>
      <c r="B1079" s="4" t="s">
        <v>37</v>
      </c>
      <c r="C1079" s="4" t="s">
        <v>33</v>
      </c>
      <c r="D1079" s="4" t="s">
        <v>38</v>
      </c>
      <c r="E1079" s="4" t="s">
        <v>25</v>
      </c>
      <c r="F1079" s="4" t="s">
        <v>25</v>
      </c>
      <c r="G1079" s="4" t="s">
        <v>25</v>
      </c>
      <c r="H1079" s="4" t="s">
        <v>36</v>
      </c>
      <c r="I1079" s="5">
        <v>44621</v>
      </c>
      <c r="J1079" s="6">
        <v>0</v>
      </c>
      <c r="K1079" s="6">
        <v>0</v>
      </c>
      <c r="L1079" s="6">
        <v>0.06</v>
      </c>
      <c r="M1079" s="6">
        <v>0.06</v>
      </c>
      <c r="N1079" s="6">
        <v>0.06</v>
      </c>
      <c r="O1079" s="6">
        <v>0.06</v>
      </c>
      <c r="P1079" s="6">
        <v>0</v>
      </c>
      <c r="Q1079" s="4" t="s">
        <v>26</v>
      </c>
      <c r="R1079" s="4">
        <v>0</v>
      </c>
      <c r="S1079" s="4" t="s">
        <v>356</v>
      </c>
      <c r="T1079" s="4" t="s">
        <v>601</v>
      </c>
      <c r="U1079" s="4">
        <v>0</v>
      </c>
      <c r="V1079" s="4">
        <v>42</v>
      </c>
      <c r="W1079" s="4">
        <v>79</v>
      </c>
    </row>
    <row r="1080" spans="1:23" ht="11.25" customHeight="1" x14ac:dyDescent="0.25">
      <c r="A1080" s="4" t="s">
        <v>21</v>
      </c>
      <c r="B1080" s="4" t="s">
        <v>37</v>
      </c>
      <c r="C1080" s="4" t="s">
        <v>33</v>
      </c>
      <c r="D1080" s="4" t="s">
        <v>38</v>
      </c>
      <c r="E1080" s="4" t="s">
        <v>25</v>
      </c>
      <c r="F1080" s="4" t="s">
        <v>25</v>
      </c>
      <c r="G1080" s="4" t="s">
        <v>25</v>
      </c>
      <c r="H1080" s="4" t="s">
        <v>36</v>
      </c>
      <c r="I1080" s="5">
        <v>44652</v>
      </c>
      <c r="J1080" s="6">
        <v>0</v>
      </c>
      <c r="K1080" s="6">
        <v>0</v>
      </c>
      <c r="L1080" s="6">
        <v>0.29699999999999999</v>
      </c>
      <c r="M1080" s="6">
        <v>0.29699999999999999</v>
      </c>
      <c r="N1080" s="6">
        <v>0.29699999999999999</v>
      </c>
      <c r="O1080" s="6">
        <v>0.29699999999999999</v>
      </c>
      <c r="P1080" s="6">
        <v>0</v>
      </c>
      <c r="Q1080" s="4" t="s">
        <v>26</v>
      </c>
      <c r="R1080" s="4">
        <v>0</v>
      </c>
      <c r="S1080" s="4" t="s">
        <v>357</v>
      </c>
      <c r="T1080" s="4" t="s">
        <v>602</v>
      </c>
      <c r="U1080" s="4">
        <v>0</v>
      </c>
      <c r="V1080" s="4">
        <v>42</v>
      </c>
      <c r="W1080" s="4">
        <v>79</v>
      </c>
    </row>
    <row r="1081" spans="1:23" ht="11.25" customHeight="1" x14ac:dyDescent="0.25">
      <c r="A1081" s="4" t="s">
        <v>21</v>
      </c>
      <c r="B1081" s="4" t="s">
        <v>37</v>
      </c>
      <c r="C1081" s="4" t="s">
        <v>33</v>
      </c>
      <c r="D1081" s="4" t="s">
        <v>38</v>
      </c>
      <c r="E1081" s="4" t="s">
        <v>25</v>
      </c>
      <c r="F1081" s="4" t="s">
        <v>25</v>
      </c>
      <c r="G1081" s="4" t="s">
        <v>25</v>
      </c>
      <c r="H1081" s="4" t="s">
        <v>36</v>
      </c>
      <c r="I1081" s="5">
        <v>44682</v>
      </c>
      <c r="J1081" s="6">
        <v>0</v>
      </c>
      <c r="K1081" s="6">
        <v>0</v>
      </c>
      <c r="L1081" s="6">
        <v>0.28299999999999997</v>
      </c>
      <c r="M1081" s="6">
        <v>0.28299999999999997</v>
      </c>
      <c r="N1081" s="6">
        <v>0.28299999999999997</v>
      </c>
      <c r="O1081" s="6">
        <v>0.28299999999999997</v>
      </c>
      <c r="P1081" s="6">
        <v>0</v>
      </c>
      <c r="Q1081" s="4" t="s">
        <v>26</v>
      </c>
      <c r="R1081" s="4">
        <v>0</v>
      </c>
      <c r="S1081" s="4" t="s">
        <v>358</v>
      </c>
      <c r="T1081" s="4" t="s">
        <v>603</v>
      </c>
      <c r="U1081" s="4">
        <v>0</v>
      </c>
      <c r="V1081" s="4">
        <v>42</v>
      </c>
      <c r="W1081" s="4">
        <v>79</v>
      </c>
    </row>
    <row r="1082" spans="1:23" ht="11.25" customHeight="1" x14ac:dyDescent="0.25">
      <c r="A1082" s="4" t="s">
        <v>28</v>
      </c>
      <c r="B1082" s="4" t="s">
        <v>37</v>
      </c>
      <c r="C1082" s="4" t="s">
        <v>33</v>
      </c>
      <c r="D1082" s="4" t="s">
        <v>38</v>
      </c>
      <c r="E1082" s="4" t="s">
        <v>25</v>
      </c>
      <c r="F1082" s="4" t="s">
        <v>25</v>
      </c>
      <c r="G1082" s="4" t="s">
        <v>25</v>
      </c>
      <c r="H1082" s="4" t="s">
        <v>36</v>
      </c>
      <c r="I1082" s="5">
        <v>44682</v>
      </c>
      <c r="J1082" s="6">
        <v>0</v>
      </c>
      <c r="K1082" s="6">
        <v>0</v>
      </c>
      <c r="L1082" s="6">
        <v>0.18</v>
      </c>
      <c r="M1082" s="6">
        <v>0.18</v>
      </c>
      <c r="N1082" s="6">
        <v>0.18</v>
      </c>
      <c r="O1082" s="6">
        <v>0.18</v>
      </c>
      <c r="P1082" s="6">
        <v>0</v>
      </c>
      <c r="Q1082" s="4" t="s">
        <v>26</v>
      </c>
      <c r="R1082" s="4">
        <v>0</v>
      </c>
      <c r="S1082" s="4" t="s">
        <v>358</v>
      </c>
      <c r="T1082" s="4" t="s">
        <v>603</v>
      </c>
      <c r="U1082" s="4">
        <v>0</v>
      </c>
      <c r="V1082" s="4">
        <v>42</v>
      </c>
      <c r="W1082" s="4">
        <v>79</v>
      </c>
    </row>
    <row r="1083" spans="1:23" ht="11.25" customHeight="1" x14ac:dyDescent="0.25">
      <c r="A1083" s="4" t="s">
        <v>21</v>
      </c>
      <c r="B1083" s="4" t="s">
        <v>37</v>
      </c>
      <c r="C1083" s="4" t="s">
        <v>33</v>
      </c>
      <c r="D1083" s="4" t="s">
        <v>38</v>
      </c>
      <c r="E1083" s="4" t="s">
        <v>25</v>
      </c>
      <c r="F1083" s="4" t="s">
        <v>25</v>
      </c>
      <c r="G1083" s="4" t="s">
        <v>25</v>
      </c>
      <c r="H1083" s="4" t="s">
        <v>36</v>
      </c>
      <c r="I1083" s="5">
        <v>44713</v>
      </c>
      <c r="J1083" s="6">
        <v>0</v>
      </c>
      <c r="K1083" s="6">
        <v>0</v>
      </c>
      <c r="L1083" s="6">
        <v>0.33300000000000002</v>
      </c>
      <c r="M1083" s="6">
        <v>0.33300000000000002</v>
      </c>
      <c r="N1083" s="6">
        <v>0.33300000000000002</v>
      </c>
      <c r="O1083" s="6">
        <v>0.33300000000000002</v>
      </c>
      <c r="P1083" s="6">
        <v>0</v>
      </c>
      <c r="Q1083" s="4" t="s">
        <v>26</v>
      </c>
      <c r="R1083" s="4">
        <v>0</v>
      </c>
      <c r="S1083" s="4" t="s">
        <v>359</v>
      </c>
      <c r="T1083" s="4" t="s">
        <v>604</v>
      </c>
      <c r="U1083" s="4">
        <v>0</v>
      </c>
      <c r="V1083" s="4">
        <v>42</v>
      </c>
      <c r="W1083" s="4">
        <v>79</v>
      </c>
    </row>
    <row r="1084" spans="1:23" ht="11.25" customHeight="1" x14ac:dyDescent="0.25">
      <c r="A1084" s="4" t="s">
        <v>28</v>
      </c>
      <c r="B1084" s="4" t="s">
        <v>37</v>
      </c>
      <c r="C1084" s="4" t="s">
        <v>33</v>
      </c>
      <c r="D1084" s="4" t="s">
        <v>38</v>
      </c>
      <c r="E1084" s="4" t="s">
        <v>25</v>
      </c>
      <c r="F1084" s="4" t="s">
        <v>25</v>
      </c>
      <c r="G1084" s="4" t="s">
        <v>25</v>
      </c>
      <c r="H1084" s="4" t="s">
        <v>36</v>
      </c>
      <c r="I1084" s="5">
        <v>44713</v>
      </c>
      <c r="J1084" s="6">
        <v>0</v>
      </c>
      <c r="K1084" s="6">
        <v>0</v>
      </c>
      <c r="L1084" s="6">
        <v>0.18</v>
      </c>
      <c r="M1084" s="6">
        <v>0.18</v>
      </c>
      <c r="N1084" s="6">
        <v>0.18</v>
      </c>
      <c r="O1084" s="6">
        <v>0.18</v>
      </c>
      <c r="P1084" s="6">
        <v>0</v>
      </c>
      <c r="Q1084" s="4" t="s">
        <v>26</v>
      </c>
      <c r="R1084" s="4">
        <v>0</v>
      </c>
      <c r="S1084" s="4" t="s">
        <v>359</v>
      </c>
      <c r="T1084" s="4" t="s">
        <v>604</v>
      </c>
      <c r="U1084" s="4">
        <v>0</v>
      </c>
      <c r="V1084" s="4">
        <v>42</v>
      </c>
      <c r="W1084" s="4">
        <v>79</v>
      </c>
    </row>
    <row r="1085" spans="1:23" ht="11.25" customHeight="1" x14ac:dyDescent="0.25">
      <c r="A1085" s="4" t="s">
        <v>21</v>
      </c>
      <c r="B1085" s="4" t="s">
        <v>37</v>
      </c>
      <c r="C1085" s="4" t="s">
        <v>33</v>
      </c>
      <c r="D1085" s="4" t="s">
        <v>38</v>
      </c>
      <c r="E1085" s="4" t="s">
        <v>25</v>
      </c>
      <c r="F1085" s="4" t="s">
        <v>25</v>
      </c>
      <c r="G1085" s="4" t="s">
        <v>25</v>
      </c>
      <c r="H1085" s="4" t="s">
        <v>36</v>
      </c>
      <c r="I1085" s="5">
        <v>44743</v>
      </c>
      <c r="J1085" s="6">
        <v>0</v>
      </c>
      <c r="K1085" s="6">
        <v>0</v>
      </c>
      <c r="L1085" s="6">
        <v>0.376</v>
      </c>
      <c r="M1085" s="6">
        <v>0.376</v>
      </c>
      <c r="N1085" s="6">
        <v>0.376</v>
      </c>
      <c r="O1085" s="6">
        <v>0.376</v>
      </c>
      <c r="P1085" s="6">
        <v>0</v>
      </c>
      <c r="Q1085" s="4" t="s">
        <v>26</v>
      </c>
      <c r="R1085" s="4">
        <v>0</v>
      </c>
      <c r="S1085" s="4" t="s">
        <v>360</v>
      </c>
      <c r="T1085" s="4" t="s">
        <v>605</v>
      </c>
      <c r="U1085" s="4">
        <v>0</v>
      </c>
      <c r="V1085" s="4">
        <v>42</v>
      </c>
      <c r="W1085" s="4">
        <v>79</v>
      </c>
    </row>
    <row r="1086" spans="1:23" ht="11.25" customHeight="1" x14ac:dyDescent="0.25">
      <c r="A1086" s="4" t="s">
        <v>28</v>
      </c>
      <c r="B1086" s="4" t="s">
        <v>37</v>
      </c>
      <c r="C1086" s="4" t="s">
        <v>33</v>
      </c>
      <c r="D1086" s="4" t="s">
        <v>38</v>
      </c>
      <c r="E1086" s="4" t="s">
        <v>25</v>
      </c>
      <c r="F1086" s="4" t="s">
        <v>25</v>
      </c>
      <c r="G1086" s="4" t="s">
        <v>25</v>
      </c>
      <c r="H1086" s="4" t="s">
        <v>36</v>
      </c>
      <c r="I1086" s="5">
        <v>44743</v>
      </c>
      <c r="J1086" s="6">
        <v>0</v>
      </c>
      <c r="K1086" s="6">
        <v>0</v>
      </c>
      <c r="L1086" s="6">
        <v>0.36</v>
      </c>
      <c r="M1086" s="6">
        <v>0.36</v>
      </c>
      <c r="N1086" s="6">
        <v>0.36</v>
      </c>
      <c r="O1086" s="6">
        <v>0.36</v>
      </c>
      <c r="P1086" s="6">
        <v>0</v>
      </c>
      <c r="Q1086" s="4" t="s">
        <v>26</v>
      </c>
      <c r="R1086" s="4">
        <v>0</v>
      </c>
      <c r="S1086" s="4" t="s">
        <v>360</v>
      </c>
      <c r="T1086" s="4" t="s">
        <v>605</v>
      </c>
      <c r="U1086" s="4">
        <v>0</v>
      </c>
      <c r="V1086" s="4">
        <v>42</v>
      </c>
      <c r="W1086" s="4">
        <v>79</v>
      </c>
    </row>
    <row r="1087" spans="1:23" ht="11.25" customHeight="1" x14ac:dyDescent="0.25">
      <c r="A1087" s="4" t="s">
        <v>56</v>
      </c>
      <c r="B1087" s="4" t="s">
        <v>37</v>
      </c>
      <c r="C1087" s="4" t="s">
        <v>33</v>
      </c>
      <c r="D1087" s="4" t="s">
        <v>38</v>
      </c>
      <c r="E1087" s="4" t="s">
        <v>25</v>
      </c>
      <c r="F1087" s="4" t="s">
        <v>25</v>
      </c>
      <c r="G1087" s="4" t="s">
        <v>25</v>
      </c>
      <c r="H1087" s="4" t="s">
        <v>36</v>
      </c>
      <c r="I1087" s="5">
        <v>44774</v>
      </c>
      <c r="J1087" s="6">
        <v>0</v>
      </c>
      <c r="K1087" s="6">
        <v>0</v>
      </c>
      <c r="L1087" s="6">
        <v>0.376</v>
      </c>
      <c r="M1087" s="6">
        <v>0.376</v>
      </c>
      <c r="N1087" s="6">
        <v>0.376</v>
      </c>
      <c r="O1087" s="6">
        <v>0.376</v>
      </c>
      <c r="P1087" s="6">
        <v>0</v>
      </c>
      <c r="Q1087" s="4" t="s">
        <v>26</v>
      </c>
      <c r="R1087" s="4">
        <v>0</v>
      </c>
      <c r="S1087" s="4" t="s">
        <v>361</v>
      </c>
      <c r="T1087" s="4" t="s">
        <v>606</v>
      </c>
      <c r="U1087" s="4">
        <v>0</v>
      </c>
      <c r="V1087" s="4">
        <v>42</v>
      </c>
      <c r="W1087" s="4">
        <v>79</v>
      </c>
    </row>
    <row r="1088" spans="1:23" ht="11.25" customHeight="1" x14ac:dyDescent="0.25">
      <c r="A1088" s="4" t="s">
        <v>56</v>
      </c>
      <c r="B1088" s="4" t="s">
        <v>37</v>
      </c>
      <c r="C1088" s="4" t="s">
        <v>33</v>
      </c>
      <c r="D1088" s="4" t="s">
        <v>38</v>
      </c>
      <c r="E1088" s="4" t="s">
        <v>25</v>
      </c>
      <c r="F1088" s="4" t="s">
        <v>25</v>
      </c>
      <c r="G1088" s="4" t="s">
        <v>25</v>
      </c>
      <c r="H1088" s="4" t="s">
        <v>36</v>
      </c>
      <c r="I1088" s="5">
        <v>44774</v>
      </c>
      <c r="J1088" s="6">
        <v>0</v>
      </c>
      <c r="K1088" s="6">
        <v>0</v>
      </c>
      <c r="L1088" s="6">
        <v>0.36</v>
      </c>
      <c r="M1088" s="6">
        <v>0.36</v>
      </c>
      <c r="N1088" s="6">
        <v>0.36</v>
      </c>
      <c r="O1088" s="6">
        <v>0.36</v>
      </c>
      <c r="P1088" s="6">
        <v>0</v>
      </c>
      <c r="Q1088" s="4" t="s">
        <v>26</v>
      </c>
      <c r="R1088" s="4">
        <v>0</v>
      </c>
      <c r="S1088" s="4" t="s">
        <v>361</v>
      </c>
      <c r="T1088" s="4" t="s">
        <v>606</v>
      </c>
      <c r="U1088" s="4">
        <v>0</v>
      </c>
      <c r="V1088" s="4">
        <v>42</v>
      </c>
      <c r="W1088" s="4">
        <v>79</v>
      </c>
    </row>
    <row r="1089" spans="1:23" ht="11.25" customHeight="1" x14ac:dyDescent="0.25">
      <c r="A1089" s="4" t="s">
        <v>28</v>
      </c>
      <c r="B1089" s="4" t="s">
        <v>37</v>
      </c>
      <c r="C1089" s="4" t="s">
        <v>33</v>
      </c>
      <c r="D1089" s="4" t="s">
        <v>38</v>
      </c>
      <c r="E1089" s="4" t="s">
        <v>25</v>
      </c>
      <c r="F1089" s="4" t="s">
        <v>25</v>
      </c>
      <c r="G1089" s="4" t="s">
        <v>25</v>
      </c>
      <c r="H1089" s="4" t="s">
        <v>25</v>
      </c>
      <c r="I1089" s="5">
        <v>44440</v>
      </c>
      <c r="J1089" s="6">
        <v>0</v>
      </c>
      <c r="K1089" s="6">
        <v>0</v>
      </c>
      <c r="L1089" s="6">
        <v>0.3</v>
      </c>
      <c r="M1089" s="6">
        <v>0.3</v>
      </c>
      <c r="N1089" s="6">
        <v>0.3</v>
      </c>
      <c r="O1089" s="6">
        <v>0.3</v>
      </c>
      <c r="P1089" s="6">
        <v>3</v>
      </c>
      <c r="Q1089" s="4" t="s">
        <v>26</v>
      </c>
      <c r="R1089" s="4">
        <v>0</v>
      </c>
      <c r="S1089" s="4" t="s">
        <v>362</v>
      </c>
      <c r="T1089" s="4" t="s">
        <v>607</v>
      </c>
      <c r="U1089" s="4">
        <v>0</v>
      </c>
      <c r="V1089" s="4">
        <v>44</v>
      </c>
      <c r="W1089" s="4">
        <v>81</v>
      </c>
    </row>
    <row r="1090" spans="1:23" ht="11.25" customHeight="1" x14ac:dyDescent="0.25">
      <c r="A1090" s="4" t="s">
        <v>28</v>
      </c>
      <c r="B1090" s="4" t="s">
        <v>37</v>
      </c>
      <c r="C1090" s="4" t="s">
        <v>33</v>
      </c>
      <c r="D1090" s="4" t="s">
        <v>38</v>
      </c>
      <c r="E1090" s="4" t="s">
        <v>25</v>
      </c>
      <c r="F1090" s="4" t="s">
        <v>25</v>
      </c>
      <c r="G1090" s="4" t="s">
        <v>25</v>
      </c>
      <c r="H1090" s="4" t="s">
        <v>25</v>
      </c>
      <c r="I1090" s="5">
        <v>44470</v>
      </c>
      <c r="J1090" s="6">
        <v>0</v>
      </c>
      <c r="K1090" s="6">
        <v>0</v>
      </c>
      <c r="L1090" s="6">
        <v>0.2</v>
      </c>
      <c r="M1090" s="6">
        <v>0.2</v>
      </c>
      <c r="N1090" s="6">
        <v>0.2</v>
      </c>
      <c r="O1090" s="6">
        <v>0.2</v>
      </c>
      <c r="P1090" s="6">
        <v>2</v>
      </c>
      <c r="Q1090" s="4" t="s">
        <v>26</v>
      </c>
      <c r="R1090" s="4">
        <v>0</v>
      </c>
      <c r="S1090" s="4" t="s">
        <v>363</v>
      </c>
      <c r="T1090" s="4" t="s">
        <v>608</v>
      </c>
      <c r="U1090" s="4">
        <v>0</v>
      </c>
      <c r="V1090" s="4">
        <v>44</v>
      </c>
      <c r="W1090" s="4">
        <v>81</v>
      </c>
    </row>
    <row r="1091" spans="1:23" ht="11.25" customHeight="1" x14ac:dyDescent="0.25">
      <c r="A1091" s="4" t="s">
        <v>28</v>
      </c>
      <c r="B1091" s="4" t="s">
        <v>37</v>
      </c>
      <c r="C1091" s="4" t="s">
        <v>33</v>
      </c>
      <c r="D1091" s="4" t="s">
        <v>38</v>
      </c>
      <c r="E1091" s="4" t="s">
        <v>25</v>
      </c>
      <c r="F1091" s="4" t="s">
        <v>25</v>
      </c>
      <c r="G1091" s="4" t="s">
        <v>25</v>
      </c>
      <c r="H1091" s="4" t="s">
        <v>25</v>
      </c>
      <c r="I1091" s="5">
        <v>44501</v>
      </c>
      <c r="J1091" s="6">
        <v>0</v>
      </c>
      <c r="K1091" s="6">
        <v>0</v>
      </c>
      <c r="L1091" s="6">
        <v>0.4</v>
      </c>
      <c r="M1091" s="6">
        <v>0.4</v>
      </c>
      <c r="N1091" s="6">
        <v>0.4</v>
      </c>
      <c r="O1091" s="6">
        <v>0.4</v>
      </c>
      <c r="P1091" s="6">
        <v>4</v>
      </c>
      <c r="Q1091" s="4" t="s">
        <v>26</v>
      </c>
      <c r="R1091" s="4">
        <v>0</v>
      </c>
      <c r="S1091" s="4" t="s">
        <v>364</v>
      </c>
      <c r="T1091" s="4" t="s">
        <v>609</v>
      </c>
      <c r="U1091" s="4">
        <v>0</v>
      </c>
      <c r="V1091" s="4">
        <v>44</v>
      </c>
      <c r="W1091" s="4">
        <v>81</v>
      </c>
    </row>
    <row r="1092" spans="1:23" ht="11.25" customHeight="1" x14ac:dyDescent="0.25">
      <c r="A1092" s="4" t="s">
        <v>28</v>
      </c>
      <c r="B1092" s="4" t="s">
        <v>37</v>
      </c>
      <c r="C1092" s="4" t="s">
        <v>33</v>
      </c>
      <c r="D1092" s="4" t="s">
        <v>38</v>
      </c>
      <c r="E1092" s="4" t="s">
        <v>25</v>
      </c>
      <c r="F1092" s="4" t="s">
        <v>25</v>
      </c>
      <c r="G1092" s="4" t="s">
        <v>25</v>
      </c>
      <c r="H1092" s="4" t="s">
        <v>25</v>
      </c>
      <c r="I1092" s="5">
        <v>44531</v>
      </c>
      <c r="J1092" s="6">
        <v>0</v>
      </c>
      <c r="K1092" s="6">
        <v>0</v>
      </c>
      <c r="L1092" s="6">
        <v>0.1</v>
      </c>
      <c r="M1092" s="6">
        <v>0.1</v>
      </c>
      <c r="N1092" s="6">
        <v>0.1</v>
      </c>
      <c r="O1092" s="6">
        <v>0.1</v>
      </c>
      <c r="P1092" s="6">
        <v>4</v>
      </c>
      <c r="Q1092" s="4" t="s">
        <v>26</v>
      </c>
      <c r="R1092" s="4">
        <v>0</v>
      </c>
      <c r="S1092" s="4" t="s">
        <v>365</v>
      </c>
      <c r="T1092" s="4" t="s">
        <v>610</v>
      </c>
      <c r="U1092" s="4">
        <v>0</v>
      </c>
      <c r="V1092" s="4">
        <v>44</v>
      </c>
      <c r="W1092" s="4">
        <v>81</v>
      </c>
    </row>
    <row r="1093" spans="1:23" ht="11.25" customHeight="1" x14ac:dyDescent="0.25">
      <c r="A1093" s="4" t="s">
        <v>28</v>
      </c>
      <c r="B1093" s="4" t="s">
        <v>37</v>
      </c>
      <c r="C1093" s="4" t="s">
        <v>33</v>
      </c>
      <c r="D1093" s="4" t="s">
        <v>38</v>
      </c>
      <c r="E1093" s="4" t="s">
        <v>25</v>
      </c>
      <c r="F1093" s="4" t="s">
        <v>25</v>
      </c>
      <c r="G1093" s="4" t="s">
        <v>25</v>
      </c>
      <c r="H1093" s="4" t="s">
        <v>25</v>
      </c>
      <c r="I1093" s="5">
        <v>44562</v>
      </c>
      <c r="J1093" s="6">
        <v>0</v>
      </c>
      <c r="K1093" s="6">
        <v>0</v>
      </c>
      <c r="L1093" s="6">
        <v>0.4</v>
      </c>
      <c r="M1093" s="6">
        <v>0.4</v>
      </c>
      <c r="N1093" s="6">
        <v>0.4</v>
      </c>
      <c r="O1093" s="6">
        <v>0.4</v>
      </c>
      <c r="P1093" s="6">
        <v>4</v>
      </c>
      <c r="Q1093" s="4" t="s">
        <v>26</v>
      </c>
      <c r="R1093" s="4">
        <v>0</v>
      </c>
      <c r="S1093" s="4" t="s">
        <v>366</v>
      </c>
      <c r="T1093" s="4" t="s">
        <v>611</v>
      </c>
      <c r="U1093" s="4">
        <v>0</v>
      </c>
      <c r="V1093" s="4">
        <v>44</v>
      </c>
      <c r="W1093" s="4">
        <v>81</v>
      </c>
    </row>
    <row r="1094" spans="1:23" ht="11.25" customHeight="1" x14ac:dyDescent="0.25">
      <c r="A1094" s="4" t="s">
        <v>28</v>
      </c>
      <c r="B1094" s="4" t="s">
        <v>37</v>
      </c>
      <c r="C1094" s="4" t="s">
        <v>33</v>
      </c>
      <c r="D1094" s="4" t="s">
        <v>38</v>
      </c>
      <c r="E1094" s="4" t="s">
        <v>25</v>
      </c>
      <c r="F1094" s="4" t="s">
        <v>25</v>
      </c>
      <c r="G1094" s="4" t="s">
        <v>25</v>
      </c>
      <c r="H1094" s="4" t="s">
        <v>25</v>
      </c>
      <c r="I1094" s="5">
        <v>44593</v>
      </c>
      <c r="J1094" s="6">
        <v>0</v>
      </c>
      <c r="K1094" s="6">
        <v>0</v>
      </c>
      <c r="L1094" s="6">
        <v>0.4</v>
      </c>
      <c r="M1094" s="6">
        <v>0.4</v>
      </c>
      <c r="N1094" s="6">
        <v>0.4</v>
      </c>
      <c r="O1094" s="6">
        <v>0.4</v>
      </c>
      <c r="P1094" s="6">
        <v>4</v>
      </c>
      <c r="Q1094" s="4" t="s">
        <v>26</v>
      </c>
      <c r="R1094" s="4">
        <v>0</v>
      </c>
      <c r="S1094" s="4" t="s">
        <v>367</v>
      </c>
      <c r="T1094" s="4" t="s">
        <v>612</v>
      </c>
      <c r="U1094" s="4">
        <v>0</v>
      </c>
      <c r="V1094" s="4">
        <v>44</v>
      </c>
      <c r="W1094" s="4">
        <v>81</v>
      </c>
    </row>
    <row r="1095" spans="1:23" ht="11.25" customHeight="1" x14ac:dyDescent="0.25">
      <c r="A1095" s="4" t="s">
        <v>28</v>
      </c>
      <c r="B1095" s="4" t="s">
        <v>37</v>
      </c>
      <c r="C1095" s="4" t="s">
        <v>33</v>
      </c>
      <c r="D1095" s="4" t="s">
        <v>38</v>
      </c>
      <c r="E1095" s="4" t="s">
        <v>25</v>
      </c>
      <c r="F1095" s="4" t="s">
        <v>25</v>
      </c>
      <c r="G1095" s="4" t="s">
        <v>25</v>
      </c>
      <c r="H1095" s="4" t="s">
        <v>25</v>
      </c>
      <c r="I1095" s="5">
        <v>44621</v>
      </c>
      <c r="J1095" s="6">
        <v>0</v>
      </c>
      <c r="K1095" s="6">
        <v>0</v>
      </c>
      <c r="L1095" s="6">
        <v>0.4</v>
      </c>
      <c r="M1095" s="6">
        <v>0.4</v>
      </c>
      <c r="N1095" s="6">
        <v>0.4</v>
      </c>
      <c r="O1095" s="6">
        <v>0.4</v>
      </c>
      <c r="P1095" s="6">
        <v>4</v>
      </c>
      <c r="Q1095" s="4" t="s">
        <v>26</v>
      </c>
      <c r="R1095" s="4">
        <v>0</v>
      </c>
      <c r="S1095" s="4" t="s">
        <v>368</v>
      </c>
      <c r="T1095" s="4" t="s">
        <v>613</v>
      </c>
      <c r="U1095" s="4">
        <v>0</v>
      </c>
      <c r="V1095" s="4">
        <v>44</v>
      </c>
      <c r="W1095" s="4">
        <v>81</v>
      </c>
    </row>
    <row r="1096" spans="1:23" ht="11.25" customHeight="1" x14ac:dyDescent="0.25">
      <c r="A1096" s="4" t="s">
        <v>28</v>
      </c>
      <c r="B1096" s="4" t="s">
        <v>37</v>
      </c>
      <c r="C1096" s="4" t="s">
        <v>33</v>
      </c>
      <c r="D1096" s="4" t="s">
        <v>38</v>
      </c>
      <c r="E1096" s="4" t="s">
        <v>25</v>
      </c>
      <c r="F1096" s="4" t="s">
        <v>25</v>
      </c>
      <c r="G1096" s="4" t="s">
        <v>25</v>
      </c>
      <c r="H1096" s="4" t="s">
        <v>25</v>
      </c>
      <c r="I1096" s="5">
        <v>44621</v>
      </c>
      <c r="J1096" s="6">
        <v>0</v>
      </c>
      <c r="K1096" s="6">
        <v>0</v>
      </c>
      <c r="L1096" s="6">
        <v>0.6</v>
      </c>
      <c r="M1096" s="6">
        <v>0.6</v>
      </c>
      <c r="N1096" s="6">
        <v>0.6</v>
      </c>
      <c r="O1096" s="6">
        <v>0.6</v>
      </c>
      <c r="P1096" s="6">
        <v>0</v>
      </c>
      <c r="Q1096" s="4" t="s">
        <v>26</v>
      </c>
      <c r="R1096" s="4">
        <v>0</v>
      </c>
      <c r="S1096" s="4" t="s">
        <v>368</v>
      </c>
      <c r="T1096" s="4" t="s">
        <v>613</v>
      </c>
      <c r="U1096" s="4">
        <v>0</v>
      </c>
      <c r="V1096" s="4">
        <v>44</v>
      </c>
      <c r="W1096" s="4">
        <v>81</v>
      </c>
    </row>
    <row r="1097" spans="1:23" ht="11.25" customHeight="1" x14ac:dyDescent="0.25">
      <c r="A1097" s="4" t="s">
        <v>28</v>
      </c>
      <c r="B1097" s="4" t="s">
        <v>37</v>
      </c>
      <c r="C1097" s="4" t="s">
        <v>33</v>
      </c>
      <c r="D1097" s="4" t="s">
        <v>38</v>
      </c>
      <c r="E1097" s="4" t="s">
        <v>25</v>
      </c>
      <c r="F1097" s="4" t="s">
        <v>25</v>
      </c>
      <c r="G1097" s="4" t="s">
        <v>25</v>
      </c>
      <c r="H1097" s="4" t="s">
        <v>25</v>
      </c>
      <c r="I1097" s="5">
        <v>44652</v>
      </c>
      <c r="J1097" s="6">
        <v>0</v>
      </c>
      <c r="K1097" s="6">
        <v>0</v>
      </c>
      <c r="L1097" s="6">
        <v>0.4</v>
      </c>
      <c r="M1097" s="6">
        <v>0.4</v>
      </c>
      <c r="N1097" s="6">
        <v>0.4</v>
      </c>
      <c r="O1097" s="6">
        <v>0.4</v>
      </c>
      <c r="P1097" s="6">
        <v>4</v>
      </c>
      <c r="Q1097" s="4" t="s">
        <v>26</v>
      </c>
      <c r="R1097" s="4">
        <v>0</v>
      </c>
      <c r="S1097" s="4" t="s">
        <v>385</v>
      </c>
      <c r="T1097" s="4" t="s">
        <v>630</v>
      </c>
      <c r="U1097" s="4">
        <v>0</v>
      </c>
      <c r="V1097" s="4">
        <v>44</v>
      </c>
      <c r="W1097" s="4">
        <v>81</v>
      </c>
    </row>
    <row r="1098" spans="1:23" ht="11.25" customHeight="1" x14ac:dyDescent="0.25">
      <c r="A1098" s="4" t="s">
        <v>28</v>
      </c>
      <c r="B1098" s="4" t="s">
        <v>37</v>
      </c>
      <c r="C1098" s="4" t="s">
        <v>33</v>
      </c>
      <c r="D1098" s="4" t="s">
        <v>38</v>
      </c>
      <c r="E1098" s="4" t="s">
        <v>25</v>
      </c>
      <c r="F1098" s="4" t="s">
        <v>25</v>
      </c>
      <c r="G1098" s="4" t="s">
        <v>25</v>
      </c>
      <c r="H1098" s="4" t="s">
        <v>25</v>
      </c>
      <c r="I1098" s="5">
        <v>44682</v>
      </c>
      <c r="J1098" s="6">
        <v>0</v>
      </c>
      <c r="K1098" s="6">
        <v>0</v>
      </c>
      <c r="L1098" s="6">
        <v>0.4</v>
      </c>
      <c r="M1098" s="6">
        <v>0.4</v>
      </c>
      <c r="N1098" s="6">
        <v>0.4</v>
      </c>
      <c r="O1098" s="6">
        <v>0.4</v>
      </c>
      <c r="P1098" s="6">
        <v>4</v>
      </c>
      <c r="Q1098" s="4" t="s">
        <v>26</v>
      </c>
      <c r="R1098" s="4">
        <v>0</v>
      </c>
      <c r="S1098" s="4" t="s">
        <v>369</v>
      </c>
      <c r="T1098" s="4" t="s">
        <v>614</v>
      </c>
      <c r="U1098" s="4">
        <v>0</v>
      </c>
      <c r="V1098" s="4">
        <v>44</v>
      </c>
      <c r="W1098" s="4">
        <v>81</v>
      </c>
    </row>
    <row r="1099" spans="1:23" ht="11.25" customHeight="1" x14ac:dyDescent="0.25">
      <c r="A1099" s="4" t="s">
        <v>28</v>
      </c>
      <c r="B1099" s="4" t="s">
        <v>37</v>
      </c>
      <c r="C1099" s="4" t="s">
        <v>33</v>
      </c>
      <c r="D1099" s="4" t="s">
        <v>38</v>
      </c>
      <c r="E1099" s="4" t="s">
        <v>25</v>
      </c>
      <c r="F1099" s="4" t="s">
        <v>25</v>
      </c>
      <c r="G1099" s="4" t="s">
        <v>25</v>
      </c>
      <c r="H1099" s="4" t="s">
        <v>25</v>
      </c>
      <c r="I1099" s="5">
        <v>44713</v>
      </c>
      <c r="J1099" s="6">
        <v>0</v>
      </c>
      <c r="K1099" s="6">
        <v>0</v>
      </c>
      <c r="L1099" s="6">
        <v>0.3</v>
      </c>
      <c r="M1099" s="6">
        <v>0.3</v>
      </c>
      <c r="N1099" s="6">
        <v>0.3</v>
      </c>
      <c r="O1099" s="6">
        <v>0.3</v>
      </c>
      <c r="P1099" s="6">
        <v>4</v>
      </c>
      <c r="Q1099" s="4" t="s">
        <v>26</v>
      </c>
      <c r="R1099" s="4">
        <v>0</v>
      </c>
      <c r="S1099" s="4" t="s">
        <v>370</v>
      </c>
      <c r="T1099" s="4" t="s">
        <v>615</v>
      </c>
      <c r="U1099" s="4">
        <v>0</v>
      </c>
      <c r="V1099" s="4">
        <v>44</v>
      </c>
      <c r="W1099" s="4">
        <v>81</v>
      </c>
    </row>
    <row r="1100" spans="1:23" ht="11.25" customHeight="1" x14ac:dyDescent="0.25">
      <c r="A1100" s="4" t="s">
        <v>28</v>
      </c>
      <c r="B1100" s="4" t="s">
        <v>37</v>
      </c>
      <c r="C1100" s="4" t="s">
        <v>33</v>
      </c>
      <c r="D1100" s="4" t="s">
        <v>38</v>
      </c>
      <c r="E1100" s="4" t="s">
        <v>25</v>
      </c>
      <c r="F1100" s="4" t="s">
        <v>25</v>
      </c>
      <c r="G1100" s="4" t="s">
        <v>25</v>
      </c>
      <c r="H1100" s="4" t="s">
        <v>25</v>
      </c>
      <c r="I1100" s="5">
        <v>44743</v>
      </c>
      <c r="J1100" s="6">
        <v>0</v>
      </c>
      <c r="K1100" s="6">
        <v>0</v>
      </c>
      <c r="L1100" s="6">
        <v>0.1</v>
      </c>
      <c r="M1100" s="6">
        <v>0.1</v>
      </c>
      <c r="N1100" s="6">
        <v>0.1</v>
      </c>
      <c r="O1100" s="6">
        <v>0.1</v>
      </c>
      <c r="P1100" s="6">
        <v>4</v>
      </c>
      <c r="Q1100" s="4" t="s">
        <v>26</v>
      </c>
      <c r="R1100" s="4">
        <v>0</v>
      </c>
      <c r="S1100" s="4" t="s">
        <v>371</v>
      </c>
      <c r="T1100" s="4" t="s">
        <v>616</v>
      </c>
      <c r="U1100" s="4">
        <v>0</v>
      </c>
      <c r="V1100" s="4">
        <v>44</v>
      </c>
      <c r="W1100" s="4">
        <v>81</v>
      </c>
    </row>
    <row r="1101" spans="1:23" ht="11.25" customHeight="1" x14ac:dyDescent="0.25">
      <c r="A1101" s="4" t="s">
        <v>56</v>
      </c>
      <c r="B1101" s="4" t="s">
        <v>37</v>
      </c>
      <c r="C1101" s="4" t="s">
        <v>33</v>
      </c>
      <c r="D1101" s="4" t="s">
        <v>38</v>
      </c>
      <c r="E1101" s="4" t="s">
        <v>25</v>
      </c>
      <c r="F1101" s="4" t="s">
        <v>25</v>
      </c>
      <c r="G1101" s="4" t="s">
        <v>25</v>
      </c>
      <c r="H1101" s="4" t="s">
        <v>25</v>
      </c>
      <c r="I1101" s="5">
        <v>44774</v>
      </c>
      <c r="J1101" s="6">
        <v>0</v>
      </c>
      <c r="K1101" s="6">
        <v>0</v>
      </c>
      <c r="L1101" s="6">
        <v>0.1</v>
      </c>
      <c r="M1101" s="6">
        <v>0.1</v>
      </c>
      <c r="N1101" s="6">
        <v>0.1</v>
      </c>
      <c r="O1101" s="6">
        <v>0.1</v>
      </c>
      <c r="P1101" s="6">
        <v>4</v>
      </c>
      <c r="Q1101" s="4" t="s">
        <v>26</v>
      </c>
      <c r="R1101" s="4">
        <v>0</v>
      </c>
      <c r="S1101" s="4" t="s">
        <v>372</v>
      </c>
      <c r="T1101" s="4" t="s">
        <v>617</v>
      </c>
      <c r="U1101" s="4">
        <v>0</v>
      </c>
      <c r="V1101" s="4">
        <v>44</v>
      </c>
      <c r="W1101" s="4">
        <v>81</v>
      </c>
    </row>
    <row r="1102" spans="1:23" ht="11.25" customHeight="1" x14ac:dyDescent="0.25">
      <c r="A1102" s="4" t="s">
        <v>21</v>
      </c>
      <c r="B1102" s="4" t="s">
        <v>37</v>
      </c>
      <c r="C1102" s="4" t="s">
        <v>33</v>
      </c>
      <c r="D1102" s="4" t="s">
        <v>38</v>
      </c>
      <c r="E1102" s="4" t="s">
        <v>25</v>
      </c>
      <c r="F1102" s="4" t="s">
        <v>25</v>
      </c>
      <c r="G1102" s="4" t="s">
        <v>25</v>
      </c>
      <c r="H1102" s="4" t="s">
        <v>34</v>
      </c>
      <c r="I1102" s="5">
        <v>44440</v>
      </c>
      <c r="J1102" s="6">
        <v>0</v>
      </c>
      <c r="K1102" s="6">
        <v>0</v>
      </c>
      <c r="L1102" s="6">
        <v>0.38600000000000001</v>
      </c>
      <c r="M1102" s="6">
        <v>0.38600000000000001</v>
      </c>
      <c r="N1102" s="6">
        <v>0.38600000000000001</v>
      </c>
      <c r="O1102" s="6">
        <v>0.38600000000000001</v>
      </c>
      <c r="P1102" s="6">
        <v>0</v>
      </c>
      <c r="Q1102" s="4" t="s">
        <v>26</v>
      </c>
      <c r="R1102" s="4">
        <v>0</v>
      </c>
      <c r="S1102" s="4" t="s">
        <v>373</v>
      </c>
      <c r="T1102" s="4" t="s">
        <v>618</v>
      </c>
      <c r="U1102" s="4">
        <v>0</v>
      </c>
      <c r="V1102" s="4">
        <v>41</v>
      </c>
      <c r="W1102" s="4">
        <v>78</v>
      </c>
    </row>
    <row r="1103" spans="1:23" ht="11.25" customHeight="1" x14ac:dyDescent="0.25">
      <c r="A1103" s="4" t="s">
        <v>28</v>
      </c>
      <c r="B1103" s="4" t="s">
        <v>37</v>
      </c>
      <c r="C1103" s="4" t="s">
        <v>33</v>
      </c>
      <c r="D1103" s="4" t="s">
        <v>38</v>
      </c>
      <c r="E1103" s="4" t="s">
        <v>25</v>
      </c>
      <c r="F1103" s="4" t="s">
        <v>25</v>
      </c>
      <c r="G1103" s="4" t="s">
        <v>25</v>
      </c>
      <c r="H1103" s="4" t="s">
        <v>34</v>
      </c>
      <c r="I1103" s="5">
        <v>44440</v>
      </c>
      <c r="J1103" s="6">
        <v>0</v>
      </c>
      <c r="K1103" s="6">
        <v>0</v>
      </c>
      <c r="L1103" s="6">
        <v>0.06</v>
      </c>
      <c r="M1103" s="6">
        <v>0.06</v>
      </c>
      <c r="N1103" s="6">
        <v>0.06</v>
      </c>
      <c r="O1103" s="6">
        <v>0.06</v>
      </c>
      <c r="P1103" s="6">
        <v>0</v>
      </c>
      <c r="Q1103" s="4" t="s">
        <v>26</v>
      </c>
      <c r="R1103" s="4">
        <v>0</v>
      </c>
      <c r="S1103" s="4" t="s">
        <v>373</v>
      </c>
      <c r="T1103" s="4" t="s">
        <v>618</v>
      </c>
      <c r="U1103" s="4">
        <v>0</v>
      </c>
      <c r="V1103" s="4">
        <v>41</v>
      </c>
      <c r="W1103" s="4">
        <v>78</v>
      </c>
    </row>
    <row r="1104" spans="1:23" ht="11.25" customHeight="1" x14ac:dyDescent="0.25">
      <c r="A1104" s="4" t="s">
        <v>21</v>
      </c>
      <c r="B1104" s="4" t="s">
        <v>37</v>
      </c>
      <c r="C1104" s="4" t="s">
        <v>33</v>
      </c>
      <c r="D1104" s="4" t="s">
        <v>38</v>
      </c>
      <c r="E1104" s="4" t="s">
        <v>25</v>
      </c>
      <c r="F1104" s="4" t="s">
        <v>25</v>
      </c>
      <c r="G1104" s="4" t="s">
        <v>25</v>
      </c>
      <c r="H1104" s="4" t="s">
        <v>34</v>
      </c>
      <c r="I1104" s="5">
        <v>44470</v>
      </c>
      <c r="J1104" s="6">
        <v>0</v>
      </c>
      <c r="K1104" s="6">
        <v>0</v>
      </c>
      <c r="L1104" s="6">
        <v>0.48499999999999999</v>
      </c>
      <c r="M1104" s="6">
        <v>0.48499999999999999</v>
      </c>
      <c r="N1104" s="6">
        <v>0.48499999999999999</v>
      </c>
      <c r="O1104" s="6">
        <v>0.48499999999999999</v>
      </c>
      <c r="P1104" s="6">
        <v>0</v>
      </c>
      <c r="Q1104" s="4" t="s">
        <v>26</v>
      </c>
      <c r="R1104" s="4">
        <v>0</v>
      </c>
      <c r="S1104" s="4" t="s">
        <v>374</v>
      </c>
      <c r="T1104" s="4" t="s">
        <v>619</v>
      </c>
      <c r="U1104" s="4">
        <v>0</v>
      </c>
      <c r="V1104" s="4">
        <v>41</v>
      </c>
      <c r="W1104" s="4">
        <v>78</v>
      </c>
    </row>
    <row r="1105" spans="1:23" ht="11.25" customHeight="1" x14ac:dyDescent="0.25">
      <c r="A1105" s="4" t="s">
        <v>21</v>
      </c>
      <c r="B1105" s="4" t="s">
        <v>37</v>
      </c>
      <c r="C1105" s="4" t="s">
        <v>33</v>
      </c>
      <c r="D1105" s="4" t="s">
        <v>38</v>
      </c>
      <c r="E1105" s="4" t="s">
        <v>25</v>
      </c>
      <c r="F1105" s="4" t="s">
        <v>25</v>
      </c>
      <c r="G1105" s="4" t="s">
        <v>25</v>
      </c>
      <c r="H1105" s="4" t="s">
        <v>34</v>
      </c>
      <c r="I1105" s="5">
        <v>44501</v>
      </c>
      <c r="J1105" s="6">
        <v>0</v>
      </c>
      <c r="K1105" s="6">
        <v>0</v>
      </c>
      <c r="L1105" s="6">
        <v>0.26200000000000001</v>
      </c>
      <c r="M1105" s="6">
        <v>0.26200000000000001</v>
      </c>
      <c r="N1105" s="6">
        <v>0.26200000000000001</v>
      </c>
      <c r="O1105" s="6">
        <v>0.26200000000000001</v>
      </c>
      <c r="P1105" s="6">
        <v>0</v>
      </c>
      <c r="Q1105" s="4" t="s">
        <v>26</v>
      </c>
      <c r="R1105" s="4">
        <v>0</v>
      </c>
      <c r="S1105" s="4" t="s">
        <v>375</v>
      </c>
      <c r="T1105" s="4" t="s">
        <v>620</v>
      </c>
      <c r="U1105" s="4">
        <v>0</v>
      </c>
      <c r="V1105" s="4">
        <v>41</v>
      </c>
      <c r="W1105" s="4">
        <v>78</v>
      </c>
    </row>
    <row r="1106" spans="1:23" ht="11.25" customHeight="1" x14ac:dyDescent="0.25">
      <c r="A1106" s="4" t="s">
        <v>28</v>
      </c>
      <c r="B1106" s="4" t="s">
        <v>37</v>
      </c>
      <c r="C1106" s="4" t="s">
        <v>33</v>
      </c>
      <c r="D1106" s="4" t="s">
        <v>38</v>
      </c>
      <c r="E1106" s="4" t="s">
        <v>25</v>
      </c>
      <c r="F1106" s="4" t="s">
        <v>25</v>
      </c>
      <c r="G1106" s="4" t="s">
        <v>25</v>
      </c>
      <c r="H1106" s="4" t="s">
        <v>34</v>
      </c>
      <c r="I1106" s="5">
        <v>44501</v>
      </c>
      <c r="J1106" s="6">
        <v>0</v>
      </c>
      <c r="K1106" s="6">
        <v>0</v>
      </c>
      <c r="L1106" s="6">
        <v>0.42</v>
      </c>
      <c r="M1106" s="6">
        <v>0.42</v>
      </c>
      <c r="N1106" s="6">
        <v>0.42</v>
      </c>
      <c r="O1106" s="6">
        <v>0.42</v>
      </c>
      <c r="P1106" s="6">
        <v>0</v>
      </c>
      <c r="Q1106" s="4" t="s">
        <v>26</v>
      </c>
      <c r="R1106" s="4">
        <v>0</v>
      </c>
      <c r="S1106" s="4" t="s">
        <v>375</v>
      </c>
      <c r="T1106" s="4" t="s">
        <v>620</v>
      </c>
      <c r="U1106" s="4">
        <v>0</v>
      </c>
      <c r="V1106" s="4">
        <v>41</v>
      </c>
      <c r="W1106" s="4">
        <v>78</v>
      </c>
    </row>
    <row r="1107" spans="1:23" ht="11.25" customHeight="1" x14ac:dyDescent="0.25">
      <c r="A1107" s="4" t="s">
        <v>21</v>
      </c>
      <c r="B1107" s="4" t="s">
        <v>37</v>
      </c>
      <c r="C1107" s="4" t="s">
        <v>33</v>
      </c>
      <c r="D1107" s="4" t="s">
        <v>38</v>
      </c>
      <c r="E1107" s="4" t="s">
        <v>25</v>
      </c>
      <c r="F1107" s="4" t="s">
        <v>25</v>
      </c>
      <c r="G1107" s="4" t="s">
        <v>25</v>
      </c>
      <c r="H1107" s="4" t="s">
        <v>34</v>
      </c>
      <c r="I1107" s="5">
        <v>44531</v>
      </c>
      <c r="J1107" s="6">
        <v>0</v>
      </c>
      <c r="K1107" s="6">
        <v>0</v>
      </c>
      <c r="L1107" s="6">
        <v>0.27900000000000003</v>
      </c>
      <c r="M1107" s="6">
        <v>0.27900000000000003</v>
      </c>
      <c r="N1107" s="6">
        <v>0.27900000000000003</v>
      </c>
      <c r="O1107" s="6">
        <v>0.27900000000000003</v>
      </c>
      <c r="P1107" s="6">
        <v>0</v>
      </c>
      <c r="Q1107" s="4" t="s">
        <v>26</v>
      </c>
      <c r="R1107" s="4">
        <v>0</v>
      </c>
      <c r="S1107" s="4" t="s">
        <v>376</v>
      </c>
      <c r="T1107" s="4" t="s">
        <v>621</v>
      </c>
      <c r="U1107" s="4">
        <v>0</v>
      </c>
      <c r="V1107" s="4">
        <v>41</v>
      </c>
      <c r="W1107" s="4">
        <v>78</v>
      </c>
    </row>
    <row r="1108" spans="1:23" ht="11.25" customHeight="1" x14ac:dyDescent="0.25">
      <c r="A1108" s="4" t="s">
        <v>28</v>
      </c>
      <c r="B1108" s="4" t="s">
        <v>37</v>
      </c>
      <c r="C1108" s="4" t="s">
        <v>33</v>
      </c>
      <c r="D1108" s="4" t="s">
        <v>38</v>
      </c>
      <c r="E1108" s="4" t="s">
        <v>25</v>
      </c>
      <c r="F1108" s="4" t="s">
        <v>25</v>
      </c>
      <c r="G1108" s="4" t="s">
        <v>25</v>
      </c>
      <c r="H1108" s="4" t="s">
        <v>34</v>
      </c>
      <c r="I1108" s="5">
        <v>44531</v>
      </c>
      <c r="J1108" s="6">
        <v>0</v>
      </c>
      <c r="K1108" s="6">
        <v>0</v>
      </c>
      <c r="L1108" s="6">
        <v>0.18</v>
      </c>
      <c r="M1108" s="6">
        <v>0.18</v>
      </c>
      <c r="N1108" s="6">
        <v>0.18</v>
      </c>
      <c r="O1108" s="6">
        <v>0.18</v>
      </c>
      <c r="P1108" s="6">
        <v>0</v>
      </c>
      <c r="Q1108" s="4" t="s">
        <v>26</v>
      </c>
      <c r="R1108" s="4">
        <v>0</v>
      </c>
      <c r="S1108" s="4" t="s">
        <v>376</v>
      </c>
      <c r="T1108" s="4" t="s">
        <v>621</v>
      </c>
      <c r="U1108" s="4">
        <v>0</v>
      </c>
      <c r="V1108" s="4">
        <v>41</v>
      </c>
      <c r="W1108" s="4">
        <v>78</v>
      </c>
    </row>
    <row r="1109" spans="1:23" ht="11.25" customHeight="1" x14ac:dyDescent="0.25">
      <c r="A1109" s="4" t="s">
        <v>21</v>
      </c>
      <c r="B1109" s="4" t="s">
        <v>37</v>
      </c>
      <c r="C1109" s="4" t="s">
        <v>33</v>
      </c>
      <c r="D1109" s="4" t="s">
        <v>38</v>
      </c>
      <c r="E1109" s="4" t="s">
        <v>25</v>
      </c>
      <c r="F1109" s="4" t="s">
        <v>25</v>
      </c>
      <c r="G1109" s="4" t="s">
        <v>25</v>
      </c>
      <c r="H1109" s="4" t="s">
        <v>34</v>
      </c>
      <c r="I1109" s="5">
        <v>44562</v>
      </c>
      <c r="J1109" s="6">
        <v>0</v>
      </c>
      <c r="K1109" s="6">
        <v>0</v>
      </c>
      <c r="L1109" s="6">
        <v>0.22500000000000001</v>
      </c>
      <c r="M1109" s="6">
        <v>0.22500000000000001</v>
      </c>
      <c r="N1109" s="6">
        <v>0.22500000000000001</v>
      </c>
      <c r="O1109" s="6">
        <v>0.22500000000000001</v>
      </c>
      <c r="P1109" s="6">
        <v>0</v>
      </c>
      <c r="Q1109" s="4" t="s">
        <v>26</v>
      </c>
      <c r="R1109" s="4">
        <v>0</v>
      </c>
      <c r="S1109" s="4" t="s">
        <v>377</v>
      </c>
      <c r="T1109" s="4" t="s">
        <v>622</v>
      </c>
      <c r="U1109" s="4">
        <v>0</v>
      </c>
      <c r="V1109" s="4">
        <v>41</v>
      </c>
      <c r="W1109" s="4">
        <v>78</v>
      </c>
    </row>
    <row r="1110" spans="1:23" ht="11.25" customHeight="1" x14ac:dyDescent="0.25">
      <c r="A1110" s="4" t="s">
        <v>21</v>
      </c>
      <c r="B1110" s="4" t="s">
        <v>37</v>
      </c>
      <c r="C1110" s="4" t="s">
        <v>33</v>
      </c>
      <c r="D1110" s="4" t="s">
        <v>38</v>
      </c>
      <c r="E1110" s="4" t="s">
        <v>25</v>
      </c>
      <c r="F1110" s="4" t="s">
        <v>25</v>
      </c>
      <c r="G1110" s="4" t="s">
        <v>25</v>
      </c>
      <c r="H1110" s="4" t="s">
        <v>34</v>
      </c>
      <c r="I1110" s="5">
        <v>44593</v>
      </c>
      <c r="J1110" s="6">
        <v>0</v>
      </c>
      <c r="K1110" s="6">
        <v>0</v>
      </c>
      <c r="L1110" s="6">
        <v>0.223</v>
      </c>
      <c r="M1110" s="6">
        <v>0.223</v>
      </c>
      <c r="N1110" s="6">
        <v>0.223</v>
      </c>
      <c r="O1110" s="6">
        <v>0.223</v>
      </c>
      <c r="P1110" s="6">
        <v>0</v>
      </c>
      <c r="Q1110" s="4" t="s">
        <v>26</v>
      </c>
      <c r="R1110" s="4">
        <v>0</v>
      </c>
      <c r="S1110" s="4" t="s">
        <v>378</v>
      </c>
      <c r="T1110" s="4" t="s">
        <v>623</v>
      </c>
      <c r="U1110" s="4">
        <v>0</v>
      </c>
      <c r="V1110" s="4">
        <v>41</v>
      </c>
      <c r="W1110" s="4">
        <v>78</v>
      </c>
    </row>
    <row r="1111" spans="1:23" ht="11.25" customHeight="1" x14ac:dyDescent="0.25">
      <c r="A1111" s="4" t="s">
        <v>28</v>
      </c>
      <c r="B1111" s="4" t="s">
        <v>37</v>
      </c>
      <c r="C1111" s="4" t="s">
        <v>33</v>
      </c>
      <c r="D1111" s="4" t="s">
        <v>38</v>
      </c>
      <c r="E1111" s="4" t="s">
        <v>25</v>
      </c>
      <c r="F1111" s="4" t="s">
        <v>25</v>
      </c>
      <c r="G1111" s="4" t="s">
        <v>25</v>
      </c>
      <c r="H1111" s="4" t="s">
        <v>34</v>
      </c>
      <c r="I1111" s="5">
        <v>44593</v>
      </c>
      <c r="J1111" s="6">
        <v>0</v>
      </c>
      <c r="K1111" s="6">
        <v>0</v>
      </c>
      <c r="L1111" s="6">
        <v>0.09</v>
      </c>
      <c r="M1111" s="6">
        <v>0.09</v>
      </c>
      <c r="N1111" s="6">
        <v>0.09</v>
      </c>
      <c r="O1111" s="6">
        <v>0.09</v>
      </c>
      <c r="P1111" s="6">
        <v>0</v>
      </c>
      <c r="Q1111" s="4" t="s">
        <v>26</v>
      </c>
      <c r="R1111" s="4">
        <v>0</v>
      </c>
      <c r="S1111" s="4" t="s">
        <v>378</v>
      </c>
      <c r="T1111" s="4" t="s">
        <v>623</v>
      </c>
      <c r="U1111" s="4">
        <v>0</v>
      </c>
      <c r="V1111" s="4">
        <v>41</v>
      </c>
      <c r="W1111" s="4">
        <v>78</v>
      </c>
    </row>
    <row r="1112" spans="1:23" ht="11.25" customHeight="1" x14ac:dyDescent="0.25">
      <c r="A1112" s="4" t="s">
        <v>21</v>
      </c>
      <c r="B1112" s="4" t="s">
        <v>37</v>
      </c>
      <c r="C1112" s="4" t="s">
        <v>33</v>
      </c>
      <c r="D1112" s="4" t="s">
        <v>38</v>
      </c>
      <c r="E1112" s="4" t="s">
        <v>25</v>
      </c>
      <c r="F1112" s="4" t="s">
        <v>25</v>
      </c>
      <c r="G1112" s="4" t="s">
        <v>25</v>
      </c>
      <c r="H1112" s="4" t="s">
        <v>34</v>
      </c>
      <c r="I1112" s="5">
        <v>44621</v>
      </c>
      <c r="J1112" s="6">
        <v>0</v>
      </c>
      <c r="K1112" s="6">
        <v>0</v>
      </c>
      <c r="L1112" s="6">
        <v>0.26900000000000002</v>
      </c>
      <c r="M1112" s="6">
        <v>0.26900000000000002</v>
      </c>
      <c r="N1112" s="6">
        <v>0.26900000000000002</v>
      </c>
      <c r="O1112" s="6">
        <v>0.26900000000000002</v>
      </c>
      <c r="P1112" s="6">
        <v>0</v>
      </c>
      <c r="Q1112" s="4" t="s">
        <v>26</v>
      </c>
      <c r="R1112" s="4">
        <v>0</v>
      </c>
      <c r="S1112" s="4" t="s">
        <v>379</v>
      </c>
      <c r="T1112" s="4" t="s">
        <v>624</v>
      </c>
      <c r="U1112" s="4">
        <v>0</v>
      </c>
      <c r="V1112" s="4">
        <v>41</v>
      </c>
      <c r="W1112" s="4">
        <v>78</v>
      </c>
    </row>
    <row r="1113" spans="1:23" ht="11.25" customHeight="1" x14ac:dyDescent="0.25">
      <c r="A1113" s="4" t="s">
        <v>28</v>
      </c>
      <c r="B1113" s="4" t="s">
        <v>37</v>
      </c>
      <c r="C1113" s="4" t="s">
        <v>33</v>
      </c>
      <c r="D1113" s="4" t="s">
        <v>38</v>
      </c>
      <c r="E1113" s="4" t="s">
        <v>25</v>
      </c>
      <c r="F1113" s="4" t="s">
        <v>25</v>
      </c>
      <c r="G1113" s="4" t="s">
        <v>25</v>
      </c>
      <c r="H1113" s="4" t="s">
        <v>34</v>
      </c>
      <c r="I1113" s="5">
        <v>44621</v>
      </c>
      <c r="J1113" s="6">
        <v>0</v>
      </c>
      <c r="K1113" s="6">
        <v>0</v>
      </c>
      <c r="L1113" s="6">
        <v>0.09</v>
      </c>
      <c r="M1113" s="6">
        <v>0.09</v>
      </c>
      <c r="N1113" s="6">
        <v>0.09</v>
      </c>
      <c r="O1113" s="6">
        <v>0.09</v>
      </c>
      <c r="P1113" s="6">
        <v>0</v>
      </c>
      <c r="Q1113" s="4" t="s">
        <v>26</v>
      </c>
      <c r="R1113" s="4">
        <v>0</v>
      </c>
      <c r="S1113" s="4" t="s">
        <v>379</v>
      </c>
      <c r="T1113" s="4" t="s">
        <v>624</v>
      </c>
      <c r="U1113" s="4">
        <v>0</v>
      </c>
      <c r="V1113" s="4">
        <v>41</v>
      </c>
      <c r="W1113" s="4">
        <v>78</v>
      </c>
    </row>
    <row r="1114" spans="1:23" ht="11.25" customHeight="1" x14ac:dyDescent="0.25">
      <c r="A1114" s="4" t="s">
        <v>21</v>
      </c>
      <c r="B1114" s="4" t="s">
        <v>37</v>
      </c>
      <c r="C1114" s="4" t="s">
        <v>33</v>
      </c>
      <c r="D1114" s="4" t="s">
        <v>38</v>
      </c>
      <c r="E1114" s="4" t="s">
        <v>25</v>
      </c>
      <c r="F1114" s="4" t="s">
        <v>25</v>
      </c>
      <c r="G1114" s="4" t="s">
        <v>25</v>
      </c>
      <c r="H1114" s="4" t="s">
        <v>34</v>
      </c>
      <c r="I1114" s="5">
        <v>44652</v>
      </c>
      <c r="J1114" s="6">
        <v>0</v>
      </c>
      <c r="K1114" s="6">
        <v>0</v>
      </c>
      <c r="L1114" s="6">
        <v>0.24399999999999999</v>
      </c>
      <c r="M1114" s="6">
        <v>0.24399999999999999</v>
      </c>
      <c r="N1114" s="6">
        <v>0.24399999999999999</v>
      </c>
      <c r="O1114" s="6">
        <v>0.24399999999999999</v>
      </c>
      <c r="P1114" s="6">
        <v>0</v>
      </c>
      <c r="Q1114" s="4" t="s">
        <v>26</v>
      </c>
      <c r="R1114" s="4">
        <v>0</v>
      </c>
      <c r="S1114" s="4" t="s">
        <v>380</v>
      </c>
      <c r="T1114" s="4" t="s">
        <v>625</v>
      </c>
      <c r="U1114" s="4">
        <v>0</v>
      </c>
      <c r="V1114" s="4">
        <v>41</v>
      </c>
      <c r="W1114" s="4">
        <v>78</v>
      </c>
    </row>
    <row r="1115" spans="1:23" ht="11.25" customHeight="1" x14ac:dyDescent="0.25">
      <c r="A1115" s="4" t="s">
        <v>21</v>
      </c>
      <c r="B1115" s="4" t="s">
        <v>37</v>
      </c>
      <c r="C1115" s="4" t="s">
        <v>33</v>
      </c>
      <c r="D1115" s="4" t="s">
        <v>38</v>
      </c>
      <c r="E1115" s="4" t="s">
        <v>25</v>
      </c>
      <c r="F1115" s="4" t="s">
        <v>25</v>
      </c>
      <c r="G1115" s="4" t="s">
        <v>25</v>
      </c>
      <c r="H1115" s="4" t="s">
        <v>34</v>
      </c>
      <c r="I1115" s="5">
        <v>44682</v>
      </c>
      <c r="J1115" s="6">
        <v>0</v>
      </c>
      <c r="K1115" s="6">
        <v>0</v>
      </c>
      <c r="L1115" s="6">
        <v>0.33500000000000002</v>
      </c>
      <c r="M1115" s="6">
        <v>0.33500000000000002</v>
      </c>
      <c r="N1115" s="6">
        <v>0.33500000000000002</v>
      </c>
      <c r="O1115" s="6">
        <v>0.33500000000000002</v>
      </c>
      <c r="P1115" s="6">
        <v>0</v>
      </c>
      <c r="Q1115" s="4" t="s">
        <v>26</v>
      </c>
      <c r="R1115" s="4">
        <v>0</v>
      </c>
      <c r="S1115" s="4" t="s">
        <v>381</v>
      </c>
      <c r="T1115" s="4" t="s">
        <v>626</v>
      </c>
      <c r="U1115" s="4">
        <v>0</v>
      </c>
      <c r="V1115" s="4">
        <v>41</v>
      </c>
      <c r="W1115" s="4">
        <v>78</v>
      </c>
    </row>
    <row r="1116" spans="1:23" ht="11.25" customHeight="1" x14ac:dyDescent="0.25">
      <c r="A1116" s="4" t="s">
        <v>28</v>
      </c>
      <c r="B1116" s="4" t="s">
        <v>37</v>
      </c>
      <c r="C1116" s="4" t="s">
        <v>33</v>
      </c>
      <c r="D1116" s="4" t="s">
        <v>38</v>
      </c>
      <c r="E1116" s="4" t="s">
        <v>25</v>
      </c>
      <c r="F1116" s="4" t="s">
        <v>25</v>
      </c>
      <c r="G1116" s="4" t="s">
        <v>25</v>
      </c>
      <c r="H1116" s="4" t="s">
        <v>34</v>
      </c>
      <c r="I1116" s="5">
        <v>44682</v>
      </c>
      <c r="J1116" s="6">
        <v>0</v>
      </c>
      <c r="K1116" s="6">
        <v>0</v>
      </c>
      <c r="L1116" s="6">
        <v>0.06</v>
      </c>
      <c r="M1116" s="6">
        <v>0.06</v>
      </c>
      <c r="N1116" s="6">
        <v>0.06</v>
      </c>
      <c r="O1116" s="6">
        <v>0.06</v>
      </c>
      <c r="P1116" s="6">
        <v>0</v>
      </c>
      <c r="Q1116" s="4" t="s">
        <v>26</v>
      </c>
      <c r="R1116" s="4">
        <v>0</v>
      </c>
      <c r="S1116" s="4" t="s">
        <v>381</v>
      </c>
      <c r="T1116" s="4" t="s">
        <v>626</v>
      </c>
      <c r="U1116" s="4">
        <v>0</v>
      </c>
      <c r="V1116" s="4">
        <v>41</v>
      </c>
      <c r="W1116" s="4">
        <v>78</v>
      </c>
    </row>
    <row r="1117" spans="1:23" ht="11.25" customHeight="1" x14ac:dyDescent="0.25">
      <c r="A1117" s="4" t="s">
        <v>21</v>
      </c>
      <c r="B1117" s="4" t="s">
        <v>37</v>
      </c>
      <c r="C1117" s="4" t="s">
        <v>33</v>
      </c>
      <c r="D1117" s="4" t="s">
        <v>38</v>
      </c>
      <c r="E1117" s="4" t="s">
        <v>25</v>
      </c>
      <c r="F1117" s="4" t="s">
        <v>25</v>
      </c>
      <c r="G1117" s="4" t="s">
        <v>25</v>
      </c>
      <c r="H1117" s="4" t="s">
        <v>34</v>
      </c>
      <c r="I1117" s="5">
        <v>44713</v>
      </c>
      <c r="J1117" s="6">
        <v>0</v>
      </c>
      <c r="K1117" s="6">
        <v>0</v>
      </c>
      <c r="L1117" s="6">
        <v>0.20799999999999999</v>
      </c>
      <c r="M1117" s="6">
        <v>0.20799999999999999</v>
      </c>
      <c r="N1117" s="6">
        <v>0.20799999999999999</v>
      </c>
      <c r="O1117" s="6">
        <v>0.20799999999999999</v>
      </c>
      <c r="P1117" s="6">
        <v>0</v>
      </c>
      <c r="Q1117" s="4" t="s">
        <v>26</v>
      </c>
      <c r="R1117" s="4">
        <v>0</v>
      </c>
      <c r="S1117" s="4" t="s">
        <v>382</v>
      </c>
      <c r="T1117" s="4" t="s">
        <v>627</v>
      </c>
      <c r="U1117" s="4">
        <v>0</v>
      </c>
      <c r="V1117" s="4">
        <v>41</v>
      </c>
      <c r="W1117" s="4">
        <v>78</v>
      </c>
    </row>
    <row r="1118" spans="1:23" ht="11.25" customHeight="1" x14ac:dyDescent="0.25">
      <c r="A1118" s="4" t="s">
        <v>28</v>
      </c>
      <c r="B1118" s="4" t="s">
        <v>37</v>
      </c>
      <c r="C1118" s="4" t="s">
        <v>33</v>
      </c>
      <c r="D1118" s="4" t="s">
        <v>38</v>
      </c>
      <c r="E1118" s="4" t="s">
        <v>25</v>
      </c>
      <c r="F1118" s="4" t="s">
        <v>25</v>
      </c>
      <c r="G1118" s="4" t="s">
        <v>25</v>
      </c>
      <c r="H1118" s="4" t="s">
        <v>34</v>
      </c>
      <c r="I1118" s="5">
        <v>44713</v>
      </c>
      <c r="J1118" s="6">
        <v>0</v>
      </c>
      <c r="K1118" s="6">
        <v>0</v>
      </c>
      <c r="L1118" s="6">
        <v>0.06</v>
      </c>
      <c r="M1118" s="6">
        <v>0.06</v>
      </c>
      <c r="N1118" s="6">
        <v>0.06</v>
      </c>
      <c r="O1118" s="6">
        <v>0.06</v>
      </c>
      <c r="P1118" s="6">
        <v>0</v>
      </c>
      <c r="Q1118" s="4" t="s">
        <v>26</v>
      </c>
      <c r="R1118" s="4">
        <v>0</v>
      </c>
      <c r="S1118" s="4" t="s">
        <v>382</v>
      </c>
      <c r="T1118" s="4" t="s">
        <v>627</v>
      </c>
      <c r="U1118" s="4">
        <v>0</v>
      </c>
      <c r="V1118" s="4">
        <v>41</v>
      </c>
      <c r="W1118" s="4">
        <v>78</v>
      </c>
    </row>
    <row r="1119" spans="1:23" ht="11.25" customHeight="1" x14ac:dyDescent="0.25">
      <c r="A1119" s="4" t="s">
        <v>21</v>
      </c>
      <c r="B1119" s="4" t="s">
        <v>37</v>
      </c>
      <c r="C1119" s="4" t="s">
        <v>33</v>
      </c>
      <c r="D1119" s="4" t="s">
        <v>38</v>
      </c>
      <c r="E1119" s="4" t="s">
        <v>25</v>
      </c>
      <c r="F1119" s="4" t="s">
        <v>25</v>
      </c>
      <c r="G1119" s="4" t="s">
        <v>25</v>
      </c>
      <c r="H1119" s="4" t="s">
        <v>34</v>
      </c>
      <c r="I1119" s="5">
        <v>44743</v>
      </c>
      <c r="J1119" s="6">
        <v>0</v>
      </c>
      <c r="K1119" s="6">
        <v>0</v>
      </c>
      <c r="L1119" s="6">
        <v>0.45200000000000001</v>
      </c>
      <c r="M1119" s="6">
        <v>0.45200000000000001</v>
      </c>
      <c r="N1119" s="6">
        <v>0.45200000000000001</v>
      </c>
      <c r="O1119" s="6">
        <v>0.45200000000000001</v>
      </c>
      <c r="P1119" s="6">
        <v>0</v>
      </c>
      <c r="Q1119" s="4" t="s">
        <v>26</v>
      </c>
      <c r="R1119" s="4">
        <v>0</v>
      </c>
      <c r="S1119" s="4" t="s">
        <v>383</v>
      </c>
      <c r="T1119" s="4" t="s">
        <v>628</v>
      </c>
      <c r="U1119" s="4">
        <v>0</v>
      </c>
      <c r="V1119" s="4">
        <v>41</v>
      </c>
      <c r="W1119" s="4">
        <v>78</v>
      </c>
    </row>
    <row r="1120" spans="1:23" ht="11.25" customHeight="1" x14ac:dyDescent="0.25">
      <c r="A1120" s="4" t="s">
        <v>28</v>
      </c>
      <c r="B1120" s="4" t="s">
        <v>37</v>
      </c>
      <c r="C1120" s="4" t="s">
        <v>33</v>
      </c>
      <c r="D1120" s="4" t="s">
        <v>38</v>
      </c>
      <c r="E1120" s="4" t="s">
        <v>25</v>
      </c>
      <c r="F1120" s="4" t="s">
        <v>25</v>
      </c>
      <c r="G1120" s="4" t="s">
        <v>25</v>
      </c>
      <c r="H1120" s="4" t="s">
        <v>34</v>
      </c>
      <c r="I1120" s="5">
        <v>44743</v>
      </c>
      <c r="J1120" s="6">
        <v>0</v>
      </c>
      <c r="K1120" s="6">
        <v>0</v>
      </c>
      <c r="L1120" s="6">
        <v>0.33</v>
      </c>
      <c r="M1120" s="6">
        <v>0.33</v>
      </c>
      <c r="N1120" s="6">
        <v>0.33</v>
      </c>
      <c r="O1120" s="6">
        <v>0.33</v>
      </c>
      <c r="P1120" s="6">
        <v>0</v>
      </c>
      <c r="Q1120" s="4" t="s">
        <v>26</v>
      </c>
      <c r="R1120" s="4">
        <v>0</v>
      </c>
      <c r="S1120" s="4" t="s">
        <v>383</v>
      </c>
      <c r="T1120" s="4" t="s">
        <v>628</v>
      </c>
      <c r="U1120" s="4">
        <v>0</v>
      </c>
      <c r="V1120" s="4">
        <v>41</v>
      </c>
      <c r="W1120" s="4">
        <v>78</v>
      </c>
    </row>
    <row r="1121" spans="1:23" ht="11.25" customHeight="1" x14ac:dyDescent="0.25">
      <c r="A1121" s="4" t="s">
        <v>56</v>
      </c>
      <c r="B1121" s="4" t="s">
        <v>37</v>
      </c>
      <c r="C1121" s="4" t="s">
        <v>33</v>
      </c>
      <c r="D1121" s="4" t="s">
        <v>38</v>
      </c>
      <c r="E1121" s="4" t="s">
        <v>25</v>
      </c>
      <c r="F1121" s="4" t="s">
        <v>25</v>
      </c>
      <c r="G1121" s="4" t="s">
        <v>25</v>
      </c>
      <c r="H1121" s="4" t="s">
        <v>34</v>
      </c>
      <c r="I1121" s="5">
        <v>44774</v>
      </c>
      <c r="J1121" s="6">
        <v>0</v>
      </c>
      <c r="K1121" s="6">
        <v>0</v>
      </c>
      <c r="L1121" s="6">
        <v>0.45200000000000001</v>
      </c>
      <c r="M1121" s="6">
        <v>0.45200000000000001</v>
      </c>
      <c r="N1121" s="6">
        <v>0.45200000000000001</v>
      </c>
      <c r="O1121" s="6">
        <v>0.45200000000000001</v>
      </c>
      <c r="P1121" s="6">
        <v>0</v>
      </c>
      <c r="Q1121" s="4" t="s">
        <v>26</v>
      </c>
      <c r="R1121" s="4">
        <v>0</v>
      </c>
      <c r="S1121" s="4" t="s">
        <v>384</v>
      </c>
      <c r="T1121" s="4" t="s">
        <v>629</v>
      </c>
      <c r="U1121" s="4">
        <v>0</v>
      </c>
      <c r="V1121" s="4">
        <v>41</v>
      </c>
      <c r="W1121" s="4">
        <v>78</v>
      </c>
    </row>
    <row r="1122" spans="1:23" ht="11.25" customHeight="1" x14ac:dyDescent="0.25">
      <c r="A1122" s="4" t="s">
        <v>56</v>
      </c>
      <c r="B1122" s="4" t="s">
        <v>37</v>
      </c>
      <c r="C1122" s="4" t="s">
        <v>33</v>
      </c>
      <c r="D1122" s="4" t="s">
        <v>38</v>
      </c>
      <c r="E1122" s="4" t="s">
        <v>25</v>
      </c>
      <c r="F1122" s="4" t="s">
        <v>25</v>
      </c>
      <c r="G1122" s="4" t="s">
        <v>25</v>
      </c>
      <c r="H1122" s="4" t="s">
        <v>34</v>
      </c>
      <c r="I1122" s="5">
        <v>44774</v>
      </c>
      <c r="J1122" s="6">
        <v>0</v>
      </c>
      <c r="K1122" s="6">
        <v>0</v>
      </c>
      <c r="L1122" s="6">
        <v>0.33</v>
      </c>
      <c r="M1122" s="6">
        <v>0.33</v>
      </c>
      <c r="N1122" s="6">
        <v>0.33</v>
      </c>
      <c r="O1122" s="6">
        <v>0.33</v>
      </c>
      <c r="P1122" s="6">
        <v>0</v>
      </c>
      <c r="Q1122" s="4" t="s">
        <v>26</v>
      </c>
      <c r="R1122" s="4">
        <v>0</v>
      </c>
      <c r="S1122" s="4" t="s">
        <v>384</v>
      </c>
      <c r="T1122" s="4" t="s">
        <v>629</v>
      </c>
      <c r="U1122" s="4">
        <v>0</v>
      </c>
      <c r="V1122" s="4">
        <v>41</v>
      </c>
      <c r="W1122" s="4">
        <v>78</v>
      </c>
    </row>
    <row r="1123" spans="1:23" ht="11.25" customHeight="1" x14ac:dyDescent="0.25">
      <c r="A1123" s="4" t="s">
        <v>21</v>
      </c>
      <c r="B1123" s="4" t="s">
        <v>37</v>
      </c>
      <c r="C1123" s="4" t="s">
        <v>23</v>
      </c>
      <c r="D1123" s="4" t="s">
        <v>41</v>
      </c>
      <c r="E1123" s="4" t="s">
        <v>25</v>
      </c>
      <c r="F1123" s="4" t="s">
        <v>25</v>
      </c>
      <c r="G1123" s="4" t="s">
        <v>25</v>
      </c>
      <c r="H1123" s="4" t="s">
        <v>25</v>
      </c>
      <c r="I1123" s="5">
        <v>44440</v>
      </c>
      <c r="J1123" s="6">
        <v>0</v>
      </c>
      <c r="K1123" s="6">
        <v>0</v>
      </c>
      <c r="L1123" s="6">
        <v>4812.7089999999998</v>
      </c>
      <c r="M1123" s="6">
        <v>4812.7089999999998</v>
      </c>
      <c r="N1123" s="6">
        <v>4812.7089999999998</v>
      </c>
      <c r="O1123" s="6">
        <v>4812.7089999999998</v>
      </c>
      <c r="P1123" s="6">
        <v>9157</v>
      </c>
      <c r="Q1123" s="4" t="s">
        <v>26</v>
      </c>
      <c r="R1123" s="4">
        <v>0</v>
      </c>
      <c r="S1123" s="4" t="s">
        <v>362</v>
      </c>
      <c r="T1123" s="4" t="s">
        <v>607</v>
      </c>
      <c r="U1123" s="4">
        <v>0</v>
      </c>
      <c r="V1123" s="4">
        <v>44</v>
      </c>
      <c r="W1123" s="4">
        <v>81</v>
      </c>
    </row>
    <row r="1124" spans="1:23" ht="11.25" customHeight="1" x14ac:dyDescent="0.25">
      <c r="A1124" s="4" t="s">
        <v>27</v>
      </c>
      <c r="B1124" s="4" t="s">
        <v>37</v>
      </c>
      <c r="C1124" s="4" t="s">
        <v>23</v>
      </c>
      <c r="D1124" s="4" t="s">
        <v>41</v>
      </c>
      <c r="E1124" s="4" t="s">
        <v>25</v>
      </c>
      <c r="F1124" s="4" t="s">
        <v>25</v>
      </c>
      <c r="G1124" s="4" t="s">
        <v>25</v>
      </c>
      <c r="H1124" s="4" t="s">
        <v>25</v>
      </c>
      <c r="I1124" s="5">
        <v>44440</v>
      </c>
      <c r="J1124" s="6">
        <v>0</v>
      </c>
      <c r="K1124" s="6">
        <v>0</v>
      </c>
      <c r="L1124" s="6">
        <v>-0.25</v>
      </c>
      <c r="M1124" s="6">
        <v>-0.25</v>
      </c>
      <c r="N1124" s="6">
        <v>-0.25</v>
      </c>
      <c r="O1124" s="6">
        <v>-0.25</v>
      </c>
      <c r="P1124" s="6">
        <v>-2</v>
      </c>
      <c r="Q1124" s="4" t="s">
        <v>26</v>
      </c>
      <c r="R1124" s="4">
        <v>0</v>
      </c>
      <c r="S1124" s="4" t="s">
        <v>362</v>
      </c>
      <c r="T1124" s="4" t="s">
        <v>607</v>
      </c>
      <c r="U1124" s="4">
        <v>0</v>
      </c>
      <c r="V1124" s="4">
        <v>44</v>
      </c>
      <c r="W1124" s="4">
        <v>81</v>
      </c>
    </row>
    <row r="1125" spans="1:23" ht="11.25" customHeight="1" x14ac:dyDescent="0.25">
      <c r="A1125" s="4" t="s">
        <v>28</v>
      </c>
      <c r="B1125" s="4" t="s">
        <v>37</v>
      </c>
      <c r="C1125" s="4" t="s">
        <v>23</v>
      </c>
      <c r="D1125" s="4" t="s">
        <v>41</v>
      </c>
      <c r="E1125" s="4" t="s">
        <v>25</v>
      </c>
      <c r="F1125" s="4" t="s">
        <v>25</v>
      </c>
      <c r="G1125" s="4" t="s">
        <v>25</v>
      </c>
      <c r="H1125" s="4" t="s">
        <v>25</v>
      </c>
      <c r="I1125" s="5">
        <v>44440</v>
      </c>
      <c r="J1125" s="6">
        <v>0</v>
      </c>
      <c r="K1125" s="6">
        <v>0</v>
      </c>
      <c r="L1125" s="6">
        <v>150.995</v>
      </c>
      <c r="M1125" s="6">
        <v>150.995</v>
      </c>
      <c r="N1125" s="6">
        <v>150.995</v>
      </c>
      <c r="O1125" s="6">
        <v>150.995</v>
      </c>
      <c r="P1125" s="6">
        <v>303</v>
      </c>
      <c r="Q1125" s="4" t="s">
        <v>26</v>
      </c>
      <c r="R1125" s="4">
        <v>0</v>
      </c>
      <c r="S1125" s="4" t="s">
        <v>362</v>
      </c>
      <c r="T1125" s="4" t="s">
        <v>607</v>
      </c>
      <c r="U1125" s="4">
        <v>0</v>
      </c>
      <c r="V1125" s="4">
        <v>44</v>
      </c>
      <c r="W1125" s="4">
        <v>81</v>
      </c>
    </row>
    <row r="1126" spans="1:23" ht="11.25" customHeight="1" x14ac:dyDescent="0.25">
      <c r="A1126" s="4" t="s">
        <v>21</v>
      </c>
      <c r="B1126" s="4" t="s">
        <v>37</v>
      </c>
      <c r="C1126" s="4" t="s">
        <v>23</v>
      </c>
      <c r="D1126" s="4" t="s">
        <v>41</v>
      </c>
      <c r="E1126" s="4" t="s">
        <v>25</v>
      </c>
      <c r="F1126" s="4" t="s">
        <v>25</v>
      </c>
      <c r="G1126" s="4" t="s">
        <v>25</v>
      </c>
      <c r="H1126" s="4" t="s">
        <v>25</v>
      </c>
      <c r="I1126" s="5">
        <v>44470</v>
      </c>
      <c r="J1126" s="6">
        <v>0</v>
      </c>
      <c r="K1126" s="6">
        <v>0</v>
      </c>
      <c r="L1126" s="6">
        <v>5188.4679999999998</v>
      </c>
      <c r="M1126" s="6">
        <v>5188.4679999999998</v>
      </c>
      <c r="N1126" s="6">
        <v>5188.4679999999998</v>
      </c>
      <c r="O1126" s="6">
        <v>5188.4679999999998</v>
      </c>
      <c r="P1126" s="6">
        <v>9188</v>
      </c>
      <c r="Q1126" s="4" t="s">
        <v>26</v>
      </c>
      <c r="R1126" s="4">
        <v>0</v>
      </c>
      <c r="S1126" s="4" t="s">
        <v>363</v>
      </c>
      <c r="T1126" s="4" t="s">
        <v>608</v>
      </c>
      <c r="U1126" s="4">
        <v>0</v>
      </c>
      <c r="V1126" s="4">
        <v>44</v>
      </c>
      <c r="W1126" s="4">
        <v>81</v>
      </c>
    </row>
    <row r="1127" spans="1:23" ht="11.25" customHeight="1" x14ac:dyDescent="0.25">
      <c r="A1127" s="4" t="s">
        <v>27</v>
      </c>
      <c r="B1127" s="4" t="s">
        <v>37</v>
      </c>
      <c r="C1127" s="4" t="s">
        <v>23</v>
      </c>
      <c r="D1127" s="4" t="s">
        <v>41</v>
      </c>
      <c r="E1127" s="4" t="s">
        <v>25</v>
      </c>
      <c r="F1127" s="4" t="s">
        <v>25</v>
      </c>
      <c r="G1127" s="4" t="s">
        <v>25</v>
      </c>
      <c r="H1127" s="4" t="s">
        <v>25</v>
      </c>
      <c r="I1127" s="5">
        <v>44470</v>
      </c>
      <c r="J1127" s="6">
        <v>0</v>
      </c>
      <c r="K1127" s="6">
        <v>0</v>
      </c>
      <c r="L1127" s="6">
        <v>0.44400000000000001</v>
      </c>
      <c r="M1127" s="6">
        <v>0.44400000000000001</v>
      </c>
      <c r="N1127" s="6">
        <v>0.44400000000000001</v>
      </c>
      <c r="O1127" s="6">
        <v>0.44400000000000001</v>
      </c>
      <c r="P1127" s="6">
        <v>2</v>
      </c>
      <c r="Q1127" s="4" t="s">
        <v>26</v>
      </c>
      <c r="R1127" s="4">
        <v>0</v>
      </c>
      <c r="S1127" s="4" t="s">
        <v>363</v>
      </c>
      <c r="T1127" s="4" t="s">
        <v>608</v>
      </c>
      <c r="U1127" s="4">
        <v>0</v>
      </c>
      <c r="V1127" s="4">
        <v>44</v>
      </c>
      <c r="W1127" s="4">
        <v>81</v>
      </c>
    </row>
    <row r="1128" spans="1:23" ht="11.25" customHeight="1" x14ac:dyDescent="0.25">
      <c r="A1128" s="4" t="s">
        <v>28</v>
      </c>
      <c r="B1128" s="4" t="s">
        <v>37</v>
      </c>
      <c r="C1128" s="4" t="s">
        <v>23</v>
      </c>
      <c r="D1128" s="4" t="s">
        <v>41</v>
      </c>
      <c r="E1128" s="4" t="s">
        <v>25</v>
      </c>
      <c r="F1128" s="4" t="s">
        <v>25</v>
      </c>
      <c r="G1128" s="4" t="s">
        <v>25</v>
      </c>
      <c r="H1128" s="4" t="s">
        <v>25</v>
      </c>
      <c r="I1128" s="5">
        <v>44470</v>
      </c>
      <c r="J1128" s="6">
        <v>0</v>
      </c>
      <c r="K1128" s="6">
        <v>0</v>
      </c>
      <c r="L1128" s="6">
        <v>194.78</v>
      </c>
      <c r="M1128" s="6">
        <v>194.78</v>
      </c>
      <c r="N1128" s="6">
        <v>194.78</v>
      </c>
      <c r="O1128" s="6">
        <v>194.78</v>
      </c>
      <c r="P1128" s="6">
        <v>327</v>
      </c>
      <c r="Q1128" s="4" t="s">
        <v>26</v>
      </c>
      <c r="R1128" s="4">
        <v>0</v>
      </c>
      <c r="S1128" s="4" t="s">
        <v>363</v>
      </c>
      <c r="T1128" s="4" t="s">
        <v>608</v>
      </c>
      <c r="U1128" s="4">
        <v>0</v>
      </c>
      <c r="V1128" s="4">
        <v>44</v>
      </c>
      <c r="W1128" s="4">
        <v>81</v>
      </c>
    </row>
    <row r="1129" spans="1:23" ht="11.25" customHeight="1" x14ac:dyDescent="0.25">
      <c r="A1129" s="4" t="s">
        <v>21</v>
      </c>
      <c r="B1129" s="4" t="s">
        <v>37</v>
      </c>
      <c r="C1129" s="4" t="s">
        <v>23</v>
      </c>
      <c r="D1129" s="4" t="s">
        <v>41</v>
      </c>
      <c r="E1129" s="4" t="s">
        <v>25</v>
      </c>
      <c r="F1129" s="4" t="s">
        <v>25</v>
      </c>
      <c r="G1129" s="4" t="s">
        <v>25</v>
      </c>
      <c r="H1129" s="4" t="s">
        <v>25</v>
      </c>
      <c r="I1129" s="5">
        <v>44501</v>
      </c>
      <c r="J1129" s="6">
        <v>0</v>
      </c>
      <c r="K1129" s="6">
        <v>0</v>
      </c>
      <c r="L1129" s="6">
        <v>4992.2439999999997</v>
      </c>
      <c r="M1129" s="6">
        <v>4992.2439999999997</v>
      </c>
      <c r="N1129" s="6">
        <v>4992.2439999999997</v>
      </c>
      <c r="O1129" s="6">
        <v>4992.2439999999997</v>
      </c>
      <c r="P1129" s="6">
        <v>9213</v>
      </c>
      <c r="Q1129" s="4" t="s">
        <v>26</v>
      </c>
      <c r="R1129" s="4">
        <v>0</v>
      </c>
      <c r="S1129" s="4" t="s">
        <v>364</v>
      </c>
      <c r="T1129" s="4" t="s">
        <v>609</v>
      </c>
      <c r="U1129" s="4">
        <v>0</v>
      </c>
      <c r="V1129" s="4">
        <v>44</v>
      </c>
      <c r="W1129" s="4">
        <v>81</v>
      </c>
    </row>
    <row r="1130" spans="1:23" ht="11.25" customHeight="1" x14ac:dyDescent="0.25">
      <c r="A1130" s="4" t="s">
        <v>27</v>
      </c>
      <c r="B1130" s="4" t="s">
        <v>37</v>
      </c>
      <c r="C1130" s="4" t="s">
        <v>23</v>
      </c>
      <c r="D1130" s="4" t="s">
        <v>41</v>
      </c>
      <c r="E1130" s="4" t="s">
        <v>25</v>
      </c>
      <c r="F1130" s="4" t="s">
        <v>25</v>
      </c>
      <c r="G1130" s="4" t="s">
        <v>25</v>
      </c>
      <c r="H1130" s="4" t="s">
        <v>25</v>
      </c>
      <c r="I1130" s="5">
        <v>44501</v>
      </c>
      <c r="J1130" s="6">
        <v>0</v>
      </c>
      <c r="K1130" s="6">
        <v>0</v>
      </c>
      <c r="L1130" s="6">
        <v>1.9E-2</v>
      </c>
      <c r="M1130" s="6">
        <v>1.9E-2</v>
      </c>
      <c r="N1130" s="6">
        <v>1.9E-2</v>
      </c>
      <c r="O1130" s="6">
        <v>1.9E-2</v>
      </c>
      <c r="P1130" s="6">
        <v>1</v>
      </c>
      <c r="Q1130" s="4" t="s">
        <v>26</v>
      </c>
      <c r="R1130" s="4">
        <v>0</v>
      </c>
      <c r="S1130" s="4" t="s">
        <v>364</v>
      </c>
      <c r="T1130" s="4" t="s">
        <v>609</v>
      </c>
      <c r="U1130" s="4">
        <v>0</v>
      </c>
      <c r="V1130" s="4">
        <v>44</v>
      </c>
      <c r="W1130" s="4">
        <v>81</v>
      </c>
    </row>
    <row r="1131" spans="1:23" ht="11.25" customHeight="1" x14ac:dyDescent="0.25">
      <c r="A1131" s="4" t="s">
        <v>28</v>
      </c>
      <c r="B1131" s="4" t="s">
        <v>37</v>
      </c>
      <c r="C1131" s="4" t="s">
        <v>23</v>
      </c>
      <c r="D1131" s="4" t="s">
        <v>41</v>
      </c>
      <c r="E1131" s="4" t="s">
        <v>25</v>
      </c>
      <c r="F1131" s="4" t="s">
        <v>25</v>
      </c>
      <c r="G1131" s="4" t="s">
        <v>25</v>
      </c>
      <c r="H1131" s="4" t="s">
        <v>25</v>
      </c>
      <c r="I1131" s="5">
        <v>44501</v>
      </c>
      <c r="J1131" s="6">
        <v>0</v>
      </c>
      <c r="K1131" s="6">
        <v>0</v>
      </c>
      <c r="L1131" s="6">
        <v>161.953</v>
      </c>
      <c r="M1131" s="6">
        <v>161.953</v>
      </c>
      <c r="N1131" s="6">
        <v>161.953</v>
      </c>
      <c r="O1131" s="6">
        <v>161.953</v>
      </c>
      <c r="P1131" s="6">
        <v>328</v>
      </c>
      <c r="Q1131" s="4" t="s">
        <v>26</v>
      </c>
      <c r="R1131" s="4">
        <v>0</v>
      </c>
      <c r="S1131" s="4" t="s">
        <v>364</v>
      </c>
      <c r="T1131" s="4" t="s">
        <v>609</v>
      </c>
      <c r="U1131" s="4">
        <v>0</v>
      </c>
      <c r="V1131" s="4">
        <v>44</v>
      </c>
      <c r="W1131" s="4">
        <v>81</v>
      </c>
    </row>
    <row r="1132" spans="1:23" ht="11.25" customHeight="1" x14ac:dyDescent="0.25">
      <c r="A1132" s="4" t="s">
        <v>21</v>
      </c>
      <c r="B1132" s="4" t="s">
        <v>37</v>
      </c>
      <c r="C1132" s="4" t="s">
        <v>23</v>
      </c>
      <c r="D1132" s="4" t="s">
        <v>41</v>
      </c>
      <c r="E1132" s="4" t="s">
        <v>25</v>
      </c>
      <c r="F1132" s="4" t="s">
        <v>25</v>
      </c>
      <c r="G1132" s="4" t="s">
        <v>25</v>
      </c>
      <c r="H1132" s="4" t="s">
        <v>25</v>
      </c>
      <c r="I1132" s="5">
        <v>44531</v>
      </c>
      <c r="J1132" s="6">
        <v>0</v>
      </c>
      <c r="K1132" s="6">
        <v>0</v>
      </c>
      <c r="L1132" s="6">
        <v>5335.2610000000004</v>
      </c>
      <c r="M1132" s="6">
        <v>5335.2610000000004</v>
      </c>
      <c r="N1132" s="6">
        <v>5335.2610000000004</v>
      </c>
      <c r="O1132" s="6">
        <v>5335.2610000000004</v>
      </c>
      <c r="P1132" s="6">
        <v>9230</v>
      </c>
      <c r="Q1132" s="4" t="s">
        <v>26</v>
      </c>
      <c r="R1132" s="4">
        <v>0</v>
      </c>
      <c r="S1132" s="4" t="s">
        <v>365</v>
      </c>
      <c r="T1132" s="4" t="s">
        <v>610</v>
      </c>
      <c r="U1132" s="4">
        <v>0</v>
      </c>
      <c r="V1132" s="4">
        <v>44</v>
      </c>
      <c r="W1132" s="4">
        <v>81</v>
      </c>
    </row>
    <row r="1133" spans="1:23" ht="11.25" customHeight="1" x14ac:dyDescent="0.25">
      <c r="A1133" s="4" t="s">
        <v>27</v>
      </c>
      <c r="B1133" s="4" t="s">
        <v>37</v>
      </c>
      <c r="C1133" s="4" t="s">
        <v>23</v>
      </c>
      <c r="D1133" s="4" t="s">
        <v>41</v>
      </c>
      <c r="E1133" s="4" t="s">
        <v>25</v>
      </c>
      <c r="F1133" s="4" t="s">
        <v>25</v>
      </c>
      <c r="G1133" s="4" t="s">
        <v>25</v>
      </c>
      <c r="H1133" s="4" t="s">
        <v>25</v>
      </c>
      <c r="I1133" s="5">
        <v>44531</v>
      </c>
      <c r="J1133" s="6">
        <v>0</v>
      </c>
      <c r="K1133" s="6">
        <v>0</v>
      </c>
      <c r="L1133" s="6">
        <v>-0.60699999999999998</v>
      </c>
      <c r="M1133" s="6">
        <v>-0.60699999999999998</v>
      </c>
      <c r="N1133" s="6">
        <v>-0.60699999999999998</v>
      </c>
      <c r="O1133" s="6">
        <v>-0.60699999999999998</v>
      </c>
      <c r="P1133" s="6">
        <v>-1</v>
      </c>
      <c r="Q1133" s="4" t="s">
        <v>26</v>
      </c>
      <c r="R1133" s="4">
        <v>0</v>
      </c>
      <c r="S1133" s="4" t="s">
        <v>365</v>
      </c>
      <c r="T1133" s="4" t="s">
        <v>610</v>
      </c>
      <c r="U1133" s="4">
        <v>0</v>
      </c>
      <c r="V1133" s="4">
        <v>44</v>
      </c>
      <c r="W1133" s="4">
        <v>81</v>
      </c>
    </row>
    <row r="1134" spans="1:23" ht="11.25" customHeight="1" x14ac:dyDescent="0.25">
      <c r="A1134" s="4" t="s">
        <v>28</v>
      </c>
      <c r="B1134" s="4" t="s">
        <v>37</v>
      </c>
      <c r="C1134" s="4" t="s">
        <v>23</v>
      </c>
      <c r="D1134" s="4" t="s">
        <v>41</v>
      </c>
      <c r="E1134" s="4" t="s">
        <v>25</v>
      </c>
      <c r="F1134" s="4" t="s">
        <v>25</v>
      </c>
      <c r="G1134" s="4" t="s">
        <v>25</v>
      </c>
      <c r="H1134" s="4" t="s">
        <v>25</v>
      </c>
      <c r="I1134" s="5">
        <v>44531</v>
      </c>
      <c r="J1134" s="6">
        <v>0</v>
      </c>
      <c r="K1134" s="6">
        <v>0</v>
      </c>
      <c r="L1134" s="6">
        <v>180.45</v>
      </c>
      <c r="M1134" s="6">
        <v>180.45</v>
      </c>
      <c r="N1134" s="6">
        <v>180.45</v>
      </c>
      <c r="O1134" s="6">
        <v>180.45</v>
      </c>
      <c r="P1134" s="6">
        <v>345</v>
      </c>
      <c r="Q1134" s="4" t="s">
        <v>26</v>
      </c>
      <c r="R1134" s="4">
        <v>0</v>
      </c>
      <c r="S1134" s="4" t="s">
        <v>365</v>
      </c>
      <c r="T1134" s="4" t="s">
        <v>610</v>
      </c>
      <c r="U1134" s="4">
        <v>0</v>
      </c>
      <c r="V1134" s="4">
        <v>44</v>
      </c>
      <c r="W1134" s="4">
        <v>81</v>
      </c>
    </row>
    <row r="1135" spans="1:23" ht="11.25" customHeight="1" x14ac:dyDescent="0.25">
      <c r="A1135" s="4" t="s">
        <v>28</v>
      </c>
      <c r="B1135" s="4" t="s">
        <v>37</v>
      </c>
      <c r="C1135" s="4" t="s">
        <v>23</v>
      </c>
      <c r="D1135" s="4" t="s">
        <v>41</v>
      </c>
      <c r="E1135" s="4" t="s">
        <v>25</v>
      </c>
      <c r="F1135" s="4" t="s">
        <v>25</v>
      </c>
      <c r="G1135" s="4" t="s">
        <v>25</v>
      </c>
      <c r="H1135" s="4" t="s">
        <v>25</v>
      </c>
      <c r="I1135" s="5">
        <v>44531</v>
      </c>
      <c r="J1135" s="6">
        <v>0</v>
      </c>
      <c r="K1135" s="6">
        <v>0</v>
      </c>
      <c r="L1135" s="6">
        <v>11.87</v>
      </c>
      <c r="M1135" s="6">
        <v>11.87</v>
      </c>
      <c r="N1135" s="6">
        <v>11.87</v>
      </c>
      <c r="O1135" s="6">
        <v>11.87</v>
      </c>
      <c r="P1135" s="6">
        <v>1</v>
      </c>
      <c r="Q1135" s="4" t="s">
        <v>26</v>
      </c>
      <c r="R1135" s="4">
        <v>0</v>
      </c>
      <c r="S1135" s="4" t="s">
        <v>365</v>
      </c>
      <c r="T1135" s="4" t="s">
        <v>610</v>
      </c>
      <c r="U1135" s="4">
        <v>0</v>
      </c>
      <c r="V1135" s="4">
        <v>44</v>
      </c>
      <c r="W1135" s="4">
        <v>81</v>
      </c>
    </row>
    <row r="1136" spans="1:23" ht="11.25" customHeight="1" x14ac:dyDescent="0.25">
      <c r="A1136" s="4" t="s">
        <v>21</v>
      </c>
      <c r="B1136" s="4" t="s">
        <v>37</v>
      </c>
      <c r="C1136" s="4" t="s">
        <v>23</v>
      </c>
      <c r="D1136" s="4" t="s">
        <v>41</v>
      </c>
      <c r="E1136" s="4" t="s">
        <v>25</v>
      </c>
      <c r="F1136" s="4" t="s">
        <v>25</v>
      </c>
      <c r="G1136" s="4" t="s">
        <v>25</v>
      </c>
      <c r="H1136" s="4" t="s">
        <v>25</v>
      </c>
      <c r="I1136" s="5">
        <v>44562</v>
      </c>
      <c r="J1136" s="6">
        <v>0</v>
      </c>
      <c r="K1136" s="6">
        <v>0</v>
      </c>
      <c r="L1136" s="6">
        <v>5231.3559999999998</v>
      </c>
      <c r="M1136" s="6">
        <v>5231.3559999999998</v>
      </c>
      <c r="N1136" s="6">
        <v>5231.3559999999998</v>
      </c>
      <c r="O1136" s="6">
        <v>5231.3559999999998</v>
      </c>
      <c r="P1136" s="6">
        <v>9197</v>
      </c>
      <c r="Q1136" s="4" t="s">
        <v>26</v>
      </c>
      <c r="R1136" s="4">
        <v>0</v>
      </c>
      <c r="S1136" s="4" t="s">
        <v>366</v>
      </c>
      <c r="T1136" s="4" t="s">
        <v>611</v>
      </c>
      <c r="U1136" s="4">
        <v>0</v>
      </c>
      <c r="V1136" s="4">
        <v>44</v>
      </c>
      <c r="W1136" s="4">
        <v>81</v>
      </c>
    </row>
    <row r="1137" spans="1:23" ht="11.25" customHeight="1" x14ac:dyDescent="0.25">
      <c r="A1137" s="4" t="s">
        <v>27</v>
      </c>
      <c r="B1137" s="4" t="s">
        <v>37</v>
      </c>
      <c r="C1137" s="4" t="s">
        <v>23</v>
      </c>
      <c r="D1137" s="4" t="s">
        <v>41</v>
      </c>
      <c r="E1137" s="4" t="s">
        <v>25</v>
      </c>
      <c r="F1137" s="4" t="s">
        <v>25</v>
      </c>
      <c r="G1137" s="4" t="s">
        <v>25</v>
      </c>
      <c r="H1137" s="4" t="s">
        <v>25</v>
      </c>
      <c r="I1137" s="5">
        <v>44562</v>
      </c>
      <c r="J1137" s="6">
        <v>0</v>
      </c>
      <c r="K1137" s="6">
        <v>0</v>
      </c>
      <c r="L1137" s="6">
        <v>-9.4320000000000004</v>
      </c>
      <c r="M1137" s="6">
        <v>-9.4320000000000004</v>
      </c>
      <c r="N1137" s="6">
        <v>-9.4320000000000004</v>
      </c>
      <c r="O1137" s="6">
        <v>-9.4320000000000004</v>
      </c>
      <c r="P1137" s="6">
        <v>5</v>
      </c>
      <c r="Q1137" s="4" t="s">
        <v>26</v>
      </c>
      <c r="R1137" s="4">
        <v>0</v>
      </c>
      <c r="S1137" s="4" t="s">
        <v>366</v>
      </c>
      <c r="T1137" s="4" t="s">
        <v>611</v>
      </c>
      <c r="U1137" s="4">
        <v>0</v>
      </c>
      <c r="V1137" s="4">
        <v>44</v>
      </c>
      <c r="W1137" s="4">
        <v>81</v>
      </c>
    </row>
    <row r="1138" spans="1:23" ht="11.25" customHeight="1" x14ac:dyDescent="0.25">
      <c r="A1138" s="4" t="s">
        <v>28</v>
      </c>
      <c r="B1138" s="4" t="s">
        <v>37</v>
      </c>
      <c r="C1138" s="4" t="s">
        <v>23</v>
      </c>
      <c r="D1138" s="4" t="s">
        <v>41</v>
      </c>
      <c r="E1138" s="4" t="s">
        <v>25</v>
      </c>
      <c r="F1138" s="4" t="s">
        <v>25</v>
      </c>
      <c r="G1138" s="4" t="s">
        <v>25</v>
      </c>
      <c r="H1138" s="4" t="s">
        <v>25</v>
      </c>
      <c r="I1138" s="5">
        <v>44562</v>
      </c>
      <c r="J1138" s="6">
        <v>0</v>
      </c>
      <c r="K1138" s="6">
        <v>0</v>
      </c>
      <c r="L1138" s="6">
        <v>161.423</v>
      </c>
      <c r="M1138" s="6">
        <v>161.423</v>
      </c>
      <c r="N1138" s="6">
        <v>161.423</v>
      </c>
      <c r="O1138" s="6">
        <v>161.423</v>
      </c>
      <c r="P1138" s="6">
        <v>359</v>
      </c>
      <c r="Q1138" s="4" t="s">
        <v>26</v>
      </c>
      <c r="R1138" s="4">
        <v>0</v>
      </c>
      <c r="S1138" s="4" t="s">
        <v>366</v>
      </c>
      <c r="T1138" s="4" t="s">
        <v>611</v>
      </c>
      <c r="U1138" s="4">
        <v>0</v>
      </c>
      <c r="V1138" s="4">
        <v>44</v>
      </c>
      <c r="W1138" s="4">
        <v>81</v>
      </c>
    </row>
    <row r="1139" spans="1:23" ht="11.25" customHeight="1" x14ac:dyDescent="0.25">
      <c r="A1139" s="4" t="s">
        <v>21</v>
      </c>
      <c r="B1139" s="4" t="s">
        <v>37</v>
      </c>
      <c r="C1139" s="4" t="s">
        <v>23</v>
      </c>
      <c r="D1139" s="4" t="s">
        <v>41</v>
      </c>
      <c r="E1139" s="4" t="s">
        <v>25</v>
      </c>
      <c r="F1139" s="4" t="s">
        <v>25</v>
      </c>
      <c r="G1139" s="4" t="s">
        <v>25</v>
      </c>
      <c r="H1139" s="4" t="s">
        <v>25</v>
      </c>
      <c r="I1139" s="5">
        <v>44593</v>
      </c>
      <c r="J1139" s="6">
        <v>0</v>
      </c>
      <c r="K1139" s="6">
        <v>0</v>
      </c>
      <c r="L1139" s="6">
        <v>5784.1170000000002</v>
      </c>
      <c r="M1139" s="6">
        <v>5784.1170000000002</v>
      </c>
      <c r="N1139" s="6">
        <v>5784.1170000000002</v>
      </c>
      <c r="O1139" s="6">
        <v>5784.1170000000002</v>
      </c>
      <c r="P1139" s="6">
        <v>9178</v>
      </c>
      <c r="Q1139" s="4" t="s">
        <v>26</v>
      </c>
      <c r="R1139" s="4">
        <v>0</v>
      </c>
      <c r="S1139" s="4" t="s">
        <v>367</v>
      </c>
      <c r="T1139" s="4" t="s">
        <v>612</v>
      </c>
      <c r="U1139" s="4">
        <v>0</v>
      </c>
      <c r="V1139" s="4">
        <v>44</v>
      </c>
      <c r="W1139" s="4">
        <v>81</v>
      </c>
    </row>
    <row r="1140" spans="1:23" ht="11.25" customHeight="1" x14ac:dyDescent="0.25">
      <c r="A1140" s="4" t="s">
        <v>27</v>
      </c>
      <c r="B1140" s="4" t="s">
        <v>37</v>
      </c>
      <c r="C1140" s="4" t="s">
        <v>23</v>
      </c>
      <c r="D1140" s="4" t="s">
        <v>41</v>
      </c>
      <c r="E1140" s="4" t="s">
        <v>25</v>
      </c>
      <c r="F1140" s="4" t="s">
        <v>25</v>
      </c>
      <c r="G1140" s="4" t="s">
        <v>25</v>
      </c>
      <c r="H1140" s="4" t="s">
        <v>25</v>
      </c>
      <c r="I1140" s="5">
        <v>44593</v>
      </c>
      <c r="J1140" s="6">
        <v>0</v>
      </c>
      <c r="K1140" s="6">
        <v>0</v>
      </c>
      <c r="L1140" s="6">
        <v>-0.4</v>
      </c>
      <c r="M1140" s="6">
        <v>-0.4</v>
      </c>
      <c r="N1140" s="6">
        <v>-0.4</v>
      </c>
      <c r="O1140" s="6">
        <v>-0.4</v>
      </c>
      <c r="P1140" s="6">
        <v>1</v>
      </c>
      <c r="Q1140" s="4" t="s">
        <v>26</v>
      </c>
      <c r="R1140" s="4">
        <v>0</v>
      </c>
      <c r="S1140" s="4" t="s">
        <v>367</v>
      </c>
      <c r="T1140" s="4" t="s">
        <v>612</v>
      </c>
      <c r="U1140" s="4">
        <v>0</v>
      </c>
      <c r="V1140" s="4">
        <v>44</v>
      </c>
      <c r="W1140" s="4">
        <v>81</v>
      </c>
    </row>
    <row r="1141" spans="1:23" ht="11.25" customHeight="1" x14ac:dyDescent="0.25">
      <c r="A1141" s="4" t="s">
        <v>28</v>
      </c>
      <c r="B1141" s="4" t="s">
        <v>37</v>
      </c>
      <c r="C1141" s="4" t="s">
        <v>23</v>
      </c>
      <c r="D1141" s="4" t="s">
        <v>41</v>
      </c>
      <c r="E1141" s="4" t="s">
        <v>25</v>
      </c>
      <c r="F1141" s="4" t="s">
        <v>25</v>
      </c>
      <c r="G1141" s="4" t="s">
        <v>25</v>
      </c>
      <c r="H1141" s="4" t="s">
        <v>25</v>
      </c>
      <c r="I1141" s="5">
        <v>44593</v>
      </c>
      <c r="J1141" s="6">
        <v>0</v>
      </c>
      <c r="K1141" s="6">
        <v>0</v>
      </c>
      <c r="L1141" s="6">
        <v>169.631</v>
      </c>
      <c r="M1141" s="6">
        <v>169.631</v>
      </c>
      <c r="N1141" s="6">
        <v>169.631</v>
      </c>
      <c r="O1141" s="6">
        <v>169.631</v>
      </c>
      <c r="P1141" s="6">
        <v>382</v>
      </c>
      <c r="Q1141" s="4" t="s">
        <v>26</v>
      </c>
      <c r="R1141" s="4">
        <v>0</v>
      </c>
      <c r="S1141" s="4" t="s">
        <v>367</v>
      </c>
      <c r="T1141" s="4" t="s">
        <v>612</v>
      </c>
      <c r="U1141" s="4">
        <v>0</v>
      </c>
      <c r="V1141" s="4">
        <v>44</v>
      </c>
      <c r="W1141" s="4">
        <v>81</v>
      </c>
    </row>
    <row r="1142" spans="1:23" ht="11.25" customHeight="1" x14ac:dyDescent="0.25">
      <c r="A1142" s="4" t="s">
        <v>21</v>
      </c>
      <c r="B1142" s="4" t="s">
        <v>37</v>
      </c>
      <c r="C1142" s="4" t="s">
        <v>23</v>
      </c>
      <c r="D1142" s="4" t="s">
        <v>41</v>
      </c>
      <c r="E1142" s="4" t="s">
        <v>25</v>
      </c>
      <c r="F1142" s="4" t="s">
        <v>25</v>
      </c>
      <c r="G1142" s="4" t="s">
        <v>25</v>
      </c>
      <c r="H1142" s="4" t="s">
        <v>25</v>
      </c>
      <c r="I1142" s="5">
        <v>44621</v>
      </c>
      <c r="J1142" s="6">
        <v>0</v>
      </c>
      <c r="K1142" s="6">
        <v>0</v>
      </c>
      <c r="L1142" s="6">
        <v>5647.1559999999999</v>
      </c>
      <c r="M1142" s="6">
        <v>5647.1559999999999</v>
      </c>
      <c r="N1142" s="6">
        <v>5647.1559999999999</v>
      </c>
      <c r="O1142" s="6">
        <v>5647.1559999999999</v>
      </c>
      <c r="P1142" s="6">
        <v>9173</v>
      </c>
      <c r="Q1142" s="4" t="s">
        <v>26</v>
      </c>
      <c r="R1142" s="4">
        <v>0</v>
      </c>
      <c r="S1142" s="4" t="s">
        <v>368</v>
      </c>
      <c r="T1142" s="4" t="s">
        <v>613</v>
      </c>
      <c r="U1142" s="4">
        <v>0</v>
      </c>
      <c r="V1142" s="4">
        <v>44</v>
      </c>
      <c r="W1142" s="4">
        <v>81</v>
      </c>
    </row>
    <row r="1143" spans="1:23" ht="11.25" customHeight="1" x14ac:dyDescent="0.25">
      <c r="A1143" s="4" t="s">
        <v>27</v>
      </c>
      <c r="B1143" s="4" t="s">
        <v>37</v>
      </c>
      <c r="C1143" s="4" t="s">
        <v>23</v>
      </c>
      <c r="D1143" s="4" t="s">
        <v>41</v>
      </c>
      <c r="E1143" s="4" t="s">
        <v>25</v>
      </c>
      <c r="F1143" s="4" t="s">
        <v>25</v>
      </c>
      <c r="G1143" s="4" t="s">
        <v>25</v>
      </c>
      <c r="H1143" s="4" t="s">
        <v>25</v>
      </c>
      <c r="I1143" s="5">
        <v>44621</v>
      </c>
      <c r="J1143" s="6">
        <v>0</v>
      </c>
      <c r="K1143" s="6">
        <v>0</v>
      </c>
      <c r="L1143" s="6">
        <v>-2.4409999999999998</v>
      </c>
      <c r="M1143" s="6">
        <v>-2.4409999999999998</v>
      </c>
      <c r="N1143" s="6">
        <v>-2.4409999999999998</v>
      </c>
      <c r="O1143" s="6">
        <v>-2.4409999999999998</v>
      </c>
      <c r="P1143" s="6">
        <v>-4</v>
      </c>
      <c r="Q1143" s="4" t="s">
        <v>26</v>
      </c>
      <c r="R1143" s="4">
        <v>0</v>
      </c>
      <c r="S1143" s="4" t="s">
        <v>368</v>
      </c>
      <c r="T1143" s="4" t="s">
        <v>613</v>
      </c>
      <c r="U1143" s="4">
        <v>0</v>
      </c>
      <c r="V1143" s="4">
        <v>44</v>
      </c>
      <c r="W1143" s="4">
        <v>81</v>
      </c>
    </row>
    <row r="1144" spans="1:23" ht="11.25" customHeight="1" x14ac:dyDescent="0.25">
      <c r="A1144" s="4" t="s">
        <v>28</v>
      </c>
      <c r="B1144" s="4" t="s">
        <v>37</v>
      </c>
      <c r="C1144" s="4" t="s">
        <v>23</v>
      </c>
      <c r="D1144" s="4" t="s">
        <v>41</v>
      </c>
      <c r="E1144" s="4" t="s">
        <v>25</v>
      </c>
      <c r="F1144" s="4" t="s">
        <v>25</v>
      </c>
      <c r="G1144" s="4" t="s">
        <v>25</v>
      </c>
      <c r="H1144" s="4" t="s">
        <v>25</v>
      </c>
      <c r="I1144" s="5">
        <v>44621</v>
      </c>
      <c r="J1144" s="6">
        <v>0</v>
      </c>
      <c r="K1144" s="6">
        <v>0</v>
      </c>
      <c r="L1144" s="6">
        <v>186.65</v>
      </c>
      <c r="M1144" s="6">
        <v>186.65</v>
      </c>
      <c r="N1144" s="6">
        <v>186.65</v>
      </c>
      <c r="O1144" s="6">
        <v>186.65</v>
      </c>
      <c r="P1144" s="6">
        <v>407</v>
      </c>
      <c r="Q1144" s="4" t="s">
        <v>26</v>
      </c>
      <c r="R1144" s="4">
        <v>0</v>
      </c>
      <c r="S1144" s="4" t="s">
        <v>368</v>
      </c>
      <c r="T1144" s="4" t="s">
        <v>613</v>
      </c>
      <c r="U1144" s="4">
        <v>0</v>
      </c>
      <c r="V1144" s="4">
        <v>44</v>
      </c>
      <c r="W1144" s="4">
        <v>81</v>
      </c>
    </row>
    <row r="1145" spans="1:23" ht="11.25" customHeight="1" x14ac:dyDescent="0.25">
      <c r="A1145" s="4" t="s">
        <v>28</v>
      </c>
      <c r="B1145" s="4" t="s">
        <v>37</v>
      </c>
      <c r="C1145" s="4" t="s">
        <v>23</v>
      </c>
      <c r="D1145" s="4" t="s">
        <v>41</v>
      </c>
      <c r="E1145" s="4" t="s">
        <v>25</v>
      </c>
      <c r="F1145" s="4" t="s">
        <v>25</v>
      </c>
      <c r="G1145" s="4" t="s">
        <v>25</v>
      </c>
      <c r="H1145" s="4" t="s">
        <v>25</v>
      </c>
      <c r="I1145" s="5">
        <v>44621</v>
      </c>
      <c r="J1145" s="6">
        <v>0</v>
      </c>
      <c r="K1145" s="6">
        <v>0</v>
      </c>
      <c r="L1145" s="6">
        <v>0.27300000000000002</v>
      </c>
      <c r="M1145" s="6">
        <v>0.27300000000000002</v>
      </c>
      <c r="N1145" s="6">
        <v>0.27300000000000002</v>
      </c>
      <c r="O1145" s="6">
        <v>0.27300000000000002</v>
      </c>
      <c r="P1145" s="6">
        <v>1</v>
      </c>
      <c r="Q1145" s="4" t="s">
        <v>26</v>
      </c>
      <c r="R1145" s="4">
        <v>0</v>
      </c>
      <c r="S1145" s="4" t="s">
        <v>368</v>
      </c>
      <c r="T1145" s="4" t="s">
        <v>613</v>
      </c>
      <c r="U1145" s="4">
        <v>0</v>
      </c>
      <c r="V1145" s="4">
        <v>44</v>
      </c>
      <c r="W1145" s="4">
        <v>81</v>
      </c>
    </row>
    <row r="1146" spans="1:23" ht="11.25" customHeight="1" x14ac:dyDescent="0.25">
      <c r="A1146" s="4" t="s">
        <v>21</v>
      </c>
      <c r="B1146" s="4" t="s">
        <v>37</v>
      </c>
      <c r="C1146" s="4" t="s">
        <v>23</v>
      </c>
      <c r="D1146" s="4" t="s">
        <v>41</v>
      </c>
      <c r="E1146" s="4" t="s">
        <v>25</v>
      </c>
      <c r="F1146" s="4" t="s">
        <v>25</v>
      </c>
      <c r="G1146" s="4" t="s">
        <v>25</v>
      </c>
      <c r="H1146" s="4" t="s">
        <v>25</v>
      </c>
      <c r="I1146" s="5">
        <v>44652</v>
      </c>
      <c r="J1146" s="6">
        <v>0</v>
      </c>
      <c r="K1146" s="6">
        <v>0</v>
      </c>
      <c r="L1146" s="6">
        <v>5801.5450000000001</v>
      </c>
      <c r="M1146" s="6">
        <v>5801.5450000000001</v>
      </c>
      <c r="N1146" s="6">
        <v>5801.5450000000001</v>
      </c>
      <c r="O1146" s="6">
        <v>5801.5450000000001</v>
      </c>
      <c r="P1146" s="6">
        <v>9162</v>
      </c>
      <c r="Q1146" s="4" t="s">
        <v>26</v>
      </c>
      <c r="R1146" s="4">
        <v>0</v>
      </c>
      <c r="S1146" s="4" t="s">
        <v>385</v>
      </c>
      <c r="T1146" s="4" t="s">
        <v>630</v>
      </c>
      <c r="U1146" s="4">
        <v>0</v>
      </c>
      <c r="V1146" s="4">
        <v>44</v>
      </c>
      <c r="W1146" s="4">
        <v>81</v>
      </c>
    </row>
    <row r="1147" spans="1:23" ht="11.25" customHeight="1" x14ac:dyDescent="0.25">
      <c r="A1147" s="4" t="s">
        <v>27</v>
      </c>
      <c r="B1147" s="4" t="s">
        <v>37</v>
      </c>
      <c r="C1147" s="4" t="s">
        <v>23</v>
      </c>
      <c r="D1147" s="4" t="s">
        <v>41</v>
      </c>
      <c r="E1147" s="4" t="s">
        <v>25</v>
      </c>
      <c r="F1147" s="4" t="s">
        <v>25</v>
      </c>
      <c r="G1147" s="4" t="s">
        <v>25</v>
      </c>
      <c r="H1147" s="4" t="s">
        <v>25</v>
      </c>
      <c r="I1147" s="5">
        <v>44652</v>
      </c>
      <c r="J1147" s="6">
        <v>0</v>
      </c>
      <c r="K1147" s="6">
        <v>0</v>
      </c>
      <c r="L1147" s="6">
        <v>89.816999999999993</v>
      </c>
      <c r="M1147" s="6">
        <v>89.816999999999993</v>
      </c>
      <c r="N1147" s="6">
        <v>89.816999999999993</v>
      </c>
      <c r="O1147" s="6">
        <v>89.816999999999993</v>
      </c>
      <c r="P1147" s="6">
        <v>4</v>
      </c>
      <c r="Q1147" s="4" t="s">
        <v>26</v>
      </c>
      <c r="R1147" s="4">
        <v>0</v>
      </c>
      <c r="S1147" s="4" t="s">
        <v>385</v>
      </c>
      <c r="T1147" s="4" t="s">
        <v>630</v>
      </c>
      <c r="U1147" s="4">
        <v>0</v>
      </c>
      <c r="V1147" s="4">
        <v>44</v>
      </c>
      <c r="W1147" s="4">
        <v>81</v>
      </c>
    </row>
    <row r="1148" spans="1:23" ht="11.25" customHeight="1" x14ac:dyDescent="0.25">
      <c r="A1148" s="4" t="s">
        <v>28</v>
      </c>
      <c r="B1148" s="4" t="s">
        <v>37</v>
      </c>
      <c r="C1148" s="4" t="s">
        <v>23</v>
      </c>
      <c r="D1148" s="4" t="s">
        <v>41</v>
      </c>
      <c r="E1148" s="4" t="s">
        <v>25</v>
      </c>
      <c r="F1148" s="4" t="s">
        <v>25</v>
      </c>
      <c r="G1148" s="4" t="s">
        <v>25</v>
      </c>
      <c r="H1148" s="4" t="s">
        <v>25</v>
      </c>
      <c r="I1148" s="5">
        <v>44652</v>
      </c>
      <c r="J1148" s="6">
        <v>0</v>
      </c>
      <c r="K1148" s="6">
        <v>0</v>
      </c>
      <c r="L1148" s="6">
        <v>229.56200000000001</v>
      </c>
      <c r="M1148" s="6">
        <v>229.56200000000001</v>
      </c>
      <c r="N1148" s="6">
        <v>229.56200000000001</v>
      </c>
      <c r="O1148" s="6">
        <v>229.56200000000001</v>
      </c>
      <c r="P1148" s="6">
        <v>434</v>
      </c>
      <c r="Q1148" s="4" t="s">
        <v>26</v>
      </c>
      <c r="R1148" s="4">
        <v>0</v>
      </c>
      <c r="S1148" s="4" t="s">
        <v>385</v>
      </c>
      <c r="T1148" s="4" t="s">
        <v>630</v>
      </c>
      <c r="U1148" s="4">
        <v>0</v>
      </c>
      <c r="V1148" s="4">
        <v>44</v>
      </c>
      <c r="W1148" s="4">
        <v>81</v>
      </c>
    </row>
    <row r="1149" spans="1:23" ht="11.25" customHeight="1" x14ac:dyDescent="0.25">
      <c r="A1149" s="4" t="s">
        <v>21</v>
      </c>
      <c r="B1149" s="4" t="s">
        <v>37</v>
      </c>
      <c r="C1149" s="4" t="s">
        <v>23</v>
      </c>
      <c r="D1149" s="4" t="s">
        <v>41</v>
      </c>
      <c r="E1149" s="4" t="s">
        <v>25</v>
      </c>
      <c r="F1149" s="4" t="s">
        <v>25</v>
      </c>
      <c r="G1149" s="4" t="s">
        <v>25</v>
      </c>
      <c r="H1149" s="4" t="s">
        <v>25</v>
      </c>
      <c r="I1149" s="5">
        <v>44682</v>
      </c>
      <c r="J1149" s="6">
        <v>0</v>
      </c>
      <c r="K1149" s="6">
        <v>0</v>
      </c>
      <c r="L1149" s="6">
        <v>5092.4769999999999</v>
      </c>
      <c r="M1149" s="6">
        <v>5092.4769999999999</v>
      </c>
      <c r="N1149" s="6">
        <v>5092.4769999999999</v>
      </c>
      <c r="O1149" s="6">
        <v>5092.4769999999999</v>
      </c>
      <c r="P1149" s="6">
        <v>9155</v>
      </c>
      <c r="Q1149" s="4" t="s">
        <v>26</v>
      </c>
      <c r="R1149" s="4">
        <v>0</v>
      </c>
      <c r="S1149" s="4" t="s">
        <v>369</v>
      </c>
      <c r="T1149" s="4" t="s">
        <v>614</v>
      </c>
      <c r="U1149" s="4">
        <v>0</v>
      </c>
      <c r="V1149" s="4">
        <v>44</v>
      </c>
      <c r="W1149" s="4">
        <v>81</v>
      </c>
    </row>
    <row r="1150" spans="1:23" ht="11.25" customHeight="1" x14ac:dyDescent="0.25">
      <c r="A1150" s="4" t="s">
        <v>27</v>
      </c>
      <c r="B1150" s="4" t="s">
        <v>37</v>
      </c>
      <c r="C1150" s="4" t="s">
        <v>23</v>
      </c>
      <c r="D1150" s="4" t="s">
        <v>41</v>
      </c>
      <c r="E1150" s="4" t="s">
        <v>25</v>
      </c>
      <c r="F1150" s="4" t="s">
        <v>25</v>
      </c>
      <c r="G1150" s="4" t="s">
        <v>25</v>
      </c>
      <c r="H1150" s="4" t="s">
        <v>25</v>
      </c>
      <c r="I1150" s="5">
        <v>44682</v>
      </c>
      <c r="J1150" s="6">
        <v>0</v>
      </c>
      <c r="K1150" s="6">
        <v>0</v>
      </c>
      <c r="L1150" s="6">
        <v>3.82</v>
      </c>
      <c r="M1150" s="6">
        <v>3.82</v>
      </c>
      <c r="N1150" s="6">
        <v>3.82</v>
      </c>
      <c r="O1150" s="6">
        <v>3.82</v>
      </c>
      <c r="P1150" s="6">
        <v>10</v>
      </c>
      <c r="Q1150" s="4" t="s">
        <v>26</v>
      </c>
      <c r="R1150" s="4">
        <v>0</v>
      </c>
      <c r="S1150" s="4" t="s">
        <v>369</v>
      </c>
      <c r="T1150" s="4" t="s">
        <v>614</v>
      </c>
      <c r="U1150" s="4">
        <v>0</v>
      </c>
      <c r="V1150" s="4">
        <v>44</v>
      </c>
      <c r="W1150" s="4">
        <v>81</v>
      </c>
    </row>
    <row r="1151" spans="1:23" ht="11.25" customHeight="1" x14ac:dyDescent="0.25">
      <c r="A1151" s="4" t="s">
        <v>28</v>
      </c>
      <c r="B1151" s="4" t="s">
        <v>37</v>
      </c>
      <c r="C1151" s="4" t="s">
        <v>23</v>
      </c>
      <c r="D1151" s="4" t="s">
        <v>41</v>
      </c>
      <c r="E1151" s="4" t="s">
        <v>25</v>
      </c>
      <c r="F1151" s="4" t="s">
        <v>25</v>
      </c>
      <c r="G1151" s="4" t="s">
        <v>25</v>
      </c>
      <c r="H1151" s="4" t="s">
        <v>25</v>
      </c>
      <c r="I1151" s="5">
        <v>44682</v>
      </c>
      <c r="J1151" s="6">
        <v>0</v>
      </c>
      <c r="K1151" s="6">
        <v>0</v>
      </c>
      <c r="L1151" s="6">
        <v>221.97</v>
      </c>
      <c r="M1151" s="6">
        <v>221.97</v>
      </c>
      <c r="N1151" s="6">
        <v>221.97</v>
      </c>
      <c r="O1151" s="6">
        <v>221.97</v>
      </c>
      <c r="P1151" s="6">
        <v>452</v>
      </c>
      <c r="Q1151" s="4" t="s">
        <v>26</v>
      </c>
      <c r="R1151" s="4">
        <v>0</v>
      </c>
      <c r="S1151" s="4" t="s">
        <v>369</v>
      </c>
      <c r="T1151" s="4" t="s">
        <v>614</v>
      </c>
      <c r="U1151" s="4">
        <v>0</v>
      </c>
      <c r="V1151" s="4">
        <v>44</v>
      </c>
      <c r="W1151" s="4">
        <v>81</v>
      </c>
    </row>
    <row r="1152" spans="1:23" ht="11.25" customHeight="1" x14ac:dyDescent="0.25">
      <c r="A1152" s="4" t="s">
        <v>28</v>
      </c>
      <c r="B1152" s="4" t="s">
        <v>37</v>
      </c>
      <c r="C1152" s="4" t="s">
        <v>23</v>
      </c>
      <c r="D1152" s="4" t="s">
        <v>41</v>
      </c>
      <c r="E1152" s="4" t="s">
        <v>25</v>
      </c>
      <c r="F1152" s="4" t="s">
        <v>25</v>
      </c>
      <c r="G1152" s="4" t="s">
        <v>25</v>
      </c>
      <c r="H1152" s="4" t="s">
        <v>25</v>
      </c>
      <c r="I1152" s="5">
        <v>44682</v>
      </c>
      <c r="J1152" s="6">
        <v>0</v>
      </c>
      <c r="K1152" s="6">
        <v>0</v>
      </c>
      <c r="L1152" s="6">
        <v>3.2170000000000001</v>
      </c>
      <c r="M1152" s="6">
        <v>3.2170000000000001</v>
      </c>
      <c r="N1152" s="6">
        <v>3.2170000000000001</v>
      </c>
      <c r="O1152" s="6">
        <v>3.2170000000000001</v>
      </c>
      <c r="P1152" s="6">
        <v>-1</v>
      </c>
      <c r="Q1152" s="4" t="s">
        <v>26</v>
      </c>
      <c r="R1152" s="4">
        <v>0</v>
      </c>
      <c r="S1152" s="4" t="s">
        <v>369</v>
      </c>
      <c r="T1152" s="4" t="s">
        <v>614</v>
      </c>
      <c r="U1152" s="4">
        <v>0</v>
      </c>
      <c r="V1152" s="4">
        <v>44</v>
      </c>
      <c r="W1152" s="4">
        <v>81</v>
      </c>
    </row>
    <row r="1153" spans="1:23" ht="11.25" customHeight="1" x14ac:dyDescent="0.25">
      <c r="A1153" s="4" t="s">
        <v>21</v>
      </c>
      <c r="B1153" s="4" t="s">
        <v>37</v>
      </c>
      <c r="C1153" s="4" t="s">
        <v>23</v>
      </c>
      <c r="D1153" s="4" t="s">
        <v>41</v>
      </c>
      <c r="E1153" s="4" t="s">
        <v>25</v>
      </c>
      <c r="F1153" s="4" t="s">
        <v>25</v>
      </c>
      <c r="G1153" s="4" t="s">
        <v>25</v>
      </c>
      <c r="H1153" s="4" t="s">
        <v>25</v>
      </c>
      <c r="I1153" s="5">
        <v>44713</v>
      </c>
      <c r="J1153" s="6">
        <v>0</v>
      </c>
      <c r="K1153" s="6">
        <v>0</v>
      </c>
      <c r="L1153" s="6">
        <v>4442.8969999999999</v>
      </c>
      <c r="M1153" s="6">
        <v>4442.8969999999999</v>
      </c>
      <c r="N1153" s="6">
        <v>4442.8969999999999</v>
      </c>
      <c r="O1153" s="6">
        <v>4442.8969999999999</v>
      </c>
      <c r="P1153" s="6">
        <v>9135</v>
      </c>
      <c r="Q1153" s="4" t="s">
        <v>26</v>
      </c>
      <c r="R1153" s="4">
        <v>0</v>
      </c>
      <c r="S1153" s="4" t="s">
        <v>370</v>
      </c>
      <c r="T1153" s="4" t="s">
        <v>615</v>
      </c>
      <c r="U1153" s="4">
        <v>0</v>
      </c>
      <c r="V1153" s="4">
        <v>44</v>
      </c>
      <c r="W1153" s="4">
        <v>81</v>
      </c>
    </row>
    <row r="1154" spans="1:23" ht="11.25" customHeight="1" x14ac:dyDescent="0.25">
      <c r="A1154" s="4" t="s">
        <v>27</v>
      </c>
      <c r="B1154" s="4" t="s">
        <v>37</v>
      </c>
      <c r="C1154" s="4" t="s">
        <v>23</v>
      </c>
      <c r="D1154" s="4" t="s">
        <v>41</v>
      </c>
      <c r="E1154" s="4" t="s">
        <v>25</v>
      </c>
      <c r="F1154" s="4" t="s">
        <v>25</v>
      </c>
      <c r="G1154" s="4" t="s">
        <v>25</v>
      </c>
      <c r="H1154" s="4" t="s">
        <v>25</v>
      </c>
      <c r="I1154" s="5">
        <v>44713</v>
      </c>
      <c r="J1154" s="6">
        <v>0</v>
      </c>
      <c r="K1154" s="6">
        <v>0</v>
      </c>
      <c r="L1154" s="6">
        <v>1.2090000000000001</v>
      </c>
      <c r="M1154" s="6">
        <v>1.2090000000000001</v>
      </c>
      <c r="N1154" s="6">
        <v>1.2090000000000001</v>
      </c>
      <c r="O1154" s="6">
        <v>1.2090000000000001</v>
      </c>
      <c r="P1154" s="6">
        <v>8</v>
      </c>
      <c r="Q1154" s="4" t="s">
        <v>26</v>
      </c>
      <c r="R1154" s="4">
        <v>0</v>
      </c>
      <c r="S1154" s="4" t="s">
        <v>370</v>
      </c>
      <c r="T1154" s="4" t="s">
        <v>615</v>
      </c>
      <c r="U1154" s="4">
        <v>0</v>
      </c>
      <c r="V1154" s="4">
        <v>44</v>
      </c>
      <c r="W1154" s="4">
        <v>81</v>
      </c>
    </row>
    <row r="1155" spans="1:23" ht="11.25" customHeight="1" x14ac:dyDescent="0.25">
      <c r="A1155" s="4" t="s">
        <v>28</v>
      </c>
      <c r="B1155" s="4" t="s">
        <v>37</v>
      </c>
      <c r="C1155" s="4" t="s">
        <v>23</v>
      </c>
      <c r="D1155" s="4" t="s">
        <v>41</v>
      </c>
      <c r="E1155" s="4" t="s">
        <v>25</v>
      </c>
      <c r="F1155" s="4" t="s">
        <v>25</v>
      </c>
      <c r="G1155" s="4" t="s">
        <v>25</v>
      </c>
      <c r="H1155" s="4" t="s">
        <v>25</v>
      </c>
      <c r="I1155" s="5">
        <v>44713</v>
      </c>
      <c r="J1155" s="6">
        <v>0</v>
      </c>
      <c r="K1155" s="6">
        <v>0</v>
      </c>
      <c r="L1155" s="6">
        <v>204.15100000000001</v>
      </c>
      <c r="M1155" s="6">
        <v>204.15100000000001</v>
      </c>
      <c r="N1155" s="6">
        <v>204.15100000000001</v>
      </c>
      <c r="O1155" s="6">
        <v>204.15100000000001</v>
      </c>
      <c r="P1155" s="6">
        <v>488</v>
      </c>
      <c r="Q1155" s="4" t="s">
        <v>26</v>
      </c>
      <c r="R1155" s="4">
        <v>0</v>
      </c>
      <c r="S1155" s="4" t="s">
        <v>370</v>
      </c>
      <c r="T1155" s="4" t="s">
        <v>615</v>
      </c>
      <c r="U1155" s="4">
        <v>0</v>
      </c>
      <c r="V1155" s="4">
        <v>44</v>
      </c>
      <c r="W1155" s="4">
        <v>81</v>
      </c>
    </row>
    <row r="1156" spans="1:23" ht="11.25" customHeight="1" x14ac:dyDescent="0.25">
      <c r="A1156" s="4" t="s">
        <v>21</v>
      </c>
      <c r="B1156" s="4" t="s">
        <v>37</v>
      </c>
      <c r="C1156" s="4" t="s">
        <v>23</v>
      </c>
      <c r="D1156" s="4" t="s">
        <v>41</v>
      </c>
      <c r="E1156" s="4" t="s">
        <v>25</v>
      </c>
      <c r="F1156" s="4" t="s">
        <v>25</v>
      </c>
      <c r="G1156" s="4" t="s">
        <v>25</v>
      </c>
      <c r="H1156" s="4" t="s">
        <v>25</v>
      </c>
      <c r="I1156" s="5">
        <v>44743</v>
      </c>
      <c r="J1156" s="6">
        <v>0</v>
      </c>
      <c r="K1156" s="6">
        <v>0</v>
      </c>
      <c r="L1156" s="6">
        <v>3945.2559999999999</v>
      </c>
      <c r="M1156" s="6">
        <v>3945.2559999999999</v>
      </c>
      <c r="N1156" s="6">
        <v>3945.2559999999999</v>
      </c>
      <c r="O1156" s="6">
        <v>3945.2559999999999</v>
      </c>
      <c r="P1156" s="6">
        <v>9134</v>
      </c>
      <c r="Q1156" s="4" t="s">
        <v>26</v>
      </c>
      <c r="R1156" s="4">
        <v>0</v>
      </c>
      <c r="S1156" s="4" t="s">
        <v>371</v>
      </c>
      <c r="T1156" s="4" t="s">
        <v>616</v>
      </c>
      <c r="U1156" s="4">
        <v>0</v>
      </c>
      <c r="V1156" s="4">
        <v>44</v>
      </c>
      <c r="W1156" s="4">
        <v>81</v>
      </c>
    </row>
    <row r="1157" spans="1:23" ht="11.25" customHeight="1" x14ac:dyDescent="0.25">
      <c r="A1157" s="4" t="s">
        <v>27</v>
      </c>
      <c r="B1157" s="4" t="s">
        <v>37</v>
      </c>
      <c r="C1157" s="4" t="s">
        <v>23</v>
      </c>
      <c r="D1157" s="4" t="s">
        <v>41</v>
      </c>
      <c r="E1157" s="4" t="s">
        <v>25</v>
      </c>
      <c r="F1157" s="4" t="s">
        <v>25</v>
      </c>
      <c r="G1157" s="4" t="s">
        <v>25</v>
      </c>
      <c r="H1157" s="4" t="s">
        <v>25</v>
      </c>
      <c r="I1157" s="5">
        <v>44743</v>
      </c>
      <c r="J1157" s="6">
        <v>0</v>
      </c>
      <c r="K1157" s="6">
        <v>0</v>
      </c>
      <c r="L1157" s="6">
        <v>4.633</v>
      </c>
      <c r="M1157" s="6">
        <v>4.633</v>
      </c>
      <c r="N1157" s="6">
        <v>4.633</v>
      </c>
      <c r="O1157" s="6">
        <v>4.633</v>
      </c>
      <c r="P1157" s="6">
        <v>9</v>
      </c>
      <c r="Q1157" s="4" t="s">
        <v>26</v>
      </c>
      <c r="R1157" s="4">
        <v>0</v>
      </c>
      <c r="S1157" s="4" t="s">
        <v>371</v>
      </c>
      <c r="T1157" s="4" t="s">
        <v>616</v>
      </c>
      <c r="U1157" s="4">
        <v>0</v>
      </c>
      <c r="V1157" s="4">
        <v>44</v>
      </c>
      <c r="W1157" s="4">
        <v>81</v>
      </c>
    </row>
    <row r="1158" spans="1:23" ht="11.25" customHeight="1" x14ac:dyDescent="0.25">
      <c r="A1158" s="4" t="s">
        <v>28</v>
      </c>
      <c r="B1158" s="4" t="s">
        <v>37</v>
      </c>
      <c r="C1158" s="4" t="s">
        <v>23</v>
      </c>
      <c r="D1158" s="4" t="s">
        <v>41</v>
      </c>
      <c r="E1158" s="4" t="s">
        <v>25</v>
      </c>
      <c r="F1158" s="4" t="s">
        <v>25</v>
      </c>
      <c r="G1158" s="4" t="s">
        <v>25</v>
      </c>
      <c r="H1158" s="4" t="s">
        <v>25</v>
      </c>
      <c r="I1158" s="5">
        <v>44743</v>
      </c>
      <c r="J1158" s="6">
        <v>0</v>
      </c>
      <c r="K1158" s="6">
        <v>0</v>
      </c>
      <c r="L1158" s="6">
        <v>227.71199999999999</v>
      </c>
      <c r="M1158" s="6">
        <v>227.71199999999999</v>
      </c>
      <c r="N1158" s="6">
        <v>227.71199999999999</v>
      </c>
      <c r="O1158" s="6">
        <v>227.71199999999999</v>
      </c>
      <c r="P1158" s="6">
        <v>502</v>
      </c>
      <c r="Q1158" s="4" t="s">
        <v>26</v>
      </c>
      <c r="R1158" s="4">
        <v>0</v>
      </c>
      <c r="S1158" s="4" t="s">
        <v>371</v>
      </c>
      <c r="T1158" s="4" t="s">
        <v>616</v>
      </c>
      <c r="U1158" s="4">
        <v>0</v>
      </c>
      <c r="V1158" s="4">
        <v>44</v>
      </c>
      <c r="W1158" s="4">
        <v>81</v>
      </c>
    </row>
    <row r="1159" spans="1:23" ht="11.25" customHeight="1" x14ac:dyDescent="0.25">
      <c r="A1159" s="4" t="s">
        <v>56</v>
      </c>
      <c r="B1159" s="4" t="s">
        <v>37</v>
      </c>
      <c r="C1159" s="4" t="s">
        <v>23</v>
      </c>
      <c r="D1159" s="4" t="s">
        <v>41</v>
      </c>
      <c r="E1159" s="4" t="s">
        <v>25</v>
      </c>
      <c r="F1159" s="4" t="s">
        <v>25</v>
      </c>
      <c r="G1159" s="4" t="s">
        <v>25</v>
      </c>
      <c r="H1159" s="4" t="s">
        <v>25</v>
      </c>
      <c r="I1159" s="5">
        <v>44774</v>
      </c>
      <c r="J1159" s="6">
        <v>0</v>
      </c>
      <c r="K1159" s="6">
        <v>0</v>
      </c>
      <c r="L1159" s="6">
        <v>3945.2559999999999</v>
      </c>
      <c r="M1159" s="6">
        <v>3945.2559999999999</v>
      </c>
      <c r="N1159" s="6">
        <v>3945.2559999999999</v>
      </c>
      <c r="O1159" s="6">
        <v>3945.2559999999999</v>
      </c>
      <c r="P1159" s="6">
        <v>9134</v>
      </c>
      <c r="Q1159" s="4" t="s">
        <v>26</v>
      </c>
      <c r="R1159" s="4">
        <v>0</v>
      </c>
      <c r="S1159" s="4" t="s">
        <v>372</v>
      </c>
      <c r="T1159" s="4" t="s">
        <v>617</v>
      </c>
      <c r="U1159" s="4">
        <v>0</v>
      </c>
      <c r="V1159" s="4">
        <v>44</v>
      </c>
      <c r="W1159" s="4">
        <v>81</v>
      </c>
    </row>
    <row r="1160" spans="1:23" ht="11.25" customHeight="1" x14ac:dyDescent="0.25">
      <c r="A1160" s="4" t="s">
        <v>56</v>
      </c>
      <c r="B1160" s="4" t="s">
        <v>37</v>
      </c>
      <c r="C1160" s="4" t="s">
        <v>23</v>
      </c>
      <c r="D1160" s="4" t="s">
        <v>41</v>
      </c>
      <c r="E1160" s="4" t="s">
        <v>25</v>
      </c>
      <c r="F1160" s="4" t="s">
        <v>25</v>
      </c>
      <c r="G1160" s="4" t="s">
        <v>25</v>
      </c>
      <c r="H1160" s="4" t="s">
        <v>25</v>
      </c>
      <c r="I1160" s="5">
        <v>44774</v>
      </c>
      <c r="J1160" s="6">
        <v>0</v>
      </c>
      <c r="K1160" s="6">
        <v>0</v>
      </c>
      <c r="L1160" s="6">
        <v>4.633</v>
      </c>
      <c r="M1160" s="6">
        <v>4.633</v>
      </c>
      <c r="N1160" s="6">
        <v>4.633</v>
      </c>
      <c r="O1160" s="6">
        <v>4.633</v>
      </c>
      <c r="P1160" s="6">
        <v>9</v>
      </c>
      <c r="Q1160" s="4" t="s">
        <v>26</v>
      </c>
      <c r="R1160" s="4">
        <v>0</v>
      </c>
      <c r="S1160" s="4" t="s">
        <v>372</v>
      </c>
      <c r="T1160" s="4" t="s">
        <v>617</v>
      </c>
      <c r="U1160" s="4">
        <v>0</v>
      </c>
      <c r="V1160" s="4">
        <v>44</v>
      </c>
      <c r="W1160" s="4">
        <v>81</v>
      </c>
    </row>
    <row r="1161" spans="1:23" ht="11.25" customHeight="1" x14ac:dyDescent="0.25">
      <c r="A1161" s="4" t="s">
        <v>56</v>
      </c>
      <c r="B1161" s="4" t="s">
        <v>37</v>
      </c>
      <c r="C1161" s="4" t="s">
        <v>23</v>
      </c>
      <c r="D1161" s="4" t="s">
        <v>41</v>
      </c>
      <c r="E1161" s="4" t="s">
        <v>25</v>
      </c>
      <c r="F1161" s="4" t="s">
        <v>25</v>
      </c>
      <c r="G1161" s="4" t="s">
        <v>25</v>
      </c>
      <c r="H1161" s="4" t="s">
        <v>25</v>
      </c>
      <c r="I1161" s="5">
        <v>44774</v>
      </c>
      <c r="J1161" s="6">
        <v>0</v>
      </c>
      <c r="K1161" s="6">
        <v>0</v>
      </c>
      <c r="L1161" s="6">
        <v>227.71199999999999</v>
      </c>
      <c r="M1161" s="6">
        <v>227.71199999999999</v>
      </c>
      <c r="N1161" s="6">
        <v>227.71199999999999</v>
      </c>
      <c r="O1161" s="6">
        <v>227.71199999999999</v>
      </c>
      <c r="P1161" s="6">
        <v>502</v>
      </c>
      <c r="Q1161" s="4" t="s">
        <v>26</v>
      </c>
      <c r="R1161" s="4">
        <v>0</v>
      </c>
      <c r="S1161" s="4" t="s">
        <v>372</v>
      </c>
      <c r="T1161" s="4" t="s">
        <v>617</v>
      </c>
      <c r="U1161" s="4">
        <v>0</v>
      </c>
      <c r="V1161" s="4">
        <v>44</v>
      </c>
      <c r="W1161" s="4">
        <v>81</v>
      </c>
    </row>
    <row r="1162" spans="1:23" ht="11.25" customHeight="1" x14ac:dyDescent="0.25">
      <c r="A1162" s="4" t="s">
        <v>21</v>
      </c>
      <c r="B1162" s="4" t="s">
        <v>37</v>
      </c>
      <c r="C1162" s="4" t="s">
        <v>23</v>
      </c>
      <c r="D1162" s="4" t="s">
        <v>51</v>
      </c>
      <c r="E1162" s="4" t="s">
        <v>25</v>
      </c>
      <c r="F1162" s="4" t="s">
        <v>25</v>
      </c>
      <c r="G1162" s="4" t="s">
        <v>25</v>
      </c>
      <c r="H1162" s="4" t="s">
        <v>25</v>
      </c>
      <c r="I1162" s="5">
        <v>44440</v>
      </c>
      <c r="J1162" s="6">
        <v>0</v>
      </c>
      <c r="K1162" s="6">
        <v>0</v>
      </c>
      <c r="L1162" s="6">
        <v>36.548000000000002</v>
      </c>
      <c r="M1162" s="6">
        <v>36.548000000000002</v>
      </c>
      <c r="N1162" s="6">
        <v>36.548000000000002</v>
      </c>
      <c r="O1162" s="6">
        <v>36.548000000000002</v>
      </c>
      <c r="P1162" s="6">
        <v>29</v>
      </c>
      <c r="Q1162" s="4" t="s">
        <v>26</v>
      </c>
      <c r="R1162" s="4">
        <v>0</v>
      </c>
      <c r="S1162" s="4" t="s">
        <v>362</v>
      </c>
      <c r="T1162" s="4" t="s">
        <v>607</v>
      </c>
      <c r="U1162" s="4">
        <v>0</v>
      </c>
      <c r="V1162" s="4">
        <v>44</v>
      </c>
      <c r="W1162" s="4">
        <v>81</v>
      </c>
    </row>
    <row r="1163" spans="1:23" ht="11.25" customHeight="1" x14ac:dyDescent="0.25">
      <c r="A1163" s="4" t="s">
        <v>21</v>
      </c>
      <c r="B1163" s="4" t="s">
        <v>37</v>
      </c>
      <c r="C1163" s="4" t="s">
        <v>23</v>
      </c>
      <c r="D1163" s="4" t="s">
        <v>51</v>
      </c>
      <c r="E1163" s="4" t="s">
        <v>25</v>
      </c>
      <c r="F1163" s="4" t="s">
        <v>25</v>
      </c>
      <c r="G1163" s="4" t="s">
        <v>25</v>
      </c>
      <c r="H1163" s="4" t="s">
        <v>25</v>
      </c>
      <c r="I1163" s="5">
        <v>44470</v>
      </c>
      <c r="J1163" s="6">
        <v>0</v>
      </c>
      <c r="K1163" s="6">
        <v>0</v>
      </c>
      <c r="L1163" s="6">
        <v>34.777000000000001</v>
      </c>
      <c r="M1163" s="6">
        <v>34.777000000000001</v>
      </c>
      <c r="N1163" s="6">
        <v>34.777000000000001</v>
      </c>
      <c r="O1163" s="6">
        <v>34.777000000000001</v>
      </c>
      <c r="P1163" s="6">
        <v>28</v>
      </c>
      <c r="Q1163" s="4" t="s">
        <v>26</v>
      </c>
      <c r="R1163" s="4">
        <v>0</v>
      </c>
      <c r="S1163" s="4" t="s">
        <v>363</v>
      </c>
      <c r="T1163" s="4" t="s">
        <v>608</v>
      </c>
      <c r="U1163" s="4">
        <v>0</v>
      </c>
      <c r="V1163" s="4">
        <v>44</v>
      </c>
      <c r="W1163" s="4">
        <v>81</v>
      </c>
    </row>
    <row r="1164" spans="1:23" ht="11.25" customHeight="1" x14ac:dyDescent="0.25">
      <c r="A1164" s="4" t="s">
        <v>21</v>
      </c>
      <c r="B1164" s="4" t="s">
        <v>37</v>
      </c>
      <c r="C1164" s="4" t="s">
        <v>23</v>
      </c>
      <c r="D1164" s="4" t="s">
        <v>51</v>
      </c>
      <c r="E1164" s="4" t="s">
        <v>25</v>
      </c>
      <c r="F1164" s="4" t="s">
        <v>25</v>
      </c>
      <c r="G1164" s="4" t="s">
        <v>25</v>
      </c>
      <c r="H1164" s="4" t="s">
        <v>25</v>
      </c>
      <c r="I1164" s="5">
        <v>44501</v>
      </c>
      <c r="J1164" s="6">
        <v>0</v>
      </c>
      <c r="K1164" s="6">
        <v>0</v>
      </c>
      <c r="L1164" s="6">
        <v>45.545000000000002</v>
      </c>
      <c r="M1164" s="6">
        <v>45.545000000000002</v>
      </c>
      <c r="N1164" s="6">
        <v>45.545000000000002</v>
      </c>
      <c r="O1164" s="6">
        <v>45.545000000000002</v>
      </c>
      <c r="P1164" s="6">
        <v>29</v>
      </c>
      <c r="Q1164" s="4" t="s">
        <v>26</v>
      </c>
      <c r="R1164" s="4">
        <v>0</v>
      </c>
      <c r="S1164" s="4" t="s">
        <v>364</v>
      </c>
      <c r="T1164" s="4" t="s">
        <v>609</v>
      </c>
      <c r="U1164" s="4">
        <v>0</v>
      </c>
      <c r="V1164" s="4">
        <v>44</v>
      </c>
      <c r="W1164" s="4">
        <v>81</v>
      </c>
    </row>
    <row r="1165" spans="1:23" ht="11.25" customHeight="1" x14ac:dyDescent="0.25">
      <c r="A1165" s="4" t="s">
        <v>27</v>
      </c>
      <c r="B1165" s="4" t="s">
        <v>37</v>
      </c>
      <c r="C1165" s="4" t="s">
        <v>23</v>
      </c>
      <c r="D1165" s="4" t="s">
        <v>51</v>
      </c>
      <c r="E1165" s="4" t="s">
        <v>25</v>
      </c>
      <c r="F1165" s="4" t="s">
        <v>25</v>
      </c>
      <c r="G1165" s="4" t="s">
        <v>25</v>
      </c>
      <c r="H1165" s="4" t="s">
        <v>25</v>
      </c>
      <c r="I1165" s="5">
        <v>44501</v>
      </c>
      <c r="J1165" s="6">
        <v>0</v>
      </c>
      <c r="K1165" s="6">
        <v>0</v>
      </c>
      <c r="L1165" s="6">
        <v>2.036</v>
      </c>
      <c r="M1165" s="6">
        <v>2.036</v>
      </c>
      <c r="N1165" s="6">
        <v>2.036</v>
      </c>
      <c r="O1165" s="6">
        <v>2.036</v>
      </c>
      <c r="P1165" s="6">
        <v>1</v>
      </c>
      <c r="Q1165" s="4" t="s">
        <v>26</v>
      </c>
      <c r="R1165" s="4">
        <v>0</v>
      </c>
      <c r="S1165" s="4" t="s">
        <v>364</v>
      </c>
      <c r="T1165" s="4" t="s">
        <v>609</v>
      </c>
      <c r="U1165" s="4">
        <v>0</v>
      </c>
      <c r="V1165" s="4">
        <v>44</v>
      </c>
      <c r="W1165" s="4">
        <v>81</v>
      </c>
    </row>
    <row r="1166" spans="1:23" ht="11.25" customHeight="1" x14ac:dyDescent="0.25">
      <c r="A1166" s="4" t="s">
        <v>21</v>
      </c>
      <c r="B1166" s="4" t="s">
        <v>37</v>
      </c>
      <c r="C1166" s="4" t="s">
        <v>23</v>
      </c>
      <c r="D1166" s="4" t="s">
        <v>51</v>
      </c>
      <c r="E1166" s="4" t="s">
        <v>25</v>
      </c>
      <c r="F1166" s="4" t="s">
        <v>25</v>
      </c>
      <c r="G1166" s="4" t="s">
        <v>25</v>
      </c>
      <c r="H1166" s="4" t="s">
        <v>25</v>
      </c>
      <c r="I1166" s="5">
        <v>44531</v>
      </c>
      <c r="J1166" s="6">
        <v>0</v>
      </c>
      <c r="K1166" s="6">
        <v>0</v>
      </c>
      <c r="L1166" s="6">
        <v>42.582999999999998</v>
      </c>
      <c r="M1166" s="6">
        <v>42.582999999999998</v>
      </c>
      <c r="N1166" s="6">
        <v>42.582999999999998</v>
      </c>
      <c r="O1166" s="6">
        <v>42.582999999999998</v>
      </c>
      <c r="P1166" s="6">
        <v>30</v>
      </c>
      <c r="Q1166" s="4" t="s">
        <v>26</v>
      </c>
      <c r="R1166" s="4">
        <v>0</v>
      </c>
      <c r="S1166" s="4" t="s">
        <v>365</v>
      </c>
      <c r="T1166" s="4" t="s">
        <v>610</v>
      </c>
      <c r="U1166" s="4">
        <v>0</v>
      </c>
      <c r="V1166" s="4">
        <v>44</v>
      </c>
      <c r="W1166" s="4">
        <v>81</v>
      </c>
    </row>
    <row r="1167" spans="1:23" ht="11.25" customHeight="1" x14ac:dyDescent="0.25">
      <c r="A1167" s="4" t="s">
        <v>21</v>
      </c>
      <c r="B1167" s="4" t="s">
        <v>37</v>
      </c>
      <c r="C1167" s="4" t="s">
        <v>23</v>
      </c>
      <c r="D1167" s="4" t="s">
        <v>51</v>
      </c>
      <c r="E1167" s="4" t="s">
        <v>25</v>
      </c>
      <c r="F1167" s="4" t="s">
        <v>25</v>
      </c>
      <c r="G1167" s="4" t="s">
        <v>25</v>
      </c>
      <c r="H1167" s="4" t="s">
        <v>25</v>
      </c>
      <c r="I1167" s="5">
        <v>44562</v>
      </c>
      <c r="J1167" s="6">
        <v>0</v>
      </c>
      <c r="K1167" s="6">
        <v>0</v>
      </c>
      <c r="L1167" s="6">
        <v>51.683999999999997</v>
      </c>
      <c r="M1167" s="6">
        <v>51.683999999999997</v>
      </c>
      <c r="N1167" s="6">
        <v>51.683999999999997</v>
      </c>
      <c r="O1167" s="6">
        <v>51.683999999999997</v>
      </c>
      <c r="P1167" s="6">
        <v>29</v>
      </c>
      <c r="Q1167" s="4" t="s">
        <v>26</v>
      </c>
      <c r="R1167" s="4">
        <v>0</v>
      </c>
      <c r="S1167" s="4" t="s">
        <v>366</v>
      </c>
      <c r="T1167" s="4" t="s">
        <v>611</v>
      </c>
      <c r="U1167" s="4">
        <v>0</v>
      </c>
      <c r="V1167" s="4">
        <v>44</v>
      </c>
      <c r="W1167" s="4">
        <v>81</v>
      </c>
    </row>
    <row r="1168" spans="1:23" ht="11.25" customHeight="1" x14ac:dyDescent="0.25">
      <c r="A1168" s="4" t="s">
        <v>27</v>
      </c>
      <c r="B1168" s="4" t="s">
        <v>37</v>
      </c>
      <c r="C1168" s="4" t="s">
        <v>23</v>
      </c>
      <c r="D1168" s="4" t="s">
        <v>51</v>
      </c>
      <c r="E1168" s="4" t="s">
        <v>25</v>
      </c>
      <c r="F1168" s="4" t="s">
        <v>25</v>
      </c>
      <c r="G1168" s="4" t="s">
        <v>25</v>
      </c>
      <c r="H1168" s="4" t="s">
        <v>25</v>
      </c>
      <c r="I1168" s="5">
        <v>44562</v>
      </c>
      <c r="J1168" s="6">
        <v>0</v>
      </c>
      <c r="K1168" s="6">
        <v>0</v>
      </c>
      <c r="L1168" s="6">
        <v>-0.03</v>
      </c>
      <c r="M1168" s="6">
        <v>-0.03</v>
      </c>
      <c r="N1168" s="6">
        <v>-0.03</v>
      </c>
      <c r="O1168" s="6">
        <v>-0.03</v>
      </c>
      <c r="P1168" s="6">
        <v>-1</v>
      </c>
      <c r="Q1168" s="4" t="s">
        <v>26</v>
      </c>
      <c r="R1168" s="4">
        <v>0</v>
      </c>
      <c r="S1168" s="4" t="s">
        <v>366</v>
      </c>
      <c r="T1168" s="4" t="s">
        <v>611</v>
      </c>
      <c r="U1168" s="4">
        <v>0</v>
      </c>
      <c r="V1168" s="4">
        <v>44</v>
      </c>
      <c r="W1168" s="4">
        <v>81</v>
      </c>
    </row>
    <row r="1169" spans="1:23" ht="11.25" customHeight="1" x14ac:dyDescent="0.25">
      <c r="A1169" s="4" t="s">
        <v>21</v>
      </c>
      <c r="B1169" s="4" t="s">
        <v>37</v>
      </c>
      <c r="C1169" s="4" t="s">
        <v>23</v>
      </c>
      <c r="D1169" s="4" t="s">
        <v>51</v>
      </c>
      <c r="E1169" s="4" t="s">
        <v>25</v>
      </c>
      <c r="F1169" s="4" t="s">
        <v>25</v>
      </c>
      <c r="G1169" s="4" t="s">
        <v>25</v>
      </c>
      <c r="H1169" s="4" t="s">
        <v>25</v>
      </c>
      <c r="I1169" s="5">
        <v>44593</v>
      </c>
      <c r="J1169" s="6">
        <v>0</v>
      </c>
      <c r="K1169" s="6">
        <v>0</v>
      </c>
      <c r="L1169" s="6">
        <v>43.677999999999997</v>
      </c>
      <c r="M1169" s="6">
        <v>43.677999999999997</v>
      </c>
      <c r="N1169" s="6">
        <v>43.677999999999997</v>
      </c>
      <c r="O1169" s="6">
        <v>43.677999999999997</v>
      </c>
      <c r="P1169" s="6">
        <v>29</v>
      </c>
      <c r="Q1169" s="4" t="s">
        <v>26</v>
      </c>
      <c r="R1169" s="4">
        <v>0</v>
      </c>
      <c r="S1169" s="4" t="s">
        <v>367</v>
      </c>
      <c r="T1169" s="4" t="s">
        <v>612</v>
      </c>
      <c r="U1169" s="4">
        <v>0</v>
      </c>
      <c r="V1169" s="4">
        <v>44</v>
      </c>
      <c r="W1169" s="4">
        <v>81</v>
      </c>
    </row>
    <row r="1170" spans="1:23" ht="11.25" customHeight="1" x14ac:dyDescent="0.25">
      <c r="A1170" s="4" t="s">
        <v>21</v>
      </c>
      <c r="B1170" s="4" t="s">
        <v>37</v>
      </c>
      <c r="C1170" s="4" t="s">
        <v>23</v>
      </c>
      <c r="D1170" s="4" t="s">
        <v>51</v>
      </c>
      <c r="E1170" s="4" t="s">
        <v>25</v>
      </c>
      <c r="F1170" s="4" t="s">
        <v>25</v>
      </c>
      <c r="G1170" s="4" t="s">
        <v>25</v>
      </c>
      <c r="H1170" s="4" t="s">
        <v>25</v>
      </c>
      <c r="I1170" s="5">
        <v>44621</v>
      </c>
      <c r="J1170" s="6">
        <v>0</v>
      </c>
      <c r="K1170" s="6">
        <v>0</v>
      </c>
      <c r="L1170" s="6">
        <v>57.445</v>
      </c>
      <c r="M1170" s="6">
        <v>57.445</v>
      </c>
      <c r="N1170" s="6">
        <v>57.445</v>
      </c>
      <c r="O1170" s="6">
        <v>57.445</v>
      </c>
      <c r="P1170" s="6">
        <v>29</v>
      </c>
      <c r="Q1170" s="4" t="s">
        <v>26</v>
      </c>
      <c r="R1170" s="4">
        <v>0</v>
      </c>
      <c r="S1170" s="4" t="s">
        <v>368</v>
      </c>
      <c r="T1170" s="4" t="s">
        <v>613</v>
      </c>
      <c r="U1170" s="4">
        <v>0</v>
      </c>
      <c r="V1170" s="4">
        <v>44</v>
      </c>
      <c r="W1170" s="4">
        <v>81</v>
      </c>
    </row>
    <row r="1171" spans="1:23" ht="11.25" customHeight="1" x14ac:dyDescent="0.25">
      <c r="A1171" s="4" t="s">
        <v>21</v>
      </c>
      <c r="B1171" s="4" t="s">
        <v>37</v>
      </c>
      <c r="C1171" s="4" t="s">
        <v>23</v>
      </c>
      <c r="D1171" s="4" t="s">
        <v>51</v>
      </c>
      <c r="E1171" s="4" t="s">
        <v>25</v>
      </c>
      <c r="F1171" s="4" t="s">
        <v>25</v>
      </c>
      <c r="G1171" s="4" t="s">
        <v>25</v>
      </c>
      <c r="H1171" s="4" t="s">
        <v>25</v>
      </c>
      <c r="I1171" s="5">
        <v>44652</v>
      </c>
      <c r="J1171" s="6">
        <v>0</v>
      </c>
      <c r="K1171" s="6">
        <v>0</v>
      </c>
      <c r="L1171" s="6">
        <v>45.786999999999999</v>
      </c>
      <c r="M1171" s="6">
        <v>45.786999999999999</v>
      </c>
      <c r="N1171" s="6">
        <v>45.786999999999999</v>
      </c>
      <c r="O1171" s="6">
        <v>45.786999999999999</v>
      </c>
      <c r="P1171" s="6">
        <v>29</v>
      </c>
      <c r="Q1171" s="4" t="s">
        <v>26</v>
      </c>
      <c r="R1171" s="4">
        <v>0</v>
      </c>
      <c r="S1171" s="4" t="s">
        <v>385</v>
      </c>
      <c r="T1171" s="4" t="s">
        <v>630</v>
      </c>
      <c r="U1171" s="4">
        <v>0</v>
      </c>
      <c r="V1171" s="4">
        <v>44</v>
      </c>
      <c r="W1171" s="4">
        <v>81</v>
      </c>
    </row>
    <row r="1172" spans="1:23" ht="11.25" customHeight="1" x14ac:dyDescent="0.25">
      <c r="A1172" s="4" t="s">
        <v>21</v>
      </c>
      <c r="B1172" s="4" t="s">
        <v>37</v>
      </c>
      <c r="C1172" s="4" t="s">
        <v>23</v>
      </c>
      <c r="D1172" s="4" t="s">
        <v>51</v>
      </c>
      <c r="E1172" s="4" t="s">
        <v>25</v>
      </c>
      <c r="F1172" s="4" t="s">
        <v>25</v>
      </c>
      <c r="G1172" s="4" t="s">
        <v>25</v>
      </c>
      <c r="H1172" s="4" t="s">
        <v>25</v>
      </c>
      <c r="I1172" s="5">
        <v>44682</v>
      </c>
      <c r="J1172" s="6">
        <v>0</v>
      </c>
      <c r="K1172" s="6">
        <v>0</v>
      </c>
      <c r="L1172" s="6">
        <v>40.225000000000001</v>
      </c>
      <c r="M1172" s="6">
        <v>40.225000000000001</v>
      </c>
      <c r="N1172" s="6">
        <v>40.225000000000001</v>
      </c>
      <c r="O1172" s="6">
        <v>40.225000000000001</v>
      </c>
      <c r="P1172" s="6">
        <v>29</v>
      </c>
      <c r="Q1172" s="4" t="s">
        <v>26</v>
      </c>
      <c r="R1172" s="4">
        <v>0</v>
      </c>
      <c r="S1172" s="4" t="s">
        <v>369</v>
      </c>
      <c r="T1172" s="4" t="s">
        <v>614</v>
      </c>
      <c r="U1172" s="4">
        <v>0</v>
      </c>
      <c r="V1172" s="4">
        <v>44</v>
      </c>
      <c r="W1172" s="4">
        <v>81</v>
      </c>
    </row>
    <row r="1173" spans="1:23" ht="11.25" customHeight="1" x14ac:dyDescent="0.25">
      <c r="A1173" s="4" t="s">
        <v>21</v>
      </c>
      <c r="B1173" s="4" t="s">
        <v>37</v>
      </c>
      <c r="C1173" s="4" t="s">
        <v>23</v>
      </c>
      <c r="D1173" s="4" t="s">
        <v>51</v>
      </c>
      <c r="E1173" s="4" t="s">
        <v>25</v>
      </c>
      <c r="F1173" s="4" t="s">
        <v>25</v>
      </c>
      <c r="G1173" s="4" t="s">
        <v>25</v>
      </c>
      <c r="H1173" s="4" t="s">
        <v>25</v>
      </c>
      <c r="I1173" s="5">
        <v>44713</v>
      </c>
      <c r="J1173" s="6">
        <v>0</v>
      </c>
      <c r="K1173" s="6">
        <v>0</v>
      </c>
      <c r="L1173" s="6">
        <v>34.320999999999998</v>
      </c>
      <c r="M1173" s="6">
        <v>34.320999999999998</v>
      </c>
      <c r="N1173" s="6">
        <v>34.320999999999998</v>
      </c>
      <c r="O1173" s="6">
        <v>34.320999999999998</v>
      </c>
      <c r="P1173" s="6">
        <v>29</v>
      </c>
      <c r="Q1173" s="4" t="s">
        <v>26</v>
      </c>
      <c r="R1173" s="4">
        <v>0</v>
      </c>
      <c r="S1173" s="4" t="s">
        <v>370</v>
      </c>
      <c r="T1173" s="4" t="s">
        <v>615</v>
      </c>
      <c r="U1173" s="4">
        <v>0</v>
      </c>
      <c r="V1173" s="4">
        <v>44</v>
      </c>
      <c r="W1173" s="4">
        <v>81</v>
      </c>
    </row>
    <row r="1174" spans="1:23" ht="11.25" customHeight="1" x14ac:dyDescent="0.25">
      <c r="A1174" s="4" t="s">
        <v>21</v>
      </c>
      <c r="B1174" s="4" t="s">
        <v>37</v>
      </c>
      <c r="C1174" s="4" t="s">
        <v>23</v>
      </c>
      <c r="D1174" s="4" t="s">
        <v>51</v>
      </c>
      <c r="E1174" s="4" t="s">
        <v>25</v>
      </c>
      <c r="F1174" s="4" t="s">
        <v>25</v>
      </c>
      <c r="G1174" s="4" t="s">
        <v>25</v>
      </c>
      <c r="H1174" s="4" t="s">
        <v>25</v>
      </c>
      <c r="I1174" s="5">
        <v>44743</v>
      </c>
      <c r="J1174" s="6">
        <v>0</v>
      </c>
      <c r="K1174" s="6">
        <v>0</v>
      </c>
      <c r="L1174" s="6">
        <v>36.06</v>
      </c>
      <c r="M1174" s="6">
        <v>36.06</v>
      </c>
      <c r="N1174" s="6">
        <v>36.06</v>
      </c>
      <c r="O1174" s="6">
        <v>36.06</v>
      </c>
      <c r="P1174" s="6">
        <v>31</v>
      </c>
      <c r="Q1174" s="4" t="s">
        <v>26</v>
      </c>
      <c r="R1174" s="4">
        <v>0</v>
      </c>
      <c r="S1174" s="4" t="s">
        <v>371</v>
      </c>
      <c r="T1174" s="4" t="s">
        <v>616</v>
      </c>
      <c r="U1174" s="4">
        <v>0</v>
      </c>
      <c r="V1174" s="4">
        <v>44</v>
      </c>
      <c r="W1174" s="4">
        <v>81</v>
      </c>
    </row>
    <row r="1175" spans="1:23" ht="11.25" customHeight="1" x14ac:dyDescent="0.25">
      <c r="A1175" s="4" t="s">
        <v>56</v>
      </c>
      <c r="B1175" s="4" t="s">
        <v>37</v>
      </c>
      <c r="C1175" s="4" t="s">
        <v>23</v>
      </c>
      <c r="D1175" s="4" t="s">
        <v>51</v>
      </c>
      <c r="E1175" s="4" t="s">
        <v>25</v>
      </c>
      <c r="F1175" s="4" t="s">
        <v>25</v>
      </c>
      <c r="G1175" s="4" t="s">
        <v>25</v>
      </c>
      <c r="H1175" s="4" t="s">
        <v>25</v>
      </c>
      <c r="I1175" s="5">
        <v>44774</v>
      </c>
      <c r="J1175" s="6">
        <v>0</v>
      </c>
      <c r="K1175" s="6">
        <v>0</v>
      </c>
      <c r="L1175" s="6">
        <v>36.06</v>
      </c>
      <c r="M1175" s="6">
        <v>36.06</v>
      </c>
      <c r="N1175" s="6">
        <v>36.06</v>
      </c>
      <c r="O1175" s="6">
        <v>36.06</v>
      </c>
      <c r="P1175" s="6">
        <v>31</v>
      </c>
      <c r="Q1175" s="4" t="s">
        <v>26</v>
      </c>
      <c r="R1175" s="4">
        <v>0</v>
      </c>
      <c r="S1175" s="4" t="s">
        <v>372</v>
      </c>
      <c r="T1175" s="4" t="s">
        <v>617</v>
      </c>
      <c r="U1175" s="4">
        <v>0</v>
      </c>
      <c r="V1175" s="4">
        <v>44</v>
      </c>
      <c r="W1175" s="4">
        <v>81</v>
      </c>
    </row>
    <row r="1176" spans="1:23" ht="11.25" customHeight="1" x14ac:dyDescent="0.25">
      <c r="A1176" s="4" t="s">
        <v>21</v>
      </c>
      <c r="B1176" s="4" t="s">
        <v>37</v>
      </c>
      <c r="C1176" s="4" t="s">
        <v>23</v>
      </c>
      <c r="D1176" s="4" t="s">
        <v>38</v>
      </c>
      <c r="E1176" s="4" t="s">
        <v>25</v>
      </c>
      <c r="F1176" s="4" t="s">
        <v>25</v>
      </c>
      <c r="G1176" s="4" t="s">
        <v>25</v>
      </c>
      <c r="H1176" s="4" t="s">
        <v>25</v>
      </c>
      <c r="I1176" s="5">
        <v>44440</v>
      </c>
      <c r="J1176" s="6">
        <v>0</v>
      </c>
      <c r="K1176" s="6">
        <v>0</v>
      </c>
      <c r="L1176" s="6">
        <v>731.47</v>
      </c>
      <c r="M1176" s="6">
        <v>731.47</v>
      </c>
      <c r="N1176" s="6">
        <v>731.47</v>
      </c>
      <c r="O1176" s="6">
        <v>731.47</v>
      </c>
      <c r="P1176" s="6">
        <v>1394</v>
      </c>
      <c r="Q1176" s="4" t="s">
        <v>26</v>
      </c>
      <c r="R1176" s="4">
        <v>0</v>
      </c>
      <c r="S1176" s="4" t="s">
        <v>362</v>
      </c>
      <c r="T1176" s="4" t="s">
        <v>607</v>
      </c>
      <c r="U1176" s="4">
        <v>0</v>
      </c>
      <c r="V1176" s="4">
        <v>44</v>
      </c>
      <c r="W1176" s="4">
        <v>81</v>
      </c>
    </row>
    <row r="1177" spans="1:23" ht="11.25" customHeight="1" x14ac:dyDescent="0.25">
      <c r="A1177" s="4" t="s">
        <v>28</v>
      </c>
      <c r="B1177" s="4" t="s">
        <v>37</v>
      </c>
      <c r="C1177" s="4" t="s">
        <v>23</v>
      </c>
      <c r="D1177" s="4" t="s">
        <v>38</v>
      </c>
      <c r="E1177" s="4" t="s">
        <v>25</v>
      </c>
      <c r="F1177" s="4" t="s">
        <v>25</v>
      </c>
      <c r="G1177" s="4" t="s">
        <v>25</v>
      </c>
      <c r="H1177" s="4" t="s">
        <v>25</v>
      </c>
      <c r="I1177" s="5">
        <v>44440</v>
      </c>
      <c r="J1177" s="6">
        <v>0</v>
      </c>
      <c r="K1177" s="6">
        <v>0</v>
      </c>
      <c r="L1177" s="6">
        <v>39.854999999999997</v>
      </c>
      <c r="M1177" s="6">
        <v>39.854999999999997</v>
      </c>
      <c r="N1177" s="6">
        <v>39.854999999999997</v>
      </c>
      <c r="O1177" s="6">
        <v>39.854999999999997</v>
      </c>
      <c r="P1177" s="6">
        <v>73</v>
      </c>
      <c r="Q1177" s="4" t="s">
        <v>26</v>
      </c>
      <c r="R1177" s="4">
        <v>0</v>
      </c>
      <c r="S1177" s="4" t="s">
        <v>362</v>
      </c>
      <c r="T1177" s="4" t="s">
        <v>607</v>
      </c>
      <c r="U1177" s="4">
        <v>0</v>
      </c>
      <c r="V1177" s="4">
        <v>44</v>
      </c>
      <c r="W1177" s="4">
        <v>81</v>
      </c>
    </row>
    <row r="1178" spans="1:23" ht="11.25" customHeight="1" x14ac:dyDescent="0.25">
      <c r="A1178" s="4" t="s">
        <v>21</v>
      </c>
      <c r="B1178" s="4" t="s">
        <v>37</v>
      </c>
      <c r="C1178" s="4" t="s">
        <v>23</v>
      </c>
      <c r="D1178" s="4" t="s">
        <v>38</v>
      </c>
      <c r="E1178" s="4" t="s">
        <v>25</v>
      </c>
      <c r="F1178" s="4" t="s">
        <v>25</v>
      </c>
      <c r="G1178" s="4" t="s">
        <v>25</v>
      </c>
      <c r="H1178" s="4" t="s">
        <v>25</v>
      </c>
      <c r="I1178" s="5">
        <v>44470</v>
      </c>
      <c r="J1178" s="6">
        <v>0</v>
      </c>
      <c r="K1178" s="6">
        <v>0</v>
      </c>
      <c r="L1178" s="6">
        <v>746.83100000000002</v>
      </c>
      <c r="M1178" s="6">
        <v>746.83100000000002</v>
      </c>
      <c r="N1178" s="6">
        <v>746.83100000000002</v>
      </c>
      <c r="O1178" s="6">
        <v>746.83100000000002</v>
      </c>
      <c r="P1178" s="6">
        <v>1395</v>
      </c>
      <c r="Q1178" s="4" t="s">
        <v>26</v>
      </c>
      <c r="R1178" s="4">
        <v>0</v>
      </c>
      <c r="S1178" s="4" t="s">
        <v>363</v>
      </c>
      <c r="T1178" s="4" t="s">
        <v>608</v>
      </c>
      <c r="U1178" s="4">
        <v>0</v>
      </c>
      <c r="V1178" s="4">
        <v>44</v>
      </c>
      <c r="W1178" s="4">
        <v>81</v>
      </c>
    </row>
    <row r="1179" spans="1:23" ht="11.25" customHeight="1" x14ac:dyDescent="0.25">
      <c r="A1179" s="4" t="s">
        <v>27</v>
      </c>
      <c r="B1179" s="4" t="s">
        <v>37</v>
      </c>
      <c r="C1179" s="4" t="s">
        <v>23</v>
      </c>
      <c r="D1179" s="4" t="s">
        <v>38</v>
      </c>
      <c r="E1179" s="4" t="s">
        <v>25</v>
      </c>
      <c r="F1179" s="4" t="s">
        <v>25</v>
      </c>
      <c r="G1179" s="4" t="s">
        <v>25</v>
      </c>
      <c r="H1179" s="4" t="s">
        <v>25</v>
      </c>
      <c r="I1179" s="5">
        <v>44470</v>
      </c>
      <c r="J1179" s="6">
        <v>0</v>
      </c>
      <c r="K1179" s="6">
        <v>0</v>
      </c>
      <c r="L1179" s="6">
        <v>-7.0129999999999999</v>
      </c>
      <c r="M1179" s="6">
        <v>-7.0129999999999999</v>
      </c>
      <c r="N1179" s="6">
        <v>-7.0129999999999999</v>
      </c>
      <c r="O1179" s="6">
        <v>-7.0129999999999999</v>
      </c>
      <c r="P1179" s="6">
        <v>0</v>
      </c>
      <c r="Q1179" s="4" t="s">
        <v>26</v>
      </c>
      <c r="R1179" s="4">
        <v>0</v>
      </c>
      <c r="S1179" s="4" t="s">
        <v>363</v>
      </c>
      <c r="T1179" s="4" t="s">
        <v>608</v>
      </c>
      <c r="U1179" s="4">
        <v>0</v>
      </c>
      <c r="V1179" s="4">
        <v>44</v>
      </c>
      <c r="W1179" s="4">
        <v>81</v>
      </c>
    </row>
    <row r="1180" spans="1:23" ht="11.25" customHeight="1" x14ac:dyDescent="0.25">
      <c r="A1180" s="4" t="s">
        <v>28</v>
      </c>
      <c r="B1180" s="4" t="s">
        <v>37</v>
      </c>
      <c r="C1180" s="4" t="s">
        <v>23</v>
      </c>
      <c r="D1180" s="4" t="s">
        <v>38</v>
      </c>
      <c r="E1180" s="4" t="s">
        <v>25</v>
      </c>
      <c r="F1180" s="4" t="s">
        <v>25</v>
      </c>
      <c r="G1180" s="4" t="s">
        <v>25</v>
      </c>
      <c r="H1180" s="4" t="s">
        <v>25</v>
      </c>
      <c r="I1180" s="5">
        <v>44470</v>
      </c>
      <c r="J1180" s="6">
        <v>0</v>
      </c>
      <c r="K1180" s="6">
        <v>0</v>
      </c>
      <c r="L1180" s="6">
        <v>53.616999999999997</v>
      </c>
      <c r="M1180" s="6">
        <v>53.616999999999997</v>
      </c>
      <c r="N1180" s="6">
        <v>53.616999999999997</v>
      </c>
      <c r="O1180" s="6">
        <v>53.616999999999997</v>
      </c>
      <c r="P1180" s="6">
        <v>76</v>
      </c>
      <c r="Q1180" s="4" t="s">
        <v>26</v>
      </c>
      <c r="R1180" s="4">
        <v>0</v>
      </c>
      <c r="S1180" s="4" t="s">
        <v>363</v>
      </c>
      <c r="T1180" s="4" t="s">
        <v>608</v>
      </c>
      <c r="U1180" s="4">
        <v>0</v>
      </c>
      <c r="V1180" s="4">
        <v>44</v>
      </c>
      <c r="W1180" s="4">
        <v>81</v>
      </c>
    </row>
    <row r="1181" spans="1:23" ht="11.25" customHeight="1" x14ac:dyDescent="0.25">
      <c r="A1181" s="4" t="s">
        <v>28</v>
      </c>
      <c r="B1181" s="4" t="s">
        <v>37</v>
      </c>
      <c r="C1181" s="4" t="s">
        <v>23</v>
      </c>
      <c r="D1181" s="4" t="s">
        <v>38</v>
      </c>
      <c r="E1181" s="4" t="s">
        <v>25</v>
      </c>
      <c r="F1181" s="4" t="s">
        <v>25</v>
      </c>
      <c r="G1181" s="4" t="s">
        <v>25</v>
      </c>
      <c r="H1181" s="4" t="s">
        <v>25</v>
      </c>
      <c r="I1181" s="5">
        <v>44470</v>
      </c>
      <c r="J1181" s="6">
        <v>0</v>
      </c>
      <c r="K1181" s="6">
        <v>0</v>
      </c>
      <c r="L1181" s="6">
        <v>5.0999999999999996</v>
      </c>
      <c r="M1181" s="6">
        <v>5.0999999999999996</v>
      </c>
      <c r="N1181" s="6">
        <v>5.0999999999999996</v>
      </c>
      <c r="O1181" s="6">
        <v>5.0999999999999996</v>
      </c>
      <c r="P1181" s="6">
        <v>1</v>
      </c>
      <c r="Q1181" s="4" t="s">
        <v>26</v>
      </c>
      <c r="R1181" s="4">
        <v>0</v>
      </c>
      <c r="S1181" s="4" t="s">
        <v>363</v>
      </c>
      <c r="T1181" s="4" t="s">
        <v>608</v>
      </c>
      <c r="U1181" s="4">
        <v>0</v>
      </c>
      <c r="V1181" s="4">
        <v>44</v>
      </c>
      <c r="W1181" s="4">
        <v>81</v>
      </c>
    </row>
    <row r="1182" spans="1:23" ht="11.25" customHeight="1" x14ac:dyDescent="0.25">
      <c r="A1182" s="4" t="s">
        <v>21</v>
      </c>
      <c r="B1182" s="4" t="s">
        <v>37</v>
      </c>
      <c r="C1182" s="4" t="s">
        <v>23</v>
      </c>
      <c r="D1182" s="4" t="s">
        <v>38</v>
      </c>
      <c r="E1182" s="4" t="s">
        <v>25</v>
      </c>
      <c r="F1182" s="4" t="s">
        <v>25</v>
      </c>
      <c r="G1182" s="4" t="s">
        <v>25</v>
      </c>
      <c r="H1182" s="4" t="s">
        <v>25</v>
      </c>
      <c r="I1182" s="5">
        <v>44501</v>
      </c>
      <c r="J1182" s="6">
        <v>0</v>
      </c>
      <c r="K1182" s="6">
        <v>0</v>
      </c>
      <c r="L1182" s="6">
        <v>714.52</v>
      </c>
      <c r="M1182" s="6">
        <v>714.52</v>
      </c>
      <c r="N1182" s="6">
        <v>714.52</v>
      </c>
      <c r="O1182" s="6">
        <v>714.52</v>
      </c>
      <c r="P1182" s="6">
        <v>1395</v>
      </c>
      <c r="Q1182" s="4" t="s">
        <v>26</v>
      </c>
      <c r="R1182" s="4">
        <v>0</v>
      </c>
      <c r="S1182" s="4" t="s">
        <v>364</v>
      </c>
      <c r="T1182" s="4" t="s">
        <v>609</v>
      </c>
      <c r="U1182" s="4">
        <v>0</v>
      </c>
      <c r="V1182" s="4">
        <v>44</v>
      </c>
      <c r="W1182" s="4">
        <v>81</v>
      </c>
    </row>
    <row r="1183" spans="1:23" ht="11.25" customHeight="1" x14ac:dyDescent="0.25">
      <c r="A1183" s="4" t="s">
        <v>27</v>
      </c>
      <c r="B1183" s="4" t="s">
        <v>37</v>
      </c>
      <c r="C1183" s="4" t="s">
        <v>23</v>
      </c>
      <c r="D1183" s="4" t="s">
        <v>38</v>
      </c>
      <c r="E1183" s="4" t="s">
        <v>25</v>
      </c>
      <c r="F1183" s="4" t="s">
        <v>25</v>
      </c>
      <c r="G1183" s="4" t="s">
        <v>25</v>
      </c>
      <c r="H1183" s="4" t="s">
        <v>25</v>
      </c>
      <c r="I1183" s="5">
        <v>44501</v>
      </c>
      <c r="J1183" s="6">
        <v>0</v>
      </c>
      <c r="K1183" s="6">
        <v>0</v>
      </c>
      <c r="L1183" s="6">
        <v>4.3999999999999997E-2</v>
      </c>
      <c r="M1183" s="6">
        <v>4.3999999999999997E-2</v>
      </c>
      <c r="N1183" s="6">
        <v>4.3999999999999997E-2</v>
      </c>
      <c r="O1183" s="6">
        <v>4.3999999999999997E-2</v>
      </c>
      <c r="P1183" s="6">
        <v>1</v>
      </c>
      <c r="Q1183" s="4" t="s">
        <v>26</v>
      </c>
      <c r="R1183" s="4">
        <v>0</v>
      </c>
      <c r="S1183" s="4" t="s">
        <v>364</v>
      </c>
      <c r="T1183" s="4" t="s">
        <v>609</v>
      </c>
      <c r="U1183" s="4">
        <v>0</v>
      </c>
      <c r="V1183" s="4">
        <v>44</v>
      </c>
      <c r="W1183" s="4">
        <v>81</v>
      </c>
    </row>
    <row r="1184" spans="1:23" ht="11.25" customHeight="1" x14ac:dyDescent="0.25">
      <c r="A1184" s="4" t="s">
        <v>28</v>
      </c>
      <c r="B1184" s="4" t="s">
        <v>37</v>
      </c>
      <c r="C1184" s="4" t="s">
        <v>23</v>
      </c>
      <c r="D1184" s="4" t="s">
        <v>38</v>
      </c>
      <c r="E1184" s="4" t="s">
        <v>25</v>
      </c>
      <c r="F1184" s="4" t="s">
        <v>25</v>
      </c>
      <c r="G1184" s="4" t="s">
        <v>25</v>
      </c>
      <c r="H1184" s="4" t="s">
        <v>25</v>
      </c>
      <c r="I1184" s="5">
        <v>44501</v>
      </c>
      <c r="J1184" s="6">
        <v>0</v>
      </c>
      <c r="K1184" s="6">
        <v>0</v>
      </c>
      <c r="L1184" s="6">
        <v>50.514000000000003</v>
      </c>
      <c r="M1184" s="6">
        <v>50.514000000000003</v>
      </c>
      <c r="N1184" s="6">
        <v>50.514000000000003</v>
      </c>
      <c r="O1184" s="6">
        <v>50.514000000000003</v>
      </c>
      <c r="P1184" s="6">
        <v>83</v>
      </c>
      <c r="Q1184" s="4" t="s">
        <v>26</v>
      </c>
      <c r="R1184" s="4">
        <v>0</v>
      </c>
      <c r="S1184" s="4" t="s">
        <v>364</v>
      </c>
      <c r="T1184" s="4" t="s">
        <v>609</v>
      </c>
      <c r="U1184" s="4">
        <v>0</v>
      </c>
      <c r="V1184" s="4">
        <v>44</v>
      </c>
      <c r="W1184" s="4">
        <v>81</v>
      </c>
    </row>
    <row r="1185" spans="1:23" ht="11.25" customHeight="1" x14ac:dyDescent="0.25">
      <c r="A1185" s="4" t="s">
        <v>28</v>
      </c>
      <c r="B1185" s="4" t="s">
        <v>37</v>
      </c>
      <c r="C1185" s="4" t="s">
        <v>23</v>
      </c>
      <c r="D1185" s="4" t="s">
        <v>38</v>
      </c>
      <c r="E1185" s="4" t="s">
        <v>25</v>
      </c>
      <c r="F1185" s="4" t="s">
        <v>25</v>
      </c>
      <c r="G1185" s="4" t="s">
        <v>25</v>
      </c>
      <c r="H1185" s="4" t="s">
        <v>25</v>
      </c>
      <c r="I1185" s="5">
        <v>44501</v>
      </c>
      <c r="J1185" s="6">
        <v>0</v>
      </c>
      <c r="K1185" s="6">
        <v>0</v>
      </c>
      <c r="L1185" s="6">
        <v>1.26</v>
      </c>
      <c r="M1185" s="6">
        <v>1.26</v>
      </c>
      <c r="N1185" s="6">
        <v>1.26</v>
      </c>
      <c r="O1185" s="6">
        <v>1.26</v>
      </c>
      <c r="P1185" s="6">
        <v>1</v>
      </c>
      <c r="Q1185" s="4" t="s">
        <v>26</v>
      </c>
      <c r="R1185" s="4">
        <v>0</v>
      </c>
      <c r="S1185" s="4" t="s">
        <v>364</v>
      </c>
      <c r="T1185" s="4" t="s">
        <v>609</v>
      </c>
      <c r="U1185" s="4">
        <v>0</v>
      </c>
      <c r="V1185" s="4">
        <v>44</v>
      </c>
      <c r="W1185" s="4">
        <v>81</v>
      </c>
    </row>
    <row r="1186" spans="1:23" ht="11.25" customHeight="1" x14ac:dyDescent="0.25">
      <c r="A1186" s="4" t="s">
        <v>21</v>
      </c>
      <c r="B1186" s="4" t="s">
        <v>37</v>
      </c>
      <c r="C1186" s="4" t="s">
        <v>23</v>
      </c>
      <c r="D1186" s="4" t="s">
        <v>38</v>
      </c>
      <c r="E1186" s="4" t="s">
        <v>25</v>
      </c>
      <c r="F1186" s="4" t="s">
        <v>25</v>
      </c>
      <c r="G1186" s="4" t="s">
        <v>25</v>
      </c>
      <c r="H1186" s="4" t="s">
        <v>25</v>
      </c>
      <c r="I1186" s="5">
        <v>44531</v>
      </c>
      <c r="J1186" s="6">
        <v>0</v>
      </c>
      <c r="K1186" s="6">
        <v>0</v>
      </c>
      <c r="L1186" s="6">
        <v>744.52499999999998</v>
      </c>
      <c r="M1186" s="6">
        <v>744.52499999999998</v>
      </c>
      <c r="N1186" s="6">
        <v>744.52499999999998</v>
      </c>
      <c r="O1186" s="6">
        <v>744.52499999999998</v>
      </c>
      <c r="P1186" s="6">
        <v>1413</v>
      </c>
      <c r="Q1186" s="4" t="s">
        <v>26</v>
      </c>
      <c r="R1186" s="4">
        <v>0</v>
      </c>
      <c r="S1186" s="4" t="s">
        <v>365</v>
      </c>
      <c r="T1186" s="4" t="s">
        <v>610</v>
      </c>
      <c r="U1186" s="4">
        <v>0</v>
      </c>
      <c r="V1186" s="4">
        <v>44</v>
      </c>
      <c r="W1186" s="4">
        <v>81</v>
      </c>
    </row>
    <row r="1187" spans="1:23" ht="11.25" customHeight="1" x14ac:dyDescent="0.25">
      <c r="A1187" s="4" t="s">
        <v>27</v>
      </c>
      <c r="B1187" s="4" t="s">
        <v>37</v>
      </c>
      <c r="C1187" s="4" t="s">
        <v>23</v>
      </c>
      <c r="D1187" s="4" t="s">
        <v>38</v>
      </c>
      <c r="E1187" s="4" t="s">
        <v>25</v>
      </c>
      <c r="F1187" s="4" t="s">
        <v>25</v>
      </c>
      <c r="G1187" s="4" t="s">
        <v>25</v>
      </c>
      <c r="H1187" s="4" t="s">
        <v>25</v>
      </c>
      <c r="I1187" s="5">
        <v>44531</v>
      </c>
      <c r="J1187" s="6">
        <v>0</v>
      </c>
      <c r="K1187" s="6">
        <v>0</v>
      </c>
      <c r="L1187" s="6">
        <v>0.36099999999999999</v>
      </c>
      <c r="M1187" s="6">
        <v>0.36099999999999999</v>
      </c>
      <c r="N1187" s="6">
        <v>0.36099999999999999</v>
      </c>
      <c r="O1187" s="6">
        <v>0.36099999999999999</v>
      </c>
      <c r="P1187" s="6">
        <v>3</v>
      </c>
      <c r="Q1187" s="4" t="s">
        <v>26</v>
      </c>
      <c r="R1187" s="4">
        <v>0</v>
      </c>
      <c r="S1187" s="4" t="s">
        <v>365</v>
      </c>
      <c r="T1187" s="4" t="s">
        <v>610</v>
      </c>
      <c r="U1187" s="4">
        <v>0</v>
      </c>
      <c r="V1187" s="4">
        <v>44</v>
      </c>
      <c r="W1187" s="4">
        <v>81</v>
      </c>
    </row>
    <row r="1188" spans="1:23" ht="11.25" customHeight="1" x14ac:dyDescent="0.25">
      <c r="A1188" s="4" t="s">
        <v>28</v>
      </c>
      <c r="B1188" s="4" t="s">
        <v>37</v>
      </c>
      <c r="C1188" s="4" t="s">
        <v>23</v>
      </c>
      <c r="D1188" s="4" t="s">
        <v>38</v>
      </c>
      <c r="E1188" s="4" t="s">
        <v>25</v>
      </c>
      <c r="F1188" s="4" t="s">
        <v>25</v>
      </c>
      <c r="G1188" s="4" t="s">
        <v>25</v>
      </c>
      <c r="H1188" s="4" t="s">
        <v>25</v>
      </c>
      <c r="I1188" s="5">
        <v>44531</v>
      </c>
      <c r="J1188" s="6">
        <v>0</v>
      </c>
      <c r="K1188" s="6">
        <v>0</v>
      </c>
      <c r="L1188" s="6">
        <v>49.884</v>
      </c>
      <c r="M1188" s="6">
        <v>49.884</v>
      </c>
      <c r="N1188" s="6">
        <v>49.884</v>
      </c>
      <c r="O1188" s="6">
        <v>49.884</v>
      </c>
      <c r="P1188" s="6">
        <v>86</v>
      </c>
      <c r="Q1188" s="4" t="s">
        <v>26</v>
      </c>
      <c r="R1188" s="4">
        <v>0</v>
      </c>
      <c r="S1188" s="4" t="s">
        <v>365</v>
      </c>
      <c r="T1188" s="4" t="s">
        <v>610</v>
      </c>
      <c r="U1188" s="4">
        <v>0</v>
      </c>
      <c r="V1188" s="4">
        <v>44</v>
      </c>
      <c r="W1188" s="4">
        <v>81</v>
      </c>
    </row>
    <row r="1189" spans="1:23" ht="11.25" customHeight="1" x14ac:dyDescent="0.25">
      <c r="A1189" s="4" t="s">
        <v>21</v>
      </c>
      <c r="B1189" s="4" t="s">
        <v>37</v>
      </c>
      <c r="C1189" s="4" t="s">
        <v>23</v>
      </c>
      <c r="D1189" s="4" t="s">
        <v>38</v>
      </c>
      <c r="E1189" s="4" t="s">
        <v>25</v>
      </c>
      <c r="F1189" s="4" t="s">
        <v>25</v>
      </c>
      <c r="G1189" s="4" t="s">
        <v>25</v>
      </c>
      <c r="H1189" s="4" t="s">
        <v>25</v>
      </c>
      <c r="I1189" s="5">
        <v>44562</v>
      </c>
      <c r="J1189" s="6">
        <v>0</v>
      </c>
      <c r="K1189" s="6">
        <v>0</v>
      </c>
      <c r="L1189" s="6">
        <v>667.91600000000005</v>
      </c>
      <c r="M1189" s="6">
        <v>667.91600000000005</v>
      </c>
      <c r="N1189" s="6">
        <v>667.91600000000005</v>
      </c>
      <c r="O1189" s="6">
        <v>667.91600000000005</v>
      </c>
      <c r="P1189" s="6">
        <v>1429</v>
      </c>
      <c r="Q1189" s="4" t="s">
        <v>26</v>
      </c>
      <c r="R1189" s="4">
        <v>0</v>
      </c>
      <c r="S1189" s="4" t="s">
        <v>366</v>
      </c>
      <c r="T1189" s="4" t="s">
        <v>611</v>
      </c>
      <c r="U1189" s="4">
        <v>0</v>
      </c>
      <c r="V1189" s="4">
        <v>44</v>
      </c>
      <c r="W1189" s="4">
        <v>81</v>
      </c>
    </row>
    <row r="1190" spans="1:23" ht="11.25" customHeight="1" x14ac:dyDescent="0.25">
      <c r="A1190" s="4" t="s">
        <v>28</v>
      </c>
      <c r="B1190" s="4" t="s">
        <v>37</v>
      </c>
      <c r="C1190" s="4" t="s">
        <v>23</v>
      </c>
      <c r="D1190" s="4" t="s">
        <v>38</v>
      </c>
      <c r="E1190" s="4" t="s">
        <v>25</v>
      </c>
      <c r="F1190" s="4" t="s">
        <v>25</v>
      </c>
      <c r="G1190" s="4" t="s">
        <v>25</v>
      </c>
      <c r="H1190" s="4" t="s">
        <v>25</v>
      </c>
      <c r="I1190" s="5">
        <v>44562</v>
      </c>
      <c r="J1190" s="6">
        <v>0</v>
      </c>
      <c r="K1190" s="6">
        <v>0</v>
      </c>
      <c r="L1190" s="6">
        <v>40.204000000000001</v>
      </c>
      <c r="M1190" s="6">
        <v>40.204000000000001</v>
      </c>
      <c r="N1190" s="6">
        <v>40.204000000000001</v>
      </c>
      <c r="O1190" s="6">
        <v>40.204000000000001</v>
      </c>
      <c r="P1190" s="6">
        <v>89</v>
      </c>
      <c r="Q1190" s="4" t="s">
        <v>26</v>
      </c>
      <c r="R1190" s="4">
        <v>0</v>
      </c>
      <c r="S1190" s="4" t="s">
        <v>366</v>
      </c>
      <c r="T1190" s="4" t="s">
        <v>611</v>
      </c>
      <c r="U1190" s="4">
        <v>0</v>
      </c>
      <c r="V1190" s="4">
        <v>44</v>
      </c>
      <c r="W1190" s="4">
        <v>81</v>
      </c>
    </row>
    <row r="1191" spans="1:23" ht="11.25" customHeight="1" x14ac:dyDescent="0.25">
      <c r="A1191" s="4" t="s">
        <v>21</v>
      </c>
      <c r="B1191" s="4" t="s">
        <v>37</v>
      </c>
      <c r="C1191" s="4" t="s">
        <v>23</v>
      </c>
      <c r="D1191" s="4" t="s">
        <v>38</v>
      </c>
      <c r="E1191" s="4" t="s">
        <v>25</v>
      </c>
      <c r="F1191" s="4" t="s">
        <v>25</v>
      </c>
      <c r="G1191" s="4" t="s">
        <v>25</v>
      </c>
      <c r="H1191" s="4" t="s">
        <v>25</v>
      </c>
      <c r="I1191" s="5">
        <v>44593</v>
      </c>
      <c r="J1191" s="6">
        <v>0</v>
      </c>
      <c r="K1191" s="6">
        <v>0</v>
      </c>
      <c r="L1191" s="6">
        <v>837.01</v>
      </c>
      <c r="M1191" s="6">
        <v>837.01</v>
      </c>
      <c r="N1191" s="6">
        <v>837.01</v>
      </c>
      <c r="O1191" s="6">
        <v>837.01</v>
      </c>
      <c r="P1191" s="6">
        <v>1438</v>
      </c>
      <c r="Q1191" s="4" t="s">
        <v>26</v>
      </c>
      <c r="R1191" s="4">
        <v>0</v>
      </c>
      <c r="S1191" s="4" t="s">
        <v>367</v>
      </c>
      <c r="T1191" s="4" t="s">
        <v>612</v>
      </c>
      <c r="U1191" s="4">
        <v>0</v>
      </c>
      <c r="V1191" s="4">
        <v>44</v>
      </c>
      <c r="W1191" s="4">
        <v>81</v>
      </c>
    </row>
    <row r="1192" spans="1:23" ht="11.25" customHeight="1" x14ac:dyDescent="0.25">
      <c r="A1192" s="4" t="s">
        <v>27</v>
      </c>
      <c r="B1192" s="4" t="s">
        <v>37</v>
      </c>
      <c r="C1192" s="4" t="s">
        <v>23</v>
      </c>
      <c r="D1192" s="4" t="s">
        <v>38</v>
      </c>
      <c r="E1192" s="4" t="s">
        <v>25</v>
      </c>
      <c r="F1192" s="4" t="s">
        <v>25</v>
      </c>
      <c r="G1192" s="4" t="s">
        <v>25</v>
      </c>
      <c r="H1192" s="4" t="s">
        <v>25</v>
      </c>
      <c r="I1192" s="5">
        <v>44593</v>
      </c>
      <c r="J1192" s="6">
        <v>0</v>
      </c>
      <c r="K1192" s="6">
        <v>0</v>
      </c>
      <c r="L1192" s="6">
        <v>0.51700000000000002</v>
      </c>
      <c r="M1192" s="6">
        <v>0.51700000000000002</v>
      </c>
      <c r="N1192" s="6">
        <v>0.51700000000000002</v>
      </c>
      <c r="O1192" s="6">
        <v>0.51700000000000002</v>
      </c>
      <c r="P1192" s="6">
        <v>2</v>
      </c>
      <c r="Q1192" s="4" t="s">
        <v>26</v>
      </c>
      <c r="R1192" s="4">
        <v>0</v>
      </c>
      <c r="S1192" s="4" t="s">
        <v>367</v>
      </c>
      <c r="T1192" s="4" t="s">
        <v>612</v>
      </c>
      <c r="U1192" s="4">
        <v>0</v>
      </c>
      <c r="V1192" s="4">
        <v>44</v>
      </c>
      <c r="W1192" s="4">
        <v>81</v>
      </c>
    </row>
    <row r="1193" spans="1:23" ht="11.25" customHeight="1" x14ac:dyDescent="0.25">
      <c r="A1193" s="4" t="s">
        <v>28</v>
      </c>
      <c r="B1193" s="4" t="s">
        <v>37</v>
      </c>
      <c r="C1193" s="4" t="s">
        <v>23</v>
      </c>
      <c r="D1193" s="4" t="s">
        <v>38</v>
      </c>
      <c r="E1193" s="4" t="s">
        <v>25</v>
      </c>
      <c r="F1193" s="4" t="s">
        <v>25</v>
      </c>
      <c r="G1193" s="4" t="s">
        <v>25</v>
      </c>
      <c r="H1193" s="4" t="s">
        <v>25</v>
      </c>
      <c r="I1193" s="5">
        <v>44593</v>
      </c>
      <c r="J1193" s="6">
        <v>0</v>
      </c>
      <c r="K1193" s="6">
        <v>0</v>
      </c>
      <c r="L1193" s="6">
        <v>54.731000000000002</v>
      </c>
      <c r="M1193" s="6">
        <v>54.731000000000002</v>
      </c>
      <c r="N1193" s="6">
        <v>54.731000000000002</v>
      </c>
      <c r="O1193" s="6">
        <v>54.731000000000002</v>
      </c>
      <c r="P1193" s="6">
        <v>94</v>
      </c>
      <c r="Q1193" s="4" t="s">
        <v>26</v>
      </c>
      <c r="R1193" s="4">
        <v>0</v>
      </c>
      <c r="S1193" s="4" t="s">
        <v>367</v>
      </c>
      <c r="T1193" s="4" t="s">
        <v>612</v>
      </c>
      <c r="U1193" s="4">
        <v>0</v>
      </c>
      <c r="V1193" s="4">
        <v>44</v>
      </c>
      <c r="W1193" s="4">
        <v>81</v>
      </c>
    </row>
    <row r="1194" spans="1:23" ht="11.25" customHeight="1" x14ac:dyDescent="0.25">
      <c r="A1194" s="4" t="s">
        <v>21</v>
      </c>
      <c r="B1194" s="4" t="s">
        <v>37</v>
      </c>
      <c r="C1194" s="4" t="s">
        <v>23</v>
      </c>
      <c r="D1194" s="4" t="s">
        <v>38</v>
      </c>
      <c r="E1194" s="4" t="s">
        <v>25</v>
      </c>
      <c r="F1194" s="4" t="s">
        <v>25</v>
      </c>
      <c r="G1194" s="4" t="s">
        <v>25</v>
      </c>
      <c r="H1194" s="4" t="s">
        <v>25</v>
      </c>
      <c r="I1194" s="5">
        <v>44621</v>
      </c>
      <c r="J1194" s="6">
        <v>0</v>
      </c>
      <c r="K1194" s="6">
        <v>0</v>
      </c>
      <c r="L1194" s="6">
        <v>803.125</v>
      </c>
      <c r="M1194" s="6">
        <v>803.125</v>
      </c>
      <c r="N1194" s="6">
        <v>803.125</v>
      </c>
      <c r="O1194" s="6">
        <v>803.125</v>
      </c>
      <c r="P1194" s="6">
        <v>1456</v>
      </c>
      <c r="Q1194" s="4" t="s">
        <v>26</v>
      </c>
      <c r="R1194" s="4">
        <v>0</v>
      </c>
      <c r="S1194" s="4" t="s">
        <v>368</v>
      </c>
      <c r="T1194" s="4" t="s">
        <v>613</v>
      </c>
      <c r="U1194" s="4">
        <v>0</v>
      </c>
      <c r="V1194" s="4">
        <v>44</v>
      </c>
      <c r="W1194" s="4">
        <v>81</v>
      </c>
    </row>
    <row r="1195" spans="1:23" ht="11.25" customHeight="1" x14ac:dyDescent="0.25">
      <c r="A1195" s="4" t="s">
        <v>28</v>
      </c>
      <c r="B1195" s="4" t="s">
        <v>37</v>
      </c>
      <c r="C1195" s="4" t="s">
        <v>23</v>
      </c>
      <c r="D1195" s="4" t="s">
        <v>38</v>
      </c>
      <c r="E1195" s="4" t="s">
        <v>25</v>
      </c>
      <c r="F1195" s="4" t="s">
        <v>25</v>
      </c>
      <c r="G1195" s="4" t="s">
        <v>25</v>
      </c>
      <c r="H1195" s="4" t="s">
        <v>25</v>
      </c>
      <c r="I1195" s="5">
        <v>44621</v>
      </c>
      <c r="J1195" s="6">
        <v>0</v>
      </c>
      <c r="K1195" s="6">
        <v>0</v>
      </c>
      <c r="L1195" s="6">
        <v>53.128999999999998</v>
      </c>
      <c r="M1195" s="6">
        <v>53.128999999999998</v>
      </c>
      <c r="N1195" s="6">
        <v>53.128999999999998</v>
      </c>
      <c r="O1195" s="6">
        <v>53.128999999999998</v>
      </c>
      <c r="P1195" s="6">
        <v>100</v>
      </c>
      <c r="Q1195" s="4" t="s">
        <v>26</v>
      </c>
      <c r="R1195" s="4">
        <v>0</v>
      </c>
      <c r="S1195" s="4" t="s">
        <v>368</v>
      </c>
      <c r="T1195" s="4" t="s">
        <v>613</v>
      </c>
      <c r="U1195" s="4">
        <v>0</v>
      </c>
      <c r="V1195" s="4">
        <v>44</v>
      </c>
      <c r="W1195" s="4">
        <v>81</v>
      </c>
    </row>
    <row r="1196" spans="1:23" ht="11.25" customHeight="1" x14ac:dyDescent="0.25">
      <c r="A1196" s="4" t="s">
        <v>21</v>
      </c>
      <c r="B1196" s="4" t="s">
        <v>37</v>
      </c>
      <c r="C1196" s="4" t="s">
        <v>23</v>
      </c>
      <c r="D1196" s="4" t="s">
        <v>38</v>
      </c>
      <c r="E1196" s="4" t="s">
        <v>25</v>
      </c>
      <c r="F1196" s="4" t="s">
        <v>25</v>
      </c>
      <c r="G1196" s="4" t="s">
        <v>25</v>
      </c>
      <c r="H1196" s="4" t="s">
        <v>25</v>
      </c>
      <c r="I1196" s="5">
        <v>44652</v>
      </c>
      <c r="J1196" s="6">
        <v>0</v>
      </c>
      <c r="K1196" s="6">
        <v>0</v>
      </c>
      <c r="L1196" s="6">
        <v>828.76300000000003</v>
      </c>
      <c r="M1196" s="6">
        <v>828.76300000000003</v>
      </c>
      <c r="N1196" s="6">
        <v>828.76300000000003</v>
      </c>
      <c r="O1196" s="6">
        <v>828.76300000000003</v>
      </c>
      <c r="P1196" s="6">
        <v>1471</v>
      </c>
      <c r="Q1196" s="4" t="s">
        <v>26</v>
      </c>
      <c r="R1196" s="4">
        <v>0</v>
      </c>
      <c r="S1196" s="4" t="s">
        <v>385</v>
      </c>
      <c r="T1196" s="4" t="s">
        <v>630</v>
      </c>
      <c r="U1196" s="4">
        <v>0</v>
      </c>
      <c r="V1196" s="4">
        <v>44</v>
      </c>
      <c r="W1196" s="4">
        <v>81</v>
      </c>
    </row>
    <row r="1197" spans="1:23" ht="11.25" customHeight="1" x14ac:dyDescent="0.25">
      <c r="A1197" s="4" t="s">
        <v>27</v>
      </c>
      <c r="B1197" s="4" t="s">
        <v>37</v>
      </c>
      <c r="C1197" s="4" t="s">
        <v>23</v>
      </c>
      <c r="D1197" s="4" t="s">
        <v>38</v>
      </c>
      <c r="E1197" s="4" t="s">
        <v>25</v>
      </c>
      <c r="F1197" s="4" t="s">
        <v>25</v>
      </c>
      <c r="G1197" s="4" t="s">
        <v>25</v>
      </c>
      <c r="H1197" s="4" t="s">
        <v>25</v>
      </c>
      <c r="I1197" s="5">
        <v>44652</v>
      </c>
      <c r="J1197" s="6">
        <v>0</v>
      </c>
      <c r="K1197" s="6">
        <v>0</v>
      </c>
      <c r="L1197" s="6">
        <v>7.2999999999999995E-2</v>
      </c>
      <c r="M1197" s="6">
        <v>7.2999999999999995E-2</v>
      </c>
      <c r="N1197" s="6">
        <v>7.2999999999999995E-2</v>
      </c>
      <c r="O1197" s="6">
        <v>7.2999999999999995E-2</v>
      </c>
      <c r="P1197" s="6">
        <v>1</v>
      </c>
      <c r="Q1197" s="4" t="s">
        <v>26</v>
      </c>
      <c r="R1197" s="4">
        <v>0</v>
      </c>
      <c r="S1197" s="4" t="s">
        <v>385</v>
      </c>
      <c r="T1197" s="4" t="s">
        <v>630</v>
      </c>
      <c r="U1197" s="4">
        <v>0</v>
      </c>
      <c r="V1197" s="4">
        <v>44</v>
      </c>
      <c r="W1197" s="4">
        <v>81</v>
      </c>
    </row>
    <row r="1198" spans="1:23" ht="11.25" customHeight="1" x14ac:dyDescent="0.25">
      <c r="A1198" s="4" t="s">
        <v>28</v>
      </c>
      <c r="B1198" s="4" t="s">
        <v>37</v>
      </c>
      <c r="C1198" s="4" t="s">
        <v>23</v>
      </c>
      <c r="D1198" s="4" t="s">
        <v>38</v>
      </c>
      <c r="E1198" s="4" t="s">
        <v>25</v>
      </c>
      <c r="F1198" s="4" t="s">
        <v>25</v>
      </c>
      <c r="G1198" s="4" t="s">
        <v>25</v>
      </c>
      <c r="H1198" s="4" t="s">
        <v>25</v>
      </c>
      <c r="I1198" s="5">
        <v>44652</v>
      </c>
      <c r="J1198" s="6">
        <v>0</v>
      </c>
      <c r="K1198" s="6">
        <v>0</v>
      </c>
      <c r="L1198" s="6">
        <v>72.489000000000004</v>
      </c>
      <c r="M1198" s="6">
        <v>72.489000000000004</v>
      </c>
      <c r="N1198" s="6">
        <v>72.489000000000004</v>
      </c>
      <c r="O1198" s="6">
        <v>72.489000000000004</v>
      </c>
      <c r="P1198" s="6">
        <v>110</v>
      </c>
      <c r="Q1198" s="4" t="s">
        <v>26</v>
      </c>
      <c r="R1198" s="4">
        <v>0</v>
      </c>
      <c r="S1198" s="4" t="s">
        <v>385</v>
      </c>
      <c r="T1198" s="4" t="s">
        <v>630</v>
      </c>
      <c r="U1198" s="4">
        <v>0</v>
      </c>
      <c r="V1198" s="4">
        <v>44</v>
      </c>
      <c r="W1198" s="4">
        <v>81</v>
      </c>
    </row>
    <row r="1199" spans="1:23" ht="11.25" customHeight="1" x14ac:dyDescent="0.25">
      <c r="A1199" s="4" t="s">
        <v>21</v>
      </c>
      <c r="B1199" s="4" t="s">
        <v>37</v>
      </c>
      <c r="C1199" s="4" t="s">
        <v>23</v>
      </c>
      <c r="D1199" s="4" t="s">
        <v>38</v>
      </c>
      <c r="E1199" s="4" t="s">
        <v>25</v>
      </c>
      <c r="F1199" s="4" t="s">
        <v>25</v>
      </c>
      <c r="G1199" s="4" t="s">
        <v>25</v>
      </c>
      <c r="H1199" s="4" t="s">
        <v>25</v>
      </c>
      <c r="I1199" s="5">
        <v>44682</v>
      </c>
      <c r="J1199" s="6">
        <v>0</v>
      </c>
      <c r="K1199" s="6">
        <v>0</v>
      </c>
      <c r="L1199" s="6">
        <v>742.68299999999999</v>
      </c>
      <c r="M1199" s="6">
        <v>742.68299999999999</v>
      </c>
      <c r="N1199" s="6">
        <v>742.68299999999999</v>
      </c>
      <c r="O1199" s="6">
        <v>742.68299999999999</v>
      </c>
      <c r="P1199" s="6">
        <v>1473</v>
      </c>
      <c r="Q1199" s="4" t="s">
        <v>26</v>
      </c>
      <c r="R1199" s="4">
        <v>0</v>
      </c>
      <c r="S1199" s="4" t="s">
        <v>369</v>
      </c>
      <c r="T1199" s="4" t="s">
        <v>614</v>
      </c>
      <c r="U1199" s="4">
        <v>0</v>
      </c>
      <c r="V1199" s="4">
        <v>44</v>
      </c>
      <c r="W1199" s="4">
        <v>81</v>
      </c>
    </row>
    <row r="1200" spans="1:23" ht="11.25" customHeight="1" x14ac:dyDescent="0.25">
      <c r="A1200" s="4" t="s">
        <v>27</v>
      </c>
      <c r="B1200" s="4" t="s">
        <v>37</v>
      </c>
      <c r="C1200" s="4" t="s">
        <v>23</v>
      </c>
      <c r="D1200" s="4" t="s">
        <v>38</v>
      </c>
      <c r="E1200" s="4" t="s">
        <v>25</v>
      </c>
      <c r="F1200" s="4" t="s">
        <v>25</v>
      </c>
      <c r="G1200" s="4" t="s">
        <v>25</v>
      </c>
      <c r="H1200" s="4" t="s">
        <v>25</v>
      </c>
      <c r="I1200" s="5">
        <v>44682</v>
      </c>
      <c r="J1200" s="6">
        <v>0</v>
      </c>
      <c r="K1200" s="6">
        <v>0</v>
      </c>
      <c r="L1200" s="6">
        <v>2.544</v>
      </c>
      <c r="M1200" s="6">
        <v>2.544</v>
      </c>
      <c r="N1200" s="6">
        <v>2.544</v>
      </c>
      <c r="O1200" s="6">
        <v>2.544</v>
      </c>
      <c r="P1200" s="6">
        <v>4</v>
      </c>
      <c r="Q1200" s="4" t="s">
        <v>26</v>
      </c>
      <c r="R1200" s="4">
        <v>0</v>
      </c>
      <c r="S1200" s="4" t="s">
        <v>369</v>
      </c>
      <c r="T1200" s="4" t="s">
        <v>614</v>
      </c>
      <c r="U1200" s="4">
        <v>0</v>
      </c>
      <c r="V1200" s="4">
        <v>44</v>
      </c>
      <c r="W1200" s="4">
        <v>81</v>
      </c>
    </row>
    <row r="1201" spans="1:23" ht="11.25" customHeight="1" x14ac:dyDescent="0.25">
      <c r="A1201" s="4" t="s">
        <v>28</v>
      </c>
      <c r="B1201" s="4" t="s">
        <v>37</v>
      </c>
      <c r="C1201" s="4" t="s">
        <v>23</v>
      </c>
      <c r="D1201" s="4" t="s">
        <v>38</v>
      </c>
      <c r="E1201" s="4" t="s">
        <v>25</v>
      </c>
      <c r="F1201" s="4" t="s">
        <v>25</v>
      </c>
      <c r="G1201" s="4" t="s">
        <v>25</v>
      </c>
      <c r="H1201" s="4" t="s">
        <v>25</v>
      </c>
      <c r="I1201" s="5">
        <v>44682</v>
      </c>
      <c r="J1201" s="6">
        <v>0</v>
      </c>
      <c r="K1201" s="6">
        <v>0</v>
      </c>
      <c r="L1201" s="6">
        <v>72.144999999999996</v>
      </c>
      <c r="M1201" s="6">
        <v>72.144999999999996</v>
      </c>
      <c r="N1201" s="6">
        <v>72.144999999999996</v>
      </c>
      <c r="O1201" s="6">
        <v>72.144999999999996</v>
      </c>
      <c r="P1201" s="6">
        <v>123</v>
      </c>
      <c r="Q1201" s="4" t="s">
        <v>26</v>
      </c>
      <c r="R1201" s="4">
        <v>0</v>
      </c>
      <c r="S1201" s="4" t="s">
        <v>369</v>
      </c>
      <c r="T1201" s="4" t="s">
        <v>614</v>
      </c>
      <c r="U1201" s="4">
        <v>0</v>
      </c>
      <c r="V1201" s="4">
        <v>44</v>
      </c>
      <c r="W1201" s="4">
        <v>81</v>
      </c>
    </row>
    <row r="1202" spans="1:23" ht="11.25" customHeight="1" x14ac:dyDescent="0.25">
      <c r="A1202" s="4" t="s">
        <v>21</v>
      </c>
      <c r="B1202" s="4" t="s">
        <v>37</v>
      </c>
      <c r="C1202" s="4" t="s">
        <v>23</v>
      </c>
      <c r="D1202" s="4" t="s">
        <v>38</v>
      </c>
      <c r="E1202" s="4" t="s">
        <v>25</v>
      </c>
      <c r="F1202" s="4" t="s">
        <v>25</v>
      </c>
      <c r="G1202" s="4" t="s">
        <v>25</v>
      </c>
      <c r="H1202" s="4" t="s">
        <v>25</v>
      </c>
      <c r="I1202" s="5">
        <v>44713</v>
      </c>
      <c r="J1202" s="6">
        <v>0</v>
      </c>
      <c r="K1202" s="6">
        <v>0</v>
      </c>
      <c r="L1202" s="6">
        <v>699.21600000000001</v>
      </c>
      <c r="M1202" s="6">
        <v>699.21600000000001</v>
      </c>
      <c r="N1202" s="6">
        <v>699.21600000000001</v>
      </c>
      <c r="O1202" s="6">
        <v>699.21600000000001</v>
      </c>
      <c r="P1202" s="6">
        <v>1479</v>
      </c>
      <c r="Q1202" s="4" t="s">
        <v>26</v>
      </c>
      <c r="R1202" s="4">
        <v>0</v>
      </c>
      <c r="S1202" s="4" t="s">
        <v>370</v>
      </c>
      <c r="T1202" s="4" t="s">
        <v>615</v>
      </c>
      <c r="U1202" s="4">
        <v>0</v>
      </c>
      <c r="V1202" s="4">
        <v>44</v>
      </c>
      <c r="W1202" s="4">
        <v>81</v>
      </c>
    </row>
    <row r="1203" spans="1:23" ht="11.25" customHeight="1" x14ac:dyDescent="0.25">
      <c r="A1203" s="4" t="s">
        <v>27</v>
      </c>
      <c r="B1203" s="4" t="s">
        <v>37</v>
      </c>
      <c r="C1203" s="4" t="s">
        <v>23</v>
      </c>
      <c r="D1203" s="4" t="s">
        <v>38</v>
      </c>
      <c r="E1203" s="4" t="s">
        <v>25</v>
      </c>
      <c r="F1203" s="4" t="s">
        <v>25</v>
      </c>
      <c r="G1203" s="4" t="s">
        <v>25</v>
      </c>
      <c r="H1203" s="4" t="s">
        <v>25</v>
      </c>
      <c r="I1203" s="5">
        <v>44713</v>
      </c>
      <c r="J1203" s="6">
        <v>0</v>
      </c>
      <c r="K1203" s="6">
        <v>0</v>
      </c>
      <c r="L1203" s="6">
        <v>0.2</v>
      </c>
      <c r="M1203" s="6">
        <v>0.2</v>
      </c>
      <c r="N1203" s="6">
        <v>0.2</v>
      </c>
      <c r="O1203" s="6">
        <v>0.2</v>
      </c>
      <c r="P1203" s="6">
        <v>2</v>
      </c>
      <c r="Q1203" s="4" t="s">
        <v>26</v>
      </c>
      <c r="R1203" s="4">
        <v>0</v>
      </c>
      <c r="S1203" s="4" t="s">
        <v>370</v>
      </c>
      <c r="T1203" s="4" t="s">
        <v>615</v>
      </c>
      <c r="U1203" s="4">
        <v>0</v>
      </c>
      <c r="V1203" s="4">
        <v>44</v>
      </c>
      <c r="W1203" s="4">
        <v>81</v>
      </c>
    </row>
    <row r="1204" spans="1:23" ht="11.25" customHeight="1" x14ac:dyDescent="0.25">
      <c r="A1204" s="4" t="s">
        <v>28</v>
      </c>
      <c r="B1204" s="4" t="s">
        <v>37</v>
      </c>
      <c r="C1204" s="4" t="s">
        <v>23</v>
      </c>
      <c r="D1204" s="4" t="s">
        <v>38</v>
      </c>
      <c r="E1204" s="4" t="s">
        <v>25</v>
      </c>
      <c r="F1204" s="4" t="s">
        <v>25</v>
      </c>
      <c r="G1204" s="4" t="s">
        <v>25</v>
      </c>
      <c r="H1204" s="4" t="s">
        <v>25</v>
      </c>
      <c r="I1204" s="5">
        <v>44713</v>
      </c>
      <c r="J1204" s="6">
        <v>0</v>
      </c>
      <c r="K1204" s="6">
        <v>0</v>
      </c>
      <c r="L1204" s="6">
        <v>73.763999999999996</v>
      </c>
      <c r="M1204" s="6">
        <v>73.763999999999996</v>
      </c>
      <c r="N1204" s="6">
        <v>73.763999999999996</v>
      </c>
      <c r="O1204" s="6">
        <v>73.763999999999996</v>
      </c>
      <c r="P1204" s="6">
        <v>139</v>
      </c>
      <c r="Q1204" s="4" t="s">
        <v>26</v>
      </c>
      <c r="R1204" s="4">
        <v>0</v>
      </c>
      <c r="S1204" s="4" t="s">
        <v>370</v>
      </c>
      <c r="T1204" s="4" t="s">
        <v>615</v>
      </c>
      <c r="U1204" s="4">
        <v>0</v>
      </c>
      <c r="V1204" s="4">
        <v>44</v>
      </c>
      <c r="W1204" s="4">
        <v>81</v>
      </c>
    </row>
    <row r="1205" spans="1:23" ht="11.25" customHeight="1" x14ac:dyDescent="0.25">
      <c r="A1205" s="4" t="s">
        <v>21</v>
      </c>
      <c r="B1205" s="4" t="s">
        <v>37</v>
      </c>
      <c r="C1205" s="4" t="s">
        <v>23</v>
      </c>
      <c r="D1205" s="4" t="s">
        <v>38</v>
      </c>
      <c r="E1205" s="4" t="s">
        <v>25</v>
      </c>
      <c r="F1205" s="4" t="s">
        <v>25</v>
      </c>
      <c r="G1205" s="4" t="s">
        <v>25</v>
      </c>
      <c r="H1205" s="4" t="s">
        <v>25</v>
      </c>
      <c r="I1205" s="5">
        <v>44743</v>
      </c>
      <c r="J1205" s="6">
        <v>0</v>
      </c>
      <c r="K1205" s="6">
        <v>0</v>
      </c>
      <c r="L1205" s="6">
        <v>653.83799999999997</v>
      </c>
      <c r="M1205" s="6">
        <v>653.83799999999997</v>
      </c>
      <c r="N1205" s="6">
        <v>653.83799999999997</v>
      </c>
      <c r="O1205" s="6">
        <v>653.83799999999997</v>
      </c>
      <c r="P1205" s="6">
        <v>1486</v>
      </c>
      <c r="Q1205" s="4" t="s">
        <v>26</v>
      </c>
      <c r="R1205" s="4">
        <v>0</v>
      </c>
      <c r="S1205" s="4" t="s">
        <v>371</v>
      </c>
      <c r="T1205" s="4" t="s">
        <v>616</v>
      </c>
      <c r="U1205" s="4">
        <v>0</v>
      </c>
      <c r="V1205" s="4">
        <v>44</v>
      </c>
      <c r="W1205" s="4">
        <v>81</v>
      </c>
    </row>
    <row r="1206" spans="1:23" ht="11.25" customHeight="1" x14ac:dyDescent="0.25">
      <c r="A1206" s="4" t="s">
        <v>27</v>
      </c>
      <c r="B1206" s="4" t="s">
        <v>37</v>
      </c>
      <c r="C1206" s="4" t="s">
        <v>23</v>
      </c>
      <c r="D1206" s="4" t="s">
        <v>38</v>
      </c>
      <c r="E1206" s="4" t="s">
        <v>25</v>
      </c>
      <c r="F1206" s="4" t="s">
        <v>25</v>
      </c>
      <c r="G1206" s="4" t="s">
        <v>25</v>
      </c>
      <c r="H1206" s="4" t="s">
        <v>25</v>
      </c>
      <c r="I1206" s="5">
        <v>44743</v>
      </c>
      <c r="J1206" s="6">
        <v>0</v>
      </c>
      <c r="K1206" s="6">
        <v>0</v>
      </c>
      <c r="L1206" s="6">
        <v>5.0030000000000001</v>
      </c>
      <c r="M1206" s="6">
        <v>5.0030000000000001</v>
      </c>
      <c r="N1206" s="6">
        <v>5.0030000000000001</v>
      </c>
      <c r="O1206" s="6">
        <v>5.0030000000000001</v>
      </c>
      <c r="P1206" s="6">
        <v>1</v>
      </c>
      <c r="Q1206" s="4" t="s">
        <v>26</v>
      </c>
      <c r="R1206" s="4">
        <v>0</v>
      </c>
      <c r="S1206" s="4" t="s">
        <v>371</v>
      </c>
      <c r="T1206" s="4" t="s">
        <v>616</v>
      </c>
      <c r="U1206" s="4">
        <v>0</v>
      </c>
      <c r="V1206" s="4">
        <v>44</v>
      </c>
      <c r="W1206" s="4">
        <v>81</v>
      </c>
    </row>
    <row r="1207" spans="1:23" ht="11.25" customHeight="1" x14ac:dyDescent="0.25">
      <c r="A1207" s="4" t="s">
        <v>28</v>
      </c>
      <c r="B1207" s="4" t="s">
        <v>37</v>
      </c>
      <c r="C1207" s="4" t="s">
        <v>23</v>
      </c>
      <c r="D1207" s="4" t="s">
        <v>38</v>
      </c>
      <c r="E1207" s="4" t="s">
        <v>25</v>
      </c>
      <c r="F1207" s="4" t="s">
        <v>25</v>
      </c>
      <c r="G1207" s="4" t="s">
        <v>25</v>
      </c>
      <c r="H1207" s="4" t="s">
        <v>25</v>
      </c>
      <c r="I1207" s="5">
        <v>44743</v>
      </c>
      <c r="J1207" s="6">
        <v>0</v>
      </c>
      <c r="K1207" s="6">
        <v>0</v>
      </c>
      <c r="L1207" s="6">
        <v>79.153000000000006</v>
      </c>
      <c r="M1207" s="6">
        <v>79.153000000000006</v>
      </c>
      <c r="N1207" s="6">
        <v>79.153000000000006</v>
      </c>
      <c r="O1207" s="6">
        <v>79.153000000000006</v>
      </c>
      <c r="P1207" s="6">
        <v>141</v>
      </c>
      <c r="Q1207" s="4" t="s">
        <v>26</v>
      </c>
      <c r="R1207" s="4">
        <v>0</v>
      </c>
      <c r="S1207" s="4" t="s">
        <v>371</v>
      </c>
      <c r="T1207" s="4" t="s">
        <v>616</v>
      </c>
      <c r="U1207" s="4">
        <v>0</v>
      </c>
      <c r="V1207" s="4">
        <v>44</v>
      </c>
      <c r="W1207" s="4">
        <v>81</v>
      </c>
    </row>
    <row r="1208" spans="1:23" ht="11.25" customHeight="1" x14ac:dyDescent="0.25">
      <c r="A1208" s="4" t="s">
        <v>56</v>
      </c>
      <c r="B1208" s="4" t="s">
        <v>37</v>
      </c>
      <c r="C1208" s="4" t="s">
        <v>23</v>
      </c>
      <c r="D1208" s="4" t="s">
        <v>38</v>
      </c>
      <c r="E1208" s="4" t="s">
        <v>25</v>
      </c>
      <c r="F1208" s="4" t="s">
        <v>25</v>
      </c>
      <c r="G1208" s="4" t="s">
        <v>25</v>
      </c>
      <c r="H1208" s="4" t="s">
        <v>25</v>
      </c>
      <c r="I1208" s="5">
        <v>44774</v>
      </c>
      <c r="J1208" s="6">
        <v>0</v>
      </c>
      <c r="K1208" s="6">
        <v>0</v>
      </c>
      <c r="L1208" s="6">
        <v>653.83799999999997</v>
      </c>
      <c r="M1208" s="6">
        <v>653.83799999999997</v>
      </c>
      <c r="N1208" s="6">
        <v>653.83799999999997</v>
      </c>
      <c r="O1208" s="6">
        <v>653.83799999999997</v>
      </c>
      <c r="P1208" s="6">
        <v>1486</v>
      </c>
      <c r="Q1208" s="4" t="s">
        <v>26</v>
      </c>
      <c r="R1208" s="4">
        <v>0</v>
      </c>
      <c r="S1208" s="4" t="s">
        <v>372</v>
      </c>
      <c r="T1208" s="4" t="s">
        <v>617</v>
      </c>
      <c r="U1208" s="4">
        <v>0</v>
      </c>
      <c r="V1208" s="4">
        <v>44</v>
      </c>
      <c r="W1208" s="4">
        <v>81</v>
      </c>
    </row>
    <row r="1209" spans="1:23" ht="11.25" customHeight="1" x14ac:dyDescent="0.25">
      <c r="A1209" s="4" t="s">
        <v>56</v>
      </c>
      <c r="B1209" s="4" t="s">
        <v>37</v>
      </c>
      <c r="C1209" s="4" t="s">
        <v>23</v>
      </c>
      <c r="D1209" s="4" t="s">
        <v>38</v>
      </c>
      <c r="E1209" s="4" t="s">
        <v>25</v>
      </c>
      <c r="F1209" s="4" t="s">
        <v>25</v>
      </c>
      <c r="G1209" s="4" t="s">
        <v>25</v>
      </c>
      <c r="H1209" s="4" t="s">
        <v>25</v>
      </c>
      <c r="I1209" s="5">
        <v>44774</v>
      </c>
      <c r="J1209" s="6">
        <v>0</v>
      </c>
      <c r="K1209" s="6">
        <v>0</v>
      </c>
      <c r="L1209" s="6">
        <v>5.0030000000000001</v>
      </c>
      <c r="M1209" s="6">
        <v>5.0030000000000001</v>
      </c>
      <c r="N1209" s="6">
        <v>5.0030000000000001</v>
      </c>
      <c r="O1209" s="6">
        <v>5.0030000000000001</v>
      </c>
      <c r="P1209" s="6">
        <v>1</v>
      </c>
      <c r="Q1209" s="4" t="s">
        <v>26</v>
      </c>
      <c r="R1209" s="4">
        <v>0</v>
      </c>
      <c r="S1209" s="4" t="s">
        <v>372</v>
      </c>
      <c r="T1209" s="4" t="s">
        <v>617</v>
      </c>
      <c r="U1209" s="4">
        <v>0</v>
      </c>
      <c r="V1209" s="4">
        <v>44</v>
      </c>
      <c r="W1209" s="4">
        <v>81</v>
      </c>
    </row>
    <row r="1210" spans="1:23" ht="11.25" customHeight="1" x14ac:dyDescent="0.25">
      <c r="A1210" s="4" t="s">
        <v>56</v>
      </c>
      <c r="B1210" s="4" t="s">
        <v>37</v>
      </c>
      <c r="C1210" s="4" t="s">
        <v>23</v>
      </c>
      <c r="D1210" s="4" t="s">
        <v>38</v>
      </c>
      <c r="E1210" s="4" t="s">
        <v>25</v>
      </c>
      <c r="F1210" s="4" t="s">
        <v>25</v>
      </c>
      <c r="G1210" s="4" t="s">
        <v>25</v>
      </c>
      <c r="H1210" s="4" t="s">
        <v>25</v>
      </c>
      <c r="I1210" s="5">
        <v>44774</v>
      </c>
      <c r="J1210" s="6">
        <v>0</v>
      </c>
      <c r="K1210" s="6">
        <v>0</v>
      </c>
      <c r="L1210" s="6">
        <v>79.153000000000006</v>
      </c>
      <c r="M1210" s="6">
        <v>79.153000000000006</v>
      </c>
      <c r="N1210" s="6">
        <v>79.153000000000006</v>
      </c>
      <c r="O1210" s="6">
        <v>79.153000000000006</v>
      </c>
      <c r="P1210" s="6">
        <v>141</v>
      </c>
      <c r="Q1210" s="4" t="s">
        <v>26</v>
      </c>
      <c r="R1210" s="4">
        <v>0</v>
      </c>
      <c r="S1210" s="4" t="s">
        <v>372</v>
      </c>
      <c r="T1210" s="4" t="s">
        <v>617</v>
      </c>
      <c r="U1210" s="4">
        <v>0</v>
      </c>
      <c r="V1210" s="4">
        <v>44</v>
      </c>
      <c r="W1210" s="4">
        <v>81</v>
      </c>
    </row>
    <row r="1211" spans="1:23" ht="11.25" customHeight="1" x14ac:dyDescent="0.25">
      <c r="A1211" s="4" t="s">
        <v>21</v>
      </c>
      <c r="B1211" s="4" t="s">
        <v>37</v>
      </c>
      <c r="C1211" s="4" t="s">
        <v>23</v>
      </c>
      <c r="D1211" s="4" t="s">
        <v>45</v>
      </c>
      <c r="E1211" s="4" t="s">
        <v>25</v>
      </c>
      <c r="F1211" s="4" t="s">
        <v>25</v>
      </c>
      <c r="G1211" s="4" t="s">
        <v>25</v>
      </c>
      <c r="H1211" s="4" t="s">
        <v>25</v>
      </c>
      <c r="I1211" s="5">
        <v>44440</v>
      </c>
      <c r="J1211" s="6">
        <v>0</v>
      </c>
      <c r="K1211" s="6">
        <v>0</v>
      </c>
      <c r="L1211" s="6">
        <v>798.976</v>
      </c>
      <c r="M1211" s="6">
        <v>798.976</v>
      </c>
      <c r="N1211" s="6">
        <v>798.976</v>
      </c>
      <c r="O1211" s="6">
        <v>798.976</v>
      </c>
      <c r="P1211" s="6">
        <v>989</v>
      </c>
      <c r="Q1211" s="4" t="s">
        <v>26</v>
      </c>
      <c r="R1211" s="4">
        <v>0</v>
      </c>
      <c r="S1211" s="4" t="s">
        <v>362</v>
      </c>
      <c r="T1211" s="4" t="s">
        <v>607</v>
      </c>
      <c r="U1211" s="4">
        <v>0</v>
      </c>
      <c r="V1211" s="4">
        <v>44</v>
      </c>
      <c r="W1211" s="4">
        <v>81</v>
      </c>
    </row>
    <row r="1212" spans="1:23" ht="11.25" customHeight="1" x14ac:dyDescent="0.25">
      <c r="A1212" s="4" t="s">
        <v>21</v>
      </c>
      <c r="B1212" s="4" t="s">
        <v>37</v>
      </c>
      <c r="C1212" s="4" t="s">
        <v>23</v>
      </c>
      <c r="D1212" s="4" t="s">
        <v>45</v>
      </c>
      <c r="E1212" s="4" t="s">
        <v>25</v>
      </c>
      <c r="F1212" s="4" t="s">
        <v>25</v>
      </c>
      <c r="G1212" s="4" t="s">
        <v>25</v>
      </c>
      <c r="H1212" s="4" t="s">
        <v>25</v>
      </c>
      <c r="I1212" s="5">
        <v>44470</v>
      </c>
      <c r="J1212" s="6">
        <v>0</v>
      </c>
      <c r="K1212" s="6">
        <v>0</v>
      </c>
      <c r="L1212" s="6">
        <v>906.45600000000002</v>
      </c>
      <c r="M1212" s="6">
        <v>906.45600000000002</v>
      </c>
      <c r="N1212" s="6">
        <v>906.45600000000002</v>
      </c>
      <c r="O1212" s="6">
        <v>906.45600000000002</v>
      </c>
      <c r="P1212" s="6">
        <v>989</v>
      </c>
      <c r="Q1212" s="4" t="s">
        <v>26</v>
      </c>
      <c r="R1212" s="4">
        <v>0</v>
      </c>
      <c r="S1212" s="4" t="s">
        <v>363</v>
      </c>
      <c r="T1212" s="4" t="s">
        <v>608</v>
      </c>
      <c r="U1212" s="4">
        <v>0</v>
      </c>
      <c r="V1212" s="4">
        <v>44</v>
      </c>
      <c r="W1212" s="4">
        <v>81</v>
      </c>
    </row>
    <row r="1213" spans="1:23" ht="11.25" customHeight="1" x14ac:dyDescent="0.25">
      <c r="A1213" s="4" t="s">
        <v>21</v>
      </c>
      <c r="B1213" s="4" t="s">
        <v>37</v>
      </c>
      <c r="C1213" s="4" t="s">
        <v>23</v>
      </c>
      <c r="D1213" s="4" t="s">
        <v>45</v>
      </c>
      <c r="E1213" s="4" t="s">
        <v>25</v>
      </c>
      <c r="F1213" s="4" t="s">
        <v>25</v>
      </c>
      <c r="G1213" s="4" t="s">
        <v>25</v>
      </c>
      <c r="H1213" s="4" t="s">
        <v>25</v>
      </c>
      <c r="I1213" s="5">
        <v>44501</v>
      </c>
      <c r="J1213" s="6">
        <v>0</v>
      </c>
      <c r="K1213" s="6">
        <v>0</v>
      </c>
      <c r="L1213" s="6">
        <v>866.60699999999997</v>
      </c>
      <c r="M1213" s="6">
        <v>866.60699999999997</v>
      </c>
      <c r="N1213" s="6">
        <v>866.60699999999997</v>
      </c>
      <c r="O1213" s="6">
        <v>866.60699999999997</v>
      </c>
      <c r="P1213" s="6">
        <v>989</v>
      </c>
      <c r="Q1213" s="4" t="s">
        <v>26</v>
      </c>
      <c r="R1213" s="4">
        <v>0</v>
      </c>
      <c r="S1213" s="4" t="s">
        <v>364</v>
      </c>
      <c r="T1213" s="4" t="s">
        <v>609</v>
      </c>
      <c r="U1213" s="4">
        <v>0</v>
      </c>
      <c r="V1213" s="4">
        <v>44</v>
      </c>
      <c r="W1213" s="4">
        <v>81</v>
      </c>
    </row>
    <row r="1214" spans="1:23" ht="11.25" customHeight="1" x14ac:dyDescent="0.25">
      <c r="A1214" s="4" t="s">
        <v>21</v>
      </c>
      <c r="B1214" s="4" t="s">
        <v>37</v>
      </c>
      <c r="C1214" s="4" t="s">
        <v>23</v>
      </c>
      <c r="D1214" s="4" t="s">
        <v>45</v>
      </c>
      <c r="E1214" s="4" t="s">
        <v>25</v>
      </c>
      <c r="F1214" s="4" t="s">
        <v>25</v>
      </c>
      <c r="G1214" s="4" t="s">
        <v>25</v>
      </c>
      <c r="H1214" s="4" t="s">
        <v>25</v>
      </c>
      <c r="I1214" s="5">
        <v>44531</v>
      </c>
      <c r="J1214" s="6">
        <v>0</v>
      </c>
      <c r="K1214" s="6">
        <v>0</v>
      </c>
      <c r="L1214" s="6">
        <v>944.62</v>
      </c>
      <c r="M1214" s="6">
        <v>944.62</v>
      </c>
      <c r="N1214" s="6">
        <v>944.62</v>
      </c>
      <c r="O1214" s="6">
        <v>944.62</v>
      </c>
      <c r="P1214" s="6">
        <v>964</v>
      </c>
      <c r="Q1214" s="4" t="s">
        <v>26</v>
      </c>
      <c r="R1214" s="4">
        <v>0</v>
      </c>
      <c r="S1214" s="4" t="s">
        <v>365</v>
      </c>
      <c r="T1214" s="4" t="s">
        <v>610</v>
      </c>
      <c r="U1214" s="4">
        <v>0</v>
      </c>
      <c r="V1214" s="4">
        <v>44</v>
      </c>
      <c r="W1214" s="4">
        <v>81</v>
      </c>
    </row>
    <row r="1215" spans="1:23" ht="11.25" customHeight="1" x14ac:dyDescent="0.25">
      <c r="A1215" s="4" t="s">
        <v>21</v>
      </c>
      <c r="B1215" s="4" t="s">
        <v>37</v>
      </c>
      <c r="C1215" s="4" t="s">
        <v>23</v>
      </c>
      <c r="D1215" s="4" t="s">
        <v>45</v>
      </c>
      <c r="E1215" s="4" t="s">
        <v>25</v>
      </c>
      <c r="F1215" s="4" t="s">
        <v>25</v>
      </c>
      <c r="G1215" s="4" t="s">
        <v>25</v>
      </c>
      <c r="H1215" s="4" t="s">
        <v>25</v>
      </c>
      <c r="I1215" s="5">
        <v>44562</v>
      </c>
      <c r="J1215" s="6">
        <v>0</v>
      </c>
      <c r="K1215" s="6">
        <v>0</v>
      </c>
      <c r="L1215" s="6">
        <v>799.40200000000004</v>
      </c>
      <c r="M1215" s="6">
        <v>799.40200000000004</v>
      </c>
      <c r="N1215" s="6">
        <v>799.40200000000004</v>
      </c>
      <c r="O1215" s="6">
        <v>799.40200000000004</v>
      </c>
      <c r="P1215" s="6">
        <v>962</v>
      </c>
      <c r="Q1215" s="4" t="s">
        <v>26</v>
      </c>
      <c r="R1215" s="4">
        <v>0</v>
      </c>
      <c r="S1215" s="4" t="s">
        <v>366</v>
      </c>
      <c r="T1215" s="4" t="s">
        <v>611</v>
      </c>
      <c r="U1215" s="4">
        <v>0</v>
      </c>
      <c r="V1215" s="4">
        <v>44</v>
      </c>
      <c r="W1215" s="4">
        <v>81</v>
      </c>
    </row>
    <row r="1216" spans="1:23" ht="11.25" customHeight="1" x14ac:dyDescent="0.25">
      <c r="A1216" s="4" t="s">
        <v>21</v>
      </c>
      <c r="B1216" s="4" t="s">
        <v>37</v>
      </c>
      <c r="C1216" s="4" t="s">
        <v>23</v>
      </c>
      <c r="D1216" s="4" t="s">
        <v>45</v>
      </c>
      <c r="E1216" s="4" t="s">
        <v>25</v>
      </c>
      <c r="F1216" s="4" t="s">
        <v>25</v>
      </c>
      <c r="G1216" s="4" t="s">
        <v>25</v>
      </c>
      <c r="H1216" s="4" t="s">
        <v>25</v>
      </c>
      <c r="I1216" s="5">
        <v>44593</v>
      </c>
      <c r="J1216" s="6">
        <v>0</v>
      </c>
      <c r="K1216" s="6">
        <v>0</v>
      </c>
      <c r="L1216" s="6">
        <v>999.95500000000004</v>
      </c>
      <c r="M1216" s="6">
        <v>999.95500000000004</v>
      </c>
      <c r="N1216" s="6">
        <v>999.95500000000004</v>
      </c>
      <c r="O1216" s="6">
        <v>999.95500000000004</v>
      </c>
      <c r="P1216" s="6">
        <v>962</v>
      </c>
      <c r="Q1216" s="4" t="s">
        <v>26</v>
      </c>
      <c r="R1216" s="4">
        <v>0</v>
      </c>
      <c r="S1216" s="4" t="s">
        <v>367</v>
      </c>
      <c r="T1216" s="4" t="s">
        <v>612</v>
      </c>
      <c r="U1216" s="4">
        <v>0</v>
      </c>
      <c r="V1216" s="4">
        <v>44</v>
      </c>
      <c r="W1216" s="4">
        <v>81</v>
      </c>
    </row>
    <row r="1217" spans="1:23" ht="11.25" customHeight="1" x14ac:dyDescent="0.25">
      <c r="A1217" s="4" t="s">
        <v>21</v>
      </c>
      <c r="B1217" s="4" t="s">
        <v>37</v>
      </c>
      <c r="C1217" s="4" t="s">
        <v>23</v>
      </c>
      <c r="D1217" s="4" t="s">
        <v>45</v>
      </c>
      <c r="E1217" s="4" t="s">
        <v>25</v>
      </c>
      <c r="F1217" s="4" t="s">
        <v>25</v>
      </c>
      <c r="G1217" s="4" t="s">
        <v>25</v>
      </c>
      <c r="H1217" s="4" t="s">
        <v>25</v>
      </c>
      <c r="I1217" s="5">
        <v>44621</v>
      </c>
      <c r="J1217" s="6">
        <v>0</v>
      </c>
      <c r="K1217" s="6">
        <v>0</v>
      </c>
      <c r="L1217" s="6">
        <v>1139.653</v>
      </c>
      <c r="M1217" s="6">
        <v>1139.653</v>
      </c>
      <c r="N1217" s="6">
        <v>1139.653</v>
      </c>
      <c r="O1217" s="6">
        <v>1139.653</v>
      </c>
      <c r="P1217" s="6">
        <v>965</v>
      </c>
      <c r="Q1217" s="4" t="s">
        <v>26</v>
      </c>
      <c r="R1217" s="4">
        <v>0</v>
      </c>
      <c r="S1217" s="4" t="s">
        <v>368</v>
      </c>
      <c r="T1217" s="4" t="s">
        <v>613</v>
      </c>
      <c r="U1217" s="4">
        <v>0</v>
      </c>
      <c r="V1217" s="4">
        <v>44</v>
      </c>
      <c r="W1217" s="4">
        <v>81</v>
      </c>
    </row>
    <row r="1218" spans="1:23" ht="11.25" customHeight="1" x14ac:dyDescent="0.25">
      <c r="A1218" s="4" t="s">
        <v>27</v>
      </c>
      <c r="B1218" s="4" t="s">
        <v>37</v>
      </c>
      <c r="C1218" s="4" t="s">
        <v>23</v>
      </c>
      <c r="D1218" s="4" t="s">
        <v>45</v>
      </c>
      <c r="E1218" s="4" t="s">
        <v>25</v>
      </c>
      <c r="F1218" s="4" t="s">
        <v>25</v>
      </c>
      <c r="G1218" s="4" t="s">
        <v>25</v>
      </c>
      <c r="H1218" s="4" t="s">
        <v>25</v>
      </c>
      <c r="I1218" s="5">
        <v>44621</v>
      </c>
      <c r="J1218" s="6">
        <v>0</v>
      </c>
      <c r="K1218" s="6">
        <v>0</v>
      </c>
      <c r="L1218" s="6">
        <v>0.53</v>
      </c>
      <c r="M1218" s="6">
        <v>0.53</v>
      </c>
      <c r="N1218" s="6">
        <v>0.53</v>
      </c>
      <c r="O1218" s="6">
        <v>0.53</v>
      </c>
      <c r="P1218" s="6">
        <v>1</v>
      </c>
      <c r="Q1218" s="4" t="s">
        <v>26</v>
      </c>
      <c r="R1218" s="4">
        <v>0</v>
      </c>
      <c r="S1218" s="4" t="s">
        <v>368</v>
      </c>
      <c r="T1218" s="4" t="s">
        <v>613</v>
      </c>
      <c r="U1218" s="4">
        <v>0</v>
      </c>
      <c r="V1218" s="4">
        <v>44</v>
      </c>
      <c r="W1218" s="4">
        <v>81</v>
      </c>
    </row>
    <row r="1219" spans="1:23" ht="11.25" customHeight="1" x14ac:dyDescent="0.25">
      <c r="A1219" s="4" t="s">
        <v>28</v>
      </c>
      <c r="B1219" s="4" t="s">
        <v>37</v>
      </c>
      <c r="C1219" s="4" t="s">
        <v>23</v>
      </c>
      <c r="D1219" s="4" t="s">
        <v>45</v>
      </c>
      <c r="E1219" s="4" t="s">
        <v>25</v>
      </c>
      <c r="F1219" s="4" t="s">
        <v>25</v>
      </c>
      <c r="G1219" s="4" t="s">
        <v>25</v>
      </c>
      <c r="H1219" s="4" t="s">
        <v>25</v>
      </c>
      <c r="I1219" s="5">
        <v>44621</v>
      </c>
      <c r="J1219" s="6">
        <v>0</v>
      </c>
      <c r="K1219" s="6">
        <v>0</v>
      </c>
      <c r="L1219" s="6">
        <v>1.29</v>
      </c>
      <c r="M1219" s="6">
        <v>1.29</v>
      </c>
      <c r="N1219" s="6">
        <v>1.29</v>
      </c>
      <c r="O1219" s="6">
        <v>1.29</v>
      </c>
      <c r="P1219" s="6">
        <v>1</v>
      </c>
      <c r="Q1219" s="4" t="s">
        <v>26</v>
      </c>
      <c r="R1219" s="4">
        <v>0</v>
      </c>
      <c r="S1219" s="4" t="s">
        <v>368</v>
      </c>
      <c r="T1219" s="4" t="s">
        <v>613</v>
      </c>
      <c r="U1219" s="4">
        <v>0</v>
      </c>
      <c r="V1219" s="4">
        <v>44</v>
      </c>
      <c r="W1219" s="4">
        <v>81</v>
      </c>
    </row>
    <row r="1220" spans="1:23" ht="11.25" customHeight="1" x14ac:dyDescent="0.25">
      <c r="A1220" s="4" t="s">
        <v>21</v>
      </c>
      <c r="B1220" s="4" t="s">
        <v>37</v>
      </c>
      <c r="C1220" s="4" t="s">
        <v>23</v>
      </c>
      <c r="D1220" s="4" t="s">
        <v>45</v>
      </c>
      <c r="E1220" s="4" t="s">
        <v>25</v>
      </c>
      <c r="F1220" s="4" t="s">
        <v>25</v>
      </c>
      <c r="G1220" s="4" t="s">
        <v>25</v>
      </c>
      <c r="H1220" s="4" t="s">
        <v>25</v>
      </c>
      <c r="I1220" s="5">
        <v>44652</v>
      </c>
      <c r="J1220" s="6">
        <v>0</v>
      </c>
      <c r="K1220" s="6">
        <v>0</v>
      </c>
      <c r="L1220" s="6">
        <v>1188.491</v>
      </c>
      <c r="M1220" s="6">
        <v>1188.491</v>
      </c>
      <c r="N1220" s="6">
        <v>1188.491</v>
      </c>
      <c r="O1220" s="6">
        <v>1188.491</v>
      </c>
      <c r="P1220" s="6">
        <v>964</v>
      </c>
      <c r="Q1220" s="4" t="s">
        <v>26</v>
      </c>
      <c r="R1220" s="4">
        <v>0</v>
      </c>
      <c r="S1220" s="4" t="s">
        <v>385</v>
      </c>
      <c r="T1220" s="4" t="s">
        <v>630</v>
      </c>
      <c r="U1220" s="4">
        <v>0</v>
      </c>
      <c r="V1220" s="4">
        <v>44</v>
      </c>
      <c r="W1220" s="4">
        <v>81</v>
      </c>
    </row>
    <row r="1221" spans="1:23" ht="11.25" customHeight="1" x14ac:dyDescent="0.25">
      <c r="A1221" s="4" t="s">
        <v>28</v>
      </c>
      <c r="B1221" s="4" t="s">
        <v>37</v>
      </c>
      <c r="C1221" s="4" t="s">
        <v>23</v>
      </c>
      <c r="D1221" s="4" t="s">
        <v>45</v>
      </c>
      <c r="E1221" s="4" t="s">
        <v>25</v>
      </c>
      <c r="F1221" s="4" t="s">
        <v>25</v>
      </c>
      <c r="G1221" s="4" t="s">
        <v>25</v>
      </c>
      <c r="H1221" s="4" t="s">
        <v>25</v>
      </c>
      <c r="I1221" s="5">
        <v>44652</v>
      </c>
      <c r="J1221" s="6">
        <v>0</v>
      </c>
      <c r="K1221" s="6">
        <v>0</v>
      </c>
      <c r="L1221" s="6">
        <v>0.1</v>
      </c>
      <c r="M1221" s="6">
        <v>0.1</v>
      </c>
      <c r="N1221" s="6">
        <v>0.1</v>
      </c>
      <c r="O1221" s="6">
        <v>0.1</v>
      </c>
      <c r="P1221" s="6">
        <v>1</v>
      </c>
      <c r="Q1221" s="4" t="s">
        <v>26</v>
      </c>
      <c r="R1221" s="4">
        <v>0</v>
      </c>
      <c r="S1221" s="4" t="s">
        <v>385</v>
      </c>
      <c r="T1221" s="4" t="s">
        <v>630</v>
      </c>
      <c r="U1221" s="4">
        <v>0</v>
      </c>
      <c r="V1221" s="4">
        <v>44</v>
      </c>
      <c r="W1221" s="4">
        <v>81</v>
      </c>
    </row>
    <row r="1222" spans="1:23" ht="11.25" customHeight="1" x14ac:dyDescent="0.25">
      <c r="A1222" s="4" t="s">
        <v>21</v>
      </c>
      <c r="B1222" s="4" t="s">
        <v>37</v>
      </c>
      <c r="C1222" s="4" t="s">
        <v>23</v>
      </c>
      <c r="D1222" s="4" t="s">
        <v>45</v>
      </c>
      <c r="E1222" s="4" t="s">
        <v>25</v>
      </c>
      <c r="F1222" s="4" t="s">
        <v>25</v>
      </c>
      <c r="G1222" s="4" t="s">
        <v>25</v>
      </c>
      <c r="H1222" s="4" t="s">
        <v>25</v>
      </c>
      <c r="I1222" s="5">
        <v>44682</v>
      </c>
      <c r="J1222" s="6">
        <v>0</v>
      </c>
      <c r="K1222" s="6">
        <v>0</v>
      </c>
      <c r="L1222" s="6">
        <v>967.17200000000003</v>
      </c>
      <c r="M1222" s="6">
        <v>967.17200000000003</v>
      </c>
      <c r="N1222" s="6">
        <v>967.17200000000003</v>
      </c>
      <c r="O1222" s="6">
        <v>967.17200000000003</v>
      </c>
      <c r="P1222" s="6">
        <v>964</v>
      </c>
      <c r="Q1222" s="4" t="s">
        <v>26</v>
      </c>
      <c r="R1222" s="4">
        <v>0</v>
      </c>
      <c r="S1222" s="4" t="s">
        <v>369</v>
      </c>
      <c r="T1222" s="4" t="s">
        <v>614</v>
      </c>
      <c r="U1222" s="4">
        <v>0</v>
      </c>
      <c r="V1222" s="4">
        <v>44</v>
      </c>
      <c r="W1222" s="4">
        <v>81</v>
      </c>
    </row>
    <row r="1223" spans="1:23" ht="11.25" customHeight="1" x14ac:dyDescent="0.25">
      <c r="A1223" s="4" t="s">
        <v>27</v>
      </c>
      <c r="B1223" s="4" t="s">
        <v>37</v>
      </c>
      <c r="C1223" s="4" t="s">
        <v>23</v>
      </c>
      <c r="D1223" s="4" t="s">
        <v>45</v>
      </c>
      <c r="E1223" s="4" t="s">
        <v>25</v>
      </c>
      <c r="F1223" s="4" t="s">
        <v>25</v>
      </c>
      <c r="G1223" s="4" t="s">
        <v>25</v>
      </c>
      <c r="H1223" s="4" t="s">
        <v>25</v>
      </c>
      <c r="I1223" s="5">
        <v>44682</v>
      </c>
      <c r="J1223" s="6">
        <v>0</v>
      </c>
      <c r="K1223" s="6">
        <v>0</v>
      </c>
      <c r="L1223" s="6">
        <v>0.152</v>
      </c>
      <c r="M1223" s="6">
        <v>0.152</v>
      </c>
      <c r="N1223" s="6">
        <v>0.152</v>
      </c>
      <c r="O1223" s="6">
        <v>0.152</v>
      </c>
      <c r="P1223" s="6">
        <v>1</v>
      </c>
      <c r="Q1223" s="4" t="s">
        <v>26</v>
      </c>
      <c r="R1223" s="4">
        <v>0</v>
      </c>
      <c r="S1223" s="4" t="s">
        <v>369</v>
      </c>
      <c r="T1223" s="4" t="s">
        <v>614</v>
      </c>
      <c r="U1223" s="4">
        <v>0</v>
      </c>
      <c r="V1223" s="4">
        <v>44</v>
      </c>
      <c r="W1223" s="4">
        <v>81</v>
      </c>
    </row>
    <row r="1224" spans="1:23" ht="11.25" customHeight="1" x14ac:dyDescent="0.25">
      <c r="A1224" s="4" t="s">
        <v>28</v>
      </c>
      <c r="B1224" s="4" t="s">
        <v>37</v>
      </c>
      <c r="C1224" s="4" t="s">
        <v>23</v>
      </c>
      <c r="D1224" s="4" t="s">
        <v>45</v>
      </c>
      <c r="E1224" s="4" t="s">
        <v>25</v>
      </c>
      <c r="F1224" s="4" t="s">
        <v>25</v>
      </c>
      <c r="G1224" s="4" t="s">
        <v>25</v>
      </c>
      <c r="H1224" s="4" t="s">
        <v>25</v>
      </c>
      <c r="I1224" s="5">
        <v>44682</v>
      </c>
      <c r="J1224" s="6">
        <v>0</v>
      </c>
      <c r="K1224" s="6">
        <v>0</v>
      </c>
      <c r="L1224" s="6">
        <v>1.9450000000000001</v>
      </c>
      <c r="M1224" s="6">
        <v>1.9450000000000001</v>
      </c>
      <c r="N1224" s="6">
        <v>1.9450000000000001</v>
      </c>
      <c r="O1224" s="6">
        <v>1.9450000000000001</v>
      </c>
      <c r="P1224" s="6">
        <v>3</v>
      </c>
      <c r="Q1224" s="4" t="s">
        <v>26</v>
      </c>
      <c r="R1224" s="4">
        <v>0</v>
      </c>
      <c r="S1224" s="4" t="s">
        <v>369</v>
      </c>
      <c r="T1224" s="4" t="s">
        <v>614</v>
      </c>
      <c r="U1224" s="4">
        <v>0</v>
      </c>
      <c r="V1224" s="4">
        <v>44</v>
      </c>
      <c r="W1224" s="4">
        <v>81</v>
      </c>
    </row>
    <row r="1225" spans="1:23" ht="11.25" customHeight="1" x14ac:dyDescent="0.25">
      <c r="A1225" s="4" t="s">
        <v>21</v>
      </c>
      <c r="B1225" s="4" t="s">
        <v>37</v>
      </c>
      <c r="C1225" s="4" t="s">
        <v>23</v>
      </c>
      <c r="D1225" s="4" t="s">
        <v>45</v>
      </c>
      <c r="E1225" s="4" t="s">
        <v>25</v>
      </c>
      <c r="F1225" s="4" t="s">
        <v>25</v>
      </c>
      <c r="G1225" s="4" t="s">
        <v>25</v>
      </c>
      <c r="H1225" s="4" t="s">
        <v>25</v>
      </c>
      <c r="I1225" s="5">
        <v>44713</v>
      </c>
      <c r="J1225" s="6">
        <v>0</v>
      </c>
      <c r="K1225" s="6">
        <v>0</v>
      </c>
      <c r="L1225" s="6">
        <v>817.61500000000001</v>
      </c>
      <c r="M1225" s="6">
        <v>817.61500000000001</v>
      </c>
      <c r="N1225" s="6">
        <v>817.61500000000001</v>
      </c>
      <c r="O1225" s="6">
        <v>817.61500000000001</v>
      </c>
      <c r="P1225" s="6">
        <v>965</v>
      </c>
      <c r="Q1225" s="4" t="s">
        <v>26</v>
      </c>
      <c r="R1225" s="4">
        <v>0</v>
      </c>
      <c r="S1225" s="4" t="s">
        <v>370</v>
      </c>
      <c r="T1225" s="4" t="s">
        <v>615</v>
      </c>
      <c r="U1225" s="4">
        <v>0</v>
      </c>
      <c r="V1225" s="4">
        <v>44</v>
      </c>
      <c r="W1225" s="4">
        <v>81</v>
      </c>
    </row>
    <row r="1226" spans="1:23" ht="11.25" customHeight="1" x14ac:dyDescent="0.25">
      <c r="A1226" s="4" t="s">
        <v>28</v>
      </c>
      <c r="B1226" s="4" t="s">
        <v>37</v>
      </c>
      <c r="C1226" s="4" t="s">
        <v>23</v>
      </c>
      <c r="D1226" s="4" t="s">
        <v>45</v>
      </c>
      <c r="E1226" s="4" t="s">
        <v>25</v>
      </c>
      <c r="F1226" s="4" t="s">
        <v>25</v>
      </c>
      <c r="G1226" s="4" t="s">
        <v>25</v>
      </c>
      <c r="H1226" s="4" t="s">
        <v>25</v>
      </c>
      <c r="I1226" s="5">
        <v>44713</v>
      </c>
      <c r="J1226" s="6">
        <v>0</v>
      </c>
      <c r="K1226" s="6">
        <v>0</v>
      </c>
      <c r="L1226" s="6">
        <v>0.3</v>
      </c>
      <c r="M1226" s="6">
        <v>0.3</v>
      </c>
      <c r="N1226" s="6">
        <v>0.3</v>
      </c>
      <c r="O1226" s="6">
        <v>0.3</v>
      </c>
      <c r="P1226" s="6">
        <v>3</v>
      </c>
      <c r="Q1226" s="4" t="s">
        <v>26</v>
      </c>
      <c r="R1226" s="4">
        <v>0</v>
      </c>
      <c r="S1226" s="4" t="s">
        <v>370</v>
      </c>
      <c r="T1226" s="4" t="s">
        <v>615</v>
      </c>
      <c r="U1226" s="4">
        <v>0</v>
      </c>
      <c r="V1226" s="4">
        <v>44</v>
      </c>
      <c r="W1226" s="4">
        <v>81</v>
      </c>
    </row>
    <row r="1227" spans="1:23" ht="11.25" customHeight="1" x14ac:dyDescent="0.25">
      <c r="A1227" s="4" t="s">
        <v>21</v>
      </c>
      <c r="B1227" s="4" t="s">
        <v>37</v>
      </c>
      <c r="C1227" s="4" t="s">
        <v>23</v>
      </c>
      <c r="D1227" s="4" t="s">
        <v>45</v>
      </c>
      <c r="E1227" s="4" t="s">
        <v>25</v>
      </c>
      <c r="F1227" s="4" t="s">
        <v>25</v>
      </c>
      <c r="G1227" s="4" t="s">
        <v>25</v>
      </c>
      <c r="H1227" s="4" t="s">
        <v>25</v>
      </c>
      <c r="I1227" s="5">
        <v>44743</v>
      </c>
      <c r="J1227" s="6">
        <v>0</v>
      </c>
      <c r="K1227" s="6">
        <v>0</v>
      </c>
      <c r="L1227" s="6">
        <v>664.048</v>
      </c>
      <c r="M1227" s="6">
        <v>664.048</v>
      </c>
      <c r="N1227" s="6">
        <v>664.048</v>
      </c>
      <c r="O1227" s="6">
        <v>664.048</v>
      </c>
      <c r="P1227" s="6">
        <v>968</v>
      </c>
      <c r="Q1227" s="4" t="s">
        <v>26</v>
      </c>
      <c r="R1227" s="4">
        <v>0</v>
      </c>
      <c r="S1227" s="4" t="s">
        <v>371</v>
      </c>
      <c r="T1227" s="4" t="s">
        <v>616</v>
      </c>
      <c r="U1227" s="4">
        <v>0</v>
      </c>
      <c r="V1227" s="4">
        <v>44</v>
      </c>
      <c r="W1227" s="4">
        <v>81</v>
      </c>
    </row>
    <row r="1228" spans="1:23" ht="11.25" customHeight="1" x14ac:dyDescent="0.25">
      <c r="A1228" s="4" t="s">
        <v>27</v>
      </c>
      <c r="B1228" s="4" t="s">
        <v>37</v>
      </c>
      <c r="C1228" s="4" t="s">
        <v>23</v>
      </c>
      <c r="D1228" s="4" t="s">
        <v>45</v>
      </c>
      <c r="E1228" s="4" t="s">
        <v>25</v>
      </c>
      <c r="F1228" s="4" t="s">
        <v>25</v>
      </c>
      <c r="G1228" s="4" t="s">
        <v>25</v>
      </c>
      <c r="H1228" s="4" t="s">
        <v>25</v>
      </c>
      <c r="I1228" s="5">
        <v>44743</v>
      </c>
      <c r="J1228" s="6">
        <v>0</v>
      </c>
      <c r="K1228" s="6">
        <v>0</v>
      </c>
      <c r="L1228" s="6">
        <v>-69.605000000000004</v>
      </c>
      <c r="M1228" s="6">
        <v>-69.605000000000004</v>
      </c>
      <c r="N1228" s="6">
        <v>-69.605000000000004</v>
      </c>
      <c r="O1228" s="6">
        <v>-69.605000000000004</v>
      </c>
      <c r="P1228" s="6">
        <v>1</v>
      </c>
      <c r="Q1228" s="4" t="s">
        <v>26</v>
      </c>
      <c r="R1228" s="4">
        <v>0</v>
      </c>
      <c r="S1228" s="4" t="s">
        <v>371</v>
      </c>
      <c r="T1228" s="4" t="s">
        <v>616</v>
      </c>
      <c r="U1228" s="4">
        <v>0</v>
      </c>
      <c r="V1228" s="4">
        <v>44</v>
      </c>
      <c r="W1228" s="4">
        <v>81</v>
      </c>
    </row>
    <row r="1229" spans="1:23" ht="11.25" customHeight="1" x14ac:dyDescent="0.25">
      <c r="A1229" s="4" t="s">
        <v>28</v>
      </c>
      <c r="B1229" s="4" t="s">
        <v>37</v>
      </c>
      <c r="C1229" s="4" t="s">
        <v>23</v>
      </c>
      <c r="D1229" s="4" t="s">
        <v>45</v>
      </c>
      <c r="E1229" s="4" t="s">
        <v>25</v>
      </c>
      <c r="F1229" s="4" t="s">
        <v>25</v>
      </c>
      <c r="G1229" s="4" t="s">
        <v>25</v>
      </c>
      <c r="H1229" s="4" t="s">
        <v>25</v>
      </c>
      <c r="I1229" s="5">
        <v>44743</v>
      </c>
      <c r="J1229" s="6">
        <v>0</v>
      </c>
      <c r="K1229" s="6">
        <v>0</v>
      </c>
      <c r="L1229" s="6">
        <v>0.4</v>
      </c>
      <c r="M1229" s="6">
        <v>0.4</v>
      </c>
      <c r="N1229" s="6">
        <v>0.4</v>
      </c>
      <c r="O1229" s="6">
        <v>0.4</v>
      </c>
      <c r="P1229" s="6">
        <v>4</v>
      </c>
      <c r="Q1229" s="4" t="s">
        <v>26</v>
      </c>
      <c r="R1229" s="4">
        <v>0</v>
      </c>
      <c r="S1229" s="4" t="s">
        <v>371</v>
      </c>
      <c r="T1229" s="4" t="s">
        <v>616</v>
      </c>
      <c r="U1229" s="4">
        <v>0</v>
      </c>
      <c r="V1229" s="4">
        <v>44</v>
      </c>
      <c r="W1229" s="4">
        <v>81</v>
      </c>
    </row>
    <row r="1230" spans="1:23" ht="11.25" customHeight="1" x14ac:dyDescent="0.25">
      <c r="A1230" s="4" t="s">
        <v>56</v>
      </c>
      <c r="B1230" s="4" t="s">
        <v>37</v>
      </c>
      <c r="C1230" s="4" t="s">
        <v>23</v>
      </c>
      <c r="D1230" s="4" t="s">
        <v>45</v>
      </c>
      <c r="E1230" s="4" t="s">
        <v>25</v>
      </c>
      <c r="F1230" s="4" t="s">
        <v>25</v>
      </c>
      <c r="G1230" s="4" t="s">
        <v>25</v>
      </c>
      <c r="H1230" s="4" t="s">
        <v>25</v>
      </c>
      <c r="I1230" s="5">
        <v>44774</v>
      </c>
      <c r="J1230" s="6">
        <v>0</v>
      </c>
      <c r="K1230" s="6">
        <v>0</v>
      </c>
      <c r="L1230" s="6">
        <v>664.048</v>
      </c>
      <c r="M1230" s="6">
        <v>664.048</v>
      </c>
      <c r="N1230" s="6">
        <v>664.048</v>
      </c>
      <c r="O1230" s="6">
        <v>664.048</v>
      </c>
      <c r="P1230" s="6">
        <v>968</v>
      </c>
      <c r="Q1230" s="4" t="s">
        <v>26</v>
      </c>
      <c r="R1230" s="4">
        <v>0</v>
      </c>
      <c r="S1230" s="4" t="s">
        <v>372</v>
      </c>
      <c r="T1230" s="4" t="s">
        <v>617</v>
      </c>
      <c r="U1230" s="4">
        <v>0</v>
      </c>
      <c r="V1230" s="4">
        <v>44</v>
      </c>
      <c r="W1230" s="4">
        <v>81</v>
      </c>
    </row>
    <row r="1231" spans="1:23" ht="11.25" customHeight="1" x14ac:dyDescent="0.25">
      <c r="A1231" s="4" t="s">
        <v>56</v>
      </c>
      <c r="B1231" s="4" t="s">
        <v>37</v>
      </c>
      <c r="C1231" s="4" t="s">
        <v>23</v>
      </c>
      <c r="D1231" s="4" t="s">
        <v>45</v>
      </c>
      <c r="E1231" s="4" t="s">
        <v>25</v>
      </c>
      <c r="F1231" s="4" t="s">
        <v>25</v>
      </c>
      <c r="G1231" s="4" t="s">
        <v>25</v>
      </c>
      <c r="H1231" s="4" t="s">
        <v>25</v>
      </c>
      <c r="I1231" s="5">
        <v>44774</v>
      </c>
      <c r="J1231" s="6">
        <v>0</v>
      </c>
      <c r="K1231" s="6">
        <v>0</v>
      </c>
      <c r="L1231" s="6">
        <v>-69.605000000000004</v>
      </c>
      <c r="M1231" s="6">
        <v>-69.605000000000004</v>
      </c>
      <c r="N1231" s="6">
        <v>-69.605000000000004</v>
      </c>
      <c r="O1231" s="6">
        <v>-69.605000000000004</v>
      </c>
      <c r="P1231" s="6">
        <v>1</v>
      </c>
      <c r="Q1231" s="4" t="s">
        <v>26</v>
      </c>
      <c r="R1231" s="4">
        <v>0</v>
      </c>
      <c r="S1231" s="4" t="s">
        <v>372</v>
      </c>
      <c r="T1231" s="4" t="s">
        <v>617</v>
      </c>
      <c r="U1231" s="4">
        <v>0</v>
      </c>
      <c r="V1231" s="4">
        <v>44</v>
      </c>
      <c r="W1231" s="4">
        <v>81</v>
      </c>
    </row>
    <row r="1232" spans="1:23" ht="11.25" customHeight="1" x14ac:dyDescent="0.25">
      <c r="A1232" s="4" t="s">
        <v>56</v>
      </c>
      <c r="B1232" s="4" t="s">
        <v>37</v>
      </c>
      <c r="C1232" s="4" t="s">
        <v>23</v>
      </c>
      <c r="D1232" s="4" t="s">
        <v>45</v>
      </c>
      <c r="E1232" s="4" t="s">
        <v>25</v>
      </c>
      <c r="F1232" s="4" t="s">
        <v>25</v>
      </c>
      <c r="G1232" s="4" t="s">
        <v>25</v>
      </c>
      <c r="H1232" s="4" t="s">
        <v>25</v>
      </c>
      <c r="I1232" s="5">
        <v>44774</v>
      </c>
      <c r="J1232" s="6">
        <v>0</v>
      </c>
      <c r="K1232" s="6">
        <v>0</v>
      </c>
      <c r="L1232" s="6">
        <v>0.4</v>
      </c>
      <c r="M1232" s="6">
        <v>0.4</v>
      </c>
      <c r="N1232" s="6">
        <v>0.4</v>
      </c>
      <c r="O1232" s="6">
        <v>0.4</v>
      </c>
      <c r="P1232" s="6">
        <v>4</v>
      </c>
      <c r="Q1232" s="4" t="s">
        <v>26</v>
      </c>
      <c r="R1232" s="4">
        <v>0</v>
      </c>
      <c r="S1232" s="4" t="s">
        <v>372</v>
      </c>
      <c r="T1232" s="4" t="s">
        <v>617</v>
      </c>
      <c r="U1232" s="4">
        <v>0</v>
      </c>
      <c r="V1232" s="4">
        <v>44</v>
      </c>
      <c r="W1232" s="4">
        <v>81</v>
      </c>
    </row>
    <row r="1233" spans="1:23" ht="11.25" customHeight="1" x14ac:dyDescent="0.25">
      <c r="A1233" s="4" t="s">
        <v>21</v>
      </c>
      <c r="B1233" s="4" t="s">
        <v>37</v>
      </c>
      <c r="C1233" s="4" t="s">
        <v>23</v>
      </c>
      <c r="D1233" s="4" t="s">
        <v>49</v>
      </c>
      <c r="E1233" s="4" t="s">
        <v>50</v>
      </c>
      <c r="F1233" s="4" t="s">
        <v>25</v>
      </c>
      <c r="G1233" s="4" t="s">
        <v>25</v>
      </c>
      <c r="H1233" s="4" t="s">
        <v>25</v>
      </c>
      <c r="I1233" s="5">
        <v>44440</v>
      </c>
      <c r="J1233" s="6">
        <v>0</v>
      </c>
      <c r="K1233" s="6">
        <v>0</v>
      </c>
      <c r="L1233" s="6">
        <v>284.67500000000001</v>
      </c>
      <c r="M1233" s="6">
        <v>267.59449999999998</v>
      </c>
      <c r="N1233" s="6">
        <v>284.67500000000001</v>
      </c>
      <c r="O1233" s="6">
        <v>267.59449999999998</v>
      </c>
      <c r="P1233" s="6">
        <v>154</v>
      </c>
      <c r="Q1233" s="4" t="s">
        <v>26</v>
      </c>
      <c r="R1233" s="4">
        <v>0</v>
      </c>
      <c r="S1233" s="4" t="s">
        <v>362</v>
      </c>
      <c r="T1233" s="4" t="s">
        <v>607</v>
      </c>
      <c r="U1233" s="4">
        <v>0</v>
      </c>
      <c r="V1233" s="4">
        <v>44</v>
      </c>
      <c r="W1233" s="4">
        <v>81</v>
      </c>
    </row>
    <row r="1234" spans="1:23" ht="11.25" customHeight="1" x14ac:dyDescent="0.25">
      <c r="A1234" s="4" t="s">
        <v>21</v>
      </c>
      <c r="B1234" s="4" t="s">
        <v>37</v>
      </c>
      <c r="C1234" s="4" t="s">
        <v>23</v>
      </c>
      <c r="D1234" s="4" t="s">
        <v>49</v>
      </c>
      <c r="E1234" s="4" t="s">
        <v>50</v>
      </c>
      <c r="F1234" s="4" t="s">
        <v>25</v>
      </c>
      <c r="G1234" s="4" t="s">
        <v>25</v>
      </c>
      <c r="H1234" s="4" t="s">
        <v>25</v>
      </c>
      <c r="I1234" s="5">
        <v>44470</v>
      </c>
      <c r="J1234" s="6">
        <v>0</v>
      </c>
      <c r="K1234" s="6">
        <v>0</v>
      </c>
      <c r="L1234" s="6">
        <v>304.09500000000003</v>
      </c>
      <c r="M1234" s="6">
        <v>285.84930000000003</v>
      </c>
      <c r="N1234" s="6">
        <v>304.09500000000003</v>
      </c>
      <c r="O1234" s="6">
        <v>285.84930000000003</v>
      </c>
      <c r="P1234" s="6">
        <v>156</v>
      </c>
      <c r="Q1234" s="4" t="s">
        <v>26</v>
      </c>
      <c r="R1234" s="4">
        <v>0</v>
      </c>
      <c r="S1234" s="4" t="s">
        <v>363</v>
      </c>
      <c r="T1234" s="4" t="s">
        <v>608</v>
      </c>
      <c r="U1234" s="4">
        <v>0</v>
      </c>
      <c r="V1234" s="4">
        <v>44</v>
      </c>
      <c r="W1234" s="4">
        <v>81</v>
      </c>
    </row>
    <row r="1235" spans="1:23" ht="11.25" customHeight="1" x14ac:dyDescent="0.25">
      <c r="A1235" s="4" t="s">
        <v>21</v>
      </c>
      <c r="B1235" s="4" t="s">
        <v>37</v>
      </c>
      <c r="C1235" s="4" t="s">
        <v>23</v>
      </c>
      <c r="D1235" s="4" t="s">
        <v>49</v>
      </c>
      <c r="E1235" s="4" t="s">
        <v>50</v>
      </c>
      <c r="F1235" s="4" t="s">
        <v>25</v>
      </c>
      <c r="G1235" s="4" t="s">
        <v>25</v>
      </c>
      <c r="H1235" s="4" t="s">
        <v>25</v>
      </c>
      <c r="I1235" s="5">
        <v>44501</v>
      </c>
      <c r="J1235" s="6">
        <v>0</v>
      </c>
      <c r="K1235" s="6">
        <v>0</v>
      </c>
      <c r="L1235" s="6">
        <v>272.60000000000002</v>
      </c>
      <c r="M1235" s="6">
        <v>256.24400000000003</v>
      </c>
      <c r="N1235" s="6">
        <v>272.60000000000002</v>
      </c>
      <c r="O1235" s="6">
        <v>256.24400000000003</v>
      </c>
      <c r="P1235" s="6">
        <v>156</v>
      </c>
      <c r="Q1235" s="4" t="s">
        <v>26</v>
      </c>
      <c r="R1235" s="4">
        <v>0</v>
      </c>
      <c r="S1235" s="4" t="s">
        <v>364</v>
      </c>
      <c r="T1235" s="4" t="s">
        <v>609</v>
      </c>
      <c r="U1235" s="4">
        <v>0</v>
      </c>
      <c r="V1235" s="4">
        <v>44</v>
      </c>
      <c r="W1235" s="4">
        <v>81</v>
      </c>
    </row>
    <row r="1236" spans="1:23" ht="11.25" customHeight="1" x14ac:dyDescent="0.25">
      <c r="A1236" s="4" t="s">
        <v>21</v>
      </c>
      <c r="B1236" s="4" t="s">
        <v>37</v>
      </c>
      <c r="C1236" s="4" t="s">
        <v>23</v>
      </c>
      <c r="D1236" s="4" t="s">
        <v>49</v>
      </c>
      <c r="E1236" s="4" t="s">
        <v>50</v>
      </c>
      <c r="F1236" s="4" t="s">
        <v>25</v>
      </c>
      <c r="G1236" s="4" t="s">
        <v>25</v>
      </c>
      <c r="H1236" s="4" t="s">
        <v>25</v>
      </c>
      <c r="I1236" s="5">
        <v>44531</v>
      </c>
      <c r="J1236" s="6">
        <v>0</v>
      </c>
      <c r="K1236" s="6">
        <v>0</v>
      </c>
      <c r="L1236" s="6">
        <v>264.46300000000002</v>
      </c>
      <c r="M1236" s="6">
        <v>248.59522000000001</v>
      </c>
      <c r="N1236" s="6">
        <v>264.46300000000002</v>
      </c>
      <c r="O1236" s="6">
        <v>248.59522000000001</v>
      </c>
      <c r="P1236" s="6">
        <v>158</v>
      </c>
      <c r="Q1236" s="4" t="s">
        <v>26</v>
      </c>
      <c r="R1236" s="4">
        <v>0</v>
      </c>
      <c r="S1236" s="4" t="s">
        <v>365</v>
      </c>
      <c r="T1236" s="4" t="s">
        <v>610</v>
      </c>
      <c r="U1236" s="4">
        <v>0</v>
      </c>
      <c r="V1236" s="4">
        <v>44</v>
      </c>
      <c r="W1236" s="4">
        <v>81</v>
      </c>
    </row>
    <row r="1237" spans="1:23" ht="11.25" customHeight="1" x14ac:dyDescent="0.25">
      <c r="A1237" s="4" t="s">
        <v>21</v>
      </c>
      <c r="B1237" s="4" t="s">
        <v>37</v>
      </c>
      <c r="C1237" s="4" t="s">
        <v>23</v>
      </c>
      <c r="D1237" s="4" t="s">
        <v>49</v>
      </c>
      <c r="E1237" s="4" t="s">
        <v>50</v>
      </c>
      <c r="F1237" s="4" t="s">
        <v>25</v>
      </c>
      <c r="G1237" s="4" t="s">
        <v>25</v>
      </c>
      <c r="H1237" s="4" t="s">
        <v>25</v>
      </c>
      <c r="I1237" s="5">
        <v>44562</v>
      </c>
      <c r="J1237" s="6">
        <v>0</v>
      </c>
      <c r="K1237" s="6">
        <v>0</v>
      </c>
      <c r="L1237" s="6">
        <v>266.50799999999998</v>
      </c>
      <c r="M1237" s="6">
        <v>250.51751999999999</v>
      </c>
      <c r="N1237" s="6">
        <v>266.50799999999998</v>
      </c>
      <c r="O1237" s="6">
        <v>250.51751999999999</v>
      </c>
      <c r="P1237" s="6">
        <v>158</v>
      </c>
      <c r="Q1237" s="4" t="s">
        <v>26</v>
      </c>
      <c r="R1237" s="4">
        <v>0</v>
      </c>
      <c r="S1237" s="4" t="s">
        <v>366</v>
      </c>
      <c r="T1237" s="4" t="s">
        <v>611</v>
      </c>
      <c r="U1237" s="4">
        <v>0</v>
      </c>
      <c r="V1237" s="4">
        <v>44</v>
      </c>
      <c r="W1237" s="4">
        <v>81</v>
      </c>
    </row>
    <row r="1238" spans="1:23" ht="11.25" customHeight="1" x14ac:dyDescent="0.25">
      <c r="A1238" s="4" t="s">
        <v>21</v>
      </c>
      <c r="B1238" s="4" t="s">
        <v>37</v>
      </c>
      <c r="C1238" s="4" t="s">
        <v>23</v>
      </c>
      <c r="D1238" s="4" t="s">
        <v>49</v>
      </c>
      <c r="E1238" s="4" t="s">
        <v>50</v>
      </c>
      <c r="F1238" s="4" t="s">
        <v>25</v>
      </c>
      <c r="G1238" s="4" t="s">
        <v>25</v>
      </c>
      <c r="H1238" s="4" t="s">
        <v>25</v>
      </c>
      <c r="I1238" s="5">
        <v>44593</v>
      </c>
      <c r="J1238" s="6">
        <v>0</v>
      </c>
      <c r="K1238" s="6">
        <v>0</v>
      </c>
      <c r="L1238" s="6">
        <v>276.43200000000002</v>
      </c>
      <c r="M1238" s="6">
        <v>259.84607999999997</v>
      </c>
      <c r="N1238" s="6">
        <v>276.43200000000002</v>
      </c>
      <c r="O1238" s="6">
        <v>259.84607999999997</v>
      </c>
      <c r="P1238" s="6">
        <v>158</v>
      </c>
      <c r="Q1238" s="4" t="s">
        <v>26</v>
      </c>
      <c r="R1238" s="4">
        <v>0</v>
      </c>
      <c r="S1238" s="4" t="s">
        <v>367</v>
      </c>
      <c r="T1238" s="4" t="s">
        <v>612</v>
      </c>
      <c r="U1238" s="4">
        <v>0</v>
      </c>
      <c r="V1238" s="4">
        <v>44</v>
      </c>
      <c r="W1238" s="4">
        <v>81</v>
      </c>
    </row>
    <row r="1239" spans="1:23" ht="11.25" customHeight="1" x14ac:dyDescent="0.25">
      <c r="A1239" s="4" t="s">
        <v>21</v>
      </c>
      <c r="B1239" s="4" t="s">
        <v>37</v>
      </c>
      <c r="C1239" s="4" t="s">
        <v>23</v>
      </c>
      <c r="D1239" s="4" t="s">
        <v>49</v>
      </c>
      <c r="E1239" s="4" t="s">
        <v>50</v>
      </c>
      <c r="F1239" s="4" t="s">
        <v>25</v>
      </c>
      <c r="G1239" s="4" t="s">
        <v>25</v>
      </c>
      <c r="H1239" s="4" t="s">
        <v>25</v>
      </c>
      <c r="I1239" s="5">
        <v>44621</v>
      </c>
      <c r="J1239" s="6">
        <v>0</v>
      </c>
      <c r="K1239" s="6">
        <v>0</v>
      </c>
      <c r="L1239" s="6">
        <v>284.267</v>
      </c>
      <c r="M1239" s="6">
        <v>267.21098000000001</v>
      </c>
      <c r="N1239" s="6">
        <v>284.267</v>
      </c>
      <c r="O1239" s="6">
        <v>267.21098000000001</v>
      </c>
      <c r="P1239" s="6">
        <v>158</v>
      </c>
      <c r="Q1239" s="4" t="s">
        <v>26</v>
      </c>
      <c r="R1239" s="4">
        <v>0</v>
      </c>
      <c r="S1239" s="4" t="s">
        <v>368</v>
      </c>
      <c r="T1239" s="4" t="s">
        <v>613</v>
      </c>
      <c r="U1239" s="4">
        <v>0</v>
      </c>
      <c r="V1239" s="4">
        <v>44</v>
      </c>
      <c r="W1239" s="4">
        <v>81</v>
      </c>
    </row>
    <row r="1240" spans="1:23" ht="11.25" customHeight="1" x14ac:dyDescent="0.25">
      <c r="A1240" s="4" t="s">
        <v>21</v>
      </c>
      <c r="B1240" s="4" t="s">
        <v>37</v>
      </c>
      <c r="C1240" s="4" t="s">
        <v>23</v>
      </c>
      <c r="D1240" s="4" t="s">
        <v>49</v>
      </c>
      <c r="E1240" s="4" t="s">
        <v>50</v>
      </c>
      <c r="F1240" s="4" t="s">
        <v>25</v>
      </c>
      <c r="G1240" s="4" t="s">
        <v>25</v>
      </c>
      <c r="H1240" s="4" t="s">
        <v>25</v>
      </c>
      <c r="I1240" s="5">
        <v>44652</v>
      </c>
      <c r="J1240" s="6">
        <v>0</v>
      </c>
      <c r="K1240" s="6">
        <v>0</v>
      </c>
      <c r="L1240" s="6">
        <v>286.23700000000002</v>
      </c>
      <c r="M1240" s="6">
        <v>269.06277999999998</v>
      </c>
      <c r="N1240" s="6">
        <v>286.23700000000002</v>
      </c>
      <c r="O1240" s="6">
        <v>269.06277999999998</v>
      </c>
      <c r="P1240" s="6">
        <v>158</v>
      </c>
      <c r="Q1240" s="4" t="s">
        <v>26</v>
      </c>
      <c r="R1240" s="4">
        <v>0</v>
      </c>
      <c r="S1240" s="4" t="s">
        <v>385</v>
      </c>
      <c r="T1240" s="4" t="s">
        <v>630</v>
      </c>
      <c r="U1240" s="4">
        <v>0</v>
      </c>
      <c r="V1240" s="4">
        <v>44</v>
      </c>
      <c r="W1240" s="4">
        <v>81</v>
      </c>
    </row>
    <row r="1241" spans="1:23" ht="11.25" customHeight="1" x14ac:dyDescent="0.25">
      <c r="A1241" s="4" t="s">
        <v>21</v>
      </c>
      <c r="B1241" s="4" t="s">
        <v>37</v>
      </c>
      <c r="C1241" s="4" t="s">
        <v>23</v>
      </c>
      <c r="D1241" s="4" t="s">
        <v>49</v>
      </c>
      <c r="E1241" s="4" t="s">
        <v>50</v>
      </c>
      <c r="F1241" s="4" t="s">
        <v>25</v>
      </c>
      <c r="G1241" s="4" t="s">
        <v>25</v>
      </c>
      <c r="H1241" s="4" t="s">
        <v>25</v>
      </c>
      <c r="I1241" s="5">
        <v>44682</v>
      </c>
      <c r="J1241" s="6">
        <v>0</v>
      </c>
      <c r="K1241" s="6">
        <v>0</v>
      </c>
      <c r="L1241" s="6">
        <v>278.096</v>
      </c>
      <c r="M1241" s="6">
        <v>261.41023999999999</v>
      </c>
      <c r="N1241" s="6">
        <v>278.096</v>
      </c>
      <c r="O1241" s="6">
        <v>261.41023999999999</v>
      </c>
      <c r="P1241" s="6">
        <v>158</v>
      </c>
      <c r="Q1241" s="4" t="s">
        <v>26</v>
      </c>
      <c r="R1241" s="4">
        <v>0</v>
      </c>
      <c r="S1241" s="4" t="s">
        <v>369</v>
      </c>
      <c r="T1241" s="4" t="s">
        <v>614</v>
      </c>
      <c r="U1241" s="4">
        <v>0</v>
      </c>
      <c r="V1241" s="4">
        <v>44</v>
      </c>
      <c r="W1241" s="4">
        <v>81</v>
      </c>
    </row>
    <row r="1242" spans="1:23" ht="11.25" customHeight="1" x14ac:dyDescent="0.25">
      <c r="A1242" s="4" t="s">
        <v>21</v>
      </c>
      <c r="B1242" s="4" t="s">
        <v>37</v>
      </c>
      <c r="C1242" s="4" t="s">
        <v>23</v>
      </c>
      <c r="D1242" s="4" t="s">
        <v>49</v>
      </c>
      <c r="E1242" s="4" t="s">
        <v>50</v>
      </c>
      <c r="F1242" s="4" t="s">
        <v>25</v>
      </c>
      <c r="G1242" s="4" t="s">
        <v>25</v>
      </c>
      <c r="H1242" s="4" t="s">
        <v>25</v>
      </c>
      <c r="I1242" s="5">
        <v>44713</v>
      </c>
      <c r="J1242" s="6">
        <v>0</v>
      </c>
      <c r="K1242" s="6">
        <v>0</v>
      </c>
      <c r="L1242" s="6">
        <v>285.26499999999999</v>
      </c>
      <c r="M1242" s="6">
        <v>268.14909999999998</v>
      </c>
      <c r="N1242" s="6">
        <v>285.26499999999999</v>
      </c>
      <c r="O1242" s="6">
        <v>268.14909999999998</v>
      </c>
      <c r="P1242" s="6">
        <v>159</v>
      </c>
      <c r="Q1242" s="4" t="s">
        <v>26</v>
      </c>
      <c r="R1242" s="4">
        <v>0</v>
      </c>
      <c r="S1242" s="4" t="s">
        <v>370</v>
      </c>
      <c r="T1242" s="4" t="s">
        <v>615</v>
      </c>
      <c r="U1242" s="4">
        <v>0</v>
      </c>
      <c r="V1242" s="4">
        <v>44</v>
      </c>
      <c r="W1242" s="4">
        <v>81</v>
      </c>
    </row>
    <row r="1243" spans="1:23" ht="11.25" customHeight="1" x14ac:dyDescent="0.25">
      <c r="A1243" s="4" t="s">
        <v>21</v>
      </c>
      <c r="B1243" s="4" t="s">
        <v>37</v>
      </c>
      <c r="C1243" s="4" t="s">
        <v>23</v>
      </c>
      <c r="D1243" s="4" t="s">
        <v>49</v>
      </c>
      <c r="E1243" s="4" t="s">
        <v>50</v>
      </c>
      <c r="F1243" s="4" t="s">
        <v>25</v>
      </c>
      <c r="G1243" s="4" t="s">
        <v>25</v>
      </c>
      <c r="H1243" s="4" t="s">
        <v>25</v>
      </c>
      <c r="I1243" s="5">
        <v>44743</v>
      </c>
      <c r="J1243" s="6">
        <v>0</v>
      </c>
      <c r="K1243" s="6">
        <v>0</v>
      </c>
      <c r="L1243" s="6">
        <v>276.90499999999997</v>
      </c>
      <c r="M1243" s="6">
        <v>260.29070000000002</v>
      </c>
      <c r="N1243" s="6">
        <v>276.90499999999997</v>
      </c>
      <c r="O1243" s="6">
        <v>260.29070000000002</v>
      </c>
      <c r="P1243" s="6">
        <v>159</v>
      </c>
      <c r="Q1243" s="4" t="s">
        <v>26</v>
      </c>
      <c r="R1243" s="4">
        <v>0</v>
      </c>
      <c r="S1243" s="4" t="s">
        <v>371</v>
      </c>
      <c r="T1243" s="4" t="s">
        <v>616</v>
      </c>
      <c r="U1243" s="4">
        <v>0</v>
      </c>
      <c r="V1243" s="4">
        <v>44</v>
      </c>
      <c r="W1243" s="4">
        <v>81</v>
      </c>
    </row>
    <row r="1244" spans="1:23" ht="11.25" customHeight="1" x14ac:dyDescent="0.25">
      <c r="A1244" s="4" t="s">
        <v>56</v>
      </c>
      <c r="B1244" s="4" t="s">
        <v>37</v>
      </c>
      <c r="C1244" s="4" t="s">
        <v>23</v>
      </c>
      <c r="D1244" s="4" t="s">
        <v>49</v>
      </c>
      <c r="E1244" s="4" t="s">
        <v>50</v>
      </c>
      <c r="F1244" s="4" t="s">
        <v>25</v>
      </c>
      <c r="G1244" s="4" t="s">
        <v>25</v>
      </c>
      <c r="H1244" s="4" t="s">
        <v>25</v>
      </c>
      <c r="I1244" s="5">
        <v>44774</v>
      </c>
      <c r="J1244" s="6">
        <v>0</v>
      </c>
      <c r="K1244" s="6">
        <v>0</v>
      </c>
      <c r="L1244" s="6">
        <v>276.90499999999997</v>
      </c>
      <c r="M1244" s="6">
        <v>260.29070000000002</v>
      </c>
      <c r="N1244" s="6">
        <v>276.90499999999997</v>
      </c>
      <c r="O1244" s="6">
        <v>260.29070000000002</v>
      </c>
      <c r="P1244" s="6">
        <v>159</v>
      </c>
      <c r="Q1244" s="4" t="s">
        <v>26</v>
      </c>
      <c r="R1244" s="4">
        <v>0</v>
      </c>
      <c r="S1244" s="4" t="s">
        <v>372</v>
      </c>
      <c r="T1244" s="4" t="s">
        <v>617</v>
      </c>
      <c r="U1244" s="4">
        <v>0</v>
      </c>
      <c r="V1244" s="4">
        <v>44</v>
      </c>
      <c r="W1244" s="4">
        <v>81</v>
      </c>
    </row>
    <row r="1245" spans="1:23" ht="11.25" customHeight="1" x14ac:dyDescent="0.25">
      <c r="A1245" s="4" t="s">
        <v>21</v>
      </c>
      <c r="B1245" s="4" t="s">
        <v>46</v>
      </c>
      <c r="C1245" s="4" t="s">
        <v>23</v>
      </c>
      <c r="D1245" s="4" t="s">
        <v>47</v>
      </c>
      <c r="E1245" s="4" t="s">
        <v>48</v>
      </c>
      <c r="F1245" s="4" t="s">
        <v>25</v>
      </c>
      <c r="G1245" s="4" t="s">
        <v>25</v>
      </c>
      <c r="H1245" s="4" t="s">
        <v>25</v>
      </c>
      <c r="I1245" s="5">
        <v>44440</v>
      </c>
      <c r="J1245" s="6">
        <v>0</v>
      </c>
      <c r="K1245" s="6">
        <v>0</v>
      </c>
      <c r="L1245" s="6">
        <v>1537.3230000000001</v>
      </c>
      <c r="M1245" s="6">
        <v>1537.3230000000001</v>
      </c>
      <c r="N1245" s="6">
        <v>1537.3230000000001</v>
      </c>
      <c r="O1245" s="6">
        <v>1537.3230000000001</v>
      </c>
      <c r="P1245" s="6">
        <v>45</v>
      </c>
      <c r="Q1245" s="4" t="s">
        <v>26</v>
      </c>
      <c r="R1245" s="4">
        <v>0</v>
      </c>
      <c r="S1245" s="4" t="s">
        <v>386</v>
      </c>
      <c r="T1245" s="4" t="s">
        <v>631</v>
      </c>
      <c r="U1245" s="4">
        <v>0</v>
      </c>
      <c r="V1245" s="4">
        <v>46</v>
      </c>
      <c r="W1245" s="4">
        <v>83</v>
      </c>
    </row>
    <row r="1246" spans="1:23" ht="11.25" customHeight="1" x14ac:dyDescent="0.25">
      <c r="A1246" s="4" t="s">
        <v>27</v>
      </c>
      <c r="B1246" s="4" t="s">
        <v>46</v>
      </c>
      <c r="C1246" s="4" t="s">
        <v>23</v>
      </c>
      <c r="D1246" s="4" t="s">
        <v>47</v>
      </c>
      <c r="E1246" s="4" t="s">
        <v>48</v>
      </c>
      <c r="F1246" s="4" t="s">
        <v>25</v>
      </c>
      <c r="G1246" s="4" t="s">
        <v>25</v>
      </c>
      <c r="H1246" s="4" t="s">
        <v>25</v>
      </c>
      <c r="I1246" s="5">
        <v>44440</v>
      </c>
      <c r="J1246" s="6">
        <v>0</v>
      </c>
      <c r="K1246" s="6">
        <v>0</v>
      </c>
      <c r="L1246" s="6">
        <v>-0.317</v>
      </c>
      <c r="M1246" s="6">
        <v>-0.317</v>
      </c>
      <c r="N1246" s="6">
        <v>-0.317</v>
      </c>
      <c r="O1246" s="6">
        <v>-0.317</v>
      </c>
      <c r="P1246" s="6">
        <v>-1</v>
      </c>
      <c r="Q1246" s="4" t="s">
        <v>26</v>
      </c>
      <c r="R1246" s="4">
        <v>0</v>
      </c>
      <c r="S1246" s="4" t="s">
        <v>386</v>
      </c>
      <c r="T1246" s="4" t="s">
        <v>631</v>
      </c>
      <c r="U1246" s="4">
        <v>0</v>
      </c>
      <c r="V1246" s="4">
        <v>46</v>
      </c>
      <c r="W1246" s="4">
        <v>83</v>
      </c>
    </row>
    <row r="1247" spans="1:23" ht="11.25" customHeight="1" x14ac:dyDescent="0.25">
      <c r="A1247" s="4" t="s">
        <v>21</v>
      </c>
      <c r="B1247" s="4" t="s">
        <v>46</v>
      </c>
      <c r="C1247" s="4" t="s">
        <v>23</v>
      </c>
      <c r="D1247" s="4" t="s">
        <v>47</v>
      </c>
      <c r="E1247" s="4" t="s">
        <v>48</v>
      </c>
      <c r="F1247" s="4" t="s">
        <v>25</v>
      </c>
      <c r="G1247" s="4" t="s">
        <v>25</v>
      </c>
      <c r="H1247" s="4" t="s">
        <v>25</v>
      </c>
      <c r="I1247" s="5">
        <v>44470</v>
      </c>
      <c r="J1247" s="6">
        <v>0</v>
      </c>
      <c r="K1247" s="6">
        <v>0</v>
      </c>
      <c r="L1247" s="6">
        <v>1614.039</v>
      </c>
      <c r="M1247" s="6">
        <v>1614.039</v>
      </c>
      <c r="N1247" s="6">
        <v>1614.039</v>
      </c>
      <c r="O1247" s="6">
        <v>1614.039</v>
      </c>
      <c r="P1247" s="6">
        <v>45</v>
      </c>
      <c r="Q1247" s="4" t="s">
        <v>26</v>
      </c>
      <c r="R1247" s="4">
        <v>0</v>
      </c>
      <c r="S1247" s="4" t="s">
        <v>387</v>
      </c>
      <c r="T1247" s="4" t="s">
        <v>632</v>
      </c>
      <c r="U1247" s="4">
        <v>0</v>
      </c>
      <c r="V1247" s="4">
        <v>46</v>
      </c>
      <c r="W1247" s="4">
        <v>83</v>
      </c>
    </row>
    <row r="1248" spans="1:23" ht="11.25" customHeight="1" x14ac:dyDescent="0.25">
      <c r="A1248" s="4" t="s">
        <v>21</v>
      </c>
      <c r="B1248" s="4" t="s">
        <v>46</v>
      </c>
      <c r="C1248" s="4" t="s">
        <v>23</v>
      </c>
      <c r="D1248" s="4" t="s">
        <v>47</v>
      </c>
      <c r="E1248" s="4" t="s">
        <v>48</v>
      </c>
      <c r="F1248" s="4" t="s">
        <v>25</v>
      </c>
      <c r="G1248" s="4" t="s">
        <v>25</v>
      </c>
      <c r="H1248" s="4" t="s">
        <v>25</v>
      </c>
      <c r="I1248" s="5">
        <v>44501</v>
      </c>
      <c r="J1248" s="6">
        <v>0</v>
      </c>
      <c r="K1248" s="6">
        <v>0</v>
      </c>
      <c r="L1248" s="6">
        <v>1634.374</v>
      </c>
      <c r="M1248" s="6">
        <v>1634.374</v>
      </c>
      <c r="N1248" s="6">
        <v>1634.374</v>
      </c>
      <c r="O1248" s="6">
        <v>1634.374</v>
      </c>
      <c r="P1248" s="6">
        <v>45</v>
      </c>
      <c r="Q1248" s="4" t="s">
        <v>26</v>
      </c>
      <c r="R1248" s="4">
        <v>0</v>
      </c>
      <c r="S1248" s="4" t="s">
        <v>388</v>
      </c>
      <c r="T1248" s="4" t="s">
        <v>633</v>
      </c>
      <c r="U1248" s="4">
        <v>0</v>
      </c>
      <c r="V1248" s="4">
        <v>46</v>
      </c>
      <c r="W1248" s="4">
        <v>83</v>
      </c>
    </row>
    <row r="1249" spans="1:23" ht="11.25" customHeight="1" x14ac:dyDescent="0.25">
      <c r="A1249" s="4" t="s">
        <v>21</v>
      </c>
      <c r="B1249" s="4" t="s">
        <v>46</v>
      </c>
      <c r="C1249" s="4" t="s">
        <v>23</v>
      </c>
      <c r="D1249" s="4" t="s">
        <v>47</v>
      </c>
      <c r="E1249" s="4" t="s">
        <v>48</v>
      </c>
      <c r="F1249" s="4" t="s">
        <v>25</v>
      </c>
      <c r="G1249" s="4" t="s">
        <v>25</v>
      </c>
      <c r="H1249" s="4" t="s">
        <v>25</v>
      </c>
      <c r="I1249" s="5">
        <v>44531</v>
      </c>
      <c r="J1249" s="6">
        <v>0</v>
      </c>
      <c r="K1249" s="6">
        <v>0</v>
      </c>
      <c r="L1249" s="6">
        <v>1610.021</v>
      </c>
      <c r="M1249" s="6">
        <v>1610.021</v>
      </c>
      <c r="N1249" s="6">
        <v>1610.021</v>
      </c>
      <c r="O1249" s="6">
        <v>1610.021</v>
      </c>
      <c r="P1249" s="6">
        <v>45</v>
      </c>
      <c r="Q1249" s="4" t="s">
        <v>26</v>
      </c>
      <c r="R1249" s="4">
        <v>0</v>
      </c>
      <c r="S1249" s="4" t="s">
        <v>389</v>
      </c>
      <c r="T1249" s="4" t="s">
        <v>634</v>
      </c>
      <c r="U1249" s="4">
        <v>0</v>
      </c>
      <c r="V1249" s="4">
        <v>46</v>
      </c>
      <c r="W1249" s="4">
        <v>83</v>
      </c>
    </row>
    <row r="1250" spans="1:23" ht="11.25" customHeight="1" x14ac:dyDescent="0.25">
      <c r="A1250" s="4" t="s">
        <v>21</v>
      </c>
      <c r="B1250" s="4" t="s">
        <v>46</v>
      </c>
      <c r="C1250" s="4" t="s">
        <v>23</v>
      </c>
      <c r="D1250" s="4" t="s">
        <v>47</v>
      </c>
      <c r="E1250" s="4" t="s">
        <v>48</v>
      </c>
      <c r="F1250" s="4" t="s">
        <v>25</v>
      </c>
      <c r="G1250" s="4" t="s">
        <v>25</v>
      </c>
      <c r="H1250" s="4" t="s">
        <v>25</v>
      </c>
      <c r="I1250" s="5">
        <v>44562</v>
      </c>
      <c r="J1250" s="6">
        <v>0</v>
      </c>
      <c r="K1250" s="6">
        <v>0</v>
      </c>
      <c r="L1250" s="6">
        <v>1589.424</v>
      </c>
      <c r="M1250" s="6">
        <v>1589.424</v>
      </c>
      <c r="N1250" s="6">
        <v>1589.424</v>
      </c>
      <c r="O1250" s="6">
        <v>1589.424</v>
      </c>
      <c r="P1250" s="6">
        <v>45</v>
      </c>
      <c r="Q1250" s="4" t="s">
        <v>26</v>
      </c>
      <c r="R1250" s="4">
        <v>0</v>
      </c>
      <c r="S1250" s="4" t="s">
        <v>390</v>
      </c>
      <c r="T1250" s="4" t="s">
        <v>635</v>
      </c>
      <c r="U1250" s="4">
        <v>0</v>
      </c>
      <c r="V1250" s="4">
        <v>46</v>
      </c>
      <c r="W1250" s="4">
        <v>83</v>
      </c>
    </row>
    <row r="1251" spans="1:23" ht="11.25" customHeight="1" x14ac:dyDescent="0.25">
      <c r="A1251" s="4" t="s">
        <v>21</v>
      </c>
      <c r="B1251" s="4" t="s">
        <v>46</v>
      </c>
      <c r="C1251" s="4" t="s">
        <v>23</v>
      </c>
      <c r="D1251" s="4" t="s">
        <v>47</v>
      </c>
      <c r="E1251" s="4" t="s">
        <v>48</v>
      </c>
      <c r="F1251" s="4" t="s">
        <v>25</v>
      </c>
      <c r="G1251" s="4" t="s">
        <v>25</v>
      </c>
      <c r="H1251" s="4" t="s">
        <v>25</v>
      </c>
      <c r="I1251" s="5">
        <v>44593</v>
      </c>
      <c r="J1251" s="6">
        <v>0</v>
      </c>
      <c r="K1251" s="6">
        <v>0</v>
      </c>
      <c r="L1251" s="6">
        <v>1460.8230000000001</v>
      </c>
      <c r="M1251" s="6">
        <v>1460.8230000000001</v>
      </c>
      <c r="N1251" s="6">
        <v>1460.8230000000001</v>
      </c>
      <c r="O1251" s="6">
        <v>1460.8230000000001</v>
      </c>
      <c r="P1251" s="6">
        <v>45</v>
      </c>
      <c r="Q1251" s="4" t="s">
        <v>26</v>
      </c>
      <c r="R1251" s="4">
        <v>0</v>
      </c>
      <c r="S1251" s="4" t="s">
        <v>391</v>
      </c>
      <c r="T1251" s="4" t="s">
        <v>636</v>
      </c>
      <c r="U1251" s="4">
        <v>0</v>
      </c>
      <c r="V1251" s="4">
        <v>46</v>
      </c>
      <c r="W1251" s="4">
        <v>83</v>
      </c>
    </row>
    <row r="1252" spans="1:23" ht="11.25" customHeight="1" x14ac:dyDescent="0.25">
      <c r="A1252" s="4" t="s">
        <v>21</v>
      </c>
      <c r="B1252" s="4" t="s">
        <v>46</v>
      </c>
      <c r="C1252" s="4" t="s">
        <v>23</v>
      </c>
      <c r="D1252" s="4" t="s">
        <v>47</v>
      </c>
      <c r="E1252" s="4" t="s">
        <v>48</v>
      </c>
      <c r="F1252" s="4" t="s">
        <v>25</v>
      </c>
      <c r="G1252" s="4" t="s">
        <v>25</v>
      </c>
      <c r="H1252" s="4" t="s">
        <v>25</v>
      </c>
      <c r="I1252" s="5">
        <v>44621</v>
      </c>
      <c r="J1252" s="6">
        <v>0</v>
      </c>
      <c r="K1252" s="6">
        <v>0</v>
      </c>
      <c r="L1252" s="6">
        <v>1607.24</v>
      </c>
      <c r="M1252" s="6">
        <v>1607.24</v>
      </c>
      <c r="N1252" s="6">
        <v>1607.24</v>
      </c>
      <c r="O1252" s="6">
        <v>1607.24</v>
      </c>
      <c r="P1252" s="6">
        <v>46</v>
      </c>
      <c r="Q1252" s="4" t="s">
        <v>26</v>
      </c>
      <c r="R1252" s="4">
        <v>0</v>
      </c>
      <c r="S1252" s="4" t="s">
        <v>392</v>
      </c>
      <c r="T1252" s="4" t="s">
        <v>637</v>
      </c>
      <c r="U1252" s="4">
        <v>0</v>
      </c>
      <c r="V1252" s="4">
        <v>46</v>
      </c>
      <c r="W1252" s="4">
        <v>83</v>
      </c>
    </row>
    <row r="1253" spans="1:23" ht="11.25" customHeight="1" x14ac:dyDescent="0.25">
      <c r="A1253" s="4" t="s">
        <v>27</v>
      </c>
      <c r="B1253" s="4" t="s">
        <v>46</v>
      </c>
      <c r="C1253" s="4" t="s">
        <v>23</v>
      </c>
      <c r="D1253" s="4" t="s">
        <v>47</v>
      </c>
      <c r="E1253" s="4" t="s">
        <v>48</v>
      </c>
      <c r="F1253" s="4" t="s">
        <v>25</v>
      </c>
      <c r="G1253" s="4" t="s">
        <v>25</v>
      </c>
      <c r="H1253" s="4" t="s">
        <v>25</v>
      </c>
      <c r="I1253" s="5">
        <v>44621</v>
      </c>
      <c r="J1253" s="6">
        <v>0</v>
      </c>
      <c r="K1253" s="6">
        <v>0</v>
      </c>
      <c r="L1253" s="6">
        <v>-12.583</v>
      </c>
      <c r="M1253" s="6">
        <v>-12.583</v>
      </c>
      <c r="N1253" s="6">
        <v>-12.583</v>
      </c>
      <c r="O1253" s="6">
        <v>-12.583</v>
      </c>
      <c r="P1253" s="6">
        <v>0</v>
      </c>
      <c r="Q1253" s="4" t="s">
        <v>26</v>
      </c>
      <c r="R1253" s="4">
        <v>0</v>
      </c>
      <c r="S1253" s="4" t="s">
        <v>392</v>
      </c>
      <c r="T1253" s="4" t="s">
        <v>637</v>
      </c>
      <c r="U1253" s="4">
        <v>0</v>
      </c>
      <c r="V1253" s="4">
        <v>46</v>
      </c>
      <c r="W1253" s="4">
        <v>83</v>
      </c>
    </row>
    <row r="1254" spans="1:23" ht="11.25" customHeight="1" x14ac:dyDescent="0.25">
      <c r="A1254" s="4" t="s">
        <v>21</v>
      </c>
      <c r="B1254" s="4" t="s">
        <v>46</v>
      </c>
      <c r="C1254" s="4" t="s">
        <v>23</v>
      </c>
      <c r="D1254" s="4" t="s">
        <v>47</v>
      </c>
      <c r="E1254" s="4" t="s">
        <v>48</v>
      </c>
      <c r="F1254" s="4" t="s">
        <v>25</v>
      </c>
      <c r="G1254" s="4" t="s">
        <v>25</v>
      </c>
      <c r="H1254" s="4" t="s">
        <v>25</v>
      </c>
      <c r="I1254" s="5">
        <v>44652</v>
      </c>
      <c r="J1254" s="6">
        <v>0</v>
      </c>
      <c r="K1254" s="6">
        <v>0</v>
      </c>
      <c r="L1254" s="6">
        <v>1552.9849999999999</v>
      </c>
      <c r="M1254" s="6">
        <v>1552.9849999999999</v>
      </c>
      <c r="N1254" s="6">
        <v>1552.9849999999999</v>
      </c>
      <c r="O1254" s="6">
        <v>1552.9849999999999</v>
      </c>
      <c r="P1254" s="6">
        <v>46</v>
      </c>
      <c r="Q1254" s="4" t="s">
        <v>26</v>
      </c>
      <c r="R1254" s="4">
        <v>0</v>
      </c>
      <c r="S1254" s="4" t="s">
        <v>393</v>
      </c>
      <c r="T1254" s="4" t="s">
        <v>638</v>
      </c>
      <c r="U1254" s="4">
        <v>0</v>
      </c>
      <c r="V1254" s="4">
        <v>46</v>
      </c>
      <c r="W1254" s="4">
        <v>83</v>
      </c>
    </row>
    <row r="1255" spans="1:23" ht="11.25" customHeight="1" x14ac:dyDescent="0.25">
      <c r="A1255" s="4" t="s">
        <v>21</v>
      </c>
      <c r="B1255" s="4" t="s">
        <v>46</v>
      </c>
      <c r="C1255" s="4" t="s">
        <v>23</v>
      </c>
      <c r="D1255" s="4" t="s">
        <v>47</v>
      </c>
      <c r="E1255" s="4" t="s">
        <v>48</v>
      </c>
      <c r="F1255" s="4" t="s">
        <v>25</v>
      </c>
      <c r="G1255" s="4" t="s">
        <v>25</v>
      </c>
      <c r="H1255" s="4" t="s">
        <v>25</v>
      </c>
      <c r="I1255" s="5">
        <v>44682</v>
      </c>
      <c r="J1255" s="6">
        <v>0</v>
      </c>
      <c r="K1255" s="6">
        <v>0</v>
      </c>
      <c r="L1255" s="6">
        <v>1606.31</v>
      </c>
      <c r="M1255" s="6">
        <v>1606.31</v>
      </c>
      <c r="N1255" s="6">
        <v>1606.31</v>
      </c>
      <c r="O1255" s="6">
        <v>1606.31</v>
      </c>
      <c r="P1255" s="6">
        <v>46</v>
      </c>
      <c r="Q1255" s="4" t="s">
        <v>26</v>
      </c>
      <c r="R1255" s="4">
        <v>0</v>
      </c>
      <c r="S1255" s="4" t="s">
        <v>394</v>
      </c>
      <c r="T1255" s="4" t="s">
        <v>639</v>
      </c>
      <c r="U1255" s="4">
        <v>0</v>
      </c>
      <c r="V1255" s="4">
        <v>46</v>
      </c>
      <c r="W1255" s="4">
        <v>83</v>
      </c>
    </row>
    <row r="1256" spans="1:23" ht="11.25" customHeight="1" x14ac:dyDescent="0.25">
      <c r="A1256" s="4" t="s">
        <v>27</v>
      </c>
      <c r="B1256" s="4" t="s">
        <v>46</v>
      </c>
      <c r="C1256" s="4" t="s">
        <v>23</v>
      </c>
      <c r="D1256" s="4" t="s">
        <v>47</v>
      </c>
      <c r="E1256" s="4" t="s">
        <v>48</v>
      </c>
      <c r="F1256" s="4" t="s">
        <v>25</v>
      </c>
      <c r="G1256" s="4" t="s">
        <v>25</v>
      </c>
      <c r="H1256" s="4" t="s">
        <v>25</v>
      </c>
      <c r="I1256" s="5">
        <v>44682</v>
      </c>
      <c r="J1256" s="6">
        <v>0</v>
      </c>
      <c r="K1256" s="6">
        <v>0</v>
      </c>
      <c r="L1256" s="6">
        <v>-0.91</v>
      </c>
      <c r="M1256" s="6">
        <v>-0.91</v>
      </c>
      <c r="N1256" s="6">
        <v>-0.91</v>
      </c>
      <c r="O1256" s="6">
        <v>-0.91</v>
      </c>
      <c r="P1256" s="6">
        <v>0</v>
      </c>
      <c r="Q1256" s="4" t="s">
        <v>26</v>
      </c>
      <c r="R1256" s="4">
        <v>0</v>
      </c>
      <c r="S1256" s="4" t="s">
        <v>394</v>
      </c>
      <c r="T1256" s="4" t="s">
        <v>639</v>
      </c>
      <c r="U1256" s="4">
        <v>0</v>
      </c>
      <c r="V1256" s="4">
        <v>46</v>
      </c>
      <c r="W1256" s="4">
        <v>83</v>
      </c>
    </row>
    <row r="1257" spans="1:23" ht="11.25" customHeight="1" x14ac:dyDescent="0.25">
      <c r="A1257" s="4" t="s">
        <v>21</v>
      </c>
      <c r="B1257" s="4" t="s">
        <v>46</v>
      </c>
      <c r="C1257" s="4" t="s">
        <v>23</v>
      </c>
      <c r="D1257" s="4" t="s">
        <v>47</v>
      </c>
      <c r="E1257" s="4" t="s">
        <v>48</v>
      </c>
      <c r="F1257" s="4" t="s">
        <v>25</v>
      </c>
      <c r="G1257" s="4" t="s">
        <v>25</v>
      </c>
      <c r="H1257" s="4" t="s">
        <v>25</v>
      </c>
      <c r="I1257" s="5">
        <v>44713</v>
      </c>
      <c r="J1257" s="6">
        <v>0</v>
      </c>
      <c r="K1257" s="6">
        <v>0</v>
      </c>
      <c r="L1257" s="6">
        <v>1564.44</v>
      </c>
      <c r="M1257" s="6">
        <v>1564.44</v>
      </c>
      <c r="N1257" s="6">
        <v>1564.44</v>
      </c>
      <c r="O1257" s="6">
        <v>1564.44</v>
      </c>
      <c r="P1257" s="6">
        <v>53</v>
      </c>
      <c r="Q1257" s="4" t="s">
        <v>26</v>
      </c>
      <c r="R1257" s="4">
        <v>0</v>
      </c>
      <c r="S1257" s="4" t="s">
        <v>395</v>
      </c>
      <c r="T1257" s="4" t="s">
        <v>640</v>
      </c>
      <c r="U1257" s="4">
        <v>0</v>
      </c>
      <c r="V1257" s="4">
        <v>46</v>
      </c>
      <c r="W1257" s="4">
        <v>83</v>
      </c>
    </row>
    <row r="1258" spans="1:23" ht="11.25" customHeight="1" x14ac:dyDescent="0.25">
      <c r="A1258" s="4" t="s">
        <v>21</v>
      </c>
      <c r="B1258" s="4" t="s">
        <v>46</v>
      </c>
      <c r="C1258" s="4" t="s">
        <v>23</v>
      </c>
      <c r="D1258" s="4" t="s">
        <v>47</v>
      </c>
      <c r="E1258" s="4" t="s">
        <v>48</v>
      </c>
      <c r="F1258" s="4" t="s">
        <v>25</v>
      </c>
      <c r="G1258" s="4" t="s">
        <v>25</v>
      </c>
      <c r="H1258" s="4" t="s">
        <v>25</v>
      </c>
      <c r="I1258" s="5">
        <v>44743</v>
      </c>
      <c r="J1258" s="6">
        <v>0</v>
      </c>
      <c r="K1258" s="6">
        <v>0</v>
      </c>
      <c r="L1258" s="6">
        <v>1613.4590000000001</v>
      </c>
      <c r="M1258" s="6">
        <v>1613.4590000000001</v>
      </c>
      <c r="N1258" s="6">
        <v>1613.4590000000001</v>
      </c>
      <c r="O1258" s="6">
        <v>1613.4590000000001</v>
      </c>
      <c r="P1258" s="6">
        <v>55</v>
      </c>
      <c r="Q1258" s="4" t="s">
        <v>26</v>
      </c>
      <c r="R1258" s="4">
        <v>0</v>
      </c>
      <c r="S1258" s="4" t="s">
        <v>396</v>
      </c>
      <c r="T1258" s="4" t="s">
        <v>641</v>
      </c>
      <c r="U1258" s="4">
        <v>0</v>
      </c>
      <c r="V1258" s="4">
        <v>46</v>
      </c>
      <c r="W1258" s="4">
        <v>83</v>
      </c>
    </row>
    <row r="1259" spans="1:23" ht="11.25" customHeight="1" x14ac:dyDescent="0.25">
      <c r="A1259" s="4" t="s">
        <v>27</v>
      </c>
      <c r="B1259" s="4" t="s">
        <v>46</v>
      </c>
      <c r="C1259" s="4" t="s">
        <v>23</v>
      </c>
      <c r="D1259" s="4" t="s">
        <v>47</v>
      </c>
      <c r="E1259" s="4" t="s">
        <v>48</v>
      </c>
      <c r="F1259" s="4" t="s">
        <v>25</v>
      </c>
      <c r="G1259" s="4" t="s">
        <v>25</v>
      </c>
      <c r="H1259" s="4" t="s">
        <v>25</v>
      </c>
      <c r="I1259" s="5">
        <v>44743</v>
      </c>
      <c r="J1259" s="6">
        <v>0</v>
      </c>
      <c r="K1259" s="6">
        <v>0</v>
      </c>
      <c r="L1259" s="6">
        <v>-6.8760000000000003</v>
      </c>
      <c r="M1259" s="6">
        <v>-6.8760000000000003</v>
      </c>
      <c r="N1259" s="6">
        <v>-6.8760000000000003</v>
      </c>
      <c r="O1259" s="6">
        <v>-6.8760000000000003</v>
      </c>
      <c r="P1259" s="6">
        <v>0</v>
      </c>
      <c r="Q1259" s="4" t="s">
        <v>26</v>
      </c>
      <c r="R1259" s="4">
        <v>0</v>
      </c>
      <c r="S1259" s="4" t="s">
        <v>396</v>
      </c>
      <c r="T1259" s="4" t="s">
        <v>641</v>
      </c>
      <c r="U1259" s="4">
        <v>0</v>
      </c>
      <c r="V1259" s="4">
        <v>46</v>
      </c>
      <c r="W1259" s="4">
        <v>83</v>
      </c>
    </row>
    <row r="1260" spans="1:23" ht="11.25" customHeight="1" x14ac:dyDescent="0.25">
      <c r="A1260" s="4" t="s">
        <v>56</v>
      </c>
      <c r="B1260" s="4" t="s">
        <v>46</v>
      </c>
      <c r="C1260" s="4" t="s">
        <v>23</v>
      </c>
      <c r="D1260" s="4" t="s">
        <v>47</v>
      </c>
      <c r="E1260" s="4" t="s">
        <v>48</v>
      </c>
      <c r="F1260" s="4" t="s">
        <v>25</v>
      </c>
      <c r="G1260" s="4" t="s">
        <v>25</v>
      </c>
      <c r="H1260" s="4" t="s">
        <v>25</v>
      </c>
      <c r="I1260" s="5">
        <v>44774</v>
      </c>
      <c r="J1260" s="6">
        <v>0</v>
      </c>
      <c r="K1260" s="6">
        <v>0</v>
      </c>
      <c r="L1260" s="6">
        <v>1613.4590000000001</v>
      </c>
      <c r="M1260" s="6">
        <v>1613.4590000000001</v>
      </c>
      <c r="N1260" s="6">
        <v>1613.4590000000001</v>
      </c>
      <c r="O1260" s="6">
        <v>1613.4590000000001</v>
      </c>
      <c r="P1260" s="6">
        <v>55</v>
      </c>
      <c r="Q1260" s="4" t="s">
        <v>26</v>
      </c>
      <c r="R1260" s="4">
        <v>0</v>
      </c>
      <c r="S1260" s="4" t="s">
        <v>397</v>
      </c>
      <c r="T1260" s="4" t="s">
        <v>642</v>
      </c>
      <c r="U1260" s="4">
        <v>0</v>
      </c>
      <c r="V1260" s="4">
        <v>46</v>
      </c>
      <c r="W1260" s="4">
        <v>83</v>
      </c>
    </row>
    <row r="1261" spans="1:23" ht="11.25" customHeight="1" x14ac:dyDescent="0.25">
      <c r="A1261" s="4" t="s">
        <v>56</v>
      </c>
      <c r="B1261" s="4" t="s">
        <v>46</v>
      </c>
      <c r="C1261" s="4" t="s">
        <v>23</v>
      </c>
      <c r="D1261" s="4" t="s">
        <v>47</v>
      </c>
      <c r="E1261" s="4" t="s">
        <v>48</v>
      </c>
      <c r="F1261" s="4" t="s">
        <v>25</v>
      </c>
      <c r="G1261" s="4" t="s">
        <v>25</v>
      </c>
      <c r="H1261" s="4" t="s">
        <v>25</v>
      </c>
      <c r="I1261" s="5">
        <v>44774</v>
      </c>
      <c r="J1261" s="6">
        <v>0</v>
      </c>
      <c r="K1261" s="6">
        <v>0</v>
      </c>
      <c r="L1261" s="6">
        <v>-6.8760000000000003</v>
      </c>
      <c r="M1261" s="6">
        <v>-6.8760000000000003</v>
      </c>
      <c r="N1261" s="6">
        <v>-6.8760000000000003</v>
      </c>
      <c r="O1261" s="6">
        <v>-6.8760000000000003</v>
      </c>
      <c r="P1261" s="6">
        <v>0</v>
      </c>
      <c r="Q1261" s="4" t="s">
        <v>26</v>
      </c>
      <c r="R1261" s="4">
        <v>0</v>
      </c>
      <c r="S1261" s="4" t="s">
        <v>397</v>
      </c>
      <c r="T1261" s="4" t="s">
        <v>642</v>
      </c>
      <c r="U1261" s="4">
        <v>0</v>
      </c>
      <c r="V1261" s="4">
        <v>46</v>
      </c>
      <c r="W1261" s="4">
        <v>83</v>
      </c>
    </row>
  </sheetData>
  <sortState xmlns:xlrd2="http://schemas.microsoft.com/office/spreadsheetml/2017/richdata2" ref="A2:W1261">
    <sortCondition ref="B2:B1261"/>
    <sortCondition ref="C2:C1261"/>
    <sortCondition ref="D2:D1261"/>
    <sortCondition ref="E2:E1261"/>
    <sortCondition ref="F2:F1261"/>
    <sortCondition ref="H2:H126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F4CE-BA27-4C14-B8DB-9FAAA8E39E63}">
  <dimension ref="A1:H111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64</v>
      </c>
      <c r="B1" s="7" t="s">
        <v>65</v>
      </c>
      <c r="C1" s="7" t="s">
        <v>66</v>
      </c>
      <c r="D1" s="7" t="s">
        <v>67</v>
      </c>
      <c r="E1" s="7" t="s">
        <v>68</v>
      </c>
      <c r="G1" s="7" t="s">
        <v>69</v>
      </c>
      <c r="H1" s="7">
        <f>COUNTA(A:A)</f>
        <v>111</v>
      </c>
    </row>
    <row r="2" spans="1:8" ht="11.25" customHeight="1" x14ac:dyDescent="0.25">
      <c r="A2" s="8" t="s">
        <v>423</v>
      </c>
      <c r="B2" s="8" t="s">
        <v>424</v>
      </c>
      <c r="C2" s="8" t="s">
        <v>425</v>
      </c>
      <c r="D2" s="8">
        <v>244</v>
      </c>
      <c r="E2" s="8" t="s">
        <v>426</v>
      </c>
    </row>
    <row r="3" spans="1:8" ht="11.25" customHeight="1" x14ac:dyDescent="0.25">
      <c r="A3" s="8" t="s">
        <v>423</v>
      </c>
      <c r="B3" s="8" t="s">
        <v>424</v>
      </c>
      <c r="C3" s="8" t="s">
        <v>425</v>
      </c>
      <c r="D3" s="8">
        <v>245</v>
      </c>
      <c r="E3" s="8" t="s">
        <v>426</v>
      </c>
    </row>
    <row r="4" spans="1:8" ht="11.25" customHeight="1" x14ac:dyDescent="0.25">
      <c r="A4" s="8" t="s">
        <v>423</v>
      </c>
      <c r="B4" s="8" t="s">
        <v>424</v>
      </c>
      <c r="C4" s="8" t="s">
        <v>425</v>
      </c>
      <c r="D4" s="8">
        <v>246</v>
      </c>
      <c r="E4" s="8" t="s">
        <v>426</v>
      </c>
    </row>
    <row r="5" spans="1:8" ht="11.25" customHeight="1" x14ac:dyDescent="0.25">
      <c r="A5" s="8" t="s">
        <v>423</v>
      </c>
      <c r="B5" s="8" t="s">
        <v>424</v>
      </c>
      <c r="C5" s="8" t="s">
        <v>425</v>
      </c>
      <c r="D5" s="8">
        <v>247</v>
      </c>
      <c r="E5" s="8" t="s">
        <v>426</v>
      </c>
    </row>
    <row r="6" spans="1:8" ht="11.25" customHeight="1" x14ac:dyDescent="0.25">
      <c r="A6" s="8" t="s">
        <v>423</v>
      </c>
      <c r="B6" s="8" t="s">
        <v>424</v>
      </c>
      <c r="C6" s="8" t="s">
        <v>425</v>
      </c>
      <c r="D6" s="8">
        <v>248</v>
      </c>
      <c r="E6" s="8" t="s">
        <v>426</v>
      </c>
    </row>
    <row r="7" spans="1:8" ht="11.25" customHeight="1" x14ac:dyDescent="0.25">
      <c r="A7" s="8" t="s">
        <v>423</v>
      </c>
      <c r="B7" s="8" t="s">
        <v>424</v>
      </c>
      <c r="C7" s="8" t="s">
        <v>425</v>
      </c>
      <c r="D7" s="8">
        <v>249</v>
      </c>
      <c r="E7" s="8" t="s">
        <v>426</v>
      </c>
    </row>
    <row r="8" spans="1:8" ht="11.25" customHeight="1" x14ac:dyDescent="0.25">
      <c r="A8" s="8" t="s">
        <v>423</v>
      </c>
      <c r="B8" s="8" t="s">
        <v>424</v>
      </c>
      <c r="C8" s="8" t="s">
        <v>425</v>
      </c>
      <c r="D8" s="8">
        <v>250</v>
      </c>
      <c r="E8" s="8" t="s">
        <v>426</v>
      </c>
    </row>
    <row r="9" spans="1:8" ht="11.25" customHeight="1" x14ac:dyDescent="0.25">
      <c r="A9" s="8" t="s">
        <v>423</v>
      </c>
      <c r="B9" s="8" t="s">
        <v>424</v>
      </c>
      <c r="C9" s="8" t="s">
        <v>425</v>
      </c>
      <c r="D9" s="8">
        <v>251</v>
      </c>
      <c r="E9" s="8" t="s">
        <v>426</v>
      </c>
    </row>
    <row r="10" spans="1:8" ht="11.25" customHeight="1" x14ac:dyDescent="0.25">
      <c r="A10" s="8" t="s">
        <v>423</v>
      </c>
      <c r="B10" s="8" t="s">
        <v>424</v>
      </c>
      <c r="C10" s="8" t="s">
        <v>425</v>
      </c>
      <c r="D10" s="8">
        <v>252</v>
      </c>
      <c r="E10" s="8" t="s">
        <v>426</v>
      </c>
    </row>
    <row r="11" spans="1:8" ht="11.25" customHeight="1" x14ac:dyDescent="0.25">
      <c r="A11" s="8" t="s">
        <v>423</v>
      </c>
      <c r="B11" s="8" t="s">
        <v>424</v>
      </c>
      <c r="C11" s="8" t="s">
        <v>425</v>
      </c>
      <c r="D11" s="8">
        <v>253</v>
      </c>
      <c r="E11" s="8" t="s">
        <v>426</v>
      </c>
    </row>
    <row r="12" spans="1:8" ht="11.25" customHeight="1" x14ac:dyDescent="0.25">
      <c r="A12" s="8" t="s">
        <v>423</v>
      </c>
      <c r="B12" s="8" t="s">
        <v>424</v>
      </c>
      <c r="C12" s="8" t="s">
        <v>425</v>
      </c>
      <c r="D12" s="8">
        <v>254</v>
      </c>
      <c r="E12" s="8" t="s">
        <v>426</v>
      </c>
    </row>
    <row r="13" spans="1:8" ht="11.25" customHeight="1" x14ac:dyDescent="0.25">
      <c r="A13" s="8" t="s">
        <v>423</v>
      </c>
      <c r="B13" s="8" t="s">
        <v>424</v>
      </c>
      <c r="C13" s="8" t="s">
        <v>425</v>
      </c>
      <c r="D13" s="8">
        <v>255</v>
      </c>
      <c r="E13" s="8" t="s">
        <v>426</v>
      </c>
    </row>
    <row r="14" spans="1:8" ht="11.25" customHeight="1" x14ac:dyDescent="0.25">
      <c r="A14" s="8" t="s">
        <v>423</v>
      </c>
      <c r="B14" s="8" t="s">
        <v>424</v>
      </c>
      <c r="C14" s="8" t="s">
        <v>425</v>
      </c>
      <c r="D14" s="8">
        <v>256</v>
      </c>
      <c r="E14" s="8" t="s">
        <v>426</v>
      </c>
    </row>
    <row r="15" spans="1:8" ht="11.25" customHeight="1" x14ac:dyDescent="0.25">
      <c r="A15" s="8" t="s">
        <v>423</v>
      </c>
      <c r="B15" s="8" t="s">
        <v>424</v>
      </c>
      <c r="C15" s="8" t="s">
        <v>425</v>
      </c>
      <c r="D15" s="8">
        <v>257</v>
      </c>
      <c r="E15" s="8" t="s">
        <v>426</v>
      </c>
    </row>
    <row r="16" spans="1:8" ht="11.25" customHeight="1" x14ac:dyDescent="0.25">
      <c r="A16" s="8" t="s">
        <v>423</v>
      </c>
      <c r="B16" s="8" t="s">
        <v>424</v>
      </c>
      <c r="C16" s="8" t="s">
        <v>425</v>
      </c>
      <c r="D16" s="8">
        <v>258</v>
      </c>
      <c r="E16" s="8" t="s">
        <v>426</v>
      </c>
    </row>
    <row r="17" spans="1:5" ht="11.25" customHeight="1" x14ac:dyDescent="0.25">
      <c r="A17" s="8" t="s">
        <v>423</v>
      </c>
      <c r="B17" s="8" t="s">
        <v>424</v>
      </c>
      <c r="C17" s="8" t="s">
        <v>425</v>
      </c>
      <c r="D17" s="8">
        <v>259</v>
      </c>
      <c r="E17" s="8" t="s">
        <v>426</v>
      </c>
    </row>
    <row r="18" spans="1:5" ht="11.25" customHeight="1" x14ac:dyDescent="0.25">
      <c r="A18" s="8" t="s">
        <v>423</v>
      </c>
      <c r="B18" s="8" t="s">
        <v>424</v>
      </c>
      <c r="C18" s="8" t="s">
        <v>425</v>
      </c>
      <c r="D18" s="8">
        <v>260</v>
      </c>
      <c r="E18" s="8" t="s">
        <v>426</v>
      </c>
    </row>
    <row r="19" spans="1:5" ht="11.25" customHeight="1" x14ac:dyDescent="0.25">
      <c r="A19" s="8" t="s">
        <v>423</v>
      </c>
      <c r="B19" s="8" t="s">
        <v>424</v>
      </c>
      <c r="C19" s="8" t="s">
        <v>425</v>
      </c>
      <c r="D19" s="8">
        <v>261</v>
      </c>
      <c r="E19" s="8" t="s">
        <v>426</v>
      </c>
    </row>
    <row r="20" spans="1:5" ht="11.25" customHeight="1" x14ac:dyDescent="0.25">
      <c r="A20" s="8" t="s">
        <v>423</v>
      </c>
      <c r="B20" s="8" t="s">
        <v>424</v>
      </c>
      <c r="C20" s="8" t="s">
        <v>425</v>
      </c>
      <c r="D20" s="8">
        <v>262</v>
      </c>
      <c r="E20" s="8" t="s">
        <v>426</v>
      </c>
    </row>
    <row r="21" spans="1:5" ht="11.25" customHeight="1" x14ac:dyDescent="0.25">
      <c r="A21" s="8" t="s">
        <v>423</v>
      </c>
      <c r="B21" s="8" t="s">
        <v>424</v>
      </c>
      <c r="C21" s="8" t="s">
        <v>425</v>
      </c>
      <c r="D21" s="8">
        <v>263</v>
      </c>
      <c r="E21" s="8" t="s">
        <v>426</v>
      </c>
    </row>
    <row r="22" spans="1:5" ht="11.25" customHeight="1" x14ac:dyDescent="0.25">
      <c r="A22" s="8" t="s">
        <v>423</v>
      </c>
      <c r="B22" s="8" t="s">
        <v>424</v>
      </c>
      <c r="C22" s="8" t="s">
        <v>425</v>
      </c>
      <c r="D22" s="8">
        <v>264</v>
      </c>
      <c r="E22" s="8" t="s">
        <v>426</v>
      </c>
    </row>
    <row r="23" spans="1:5" ht="11.25" customHeight="1" x14ac:dyDescent="0.25">
      <c r="A23" s="8" t="s">
        <v>423</v>
      </c>
      <c r="B23" s="8" t="s">
        <v>424</v>
      </c>
      <c r="C23" s="8" t="s">
        <v>425</v>
      </c>
      <c r="D23" s="8">
        <v>265</v>
      </c>
      <c r="E23" s="8" t="s">
        <v>426</v>
      </c>
    </row>
    <row r="24" spans="1:5" ht="11.25" customHeight="1" x14ac:dyDescent="0.25">
      <c r="A24" s="8" t="s">
        <v>423</v>
      </c>
      <c r="B24" s="8" t="s">
        <v>424</v>
      </c>
      <c r="C24" s="8" t="s">
        <v>425</v>
      </c>
      <c r="D24" s="8">
        <v>266</v>
      </c>
      <c r="E24" s="8" t="s">
        <v>426</v>
      </c>
    </row>
    <row r="25" spans="1:5" ht="11.25" customHeight="1" x14ac:dyDescent="0.25">
      <c r="A25" s="8" t="s">
        <v>423</v>
      </c>
      <c r="B25" s="8" t="s">
        <v>424</v>
      </c>
      <c r="C25" s="8" t="s">
        <v>425</v>
      </c>
      <c r="D25" s="8">
        <v>267</v>
      </c>
      <c r="E25" s="8" t="s">
        <v>426</v>
      </c>
    </row>
    <row r="26" spans="1:5" ht="11.25" customHeight="1" x14ac:dyDescent="0.25">
      <c r="A26" s="8" t="s">
        <v>423</v>
      </c>
      <c r="B26" s="8" t="s">
        <v>424</v>
      </c>
      <c r="C26" s="8" t="s">
        <v>425</v>
      </c>
      <c r="D26" s="8">
        <v>268</v>
      </c>
      <c r="E26" s="8" t="s">
        <v>426</v>
      </c>
    </row>
    <row r="27" spans="1:5" ht="11.25" customHeight="1" x14ac:dyDescent="0.25">
      <c r="A27" s="8" t="s">
        <v>423</v>
      </c>
      <c r="B27" s="8" t="s">
        <v>424</v>
      </c>
      <c r="C27" s="8" t="s">
        <v>425</v>
      </c>
      <c r="D27" s="8">
        <v>269</v>
      </c>
      <c r="E27" s="8" t="s">
        <v>426</v>
      </c>
    </row>
    <row r="28" spans="1:5" ht="11.25" customHeight="1" x14ac:dyDescent="0.25">
      <c r="A28" s="8" t="s">
        <v>423</v>
      </c>
      <c r="B28" s="8" t="s">
        <v>424</v>
      </c>
      <c r="C28" s="8" t="s">
        <v>425</v>
      </c>
      <c r="D28" s="8">
        <v>270</v>
      </c>
      <c r="E28" s="8" t="s">
        <v>426</v>
      </c>
    </row>
    <row r="29" spans="1:5" ht="11.25" customHeight="1" x14ac:dyDescent="0.25">
      <c r="A29" s="8" t="s">
        <v>423</v>
      </c>
      <c r="B29" s="8" t="s">
        <v>424</v>
      </c>
      <c r="C29" s="8" t="s">
        <v>425</v>
      </c>
      <c r="D29" s="8">
        <v>307</v>
      </c>
      <c r="E29" s="8" t="s">
        <v>426</v>
      </c>
    </row>
    <row r="30" spans="1:5" ht="11.25" customHeight="1" x14ac:dyDescent="0.25">
      <c r="A30" s="8" t="s">
        <v>423</v>
      </c>
      <c r="B30" s="8" t="s">
        <v>424</v>
      </c>
      <c r="C30" s="8" t="s">
        <v>425</v>
      </c>
      <c r="D30" s="8">
        <v>308</v>
      </c>
      <c r="E30" s="8" t="s">
        <v>426</v>
      </c>
    </row>
    <row r="31" spans="1:5" ht="11.25" customHeight="1" x14ac:dyDescent="0.25">
      <c r="A31" s="8" t="s">
        <v>423</v>
      </c>
      <c r="B31" s="8" t="s">
        <v>424</v>
      </c>
      <c r="C31" s="8" t="s">
        <v>425</v>
      </c>
      <c r="D31" s="8">
        <v>309</v>
      </c>
      <c r="E31" s="8" t="s">
        <v>426</v>
      </c>
    </row>
    <row r="32" spans="1:5" ht="11.25" customHeight="1" x14ac:dyDescent="0.25">
      <c r="A32" s="8" t="s">
        <v>423</v>
      </c>
      <c r="B32" s="8" t="s">
        <v>424</v>
      </c>
      <c r="C32" s="8" t="s">
        <v>425</v>
      </c>
      <c r="D32" s="8">
        <v>310</v>
      </c>
      <c r="E32" s="8" t="s">
        <v>426</v>
      </c>
    </row>
    <row r="33" spans="1:5" ht="11.25" customHeight="1" x14ac:dyDescent="0.25">
      <c r="A33" s="8" t="s">
        <v>423</v>
      </c>
      <c r="B33" s="8" t="s">
        <v>424</v>
      </c>
      <c r="C33" s="8" t="s">
        <v>425</v>
      </c>
      <c r="D33" s="8">
        <v>311</v>
      </c>
      <c r="E33" s="8" t="s">
        <v>426</v>
      </c>
    </row>
    <row r="34" spans="1:5" ht="11.25" customHeight="1" x14ac:dyDescent="0.25">
      <c r="A34" s="8" t="s">
        <v>423</v>
      </c>
      <c r="B34" s="8" t="s">
        <v>424</v>
      </c>
      <c r="C34" s="8" t="s">
        <v>425</v>
      </c>
      <c r="D34" s="8">
        <v>312</v>
      </c>
      <c r="E34" s="8" t="s">
        <v>426</v>
      </c>
    </row>
    <row r="35" spans="1:5" ht="11.25" customHeight="1" x14ac:dyDescent="0.25">
      <c r="A35" s="8" t="s">
        <v>423</v>
      </c>
      <c r="B35" s="8" t="s">
        <v>424</v>
      </c>
      <c r="C35" s="8" t="s">
        <v>425</v>
      </c>
      <c r="D35" s="8">
        <v>313</v>
      </c>
      <c r="E35" s="8" t="s">
        <v>426</v>
      </c>
    </row>
    <row r="36" spans="1:5" ht="11.25" customHeight="1" x14ac:dyDescent="0.25">
      <c r="A36" s="8" t="s">
        <v>423</v>
      </c>
      <c r="B36" s="8" t="s">
        <v>424</v>
      </c>
      <c r="C36" s="8" t="s">
        <v>425</v>
      </c>
      <c r="D36" s="8">
        <v>314</v>
      </c>
      <c r="E36" s="8" t="s">
        <v>426</v>
      </c>
    </row>
    <row r="37" spans="1:5" ht="11.25" customHeight="1" x14ac:dyDescent="0.25">
      <c r="A37" s="8" t="s">
        <v>423</v>
      </c>
      <c r="B37" s="8" t="s">
        <v>424</v>
      </c>
      <c r="C37" s="8" t="s">
        <v>425</v>
      </c>
      <c r="D37" s="8">
        <v>315</v>
      </c>
      <c r="E37" s="8" t="s">
        <v>426</v>
      </c>
    </row>
    <row r="38" spans="1:5" ht="11.25" customHeight="1" x14ac:dyDescent="0.25">
      <c r="A38" s="8" t="s">
        <v>423</v>
      </c>
      <c r="B38" s="8" t="s">
        <v>424</v>
      </c>
      <c r="C38" s="8" t="s">
        <v>425</v>
      </c>
      <c r="D38" s="8">
        <v>316</v>
      </c>
      <c r="E38" s="8" t="s">
        <v>426</v>
      </c>
    </row>
    <row r="39" spans="1:5" ht="11.25" customHeight="1" x14ac:dyDescent="0.25">
      <c r="A39" s="8" t="s">
        <v>423</v>
      </c>
      <c r="B39" s="8" t="s">
        <v>424</v>
      </c>
      <c r="C39" s="8" t="s">
        <v>425</v>
      </c>
      <c r="D39" s="8">
        <v>317</v>
      </c>
      <c r="E39" s="8" t="s">
        <v>426</v>
      </c>
    </row>
    <row r="40" spans="1:5" ht="11.25" customHeight="1" x14ac:dyDescent="0.25">
      <c r="A40" s="8" t="s">
        <v>423</v>
      </c>
      <c r="B40" s="8" t="s">
        <v>424</v>
      </c>
      <c r="C40" s="8" t="s">
        <v>425</v>
      </c>
      <c r="D40" s="8">
        <v>318</v>
      </c>
      <c r="E40" s="8" t="s">
        <v>426</v>
      </c>
    </row>
    <row r="41" spans="1:5" ht="11.25" customHeight="1" x14ac:dyDescent="0.25">
      <c r="A41" s="8" t="s">
        <v>423</v>
      </c>
      <c r="B41" s="8" t="s">
        <v>424</v>
      </c>
      <c r="C41" s="8" t="s">
        <v>425</v>
      </c>
      <c r="D41" s="8">
        <v>395</v>
      </c>
      <c r="E41" s="8" t="s">
        <v>426</v>
      </c>
    </row>
    <row r="42" spans="1:5" ht="11.25" customHeight="1" x14ac:dyDescent="0.25">
      <c r="A42" s="8" t="s">
        <v>423</v>
      </c>
      <c r="B42" s="8" t="s">
        <v>424</v>
      </c>
      <c r="C42" s="8" t="s">
        <v>425</v>
      </c>
      <c r="D42" s="8">
        <v>396</v>
      </c>
      <c r="E42" s="8" t="s">
        <v>426</v>
      </c>
    </row>
    <row r="43" spans="1:5" ht="11.25" customHeight="1" x14ac:dyDescent="0.25">
      <c r="A43" s="8" t="s">
        <v>423</v>
      </c>
      <c r="B43" s="8" t="s">
        <v>424</v>
      </c>
      <c r="C43" s="8" t="s">
        <v>425</v>
      </c>
      <c r="D43" s="8">
        <v>397</v>
      </c>
      <c r="E43" s="8" t="s">
        <v>426</v>
      </c>
    </row>
    <row r="44" spans="1:5" ht="11.25" customHeight="1" x14ac:dyDescent="0.25">
      <c r="A44" s="8" t="s">
        <v>423</v>
      </c>
      <c r="B44" s="8" t="s">
        <v>424</v>
      </c>
      <c r="C44" s="8" t="s">
        <v>425</v>
      </c>
      <c r="D44" s="8">
        <v>398</v>
      </c>
      <c r="E44" s="8" t="s">
        <v>426</v>
      </c>
    </row>
    <row r="45" spans="1:5" ht="11.25" customHeight="1" x14ac:dyDescent="0.25">
      <c r="A45" s="8" t="s">
        <v>423</v>
      </c>
      <c r="B45" s="8" t="s">
        <v>424</v>
      </c>
      <c r="C45" s="8" t="s">
        <v>425</v>
      </c>
      <c r="D45" s="8">
        <v>399</v>
      </c>
      <c r="E45" s="8" t="s">
        <v>426</v>
      </c>
    </row>
    <row r="46" spans="1:5" ht="11.25" customHeight="1" x14ac:dyDescent="0.25">
      <c r="A46" s="8" t="s">
        <v>423</v>
      </c>
      <c r="B46" s="8" t="s">
        <v>424</v>
      </c>
      <c r="C46" s="8" t="s">
        <v>425</v>
      </c>
      <c r="D46" s="8">
        <v>400</v>
      </c>
      <c r="E46" s="8" t="s">
        <v>426</v>
      </c>
    </row>
    <row r="47" spans="1:5" ht="11.25" customHeight="1" x14ac:dyDescent="0.25">
      <c r="A47" s="8" t="s">
        <v>423</v>
      </c>
      <c r="B47" s="8" t="s">
        <v>424</v>
      </c>
      <c r="C47" s="8" t="s">
        <v>425</v>
      </c>
      <c r="D47" s="8">
        <v>401</v>
      </c>
      <c r="E47" s="8" t="s">
        <v>426</v>
      </c>
    </row>
    <row r="48" spans="1:5" ht="11.25" customHeight="1" x14ac:dyDescent="0.25">
      <c r="A48" s="8" t="s">
        <v>423</v>
      </c>
      <c r="B48" s="8" t="s">
        <v>424</v>
      </c>
      <c r="C48" s="8" t="s">
        <v>425</v>
      </c>
      <c r="D48" s="8">
        <v>402</v>
      </c>
      <c r="E48" s="8" t="s">
        <v>426</v>
      </c>
    </row>
    <row r="49" spans="1:5" ht="11.25" customHeight="1" x14ac:dyDescent="0.25">
      <c r="A49" s="8" t="s">
        <v>423</v>
      </c>
      <c r="B49" s="8" t="s">
        <v>424</v>
      </c>
      <c r="C49" s="8" t="s">
        <v>425</v>
      </c>
      <c r="D49" s="8">
        <v>403</v>
      </c>
      <c r="E49" s="8" t="s">
        <v>426</v>
      </c>
    </row>
    <row r="50" spans="1:5" ht="11.25" customHeight="1" x14ac:dyDescent="0.25">
      <c r="A50" s="8" t="s">
        <v>423</v>
      </c>
      <c r="B50" s="8" t="s">
        <v>424</v>
      </c>
      <c r="C50" s="8" t="s">
        <v>425</v>
      </c>
      <c r="D50" s="8">
        <v>404</v>
      </c>
      <c r="E50" s="8" t="s">
        <v>426</v>
      </c>
    </row>
    <row r="51" spans="1:5" ht="11.25" customHeight="1" x14ac:dyDescent="0.25">
      <c r="A51" s="8" t="s">
        <v>423</v>
      </c>
      <c r="B51" s="8" t="s">
        <v>424</v>
      </c>
      <c r="C51" s="8" t="s">
        <v>425</v>
      </c>
      <c r="D51" s="8">
        <v>405</v>
      </c>
      <c r="E51" s="8" t="s">
        <v>426</v>
      </c>
    </row>
    <row r="52" spans="1:5" ht="11.25" customHeight="1" x14ac:dyDescent="0.25">
      <c r="A52" s="8" t="s">
        <v>423</v>
      </c>
      <c r="B52" s="8" t="s">
        <v>424</v>
      </c>
      <c r="C52" s="8" t="s">
        <v>425</v>
      </c>
      <c r="D52" s="8">
        <v>406</v>
      </c>
      <c r="E52" s="8" t="s">
        <v>426</v>
      </c>
    </row>
    <row r="53" spans="1:5" ht="11.25" customHeight="1" x14ac:dyDescent="0.25">
      <c r="A53" s="8" t="s">
        <v>423</v>
      </c>
      <c r="B53" s="8" t="s">
        <v>424</v>
      </c>
      <c r="C53" s="8" t="s">
        <v>425</v>
      </c>
      <c r="D53" s="8">
        <v>407</v>
      </c>
      <c r="E53" s="8" t="s">
        <v>426</v>
      </c>
    </row>
    <row r="54" spans="1:5" ht="11.25" customHeight="1" x14ac:dyDescent="0.25">
      <c r="A54" s="8" t="s">
        <v>423</v>
      </c>
      <c r="B54" s="8" t="s">
        <v>424</v>
      </c>
      <c r="C54" s="8" t="s">
        <v>425</v>
      </c>
      <c r="D54" s="8">
        <v>408</v>
      </c>
      <c r="E54" s="8" t="s">
        <v>426</v>
      </c>
    </row>
    <row r="55" spans="1:5" ht="11.25" customHeight="1" x14ac:dyDescent="0.25">
      <c r="A55" s="8" t="s">
        <v>423</v>
      </c>
      <c r="B55" s="8" t="s">
        <v>424</v>
      </c>
      <c r="C55" s="8" t="s">
        <v>425</v>
      </c>
      <c r="D55" s="8">
        <v>409</v>
      </c>
      <c r="E55" s="8" t="s">
        <v>426</v>
      </c>
    </row>
    <row r="56" spans="1:5" ht="11.25" customHeight="1" x14ac:dyDescent="0.25">
      <c r="A56" s="8" t="s">
        <v>423</v>
      </c>
      <c r="B56" s="8" t="s">
        <v>424</v>
      </c>
      <c r="C56" s="8" t="s">
        <v>425</v>
      </c>
      <c r="D56" s="8">
        <v>410</v>
      </c>
      <c r="E56" s="8" t="s">
        <v>426</v>
      </c>
    </row>
    <row r="57" spans="1:5" ht="11.25" customHeight="1" x14ac:dyDescent="0.25">
      <c r="A57" s="8" t="s">
        <v>423</v>
      </c>
      <c r="B57" s="8" t="s">
        <v>424</v>
      </c>
      <c r="C57" s="8" t="s">
        <v>425</v>
      </c>
      <c r="D57" s="8">
        <v>411</v>
      </c>
      <c r="E57" s="8" t="s">
        <v>426</v>
      </c>
    </row>
    <row r="58" spans="1:5" ht="11.25" customHeight="1" x14ac:dyDescent="0.25">
      <c r="A58" s="8" t="s">
        <v>423</v>
      </c>
      <c r="B58" s="8" t="s">
        <v>424</v>
      </c>
      <c r="C58" s="8" t="s">
        <v>425</v>
      </c>
      <c r="D58" s="8">
        <v>412</v>
      </c>
      <c r="E58" s="8" t="s">
        <v>426</v>
      </c>
    </row>
    <row r="59" spans="1:5" ht="11.25" customHeight="1" x14ac:dyDescent="0.25">
      <c r="A59" s="8" t="s">
        <v>423</v>
      </c>
      <c r="B59" s="8" t="s">
        <v>424</v>
      </c>
      <c r="C59" s="8" t="s">
        <v>425</v>
      </c>
      <c r="D59" s="8">
        <v>413</v>
      </c>
      <c r="E59" s="8" t="s">
        <v>426</v>
      </c>
    </row>
    <row r="60" spans="1:5" ht="11.25" customHeight="1" x14ac:dyDescent="0.25">
      <c r="A60" s="8" t="s">
        <v>423</v>
      </c>
      <c r="B60" s="8" t="s">
        <v>424</v>
      </c>
      <c r="C60" s="8" t="s">
        <v>425</v>
      </c>
      <c r="D60" s="8">
        <v>414</v>
      </c>
      <c r="E60" s="8" t="s">
        <v>426</v>
      </c>
    </row>
    <row r="61" spans="1:5" ht="11.25" customHeight="1" x14ac:dyDescent="0.25">
      <c r="A61" s="8" t="s">
        <v>423</v>
      </c>
      <c r="B61" s="8" t="s">
        <v>424</v>
      </c>
      <c r="C61" s="8" t="s">
        <v>425</v>
      </c>
      <c r="D61" s="8">
        <v>415</v>
      </c>
      <c r="E61" s="8" t="s">
        <v>426</v>
      </c>
    </row>
    <row r="62" spans="1:5" ht="11.25" customHeight="1" x14ac:dyDescent="0.25">
      <c r="A62" s="8" t="s">
        <v>423</v>
      </c>
      <c r="B62" s="8" t="s">
        <v>424</v>
      </c>
      <c r="C62" s="8" t="s">
        <v>425</v>
      </c>
      <c r="D62" s="8">
        <v>416</v>
      </c>
      <c r="E62" s="8" t="s">
        <v>426</v>
      </c>
    </row>
    <row r="63" spans="1:5" ht="11.25" customHeight="1" x14ac:dyDescent="0.25">
      <c r="A63" s="8" t="s">
        <v>423</v>
      </c>
      <c r="B63" s="8" t="s">
        <v>424</v>
      </c>
      <c r="C63" s="8" t="s">
        <v>425</v>
      </c>
      <c r="D63" s="8">
        <v>417</v>
      </c>
      <c r="E63" s="8" t="s">
        <v>426</v>
      </c>
    </row>
    <row r="64" spans="1:5" ht="11.25" customHeight="1" x14ac:dyDescent="0.25">
      <c r="A64" s="8" t="s">
        <v>423</v>
      </c>
      <c r="B64" s="8" t="s">
        <v>424</v>
      </c>
      <c r="C64" s="8" t="s">
        <v>425</v>
      </c>
      <c r="D64" s="8">
        <v>418</v>
      </c>
      <c r="E64" s="8" t="s">
        <v>426</v>
      </c>
    </row>
    <row r="65" spans="1:5" ht="11.25" customHeight="1" x14ac:dyDescent="0.25">
      <c r="A65" s="8" t="s">
        <v>423</v>
      </c>
      <c r="B65" s="8" t="s">
        <v>424</v>
      </c>
      <c r="C65" s="8" t="s">
        <v>425</v>
      </c>
      <c r="D65" s="8">
        <v>419</v>
      </c>
      <c r="E65" s="8" t="s">
        <v>426</v>
      </c>
    </row>
    <row r="66" spans="1:5" ht="11.25" customHeight="1" x14ac:dyDescent="0.25">
      <c r="A66" s="8" t="s">
        <v>423</v>
      </c>
      <c r="B66" s="8" t="s">
        <v>424</v>
      </c>
      <c r="C66" s="8" t="s">
        <v>425</v>
      </c>
      <c r="D66" s="8">
        <v>420</v>
      </c>
      <c r="E66" s="8" t="s">
        <v>426</v>
      </c>
    </row>
    <row r="67" spans="1:5" ht="11.25" customHeight="1" x14ac:dyDescent="0.25">
      <c r="A67" s="8" t="s">
        <v>423</v>
      </c>
      <c r="B67" s="8" t="s">
        <v>424</v>
      </c>
      <c r="C67" s="8" t="s">
        <v>425</v>
      </c>
      <c r="D67" s="8">
        <v>421</v>
      </c>
      <c r="E67" s="8" t="s">
        <v>426</v>
      </c>
    </row>
    <row r="68" spans="1:5" ht="11.25" customHeight="1" x14ac:dyDescent="0.25">
      <c r="A68" s="8" t="s">
        <v>423</v>
      </c>
      <c r="B68" s="8" t="s">
        <v>424</v>
      </c>
      <c r="C68" s="8" t="s">
        <v>425</v>
      </c>
      <c r="D68" s="8">
        <v>463</v>
      </c>
      <c r="E68" s="8" t="s">
        <v>426</v>
      </c>
    </row>
    <row r="69" spans="1:5" ht="11.25" customHeight="1" x14ac:dyDescent="0.25">
      <c r="A69" s="8" t="s">
        <v>423</v>
      </c>
      <c r="B69" s="8" t="s">
        <v>424</v>
      </c>
      <c r="C69" s="8" t="s">
        <v>425</v>
      </c>
      <c r="D69" s="8">
        <v>464</v>
      </c>
      <c r="E69" s="8" t="s">
        <v>426</v>
      </c>
    </row>
    <row r="70" spans="1:5" ht="11.25" customHeight="1" x14ac:dyDescent="0.25">
      <c r="A70" s="8" t="s">
        <v>423</v>
      </c>
      <c r="B70" s="8" t="s">
        <v>424</v>
      </c>
      <c r="C70" s="8" t="s">
        <v>425</v>
      </c>
      <c r="D70" s="8">
        <v>465</v>
      </c>
      <c r="E70" s="8" t="s">
        <v>426</v>
      </c>
    </row>
    <row r="71" spans="1:5" ht="11.25" customHeight="1" x14ac:dyDescent="0.25">
      <c r="A71" s="8" t="s">
        <v>423</v>
      </c>
      <c r="B71" s="8" t="s">
        <v>424</v>
      </c>
      <c r="C71" s="8" t="s">
        <v>425</v>
      </c>
      <c r="D71" s="8">
        <v>466</v>
      </c>
      <c r="E71" s="8" t="s">
        <v>426</v>
      </c>
    </row>
    <row r="72" spans="1:5" ht="11.25" customHeight="1" x14ac:dyDescent="0.25">
      <c r="A72" s="8" t="s">
        <v>423</v>
      </c>
      <c r="B72" s="8" t="s">
        <v>424</v>
      </c>
      <c r="C72" s="8" t="s">
        <v>425</v>
      </c>
      <c r="D72" s="8">
        <v>467</v>
      </c>
      <c r="E72" s="8" t="s">
        <v>426</v>
      </c>
    </row>
    <row r="73" spans="1:5" ht="11.25" customHeight="1" x14ac:dyDescent="0.25">
      <c r="A73" s="8" t="s">
        <v>423</v>
      </c>
      <c r="B73" s="8" t="s">
        <v>424</v>
      </c>
      <c r="C73" s="8" t="s">
        <v>425</v>
      </c>
      <c r="D73" s="8">
        <v>468</v>
      </c>
      <c r="E73" s="8" t="s">
        <v>426</v>
      </c>
    </row>
    <row r="74" spans="1:5" ht="11.25" customHeight="1" x14ac:dyDescent="0.25">
      <c r="A74" s="8" t="s">
        <v>423</v>
      </c>
      <c r="B74" s="8" t="s">
        <v>424</v>
      </c>
      <c r="C74" s="8" t="s">
        <v>425</v>
      </c>
      <c r="D74" s="8">
        <v>469</v>
      </c>
      <c r="E74" s="8" t="s">
        <v>426</v>
      </c>
    </row>
    <row r="75" spans="1:5" ht="11.25" customHeight="1" x14ac:dyDescent="0.25">
      <c r="A75" s="8" t="s">
        <v>423</v>
      </c>
      <c r="B75" s="8" t="s">
        <v>424</v>
      </c>
      <c r="C75" s="8" t="s">
        <v>425</v>
      </c>
      <c r="D75" s="8">
        <v>470</v>
      </c>
      <c r="E75" s="8" t="s">
        <v>426</v>
      </c>
    </row>
    <row r="76" spans="1:5" ht="11.25" customHeight="1" x14ac:dyDescent="0.25">
      <c r="A76" s="8" t="s">
        <v>423</v>
      </c>
      <c r="B76" s="8" t="s">
        <v>424</v>
      </c>
      <c r="C76" s="8" t="s">
        <v>425</v>
      </c>
      <c r="D76" s="8">
        <v>471</v>
      </c>
      <c r="E76" s="8" t="s">
        <v>426</v>
      </c>
    </row>
    <row r="77" spans="1:5" ht="11.25" customHeight="1" x14ac:dyDescent="0.25">
      <c r="A77" s="8" t="s">
        <v>423</v>
      </c>
      <c r="B77" s="8" t="s">
        <v>424</v>
      </c>
      <c r="C77" s="8" t="s">
        <v>425</v>
      </c>
      <c r="D77" s="8">
        <v>472</v>
      </c>
      <c r="E77" s="8" t="s">
        <v>426</v>
      </c>
    </row>
    <row r="78" spans="1:5" ht="11.25" customHeight="1" x14ac:dyDescent="0.25">
      <c r="A78" s="8" t="s">
        <v>423</v>
      </c>
      <c r="B78" s="8" t="s">
        <v>424</v>
      </c>
      <c r="C78" s="8" t="s">
        <v>425</v>
      </c>
      <c r="D78" s="8">
        <v>473</v>
      </c>
      <c r="E78" s="8" t="s">
        <v>426</v>
      </c>
    </row>
    <row r="79" spans="1:5" ht="11.25" customHeight="1" x14ac:dyDescent="0.25">
      <c r="A79" s="8" t="s">
        <v>423</v>
      </c>
      <c r="B79" s="8" t="s">
        <v>424</v>
      </c>
      <c r="C79" s="8" t="s">
        <v>425</v>
      </c>
      <c r="D79" s="8">
        <v>474</v>
      </c>
      <c r="E79" s="8" t="s">
        <v>426</v>
      </c>
    </row>
    <row r="80" spans="1:5" ht="11.25" customHeight="1" x14ac:dyDescent="0.25">
      <c r="A80" s="8" t="s">
        <v>423</v>
      </c>
      <c r="B80" s="8" t="s">
        <v>424</v>
      </c>
      <c r="C80" s="8" t="s">
        <v>425</v>
      </c>
      <c r="D80" s="8">
        <v>475</v>
      </c>
      <c r="E80" s="8" t="s">
        <v>426</v>
      </c>
    </row>
    <row r="81" spans="1:5" ht="11.25" customHeight="1" x14ac:dyDescent="0.25">
      <c r="A81" s="8" t="s">
        <v>423</v>
      </c>
      <c r="B81" s="8" t="s">
        <v>424</v>
      </c>
      <c r="C81" s="8" t="s">
        <v>425</v>
      </c>
      <c r="D81" s="8">
        <v>476</v>
      </c>
      <c r="E81" s="8" t="s">
        <v>426</v>
      </c>
    </row>
    <row r="82" spans="1:5" ht="11.25" customHeight="1" x14ac:dyDescent="0.25">
      <c r="A82" s="8" t="s">
        <v>423</v>
      </c>
      <c r="B82" s="8" t="s">
        <v>424</v>
      </c>
      <c r="C82" s="8" t="s">
        <v>425</v>
      </c>
      <c r="D82" s="8">
        <v>477</v>
      </c>
      <c r="E82" s="8" t="s">
        <v>426</v>
      </c>
    </row>
    <row r="83" spans="1:5" ht="11.25" customHeight="1" x14ac:dyDescent="0.25">
      <c r="A83" s="8" t="s">
        <v>423</v>
      </c>
      <c r="B83" s="8" t="s">
        <v>424</v>
      </c>
      <c r="C83" s="8" t="s">
        <v>425</v>
      </c>
      <c r="D83" s="8">
        <v>478</v>
      </c>
      <c r="E83" s="8" t="s">
        <v>426</v>
      </c>
    </row>
    <row r="84" spans="1:5" ht="11.25" customHeight="1" x14ac:dyDescent="0.25">
      <c r="A84" s="8" t="s">
        <v>423</v>
      </c>
      <c r="B84" s="8" t="s">
        <v>424</v>
      </c>
      <c r="C84" s="8" t="s">
        <v>425</v>
      </c>
      <c r="D84" s="8">
        <v>479</v>
      </c>
      <c r="E84" s="8" t="s">
        <v>426</v>
      </c>
    </row>
    <row r="85" spans="1:5" ht="11.25" customHeight="1" x14ac:dyDescent="0.25">
      <c r="A85" s="8" t="s">
        <v>423</v>
      </c>
      <c r="B85" s="8" t="s">
        <v>424</v>
      </c>
      <c r="C85" s="8" t="s">
        <v>425</v>
      </c>
      <c r="D85" s="8">
        <v>480</v>
      </c>
      <c r="E85" s="8" t="s">
        <v>426</v>
      </c>
    </row>
    <row r="86" spans="1:5" ht="11.25" customHeight="1" x14ac:dyDescent="0.25">
      <c r="A86" s="8" t="s">
        <v>423</v>
      </c>
      <c r="B86" s="8" t="s">
        <v>424</v>
      </c>
      <c r="C86" s="8" t="s">
        <v>425</v>
      </c>
      <c r="D86" s="8">
        <v>481</v>
      </c>
      <c r="E86" s="8" t="s">
        <v>426</v>
      </c>
    </row>
    <row r="87" spans="1:5" ht="11.25" customHeight="1" x14ac:dyDescent="0.25">
      <c r="A87" s="8" t="s">
        <v>423</v>
      </c>
      <c r="B87" s="8" t="s">
        <v>424</v>
      </c>
      <c r="C87" s="8" t="s">
        <v>425</v>
      </c>
      <c r="D87" s="8">
        <v>482</v>
      </c>
      <c r="E87" s="8" t="s">
        <v>426</v>
      </c>
    </row>
    <row r="88" spans="1:5" ht="11.25" customHeight="1" x14ac:dyDescent="0.25">
      <c r="A88" s="8" t="s">
        <v>423</v>
      </c>
      <c r="B88" s="8" t="s">
        <v>424</v>
      </c>
      <c r="C88" s="8" t="s">
        <v>425</v>
      </c>
      <c r="D88" s="8">
        <v>483</v>
      </c>
      <c r="E88" s="8" t="s">
        <v>426</v>
      </c>
    </row>
    <row r="89" spans="1:5" ht="11.25" customHeight="1" x14ac:dyDescent="0.25">
      <c r="A89" s="8" t="s">
        <v>423</v>
      </c>
      <c r="B89" s="8" t="s">
        <v>424</v>
      </c>
      <c r="C89" s="8" t="s">
        <v>425</v>
      </c>
      <c r="D89" s="8">
        <v>484</v>
      </c>
      <c r="E89" s="8" t="s">
        <v>426</v>
      </c>
    </row>
    <row r="90" spans="1:5" ht="11.25" customHeight="1" x14ac:dyDescent="0.25">
      <c r="A90" s="8" t="s">
        <v>423</v>
      </c>
      <c r="B90" s="8" t="s">
        <v>424</v>
      </c>
      <c r="C90" s="8" t="s">
        <v>425</v>
      </c>
      <c r="D90" s="8">
        <v>485</v>
      </c>
      <c r="E90" s="8" t="s">
        <v>426</v>
      </c>
    </row>
    <row r="91" spans="1:5" ht="11.25" customHeight="1" x14ac:dyDescent="0.25">
      <c r="A91" s="8" t="s">
        <v>423</v>
      </c>
      <c r="B91" s="8" t="s">
        <v>424</v>
      </c>
      <c r="C91" s="8" t="s">
        <v>425</v>
      </c>
      <c r="D91" s="8">
        <v>486</v>
      </c>
      <c r="E91" s="8" t="s">
        <v>426</v>
      </c>
    </row>
    <row r="92" spans="1:5" ht="11.25" customHeight="1" x14ac:dyDescent="0.25">
      <c r="A92" s="8" t="s">
        <v>423</v>
      </c>
      <c r="B92" s="8" t="s">
        <v>424</v>
      </c>
      <c r="C92" s="8" t="s">
        <v>425</v>
      </c>
      <c r="D92" s="8">
        <v>512</v>
      </c>
      <c r="E92" s="8" t="s">
        <v>426</v>
      </c>
    </row>
    <row r="93" spans="1:5" ht="11.25" customHeight="1" x14ac:dyDescent="0.25">
      <c r="A93" s="8" t="s">
        <v>423</v>
      </c>
      <c r="B93" s="8" t="s">
        <v>424</v>
      </c>
      <c r="C93" s="8" t="s">
        <v>425</v>
      </c>
      <c r="D93" s="8">
        <v>513</v>
      </c>
      <c r="E93" s="8" t="s">
        <v>426</v>
      </c>
    </row>
    <row r="94" spans="1:5" ht="11.25" customHeight="1" x14ac:dyDescent="0.25">
      <c r="A94" s="8" t="s">
        <v>423</v>
      </c>
      <c r="B94" s="8" t="s">
        <v>424</v>
      </c>
      <c r="C94" s="8" t="s">
        <v>425</v>
      </c>
      <c r="D94" s="8">
        <v>514</v>
      </c>
      <c r="E94" s="8" t="s">
        <v>426</v>
      </c>
    </row>
    <row r="95" spans="1:5" ht="11.25" customHeight="1" x14ac:dyDescent="0.25">
      <c r="A95" s="8" t="s">
        <v>423</v>
      </c>
      <c r="B95" s="8" t="s">
        <v>424</v>
      </c>
      <c r="C95" s="8" t="s">
        <v>425</v>
      </c>
      <c r="D95" s="8">
        <v>515</v>
      </c>
      <c r="E95" s="8" t="s">
        <v>426</v>
      </c>
    </row>
    <row r="96" spans="1:5" ht="11.25" customHeight="1" x14ac:dyDescent="0.25">
      <c r="A96" s="8" t="s">
        <v>423</v>
      </c>
      <c r="B96" s="8" t="s">
        <v>424</v>
      </c>
      <c r="C96" s="8" t="s">
        <v>425</v>
      </c>
      <c r="D96" s="8">
        <v>516</v>
      </c>
      <c r="E96" s="8" t="s">
        <v>426</v>
      </c>
    </row>
    <row r="97" spans="1:5" ht="11.25" customHeight="1" x14ac:dyDescent="0.25">
      <c r="A97" s="8" t="s">
        <v>423</v>
      </c>
      <c r="B97" s="8" t="s">
        <v>424</v>
      </c>
      <c r="C97" s="8" t="s">
        <v>425</v>
      </c>
      <c r="D97" s="8">
        <v>517</v>
      </c>
      <c r="E97" s="8" t="s">
        <v>426</v>
      </c>
    </row>
    <row r="98" spans="1:5" ht="11.25" customHeight="1" x14ac:dyDescent="0.25">
      <c r="A98" s="8" t="s">
        <v>423</v>
      </c>
      <c r="B98" s="8" t="s">
        <v>424</v>
      </c>
      <c r="C98" s="8" t="s">
        <v>425</v>
      </c>
      <c r="D98" s="8">
        <v>518</v>
      </c>
      <c r="E98" s="8" t="s">
        <v>426</v>
      </c>
    </row>
    <row r="99" spans="1:5" ht="11.25" customHeight="1" x14ac:dyDescent="0.25">
      <c r="A99" s="8" t="s">
        <v>423</v>
      </c>
      <c r="B99" s="8" t="s">
        <v>424</v>
      </c>
      <c r="C99" s="8" t="s">
        <v>425</v>
      </c>
      <c r="D99" s="8">
        <v>519</v>
      </c>
      <c r="E99" s="8" t="s">
        <v>426</v>
      </c>
    </row>
    <row r="100" spans="1:5" ht="11.25" customHeight="1" x14ac:dyDescent="0.25">
      <c r="A100" s="8" t="s">
        <v>423</v>
      </c>
      <c r="B100" s="8" t="s">
        <v>424</v>
      </c>
      <c r="C100" s="8" t="s">
        <v>425</v>
      </c>
      <c r="D100" s="8">
        <v>520</v>
      </c>
      <c r="E100" s="8" t="s">
        <v>426</v>
      </c>
    </row>
    <row r="101" spans="1:5" ht="11.25" customHeight="1" x14ac:dyDescent="0.25">
      <c r="A101" s="8" t="s">
        <v>423</v>
      </c>
      <c r="B101" s="8" t="s">
        <v>424</v>
      </c>
      <c r="C101" s="8" t="s">
        <v>425</v>
      </c>
      <c r="D101" s="8">
        <v>521</v>
      </c>
      <c r="E101" s="8" t="s">
        <v>426</v>
      </c>
    </row>
    <row r="102" spans="1:5" ht="11.25" customHeight="1" x14ac:dyDescent="0.25">
      <c r="A102" s="8" t="s">
        <v>423</v>
      </c>
      <c r="B102" s="8" t="s">
        <v>424</v>
      </c>
      <c r="C102" s="8" t="s">
        <v>425</v>
      </c>
      <c r="D102" s="8">
        <v>522</v>
      </c>
      <c r="E102" s="8" t="s">
        <v>426</v>
      </c>
    </row>
    <row r="103" spans="1:5" ht="11.25" customHeight="1" x14ac:dyDescent="0.25">
      <c r="A103" s="8" t="s">
        <v>423</v>
      </c>
      <c r="B103" s="8" t="s">
        <v>424</v>
      </c>
      <c r="C103" s="8" t="s">
        <v>425</v>
      </c>
      <c r="D103" s="8">
        <v>523</v>
      </c>
      <c r="E103" s="8" t="s">
        <v>426</v>
      </c>
    </row>
    <row r="104" spans="1:5" ht="11.25" customHeight="1" x14ac:dyDescent="0.25">
      <c r="A104" s="8" t="s">
        <v>423</v>
      </c>
      <c r="B104" s="8" t="s">
        <v>424</v>
      </c>
      <c r="C104" s="8" t="s">
        <v>425</v>
      </c>
      <c r="D104" s="8">
        <v>524</v>
      </c>
      <c r="E104" s="8" t="s">
        <v>426</v>
      </c>
    </row>
    <row r="105" spans="1:5" ht="11.25" customHeight="1" x14ac:dyDescent="0.25">
      <c r="A105" s="8" t="s">
        <v>423</v>
      </c>
      <c r="C105" s="8" t="s">
        <v>732</v>
      </c>
      <c r="D105" s="8">
        <v>40</v>
      </c>
      <c r="E105" s="8" t="s">
        <v>9</v>
      </c>
    </row>
    <row r="106" spans="1:5" ht="11.25" customHeight="1" x14ac:dyDescent="0.25">
      <c r="A106" s="8" t="s">
        <v>423</v>
      </c>
      <c r="C106" s="8" t="s">
        <v>732</v>
      </c>
      <c r="D106" s="8">
        <v>40</v>
      </c>
      <c r="E106" s="8" t="s">
        <v>9</v>
      </c>
    </row>
    <row r="107" spans="1:5" ht="11.25" customHeight="1" x14ac:dyDescent="0.25">
      <c r="A107" s="8" t="s">
        <v>423</v>
      </c>
      <c r="C107" s="8" t="s">
        <v>732</v>
      </c>
      <c r="D107" s="8">
        <v>40</v>
      </c>
      <c r="E107" s="8" t="s">
        <v>9</v>
      </c>
    </row>
    <row r="108" spans="1:5" ht="11.25" customHeight="1" x14ac:dyDescent="0.25">
      <c r="A108" s="8" t="s">
        <v>423</v>
      </c>
      <c r="C108" s="8" t="s">
        <v>732</v>
      </c>
      <c r="D108" s="8">
        <v>40</v>
      </c>
      <c r="E108" s="8" t="s">
        <v>9</v>
      </c>
    </row>
    <row r="109" spans="1:5" ht="11.25" customHeight="1" x14ac:dyDescent="0.25">
      <c r="A109" s="8" t="s">
        <v>423</v>
      </c>
      <c r="C109" s="8" t="s">
        <v>732</v>
      </c>
      <c r="D109" s="8">
        <v>40</v>
      </c>
      <c r="E109" s="8" t="s">
        <v>9</v>
      </c>
    </row>
    <row r="110" spans="1:5" ht="11.25" customHeight="1" x14ac:dyDescent="0.25">
      <c r="A110" s="8" t="s">
        <v>423</v>
      </c>
      <c r="C110" s="8" t="s">
        <v>732</v>
      </c>
      <c r="D110" s="8">
        <v>40</v>
      </c>
      <c r="E110" s="8" t="s">
        <v>9</v>
      </c>
    </row>
    <row r="111" spans="1:5" ht="11.25" customHeight="1" x14ac:dyDescent="0.25">
      <c r="A111" s="8" t="s">
        <v>423</v>
      </c>
      <c r="C111" s="8" t="s">
        <v>732</v>
      </c>
      <c r="D111" s="8">
        <v>40</v>
      </c>
      <c r="E111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88E60-B863-4175-810E-FC1633D30C12}">
  <dimension ref="A1:AX85"/>
  <sheetViews>
    <sheetView showGridLines="0" workbookViewId="0"/>
  </sheetViews>
  <sheetFormatPr defaultRowHeight="11.25" x14ac:dyDescent="0.25"/>
  <cols>
    <col min="1" max="1" width="4.7109375" style="47" bestFit="1" customWidth="1"/>
    <col min="2" max="2" width="8.85546875" style="47" bestFit="1" customWidth="1"/>
    <col min="3" max="3" width="8.7109375" style="47" bestFit="1" customWidth="1"/>
    <col min="4" max="4" width="27.140625" style="47" bestFit="1" customWidth="1"/>
    <col min="5" max="5" width="13.5703125" style="47" bestFit="1" customWidth="1"/>
    <col min="6" max="6" width="25.140625" style="47" bestFit="1" customWidth="1"/>
    <col min="7" max="9" width="10.28515625" style="47" bestFit="1" customWidth="1"/>
    <col min="10" max="10" width="6.85546875" style="47" bestFit="1" customWidth="1"/>
    <col min="11" max="11" width="4.5703125" style="47" bestFit="1" customWidth="1"/>
    <col min="12" max="12" width="4.42578125" style="47" bestFit="1" customWidth="1"/>
    <col min="13" max="13" width="6.7109375" style="47" bestFit="1" customWidth="1"/>
    <col min="14" max="14" width="6.28515625" style="47" bestFit="1" customWidth="1"/>
    <col min="15" max="15" width="11.140625" style="47" bestFit="1" customWidth="1"/>
    <col min="16" max="16" width="10.42578125" style="47" bestFit="1" customWidth="1"/>
    <col min="17" max="16384" width="9.140625" style="47"/>
  </cols>
  <sheetData>
    <row r="1" spans="1:50" ht="11.25" customHeight="1" x14ac:dyDescent="0.25">
      <c r="A1" s="48" t="s">
        <v>792</v>
      </c>
      <c r="B1" s="48" t="s">
        <v>783</v>
      </c>
      <c r="C1" s="48" t="s">
        <v>1</v>
      </c>
      <c r="D1" s="48" t="s">
        <v>2</v>
      </c>
      <c r="E1" s="48" t="s">
        <v>3</v>
      </c>
      <c r="F1" s="48" t="s">
        <v>4</v>
      </c>
      <c r="G1" s="48" t="s">
        <v>5</v>
      </c>
      <c r="H1" s="48" t="s">
        <v>6</v>
      </c>
      <c r="I1" s="48" t="s">
        <v>7</v>
      </c>
      <c r="J1" s="48" t="s">
        <v>784</v>
      </c>
      <c r="K1" s="48" t="s">
        <v>785</v>
      </c>
      <c r="L1" s="48" t="s">
        <v>786</v>
      </c>
      <c r="M1" s="48" t="s">
        <v>787</v>
      </c>
      <c r="N1" s="48" t="s">
        <v>788</v>
      </c>
      <c r="O1" s="48" t="s">
        <v>664</v>
      </c>
      <c r="P1" s="48" t="s">
        <v>650</v>
      </c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</row>
    <row r="2" spans="1:50" ht="11.25" customHeight="1" x14ac:dyDescent="0.25">
      <c r="A2" s="49">
        <v>1</v>
      </c>
      <c r="B2" s="49" t="s">
        <v>644</v>
      </c>
      <c r="C2" s="49" t="s">
        <v>39</v>
      </c>
      <c r="D2" s="49" t="s">
        <v>42</v>
      </c>
      <c r="E2" s="49" t="s">
        <v>25</v>
      </c>
      <c r="F2" s="49" t="s">
        <v>25</v>
      </c>
      <c r="G2" s="49" t="s">
        <v>25</v>
      </c>
      <c r="H2" s="49" t="s">
        <v>25</v>
      </c>
      <c r="I2" s="49" t="s">
        <v>34</v>
      </c>
      <c r="J2" s="49" t="s">
        <v>789</v>
      </c>
      <c r="K2" s="49" t="s">
        <v>790</v>
      </c>
      <c r="L2" s="49" t="s">
        <v>83</v>
      </c>
      <c r="M2" s="49">
        <v>2021</v>
      </c>
      <c r="N2" s="49">
        <v>0</v>
      </c>
      <c r="O2" s="49">
        <v>51.93</v>
      </c>
      <c r="P2" s="49">
        <v>0</v>
      </c>
    </row>
    <row r="3" spans="1:50" ht="11.25" customHeight="1" x14ac:dyDescent="0.25">
      <c r="A3" s="49">
        <v>2</v>
      </c>
      <c r="B3" s="49" t="s">
        <v>644</v>
      </c>
      <c r="C3" s="49" t="s">
        <v>39</v>
      </c>
      <c r="D3" s="49" t="s">
        <v>42</v>
      </c>
      <c r="E3" s="49" t="s">
        <v>25</v>
      </c>
      <c r="F3" s="49" t="s">
        <v>25</v>
      </c>
      <c r="G3" s="49" t="s">
        <v>25</v>
      </c>
      <c r="H3" s="49" t="s">
        <v>25</v>
      </c>
      <c r="I3" s="49" t="s">
        <v>35</v>
      </c>
      <c r="J3" s="49" t="s">
        <v>789</v>
      </c>
      <c r="K3" s="49" t="s">
        <v>790</v>
      </c>
      <c r="L3" s="49" t="s">
        <v>83</v>
      </c>
      <c r="M3" s="49">
        <v>2021</v>
      </c>
      <c r="N3" s="49">
        <v>0</v>
      </c>
      <c r="O3" s="49">
        <v>16.64</v>
      </c>
      <c r="P3" s="49">
        <v>0</v>
      </c>
    </row>
    <row r="4" spans="1:50" ht="11.25" customHeight="1" x14ac:dyDescent="0.25">
      <c r="A4" s="49">
        <v>3</v>
      </c>
      <c r="B4" s="49" t="s">
        <v>644</v>
      </c>
      <c r="C4" s="49" t="s">
        <v>39</v>
      </c>
      <c r="D4" s="49" t="s">
        <v>42</v>
      </c>
      <c r="E4" s="49" t="s">
        <v>25</v>
      </c>
      <c r="F4" s="49" t="s">
        <v>25</v>
      </c>
      <c r="G4" s="49" t="s">
        <v>25</v>
      </c>
      <c r="H4" s="49" t="s">
        <v>25</v>
      </c>
      <c r="I4" s="49" t="s">
        <v>25</v>
      </c>
      <c r="J4" s="49" t="s">
        <v>791</v>
      </c>
      <c r="K4" s="49" t="s">
        <v>790</v>
      </c>
      <c r="L4" s="49" t="s">
        <v>80</v>
      </c>
      <c r="M4" s="49">
        <v>2021</v>
      </c>
      <c r="N4" s="49">
        <v>0</v>
      </c>
      <c r="O4" s="49">
        <v>76.75</v>
      </c>
      <c r="P4" s="49">
        <v>42.766383586282899</v>
      </c>
    </row>
    <row r="5" spans="1:50" ht="11.25" customHeight="1" x14ac:dyDescent="0.25">
      <c r="A5" s="49">
        <v>4</v>
      </c>
      <c r="B5" s="49" t="s">
        <v>644</v>
      </c>
      <c r="C5" s="49" t="s">
        <v>39</v>
      </c>
      <c r="D5" s="49" t="s">
        <v>42</v>
      </c>
      <c r="E5" s="49" t="s">
        <v>25</v>
      </c>
      <c r="F5" s="49" t="s">
        <v>25</v>
      </c>
      <c r="G5" s="49" t="s">
        <v>87</v>
      </c>
      <c r="H5" s="49" t="s">
        <v>25</v>
      </c>
      <c r="I5" s="49" t="s">
        <v>25</v>
      </c>
      <c r="J5" s="49" t="s">
        <v>791</v>
      </c>
      <c r="K5" s="49" t="s">
        <v>790</v>
      </c>
      <c r="L5" s="49" t="s">
        <v>80</v>
      </c>
      <c r="M5" s="49">
        <v>2021</v>
      </c>
      <c r="N5" s="49">
        <v>0</v>
      </c>
      <c r="O5" s="49">
        <v>19.84</v>
      </c>
      <c r="P5" s="49">
        <v>0</v>
      </c>
    </row>
    <row r="6" spans="1:50" ht="11.25" customHeight="1" x14ac:dyDescent="0.25">
      <c r="A6" s="49">
        <v>5</v>
      </c>
      <c r="B6" s="49" t="s">
        <v>644</v>
      </c>
      <c r="C6" s="49" t="s">
        <v>39</v>
      </c>
      <c r="D6" s="49" t="s">
        <v>59</v>
      </c>
      <c r="E6" s="49" t="s">
        <v>25</v>
      </c>
      <c r="F6" s="49" t="s">
        <v>25</v>
      </c>
      <c r="G6" s="49" t="s">
        <v>25</v>
      </c>
      <c r="H6" s="49" t="s">
        <v>25</v>
      </c>
      <c r="I6" s="49" t="s">
        <v>25</v>
      </c>
      <c r="J6" s="49" t="s">
        <v>789</v>
      </c>
      <c r="K6" s="49" t="s">
        <v>790</v>
      </c>
      <c r="L6" s="49" t="s">
        <v>83</v>
      </c>
      <c r="M6" s="49">
        <v>2021</v>
      </c>
      <c r="N6" s="49">
        <v>0</v>
      </c>
      <c r="O6" s="49">
        <v>11.13</v>
      </c>
      <c r="P6" s="49">
        <v>0</v>
      </c>
    </row>
    <row r="7" spans="1:50" ht="11.25" customHeight="1" x14ac:dyDescent="0.25">
      <c r="A7" s="49">
        <v>6</v>
      </c>
      <c r="B7" s="49" t="s">
        <v>644</v>
      </c>
      <c r="C7" s="49" t="s">
        <v>39</v>
      </c>
      <c r="D7" s="49" t="s">
        <v>40</v>
      </c>
      <c r="E7" s="49" t="s">
        <v>25</v>
      </c>
      <c r="F7" s="49" t="s">
        <v>25</v>
      </c>
      <c r="G7" s="49" t="s">
        <v>25</v>
      </c>
      <c r="H7" s="49" t="s">
        <v>25</v>
      </c>
      <c r="I7" s="49" t="s">
        <v>25</v>
      </c>
      <c r="J7" s="49" t="s">
        <v>789</v>
      </c>
      <c r="K7" s="49" t="s">
        <v>790</v>
      </c>
      <c r="L7" s="49" t="s">
        <v>83</v>
      </c>
      <c r="M7" s="49">
        <v>2021</v>
      </c>
      <c r="N7" s="49">
        <v>0</v>
      </c>
      <c r="O7" s="49">
        <v>16.64</v>
      </c>
      <c r="P7" s="49">
        <v>0</v>
      </c>
    </row>
    <row r="8" spans="1:50" ht="11.25" customHeight="1" x14ac:dyDescent="0.25">
      <c r="A8" s="49">
        <v>7</v>
      </c>
      <c r="B8" s="49" t="s">
        <v>644</v>
      </c>
      <c r="C8" s="49" t="s">
        <v>39</v>
      </c>
      <c r="D8" s="49" t="s">
        <v>40</v>
      </c>
      <c r="E8" s="49" t="s">
        <v>25</v>
      </c>
      <c r="F8" s="49" t="s">
        <v>25</v>
      </c>
      <c r="G8" s="49" t="s">
        <v>25</v>
      </c>
      <c r="H8" s="49" t="s">
        <v>25</v>
      </c>
      <c r="I8" s="49" t="s">
        <v>34</v>
      </c>
      <c r="J8" s="49" t="s">
        <v>791</v>
      </c>
      <c r="K8" s="49" t="s">
        <v>790</v>
      </c>
      <c r="L8" s="49" t="s">
        <v>80</v>
      </c>
      <c r="M8" s="49">
        <v>2021</v>
      </c>
      <c r="N8" s="49">
        <v>0</v>
      </c>
      <c r="O8" s="49">
        <v>1326.39</v>
      </c>
      <c r="P8" s="49">
        <v>42.766383586282899</v>
      </c>
    </row>
    <row r="9" spans="1:50" ht="11.25" customHeight="1" x14ac:dyDescent="0.25">
      <c r="A9" s="49">
        <v>8</v>
      </c>
      <c r="B9" s="49" t="s">
        <v>644</v>
      </c>
      <c r="C9" s="49" t="s">
        <v>39</v>
      </c>
      <c r="D9" s="49" t="s">
        <v>40</v>
      </c>
      <c r="E9" s="49" t="s">
        <v>25</v>
      </c>
      <c r="F9" s="49" t="s">
        <v>25</v>
      </c>
      <c r="G9" s="49" t="s">
        <v>25</v>
      </c>
      <c r="H9" s="49" t="s">
        <v>25</v>
      </c>
      <c r="I9" s="49" t="s">
        <v>35</v>
      </c>
      <c r="J9" s="49" t="s">
        <v>791</v>
      </c>
      <c r="K9" s="49" t="s">
        <v>790</v>
      </c>
      <c r="L9" s="49" t="s">
        <v>80</v>
      </c>
      <c r="M9" s="49">
        <v>2021</v>
      </c>
      <c r="N9" s="49">
        <v>0</v>
      </c>
      <c r="O9" s="49">
        <v>76.75</v>
      </c>
      <c r="P9" s="49">
        <v>42.766383586282899</v>
      </c>
    </row>
    <row r="10" spans="1:50" ht="11.25" customHeight="1" x14ac:dyDescent="0.25">
      <c r="A10" s="49">
        <v>9</v>
      </c>
      <c r="B10" s="49" t="s">
        <v>644</v>
      </c>
      <c r="C10" s="49" t="s">
        <v>39</v>
      </c>
      <c r="D10" s="49" t="s">
        <v>40</v>
      </c>
      <c r="E10" s="49" t="s">
        <v>25</v>
      </c>
      <c r="F10" s="49" t="s">
        <v>25</v>
      </c>
      <c r="G10" s="49" t="s">
        <v>87</v>
      </c>
      <c r="H10" s="49" t="s">
        <v>25</v>
      </c>
      <c r="I10" s="49" t="s">
        <v>34</v>
      </c>
      <c r="J10" s="49" t="s">
        <v>791</v>
      </c>
      <c r="K10" s="49" t="s">
        <v>790</v>
      </c>
      <c r="L10" s="49" t="s">
        <v>80</v>
      </c>
      <c r="M10" s="49">
        <v>2021</v>
      </c>
      <c r="N10" s="49">
        <v>0</v>
      </c>
      <c r="O10" s="49">
        <v>1269.49</v>
      </c>
      <c r="P10" s="49">
        <v>0</v>
      </c>
    </row>
    <row r="11" spans="1:50" ht="11.25" customHeight="1" x14ac:dyDescent="0.25">
      <c r="A11" s="49">
        <v>10</v>
      </c>
      <c r="B11" s="49" t="s">
        <v>644</v>
      </c>
      <c r="C11" s="49" t="s">
        <v>39</v>
      </c>
      <c r="D11" s="49" t="s">
        <v>40</v>
      </c>
      <c r="E11" s="49" t="s">
        <v>25</v>
      </c>
      <c r="F11" s="49" t="s">
        <v>25</v>
      </c>
      <c r="G11" s="49" t="s">
        <v>87</v>
      </c>
      <c r="H11" s="49" t="s">
        <v>25</v>
      </c>
      <c r="I11" s="49" t="s">
        <v>35</v>
      </c>
      <c r="J11" s="49" t="s">
        <v>791</v>
      </c>
      <c r="K11" s="49" t="s">
        <v>790</v>
      </c>
      <c r="L11" s="49" t="s">
        <v>80</v>
      </c>
      <c r="M11" s="49">
        <v>2021</v>
      </c>
      <c r="N11" s="49">
        <v>0</v>
      </c>
      <c r="O11" s="49">
        <v>19.84</v>
      </c>
      <c r="P11" s="49">
        <v>0</v>
      </c>
    </row>
    <row r="12" spans="1:50" ht="11.25" customHeight="1" x14ac:dyDescent="0.25">
      <c r="A12" s="49">
        <v>11</v>
      </c>
      <c r="B12" s="49" t="s">
        <v>644</v>
      </c>
      <c r="C12" s="49" t="s">
        <v>88</v>
      </c>
      <c r="D12" s="49" t="s">
        <v>59</v>
      </c>
      <c r="E12" s="49" t="s">
        <v>25</v>
      </c>
      <c r="F12" s="49" t="s">
        <v>25</v>
      </c>
      <c r="G12" s="49" t="s">
        <v>89</v>
      </c>
      <c r="H12" s="49" t="s">
        <v>25</v>
      </c>
      <c r="I12" s="49" t="s">
        <v>25</v>
      </c>
      <c r="J12" s="49" t="s">
        <v>789</v>
      </c>
      <c r="K12" s="49" t="s">
        <v>790</v>
      </c>
      <c r="L12" s="49" t="s">
        <v>83</v>
      </c>
      <c r="M12" s="49">
        <v>2021</v>
      </c>
      <c r="N12" s="49">
        <v>0</v>
      </c>
      <c r="O12" s="49">
        <v>1.6</v>
      </c>
      <c r="P12" s="49">
        <v>0</v>
      </c>
    </row>
    <row r="13" spans="1:50" ht="11.25" customHeight="1" x14ac:dyDescent="0.25">
      <c r="A13" s="49">
        <v>12</v>
      </c>
      <c r="B13" s="49" t="s">
        <v>644</v>
      </c>
      <c r="C13" s="49" t="s">
        <v>88</v>
      </c>
      <c r="D13" s="49" t="s">
        <v>59</v>
      </c>
      <c r="E13" s="49" t="s">
        <v>25</v>
      </c>
      <c r="F13" s="49" t="s">
        <v>25</v>
      </c>
      <c r="G13" s="49" t="s">
        <v>90</v>
      </c>
      <c r="H13" s="49" t="s">
        <v>25</v>
      </c>
      <c r="I13" s="49" t="s">
        <v>25</v>
      </c>
      <c r="J13" s="49" t="s">
        <v>789</v>
      </c>
      <c r="K13" s="49" t="s">
        <v>790</v>
      </c>
      <c r="L13" s="49" t="s">
        <v>83</v>
      </c>
      <c r="M13" s="49">
        <v>2021</v>
      </c>
      <c r="N13" s="49">
        <v>0</v>
      </c>
      <c r="O13" s="49">
        <v>14.35</v>
      </c>
      <c r="P13" s="49">
        <v>0</v>
      </c>
    </row>
    <row r="14" spans="1:50" ht="11.25" customHeight="1" x14ac:dyDescent="0.25">
      <c r="A14" s="49">
        <v>13</v>
      </c>
      <c r="B14" s="49" t="s">
        <v>644</v>
      </c>
      <c r="C14" s="49" t="s">
        <v>22</v>
      </c>
      <c r="D14" s="49" t="s">
        <v>33</v>
      </c>
      <c r="E14" s="49" t="s">
        <v>24</v>
      </c>
      <c r="F14" s="49" t="s">
        <v>24</v>
      </c>
      <c r="G14" s="49" t="s">
        <v>25</v>
      </c>
      <c r="H14" s="49" t="s">
        <v>25</v>
      </c>
      <c r="I14" s="49" t="s">
        <v>34</v>
      </c>
      <c r="J14" s="49" t="s">
        <v>791</v>
      </c>
      <c r="K14" s="49" t="s">
        <v>790</v>
      </c>
      <c r="L14" s="49" t="s">
        <v>80</v>
      </c>
      <c r="M14" s="49">
        <v>2021</v>
      </c>
      <c r="N14" s="49">
        <v>0</v>
      </c>
      <c r="O14" s="49">
        <v>811.72</v>
      </c>
      <c r="P14" s="49">
        <v>49.1567627428539</v>
      </c>
    </row>
    <row r="15" spans="1:50" ht="11.25" customHeight="1" x14ac:dyDescent="0.25">
      <c r="A15" s="49">
        <v>14</v>
      </c>
      <c r="B15" s="49" t="s">
        <v>644</v>
      </c>
      <c r="C15" s="49" t="s">
        <v>22</v>
      </c>
      <c r="D15" s="49" t="s">
        <v>33</v>
      </c>
      <c r="E15" s="49" t="s">
        <v>24</v>
      </c>
      <c r="F15" s="49" t="s">
        <v>24</v>
      </c>
      <c r="G15" s="49" t="s">
        <v>25</v>
      </c>
      <c r="H15" s="49" t="s">
        <v>25</v>
      </c>
      <c r="I15" s="49" t="s">
        <v>36</v>
      </c>
      <c r="J15" s="49" t="s">
        <v>791</v>
      </c>
      <c r="K15" s="49" t="s">
        <v>790</v>
      </c>
      <c r="L15" s="49" t="s">
        <v>80</v>
      </c>
      <c r="M15" s="49">
        <v>2021</v>
      </c>
      <c r="N15" s="49">
        <v>0</v>
      </c>
      <c r="O15" s="49">
        <v>526.41</v>
      </c>
      <c r="P15" s="49">
        <v>49.1567627428539</v>
      </c>
    </row>
    <row r="16" spans="1:50" ht="11.25" customHeight="1" x14ac:dyDescent="0.25">
      <c r="A16" s="49">
        <v>15</v>
      </c>
      <c r="B16" s="49" t="s">
        <v>644</v>
      </c>
      <c r="C16" s="49" t="s">
        <v>22</v>
      </c>
      <c r="D16" s="49" t="s">
        <v>33</v>
      </c>
      <c r="E16" s="49" t="s">
        <v>24</v>
      </c>
      <c r="F16" s="49" t="s">
        <v>24</v>
      </c>
      <c r="G16" s="49" t="s">
        <v>25</v>
      </c>
      <c r="H16" s="49" t="s">
        <v>25</v>
      </c>
      <c r="I16" s="49" t="s">
        <v>35</v>
      </c>
      <c r="J16" s="49" t="s">
        <v>791</v>
      </c>
      <c r="K16" s="49" t="s">
        <v>790</v>
      </c>
      <c r="L16" s="49" t="s">
        <v>80</v>
      </c>
      <c r="M16" s="49">
        <v>2021</v>
      </c>
      <c r="N16" s="49">
        <v>0</v>
      </c>
      <c r="O16" s="49">
        <v>241.1</v>
      </c>
      <c r="P16" s="49">
        <v>49.1567627428539</v>
      </c>
    </row>
    <row r="17" spans="1:16" ht="11.25" customHeight="1" x14ac:dyDescent="0.25">
      <c r="A17" s="49">
        <v>16</v>
      </c>
      <c r="B17" s="49" t="s">
        <v>644</v>
      </c>
      <c r="C17" s="49" t="s">
        <v>22</v>
      </c>
      <c r="D17" s="49" t="s">
        <v>23</v>
      </c>
      <c r="E17" s="49" t="s">
        <v>24</v>
      </c>
      <c r="F17" s="49" t="s">
        <v>24</v>
      </c>
      <c r="G17" s="49" t="s">
        <v>25</v>
      </c>
      <c r="H17" s="49" t="s">
        <v>25</v>
      </c>
      <c r="I17" s="49" t="s">
        <v>25</v>
      </c>
      <c r="J17" s="49" t="s">
        <v>791</v>
      </c>
      <c r="K17" s="49" t="s">
        <v>790</v>
      </c>
      <c r="L17" s="49" t="s">
        <v>80</v>
      </c>
      <c r="M17" s="49">
        <v>2021</v>
      </c>
      <c r="N17" s="49">
        <v>0</v>
      </c>
      <c r="O17" s="49">
        <v>324.88</v>
      </c>
      <c r="P17" s="49">
        <v>49.1567627428539</v>
      </c>
    </row>
    <row r="18" spans="1:16" ht="11.25" customHeight="1" x14ac:dyDescent="0.25">
      <c r="A18" s="49">
        <v>17</v>
      </c>
      <c r="B18" s="49" t="s">
        <v>644</v>
      </c>
      <c r="C18" s="49" t="s">
        <v>22</v>
      </c>
      <c r="D18" s="49" t="s">
        <v>23</v>
      </c>
      <c r="E18" s="49" t="s">
        <v>24</v>
      </c>
      <c r="F18" s="49" t="s">
        <v>29</v>
      </c>
      <c r="G18" s="49" t="s">
        <v>25</v>
      </c>
      <c r="H18" s="49" t="s">
        <v>25</v>
      </c>
      <c r="I18" s="49" t="s">
        <v>25</v>
      </c>
      <c r="J18" s="49" t="s">
        <v>791</v>
      </c>
      <c r="K18" s="49" t="s">
        <v>790</v>
      </c>
      <c r="L18" s="49" t="s">
        <v>80</v>
      </c>
      <c r="M18" s="49">
        <v>2021</v>
      </c>
      <c r="N18" s="49">
        <v>0</v>
      </c>
      <c r="O18" s="49">
        <v>91.27</v>
      </c>
      <c r="P18" s="49">
        <v>0</v>
      </c>
    </row>
    <row r="19" spans="1:16" ht="11.25" customHeight="1" x14ac:dyDescent="0.25">
      <c r="A19" s="49">
        <v>18</v>
      </c>
      <c r="B19" s="49" t="s">
        <v>644</v>
      </c>
      <c r="C19" s="49" t="s">
        <v>22</v>
      </c>
      <c r="D19" s="49" t="s">
        <v>23</v>
      </c>
      <c r="E19" s="49" t="s">
        <v>24</v>
      </c>
      <c r="F19" s="49" t="s">
        <v>30</v>
      </c>
      <c r="G19" s="49" t="s">
        <v>25</v>
      </c>
      <c r="H19" s="49" t="s">
        <v>25</v>
      </c>
      <c r="I19" s="49" t="s">
        <v>25</v>
      </c>
      <c r="J19" s="49" t="s">
        <v>791</v>
      </c>
      <c r="K19" s="49" t="s">
        <v>790</v>
      </c>
      <c r="L19" s="49" t="s">
        <v>80</v>
      </c>
      <c r="M19" s="49">
        <v>2021</v>
      </c>
      <c r="N19" s="49">
        <v>0</v>
      </c>
      <c r="O19" s="49">
        <v>156.46</v>
      </c>
      <c r="P19" s="49">
        <v>0</v>
      </c>
    </row>
    <row r="20" spans="1:16" ht="11.25" customHeight="1" x14ac:dyDescent="0.25">
      <c r="A20" s="49">
        <v>19</v>
      </c>
      <c r="B20" s="49" t="s">
        <v>644</v>
      </c>
      <c r="C20" s="49" t="s">
        <v>22</v>
      </c>
      <c r="D20" s="49" t="s">
        <v>23</v>
      </c>
      <c r="E20" s="49" t="s">
        <v>24</v>
      </c>
      <c r="F20" s="49" t="s">
        <v>31</v>
      </c>
      <c r="G20" s="49" t="s">
        <v>25</v>
      </c>
      <c r="H20" s="49" t="s">
        <v>25</v>
      </c>
      <c r="I20" s="49" t="s">
        <v>25</v>
      </c>
      <c r="J20" s="49" t="s">
        <v>791</v>
      </c>
      <c r="K20" s="49" t="s">
        <v>790</v>
      </c>
      <c r="L20" s="49" t="s">
        <v>80</v>
      </c>
      <c r="M20" s="49">
        <v>2021</v>
      </c>
      <c r="N20" s="49">
        <v>0</v>
      </c>
      <c r="O20" s="49">
        <v>234.68</v>
      </c>
      <c r="P20" s="49">
        <v>0</v>
      </c>
    </row>
    <row r="21" spans="1:16" ht="11.25" customHeight="1" x14ac:dyDescent="0.25">
      <c r="A21" s="49">
        <v>20</v>
      </c>
      <c r="B21" s="49" t="s">
        <v>644</v>
      </c>
      <c r="C21" s="49" t="s">
        <v>22</v>
      </c>
      <c r="D21" s="49" t="s">
        <v>23</v>
      </c>
      <c r="E21" s="49" t="s">
        <v>24</v>
      </c>
      <c r="F21" s="49" t="s">
        <v>32</v>
      </c>
      <c r="G21" s="49" t="s">
        <v>25</v>
      </c>
      <c r="H21" s="49" t="s">
        <v>25</v>
      </c>
      <c r="I21" s="49" t="s">
        <v>25</v>
      </c>
      <c r="J21" s="49" t="s">
        <v>791</v>
      </c>
      <c r="K21" s="49" t="s">
        <v>790</v>
      </c>
      <c r="L21" s="49" t="s">
        <v>80</v>
      </c>
      <c r="M21" s="49">
        <v>2021</v>
      </c>
      <c r="N21" s="49">
        <v>0</v>
      </c>
      <c r="O21" s="49">
        <v>260.76</v>
      </c>
      <c r="P21" s="49">
        <v>0</v>
      </c>
    </row>
    <row r="22" spans="1:16" ht="11.25" customHeight="1" x14ac:dyDescent="0.25">
      <c r="A22" s="49">
        <v>21</v>
      </c>
      <c r="B22" s="49" t="s">
        <v>644</v>
      </c>
      <c r="C22" s="49" t="s">
        <v>22</v>
      </c>
      <c r="D22" s="49" t="s">
        <v>94</v>
      </c>
      <c r="E22" s="49" t="s">
        <v>24</v>
      </c>
      <c r="F22" s="49" t="s">
        <v>24</v>
      </c>
      <c r="G22" s="49" t="s">
        <v>25</v>
      </c>
      <c r="H22" s="49" t="s">
        <v>25</v>
      </c>
      <c r="I22" s="49" t="s">
        <v>25</v>
      </c>
      <c r="J22" s="49" t="s">
        <v>791</v>
      </c>
      <c r="K22" s="49" t="s">
        <v>790</v>
      </c>
      <c r="L22" s="49" t="s">
        <v>80</v>
      </c>
      <c r="M22" s="49">
        <v>2021</v>
      </c>
      <c r="N22" s="49">
        <v>0</v>
      </c>
      <c r="O22" s="49">
        <v>324.88</v>
      </c>
      <c r="P22" s="49">
        <v>49.1567627428539</v>
      </c>
    </row>
    <row r="23" spans="1:16" ht="11.25" customHeight="1" x14ac:dyDescent="0.25">
      <c r="A23" s="49">
        <v>22</v>
      </c>
      <c r="B23" s="49" t="s">
        <v>644</v>
      </c>
      <c r="C23" s="49" t="s">
        <v>22</v>
      </c>
      <c r="D23" s="49" t="s">
        <v>94</v>
      </c>
      <c r="E23" s="49" t="s">
        <v>24</v>
      </c>
      <c r="F23" s="49" t="s">
        <v>29</v>
      </c>
      <c r="G23" s="49" t="s">
        <v>25</v>
      </c>
      <c r="H23" s="49" t="s">
        <v>25</v>
      </c>
      <c r="I23" s="49" t="s">
        <v>25</v>
      </c>
      <c r="J23" s="49" t="s">
        <v>791</v>
      </c>
      <c r="K23" s="49" t="s">
        <v>790</v>
      </c>
      <c r="L23" s="49" t="s">
        <v>80</v>
      </c>
      <c r="M23" s="49">
        <v>2021</v>
      </c>
      <c r="N23" s="49">
        <v>0</v>
      </c>
      <c r="O23" s="49">
        <v>91.27</v>
      </c>
      <c r="P23" s="49">
        <v>0</v>
      </c>
    </row>
    <row r="24" spans="1:16" ht="11.25" customHeight="1" x14ac:dyDescent="0.25">
      <c r="A24" s="49">
        <v>23</v>
      </c>
      <c r="B24" s="49" t="s">
        <v>644</v>
      </c>
      <c r="C24" s="49" t="s">
        <v>22</v>
      </c>
      <c r="D24" s="49" t="s">
        <v>94</v>
      </c>
      <c r="E24" s="49" t="s">
        <v>24</v>
      </c>
      <c r="F24" s="49" t="s">
        <v>30</v>
      </c>
      <c r="G24" s="49" t="s">
        <v>25</v>
      </c>
      <c r="H24" s="49" t="s">
        <v>25</v>
      </c>
      <c r="I24" s="49" t="s">
        <v>25</v>
      </c>
      <c r="J24" s="49" t="s">
        <v>791</v>
      </c>
      <c r="K24" s="49" t="s">
        <v>790</v>
      </c>
      <c r="L24" s="49" t="s">
        <v>80</v>
      </c>
      <c r="M24" s="49">
        <v>2021</v>
      </c>
      <c r="N24" s="49">
        <v>0</v>
      </c>
      <c r="O24" s="49">
        <v>156.46</v>
      </c>
      <c r="P24" s="49">
        <v>0</v>
      </c>
    </row>
    <row r="25" spans="1:16" ht="11.25" customHeight="1" x14ac:dyDescent="0.25">
      <c r="A25" s="49">
        <v>24</v>
      </c>
      <c r="B25" s="49" t="s">
        <v>644</v>
      </c>
      <c r="C25" s="49" t="s">
        <v>22</v>
      </c>
      <c r="D25" s="49" t="s">
        <v>94</v>
      </c>
      <c r="E25" s="49" t="s">
        <v>24</v>
      </c>
      <c r="F25" s="49" t="s">
        <v>31</v>
      </c>
      <c r="G25" s="49" t="s">
        <v>25</v>
      </c>
      <c r="H25" s="49" t="s">
        <v>25</v>
      </c>
      <c r="I25" s="49" t="s">
        <v>25</v>
      </c>
      <c r="J25" s="49" t="s">
        <v>791</v>
      </c>
      <c r="K25" s="49" t="s">
        <v>790</v>
      </c>
      <c r="L25" s="49" t="s">
        <v>80</v>
      </c>
      <c r="M25" s="49">
        <v>2021</v>
      </c>
      <c r="N25" s="49">
        <v>0</v>
      </c>
      <c r="O25" s="49">
        <v>234.68</v>
      </c>
      <c r="P25" s="49">
        <v>0</v>
      </c>
    </row>
    <row r="26" spans="1:16" ht="11.25" customHeight="1" x14ac:dyDescent="0.25">
      <c r="A26" s="49">
        <v>25</v>
      </c>
      <c r="B26" s="49" t="s">
        <v>644</v>
      </c>
      <c r="C26" s="49" t="s">
        <v>22</v>
      </c>
      <c r="D26" s="49" t="s">
        <v>94</v>
      </c>
      <c r="E26" s="49" t="s">
        <v>24</v>
      </c>
      <c r="F26" s="49" t="s">
        <v>32</v>
      </c>
      <c r="G26" s="49" t="s">
        <v>25</v>
      </c>
      <c r="H26" s="49" t="s">
        <v>25</v>
      </c>
      <c r="I26" s="49" t="s">
        <v>25</v>
      </c>
      <c r="J26" s="49" t="s">
        <v>791</v>
      </c>
      <c r="K26" s="49" t="s">
        <v>790</v>
      </c>
      <c r="L26" s="49" t="s">
        <v>80</v>
      </c>
      <c r="M26" s="49">
        <v>2021</v>
      </c>
      <c r="N26" s="49">
        <v>0</v>
      </c>
      <c r="O26" s="49">
        <v>260.76</v>
      </c>
      <c r="P26" s="49">
        <v>0</v>
      </c>
    </row>
    <row r="27" spans="1:16" ht="11.25" customHeight="1" x14ac:dyDescent="0.25">
      <c r="A27" s="49">
        <v>26</v>
      </c>
      <c r="B27" s="49" t="s">
        <v>644</v>
      </c>
      <c r="C27" s="49" t="s">
        <v>43</v>
      </c>
      <c r="D27" s="49" t="s">
        <v>33</v>
      </c>
      <c r="E27" s="49" t="s">
        <v>44</v>
      </c>
      <c r="F27" s="49" t="s">
        <v>25</v>
      </c>
      <c r="G27" s="49" t="s">
        <v>25</v>
      </c>
      <c r="H27" s="49" t="s">
        <v>25</v>
      </c>
      <c r="I27" s="49" t="s">
        <v>34</v>
      </c>
      <c r="J27" s="49" t="s">
        <v>791</v>
      </c>
      <c r="K27" s="49" t="s">
        <v>790</v>
      </c>
      <c r="L27" s="49" t="s">
        <v>80</v>
      </c>
      <c r="M27" s="49">
        <v>2021</v>
      </c>
      <c r="N27" s="49">
        <v>0</v>
      </c>
      <c r="O27" s="49">
        <v>794.02</v>
      </c>
      <c r="P27" s="49">
        <v>43.2579512137115</v>
      </c>
    </row>
    <row r="28" spans="1:16" ht="11.25" customHeight="1" x14ac:dyDescent="0.25">
      <c r="A28" s="49">
        <v>27</v>
      </c>
      <c r="B28" s="49" t="s">
        <v>644</v>
      </c>
      <c r="C28" s="49" t="s">
        <v>43</v>
      </c>
      <c r="D28" s="49" t="s">
        <v>33</v>
      </c>
      <c r="E28" s="49" t="s">
        <v>44</v>
      </c>
      <c r="F28" s="49" t="s">
        <v>25</v>
      </c>
      <c r="G28" s="49" t="s">
        <v>25</v>
      </c>
      <c r="H28" s="49" t="s">
        <v>25</v>
      </c>
      <c r="I28" s="49" t="s">
        <v>36</v>
      </c>
      <c r="J28" s="49" t="s">
        <v>791</v>
      </c>
      <c r="K28" s="49" t="s">
        <v>790</v>
      </c>
      <c r="L28" s="49" t="s">
        <v>80</v>
      </c>
      <c r="M28" s="49">
        <v>2021</v>
      </c>
      <c r="N28" s="49">
        <v>0</v>
      </c>
      <c r="O28" s="49">
        <v>511.06</v>
      </c>
      <c r="P28" s="49">
        <v>43.2579512137115</v>
      </c>
    </row>
    <row r="29" spans="1:16" ht="11.25" customHeight="1" x14ac:dyDescent="0.25">
      <c r="A29" s="49">
        <v>28</v>
      </c>
      <c r="B29" s="49" t="s">
        <v>644</v>
      </c>
      <c r="C29" s="49" t="s">
        <v>43</v>
      </c>
      <c r="D29" s="49" t="s">
        <v>33</v>
      </c>
      <c r="E29" s="49" t="s">
        <v>44</v>
      </c>
      <c r="F29" s="49" t="s">
        <v>25</v>
      </c>
      <c r="G29" s="49" t="s">
        <v>25</v>
      </c>
      <c r="H29" s="49" t="s">
        <v>25</v>
      </c>
      <c r="I29" s="49" t="s">
        <v>35</v>
      </c>
      <c r="J29" s="49" t="s">
        <v>791</v>
      </c>
      <c r="K29" s="49" t="s">
        <v>790</v>
      </c>
      <c r="L29" s="49" t="s">
        <v>80</v>
      </c>
      <c r="M29" s="49">
        <v>2021</v>
      </c>
      <c r="N29" s="49">
        <v>0</v>
      </c>
      <c r="O29" s="49">
        <v>228.11</v>
      </c>
      <c r="P29" s="49">
        <v>43.2579512137115</v>
      </c>
    </row>
    <row r="30" spans="1:16" ht="11.25" customHeight="1" x14ac:dyDescent="0.25">
      <c r="A30" s="49">
        <v>29</v>
      </c>
      <c r="B30" s="49" t="s">
        <v>644</v>
      </c>
      <c r="C30" s="49" t="s">
        <v>43</v>
      </c>
      <c r="D30" s="49" t="s">
        <v>23</v>
      </c>
      <c r="E30" s="49" t="s">
        <v>44</v>
      </c>
      <c r="F30" s="49" t="s">
        <v>25</v>
      </c>
      <c r="G30" s="49" t="s">
        <v>25</v>
      </c>
      <c r="H30" s="49" t="s">
        <v>25</v>
      </c>
      <c r="I30" s="49" t="s">
        <v>25</v>
      </c>
      <c r="J30" s="49" t="s">
        <v>791</v>
      </c>
      <c r="K30" s="49" t="s">
        <v>790</v>
      </c>
      <c r="L30" s="49" t="s">
        <v>80</v>
      </c>
      <c r="M30" s="49">
        <v>2021</v>
      </c>
      <c r="N30" s="49">
        <v>0</v>
      </c>
      <c r="O30" s="49">
        <v>285.89</v>
      </c>
      <c r="P30" s="49">
        <v>43.2579512137115</v>
      </c>
    </row>
    <row r="31" spans="1:16" ht="11.25" customHeight="1" x14ac:dyDescent="0.25">
      <c r="A31" s="49">
        <v>30</v>
      </c>
      <c r="B31" s="49" t="s">
        <v>644</v>
      </c>
      <c r="C31" s="49" t="s">
        <v>43</v>
      </c>
      <c r="D31" s="49" t="s">
        <v>33</v>
      </c>
      <c r="E31" s="49" t="s">
        <v>44</v>
      </c>
      <c r="F31" s="49" t="s">
        <v>95</v>
      </c>
      <c r="G31" s="49" t="s">
        <v>25</v>
      </c>
      <c r="H31" s="49" t="s">
        <v>25</v>
      </c>
      <c r="I31" s="49" t="s">
        <v>34</v>
      </c>
      <c r="J31" s="49" t="s">
        <v>791</v>
      </c>
      <c r="K31" s="49" t="s">
        <v>790</v>
      </c>
      <c r="L31" s="49" t="s">
        <v>80</v>
      </c>
      <c r="M31" s="49">
        <v>2021</v>
      </c>
      <c r="N31" s="49">
        <v>0</v>
      </c>
      <c r="O31" s="49">
        <v>794.02</v>
      </c>
      <c r="P31" s="49">
        <v>43.2579512137115</v>
      </c>
    </row>
    <row r="32" spans="1:16" ht="11.25" customHeight="1" x14ac:dyDescent="0.25">
      <c r="A32" s="49">
        <v>31</v>
      </c>
      <c r="B32" s="49" t="s">
        <v>644</v>
      </c>
      <c r="C32" s="49" t="s">
        <v>43</v>
      </c>
      <c r="D32" s="49" t="s">
        <v>33</v>
      </c>
      <c r="E32" s="49" t="s">
        <v>44</v>
      </c>
      <c r="F32" s="49" t="s">
        <v>95</v>
      </c>
      <c r="G32" s="49" t="s">
        <v>25</v>
      </c>
      <c r="H32" s="49" t="s">
        <v>25</v>
      </c>
      <c r="I32" s="49" t="s">
        <v>36</v>
      </c>
      <c r="J32" s="49" t="s">
        <v>791</v>
      </c>
      <c r="K32" s="49" t="s">
        <v>790</v>
      </c>
      <c r="L32" s="49" t="s">
        <v>80</v>
      </c>
      <c r="M32" s="49">
        <v>2021</v>
      </c>
      <c r="N32" s="49">
        <v>0</v>
      </c>
      <c r="O32" s="49">
        <v>511.06</v>
      </c>
      <c r="P32" s="49">
        <v>43.2579512137115</v>
      </c>
    </row>
    <row r="33" spans="1:16" ht="11.25" customHeight="1" x14ac:dyDescent="0.25">
      <c r="A33" s="49">
        <v>32</v>
      </c>
      <c r="B33" s="49" t="s">
        <v>644</v>
      </c>
      <c r="C33" s="49" t="s">
        <v>43</v>
      </c>
      <c r="D33" s="49" t="s">
        <v>33</v>
      </c>
      <c r="E33" s="49" t="s">
        <v>44</v>
      </c>
      <c r="F33" s="49" t="s">
        <v>95</v>
      </c>
      <c r="G33" s="49" t="s">
        <v>25</v>
      </c>
      <c r="H33" s="49" t="s">
        <v>25</v>
      </c>
      <c r="I33" s="49" t="s">
        <v>35</v>
      </c>
      <c r="J33" s="49" t="s">
        <v>791</v>
      </c>
      <c r="K33" s="49" t="s">
        <v>790</v>
      </c>
      <c r="L33" s="49" t="s">
        <v>80</v>
      </c>
      <c r="M33" s="49">
        <v>2021</v>
      </c>
      <c r="N33" s="49">
        <v>0</v>
      </c>
      <c r="O33" s="49">
        <v>228.11</v>
      </c>
      <c r="P33" s="49">
        <v>43.2579512137115</v>
      </c>
    </row>
    <row r="34" spans="1:16" ht="11.25" customHeight="1" x14ac:dyDescent="0.25">
      <c r="A34" s="49">
        <v>33</v>
      </c>
      <c r="B34" s="49" t="s">
        <v>644</v>
      </c>
      <c r="C34" s="49" t="s">
        <v>43</v>
      </c>
      <c r="D34" s="49" t="s">
        <v>23</v>
      </c>
      <c r="E34" s="49" t="s">
        <v>44</v>
      </c>
      <c r="F34" s="49" t="s">
        <v>95</v>
      </c>
      <c r="G34" s="49" t="s">
        <v>25</v>
      </c>
      <c r="H34" s="49" t="s">
        <v>25</v>
      </c>
      <c r="I34" s="49" t="s">
        <v>25</v>
      </c>
      <c r="J34" s="49" t="s">
        <v>791</v>
      </c>
      <c r="K34" s="49" t="s">
        <v>790</v>
      </c>
      <c r="L34" s="49" t="s">
        <v>80</v>
      </c>
      <c r="M34" s="49">
        <v>2021</v>
      </c>
      <c r="N34" s="49">
        <v>0</v>
      </c>
      <c r="O34" s="49">
        <v>285.89</v>
      </c>
      <c r="P34" s="49">
        <v>43.2579512137115</v>
      </c>
    </row>
    <row r="35" spans="1:16" ht="11.25" customHeight="1" x14ac:dyDescent="0.25">
      <c r="A35" s="49">
        <v>34</v>
      </c>
      <c r="B35" s="49" t="s">
        <v>644</v>
      </c>
      <c r="C35" s="49" t="s">
        <v>43</v>
      </c>
      <c r="D35" s="49" t="s">
        <v>33</v>
      </c>
      <c r="E35" s="49" t="s">
        <v>44</v>
      </c>
      <c r="F35" s="49" t="s">
        <v>55</v>
      </c>
      <c r="G35" s="49" t="s">
        <v>25</v>
      </c>
      <c r="H35" s="49" t="s">
        <v>25</v>
      </c>
      <c r="I35" s="49" t="s">
        <v>34</v>
      </c>
      <c r="J35" s="49" t="s">
        <v>791</v>
      </c>
      <c r="K35" s="49" t="s">
        <v>790</v>
      </c>
      <c r="L35" s="49" t="s">
        <v>80</v>
      </c>
      <c r="M35" s="49">
        <v>2021</v>
      </c>
      <c r="N35" s="49">
        <v>0</v>
      </c>
      <c r="O35" s="49">
        <v>757.92</v>
      </c>
      <c r="P35" s="49">
        <v>41.291680703997301</v>
      </c>
    </row>
    <row r="36" spans="1:16" ht="11.25" customHeight="1" x14ac:dyDescent="0.25">
      <c r="A36" s="49">
        <v>35</v>
      </c>
      <c r="B36" s="49" t="s">
        <v>644</v>
      </c>
      <c r="C36" s="49" t="s">
        <v>43</v>
      </c>
      <c r="D36" s="49" t="s">
        <v>33</v>
      </c>
      <c r="E36" s="49" t="s">
        <v>44</v>
      </c>
      <c r="F36" s="49" t="s">
        <v>55</v>
      </c>
      <c r="G36" s="49" t="s">
        <v>25</v>
      </c>
      <c r="H36" s="49" t="s">
        <v>25</v>
      </c>
      <c r="I36" s="49" t="s">
        <v>36</v>
      </c>
      <c r="J36" s="49" t="s">
        <v>791</v>
      </c>
      <c r="K36" s="49" t="s">
        <v>790</v>
      </c>
      <c r="L36" s="49" t="s">
        <v>80</v>
      </c>
      <c r="M36" s="49">
        <v>2021</v>
      </c>
      <c r="N36" s="49">
        <v>0</v>
      </c>
      <c r="O36" s="49">
        <v>487.83</v>
      </c>
      <c r="P36" s="49">
        <v>41.291680703997301</v>
      </c>
    </row>
    <row r="37" spans="1:16" ht="11.25" customHeight="1" x14ac:dyDescent="0.25">
      <c r="A37" s="49">
        <v>36</v>
      </c>
      <c r="B37" s="49" t="s">
        <v>644</v>
      </c>
      <c r="C37" s="49" t="s">
        <v>43</v>
      </c>
      <c r="D37" s="49" t="s">
        <v>33</v>
      </c>
      <c r="E37" s="49" t="s">
        <v>44</v>
      </c>
      <c r="F37" s="49" t="s">
        <v>55</v>
      </c>
      <c r="G37" s="49" t="s">
        <v>25</v>
      </c>
      <c r="H37" s="49" t="s">
        <v>25</v>
      </c>
      <c r="I37" s="49" t="s">
        <v>35</v>
      </c>
      <c r="J37" s="49" t="s">
        <v>791</v>
      </c>
      <c r="K37" s="49" t="s">
        <v>790</v>
      </c>
      <c r="L37" s="49" t="s">
        <v>80</v>
      </c>
      <c r="M37" s="49">
        <v>2021</v>
      </c>
      <c r="N37" s="49">
        <v>0</v>
      </c>
      <c r="O37" s="49">
        <v>217.74</v>
      </c>
      <c r="P37" s="49">
        <v>41.291680703997301</v>
      </c>
    </row>
    <row r="38" spans="1:16" ht="11.25" customHeight="1" x14ac:dyDescent="0.25">
      <c r="A38" s="49">
        <v>37</v>
      </c>
      <c r="B38" s="49" t="s">
        <v>644</v>
      </c>
      <c r="C38" s="49" t="s">
        <v>43</v>
      </c>
      <c r="D38" s="49" t="s">
        <v>23</v>
      </c>
      <c r="E38" s="49" t="s">
        <v>44</v>
      </c>
      <c r="F38" s="49" t="s">
        <v>55</v>
      </c>
      <c r="G38" s="49" t="s">
        <v>25</v>
      </c>
      <c r="H38" s="49" t="s">
        <v>25</v>
      </c>
      <c r="I38" s="49" t="s">
        <v>25</v>
      </c>
      <c r="J38" s="49" t="s">
        <v>791</v>
      </c>
      <c r="K38" s="49" t="s">
        <v>790</v>
      </c>
      <c r="L38" s="49" t="s">
        <v>80</v>
      </c>
      <c r="M38" s="49">
        <v>2021</v>
      </c>
      <c r="N38" s="49">
        <v>0</v>
      </c>
      <c r="O38" s="49">
        <v>272.89999999999998</v>
      </c>
      <c r="P38" s="49">
        <v>41.291680703997301</v>
      </c>
    </row>
    <row r="39" spans="1:16" ht="11.25" customHeight="1" x14ac:dyDescent="0.25">
      <c r="A39" s="49">
        <v>38</v>
      </c>
      <c r="B39" s="49" t="s">
        <v>644</v>
      </c>
      <c r="C39" s="49" t="s">
        <v>43</v>
      </c>
      <c r="D39" s="49" t="s">
        <v>94</v>
      </c>
      <c r="E39" s="49" t="s">
        <v>44</v>
      </c>
      <c r="F39" s="49" t="s">
        <v>25</v>
      </c>
      <c r="G39" s="49" t="s">
        <v>25</v>
      </c>
      <c r="H39" s="49" t="s">
        <v>25</v>
      </c>
      <c r="I39" s="49" t="s">
        <v>25</v>
      </c>
      <c r="J39" s="49" t="s">
        <v>791</v>
      </c>
      <c r="K39" s="49" t="s">
        <v>790</v>
      </c>
      <c r="L39" s="49" t="s">
        <v>80</v>
      </c>
      <c r="M39" s="49">
        <v>2021</v>
      </c>
      <c r="N39" s="49">
        <v>0</v>
      </c>
      <c r="O39" s="49">
        <v>285.89</v>
      </c>
      <c r="P39" s="49">
        <v>43.2579512137115</v>
      </c>
    </row>
    <row r="40" spans="1:16" ht="11.25" customHeight="1" x14ac:dyDescent="0.25">
      <c r="A40" s="49">
        <v>39</v>
      </c>
      <c r="B40" s="49" t="s">
        <v>644</v>
      </c>
      <c r="C40" s="49" t="s">
        <v>43</v>
      </c>
      <c r="D40" s="49" t="s">
        <v>94</v>
      </c>
      <c r="E40" s="49" t="s">
        <v>44</v>
      </c>
      <c r="F40" s="49" t="s">
        <v>95</v>
      </c>
      <c r="G40" s="49" t="s">
        <v>25</v>
      </c>
      <c r="H40" s="49" t="s">
        <v>25</v>
      </c>
      <c r="I40" s="49" t="s">
        <v>25</v>
      </c>
      <c r="J40" s="49" t="s">
        <v>791</v>
      </c>
      <c r="K40" s="49" t="s">
        <v>790</v>
      </c>
      <c r="L40" s="49" t="s">
        <v>80</v>
      </c>
      <c r="M40" s="49">
        <v>2021</v>
      </c>
      <c r="N40" s="49">
        <v>0</v>
      </c>
      <c r="O40" s="49">
        <v>285.89</v>
      </c>
      <c r="P40" s="49">
        <v>43.2579512137115</v>
      </c>
    </row>
    <row r="41" spans="1:16" ht="11.25" customHeight="1" x14ac:dyDescent="0.25">
      <c r="A41" s="49">
        <v>40</v>
      </c>
      <c r="B41" s="49" t="s">
        <v>644</v>
      </c>
      <c r="C41" s="49" t="s">
        <v>43</v>
      </c>
      <c r="D41" s="49" t="s">
        <v>94</v>
      </c>
      <c r="E41" s="49" t="s">
        <v>44</v>
      </c>
      <c r="F41" s="49" t="s">
        <v>55</v>
      </c>
      <c r="G41" s="49" t="s">
        <v>25</v>
      </c>
      <c r="H41" s="49" t="s">
        <v>25</v>
      </c>
      <c r="I41" s="49" t="s">
        <v>25</v>
      </c>
      <c r="J41" s="49" t="s">
        <v>791</v>
      </c>
      <c r="K41" s="49" t="s">
        <v>790</v>
      </c>
      <c r="L41" s="49" t="s">
        <v>80</v>
      </c>
      <c r="M41" s="49">
        <v>2021</v>
      </c>
      <c r="N41" s="49">
        <v>0</v>
      </c>
      <c r="O41" s="49">
        <v>272.89999999999998</v>
      </c>
      <c r="P41" s="49">
        <v>41.291680703997301</v>
      </c>
    </row>
    <row r="42" spans="1:16" ht="11.25" customHeight="1" x14ac:dyDescent="0.25">
      <c r="A42" s="49">
        <v>41</v>
      </c>
      <c r="B42" s="49" t="s">
        <v>644</v>
      </c>
      <c r="C42" s="49" t="s">
        <v>37</v>
      </c>
      <c r="D42" s="49" t="s">
        <v>33</v>
      </c>
      <c r="E42" s="49" t="s">
        <v>25</v>
      </c>
      <c r="F42" s="49" t="s">
        <v>25</v>
      </c>
      <c r="G42" s="49" t="s">
        <v>25</v>
      </c>
      <c r="H42" s="49" t="s">
        <v>25</v>
      </c>
      <c r="I42" s="49" t="s">
        <v>34</v>
      </c>
      <c r="J42" s="49" t="s">
        <v>791</v>
      </c>
      <c r="K42" s="49" t="s">
        <v>790</v>
      </c>
      <c r="L42" s="49" t="s">
        <v>80</v>
      </c>
      <c r="M42" s="49">
        <v>2021</v>
      </c>
      <c r="N42" s="49">
        <v>0</v>
      </c>
      <c r="O42" s="49">
        <v>902.29</v>
      </c>
      <c r="P42" s="49">
        <v>49.1567627428539</v>
      </c>
    </row>
    <row r="43" spans="1:16" ht="11.25" customHeight="1" x14ac:dyDescent="0.25">
      <c r="A43" s="49">
        <v>42</v>
      </c>
      <c r="B43" s="49" t="s">
        <v>644</v>
      </c>
      <c r="C43" s="49" t="s">
        <v>37</v>
      </c>
      <c r="D43" s="49" t="s">
        <v>33</v>
      </c>
      <c r="E43" s="49" t="s">
        <v>25</v>
      </c>
      <c r="F43" s="49" t="s">
        <v>25</v>
      </c>
      <c r="G43" s="49" t="s">
        <v>25</v>
      </c>
      <c r="H43" s="49" t="s">
        <v>25</v>
      </c>
      <c r="I43" s="49" t="s">
        <v>36</v>
      </c>
      <c r="J43" s="49" t="s">
        <v>791</v>
      </c>
      <c r="K43" s="49" t="s">
        <v>790</v>
      </c>
      <c r="L43" s="49" t="s">
        <v>80</v>
      </c>
      <c r="M43" s="49">
        <v>2021</v>
      </c>
      <c r="N43" s="49">
        <v>0</v>
      </c>
      <c r="O43" s="49">
        <v>580.75</v>
      </c>
      <c r="P43" s="49">
        <v>49.1567627428539</v>
      </c>
    </row>
    <row r="44" spans="1:16" ht="11.25" customHeight="1" x14ac:dyDescent="0.25">
      <c r="A44" s="49">
        <v>43</v>
      </c>
      <c r="B44" s="49" t="s">
        <v>644</v>
      </c>
      <c r="C44" s="49" t="s">
        <v>37</v>
      </c>
      <c r="D44" s="49" t="s">
        <v>33</v>
      </c>
      <c r="E44" s="49" t="s">
        <v>25</v>
      </c>
      <c r="F44" s="49" t="s">
        <v>25</v>
      </c>
      <c r="G44" s="49" t="s">
        <v>25</v>
      </c>
      <c r="H44" s="49" t="s">
        <v>25</v>
      </c>
      <c r="I44" s="49" t="s">
        <v>35</v>
      </c>
      <c r="J44" s="49" t="s">
        <v>791</v>
      </c>
      <c r="K44" s="49" t="s">
        <v>790</v>
      </c>
      <c r="L44" s="49" t="s">
        <v>80</v>
      </c>
      <c r="M44" s="49">
        <v>2021</v>
      </c>
      <c r="N44" s="49">
        <v>0</v>
      </c>
      <c r="O44" s="49">
        <v>259.20999999999998</v>
      </c>
      <c r="P44" s="49">
        <v>49.1567627428539</v>
      </c>
    </row>
    <row r="45" spans="1:16" ht="11.25" customHeight="1" x14ac:dyDescent="0.25">
      <c r="A45" s="49">
        <v>44</v>
      </c>
      <c r="B45" s="49" t="s">
        <v>644</v>
      </c>
      <c r="C45" s="49" t="s">
        <v>37</v>
      </c>
      <c r="D45" s="49" t="s">
        <v>23</v>
      </c>
      <c r="E45" s="49" t="s">
        <v>25</v>
      </c>
      <c r="F45" s="49" t="s">
        <v>25</v>
      </c>
      <c r="G45" s="49" t="s">
        <v>25</v>
      </c>
      <c r="H45" s="49" t="s">
        <v>25</v>
      </c>
      <c r="I45" s="49" t="s">
        <v>25</v>
      </c>
      <c r="J45" s="49" t="s">
        <v>791</v>
      </c>
      <c r="K45" s="49" t="s">
        <v>790</v>
      </c>
      <c r="L45" s="49" t="s">
        <v>80</v>
      </c>
      <c r="M45" s="49">
        <v>2021</v>
      </c>
      <c r="N45" s="49">
        <v>0</v>
      </c>
      <c r="O45" s="49">
        <v>324.88</v>
      </c>
      <c r="P45" s="49">
        <v>49.1567627428539</v>
      </c>
    </row>
    <row r="46" spans="1:16" ht="11.25" customHeight="1" x14ac:dyDescent="0.25">
      <c r="A46" s="49">
        <v>45</v>
      </c>
      <c r="B46" s="49" t="s">
        <v>644</v>
      </c>
      <c r="C46" s="49" t="s">
        <v>37</v>
      </c>
      <c r="D46" s="49" t="s">
        <v>94</v>
      </c>
      <c r="E46" s="49" t="s">
        <v>25</v>
      </c>
      <c r="F46" s="49" t="s">
        <v>25</v>
      </c>
      <c r="G46" s="49" t="s">
        <v>25</v>
      </c>
      <c r="H46" s="49" t="s">
        <v>25</v>
      </c>
      <c r="I46" s="49" t="s">
        <v>25</v>
      </c>
      <c r="J46" s="49" t="s">
        <v>791</v>
      </c>
      <c r="K46" s="49" t="s">
        <v>790</v>
      </c>
      <c r="L46" s="49" t="s">
        <v>80</v>
      </c>
      <c r="M46" s="49">
        <v>2021</v>
      </c>
      <c r="N46" s="49">
        <v>0</v>
      </c>
      <c r="O46" s="49">
        <v>324.88</v>
      </c>
      <c r="P46" s="49">
        <v>49.1567627428539</v>
      </c>
    </row>
    <row r="47" spans="1:16" ht="11.25" customHeight="1" x14ac:dyDescent="0.25">
      <c r="A47" s="49">
        <v>46</v>
      </c>
      <c r="B47" s="49" t="s">
        <v>644</v>
      </c>
      <c r="C47" s="49" t="s">
        <v>46</v>
      </c>
      <c r="D47" s="49" t="s">
        <v>23</v>
      </c>
      <c r="E47" s="49" t="s">
        <v>47</v>
      </c>
      <c r="F47" s="49" t="s">
        <v>48</v>
      </c>
      <c r="G47" s="49" t="s">
        <v>25</v>
      </c>
      <c r="H47" s="49" t="s">
        <v>25</v>
      </c>
      <c r="I47" s="49" t="s">
        <v>25</v>
      </c>
      <c r="J47" s="49" t="s">
        <v>791</v>
      </c>
      <c r="K47" s="49" t="s">
        <v>790</v>
      </c>
      <c r="L47" s="49" t="s">
        <v>80</v>
      </c>
      <c r="M47" s="49">
        <v>2021</v>
      </c>
      <c r="N47" s="49">
        <v>0</v>
      </c>
      <c r="O47" s="49">
        <v>178.68</v>
      </c>
      <c r="P47" s="49">
        <v>27.036219508569701</v>
      </c>
    </row>
    <row r="48" spans="1:16" ht="11.25" customHeight="1" x14ac:dyDescent="0.25">
      <c r="A48" s="49">
        <v>47</v>
      </c>
      <c r="B48" s="49" t="s">
        <v>644</v>
      </c>
      <c r="C48" s="49" t="s">
        <v>46</v>
      </c>
      <c r="D48" s="49" t="s">
        <v>23</v>
      </c>
      <c r="E48" s="49" t="s">
        <v>47</v>
      </c>
      <c r="F48" s="49" t="s">
        <v>96</v>
      </c>
      <c r="G48" s="49" t="s">
        <v>25</v>
      </c>
      <c r="H48" s="49" t="s">
        <v>25</v>
      </c>
      <c r="I48" s="49" t="s">
        <v>25</v>
      </c>
      <c r="J48" s="49" t="s">
        <v>791</v>
      </c>
      <c r="K48" s="49" t="s">
        <v>790</v>
      </c>
      <c r="L48" s="49" t="s">
        <v>80</v>
      </c>
      <c r="M48" s="49">
        <v>2021</v>
      </c>
      <c r="N48" s="49">
        <v>0</v>
      </c>
      <c r="O48" s="49">
        <v>194.93</v>
      </c>
      <c r="P48" s="49">
        <v>29.494057645712399</v>
      </c>
    </row>
    <row r="49" spans="1:16" ht="11.25" customHeight="1" x14ac:dyDescent="0.25">
      <c r="A49" s="49">
        <v>48</v>
      </c>
      <c r="B49" s="49" t="s">
        <v>672</v>
      </c>
      <c r="C49" s="49" t="s">
        <v>39</v>
      </c>
      <c r="D49" s="49" t="s">
        <v>79</v>
      </c>
      <c r="E49" s="49" t="s">
        <v>25</v>
      </c>
      <c r="F49" s="49" t="s">
        <v>25</v>
      </c>
      <c r="G49" s="49" t="s">
        <v>25</v>
      </c>
      <c r="H49" s="49" t="s">
        <v>25</v>
      </c>
      <c r="I49" s="49" t="s">
        <v>34</v>
      </c>
      <c r="J49" s="49" t="s">
        <v>791</v>
      </c>
      <c r="K49" s="49" t="s">
        <v>790</v>
      </c>
      <c r="L49" s="49" t="s">
        <v>80</v>
      </c>
      <c r="M49" s="49">
        <v>2021</v>
      </c>
      <c r="N49" s="49">
        <v>0</v>
      </c>
      <c r="O49" s="49">
        <v>492.64</v>
      </c>
      <c r="P49" s="49"/>
    </row>
    <row r="50" spans="1:16" ht="11.25" customHeight="1" x14ac:dyDescent="0.25">
      <c r="A50" s="49">
        <v>49</v>
      </c>
      <c r="B50" s="49" t="s">
        <v>672</v>
      </c>
      <c r="C50" s="49" t="s">
        <v>39</v>
      </c>
      <c r="D50" s="49" t="s">
        <v>79</v>
      </c>
      <c r="E50" s="49" t="s">
        <v>25</v>
      </c>
      <c r="F50" s="49" t="s">
        <v>25</v>
      </c>
      <c r="G50" s="49" t="s">
        <v>25</v>
      </c>
      <c r="H50" s="49" t="s">
        <v>25</v>
      </c>
      <c r="I50" s="49" t="s">
        <v>35</v>
      </c>
      <c r="J50" s="49" t="s">
        <v>791</v>
      </c>
      <c r="K50" s="49" t="s">
        <v>790</v>
      </c>
      <c r="L50" s="49" t="s">
        <v>80</v>
      </c>
      <c r="M50" s="49">
        <v>2021</v>
      </c>
      <c r="N50" s="49">
        <v>0</v>
      </c>
      <c r="O50" s="49">
        <v>307.08</v>
      </c>
      <c r="P50" s="49"/>
    </row>
    <row r="51" spans="1:16" ht="11.25" customHeight="1" x14ac:dyDescent="0.25">
      <c r="A51" s="49">
        <v>50</v>
      </c>
      <c r="B51" s="49" t="s">
        <v>672</v>
      </c>
      <c r="C51" s="49" t="s">
        <v>22</v>
      </c>
      <c r="D51" s="49" t="s">
        <v>79</v>
      </c>
      <c r="E51" s="49" t="s">
        <v>24</v>
      </c>
      <c r="F51" s="49" t="s">
        <v>24</v>
      </c>
      <c r="G51" s="49" t="s">
        <v>25</v>
      </c>
      <c r="H51" s="49" t="s">
        <v>25</v>
      </c>
      <c r="I51" s="49" t="s">
        <v>34</v>
      </c>
      <c r="J51" s="49" t="s">
        <v>791</v>
      </c>
      <c r="K51" s="49" t="s">
        <v>790</v>
      </c>
      <c r="L51" s="49" t="s">
        <v>80</v>
      </c>
      <c r="M51" s="49">
        <v>2021</v>
      </c>
      <c r="N51" s="49">
        <v>0</v>
      </c>
      <c r="O51" s="49">
        <v>492.64</v>
      </c>
      <c r="P51" s="49"/>
    </row>
    <row r="52" spans="1:16" ht="11.25" customHeight="1" x14ac:dyDescent="0.25">
      <c r="A52" s="49">
        <v>51</v>
      </c>
      <c r="B52" s="49" t="s">
        <v>672</v>
      </c>
      <c r="C52" s="49" t="s">
        <v>22</v>
      </c>
      <c r="D52" s="49" t="s">
        <v>79</v>
      </c>
      <c r="E52" s="49" t="s">
        <v>24</v>
      </c>
      <c r="F52" s="49" t="s">
        <v>24</v>
      </c>
      <c r="G52" s="49" t="s">
        <v>25</v>
      </c>
      <c r="H52" s="49" t="s">
        <v>25</v>
      </c>
      <c r="I52" s="49" t="s">
        <v>36</v>
      </c>
      <c r="J52" s="49" t="s">
        <v>791</v>
      </c>
      <c r="K52" s="49" t="s">
        <v>790</v>
      </c>
      <c r="L52" s="49" t="s">
        <v>80</v>
      </c>
      <c r="M52" s="49">
        <v>2021</v>
      </c>
      <c r="N52" s="49">
        <v>0</v>
      </c>
      <c r="O52" s="49">
        <v>307.08</v>
      </c>
      <c r="P52" s="49"/>
    </row>
    <row r="53" spans="1:16" ht="11.25" customHeight="1" x14ac:dyDescent="0.25">
      <c r="A53" s="49">
        <v>52</v>
      </c>
      <c r="B53" s="49" t="s">
        <v>672</v>
      </c>
      <c r="C53" s="49" t="s">
        <v>22</v>
      </c>
      <c r="D53" s="49" t="s">
        <v>79</v>
      </c>
      <c r="E53" s="49" t="s">
        <v>24</v>
      </c>
      <c r="F53" s="49" t="s">
        <v>24</v>
      </c>
      <c r="G53" s="49" t="s">
        <v>25</v>
      </c>
      <c r="H53" s="49" t="s">
        <v>25</v>
      </c>
      <c r="I53" s="49" t="s">
        <v>35</v>
      </c>
      <c r="J53" s="49" t="s">
        <v>791</v>
      </c>
      <c r="K53" s="49" t="s">
        <v>790</v>
      </c>
      <c r="L53" s="49" t="s">
        <v>80</v>
      </c>
      <c r="M53" s="49">
        <v>2021</v>
      </c>
      <c r="N53" s="49">
        <v>0</v>
      </c>
      <c r="O53" s="49">
        <v>307.08</v>
      </c>
      <c r="P53" s="49"/>
    </row>
    <row r="54" spans="1:16" ht="11.25" customHeight="1" x14ac:dyDescent="0.25">
      <c r="A54" s="49">
        <v>53</v>
      </c>
      <c r="B54" s="49" t="s">
        <v>672</v>
      </c>
      <c r="C54" s="49" t="s">
        <v>22</v>
      </c>
      <c r="D54" s="49" t="s">
        <v>92</v>
      </c>
      <c r="E54" s="49" t="s">
        <v>24</v>
      </c>
      <c r="F54" s="49" t="s">
        <v>24</v>
      </c>
      <c r="G54" s="49" t="s">
        <v>25</v>
      </c>
      <c r="H54" s="49" t="s">
        <v>25</v>
      </c>
      <c r="I54" s="49" t="s">
        <v>25</v>
      </c>
      <c r="J54" s="49" t="s">
        <v>791</v>
      </c>
      <c r="K54" s="49" t="s">
        <v>790</v>
      </c>
      <c r="L54" s="49" t="s">
        <v>80</v>
      </c>
      <c r="M54" s="49">
        <v>2021</v>
      </c>
      <c r="N54" s="49">
        <v>0</v>
      </c>
      <c r="O54" s="49">
        <v>322.54000000000002</v>
      </c>
      <c r="P54" s="49"/>
    </row>
    <row r="55" spans="1:16" ht="11.25" customHeight="1" x14ac:dyDescent="0.25">
      <c r="A55" s="49">
        <v>54</v>
      </c>
      <c r="B55" s="49" t="s">
        <v>672</v>
      </c>
      <c r="C55" s="49" t="s">
        <v>22</v>
      </c>
      <c r="D55" s="49" t="s">
        <v>92</v>
      </c>
      <c r="E55" s="49" t="s">
        <v>24</v>
      </c>
      <c r="F55" s="49" t="s">
        <v>29</v>
      </c>
      <c r="G55" s="49" t="s">
        <v>25</v>
      </c>
      <c r="H55" s="49" t="s">
        <v>25</v>
      </c>
      <c r="I55" s="49" t="s">
        <v>25</v>
      </c>
      <c r="J55" s="49" t="s">
        <v>791</v>
      </c>
      <c r="K55" s="49" t="s">
        <v>790</v>
      </c>
      <c r="L55" s="49" t="s">
        <v>80</v>
      </c>
      <c r="M55" s="49">
        <v>2021</v>
      </c>
      <c r="N55" s="49">
        <v>0</v>
      </c>
      <c r="O55" s="49">
        <v>112.89</v>
      </c>
      <c r="P55" s="49"/>
    </row>
    <row r="56" spans="1:16" ht="11.25" customHeight="1" x14ac:dyDescent="0.25">
      <c r="A56" s="49">
        <v>55</v>
      </c>
      <c r="B56" s="49" t="s">
        <v>672</v>
      </c>
      <c r="C56" s="49" t="s">
        <v>22</v>
      </c>
      <c r="D56" s="49" t="s">
        <v>92</v>
      </c>
      <c r="E56" s="49" t="s">
        <v>24</v>
      </c>
      <c r="F56" s="49" t="s">
        <v>30</v>
      </c>
      <c r="G56" s="49" t="s">
        <v>25</v>
      </c>
      <c r="H56" s="49" t="s">
        <v>25</v>
      </c>
      <c r="I56" s="49" t="s">
        <v>25</v>
      </c>
      <c r="J56" s="49" t="s">
        <v>791</v>
      </c>
      <c r="K56" s="49" t="s">
        <v>790</v>
      </c>
      <c r="L56" s="49" t="s">
        <v>80</v>
      </c>
      <c r="M56" s="49">
        <v>2021</v>
      </c>
      <c r="N56" s="49">
        <v>0</v>
      </c>
      <c r="O56" s="49">
        <v>193.53</v>
      </c>
      <c r="P56" s="49"/>
    </row>
    <row r="57" spans="1:16" ht="11.25" customHeight="1" x14ac:dyDescent="0.25">
      <c r="A57" s="49">
        <v>56</v>
      </c>
      <c r="B57" s="49" t="s">
        <v>672</v>
      </c>
      <c r="C57" s="49" t="s">
        <v>22</v>
      </c>
      <c r="D57" s="49" t="s">
        <v>92</v>
      </c>
      <c r="E57" s="49" t="s">
        <v>24</v>
      </c>
      <c r="F57" s="49" t="s">
        <v>31</v>
      </c>
      <c r="G57" s="49" t="s">
        <v>25</v>
      </c>
      <c r="H57" s="49" t="s">
        <v>25</v>
      </c>
      <c r="I57" s="49" t="s">
        <v>25</v>
      </c>
      <c r="J57" s="49" t="s">
        <v>791</v>
      </c>
      <c r="K57" s="49" t="s">
        <v>790</v>
      </c>
      <c r="L57" s="49" t="s">
        <v>80</v>
      </c>
      <c r="M57" s="49">
        <v>2021</v>
      </c>
      <c r="N57" s="49">
        <v>0</v>
      </c>
      <c r="O57" s="49">
        <v>290.29000000000002</v>
      </c>
      <c r="P57" s="49"/>
    </row>
    <row r="58" spans="1:16" ht="11.25" customHeight="1" x14ac:dyDescent="0.25">
      <c r="A58" s="49">
        <v>57</v>
      </c>
      <c r="B58" s="49" t="s">
        <v>672</v>
      </c>
      <c r="C58" s="49" t="s">
        <v>22</v>
      </c>
      <c r="D58" s="49" t="s">
        <v>92</v>
      </c>
      <c r="E58" s="49" t="s">
        <v>24</v>
      </c>
      <c r="F58" s="49" t="s">
        <v>32</v>
      </c>
      <c r="G58" s="49" t="s">
        <v>25</v>
      </c>
      <c r="H58" s="49" t="s">
        <v>25</v>
      </c>
      <c r="I58" s="49" t="s">
        <v>25</v>
      </c>
      <c r="J58" s="49" t="s">
        <v>791</v>
      </c>
      <c r="K58" s="49" t="s">
        <v>790</v>
      </c>
      <c r="L58" s="49" t="s">
        <v>80</v>
      </c>
      <c r="M58" s="49">
        <v>2021</v>
      </c>
      <c r="N58" s="49">
        <v>0</v>
      </c>
      <c r="O58" s="49">
        <v>322.54000000000002</v>
      </c>
      <c r="P58" s="49"/>
    </row>
    <row r="59" spans="1:16" ht="11.25" customHeight="1" x14ac:dyDescent="0.25">
      <c r="A59" s="49">
        <v>58</v>
      </c>
      <c r="B59" s="49" t="s">
        <v>672</v>
      </c>
      <c r="C59" s="49" t="s">
        <v>22</v>
      </c>
      <c r="D59" s="49" t="s">
        <v>93</v>
      </c>
      <c r="E59" s="49" t="s">
        <v>24</v>
      </c>
      <c r="F59" s="49" t="s">
        <v>24</v>
      </c>
      <c r="G59" s="49" t="s">
        <v>25</v>
      </c>
      <c r="H59" s="49" t="s">
        <v>25</v>
      </c>
      <c r="I59" s="49" t="s">
        <v>25</v>
      </c>
      <c r="J59" s="49" t="s">
        <v>791</v>
      </c>
      <c r="K59" s="49" t="s">
        <v>790</v>
      </c>
      <c r="L59" s="49" t="s">
        <v>80</v>
      </c>
      <c r="M59" s="49">
        <v>2021</v>
      </c>
      <c r="N59" s="49">
        <v>0</v>
      </c>
      <c r="O59" s="49">
        <v>322.54000000000002</v>
      </c>
      <c r="P59" s="49"/>
    </row>
    <row r="60" spans="1:16" ht="11.25" customHeight="1" x14ac:dyDescent="0.25">
      <c r="A60" s="49">
        <v>59</v>
      </c>
      <c r="B60" s="49" t="s">
        <v>672</v>
      </c>
      <c r="C60" s="49" t="s">
        <v>22</v>
      </c>
      <c r="D60" s="49" t="s">
        <v>93</v>
      </c>
      <c r="E60" s="49" t="s">
        <v>24</v>
      </c>
      <c r="F60" s="49" t="s">
        <v>29</v>
      </c>
      <c r="G60" s="49" t="s">
        <v>25</v>
      </c>
      <c r="H60" s="49" t="s">
        <v>25</v>
      </c>
      <c r="I60" s="49" t="s">
        <v>25</v>
      </c>
      <c r="J60" s="49" t="s">
        <v>791</v>
      </c>
      <c r="K60" s="49" t="s">
        <v>790</v>
      </c>
      <c r="L60" s="49" t="s">
        <v>80</v>
      </c>
      <c r="M60" s="49">
        <v>2021</v>
      </c>
      <c r="N60" s="49">
        <v>0</v>
      </c>
      <c r="O60" s="49">
        <v>112.89</v>
      </c>
      <c r="P60" s="49"/>
    </row>
    <row r="61" spans="1:16" ht="11.25" customHeight="1" x14ac:dyDescent="0.25">
      <c r="A61" s="49">
        <v>60</v>
      </c>
      <c r="B61" s="49" t="s">
        <v>672</v>
      </c>
      <c r="C61" s="49" t="s">
        <v>22</v>
      </c>
      <c r="D61" s="49" t="s">
        <v>93</v>
      </c>
      <c r="E61" s="49" t="s">
        <v>24</v>
      </c>
      <c r="F61" s="49" t="s">
        <v>30</v>
      </c>
      <c r="G61" s="49" t="s">
        <v>25</v>
      </c>
      <c r="H61" s="49" t="s">
        <v>25</v>
      </c>
      <c r="I61" s="49" t="s">
        <v>25</v>
      </c>
      <c r="J61" s="49" t="s">
        <v>791</v>
      </c>
      <c r="K61" s="49" t="s">
        <v>790</v>
      </c>
      <c r="L61" s="49" t="s">
        <v>80</v>
      </c>
      <c r="M61" s="49">
        <v>2021</v>
      </c>
      <c r="N61" s="49">
        <v>0</v>
      </c>
      <c r="O61" s="49">
        <v>193.53</v>
      </c>
      <c r="P61" s="49"/>
    </row>
    <row r="62" spans="1:16" ht="11.25" customHeight="1" x14ac:dyDescent="0.25">
      <c r="A62" s="49">
        <v>61</v>
      </c>
      <c r="B62" s="49" t="s">
        <v>672</v>
      </c>
      <c r="C62" s="49" t="s">
        <v>22</v>
      </c>
      <c r="D62" s="49" t="s">
        <v>93</v>
      </c>
      <c r="E62" s="49" t="s">
        <v>24</v>
      </c>
      <c r="F62" s="49" t="s">
        <v>31</v>
      </c>
      <c r="G62" s="49" t="s">
        <v>25</v>
      </c>
      <c r="H62" s="49" t="s">
        <v>25</v>
      </c>
      <c r="I62" s="49" t="s">
        <v>25</v>
      </c>
      <c r="J62" s="49" t="s">
        <v>791</v>
      </c>
      <c r="K62" s="49" t="s">
        <v>790</v>
      </c>
      <c r="L62" s="49" t="s">
        <v>80</v>
      </c>
      <c r="M62" s="49">
        <v>2021</v>
      </c>
      <c r="N62" s="49">
        <v>0</v>
      </c>
      <c r="O62" s="49">
        <v>290.29000000000002</v>
      </c>
      <c r="P62" s="49"/>
    </row>
    <row r="63" spans="1:16" ht="11.25" customHeight="1" x14ac:dyDescent="0.25">
      <c r="A63" s="49">
        <v>62</v>
      </c>
      <c r="B63" s="49" t="s">
        <v>672</v>
      </c>
      <c r="C63" s="49" t="s">
        <v>22</v>
      </c>
      <c r="D63" s="49" t="s">
        <v>93</v>
      </c>
      <c r="E63" s="49" t="s">
        <v>24</v>
      </c>
      <c r="F63" s="49" t="s">
        <v>32</v>
      </c>
      <c r="G63" s="49" t="s">
        <v>25</v>
      </c>
      <c r="H63" s="49" t="s">
        <v>25</v>
      </c>
      <c r="I63" s="49" t="s">
        <v>25</v>
      </c>
      <c r="J63" s="49" t="s">
        <v>791</v>
      </c>
      <c r="K63" s="49" t="s">
        <v>790</v>
      </c>
      <c r="L63" s="49" t="s">
        <v>80</v>
      </c>
      <c r="M63" s="49">
        <v>2021</v>
      </c>
      <c r="N63" s="49">
        <v>0</v>
      </c>
      <c r="O63" s="49">
        <v>322.54000000000002</v>
      </c>
      <c r="P63" s="49"/>
    </row>
    <row r="64" spans="1:16" ht="11.25" customHeight="1" x14ac:dyDescent="0.25">
      <c r="A64" s="49">
        <v>63</v>
      </c>
      <c r="B64" s="49" t="s">
        <v>672</v>
      </c>
      <c r="C64" s="49" t="s">
        <v>43</v>
      </c>
      <c r="D64" s="49" t="s">
        <v>79</v>
      </c>
      <c r="E64" s="49" t="s">
        <v>44</v>
      </c>
      <c r="F64" s="49" t="s">
        <v>25</v>
      </c>
      <c r="G64" s="49" t="s">
        <v>25</v>
      </c>
      <c r="H64" s="49" t="s">
        <v>25</v>
      </c>
      <c r="I64" s="49" t="s">
        <v>34</v>
      </c>
      <c r="J64" s="49" t="s">
        <v>791</v>
      </c>
      <c r="K64" s="49" t="s">
        <v>790</v>
      </c>
      <c r="L64" s="49" t="s">
        <v>80</v>
      </c>
      <c r="M64" s="49">
        <v>2021</v>
      </c>
      <c r="N64" s="49">
        <v>0</v>
      </c>
      <c r="O64" s="49">
        <v>433.52</v>
      </c>
      <c r="P64" s="49"/>
    </row>
    <row r="65" spans="1:16" ht="11.25" customHeight="1" x14ac:dyDescent="0.25">
      <c r="A65" s="49">
        <v>64</v>
      </c>
      <c r="B65" s="49" t="s">
        <v>672</v>
      </c>
      <c r="C65" s="49" t="s">
        <v>43</v>
      </c>
      <c r="D65" s="49" t="s">
        <v>79</v>
      </c>
      <c r="E65" s="49" t="s">
        <v>44</v>
      </c>
      <c r="F65" s="49" t="s">
        <v>25</v>
      </c>
      <c r="G65" s="49" t="s">
        <v>25</v>
      </c>
      <c r="H65" s="49" t="s">
        <v>25</v>
      </c>
      <c r="I65" s="49" t="s">
        <v>36</v>
      </c>
      <c r="J65" s="49" t="s">
        <v>791</v>
      </c>
      <c r="K65" s="49" t="s">
        <v>790</v>
      </c>
      <c r="L65" s="49" t="s">
        <v>80</v>
      </c>
      <c r="M65" s="49">
        <v>2021</v>
      </c>
      <c r="N65" s="49">
        <v>0</v>
      </c>
      <c r="O65" s="49">
        <v>270.23</v>
      </c>
      <c r="P65" s="49"/>
    </row>
    <row r="66" spans="1:16" ht="11.25" customHeight="1" x14ac:dyDescent="0.25">
      <c r="A66" s="49">
        <v>65</v>
      </c>
      <c r="B66" s="49" t="s">
        <v>672</v>
      </c>
      <c r="C66" s="49" t="s">
        <v>43</v>
      </c>
      <c r="D66" s="49" t="s">
        <v>79</v>
      </c>
      <c r="E66" s="49" t="s">
        <v>44</v>
      </c>
      <c r="F66" s="49" t="s">
        <v>25</v>
      </c>
      <c r="G66" s="49" t="s">
        <v>25</v>
      </c>
      <c r="H66" s="49" t="s">
        <v>25</v>
      </c>
      <c r="I66" s="49" t="s">
        <v>35</v>
      </c>
      <c r="J66" s="49" t="s">
        <v>791</v>
      </c>
      <c r="K66" s="49" t="s">
        <v>790</v>
      </c>
      <c r="L66" s="49" t="s">
        <v>80</v>
      </c>
      <c r="M66" s="49">
        <v>2021</v>
      </c>
      <c r="N66" s="49">
        <v>0</v>
      </c>
      <c r="O66" s="49">
        <v>270.23</v>
      </c>
      <c r="P66" s="49"/>
    </row>
    <row r="67" spans="1:16" ht="11.25" customHeight="1" x14ac:dyDescent="0.25">
      <c r="A67" s="49">
        <v>66</v>
      </c>
      <c r="B67" s="49" t="s">
        <v>672</v>
      </c>
      <c r="C67" s="49" t="s">
        <v>43</v>
      </c>
      <c r="D67" s="49" t="s">
        <v>92</v>
      </c>
      <c r="E67" s="49" t="s">
        <v>44</v>
      </c>
      <c r="F67" s="49" t="s">
        <v>25</v>
      </c>
      <c r="G67" s="49" t="s">
        <v>25</v>
      </c>
      <c r="H67" s="49" t="s">
        <v>25</v>
      </c>
      <c r="I67" s="49" t="s">
        <v>25</v>
      </c>
      <c r="J67" s="49" t="s">
        <v>791</v>
      </c>
      <c r="K67" s="49" t="s">
        <v>790</v>
      </c>
      <c r="L67" s="49" t="s">
        <v>80</v>
      </c>
      <c r="M67" s="49">
        <v>2021</v>
      </c>
      <c r="N67" s="49">
        <v>0</v>
      </c>
      <c r="O67" s="49">
        <v>283.83999999999997</v>
      </c>
      <c r="P67" s="49"/>
    </row>
    <row r="68" spans="1:16" ht="11.25" customHeight="1" x14ac:dyDescent="0.25">
      <c r="A68" s="49">
        <v>67</v>
      </c>
      <c r="B68" s="49" t="s">
        <v>672</v>
      </c>
      <c r="C68" s="49" t="s">
        <v>43</v>
      </c>
      <c r="D68" s="49" t="s">
        <v>79</v>
      </c>
      <c r="E68" s="49" t="s">
        <v>44</v>
      </c>
      <c r="F68" s="49" t="s">
        <v>95</v>
      </c>
      <c r="G68" s="49" t="s">
        <v>25</v>
      </c>
      <c r="H68" s="49" t="s">
        <v>25</v>
      </c>
      <c r="I68" s="49" t="s">
        <v>34</v>
      </c>
      <c r="J68" s="49" t="s">
        <v>791</v>
      </c>
      <c r="K68" s="49" t="s">
        <v>790</v>
      </c>
      <c r="L68" s="49" t="s">
        <v>80</v>
      </c>
      <c r="M68" s="49">
        <v>2021</v>
      </c>
      <c r="N68" s="49">
        <v>0</v>
      </c>
      <c r="O68" s="49">
        <v>433.52</v>
      </c>
      <c r="P68" s="49"/>
    </row>
    <row r="69" spans="1:16" ht="11.25" customHeight="1" x14ac:dyDescent="0.25">
      <c r="A69" s="49">
        <v>68</v>
      </c>
      <c r="B69" s="49" t="s">
        <v>672</v>
      </c>
      <c r="C69" s="49" t="s">
        <v>43</v>
      </c>
      <c r="D69" s="49" t="s">
        <v>79</v>
      </c>
      <c r="E69" s="49" t="s">
        <v>44</v>
      </c>
      <c r="F69" s="49" t="s">
        <v>95</v>
      </c>
      <c r="G69" s="49" t="s">
        <v>25</v>
      </c>
      <c r="H69" s="49" t="s">
        <v>25</v>
      </c>
      <c r="I69" s="49" t="s">
        <v>36</v>
      </c>
      <c r="J69" s="49" t="s">
        <v>791</v>
      </c>
      <c r="K69" s="49" t="s">
        <v>790</v>
      </c>
      <c r="L69" s="49" t="s">
        <v>80</v>
      </c>
      <c r="M69" s="49">
        <v>2021</v>
      </c>
      <c r="N69" s="49">
        <v>0</v>
      </c>
      <c r="O69" s="49">
        <v>270.23</v>
      </c>
      <c r="P69" s="49"/>
    </row>
    <row r="70" spans="1:16" ht="11.25" customHeight="1" x14ac:dyDescent="0.25">
      <c r="A70" s="49">
        <v>69</v>
      </c>
      <c r="B70" s="49" t="s">
        <v>672</v>
      </c>
      <c r="C70" s="49" t="s">
        <v>43</v>
      </c>
      <c r="D70" s="49" t="s">
        <v>79</v>
      </c>
      <c r="E70" s="49" t="s">
        <v>44</v>
      </c>
      <c r="F70" s="49" t="s">
        <v>95</v>
      </c>
      <c r="G70" s="49" t="s">
        <v>25</v>
      </c>
      <c r="H70" s="49" t="s">
        <v>25</v>
      </c>
      <c r="I70" s="49" t="s">
        <v>35</v>
      </c>
      <c r="J70" s="49" t="s">
        <v>791</v>
      </c>
      <c r="K70" s="49" t="s">
        <v>790</v>
      </c>
      <c r="L70" s="49" t="s">
        <v>80</v>
      </c>
      <c r="M70" s="49">
        <v>2021</v>
      </c>
      <c r="N70" s="49">
        <v>0</v>
      </c>
      <c r="O70" s="49">
        <v>270.23</v>
      </c>
      <c r="P70" s="49"/>
    </row>
    <row r="71" spans="1:16" ht="11.25" customHeight="1" x14ac:dyDescent="0.25">
      <c r="A71" s="49">
        <v>70</v>
      </c>
      <c r="B71" s="49" t="s">
        <v>672</v>
      </c>
      <c r="C71" s="49" t="s">
        <v>43</v>
      </c>
      <c r="D71" s="49" t="s">
        <v>92</v>
      </c>
      <c r="E71" s="49" t="s">
        <v>44</v>
      </c>
      <c r="F71" s="49" t="s">
        <v>95</v>
      </c>
      <c r="G71" s="49" t="s">
        <v>25</v>
      </c>
      <c r="H71" s="49" t="s">
        <v>25</v>
      </c>
      <c r="I71" s="49" t="s">
        <v>25</v>
      </c>
      <c r="J71" s="49" t="s">
        <v>791</v>
      </c>
      <c r="K71" s="49" t="s">
        <v>790</v>
      </c>
      <c r="L71" s="49" t="s">
        <v>80</v>
      </c>
      <c r="M71" s="49">
        <v>2021</v>
      </c>
      <c r="N71" s="49">
        <v>0</v>
      </c>
      <c r="O71" s="49">
        <v>283.83999999999997</v>
      </c>
      <c r="P71" s="49"/>
    </row>
    <row r="72" spans="1:16" ht="11.25" customHeight="1" x14ac:dyDescent="0.25">
      <c r="A72" s="49">
        <v>71</v>
      </c>
      <c r="B72" s="49" t="s">
        <v>672</v>
      </c>
      <c r="C72" s="49" t="s">
        <v>43</v>
      </c>
      <c r="D72" s="49" t="s">
        <v>79</v>
      </c>
      <c r="E72" s="49" t="s">
        <v>44</v>
      </c>
      <c r="F72" s="49" t="s">
        <v>55</v>
      </c>
      <c r="G72" s="49" t="s">
        <v>25</v>
      </c>
      <c r="H72" s="49" t="s">
        <v>25</v>
      </c>
      <c r="I72" s="49" t="s">
        <v>34</v>
      </c>
      <c r="J72" s="49" t="s">
        <v>791</v>
      </c>
      <c r="K72" s="49" t="s">
        <v>790</v>
      </c>
      <c r="L72" s="49" t="s">
        <v>80</v>
      </c>
      <c r="M72" s="49">
        <v>2021</v>
      </c>
      <c r="N72" s="49">
        <v>0</v>
      </c>
      <c r="O72" s="49">
        <v>413.82</v>
      </c>
      <c r="P72" s="49"/>
    </row>
    <row r="73" spans="1:16" ht="11.25" customHeight="1" x14ac:dyDescent="0.25">
      <c r="A73" s="49">
        <v>72</v>
      </c>
      <c r="B73" s="49" t="s">
        <v>672</v>
      </c>
      <c r="C73" s="49" t="s">
        <v>43</v>
      </c>
      <c r="D73" s="49" t="s">
        <v>79</v>
      </c>
      <c r="E73" s="49" t="s">
        <v>44</v>
      </c>
      <c r="F73" s="49" t="s">
        <v>55</v>
      </c>
      <c r="G73" s="49" t="s">
        <v>25</v>
      </c>
      <c r="H73" s="49" t="s">
        <v>25</v>
      </c>
      <c r="I73" s="49" t="s">
        <v>36</v>
      </c>
      <c r="J73" s="49" t="s">
        <v>791</v>
      </c>
      <c r="K73" s="49" t="s">
        <v>790</v>
      </c>
      <c r="L73" s="49" t="s">
        <v>80</v>
      </c>
      <c r="M73" s="49">
        <v>2021</v>
      </c>
      <c r="N73" s="49">
        <v>0</v>
      </c>
      <c r="O73" s="49">
        <v>257.95</v>
      </c>
      <c r="P73" s="49"/>
    </row>
    <row r="74" spans="1:16" ht="11.25" customHeight="1" x14ac:dyDescent="0.25">
      <c r="A74" s="49">
        <v>73</v>
      </c>
      <c r="B74" s="49" t="s">
        <v>672</v>
      </c>
      <c r="C74" s="49" t="s">
        <v>43</v>
      </c>
      <c r="D74" s="49" t="s">
        <v>79</v>
      </c>
      <c r="E74" s="49" t="s">
        <v>44</v>
      </c>
      <c r="F74" s="49" t="s">
        <v>55</v>
      </c>
      <c r="G74" s="49" t="s">
        <v>25</v>
      </c>
      <c r="H74" s="49" t="s">
        <v>25</v>
      </c>
      <c r="I74" s="49" t="s">
        <v>35</v>
      </c>
      <c r="J74" s="49" t="s">
        <v>791</v>
      </c>
      <c r="K74" s="49" t="s">
        <v>790</v>
      </c>
      <c r="L74" s="49" t="s">
        <v>80</v>
      </c>
      <c r="M74" s="49">
        <v>2021</v>
      </c>
      <c r="N74" s="49">
        <v>0</v>
      </c>
      <c r="O74" s="49">
        <v>257.95</v>
      </c>
      <c r="P74" s="49"/>
    </row>
    <row r="75" spans="1:16" ht="11.25" customHeight="1" x14ac:dyDescent="0.25">
      <c r="A75" s="49">
        <v>74</v>
      </c>
      <c r="B75" s="49" t="s">
        <v>672</v>
      </c>
      <c r="C75" s="49" t="s">
        <v>43</v>
      </c>
      <c r="D75" s="49" t="s">
        <v>92</v>
      </c>
      <c r="E75" s="49" t="s">
        <v>44</v>
      </c>
      <c r="F75" s="49" t="s">
        <v>55</v>
      </c>
      <c r="G75" s="49" t="s">
        <v>25</v>
      </c>
      <c r="H75" s="49" t="s">
        <v>25</v>
      </c>
      <c r="I75" s="49" t="s">
        <v>25</v>
      </c>
      <c r="J75" s="49" t="s">
        <v>791</v>
      </c>
      <c r="K75" s="49" t="s">
        <v>790</v>
      </c>
      <c r="L75" s="49" t="s">
        <v>80</v>
      </c>
      <c r="M75" s="49">
        <v>2021</v>
      </c>
      <c r="N75" s="49">
        <v>0</v>
      </c>
      <c r="O75" s="49">
        <v>270.94</v>
      </c>
      <c r="P75" s="49"/>
    </row>
    <row r="76" spans="1:16" ht="11.25" customHeight="1" x14ac:dyDescent="0.25">
      <c r="A76" s="49">
        <v>75</v>
      </c>
      <c r="B76" s="49" t="s">
        <v>672</v>
      </c>
      <c r="C76" s="49" t="s">
        <v>43</v>
      </c>
      <c r="D76" s="49" t="s">
        <v>93</v>
      </c>
      <c r="E76" s="49" t="s">
        <v>44</v>
      </c>
      <c r="F76" s="49" t="s">
        <v>25</v>
      </c>
      <c r="G76" s="49" t="s">
        <v>25</v>
      </c>
      <c r="H76" s="49" t="s">
        <v>25</v>
      </c>
      <c r="I76" s="49" t="s">
        <v>25</v>
      </c>
      <c r="J76" s="49" t="s">
        <v>791</v>
      </c>
      <c r="K76" s="49" t="s">
        <v>790</v>
      </c>
      <c r="L76" s="49" t="s">
        <v>80</v>
      </c>
      <c r="M76" s="49">
        <v>2021</v>
      </c>
      <c r="N76" s="49">
        <v>0</v>
      </c>
      <c r="O76" s="49">
        <v>283.83999999999997</v>
      </c>
      <c r="P76" s="49"/>
    </row>
    <row r="77" spans="1:16" ht="11.25" customHeight="1" x14ac:dyDescent="0.25">
      <c r="A77" s="49">
        <v>76</v>
      </c>
      <c r="B77" s="49" t="s">
        <v>672</v>
      </c>
      <c r="C77" s="49" t="s">
        <v>43</v>
      </c>
      <c r="D77" s="49" t="s">
        <v>93</v>
      </c>
      <c r="E77" s="49" t="s">
        <v>44</v>
      </c>
      <c r="F77" s="49" t="s">
        <v>95</v>
      </c>
      <c r="G77" s="49" t="s">
        <v>25</v>
      </c>
      <c r="H77" s="49" t="s">
        <v>25</v>
      </c>
      <c r="I77" s="49" t="s">
        <v>25</v>
      </c>
      <c r="J77" s="49" t="s">
        <v>791</v>
      </c>
      <c r="K77" s="49" t="s">
        <v>790</v>
      </c>
      <c r="L77" s="49" t="s">
        <v>80</v>
      </c>
      <c r="M77" s="49">
        <v>2021</v>
      </c>
      <c r="N77" s="49">
        <v>0</v>
      </c>
      <c r="O77" s="49">
        <v>283.83999999999997</v>
      </c>
      <c r="P77" s="49"/>
    </row>
    <row r="78" spans="1:16" ht="11.25" customHeight="1" x14ac:dyDescent="0.25">
      <c r="A78" s="49">
        <v>77</v>
      </c>
      <c r="B78" s="49" t="s">
        <v>672</v>
      </c>
      <c r="C78" s="49" t="s">
        <v>43</v>
      </c>
      <c r="D78" s="49" t="s">
        <v>93</v>
      </c>
      <c r="E78" s="49" t="s">
        <v>44</v>
      </c>
      <c r="F78" s="49" t="s">
        <v>55</v>
      </c>
      <c r="G78" s="49" t="s">
        <v>25</v>
      </c>
      <c r="H78" s="49" t="s">
        <v>25</v>
      </c>
      <c r="I78" s="49" t="s">
        <v>25</v>
      </c>
      <c r="J78" s="49" t="s">
        <v>791</v>
      </c>
      <c r="K78" s="49" t="s">
        <v>790</v>
      </c>
      <c r="L78" s="49" t="s">
        <v>80</v>
      </c>
      <c r="M78" s="49">
        <v>2021</v>
      </c>
      <c r="N78" s="49">
        <v>0</v>
      </c>
      <c r="O78" s="49">
        <v>270.94</v>
      </c>
      <c r="P78" s="49"/>
    </row>
    <row r="79" spans="1:16" ht="11.25" customHeight="1" x14ac:dyDescent="0.25">
      <c r="A79" s="49">
        <v>78</v>
      </c>
      <c r="B79" s="49" t="s">
        <v>672</v>
      </c>
      <c r="C79" s="49" t="s">
        <v>37</v>
      </c>
      <c r="D79" s="49" t="s">
        <v>79</v>
      </c>
      <c r="E79" s="49" t="s">
        <v>25</v>
      </c>
      <c r="F79" s="49" t="s">
        <v>25</v>
      </c>
      <c r="G79" s="49" t="s">
        <v>25</v>
      </c>
      <c r="H79" s="49" t="s">
        <v>25</v>
      </c>
      <c r="I79" s="49" t="s">
        <v>34</v>
      </c>
      <c r="J79" s="49" t="s">
        <v>791</v>
      </c>
      <c r="K79" s="49" t="s">
        <v>790</v>
      </c>
      <c r="L79" s="49" t="s">
        <v>80</v>
      </c>
      <c r="M79" s="49">
        <v>2021</v>
      </c>
      <c r="N79" s="49">
        <v>0</v>
      </c>
      <c r="O79" s="49">
        <v>492.64</v>
      </c>
      <c r="P79" s="49"/>
    </row>
    <row r="80" spans="1:16" ht="11.25" customHeight="1" x14ac:dyDescent="0.25">
      <c r="A80" s="49">
        <v>79</v>
      </c>
      <c r="B80" s="49" t="s">
        <v>672</v>
      </c>
      <c r="C80" s="49" t="s">
        <v>37</v>
      </c>
      <c r="D80" s="49" t="s">
        <v>79</v>
      </c>
      <c r="E80" s="49" t="s">
        <v>25</v>
      </c>
      <c r="F80" s="49" t="s">
        <v>25</v>
      </c>
      <c r="G80" s="49" t="s">
        <v>25</v>
      </c>
      <c r="H80" s="49" t="s">
        <v>25</v>
      </c>
      <c r="I80" s="49" t="s">
        <v>36</v>
      </c>
      <c r="J80" s="49" t="s">
        <v>791</v>
      </c>
      <c r="K80" s="49" t="s">
        <v>790</v>
      </c>
      <c r="L80" s="49" t="s">
        <v>80</v>
      </c>
      <c r="M80" s="49">
        <v>2021</v>
      </c>
      <c r="N80" s="49">
        <v>0</v>
      </c>
      <c r="O80" s="49">
        <v>307.08</v>
      </c>
      <c r="P80" s="49"/>
    </row>
    <row r="81" spans="1:16" ht="11.25" customHeight="1" x14ac:dyDescent="0.25">
      <c r="A81" s="49">
        <v>80</v>
      </c>
      <c r="B81" s="49" t="s">
        <v>672</v>
      </c>
      <c r="C81" s="49" t="s">
        <v>37</v>
      </c>
      <c r="D81" s="49" t="s">
        <v>79</v>
      </c>
      <c r="E81" s="49" t="s">
        <v>25</v>
      </c>
      <c r="F81" s="49" t="s">
        <v>25</v>
      </c>
      <c r="G81" s="49" t="s">
        <v>25</v>
      </c>
      <c r="H81" s="49" t="s">
        <v>25</v>
      </c>
      <c r="I81" s="49" t="s">
        <v>35</v>
      </c>
      <c r="J81" s="49" t="s">
        <v>791</v>
      </c>
      <c r="K81" s="49" t="s">
        <v>790</v>
      </c>
      <c r="L81" s="49" t="s">
        <v>80</v>
      </c>
      <c r="M81" s="49">
        <v>2021</v>
      </c>
      <c r="N81" s="49">
        <v>0</v>
      </c>
      <c r="O81" s="49">
        <v>307.08</v>
      </c>
      <c r="P81" s="49"/>
    </row>
    <row r="82" spans="1:16" ht="11.25" customHeight="1" x14ac:dyDescent="0.25">
      <c r="A82" s="49">
        <v>81</v>
      </c>
      <c r="B82" s="49" t="s">
        <v>672</v>
      </c>
      <c r="C82" s="49" t="s">
        <v>37</v>
      </c>
      <c r="D82" s="49" t="s">
        <v>92</v>
      </c>
      <c r="E82" s="49" t="s">
        <v>25</v>
      </c>
      <c r="F82" s="49" t="s">
        <v>25</v>
      </c>
      <c r="G82" s="49" t="s">
        <v>25</v>
      </c>
      <c r="H82" s="49" t="s">
        <v>25</v>
      </c>
      <c r="I82" s="49" t="s">
        <v>25</v>
      </c>
      <c r="J82" s="49" t="s">
        <v>791</v>
      </c>
      <c r="K82" s="49" t="s">
        <v>790</v>
      </c>
      <c r="L82" s="49" t="s">
        <v>80</v>
      </c>
      <c r="M82" s="49">
        <v>2021</v>
      </c>
      <c r="N82" s="49">
        <v>0</v>
      </c>
      <c r="O82" s="49">
        <v>322.54000000000002</v>
      </c>
      <c r="P82" s="49"/>
    </row>
    <row r="83" spans="1:16" ht="11.25" customHeight="1" x14ac:dyDescent="0.25">
      <c r="A83" s="49">
        <v>82</v>
      </c>
      <c r="B83" s="49" t="s">
        <v>672</v>
      </c>
      <c r="C83" s="49" t="s">
        <v>37</v>
      </c>
      <c r="D83" s="49" t="s">
        <v>93</v>
      </c>
      <c r="E83" s="49" t="s">
        <v>25</v>
      </c>
      <c r="F83" s="49" t="s">
        <v>25</v>
      </c>
      <c r="G83" s="49" t="s">
        <v>25</v>
      </c>
      <c r="H83" s="49" t="s">
        <v>25</v>
      </c>
      <c r="I83" s="49" t="s">
        <v>25</v>
      </c>
      <c r="J83" s="49" t="s">
        <v>791</v>
      </c>
      <c r="K83" s="49" t="s">
        <v>790</v>
      </c>
      <c r="L83" s="49" t="s">
        <v>80</v>
      </c>
      <c r="M83" s="49">
        <v>2021</v>
      </c>
      <c r="N83" s="49">
        <v>0</v>
      </c>
      <c r="O83" s="49">
        <v>322.54000000000002</v>
      </c>
      <c r="P83" s="49"/>
    </row>
    <row r="84" spans="1:16" ht="11.25" customHeight="1" x14ac:dyDescent="0.25">
      <c r="A84" s="49">
        <v>83</v>
      </c>
      <c r="B84" s="49" t="s">
        <v>672</v>
      </c>
      <c r="C84" s="49" t="s">
        <v>46</v>
      </c>
      <c r="D84" s="49" t="s">
        <v>92</v>
      </c>
      <c r="E84" s="49" t="s">
        <v>47</v>
      </c>
      <c r="F84" s="49" t="s">
        <v>48</v>
      </c>
      <c r="G84" s="49" t="s">
        <v>25</v>
      </c>
      <c r="H84" s="49" t="s">
        <v>25</v>
      </c>
      <c r="I84" s="49" t="s">
        <v>25</v>
      </c>
      <c r="J84" s="49" t="s">
        <v>791</v>
      </c>
      <c r="K84" s="49" t="s">
        <v>790</v>
      </c>
      <c r="L84" s="49" t="s">
        <v>80</v>
      </c>
      <c r="M84" s="49">
        <v>2021</v>
      </c>
      <c r="N84" s="49">
        <v>0</v>
      </c>
      <c r="O84" s="49">
        <v>177.4</v>
      </c>
      <c r="P84" s="49"/>
    </row>
    <row r="85" spans="1:16" ht="11.25" customHeight="1" x14ac:dyDescent="0.25">
      <c r="A85" s="49">
        <v>84</v>
      </c>
      <c r="B85" s="49" t="s">
        <v>672</v>
      </c>
      <c r="C85" s="49" t="s">
        <v>46</v>
      </c>
      <c r="D85" s="49" t="s">
        <v>92</v>
      </c>
      <c r="E85" s="49" t="s">
        <v>47</v>
      </c>
      <c r="F85" s="49" t="s">
        <v>96</v>
      </c>
      <c r="G85" s="49" t="s">
        <v>25</v>
      </c>
      <c r="H85" s="49" t="s">
        <v>25</v>
      </c>
      <c r="I85" s="49" t="s">
        <v>25</v>
      </c>
      <c r="J85" s="49" t="s">
        <v>791</v>
      </c>
      <c r="K85" s="49" t="s">
        <v>790</v>
      </c>
      <c r="L85" s="49" t="s">
        <v>80</v>
      </c>
      <c r="M85" s="49">
        <v>2021</v>
      </c>
      <c r="N85" s="49">
        <v>0</v>
      </c>
      <c r="O85" s="49">
        <v>193.53</v>
      </c>
      <c r="P85" s="49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DC068-497B-4003-A82C-E6D76DB98EC5}">
  <dimension ref="A1:AD49"/>
  <sheetViews>
    <sheetView showGridLines="0" workbookViewId="0">
      <selection sqref="A1:W4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70</v>
      </c>
      <c r="B1" s="10" t="s">
        <v>71</v>
      </c>
      <c r="C1" s="10" t="s">
        <v>72</v>
      </c>
      <c r="D1" s="10" t="s">
        <v>73</v>
      </c>
      <c r="E1" s="10" t="s">
        <v>74</v>
      </c>
      <c r="F1" s="10" t="s">
        <v>75</v>
      </c>
      <c r="G1" s="10" t="s">
        <v>76</v>
      </c>
      <c r="H1" s="10" t="s">
        <v>77</v>
      </c>
      <c r="I1" s="11">
        <v>44440</v>
      </c>
      <c r="J1" s="11">
        <v>44470</v>
      </c>
      <c r="K1" s="11">
        <v>44501</v>
      </c>
      <c r="L1" s="11">
        <v>44531</v>
      </c>
      <c r="M1" s="11">
        <v>44562</v>
      </c>
      <c r="N1" s="11">
        <v>44593</v>
      </c>
      <c r="O1" s="11">
        <v>44621</v>
      </c>
      <c r="P1" s="11">
        <v>44652</v>
      </c>
      <c r="Q1" s="11">
        <v>44682</v>
      </c>
      <c r="R1" s="11">
        <v>44713</v>
      </c>
      <c r="S1" s="11">
        <v>44743</v>
      </c>
      <c r="T1" s="11">
        <v>44774</v>
      </c>
      <c r="U1" s="10" t="s">
        <v>78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4" t="s">
        <v>39</v>
      </c>
      <c r="B2" s="104" t="s">
        <v>42</v>
      </c>
      <c r="C2" s="104" t="s">
        <v>25</v>
      </c>
      <c r="D2" s="104" t="s">
        <v>25</v>
      </c>
      <c r="E2" s="104" t="s">
        <v>25</v>
      </c>
      <c r="F2" s="104" t="s">
        <v>25</v>
      </c>
      <c r="G2" s="12" t="s">
        <v>84</v>
      </c>
      <c r="H2" s="12" t="s">
        <v>83</v>
      </c>
      <c r="I2" s="12">
        <f>SUMIF(Mercado_Receita!$S$2:$S$1261,"44440A4AzulNão se aplicaNão se aplicaNão se aplicaNão se aplicaPonta",Mercado_Receita!$J$2:$J$1261)+SUMIF(Mercado_Receita!$S$2:$S$1261,"44440A4AzulNão se aplicaNão se aplicaAPENão se aplicaPonta",Mercado_Receita!$J$2:$J$1261)</f>
        <v>5126</v>
      </c>
      <c r="J2" s="12">
        <f>SUMIF(Mercado_Receita!$S$2:$S$1261,"44470A4AzulNão se aplicaNão se aplicaNão se aplicaNão se aplicaPonta",Mercado_Receita!$J$2:$J$1261)+SUMIF(Mercado_Receita!$S$2:$S$1261,"44470A4AzulNão se aplicaNão se aplicaAPENão se aplicaPonta",Mercado_Receita!$J$2:$J$1261)</f>
        <v>5241</v>
      </c>
      <c r="K2" s="12">
        <f>SUMIF(Mercado_Receita!$S$2:$S$1261,"44501A4AzulNão se aplicaNão se aplicaNão se aplicaNão se aplicaPonta",Mercado_Receita!$J$2:$J$1261)+SUMIF(Mercado_Receita!$S$2:$S$1261,"44501A4AzulNão se aplicaNão se aplicaAPENão se aplicaPonta",Mercado_Receita!$J$2:$J$1261)</f>
        <v>5163</v>
      </c>
      <c r="L2" s="12">
        <f>SUMIF(Mercado_Receita!$S$2:$S$1261,"44531A4AzulNão se aplicaNão se aplicaNão se aplicaNão se aplicaPonta",Mercado_Receita!$J$2:$J$1261)+SUMIF(Mercado_Receita!$S$2:$S$1261,"44531A4AzulNão se aplicaNão se aplicaAPENão se aplicaPonta",Mercado_Receita!$J$2:$J$1261)</f>
        <v>5187</v>
      </c>
      <c r="M2" s="12">
        <f>SUMIF(Mercado_Receita!$S$2:$S$1261,"44562A4AzulNão se aplicaNão se aplicaNão se aplicaNão se aplicaPonta",Mercado_Receita!$J$2:$J$1261)+SUMIF(Mercado_Receita!$S$2:$S$1261,"44562A4AzulNão se aplicaNão se aplicaAPENão se aplicaPonta",Mercado_Receita!$J$2:$J$1261)</f>
        <v>5190</v>
      </c>
      <c r="N2" s="12">
        <f>SUMIF(Mercado_Receita!$S$2:$S$1261,"44593A4AzulNão se aplicaNão se aplicaNão se aplicaNão se aplicaPonta",Mercado_Receita!$J$2:$J$1261)+SUMIF(Mercado_Receita!$S$2:$S$1261,"44593A4AzulNão se aplicaNão se aplicaAPENão se aplicaPonta",Mercado_Receita!$J$2:$J$1261)</f>
        <v>5261</v>
      </c>
      <c r="O2" s="12">
        <f>SUMIF(Mercado_Receita!$S$2:$S$1261,"44621A4AzulNão se aplicaNão se aplicaNão se aplicaNão se aplicaPonta",Mercado_Receita!$J$2:$J$1261)+SUMIF(Mercado_Receita!$S$2:$S$1261,"44621A4AzulNão se aplicaNão se aplicaAPENão se aplicaPonta",Mercado_Receita!$J$2:$J$1261)</f>
        <v>5324</v>
      </c>
      <c r="P2" s="12">
        <f>SUMIF(Mercado_Receita!$S$2:$S$1261,"44652A4AzulNão se aplicaNão se aplicaNão se aplicaNão se aplicaPonta",Mercado_Receita!$J$2:$J$1261)+SUMIF(Mercado_Receita!$S$2:$S$1261,"44652A4AzulNão se aplicaNão se aplicaAPENão se aplicaPonta",Mercado_Receita!$J$2:$J$1261)</f>
        <v>5375</v>
      </c>
      <c r="Q2" s="12">
        <f>SUMIF(Mercado_Receita!$S$2:$S$1261,"44682A4AzulNão se aplicaNão se aplicaNão se aplicaNão se aplicaPonta",Mercado_Receita!$J$2:$J$1261)+SUMIF(Mercado_Receita!$S$2:$S$1261,"44682A4AzulNão se aplicaNão se aplicaAPENão se aplicaPonta",Mercado_Receita!$J$2:$J$1261)</f>
        <v>5427</v>
      </c>
      <c r="R2" s="12">
        <f>SUMIF(Mercado_Receita!$S$2:$S$1261,"44713A4AzulNão se aplicaNão se aplicaNão se aplicaNão se aplicaPonta",Mercado_Receita!$J$2:$J$1261)+SUMIF(Mercado_Receita!$S$2:$S$1261,"44713A4AzulNão se aplicaNão se aplicaAPENão se aplicaPonta",Mercado_Receita!$J$2:$J$1261)</f>
        <v>5263</v>
      </c>
      <c r="S2" s="12">
        <f>SUMIF(Mercado_Receita!$S$2:$S$1261,"44743A4AzulNão se aplicaNão se aplicaNão se aplicaNão se aplicaPonta",Mercado_Receita!$J$2:$J$1261)+SUMIF(Mercado_Receita!$S$2:$S$1261,"44743A4AzulNão se aplicaNão se aplicaAPENão se aplicaPonta",Mercado_Receita!$J$2:$J$1261)</f>
        <v>5289</v>
      </c>
      <c r="T2" s="12">
        <f>SUMIF(Mercado_Receita!$S$2:$S$1261,"44774A4AzulNão se aplicaNão se aplicaNão se aplicaNão se aplicaPonta",Mercado_Receita!$J$2:$J$1261)+SUMIF(Mercado_Receita!$S$2:$S$1261,"44774A4AzulNão se aplicaNão se aplicaAPENão se aplicaPonta",Mercado_Receita!$J$2:$J$1261)</f>
        <v>5289</v>
      </c>
      <c r="U2" s="12">
        <f t="shared" ref="U2:U48" si="0">SUM(I2:T2)</f>
        <v>63135</v>
      </c>
      <c r="V2" s="12"/>
      <c r="W2" s="12"/>
    </row>
    <row r="3" spans="1:30" ht="11.25" customHeight="1" x14ac:dyDescent="0.25">
      <c r="A3" s="105"/>
      <c r="B3" s="105"/>
      <c r="C3" s="105"/>
      <c r="D3" s="105"/>
      <c r="E3" s="105"/>
      <c r="F3" s="105"/>
      <c r="G3" s="12" t="s">
        <v>85</v>
      </c>
      <c r="H3" s="12" t="s">
        <v>83</v>
      </c>
      <c r="I3" s="12">
        <f>SUMIF(Mercado_Receita!$S$2:$S$1261,"44440A4AzulNão se aplicaNão se aplicaNão se aplicaNão se aplicaFora ponta",Mercado_Receita!$J$2:$J$1261)+SUMIF(Mercado_Receita!$S$2:$S$1261,"44440A4AzulNão se aplicaNão se aplicaAPENão se aplicaFora ponta",Mercado_Receita!$J$2:$J$1261)</f>
        <v>5603</v>
      </c>
      <c r="J3" s="12">
        <f>SUMIF(Mercado_Receita!$S$2:$S$1261,"44470A4AzulNão se aplicaNão se aplicaNão se aplicaNão se aplicaFora ponta",Mercado_Receita!$J$2:$J$1261)+SUMIF(Mercado_Receita!$S$2:$S$1261,"44470A4AzulNão se aplicaNão se aplicaAPENão se aplicaFora ponta",Mercado_Receita!$J$2:$J$1261)</f>
        <v>5781</v>
      </c>
      <c r="K3" s="12">
        <f>SUMIF(Mercado_Receita!$S$2:$S$1261,"44501A4AzulNão se aplicaNão se aplicaNão se aplicaNão se aplicaFora ponta",Mercado_Receita!$J$2:$J$1261)+SUMIF(Mercado_Receita!$S$2:$S$1261,"44501A4AzulNão se aplicaNão se aplicaAPENão se aplicaFora ponta",Mercado_Receita!$J$2:$J$1261)</f>
        <v>5935</v>
      </c>
      <c r="L3" s="12">
        <f>SUMIF(Mercado_Receita!$S$2:$S$1261,"44531A4AzulNão se aplicaNão se aplicaNão se aplicaNão se aplicaFora ponta",Mercado_Receita!$J$2:$J$1261)+SUMIF(Mercado_Receita!$S$2:$S$1261,"44531A4AzulNão se aplicaNão se aplicaAPENão se aplicaFora ponta",Mercado_Receita!$J$2:$J$1261)</f>
        <v>5791</v>
      </c>
      <c r="M3" s="12">
        <f>SUMIF(Mercado_Receita!$S$2:$S$1261,"44562A4AzulNão se aplicaNão se aplicaNão se aplicaNão se aplicaFora ponta",Mercado_Receita!$J$2:$J$1261)+SUMIF(Mercado_Receita!$S$2:$S$1261,"44562A4AzulNão se aplicaNão se aplicaAPENão se aplicaFora ponta",Mercado_Receita!$J$2:$J$1261)</f>
        <v>5923</v>
      </c>
      <c r="N3" s="12">
        <f>SUMIF(Mercado_Receita!$S$2:$S$1261,"44593A4AzulNão se aplicaNão se aplicaNão se aplicaNão se aplicaFora ponta",Mercado_Receita!$J$2:$J$1261)+SUMIF(Mercado_Receita!$S$2:$S$1261,"44593A4AzulNão se aplicaNão se aplicaAPENão se aplicaFora ponta",Mercado_Receita!$J$2:$J$1261)</f>
        <v>5965</v>
      </c>
      <c r="O3" s="12">
        <f>SUMIF(Mercado_Receita!$S$2:$S$1261,"44621A4AzulNão se aplicaNão se aplicaNão se aplicaNão se aplicaFora ponta",Mercado_Receita!$J$2:$J$1261)+SUMIF(Mercado_Receita!$S$2:$S$1261,"44621A4AzulNão se aplicaNão se aplicaAPENão se aplicaFora ponta",Mercado_Receita!$J$2:$J$1261)</f>
        <v>6170</v>
      </c>
      <c r="P3" s="12">
        <f>SUMIF(Mercado_Receita!$S$2:$S$1261,"44652A4AzulNão se aplicaNão se aplicaNão se aplicaNão se aplicaFora ponta",Mercado_Receita!$J$2:$J$1261)+SUMIF(Mercado_Receita!$S$2:$S$1261,"44652A4AzulNão se aplicaNão se aplicaAPENão se aplicaFora ponta",Mercado_Receita!$J$2:$J$1261)</f>
        <v>6300</v>
      </c>
      <c r="Q3" s="12">
        <f>SUMIF(Mercado_Receita!$S$2:$S$1261,"44682A4AzulNão se aplicaNão se aplicaNão se aplicaNão se aplicaFora ponta",Mercado_Receita!$J$2:$J$1261)+SUMIF(Mercado_Receita!$S$2:$S$1261,"44682A4AzulNão se aplicaNão se aplicaAPENão se aplicaFora ponta",Mercado_Receita!$J$2:$J$1261)</f>
        <v>6301</v>
      </c>
      <c r="R3" s="12">
        <f>SUMIF(Mercado_Receita!$S$2:$S$1261,"44713A4AzulNão se aplicaNão se aplicaNão se aplicaNão se aplicaFora ponta",Mercado_Receita!$J$2:$J$1261)+SUMIF(Mercado_Receita!$S$2:$S$1261,"44713A4AzulNão se aplicaNão se aplicaAPENão se aplicaFora ponta",Mercado_Receita!$J$2:$J$1261)</f>
        <v>6024</v>
      </c>
      <c r="S3" s="12">
        <f>SUMIF(Mercado_Receita!$S$2:$S$1261,"44743A4AzulNão se aplicaNão se aplicaNão se aplicaNão se aplicaFora ponta",Mercado_Receita!$J$2:$J$1261)+SUMIF(Mercado_Receita!$S$2:$S$1261,"44743A4AzulNão se aplicaNão se aplicaAPENão se aplicaFora ponta",Mercado_Receita!$J$2:$J$1261)</f>
        <v>6011</v>
      </c>
      <c r="T3" s="12">
        <f>SUMIF(Mercado_Receita!$S$2:$S$1261,"44774A4AzulNão se aplicaNão se aplicaNão se aplicaNão se aplicaFora ponta",Mercado_Receita!$J$2:$J$1261)+SUMIF(Mercado_Receita!$S$2:$S$1261,"44774A4AzulNão se aplicaNão se aplicaAPENão se aplicaFora ponta",Mercado_Receita!$J$2:$J$1261)</f>
        <v>6011</v>
      </c>
      <c r="U3" s="12">
        <f t="shared" si="0"/>
        <v>71815</v>
      </c>
      <c r="V3" s="12"/>
      <c r="W3" s="12"/>
    </row>
    <row r="4" spans="1:30" ht="11.25" customHeight="1" x14ac:dyDescent="0.25">
      <c r="A4" s="105"/>
      <c r="B4" s="105"/>
      <c r="C4" s="105"/>
      <c r="D4" s="105"/>
      <c r="E4" s="105"/>
      <c r="F4" s="105"/>
      <c r="G4" s="12" t="s">
        <v>86</v>
      </c>
      <c r="H4" s="12" t="s">
        <v>80</v>
      </c>
      <c r="I4" s="12">
        <f>SUMIF(Mercado_Receita!$S$2:$S$1261,"44440A4AzulNão se aplicaNão se aplicaNão se aplicaNão se aplicaPonta",Mercado_Receita!$L$2:$L$1261)+SUMIF(Mercado_Receita!$S$2:$S$1261,"44440A4AzulNão se aplicaNão se aplicaNão se aplicaNão se aplicaFora ponta",Mercado_Receita!$L$2:$L$1261)+SUMIF(Mercado_Receita!$S$2:$S$1261,"44440A4AzulNão se aplicaNão se aplicaNão se aplicaNão se aplicaIntermediário",Mercado_Receita!$L$2:$L$1261)+SUMIF(Mercado_Receita!$S$2:$S$1261,"44440A4AzulNão se aplicaNão se aplicaNão se aplicaNão se aplicaNão se aplica",Mercado_Receita!$L$2:$L$1261)</f>
        <v>2365.0619999999999</v>
      </c>
      <c r="J4" s="12">
        <f>SUMIF(Mercado_Receita!$S$2:$S$1261,"44470A4AzulNão se aplicaNão se aplicaNão se aplicaNão se aplicaPonta",Mercado_Receita!$L$2:$L$1261)+SUMIF(Mercado_Receita!$S$2:$S$1261,"44470A4AzulNão se aplicaNão se aplicaNão se aplicaNão se aplicaFora ponta",Mercado_Receita!$L$2:$L$1261)+SUMIF(Mercado_Receita!$S$2:$S$1261,"44470A4AzulNão se aplicaNão se aplicaNão se aplicaNão se aplicaIntermediário",Mercado_Receita!$L$2:$L$1261)+SUMIF(Mercado_Receita!$S$2:$S$1261,"44470A4AzulNão se aplicaNão se aplicaNão se aplicaNão se aplicaNão se aplica",Mercado_Receita!$L$2:$L$1261)</f>
        <v>2462.0529999999999</v>
      </c>
      <c r="K4" s="12">
        <f>SUMIF(Mercado_Receita!$S$2:$S$1261,"44501A4AzulNão se aplicaNão se aplicaNão se aplicaNão se aplicaPonta",Mercado_Receita!$L$2:$L$1261)+SUMIF(Mercado_Receita!$S$2:$S$1261,"44501A4AzulNão se aplicaNão se aplicaNão se aplicaNão se aplicaFora ponta",Mercado_Receita!$L$2:$L$1261)+SUMIF(Mercado_Receita!$S$2:$S$1261,"44501A4AzulNão se aplicaNão se aplicaNão se aplicaNão se aplicaIntermediário",Mercado_Receita!$L$2:$L$1261)+SUMIF(Mercado_Receita!$S$2:$S$1261,"44501A4AzulNão se aplicaNão se aplicaNão se aplicaNão se aplicaNão se aplica",Mercado_Receita!$L$2:$L$1261)</f>
        <v>2388.3159999999998</v>
      </c>
      <c r="L4" s="12">
        <f>SUMIF(Mercado_Receita!$S$2:$S$1261,"44531A4AzulNão se aplicaNão se aplicaNão se aplicaNão se aplicaPonta",Mercado_Receita!$L$2:$L$1261)+SUMIF(Mercado_Receita!$S$2:$S$1261,"44531A4AzulNão se aplicaNão se aplicaNão se aplicaNão se aplicaFora ponta",Mercado_Receita!$L$2:$L$1261)+SUMIF(Mercado_Receita!$S$2:$S$1261,"44531A4AzulNão se aplicaNão se aplicaNão se aplicaNão se aplicaIntermediário",Mercado_Receita!$L$2:$L$1261)+SUMIF(Mercado_Receita!$S$2:$S$1261,"44531A4AzulNão se aplicaNão se aplicaNão se aplicaNão se aplicaNão se aplica",Mercado_Receita!$L$2:$L$1261)</f>
        <v>2411.4549999999999</v>
      </c>
      <c r="M4" s="12">
        <f>SUMIF(Mercado_Receita!$S$2:$S$1261,"44562A4AzulNão se aplicaNão se aplicaNão se aplicaNão se aplicaPonta",Mercado_Receita!$L$2:$L$1261)+SUMIF(Mercado_Receita!$S$2:$S$1261,"44562A4AzulNão se aplicaNão se aplicaNão se aplicaNão se aplicaFora ponta",Mercado_Receita!$L$2:$L$1261)+SUMIF(Mercado_Receita!$S$2:$S$1261,"44562A4AzulNão se aplicaNão se aplicaNão se aplicaNão se aplicaIntermediário",Mercado_Receita!$L$2:$L$1261)+SUMIF(Mercado_Receita!$S$2:$S$1261,"44562A4AzulNão se aplicaNão se aplicaNão se aplicaNão se aplicaNão se aplica",Mercado_Receita!$L$2:$L$1261)</f>
        <v>2588.96</v>
      </c>
      <c r="N4" s="12">
        <f>SUMIF(Mercado_Receita!$S$2:$S$1261,"44593A4AzulNão se aplicaNão se aplicaNão se aplicaNão se aplicaPonta",Mercado_Receita!$L$2:$L$1261)+SUMIF(Mercado_Receita!$S$2:$S$1261,"44593A4AzulNão se aplicaNão se aplicaNão se aplicaNão se aplicaFora ponta",Mercado_Receita!$L$2:$L$1261)+SUMIF(Mercado_Receita!$S$2:$S$1261,"44593A4AzulNão se aplicaNão se aplicaNão se aplicaNão se aplicaIntermediário",Mercado_Receita!$L$2:$L$1261)+SUMIF(Mercado_Receita!$S$2:$S$1261,"44593A4AzulNão se aplicaNão se aplicaNão se aplicaNão se aplicaNão se aplica",Mercado_Receita!$L$2:$L$1261)</f>
        <v>2486.7290000000003</v>
      </c>
      <c r="O4" s="12">
        <f>SUMIF(Mercado_Receita!$S$2:$S$1261,"44621A4AzulNão se aplicaNão se aplicaNão se aplicaNão se aplicaPonta",Mercado_Receita!$L$2:$L$1261)+SUMIF(Mercado_Receita!$S$2:$S$1261,"44621A4AzulNão se aplicaNão se aplicaNão se aplicaNão se aplicaFora ponta",Mercado_Receita!$L$2:$L$1261)+SUMIF(Mercado_Receita!$S$2:$S$1261,"44621A4AzulNão se aplicaNão se aplicaNão se aplicaNão se aplicaIntermediário",Mercado_Receita!$L$2:$L$1261)+SUMIF(Mercado_Receita!$S$2:$S$1261,"44621A4AzulNão se aplicaNão se aplicaNão se aplicaNão se aplicaNão se aplica",Mercado_Receita!$L$2:$L$1261)</f>
        <v>2551.384</v>
      </c>
      <c r="P4" s="12">
        <f>SUMIF(Mercado_Receita!$S$2:$S$1261,"44652A4AzulNão se aplicaNão se aplicaNão se aplicaNão se aplicaPonta",Mercado_Receita!$L$2:$L$1261)+SUMIF(Mercado_Receita!$S$2:$S$1261,"44652A4AzulNão se aplicaNão se aplicaNão se aplicaNão se aplicaFora ponta",Mercado_Receita!$L$2:$L$1261)+SUMIF(Mercado_Receita!$S$2:$S$1261,"44652A4AzulNão se aplicaNão se aplicaNão se aplicaNão se aplicaIntermediário",Mercado_Receita!$L$2:$L$1261)+SUMIF(Mercado_Receita!$S$2:$S$1261,"44652A4AzulNão se aplicaNão se aplicaNão se aplicaNão se aplicaNão se aplica",Mercado_Receita!$L$2:$L$1261)</f>
        <v>2760.56</v>
      </c>
      <c r="Q4" s="12">
        <f>SUMIF(Mercado_Receita!$S$2:$S$1261,"44682A4AzulNão se aplicaNão se aplicaNão se aplicaNão se aplicaPonta",Mercado_Receita!$L$2:$L$1261)+SUMIF(Mercado_Receita!$S$2:$S$1261,"44682A4AzulNão se aplicaNão se aplicaNão se aplicaNão se aplicaFora ponta",Mercado_Receita!$L$2:$L$1261)+SUMIF(Mercado_Receita!$S$2:$S$1261,"44682A4AzulNão se aplicaNão se aplicaNão se aplicaNão se aplicaIntermediário",Mercado_Receita!$L$2:$L$1261)+SUMIF(Mercado_Receita!$S$2:$S$1261,"44682A4AzulNão se aplicaNão se aplicaNão se aplicaNão se aplicaNão se aplica",Mercado_Receita!$L$2:$L$1261)</f>
        <v>2504.7069999999999</v>
      </c>
      <c r="R4" s="12">
        <f>SUMIF(Mercado_Receita!$S$2:$S$1261,"44713A4AzulNão se aplicaNão se aplicaNão se aplicaNão se aplicaPonta",Mercado_Receita!$L$2:$L$1261)+SUMIF(Mercado_Receita!$S$2:$S$1261,"44713A4AzulNão se aplicaNão se aplicaNão se aplicaNão se aplicaFora ponta",Mercado_Receita!$L$2:$L$1261)+SUMIF(Mercado_Receita!$S$2:$S$1261,"44713A4AzulNão se aplicaNão se aplicaNão se aplicaNão se aplicaIntermediário",Mercado_Receita!$L$2:$L$1261)+SUMIF(Mercado_Receita!$S$2:$S$1261,"44713A4AzulNão se aplicaNão se aplicaNão se aplicaNão se aplicaNão se aplica",Mercado_Receita!$L$2:$L$1261)</f>
        <v>2627.5810000000001</v>
      </c>
      <c r="S4" s="12">
        <f>SUMIF(Mercado_Receita!$S$2:$S$1261,"44743A4AzulNão se aplicaNão se aplicaNão se aplicaNão se aplicaPonta",Mercado_Receita!$L$2:$L$1261)+SUMIF(Mercado_Receita!$S$2:$S$1261,"44743A4AzulNão se aplicaNão se aplicaNão se aplicaNão se aplicaFora ponta",Mercado_Receita!$L$2:$L$1261)+SUMIF(Mercado_Receita!$S$2:$S$1261,"44743A4AzulNão se aplicaNão se aplicaNão se aplicaNão se aplicaIntermediário",Mercado_Receita!$L$2:$L$1261)+SUMIF(Mercado_Receita!$S$2:$S$1261,"44743A4AzulNão se aplicaNão se aplicaNão se aplicaNão se aplicaNão se aplica",Mercado_Receita!$L$2:$L$1261)</f>
        <v>2544.5429999999997</v>
      </c>
      <c r="T4" s="12">
        <f>SUMIF(Mercado_Receita!$S$2:$S$1261,"44774A4AzulNão se aplicaNão se aplicaNão se aplicaNão se aplicaPonta",Mercado_Receita!$L$2:$L$1261)+SUMIF(Mercado_Receita!$S$2:$S$1261,"44774A4AzulNão se aplicaNão se aplicaNão se aplicaNão se aplicaFora ponta",Mercado_Receita!$L$2:$L$1261)+SUMIF(Mercado_Receita!$S$2:$S$1261,"44774A4AzulNão se aplicaNão se aplicaNão se aplicaNão se aplicaIntermediário",Mercado_Receita!$L$2:$L$1261)+SUMIF(Mercado_Receita!$S$2:$S$1261,"44774A4AzulNão se aplicaNão se aplicaNão se aplicaNão se aplicaNão se aplica",Mercado_Receita!$L$2:$L$1261)</f>
        <v>2544.5429999999997</v>
      </c>
      <c r="U4" s="12">
        <f t="shared" si="0"/>
        <v>30235.892999999989</v>
      </c>
      <c r="V4" s="12"/>
      <c r="W4" s="12"/>
    </row>
    <row r="5" spans="1:30" ht="11.25" customHeight="1" x14ac:dyDescent="0.25">
      <c r="A5" s="105"/>
      <c r="B5" s="105"/>
      <c r="C5" s="105"/>
      <c r="D5" s="105"/>
      <c r="E5" s="13" t="s">
        <v>87</v>
      </c>
      <c r="F5" s="13" t="s">
        <v>25</v>
      </c>
      <c r="G5" s="12" t="s">
        <v>86</v>
      </c>
      <c r="H5" s="12" t="s">
        <v>80</v>
      </c>
      <c r="I5" s="12">
        <f>SUMIF(Mercado_Receita!$S$2:$S$1261,"44440A4AzulNão se aplicaNão se aplicaAPENão se aplicaPonta",Mercado_Receita!$L$2:$L$1261)+SUMIF(Mercado_Receita!$S$2:$S$1261,"44440A4AzulNão se aplicaNão se aplicaAPENão se aplicaFora ponta",Mercado_Receita!$L$2:$L$1261)+SUMIF(Mercado_Receita!$S$2:$S$1261,"44440A4AzulNão se aplicaNão se aplicaAPENão se aplicaIntermediário",Mercado_Receita!$L$2:$L$1261)+SUMIF(Mercado_Receita!$S$2:$S$1261,"44440A4AzulNão se aplicaNão se aplicaAPENão se aplicaNão se aplica",Mercado_Receita!$L$2:$L$1261)</f>
        <v>0</v>
      </c>
      <c r="J5" s="12">
        <f>SUMIF(Mercado_Receita!$S$2:$S$1261,"44470A4AzulNão se aplicaNão se aplicaAPENão se aplicaPonta",Mercado_Receita!$L$2:$L$1261)+SUMIF(Mercado_Receita!$S$2:$S$1261,"44470A4AzulNão se aplicaNão se aplicaAPENão se aplicaFora ponta",Mercado_Receita!$L$2:$L$1261)+SUMIF(Mercado_Receita!$S$2:$S$1261,"44470A4AzulNão se aplicaNão se aplicaAPENão se aplicaIntermediário",Mercado_Receita!$L$2:$L$1261)+SUMIF(Mercado_Receita!$S$2:$S$1261,"44470A4AzulNão se aplicaNão se aplicaAPENão se aplicaNão se aplica",Mercado_Receita!$L$2:$L$1261)</f>
        <v>0</v>
      </c>
      <c r="K5" s="12">
        <f>SUMIF(Mercado_Receita!$S$2:$S$1261,"44501A4AzulNão se aplicaNão se aplicaAPENão se aplicaPonta",Mercado_Receita!$L$2:$L$1261)+SUMIF(Mercado_Receita!$S$2:$S$1261,"44501A4AzulNão se aplicaNão se aplicaAPENão se aplicaFora ponta",Mercado_Receita!$L$2:$L$1261)+SUMIF(Mercado_Receita!$S$2:$S$1261,"44501A4AzulNão se aplicaNão se aplicaAPENão se aplicaIntermediário",Mercado_Receita!$L$2:$L$1261)+SUMIF(Mercado_Receita!$S$2:$S$1261,"44501A4AzulNão se aplicaNão se aplicaAPENão se aplicaNão se aplica",Mercado_Receita!$L$2:$L$1261)</f>
        <v>0</v>
      </c>
      <c r="L5" s="12">
        <f>SUMIF(Mercado_Receita!$S$2:$S$1261,"44531A4AzulNão se aplicaNão se aplicaAPENão se aplicaPonta",Mercado_Receita!$L$2:$L$1261)+SUMIF(Mercado_Receita!$S$2:$S$1261,"44531A4AzulNão se aplicaNão se aplicaAPENão se aplicaFora ponta",Mercado_Receita!$L$2:$L$1261)+SUMIF(Mercado_Receita!$S$2:$S$1261,"44531A4AzulNão se aplicaNão se aplicaAPENão se aplicaIntermediário",Mercado_Receita!$L$2:$L$1261)+SUMIF(Mercado_Receita!$S$2:$S$1261,"44531A4AzulNão se aplicaNão se aplicaAPENão se aplicaNão se aplica",Mercado_Receita!$L$2:$L$1261)</f>
        <v>0</v>
      </c>
      <c r="M5" s="12">
        <f>SUMIF(Mercado_Receita!$S$2:$S$1261,"44562A4AzulNão se aplicaNão se aplicaAPENão se aplicaPonta",Mercado_Receita!$L$2:$L$1261)+SUMIF(Mercado_Receita!$S$2:$S$1261,"44562A4AzulNão se aplicaNão se aplicaAPENão se aplicaFora ponta",Mercado_Receita!$L$2:$L$1261)+SUMIF(Mercado_Receita!$S$2:$S$1261,"44562A4AzulNão se aplicaNão se aplicaAPENão se aplicaIntermediário",Mercado_Receita!$L$2:$L$1261)+SUMIF(Mercado_Receita!$S$2:$S$1261,"44562A4AzulNão se aplicaNão se aplicaAPENão se aplicaNão se aplica",Mercado_Receita!$L$2:$L$1261)</f>
        <v>0</v>
      </c>
      <c r="N5" s="12">
        <f>SUMIF(Mercado_Receita!$S$2:$S$1261,"44593A4AzulNão se aplicaNão se aplicaAPENão se aplicaPonta",Mercado_Receita!$L$2:$L$1261)+SUMIF(Mercado_Receita!$S$2:$S$1261,"44593A4AzulNão se aplicaNão se aplicaAPENão se aplicaFora ponta",Mercado_Receita!$L$2:$L$1261)+SUMIF(Mercado_Receita!$S$2:$S$1261,"44593A4AzulNão se aplicaNão se aplicaAPENão se aplicaIntermediário",Mercado_Receita!$L$2:$L$1261)+SUMIF(Mercado_Receita!$S$2:$S$1261,"44593A4AzulNão se aplicaNão se aplicaAPENão se aplicaNão se aplica",Mercado_Receita!$L$2:$L$1261)</f>
        <v>0</v>
      </c>
      <c r="O5" s="12">
        <f>SUMIF(Mercado_Receita!$S$2:$S$1261,"44621A4AzulNão se aplicaNão se aplicaAPENão se aplicaPonta",Mercado_Receita!$L$2:$L$1261)+SUMIF(Mercado_Receita!$S$2:$S$1261,"44621A4AzulNão se aplicaNão se aplicaAPENão se aplicaFora ponta",Mercado_Receita!$L$2:$L$1261)+SUMIF(Mercado_Receita!$S$2:$S$1261,"44621A4AzulNão se aplicaNão se aplicaAPENão se aplicaIntermediário",Mercado_Receita!$L$2:$L$1261)+SUMIF(Mercado_Receita!$S$2:$S$1261,"44621A4AzulNão se aplicaNão se aplicaAPENão se aplicaNão se aplica",Mercado_Receita!$L$2:$L$1261)</f>
        <v>0</v>
      </c>
      <c r="P5" s="12">
        <f>SUMIF(Mercado_Receita!$S$2:$S$1261,"44652A4AzulNão se aplicaNão se aplicaAPENão se aplicaPonta",Mercado_Receita!$L$2:$L$1261)+SUMIF(Mercado_Receita!$S$2:$S$1261,"44652A4AzulNão se aplicaNão se aplicaAPENão se aplicaFora ponta",Mercado_Receita!$L$2:$L$1261)+SUMIF(Mercado_Receita!$S$2:$S$1261,"44652A4AzulNão se aplicaNão se aplicaAPENão se aplicaIntermediário",Mercado_Receita!$L$2:$L$1261)+SUMIF(Mercado_Receita!$S$2:$S$1261,"44652A4AzulNão se aplicaNão se aplicaAPENão se aplicaNão se aplica",Mercado_Receita!$L$2:$L$1261)</f>
        <v>0</v>
      </c>
      <c r="Q5" s="12">
        <f>SUMIF(Mercado_Receita!$S$2:$S$1261,"44682A4AzulNão se aplicaNão se aplicaAPENão se aplicaPonta",Mercado_Receita!$L$2:$L$1261)+SUMIF(Mercado_Receita!$S$2:$S$1261,"44682A4AzulNão se aplicaNão se aplicaAPENão se aplicaFora ponta",Mercado_Receita!$L$2:$L$1261)+SUMIF(Mercado_Receita!$S$2:$S$1261,"44682A4AzulNão se aplicaNão se aplicaAPENão se aplicaIntermediário",Mercado_Receita!$L$2:$L$1261)+SUMIF(Mercado_Receita!$S$2:$S$1261,"44682A4AzulNão se aplicaNão se aplicaAPENão se aplicaNão se aplica",Mercado_Receita!$L$2:$L$1261)</f>
        <v>0</v>
      </c>
      <c r="R5" s="12">
        <f>SUMIF(Mercado_Receita!$S$2:$S$1261,"44713A4AzulNão se aplicaNão se aplicaAPENão se aplicaPonta",Mercado_Receita!$L$2:$L$1261)+SUMIF(Mercado_Receita!$S$2:$S$1261,"44713A4AzulNão se aplicaNão se aplicaAPENão se aplicaFora ponta",Mercado_Receita!$L$2:$L$1261)+SUMIF(Mercado_Receita!$S$2:$S$1261,"44713A4AzulNão se aplicaNão se aplicaAPENão se aplicaIntermediário",Mercado_Receita!$L$2:$L$1261)+SUMIF(Mercado_Receita!$S$2:$S$1261,"44713A4AzulNão se aplicaNão se aplicaAPENão se aplicaNão se aplica",Mercado_Receita!$L$2:$L$1261)</f>
        <v>0</v>
      </c>
      <c r="S5" s="12">
        <f>SUMIF(Mercado_Receita!$S$2:$S$1261,"44743A4AzulNão se aplicaNão se aplicaAPENão se aplicaPonta",Mercado_Receita!$L$2:$L$1261)+SUMIF(Mercado_Receita!$S$2:$S$1261,"44743A4AzulNão se aplicaNão se aplicaAPENão se aplicaFora ponta",Mercado_Receita!$L$2:$L$1261)+SUMIF(Mercado_Receita!$S$2:$S$1261,"44743A4AzulNão se aplicaNão se aplicaAPENão se aplicaIntermediário",Mercado_Receita!$L$2:$L$1261)+SUMIF(Mercado_Receita!$S$2:$S$1261,"44743A4AzulNão se aplicaNão se aplicaAPENão se aplicaNão se aplica",Mercado_Receita!$L$2:$L$1261)</f>
        <v>0</v>
      </c>
      <c r="T5" s="12">
        <f>SUMIF(Mercado_Receita!$S$2:$S$1261,"44774A4AzulNão se aplicaNão se aplicaAPENão se aplicaPonta",Mercado_Receita!$L$2:$L$1261)+SUMIF(Mercado_Receita!$S$2:$S$1261,"44774A4AzulNão se aplicaNão se aplicaAPENão se aplicaFora ponta",Mercado_Receita!$L$2:$L$1261)+SUMIF(Mercado_Receita!$S$2:$S$1261,"44774A4AzulNão se aplicaNão se aplicaAPENão se aplicaIntermediário",Mercado_Receita!$L$2:$L$1261)+SUMIF(Mercado_Receita!$S$2:$S$1261,"44774A4AzulNão se aplicaNão se aplicaAPENão se aplicaNão se aplica",Mercado_Receita!$L$2:$L$1261)</f>
        <v>0</v>
      </c>
      <c r="U5" s="12">
        <f t="shared" si="0"/>
        <v>0</v>
      </c>
      <c r="V5" s="12"/>
      <c r="W5" s="12"/>
    </row>
    <row r="6" spans="1:30" ht="11.25" customHeight="1" x14ac:dyDescent="0.25">
      <c r="A6" s="105"/>
      <c r="B6" s="13" t="s">
        <v>59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9</v>
      </c>
      <c r="H6" s="12" t="s">
        <v>83</v>
      </c>
      <c r="I6" s="12">
        <f>SUMIF(Mercado_Receita!$S$2:$S$1261,"44440A4GeraçãoNão se aplicaNão se aplicaNão se aplicaNão se aplicaNão se aplica",Mercado_Receita!$J$2:$J$1261)+SUMIF(Mercado_Receita!$S$2:$S$1261,"44440A4GeraçãoNão se aplicaNão se aplicaAPENão se aplicaNão se aplica",Mercado_Receita!$J$2:$J$1261)</f>
        <v>1346</v>
      </c>
      <c r="J6" s="12">
        <f>SUMIF(Mercado_Receita!$S$2:$S$1261,"44470A4GeraçãoNão se aplicaNão se aplicaNão se aplicaNão se aplicaNão se aplica",Mercado_Receita!$J$2:$J$1261)+SUMIF(Mercado_Receita!$S$2:$S$1261,"44470A4GeraçãoNão se aplicaNão se aplicaAPENão se aplicaNão se aplica",Mercado_Receita!$J$2:$J$1261)</f>
        <v>1346</v>
      </c>
      <c r="K6" s="12">
        <f>SUMIF(Mercado_Receita!$S$2:$S$1261,"44501A4GeraçãoNão se aplicaNão se aplicaNão se aplicaNão se aplicaNão se aplica",Mercado_Receita!$J$2:$J$1261)+SUMIF(Mercado_Receita!$S$2:$S$1261,"44501A4GeraçãoNão se aplicaNão se aplicaAPENão se aplicaNão se aplica",Mercado_Receita!$J$2:$J$1261)</f>
        <v>1346</v>
      </c>
      <c r="L6" s="12">
        <f>SUMIF(Mercado_Receita!$S$2:$S$1261,"44531A4GeraçãoNão se aplicaNão se aplicaNão se aplicaNão se aplicaNão se aplica",Mercado_Receita!$J$2:$J$1261)+SUMIF(Mercado_Receita!$S$2:$S$1261,"44531A4GeraçãoNão se aplicaNão se aplicaAPENão se aplicaNão se aplica",Mercado_Receita!$J$2:$J$1261)</f>
        <v>1346</v>
      </c>
      <c r="M6" s="12">
        <f>SUMIF(Mercado_Receita!$S$2:$S$1261,"44562A4GeraçãoNão se aplicaNão se aplicaNão se aplicaNão se aplicaNão se aplica",Mercado_Receita!$J$2:$J$1261)+SUMIF(Mercado_Receita!$S$2:$S$1261,"44562A4GeraçãoNão se aplicaNão se aplicaAPENão se aplicaNão se aplica",Mercado_Receita!$J$2:$J$1261)</f>
        <v>1346</v>
      </c>
      <c r="N6" s="12">
        <f>SUMIF(Mercado_Receita!$S$2:$S$1261,"44593A4GeraçãoNão se aplicaNão se aplicaNão se aplicaNão se aplicaNão se aplica",Mercado_Receita!$J$2:$J$1261)+SUMIF(Mercado_Receita!$S$2:$S$1261,"44593A4GeraçãoNão se aplicaNão se aplicaAPENão se aplicaNão se aplica",Mercado_Receita!$J$2:$J$1261)</f>
        <v>1346</v>
      </c>
      <c r="O6" s="12">
        <f>SUMIF(Mercado_Receita!$S$2:$S$1261,"44621A4GeraçãoNão se aplicaNão se aplicaNão se aplicaNão se aplicaNão se aplica",Mercado_Receita!$J$2:$J$1261)+SUMIF(Mercado_Receita!$S$2:$S$1261,"44621A4GeraçãoNão se aplicaNão se aplicaAPENão se aplicaNão se aplica",Mercado_Receita!$J$2:$J$1261)</f>
        <v>1346</v>
      </c>
      <c r="P6" s="12">
        <f>SUMIF(Mercado_Receita!$S$2:$S$1261,"44652A4GeraçãoNão se aplicaNão se aplicaNão se aplicaNão se aplicaNão se aplica",Mercado_Receita!$J$2:$J$1261)+SUMIF(Mercado_Receita!$S$2:$S$1261,"44652A4GeraçãoNão se aplicaNão se aplicaAPENão se aplicaNão se aplica",Mercado_Receita!$J$2:$J$1261)</f>
        <v>1346</v>
      </c>
      <c r="Q6" s="12">
        <f>SUMIF(Mercado_Receita!$S$2:$S$1261,"44682A4GeraçãoNão se aplicaNão se aplicaNão se aplicaNão se aplicaNão se aplica",Mercado_Receita!$J$2:$J$1261)+SUMIF(Mercado_Receita!$S$2:$S$1261,"44682A4GeraçãoNão se aplicaNão se aplicaAPENão se aplicaNão se aplica",Mercado_Receita!$J$2:$J$1261)</f>
        <v>1346</v>
      </c>
      <c r="R6" s="12">
        <f>SUMIF(Mercado_Receita!$S$2:$S$1261,"44713A4GeraçãoNão se aplicaNão se aplicaNão se aplicaNão se aplicaNão se aplica",Mercado_Receita!$J$2:$J$1261)+SUMIF(Mercado_Receita!$S$2:$S$1261,"44713A4GeraçãoNão se aplicaNão se aplicaAPENão se aplicaNão se aplica",Mercado_Receita!$J$2:$J$1261)</f>
        <v>1346</v>
      </c>
      <c r="S6" s="12">
        <f>SUMIF(Mercado_Receita!$S$2:$S$1261,"44743A4GeraçãoNão se aplicaNão se aplicaNão se aplicaNão se aplicaNão se aplica",Mercado_Receita!$J$2:$J$1261)+SUMIF(Mercado_Receita!$S$2:$S$1261,"44743A4GeraçãoNão se aplicaNão se aplicaAPENão se aplicaNão se aplica",Mercado_Receita!$J$2:$J$1261)</f>
        <v>1346</v>
      </c>
      <c r="T6" s="12">
        <f>SUMIF(Mercado_Receita!$S$2:$S$1261,"44774A4GeraçãoNão se aplicaNão se aplicaNão se aplicaNão se aplicaNão se aplica",Mercado_Receita!$J$2:$J$1261)+SUMIF(Mercado_Receita!$S$2:$S$1261,"44774A4GeraçãoNão se aplicaNão se aplicaAPENão se aplicaNão se aplica",Mercado_Receita!$J$2:$J$1261)</f>
        <v>1346</v>
      </c>
      <c r="U6" s="12">
        <f t="shared" si="0"/>
        <v>16152</v>
      </c>
      <c r="V6" s="12"/>
      <c r="W6" s="12"/>
    </row>
    <row r="7" spans="1:30" ht="11.25" customHeight="1" x14ac:dyDescent="0.25">
      <c r="A7" s="105"/>
      <c r="B7" s="104" t="s">
        <v>40</v>
      </c>
      <c r="C7" s="104" t="s">
        <v>25</v>
      </c>
      <c r="D7" s="104" t="s">
        <v>25</v>
      </c>
      <c r="E7" s="104" t="s">
        <v>25</v>
      </c>
      <c r="F7" s="104" t="s">
        <v>25</v>
      </c>
      <c r="G7" s="12" t="s">
        <v>9</v>
      </c>
      <c r="H7" s="12" t="s">
        <v>83</v>
      </c>
      <c r="I7" s="12">
        <f>SUMIF(Mercado_Receita!$S$2:$S$1261,"44440A4VerdeNão se aplicaNão se aplicaNão se aplicaNão se aplicaNão se aplica",Mercado_Receita!$J$2:$J$1261)+SUMIF(Mercado_Receita!$S$2:$S$1261,"44440A4VerdeNão se aplicaNão se aplicaAPENão se aplicaNão se aplica",Mercado_Receita!$J$2:$J$1261)</f>
        <v>46272</v>
      </c>
      <c r="J7" s="12">
        <f>SUMIF(Mercado_Receita!$S$2:$S$1261,"44470A4VerdeNão se aplicaNão se aplicaNão se aplicaNão se aplicaNão se aplica",Mercado_Receita!$J$2:$J$1261)+SUMIF(Mercado_Receita!$S$2:$S$1261,"44470A4VerdeNão se aplicaNão se aplicaAPENão se aplicaNão se aplica",Mercado_Receita!$J$2:$J$1261)</f>
        <v>46675</v>
      </c>
      <c r="K7" s="12">
        <f>SUMIF(Mercado_Receita!$S$2:$S$1261,"44501A4VerdeNão se aplicaNão se aplicaNão se aplicaNão se aplicaNão se aplica",Mercado_Receita!$J$2:$J$1261)+SUMIF(Mercado_Receita!$S$2:$S$1261,"44501A4VerdeNão se aplicaNão se aplicaAPENão se aplicaNão se aplica",Mercado_Receita!$J$2:$J$1261)</f>
        <v>46963</v>
      </c>
      <c r="L7" s="12">
        <f>SUMIF(Mercado_Receita!$S$2:$S$1261,"44531A4VerdeNão se aplicaNão se aplicaNão se aplicaNão se aplicaNão se aplica",Mercado_Receita!$J$2:$J$1261)+SUMIF(Mercado_Receita!$S$2:$S$1261,"44531A4VerdeNão se aplicaNão se aplicaAPENão se aplicaNão se aplica",Mercado_Receita!$J$2:$J$1261)</f>
        <v>47322</v>
      </c>
      <c r="M7" s="12">
        <f>SUMIF(Mercado_Receita!$S$2:$S$1261,"44562A4VerdeNão se aplicaNão se aplicaNão se aplicaNão se aplicaNão se aplica",Mercado_Receita!$J$2:$J$1261)+SUMIF(Mercado_Receita!$S$2:$S$1261,"44562A4VerdeNão se aplicaNão se aplicaAPENão se aplicaNão se aplica",Mercado_Receita!$J$2:$J$1261)</f>
        <v>45646</v>
      </c>
      <c r="N7" s="12">
        <f>SUMIF(Mercado_Receita!$S$2:$S$1261,"44593A4VerdeNão se aplicaNão se aplicaNão se aplicaNão se aplicaNão se aplica",Mercado_Receita!$J$2:$J$1261)+SUMIF(Mercado_Receita!$S$2:$S$1261,"44593A4VerdeNão se aplicaNão se aplicaAPENão se aplicaNão se aplica",Mercado_Receita!$J$2:$J$1261)</f>
        <v>47309</v>
      </c>
      <c r="O7" s="12">
        <f>SUMIF(Mercado_Receita!$S$2:$S$1261,"44621A4VerdeNão se aplicaNão se aplicaNão se aplicaNão se aplicaNão se aplica",Mercado_Receita!$J$2:$J$1261)+SUMIF(Mercado_Receita!$S$2:$S$1261,"44621A4VerdeNão se aplicaNão se aplicaAPENão se aplicaNão se aplica",Mercado_Receita!$J$2:$J$1261)</f>
        <v>46900</v>
      </c>
      <c r="P7" s="12">
        <f>SUMIF(Mercado_Receita!$S$2:$S$1261,"44652A4VerdeNão se aplicaNão se aplicaNão se aplicaNão se aplicaNão se aplica",Mercado_Receita!$J$2:$J$1261)+SUMIF(Mercado_Receita!$S$2:$S$1261,"44652A4VerdeNão se aplicaNão se aplicaAPENão se aplicaNão se aplica",Mercado_Receita!$J$2:$J$1261)</f>
        <v>46101</v>
      </c>
      <c r="Q7" s="12">
        <f>SUMIF(Mercado_Receita!$S$2:$S$1261,"44682A4VerdeNão se aplicaNão se aplicaNão se aplicaNão se aplicaNão se aplica",Mercado_Receita!$J$2:$J$1261)+SUMIF(Mercado_Receita!$S$2:$S$1261,"44682A4VerdeNão se aplicaNão se aplicaAPENão se aplicaNão se aplica",Mercado_Receita!$J$2:$J$1261)</f>
        <v>46962</v>
      </c>
      <c r="R7" s="12">
        <f>SUMIF(Mercado_Receita!$S$2:$S$1261,"44713A4VerdeNão se aplicaNão se aplicaNão se aplicaNão se aplicaNão se aplica",Mercado_Receita!$J$2:$J$1261)+SUMIF(Mercado_Receita!$S$2:$S$1261,"44713A4VerdeNão se aplicaNão se aplicaAPENão se aplicaNão se aplica",Mercado_Receita!$J$2:$J$1261)</f>
        <v>23401</v>
      </c>
      <c r="S7" s="12">
        <f>SUMIF(Mercado_Receita!$S$2:$S$1261,"44743A4VerdeNão se aplicaNão se aplicaNão se aplicaNão se aplicaNão se aplica",Mercado_Receita!$J$2:$J$1261)+SUMIF(Mercado_Receita!$S$2:$S$1261,"44743A4VerdeNão se aplicaNão se aplicaAPENão se aplicaNão se aplica",Mercado_Receita!$J$2:$J$1261)</f>
        <v>47795</v>
      </c>
      <c r="T7" s="12">
        <f>SUMIF(Mercado_Receita!$S$2:$S$1261,"44774A4VerdeNão se aplicaNão se aplicaNão se aplicaNão se aplicaNão se aplica",Mercado_Receita!$J$2:$J$1261)+SUMIF(Mercado_Receita!$S$2:$S$1261,"44774A4VerdeNão se aplicaNão se aplicaAPENão se aplicaNão se aplica",Mercado_Receita!$J$2:$J$1261)</f>
        <v>47795</v>
      </c>
      <c r="U7" s="12">
        <f t="shared" si="0"/>
        <v>539141</v>
      </c>
      <c r="V7" s="12"/>
      <c r="W7" s="12"/>
    </row>
    <row r="8" spans="1:30" ht="11.25" customHeight="1" x14ac:dyDescent="0.25">
      <c r="A8" s="105"/>
      <c r="B8" s="105"/>
      <c r="C8" s="105"/>
      <c r="D8" s="105"/>
      <c r="E8" s="105"/>
      <c r="F8" s="105"/>
      <c r="G8" s="12" t="s">
        <v>81</v>
      </c>
      <c r="H8" s="12" t="s">
        <v>80</v>
      </c>
      <c r="I8" s="12">
        <f>SUMIF(Mercado_Receita!$S$2:$S$1261,"44440A4VerdeNão se aplicaNão se aplicaNão se aplicaNão se aplicaPonta",Mercado_Receita!$L$2:$L$1261)</f>
        <v>620.827</v>
      </c>
      <c r="J8" s="12">
        <f>SUMIF(Mercado_Receita!$S$2:$S$1261,"44470A4VerdeNão se aplicaNão se aplicaNão se aplicaNão se aplicaPonta",Mercado_Receita!$L$2:$L$1261)</f>
        <v>544.07100000000003</v>
      </c>
      <c r="K8" s="12">
        <f>SUMIF(Mercado_Receita!$S$2:$S$1261,"44501A4VerdeNão se aplicaNão se aplicaNão se aplicaNão se aplicaPonta",Mercado_Receita!$L$2:$L$1261)</f>
        <v>620.45100000000002</v>
      </c>
      <c r="L8" s="12">
        <f>SUMIF(Mercado_Receita!$S$2:$S$1261,"44531A4VerdeNão se aplicaNão se aplicaNão se aplicaNão se aplicaPonta",Mercado_Receita!$L$2:$L$1261)</f>
        <v>592.298</v>
      </c>
      <c r="M8" s="12">
        <f>SUMIF(Mercado_Receita!$S$2:$S$1261,"44562A4VerdeNão se aplicaNão se aplicaNão se aplicaNão se aplicaPonta",Mercado_Receita!$L$2:$L$1261)</f>
        <v>538.48100000000011</v>
      </c>
      <c r="N8" s="12">
        <f>SUMIF(Mercado_Receita!$S$2:$S$1261,"44593A4VerdeNão se aplicaNão se aplicaNão se aplicaNão se aplicaPonta",Mercado_Receita!$L$2:$L$1261)</f>
        <v>602.16300000000001</v>
      </c>
      <c r="O8" s="12">
        <f>SUMIF(Mercado_Receita!$S$2:$S$1261,"44621A4VerdeNão se aplicaNão se aplicaNão se aplicaNão se aplicaPonta",Mercado_Receita!$L$2:$L$1261)</f>
        <v>636.68499999999995</v>
      </c>
      <c r="P8" s="12">
        <f>SUMIF(Mercado_Receita!$S$2:$S$1261,"44652A4VerdeNão se aplicaNão se aplicaNão se aplicaNão se aplicaPonta",Mercado_Receita!$L$2:$L$1261)</f>
        <v>660.20499999999993</v>
      </c>
      <c r="Q8" s="12">
        <f>SUMIF(Mercado_Receita!$S$2:$S$1261,"44682A4VerdeNão se aplicaNão se aplicaNão se aplicaNão se aplicaPonta",Mercado_Receita!$L$2:$L$1261)</f>
        <v>568.69500000000005</v>
      </c>
      <c r="R8" s="12">
        <f>SUMIF(Mercado_Receita!$S$2:$S$1261,"44713A4VerdeNão se aplicaNão se aplicaNão se aplicaNão se aplicaPonta",Mercado_Receita!$L$2:$L$1261)</f>
        <v>585.71400000000006</v>
      </c>
      <c r="S8" s="12">
        <f>SUMIF(Mercado_Receita!$S$2:$S$1261,"44743A4VerdeNão se aplicaNão se aplicaNão se aplicaNão se aplicaPonta",Mercado_Receita!$L$2:$L$1261)</f>
        <v>583.50199999999995</v>
      </c>
      <c r="T8" s="12">
        <f>SUMIF(Mercado_Receita!$S$2:$S$1261,"44774A4VerdeNão se aplicaNão se aplicaNão se aplicaNão se aplicaPonta",Mercado_Receita!$L$2:$L$1261)</f>
        <v>583.50199999999995</v>
      </c>
      <c r="U8" s="12">
        <f t="shared" si="0"/>
        <v>7136.594000000001</v>
      </c>
      <c r="V8" s="12"/>
      <c r="W8" s="12"/>
    </row>
    <row r="9" spans="1:30" ht="11.25" customHeight="1" x14ac:dyDescent="0.25">
      <c r="A9" s="105"/>
      <c r="B9" s="105"/>
      <c r="C9" s="105"/>
      <c r="D9" s="105"/>
      <c r="E9" s="105"/>
      <c r="F9" s="105"/>
      <c r="G9" s="12" t="s">
        <v>82</v>
      </c>
      <c r="H9" s="12" t="s">
        <v>80</v>
      </c>
      <c r="I9" s="12">
        <f>SUMIF(Mercado_Receita!$S$2:$S$1261,"44440A4VerdeNão se aplicaNão se aplicaNão se aplicaNão se aplicaFora ponta",Mercado_Receita!$L$2:$L$1261)</f>
        <v>9246.0509999999995</v>
      </c>
      <c r="J9" s="12">
        <f>SUMIF(Mercado_Receita!$S$2:$S$1261,"44470A4VerdeNão se aplicaNão se aplicaNão se aplicaNão se aplicaFora ponta",Mercado_Receita!$L$2:$L$1261)</f>
        <v>8865.398000000001</v>
      </c>
      <c r="K9" s="12">
        <f>SUMIF(Mercado_Receita!$S$2:$S$1261,"44501A4VerdeNão se aplicaNão se aplicaNão se aplicaNão se aplicaFora ponta",Mercado_Receita!$L$2:$L$1261)</f>
        <v>9165.5440000000017</v>
      </c>
      <c r="L9" s="12">
        <f>SUMIF(Mercado_Receita!$S$2:$S$1261,"44531A4VerdeNão se aplicaNão se aplicaNão se aplicaNão se aplicaFora ponta",Mercado_Receita!$L$2:$L$1261)</f>
        <v>8782.5320000000011</v>
      </c>
      <c r="M9" s="12">
        <f>SUMIF(Mercado_Receita!$S$2:$S$1261,"44562A4VerdeNão se aplicaNão se aplicaNão se aplicaNão se aplicaFora ponta",Mercado_Receita!$L$2:$L$1261)</f>
        <v>7466.9689999999991</v>
      </c>
      <c r="N9" s="12">
        <f>SUMIF(Mercado_Receita!$S$2:$S$1261,"44593A4VerdeNão se aplicaNão se aplicaNão se aplicaNão se aplicaFora ponta",Mercado_Receita!$L$2:$L$1261)</f>
        <v>8719.2620000000006</v>
      </c>
      <c r="O9" s="12">
        <f>SUMIF(Mercado_Receita!$S$2:$S$1261,"44621A4VerdeNão se aplicaNão se aplicaNão se aplicaNão se aplicaFora ponta",Mercado_Receita!$L$2:$L$1261)</f>
        <v>8815.0099999999984</v>
      </c>
      <c r="P9" s="12">
        <f>SUMIF(Mercado_Receita!$S$2:$S$1261,"44652A4VerdeNão se aplicaNão se aplicaNão se aplicaNão se aplicaFora ponta",Mercado_Receita!$L$2:$L$1261)</f>
        <v>8987.4269999999997</v>
      </c>
      <c r="Q9" s="12">
        <f>SUMIF(Mercado_Receita!$S$2:$S$1261,"44682A4VerdeNão se aplicaNão se aplicaNão se aplicaNão se aplicaFora ponta",Mercado_Receita!$L$2:$L$1261)</f>
        <v>8614.3780000000006</v>
      </c>
      <c r="R9" s="12">
        <f>SUMIF(Mercado_Receita!$S$2:$S$1261,"44713A4VerdeNão se aplicaNão se aplicaNão se aplicaNão se aplicaFora ponta",Mercado_Receita!$L$2:$L$1261)</f>
        <v>8318.6290000000008</v>
      </c>
      <c r="S9" s="12">
        <f>SUMIF(Mercado_Receita!$S$2:$S$1261,"44743A4VerdeNão se aplicaNão se aplicaNão se aplicaNão se aplicaFora ponta",Mercado_Receita!$L$2:$L$1261)</f>
        <v>8470.5619999999999</v>
      </c>
      <c r="T9" s="12">
        <f>SUMIF(Mercado_Receita!$S$2:$S$1261,"44774A4VerdeNão se aplicaNão se aplicaNão se aplicaNão se aplicaFora ponta",Mercado_Receita!$L$2:$L$1261)</f>
        <v>8470.5619999999999</v>
      </c>
      <c r="U9" s="12">
        <f t="shared" si="0"/>
        <v>103922.32400000001</v>
      </c>
      <c r="V9" s="12"/>
      <c r="W9" s="12"/>
    </row>
    <row r="10" spans="1:30" ht="11.25" customHeight="1" x14ac:dyDescent="0.25">
      <c r="A10" s="105"/>
      <c r="B10" s="105"/>
      <c r="C10" s="105"/>
      <c r="D10" s="105"/>
      <c r="E10" s="104" t="s">
        <v>87</v>
      </c>
      <c r="F10" s="104" t="s">
        <v>25</v>
      </c>
      <c r="G10" s="12" t="s">
        <v>81</v>
      </c>
      <c r="H10" s="12" t="s">
        <v>80</v>
      </c>
      <c r="I10" s="12">
        <f>SUMIF(Mercado_Receita!$S$2:$S$1261,"44440A4VerdeNão se aplicaNão se aplicaAPENão se aplicaPonta",Mercado_Receita!$L$2:$L$1261)</f>
        <v>0</v>
      </c>
      <c r="J10" s="12">
        <f>SUMIF(Mercado_Receita!$S$2:$S$1261,"44470A4VerdeNão se aplicaNão se aplicaAPENão se aplicaPonta",Mercado_Receita!$L$2:$L$1261)</f>
        <v>0</v>
      </c>
      <c r="K10" s="12">
        <f>SUMIF(Mercado_Receita!$S$2:$S$1261,"44501A4VerdeNão se aplicaNão se aplicaAPENão se aplicaPonta",Mercado_Receita!$L$2:$L$1261)</f>
        <v>0</v>
      </c>
      <c r="L10" s="12">
        <f>SUMIF(Mercado_Receita!$S$2:$S$1261,"44531A4VerdeNão se aplicaNão se aplicaAPENão se aplicaPonta",Mercado_Receita!$L$2:$L$1261)</f>
        <v>0</v>
      </c>
      <c r="M10" s="12">
        <f>SUMIF(Mercado_Receita!$S$2:$S$1261,"44562A4VerdeNão se aplicaNão se aplicaAPENão se aplicaPonta",Mercado_Receita!$L$2:$L$1261)</f>
        <v>0</v>
      </c>
      <c r="N10" s="12">
        <f>SUMIF(Mercado_Receita!$S$2:$S$1261,"44593A4VerdeNão se aplicaNão se aplicaAPENão se aplicaPonta",Mercado_Receita!$L$2:$L$1261)</f>
        <v>0</v>
      </c>
      <c r="O10" s="12">
        <f>SUMIF(Mercado_Receita!$S$2:$S$1261,"44621A4VerdeNão se aplicaNão se aplicaAPENão se aplicaPonta",Mercado_Receita!$L$2:$L$1261)</f>
        <v>0</v>
      </c>
      <c r="P10" s="12">
        <f>SUMIF(Mercado_Receita!$S$2:$S$1261,"44652A4VerdeNão se aplicaNão se aplicaAPENão se aplicaPonta",Mercado_Receita!$L$2:$L$1261)</f>
        <v>0</v>
      </c>
      <c r="Q10" s="12">
        <f>SUMIF(Mercado_Receita!$S$2:$S$1261,"44682A4VerdeNão se aplicaNão se aplicaAPENão se aplicaPonta",Mercado_Receita!$L$2:$L$1261)</f>
        <v>0</v>
      </c>
      <c r="R10" s="12">
        <f>SUMIF(Mercado_Receita!$S$2:$S$1261,"44713A4VerdeNão se aplicaNão se aplicaAPENão se aplicaPonta",Mercado_Receita!$L$2:$L$1261)</f>
        <v>0</v>
      </c>
      <c r="S10" s="12">
        <f>SUMIF(Mercado_Receita!$S$2:$S$1261,"44743A4VerdeNão se aplicaNão se aplicaAPENão se aplicaPonta",Mercado_Receita!$L$2:$L$1261)</f>
        <v>0</v>
      </c>
      <c r="T10" s="12">
        <f>SUMIF(Mercado_Receita!$S$2:$S$1261,"44774A4VerdeNão se aplicaNão se aplicaAPENão se aplicaPonta",Mercado_Receita!$L$2:$L$1261)</f>
        <v>0</v>
      </c>
      <c r="U10" s="12">
        <f t="shared" si="0"/>
        <v>0</v>
      </c>
      <c r="V10" s="12"/>
      <c r="W10" s="12"/>
    </row>
    <row r="11" spans="1:30" ht="11.25" customHeight="1" x14ac:dyDescent="0.25">
      <c r="A11" s="105"/>
      <c r="B11" s="105"/>
      <c r="C11" s="105"/>
      <c r="D11" s="105"/>
      <c r="E11" s="105"/>
      <c r="F11" s="105"/>
      <c r="G11" s="12" t="s">
        <v>82</v>
      </c>
      <c r="H11" s="12" t="s">
        <v>80</v>
      </c>
      <c r="I11" s="12">
        <f>SUMIF(Mercado_Receita!$S$2:$S$1261,"44440A4VerdeNão se aplicaNão se aplicaAPENão se aplicaFora ponta",Mercado_Receita!$L$2:$L$1261)</f>
        <v>0</v>
      </c>
      <c r="J11" s="12">
        <f>SUMIF(Mercado_Receita!$S$2:$S$1261,"44470A4VerdeNão se aplicaNão se aplicaAPENão se aplicaFora ponta",Mercado_Receita!$L$2:$L$1261)</f>
        <v>0</v>
      </c>
      <c r="K11" s="12">
        <f>SUMIF(Mercado_Receita!$S$2:$S$1261,"44501A4VerdeNão se aplicaNão se aplicaAPENão se aplicaFora ponta",Mercado_Receita!$L$2:$L$1261)</f>
        <v>0</v>
      </c>
      <c r="L11" s="12">
        <f>SUMIF(Mercado_Receita!$S$2:$S$1261,"44531A4VerdeNão se aplicaNão se aplicaAPENão se aplicaFora ponta",Mercado_Receita!$L$2:$L$1261)</f>
        <v>0</v>
      </c>
      <c r="M11" s="12">
        <f>SUMIF(Mercado_Receita!$S$2:$S$1261,"44562A4VerdeNão se aplicaNão se aplicaAPENão se aplicaFora ponta",Mercado_Receita!$L$2:$L$1261)</f>
        <v>0</v>
      </c>
      <c r="N11" s="12">
        <f>SUMIF(Mercado_Receita!$S$2:$S$1261,"44593A4VerdeNão se aplicaNão se aplicaAPENão se aplicaFora ponta",Mercado_Receita!$L$2:$L$1261)</f>
        <v>0</v>
      </c>
      <c r="O11" s="12">
        <f>SUMIF(Mercado_Receita!$S$2:$S$1261,"44621A4VerdeNão se aplicaNão se aplicaAPENão se aplicaFora ponta",Mercado_Receita!$L$2:$L$1261)</f>
        <v>0</v>
      </c>
      <c r="P11" s="12">
        <f>SUMIF(Mercado_Receita!$S$2:$S$1261,"44652A4VerdeNão se aplicaNão se aplicaAPENão se aplicaFora ponta",Mercado_Receita!$L$2:$L$1261)</f>
        <v>0</v>
      </c>
      <c r="Q11" s="12">
        <f>SUMIF(Mercado_Receita!$S$2:$S$1261,"44682A4VerdeNão se aplicaNão se aplicaAPENão se aplicaFora ponta",Mercado_Receita!$L$2:$L$1261)</f>
        <v>0</v>
      </c>
      <c r="R11" s="12">
        <f>SUMIF(Mercado_Receita!$S$2:$S$1261,"44713A4VerdeNão se aplicaNão se aplicaAPENão se aplicaFora ponta",Mercado_Receita!$L$2:$L$1261)</f>
        <v>0</v>
      </c>
      <c r="S11" s="12">
        <f>SUMIF(Mercado_Receita!$S$2:$S$1261,"44743A4VerdeNão se aplicaNão se aplicaAPENão se aplicaFora ponta",Mercado_Receita!$L$2:$L$1261)</f>
        <v>0</v>
      </c>
      <c r="T11" s="12">
        <f>SUMIF(Mercado_Receita!$S$2:$S$1261,"44774A4VerdeNão se aplicaNão se aplicaAPENão se aplicaFora ponta",Mercado_Receita!$L$2:$L$1261)</f>
        <v>0</v>
      </c>
      <c r="U11" s="12">
        <f t="shared" si="0"/>
        <v>0</v>
      </c>
      <c r="V11" s="12"/>
      <c r="W11" s="12"/>
    </row>
    <row r="12" spans="1:30" ht="11.25" customHeight="1" x14ac:dyDescent="0.25">
      <c r="A12" s="104" t="s">
        <v>88</v>
      </c>
      <c r="B12" s="104" t="s">
        <v>59</v>
      </c>
      <c r="C12" s="104" t="s">
        <v>25</v>
      </c>
      <c r="D12" s="104" t="s">
        <v>25</v>
      </c>
      <c r="E12" s="13" t="s">
        <v>89</v>
      </c>
      <c r="F12" s="13" t="s">
        <v>25</v>
      </c>
      <c r="G12" s="12" t="s">
        <v>9</v>
      </c>
      <c r="H12" s="12" t="s">
        <v>83</v>
      </c>
      <c r="I12" s="12">
        <f>SUMIF(Mercado_Receita!$S$2:$S$1261,"44440BGeraçãoNão se aplicaNão se aplicaTIPO 01Não se aplicaNão se aplica",Mercado_Receita!$J$2:$J$1261)+SUMIF(Mercado_Receita!$S$2:$S$1261,"44440BGeraçãoNão se aplicaNão se aplicaAPENão se aplicaNão se aplica",Mercado_Receita!$J$2:$J$1261)</f>
        <v>0</v>
      </c>
      <c r="J12" s="12">
        <f>SUMIF(Mercado_Receita!$S$2:$S$1261,"44470BGeraçãoNão se aplicaNão se aplicaTIPO 01Não se aplicaNão se aplica",Mercado_Receita!$J$2:$J$1261)+SUMIF(Mercado_Receita!$S$2:$S$1261,"44470BGeraçãoNão se aplicaNão se aplicaAPENão se aplicaNão se aplica",Mercado_Receita!$J$2:$J$1261)</f>
        <v>0</v>
      </c>
      <c r="K12" s="12">
        <f>SUMIF(Mercado_Receita!$S$2:$S$1261,"44501BGeraçãoNão se aplicaNão se aplicaTIPO 01Não se aplicaNão se aplica",Mercado_Receita!$J$2:$J$1261)+SUMIF(Mercado_Receita!$S$2:$S$1261,"44501BGeraçãoNão se aplicaNão se aplicaAPENão se aplicaNão se aplica",Mercado_Receita!$J$2:$J$1261)</f>
        <v>0</v>
      </c>
      <c r="L12" s="12">
        <f>SUMIF(Mercado_Receita!$S$2:$S$1261,"44531BGeraçãoNão se aplicaNão se aplicaTIPO 01Não se aplicaNão se aplica",Mercado_Receita!$J$2:$J$1261)+SUMIF(Mercado_Receita!$S$2:$S$1261,"44531BGeraçãoNão se aplicaNão se aplicaAPENão se aplicaNão se aplica",Mercado_Receita!$J$2:$J$1261)</f>
        <v>0</v>
      </c>
      <c r="M12" s="12">
        <f>SUMIF(Mercado_Receita!$S$2:$S$1261,"44562BGeraçãoNão se aplicaNão se aplicaTIPO 01Não se aplicaNão se aplica",Mercado_Receita!$J$2:$J$1261)+SUMIF(Mercado_Receita!$S$2:$S$1261,"44562BGeraçãoNão se aplicaNão se aplicaAPENão se aplicaNão se aplica",Mercado_Receita!$J$2:$J$1261)</f>
        <v>0</v>
      </c>
      <c r="N12" s="12">
        <f>SUMIF(Mercado_Receita!$S$2:$S$1261,"44593BGeraçãoNão se aplicaNão se aplicaTIPO 01Não se aplicaNão se aplica",Mercado_Receita!$J$2:$J$1261)+SUMIF(Mercado_Receita!$S$2:$S$1261,"44593BGeraçãoNão se aplicaNão se aplicaAPENão se aplicaNão se aplica",Mercado_Receita!$J$2:$J$1261)</f>
        <v>0</v>
      </c>
      <c r="O12" s="12">
        <f>SUMIF(Mercado_Receita!$S$2:$S$1261,"44621BGeraçãoNão se aplicaNão se aplicaTIPO 01Não se aplicaNão se aplica",Mercado_Receita!$J$2:$J$1261)+SUMIF(Mercado_Receita!$S$2:$S$1261,"44621BGeraçãoNão se aplicaNão se aplicaAPENão se aplicaNão se aplica",Mercado_Receita!$J$2:$J$1261)</f>
        <v>0</v>
      </c>
      <c r="P12" s="12">
        <f>SUMIF(Mercado_Receita!$S$2:$S$1261,"44652BGeraçãoNão se aplicaNão se aplicaTIPO 01Não se aplicaNão se aplica",Mercado_Receita!$J$2:$J$1261)+SUMIF(Mercado_Receita!$S$2:$S$1261,"44652BGeraçãoNão se aplicaNão se aplicaAPENão se aplicaNão se aplica",Mercado_Receita!$J$2:$J$1261)</f>
        <v>0</v>
      </c>
      <c r="Q12" s="12">
        <f>SUMIF(Mercado_Receita!$S$2:$S$1261,"44682BGeraçãoNão se aplicaNão se aplicaTIPO 01Não se aplicaNão se aplica",Mercado_Receita!$J$2:$J$1261)+SUMIF(Mercado_Receita!$S$2:$S$1261,"44682BGeraçãoNão se aplicaNão se aplicaAPENão se aplicaNão se aplica",Mercado_Receita!$J$2:$J$1261)</f>
        <v>0</v>
      </c>
      <c r="R12" s="12">
        <f>SUMIF(Mercado_Receita!$S$2:$S$1261,"44713BGeraçãoNão se aplicaNão se aplicaTIPO 01Não se aplicaNão se aplica",Mercado_Receita!$J$2:$J$1261)+SUMIF(Mercado_Receita!$S$2:$S$1261,"44713BGeraçãoNão se aplicaNão se aplicaAPENão se aplicaNão se aplica",Mercado_Receita!$J$2:$J$1261)</f>
        <v>0</v>
      </c>
      <c r="S12" s="12">
        <f>SUMIF(Mercado_Receita!$S$2:$S$1261,"44743BGeraçãoNão se aplicaNão se aplicaTIPO 01Não se aplicaNão se aplica",Mercado_Receita!$J$2:$J$1261)+SUMIF(Mercado_Receita!$S$2:$S$1261,"44743BGeraçãoNão se aplicaNão se aplicaAPENão se aplicaNão se aplica",Mercado_Receita!$J$2:$J$1261)</f>
        <v>0</v>
      </c>
      <c r="T12" s="12">
        <f>SUMIF(Mercado_Receita!$S$2:$S$1261,"44774BGeraçãoNão se aplicaNão se aplicaTIPO 01Não se aplicaNão se aplica",Mercado_Receita!$J$2:$J$1261)+SUMIF(Mercado_Receita!$S$2:$S$1261,"44774BGeraçãoNão se aplicaNão se aplicaAPENão se aplicaNão se aplica",Mercado_Receita!$J$2:$J$1261)</f>
        <v>0</v>
      </c>
      <c r="U12" s="12">
        <f t="shared" si="0"/>
        <v>0</v>
      </c>
      <c r="V12" s="12"/>
      <c r="W12" s="12"/>
    </row>
    <row r="13" spans="1:30" ht="11.25" customHeight="1" x14ac:dyDescent="0.25">
      <c r="A13" s="105"/>
      <c r="B13" s="105"/>
      <c r="C13" s="105"/>
      <c r="D13" s="105"/>
      <c r="E13" s="13" t="s">
        <v>90</v>
      </c>
      <c r="F13" s="13" t="s">
        <v>25</v>
      </c>
      <c r="G13" s="12" t="s">
        <v>9</v>
      </c>
      <c r="H13" s="12" t="s">
        <v>83</v>
      </c>
      <c r="I13" s="12">
        <f>SUMIF(Mercado_Receita!$S$2:$S$1261,"44440BGeraçãoNão se aplicaNão se aplicaTIPO 02Não se aplicaNão se aplica",Mercado_Receita!$J$2:$J$1261)+SUMIF(Mercado_Receita!$S$2:$S$1261,"44440BGeraçãoNão se aplicaNão se aplicaAPENão se aplicaNão se aplica",Mercado_Receita!$J$2:$J$1261)</f>
        <v>0</v>
      </c>
      <c r="J13" s="12">
        <f>SUMIF(Mercado_Receita!$S$2:$S$1261,"44470BGeraçãoNão se aplicaNão se aplicaTIPO 02Não se aplicaNão se aplica",Mercado_Receita!$J$2:$J$1261)+SUMIF(Mercado_Receita!$S$2:$S$1261,"44470BGeraçãoNão se aplicaNão se aplicaAPENão se aplicaNão se aplica",Mercado_Receita!$J$2:$J$1261)</f>
        <v>0</v>
      </c>
      <c r="K13" s="12">
        <f>SUMIF(Mercado_Receita!$S$2:$S$1261,"44501BGeraçãoNão se aplicaNão se aplicaTIPO 02Não se aplicaNão se aplica",Mercado_Receita!$J$2:$J$1261)+SUMIF(Mercado_Receita!$S$2:$S$1261,"44501BGeraçãoNão se aplicaNão se aplicaAPENão se aplicaNão se aplica",Mercado_Receita!$J$2:$J$1261)</f>
        <v>0</v>
      </c>
      <c r="L13" s="12">
        <f>SUMIF(Mercado_Receita!$S$2:$S$1261,"44531BGeraçãoNão se aplicaNão se aplicaTIPO 02Não se aplicaNão se aplica",Mercado_Receita!$J$2:$J$1261)+SUMIF(Mercado_Receita!$S$2:$S$1261,"44531BGeraçãoNão se aplicaNão se aplicaAPENão se aplicaNão se aplica",Mercado_Receita!$J$2:$J$1261)</f>
        <v>0</v>
      </c>
      <c r="M13" s="12">
        <f>SUMIF(Mercado_Receita!$S$2:$S$1261,"44562BGeraçãoNão se aplicaNão se aplicaTIPO 02Não se aplicaNão se aplica",Mercado_Receita!$J$2:$J$1261)+SUMIF(Mercado_Receita!$S$2:$S$1261,"44562BGeraçãoNão se aplicaNão se aplicaAPENão se aplicaNão se aplica",Mercado_Receita!$J$2:$J$1261)</f>
        <v>0</v>
      </c>
      <c r="N13" s="12">
        <f>SUMIF(Mercado_Receita!$S$2:$S$1261,"44593BGeraçãoNão se aplicaNão se aplicaTIPO 02Não se aplicaNão se aplica",Mercado_Receita!$J$2:$J$1261)+SUMIF(Mercado_Receita!$S$2:$S$1261,"44593BGeraçãoNão se aplicaNão se aplicaAPENão se aplicaNão se aplica",Mercado_Receita!$J$2:$J$1261)</f>
        <v>0</v>
      </c>
      <c r="O13" s="12">
        <f>SUMIF(Mercado_Receita!$S$2:$S$1261,"44621BGeraçãoNão se aplicaNão se aplicaTIPO 02Não se aplicaNão se aplica",Mercado_Receita!$J$2:$J$1261)+SUMIF(Mercado_Receita!$S$2:$S$1261,"44621BGeraçãoNão se aplicaNão se aplicaAPENão se aplicaNão se aplica",Mercado_Receita!$J$2:$J$1261)</f>
        <v>0</v>
      </c>
      <c r="P13" s="12">
        <f>SUMIF(Mercado_Receita!$S$2:$S$1261,"44652BGeraçãoNão se aplicaNão se aplicaTIPO 02Não se aplicaNão se aplica",Mercado_Receita!$J$2:$J$1261)+SUMIF(Mercado_Receita!$S$2:$S$1261,"44652BGeraçãoNão se aplicaNão se aplicaAPENão se aplicaNão se aplica",Mercado_Receita!$J$2:$J$1261)</f>
        <v>0</v>
      </c>
      <c r="Q13" s="12">
        <f>SUMIF(Mercado_Receita!$S$2:$S$1261,"44682BGeraçãoNão se aplicaNão se aplicaTIPO 02Não se aplicaNão se aplica",Mercado_Receita!$J$2:$J$1261)+SUMIF(Mercado_Receita!$S$2:$S$1261,"44682BGeraçãoNão se aplicaNão se aplicaAPENão se aplicaNão se aplica",Mercado_Receita!$J$2:$J$1261)</f>
        <v>0</v>
      </c>
      <c r="R13" s="12">
        <f>SUMIF(Mercado_Receita!$S$2:$S$1261,"44713BGeraçãoNão se aplicaNão se aplicaTIPO 02Não se aplicaNão se aplica",Mercado_Receita!$J$2:$J$1261)+SUMIF(Mercado_Receita!$S$2:$S$1261,"44713BGeraçãoNão se aplicaNão se aplicaAPENão se aplicaNão se aplica",Mercado_Receita!$J$2:$J$1261)</f>
        <v>0</v>
      </c>
      <c r="S13" s="12">
        <f>SUMIF(Mercado_Receita!$S$2:$S$1261,"44743BGeraçãoNão se aplicaNão se aplicaTIPO 02Não se aplicaNão se aplica",Mercado_Receita!$J$2:$J$1261)+SUMIF(Mercado_Receita!$S$2:$S$1261,"44743BGeraçãoNão se aplicaNão se aplicaAPENão se aplicaNão se aplica",Mercado_Receita!$J$2:$J$1261)</f>
        <v>0</v>
      </c>
      <c r="T13" s="12">
        <f>SUMIF(Mercado_Receita!$S$2:$S$1261,"44774BGeraçãoNão se aplicaNão se aplicaTIPO 02Não se aplicaNão se aplica",Mercado_Receita!$J$2:$J$1261)+SUMIF(Mercado_Receita!$S$2:$S$1261,"44774BGeraçãoNão se aplicaNão se aplicaAPENão se aplicaNão se aplica",Mercado_Receita!$J$2:$J$1261)</f>
        <v>0</v>
      </c>
      <c r="U13" s="12">
        <f t="shared" si="0"/>
        <v>0</v>
      </c>
      <c r="V13" s="12"/>
      <c r="W13" s="12"/>
    </row>
    <row r="14" spans="1:30" ht="11.25" customHeight="1" x14ac:dyDescent="0.25">
      <c r="A14" s="104" t="s">
        <v>22</v>
      </c>
      <c r="B14" s="104" t="s">
        <v>33</v>
      </c>
      <c r="C14" s="104" t="s">
        <v>24</v>
      </c>
      <c r="D14" s="104" t="s">
        <v>24</v>
      </c>
      <c r="E14" s="104" t="s">
        <v>25</v>
      </c>
      <c r="F14" s="104" t="s">
        <v>25</v>
      </c>
      <c r="G14" s="12" t="s">
        <v>81</v>
      </c>
      <c r="H14" s="12" t="s">
        <v>80</v>
      </c>
      <c r="I14" s="12">
        <f>SUMIF(Mercado_Receita!$S$2:$S$1261,"44440B1BrancaResidencialResidencialNão se aplicaNão se aplicaPonta",Mercado_Receita!$L$2:$L$1261)</f>
        <v>1.484</v>
      </c>
      <c r="J14" s="12">
        <f>SUMIF(Mercado_Receita!$S$2:$S$1261,"44470B1BrancaResidencialResidencialNão se aplicaNão se aplicaPonta",Mercado_Receita!$L$2:$L$1261)</f>
        <v>1.653</v>
      </c>
      <c r="K14" s="12">
        <f>SUMIF(Mercado_Receita!$S$2:$S$1261,"44501B1BrancaResidencialResidencialNão se aplicaNão se aplicaPonta",Mercado_Receita!$L$2:$L$1261)</f>
        <v>1.482</v>
      </c>
      <c r="L14" s="12">
        <f>SUMIF(Mercado_Receita!$S$2:$S$1261,"44531B1BrancaResidencialResidencialNão se aplicaNão se aplicaPonta",Mercado_Receita!$L$2:$L$1261)</f>
        <v>1.6040000000000001</v>
      </c>
      <c r="M14" s="12">
        <f>SUMIF(Mercado_Receita!$S$2:$S$1261,"44562B1BrancaResidencialResidencialNão se aplicaNão se aplicaPonta",Mercado_Receita!$L$2:$L$1261)</f>
        <v>1.5620000000000001</v>
      </c>
      <c r="N14" s="12">
        <f>SUMIF(Mercado_Receita!$S$2:$S$1261,"44593B1BrancaResidencialResidencialNão se aplicaNão se aplicaPonta",Mercado_Receita!$L$2:$L$1261)</f>
        <v>1.6719999999999999</v>
      </c>
      <c r="O14" s="12">
        <f>SUMIF(Mercado_Receita!$S$2:$S$1261,"44621B1BrancaResidencialResidencialNão se aplicaNão se aplicaPonta",Mercado_Receita!$L$2:$L$1261)</f>
        <v>1.627</v>
      </c>
      <c r="P14" s="12">
        <f>SUMIF(Mercado_Receita!$S$2:$S$1261,"44652B1BrancaResidencialResidencialNão se aplicaNão se aplicaPonta",Mercado_Receita!$L$2:$L$1261)</f>
        <v>1.72</v>
      </c>
      <c r="Q14" s="12">
        <f>SUMIF(Mercado_Receita!$S$2:$S$1261,"44682B1BrancaResidencialResidencialNão se aplicaNão se aplicaPonta",Mercado_Receita!$L$2:$L$1261)</f>
        <v>1.2809999999999999</v>
      </c>
      <c r="R14" s="12">
        <f>SUMIF(Mercado_Receita!$S$2:$S$1261,"44713B1BrancaResidencialResidencialNão se aplicaNão se aplicaPonta",Mercado_Receita!$L$2:$L$1261)</f>
        <v>1.111</v>
      </c>
      <c r="S14" s="12">
        <f>SUMIF(Mercado_Receita!$S$2:$S$1261,"44743B1BrancaResidencialResidencialNão se aplicaNão se aplicaPonta",Mercado_Receita!$L$2:$L$1261)</f>
        <v>1.206</v>
      </c>
      <c r="T14" s="12">
        <f>SUMIF(Mercado_Receita!$S$2:$S$1261,"44774B1BrancaResidencialResidencialNão se aplicaNão se aplicaPonta",Mercado_Receita!$L$2:$L$1261)</f>
        <v>1.206</v>
      </c>
      <c r="U14" s="12">
        <f t="shared" si="0"/>
        <v>17.608000000000004</v>
      </c>
      <c r="V14" s="12"/>
      <c r="W14" s="12"/>
    </row>
    <row r="15" spans="1:30" ht="11.25" customHeight="1" x14ac:dyDescent="0.25">
      <c r="A15" s="105"/>
      <c r="B15" s="105"/>
      <c r="C15" s="105"/>
      <c r="D15" s="105"/>
      <c r="E15" s="105"/>
      <c r="F15" s="105"/>
      <c r="G15" s="12" t="s">
        <v>91</v>
      </c>
      <c r="H15" s="12" t="s">
        <v>80</v>
      </c>
      <c r="I15" s="12">
        <f>SUMIF(Mercado_Receita!$S$2:$S$1261,"44440B1BrancaResidencialResidencialNão se aplicaNão se aplicaIntermediário",Mercado_Receita!$L$2:$L$1261)</f>
        <v>0.56000000000000005</v>
      </c>
      <c r="J15" s="12">
        <f>SUMIF(Mercado_Receita!$S$2:$S$1261,"44470B1BrancaResidencialResidencialNão se aplicaNão se aplicaIntermediário",Mercado_Receita!$L$2:$L$1261)</f>
        <v>0.63200000000000001</v>
      </c>
      <c r="K15" s="12">
        <f>SUMIF(Mercado_Receita!$S$2:$S$1261,"44501B1BrancaResidencialResidencialNão se aplicaNão se aplicaIntermediário",Mercado_Receita!$L$2:$L$1261)</f>
        <v>0.57899999999999996</v>
      </c>
      <c r="L15" s="12">
        <f>SUMIF(Mercado_Receita!$S$2:$S$1261,"44531B1BrancaResidencialResidencialNão se aplicaNão se aplicaIntermediário",Mercado_Receita!$L$2:$L$1261)</f>
        <v>0.73499999999999999</v>
      </c>
      <c r="M15" s="12">
        <f>SUMIF(Mercado_Receita!$S$2:$S$1261,"44562B1BrancaResidencialResidencialNão se aplicaNão se aplicaIntermediário",Mercado_Receita!$L$2:$L$1261)</f>
        <v>0.621</v>
      </c>
      <c r="N15" s="12">
        <f>SUMIF(Mercado_Receita!$S$2:$S$1261,"44593B1BrancaResidencialResidencialNão se aplicaNão se aplicaIntermediário",Mercado_Receita!$L$2:$L$1261)</f>
        <v>0.72</v>
      </c>
      <c r="O15" s="12">
        <f>SUMIF(Mercado_Receita!$S$2:$S$1261,"44621B1BrancaResidencialResidencialNão se aplicaNão se aplicaIntermediário",Mercado_Receita!$L$2:$L$1261)</f>
        <v>0.69599999999999995</v>
      </c>
      <c r="P15" s="12">
        <f>SUMIF(Mercado_Receita!$S$2:$S$1261,"44652B1BrancaResidencialResidencialNão se aplicaNão se aplicaIntermediário",Mercado_Receita!$L$2:$L$1261)</f>
        <v>0.72299999999999998</v>
      </c>
      <c r="Q15" s="12">
        <f>SUMIF(Mercado_Receita!$S$2:$S$1261,"44682B1BrancaResidencialResidencialNão se aplicaNão se aplicaIntermediário",Mercado_Receita!$L$2:$L$1261)</f>
        <v>0.56200000000000006</v>
      </c>
      <c r="R15" s="12">
        <f>SUMIF(Mercado_Receita!$S$2:$S$1261,"44713B1BrancaResidencialResidencialNão se aplicaNão se aplicaIntermediário",Mercado_Receita!$L$2:$L$1261)</f>
        <v>0.496</v>
      </c>
      <c r="S15" s="12">
        <f>SUMIF(Mercado_Receita!$S$2:$S$1261,"44743B1BrancaResidencialResidencialNão se aplicaNão se aplicaIntermediário",Mercado_Receita!$L$2:$L$1261)</f>
        <v>0.51</v>
      </c>
      <c r="T15" s="12">
        <f>SUMIF(Mercado_Receita!$S$2:$S$1261,"44774B1BrancaResidencialResidencialNão se aplicaNão se aplicaIntermediário",Mercado_Receita!$L$2:$L$1261)</f>
        <v>0.51</v>
      </c>
      <c r="U15" s="12">
        <f t="shared" si="0"/>
        <v>7.3439999999999994</v>
      </c>
      <c r="V15" s="12"/>
      <c r="W15" s="12"/>
    </row>
    <row r="16" spans="1:30" ht="11.25" customHeight="1" x14ac:dyDescent="0.25">
      <c r="A16" s="105"/>
      <c r="B16" s="105"/>
      <c r="C16" s="105"/>
      <c r="D16" s="105"/>
      <c r="E16" s="105"/>
      <c r="F16" s="105"/>
      <c r="G16" s="12" t="s">
        <v>82</v>
      </c>
      <c r="H16" s="12" t="s">
        <v>80</v>
      </c>
      <c r="I16" s="12">
        <f>SUMIF(Mercado_Receita!$S$2:$S$1261,"44440B1BrancaResidencialResidencialNão se aplicaNão se aplicaFora ponta",Mercado_Receita!$L$2:$L$1261)</f>
        <v>9.4320000000000004</v>
      </c>
      <c r="J16" s="12">
        <f>SUMIF(Mercado_Receita!$S$2:$S$1261,"44470B1BrancaResidencialResidencialNão se aplicaNão se aplicaFora ponta",Mercado_Receita!$L$2:$L$1261)</f>
        <v>10.689</v>
      </c>
      <c r="K16" s="12">
        <f>SUMIF(Mercado_Receita!$S$2:$S$1261,"44501B1BrancaResidencialResidencialNão se aplicaNão se aplicaFora ponta",Mercado_Receita!$L$2:$L$1261)</f>
        <v>9.8710000000000004</v>
      </c>
      <c r="L16" s="12">
        <f>SUMIF(Mercado_Receita!$S$2:$S$1261,"44531B1BrancaResidencialResidencialNão se aplicaNão se aplicaFora ponta",Mercado_Receita!$L$2:$L$1261)</f>
        <v>11.031000000000001</v>
      </c>
      <c r="M16" s="12">
        <f>SUMIF(Mercado_Receita!$S$2:$S$1261,"44562B1BrancaResidencialResidencialNão se aplicaNão se aplicaFora ponta",Mercado_Receita!$L$2:$L$1261)</f>
        <v>11.08</v>
      </c>
      <c r="N16" s="12">
        <f>SUMIF(Mercado_Receita!$S$2:$S$1261,"44593B1BrancaResidencialResidencialNão se aplicaNão se aplicaFora ponta",Mercado_Receita!$L$2:$L$1261)</f>
        <v>13.28</v>
      </c>
      <c r="O16" s="12">
        <f>SUMIF(Mercado_Receita!$S$2:$S$1261,"44621B1BrancaResidencialResidencialNão se aplicaNão se aplicaFora ponta",Mercado_Receita!$L$2:$L$1261)</f>
        <v>12.452999999999999</v>
      </c>
      <c r="P16" s="12">
        <f>SUMIF(Mercado_Receita!$S$2:$S$1261,"44652B1BrancaResidencialResidencialNão se aplicaNão se aplicaFora ponta",Mercado_Receita!$L$2:$L$1261)</f>
        <v>12.872</v>
      </c>
      <c r="Q16" s="12">
        <f>SUMIF(Mercado_Receita!$S$2:$S$1261,"44682B1BrancaResidencialResidencialNão se aplicaNão se aplicaFora ponta",Mercado_Receita!$L$2:$L$1261)</f>
        <v>9.4329999999999998</v>
      </c>
      <c r="R16" s="12">
        <f>SUMIF(Mercado_Receita!$S$2:$S$1261,"44713B1BrancaResidencialResidencialNão se aplicaNão se aplicaFora ponta",Mercado_Receita!$L$2:$L$1261)</f>
        <v>6.7210000000000001</v>
      </c>
      <c r="S16" s="12">
        <f>SUMIF(Mercado_Receita!$S$2:$S$1261,"44743B1BrancaResidencialResidencialNão se aplicaNão se aplicaFora ponta",Mercado_Receita!$L$2:$L$1261)</f>
        <v>6.66</v>
      </c>
      <c r="T16" s="12">
        <f>SUMIF(Mercado_Receita!$S$2:$S$1261,"44774B1BrancaResidencialResidencialNão se aplicaNão se aplicaFora ponta",Mercado_Receita!$L$2:$L$1261)</f>
        <v>6.66</v>
      </c>
      <c r="U16" s="12">
        <f t="shared" si="0"/>
        <v>120.18199999999999</v>
      </c>
      <c r="V16" s="12"/>
      <c r="W16" s="12"/>
    </row>
    <row r="17" spans="1:23" ht="11.25" customHeight="1" x14ac:dyDescent="0.25">
      <c r="A17" s="105"/>
      <c r="B17" s="104" t="s">
        <v>23</v>
      </c>
      <c r="C17" s="104" t="s">
        <v>24</v>
      </c>
      <c r="D17" s="13" t="s">
        <v>24</v>
      </c>
      <c r="E17" s="13" t="s">
        <v>25</v>
      </c>
      <c r="F17" s="13" t="s">
        <v>25</v>
      </c>
      <c r="G17" s="12" t="s">
        <v>86</v>
      </c>
      <c r="H17" s="12" t="s">
        <v>80</v>
      </c>
      <c r="I17" s="12">
        <f>SUMIF(Mercado_Receita!$S$2:$S$1261,"44440B1ConvencionalResidencialResidencialNão se aplicaNão se aplicaPonta",Mercado_Receita!$L$2:$L$1261)+SUMIF(Mercado_Receita!$S$2:$S$1261,"44440B1ConvencionalResidencialResidencialNão se aplicaNão se aplicaFora ponta",Mercado_Receita!$L$2:$L$1261)+SUMIF(Mercado_Receita!$S$2:$S$1261,"44440B1ConvencionalResidencialResidencialNão se aplicaNão se aplicaIntermediário",Mercado_Receita!$L$2:$L$1261)+SUMIF(Mercado_Receita!$S$2:$S$1261,"44440B1ConvencionalResidencialResidencialNão se aplicaNão se aplicaNão se aplica",Mercado_Receita!$L$2:$L$1261)</f>
        <v>10226.847</v>
      </c>
      <c r="J17" s="12">
        <f>SUMIF(Mercado_Receita!$S$2:$S$1261,"44470B1ConvencionalResidencialResidencialNão se aplicaNão se aplicaPonta",Mercado_Receita!$L$2:$L$1261)+SUMIF(Mercado_Receita!$S$2:$S$1261,"44470B1ConvencionalResidencialResidencialNão se aplicaNão se aplicaFora ponta",Mercado_Receita!$L$2:$L$1261)+SUMIF(Mercado_Receita!$S$2:$S$1261,"44470B1ConvencionalResidencialResidencialNão se aplicaNão se aplicaIntermediário",Mercado_Receita!$L$2:$L$1261)+SUMIF(Mercado_Receita!$S$2:$S$1261,"44470B1ConvencionalResidencialResidencialNão se aplicaNão se aplicaNão se aplica",Mercado_Receita!$L$2:$L$1261)</f>
        <v>10801.921</v>
      </c>
      <c r="K17" s="12">
        <f>SUMIF(Mercado_Receita!$S$2:$S$1261,"44501B1ConvencionalResidencialResidencialNão se aplicaNão se aplicaPonta",Mercado_Receita!$L$2:$L$1261)+SUMIF(Mercado_Receita!$S$2:$S$1261,"44501B1ConvencionalResidencialResidencialNão se aplicaNão se aplicaFora ponta",Mercado_Receita!$L$2:$L$1261)+SUMIF(Mercado_Receita!$S$2:$S$1261,"44501B1ConvencionalResidencialResidencialNão se aplicaNão se aplicaIntermediário",Mercado_Receita!$L$2:$L$1261)+SUMIF(Mercado_Receita!$S$2:$S$1261,"44501B1ConvencionalResidencialResidencialNão se aplicaNão se aplicaNão se aplica",Mercado_Receita!$L$2:$L$1261)</f>
        <v>10391.748000000001</v>
      </c>
      <c r="L17" s="12">
        <f>SUMIF(Mercado_Receita!$S$2:$S$1261,"44531B1ConvencionalResidencialResidencialNão se aplicaNão se aplicaPonta",Mercado_Receita!$L$2:$L$1261)+SUMIF(Mercado_Receita!$S$2:$S$1261,"44531B1ConvencionalResidencialResidencialNão se aplicaNão se aplicaFora ponta",Mercado_Receita!$L$2:$L$1261)+SUMIF(Mercado_Receita!$S$2:$S$1261,"44531B1ConvencionalResidencialResidencialNão se aplicaNão se aplicaIntermediário",Mercado_Receita!$L$2:$L$1261)+SUMIF(Mercado_Receita!$S$2:$S$1261,"44531B1ConvencionalResidencialResidencialNão se aplicaNão se aplicaNão se aplica",Mercado_Receita!$L$2:$L$1261)</f>
        <v>10747.088000000002</v>
      </c>
      <c r="M17" s="12">
        <f>SUMIF(Mercado_Receita!$S$2:$S$1261,"44562B1ConvencionalResidencialResidencialNão se aplicaNão se aplicaPonta",Mercado_Receita!$L$2:$L$1261)+SUMIF(Mercado_Receita!$S$2:$S$1261,"44562B1ConvencionalResidencialResidencialNão se aplicaNão se aplicaFora ponta",Mercado_Receita!$L$2:$L$1261)+SUMIF(Mercado_Receita!$S$2:$S$1261,"44562B1ConvencionalResidencialResidencialNão se aplicaNão se aplicaIntermediário",Mercado_Receita!$L$2:$L$1261)+SUMIF(Mercado_Receita!$S$2:$S$1261,"44562B1ConvencionalResidencialResidencialNão se aplicaNão se aplicaNão se aplica",Mercado_Receita!$L$2:$L$1261)</f>
        <v>11123.838</v>
      </c>
      <c r="N17" s="12">
        <f>SUMIF(Mercado_Receita!$S$2:$S$1261,"44593B1ConvencionalResidencialResidencialNão se aplicaNão se aplicaPonta",Mercado_Receita!$L$2:$L$1261)+SUMIF(Mercado_Receita!$S$2:$S$1261,"44593B1ConvencionalResidencialResidencialNão se aplicaNão se aplicaFora ponta",Mercado_Receita!$L$2:$L$1261)+SUMIF(Mercado_Receita!$S$2:$S$1261,"44593B1ConvencionalResidencialResidencialNão se aplicaNão se aplicaIntermediário",Mercado_Receita!$L$2:$L$1261)+SUMIF(Mercado_Receita!$S$2:$S$1261,"44593B1ConvencionalResidencialResidencialNão se aplicaNão se aplicaNão se aplica",Mercado_Receita!$L$2:$L$1261)</f>
        <v>12125.803</v>
      </c>
      <c r="O17" s="12">
        <f>SUMIF(Mercado_Receita!$S$2:$S$1261,"44621B1ConvencionalResidencialResidencialNão se aplicaNão se aplicaPonta",Mercado_Receita!$L$2:$L$1261)+SUMIF(Mercado_Receita!$S$2:$S$1261,"44621B1ConvencionalResidencialResidencialNão se aplicaNão se aplicaFora ponta",Mercado_Receita!$L$2:$L$1261)+SUMIF(Mercado_Receita!$S$2:$S$1261,"44621B1ConvencionalResidencialResidencialNão se aplicaNão se aplicaIntermediário",Mercado_Receita!$L$2:$L$1261)+SUMIF(Mercado_Receita!$S$2:$S$1261,"44621B1ConvencionalResidencialResidencialNão se aplicaNão se aplicaNão se aplica",Mercado_Receita!$L$2:$L$1261)</f>
        <v>11690.799000000001</v>
      </c>
      <c r="P17" s="12">
        <f>SUMIF(Mercado_Receita!$S$2:$S$1261,"44652B1ConvencionalResidencialResidencialNão se aplicaNão se aplicaPonta",Mercado_Receita!$L$2:$L$1261)+SUMIF(Mercado_Receita!$S$2:$S$1261,"44652B1ConvencionalResidencialResidencialNão se aplicaNão se aplicaFora ponta",Mercado_Receita!$L$2:$L$1261)+SUMIF(Mercado_Receita!$S$2:$S$1261,"44652B1ConvencionalResidencialResidencialNão se aplicaNão se aplicaIntermediário",Mercado_Receita!$L$2:$L$1261)+SUMIF(Mercado_Receita!$S$2:$S$1261,"44652B1ConvencionalResidencialResidencialNão se aplicaNão se aplicaNão se aplica",Mercado_Receita!$L$2:$L$1261)</f>
        <v>11827.583999999999</v>
      </c>
      <c r="Q17" s="12">
        <f>SUMIF(Mercado_Receita!$S$2:$S$1261,"44682B1ConvencionalResidencialResidencialNão se aplicaNão se aplicaPonta",Mercado_Receita!$L$2:$L$1261)+SUMIF(Mercado_Receita!$S$2:$S$1261,"44682B1ConvencionalResidencialResidencialNão se aplicaNão se aplicaFora ponta",Mercado_Receita!$L$2:$L$1261)+SUMIF(Mercado_Receita!$S$2:$S$1261,"44682B1ConvencionalResidencialResidencialNão se aplicaNão se aplicaIntermediário",Mercado_Receita!$L$2:$L$1261)+SUMIF(Mercado_Receita!$S$2:$S$1261,"44682B1ConvencionalResidencialResidencialNão se aplicaNão se aplicaNão se aplica",Mercado_Receita!$L$2:$L$1261)</f>
        <v>10296.942000000001</v>
      </c>
      <c r="R17" s="12">
        <f>SUMIF(Mercado_Receita!$S$2:$S$1261,"44713B1ConvencionalResidencialResidencialNão se aplicaNão se aplicaPonta",Mercado_Receita!$L$2:$L$1261)+SUMIF(Mercado_Receita!$S$2:$S$1261,"44713B1ConvencionalResidencialResidencialNão se aplicaNão se aplicaFora ponta",Mercado_Receita!$L$2:$L$1261)+SUMIF(Mercado_Receita!$S$2:$S$1261,"44713B1ConvencionalResidencialResidencialNão se aplicaNão se aplicaIntermediário",Mercado_Receita!$L$2:$L$1261)+SUMIF(Mercado_Receita!$S$2:$S$1261,"44713B1ConvencionalResidencialResidencialNão se aplicaNão se aplicaNão se aplica",Mercado_Receita!$L$2:$L$1261)</f>
        <v>8905.117000000002</v>
      </c>
      <c r="S17" s="12">
        <f>SUMIF(Mercado_Receita!$S$2:$S$1261,"44743B1ConvencionalResidencialResidencialNão se aplicaNão se aplicaPonta",Mercado_Receita!$L$2:$L$1261)+SUMIF(Mercado_Receita!$S$2:$S$1261,"44743B1ConvencionalResidencialResidencialNão se aplicaNão se aplicaFora ponta",Mercado_Receita!$L$2:$L$1261)+SUMIF(Mercado_Receita!$S$2:$S$1261,"44743B1ConvencionalResidencialResidencialNão se aplicaNão se aplicaIntermediário",Mercado_Receita!$L$2:$L$1261)+SUMIF(Mercado_Receita!$S$2:$S$1261,"44743B1ConvencionalResidencialResidencialNão se aplicaNão se aplicaNão se aplica",Mercado_Receita!$L$2:$L$1261)</f>
        <v>8497.530999999999</v>
      </c>
      <c r="T17" s="12">
        <f>SUMIF(Mercado_Receita!$S$2:$S$1261,"44774B1ConvencionalResidencialResidencialNão se aplicaNão se aplicaPonta",Mercado_Receita!$L$2:$L$1261)+SUMIF(Mercado_Receita!$S$2:$S$1261,"44774B1ConvencionalResidencialResidencialNão se aplicaNão se aplicaFora ponta",Mercado_Receita!$L$2:$L$1261)+SUMIF(Mercado_Receita!$S$2:$S$1261,"44774B1ConvencionalResidencialResidencialNão se aplicaNão se aplicaIntermediário",Mercado_Receita!$L$2:$L$1261)+SUMIF(Mercado_Receita!$S$2:$S$1261,"44774B1ConvencionalResidencialResidencialNão se aplicaNão se aplicaNão se aplica",Mercado_Receita!$L$2:$L$1261)</f>
        <v>8497.530999999999</v>
      </c>
      <c r="U17" s="12">
        <f t="shared" si="0"/>
        <v>125132.74900000001</v>
      </c>
      <c r="V17" s="12"/>
      <c r="W17" s="12"/>
    </row>
    <row r="18" spans="1:23" ht="11.25" customHeight="1" x14ac:dyDescent="0.25">
      <c r="A18" s="105"/>
      <c r="B18" s="105"/>
      <c r="C18" s="105"/>
      <c r="D18" s="13" t="s">
        <v>29</v>
      </c>
      <c r="E18" s="13" t="s">
        <v>25</v>
      </c>
      <c r="F18" s="13" t="s">
        <v>25</v>
      </c>
      <c r="G18" s="12" t="s">
        <v>86</v>
      </c>
      <c r="H18" s="12" t="s">
        <v>80</v>
      </c>
      <c r="I18" s="12">
        <f>SUMIF(Mercado_Receita!$S$2:$S$1261,"44440B1ConvencionalResidencialResidencial baixa renda – faixa 01Não se aplicaNão se aplicaPonta",Mercado_Receita!$L$2:$L$1261)+SUMIF(Mercado_Receita!$S$2:$S$1261,"44440B1ConvencionalResidencialResidencial baixa renda – faixa 01Não se aplicaNão se aplicaFora ponta",Mercado_Receita!$L$2:$L$1261)+SUMIF(Mercado_Receita!$S$2:$S$1261,"44440B1ConvencionalResidencialResidencial baixa renda – faixa 01Não se aplicaNão se aplicaIntermediário",Mercado_Receita!$L$2:$L$1261)+SUMIF(Mercado_Receita!$S$2:$S$1261,"44440B1ConvencionalResidencialResidencial baixa renda – faixa 01Não se aplicaNão se aplicaNão se aplica",Mercado_Receita!$L$2:$L$1261)</f>
        <v>303.54000000000002</v>
      </c>
      <c r="J18" s="12">
        <f>SUMIF(Mercado_Receita!$S$2:$S$1261,"44470B1ConvencionalResidencialResidencial baixa renda – faixa 01Não se aplicaNão se aplicaPonta",Mercado_Receita!$L$2:$L$1261)+SUMIF(Mercado_Receita!$S$2:$S$1261,"44470B1ConvencionalResidencialResidencial baixa renda – faixa 01Não se aplicaNão se aplicaFora ponta",Mercado_Receita!$L$2:$L$1261)+SUMIF(Mercado_Receita!$S$2:$S$1261,"44470B1ConvencionalResidencialResidencial baixa renda – faixa 01Não se aplicaNão se aplicaIntermediário",Mercado_Receita!$L$2:$L$1261)+SUMIF(Mercado_Receita!$S$2:$S$1261,"44470B1ConvencionalResidencialResidencial baixa renda – faixa 01Não se aplicaNão se aplicaNão se aplica",Mercado_Receita!$L$2:$L$1261)</f>
        <v>308.58000000000004</v>
      </c>
      <c r="K18" s="12">
        <f>SUMIF(Mercado_Receita!$S$2:$S$1261,"44501B1ConvencionalResidencialResidencial baixa renda – faixa 01Não se aplicaNão se aplicaPonta",Mercado_Receita!$L$2:$L$1261)+SUMIF(Mercado_Receita!$S$2:$S$1261,"44501B1ConvencionalResidencialResidencial baixa renda – faixa 01Não se aplicaNão se aplicaFora ponta",Mercado_Receita!$L$2:$L$1261)+SUMIF(Mercado_Receita!$S$2:$S$1261,"44501B1ConvencionalResidencialResidencial baixa renda – faixa 01Não se aplicaNão se aplicaIntermediário",Mercado_Receita!$L$2:$L$1261)+SUMIF(Mercado_Receita!$S$2:$S$1261,"44501B1ConvencionalResidencialResidencial baixa renda – faixa 01Não se aplicaNão se aplicaNão se aplica",Mercado_Receita!$L$2:$L$1261)</f>
        <v>316.34999999999997</v>
      </c>
      <c r="L18" s="12">
        <f>SUMIF(Mercado_Receita!$S$2:$S$1261,"44531B1ConvencionalResidencialResidencial baixa renda – faixa 01Não se aplicaNão se aplicaPonta",Mercado_Receita!$L$2:$L$1261)+SUMIF(Mercado_Receita!$S$2:$S$1261,"44531B1ConvencionalResidencialResidencial baixa renda – faixa 01Não se aplicaNão se aplicaFora ponta",Mercado_Receita!$L$2:$L$1261)+SUMIF(Mercado_Receita!$S$2:$S$1261,"44531B1ConvencionalResidencialResidencial baixa renda – faixa 01Não se aplicaNão se aplicaIntermediário",Mercado_Receita!$L$2:$L$1261)+SUMIF(Mercado_Receita!$S$2:$S$1261,"44531B1ConvencionalResidencialResidencial baixa renda – faixa 01Não se aplicaNão se aplicaNão se aplica",Mercado_Receita!$L$2:$L$1261)</f>
        <v>322.16999999999996</v>
      </c>
      <c r="M18" s="12">
        <f>SUMIF(Mercado_Receita!$S$2:$S$1261,"44562B1ConvencionalResidencialResidencial baixa renda – faixa 01Não se aplicaNão se aplicaPonta",Mercado_Receita!$L$2:$L$1261)+SUMIF(Mercado_Receita!$S$2:$S$1261,"44562B1ConvencionalResidencialResidencial baixa renda – faixa 01Não se aplicaNão se aplicaFora ponta",Mercado_Receita!$L$2:$L$1261)+SUMIF(Mercado_Receita!$S$2:$S$1261,"44562B1ConvencionalResidencialResidencial baixa renda – faixa 01Não se aplicaNão se aplicaIntermediário",Mercado_Receita!$L$2:$L$1261)+SUMIF(Mercado_Receita!$S$2:$S$1261,"44562B1ConvencionalResidencialResidencial baixa renda – faixa 01Não se aplicaNão se aplicaNão se aplica",Mercado_Receita!$L$2:$L$1261)</f>
        <v>327.78000000000003</v>
      </c>
      <c r="N18" s="12">
        <f>SUMIF(Mercado_Receita!$S$2:$S$1261,"44593B1ConvencionalResidencialResidencial baixa renda – faixa 01Não se aplicaNão se aplicaPonta",Mercado_Receita!$L$2:$L$1261)+SUMIF(Mercado_Receita!$S$2:$S$1261,"44593B1ConvencionalResidencialResidencial baixa renda – faixa 01Não se aplicaNão se aplicaFora ponta",Mercado_Receita!$L$2:$L$1261)+SUMIF(Mercado_Receita!$S$2:$S$1261,"44593B1ConvencionalResidencialResidencial baixa renda – faixa 01Não se aplicaNão se aplicaIntermediário",Mercado_Receita!$L$2:$L$1261)+SUMIF(Mercado_Receita!$S$2:$S$1261,"44593B1ConvencionalResidencialResidencial baixa renda – faixa 01Não se aplicaNão se aplicaNão se aplica",Mercado_Receita!$L$2:$L$1261)</f>
        <v>335.24999999999994</v>
      </c>
      <c r="O18" s="12">
        <f>SUMIF(Mercado_Receita!$S$2:$S$1261,"44621B1ConvencionalResidencialResidencial baixa renda – faixa 01Não se aplicaNão se aplicaPonta",Mercado_Receita!$L$2:$L$1261)+SUMIF(Mercado_Receita!$S$2:$S$1261,"44621B1ConvencionalResidencialResidencial baixa renda – faixa 01Não se aplicaNão se aplicaFora ponta",Mercado_Receita!$L$2:$L$1261)+SUMIF(Mercado_Receita!$S$2:$S$1261,"44621B1ConvencionalResidencialResidencial baixa renda – faixa 01Não se aplicaNão se aplicaIntermediário",Mercado_Receita!$L$2:$L$1261)+SUMIF(Mercado_Receita!$S$2:$S$1261,"44621B1ConvencionalResidencialResidencial baixa renda – faixa 01Não se aplicaNão se aplicaNão se aplica",Mercado_Receita!$L$2:$L$1261)</f>
        <v>403.61999999999995</v>
      </c>
      <c r="P18" s="12">
        <f>SUMIF(Mercado_Receita!$S$2:$S$1261,"44652B1ConvencionalResidencialResidencial baixa renda – faixa 01Não se aplicaNão se aplicaPonta",Mercado_Receita!$L$2:$L$1261)+SUMIF(Mercado_Receita!$S$2:$S$1261,"44652B1ConvencionalResidencialResidencial baixa renda – faixa 01Não se aplicaNão se aplicaFora ponta",Mercado_Receita!$L$2:$L$1261)+SUMIF(Mercado_Receita!$S$2:$S$1261,"44652B1ConvencionalResidencialResidencial baixa renda – faixa 01Não se aplicaNão se aplicaIntermediário",Mercado_Receita!$L$2:$L$1261)+SUMIF(Mercado_Receita!$S$2:$S$1261,"44652B1ConvencionalResidencialResidencial baixa renda – faixa 01Não se aplicaNão se aplicaNão se aplica",Mercado_Receita!$L$2:$L$1261)</f>
        <v>410.4</v>
      </c>
      <c r="Q18" s="12">
        <f>SUMIF(Mercado_Receita!$S$2:$S$1261,"44682B1ConvencionalResidencialResidencial baixa renda – faixa 01Não se aplicaNão se aplicaPonta",Mercado_Receita!$L$2:$L$1261)+SUMIF(Mercado_Receita!$S$2:$S$1261,"44682B1ConvencionalResidencialResidencial baixa renda – faixa 01Não se aplicaNão se aplicaFora ponta",Mercado_Receita!$L$2:$L$1261)+SUMIF(Mercado_Receita!$S$2:$S$1261,"44682B1ConvencionalResidencialResidencial baixa renda – faixa 01Não se aplicaNão se aplicaIntermediário",Mercado_Receita!$L$2:$L$1261)+SUMIF(Mercado_Receita!$S$2:$S$1261,"44682B1ConvencionalResidencialResidencial baixa renda – faixa 01Não se aplicaNão se aplicaNão se aplica",Mercado_Receita!$L$2:$L$1261)</f>
        <v>378.48</v>
      </c>
      <c r="R18" s="12">
        <f>SUMIF(Mercado_Receita!$S$2:$S$1261,"44713B1ConvencionalResidencialResidencial baixa renda – faixa 01Não se aplicaNão se aplicaPonta",Mercado_Receita!$L$2:$L$1261)+SUMIF(Mercado_Receita!$S$2:$S$1261,"44713B1ConvencionalResidencialResidencial baixa renda – faixa 01Não se aplicaNão se aplicaFora ponta",Mercado_Receita!$L$2:$L$1261)+SUMIF(Mercado_Receita!$S$2:$S$1261,"44713B1ConvencionalResidencialResidencial baixa renda – faixa 01Não se aplicaNão se aplicaIntermediário",Mercado_Receita!$L$2:$L$1261)+SUMIF(Mercado_Receita!$S$2:$S$1261,"44713B1ConvencionalResidencialResidencial baixa renda – faixa 01Não se aplicaNão se aplicaNão se aplica",Mercado_Receita!$L$2:$L$1261)</f>
        <v>398.94</v>
      </c>
      <c r="S18" s="12">
        <f>SUMIF(Mercado_Receita!$S$2:$S$1261,"44743B1ConvencionalResidencialResidencial baixa renda – faixa 01Não se aplicaNão se aplicaPonta",Mercado_Receita!$L$2:$L$1261)+SUMIF(Mercado_Receita!$S$2:$S$1261,"44743B1ConvencionalResidencialResidencial baixa renda – faixa 01Não se aplicaNão se aplicaFora ponta",Mercado_Receita!$L$2:$L$1261)+SUMIF(Mercado_Receita!$S$2:$S$1261,"44743B1ConvencionalResidencialResidencial baixa renda – faixa 01Não se aplicaNão se aplicaIntermediário",Mercado_Receita!$L$2:$L$1261)+SUMIF(Mercado_Receita!$S$2:$S$1261,"44743B1ConvencionalResidencialResidencial baixa renda – faixa 01Não se aplicaNão se aplicaNão se aplica",Mercado_Receita!$L$2:$L$1261)</f>
        <v>337.2</v>
      </c>
      <c r="T18" s="12">
        <f>SUMIF(Mercado_Receita!$S$2:$S$1261,"44774B1ConvencionalResidencialResidencial baixa renda – faixa 01Não se aplicaNão se aplicaPonta",Mercado_Receita!$L$2:$L$1261)+SUMIF(Mercado_Receita!$S$2:$S$1261,"44774B1ConvencionalResidencialResidencial baixa renda – faixa 01Não se aplicaNão se aplicaFora ponta",Mercado_Receita!$L$2:$L$1261)+SUMIF(Mercado_Receita!$S$2:$S$1261,"44774B1ConvencionalResidencialResidencial baixa renda – faixa 01Não se aplicaNão se aplicaIntermediário",Mercado_Receita!$L$2:$L$1261)+SUMIF(Mercado_Receita!$S$2:$S$1261,"44774B1ConvencionalResidencialResidencial baixa renda – faixa 01Não se aplicaNão se aplicaNão se aplica",Mercado_Receita!$L$2:$L$1261)</f>
        <v>337.2</v>
      </c>
      <c r="U18" s="12">
        <f t="shared" si="0"/>
        <v>4179.51</v>
      </c>
      <c r="V18" s="12"/>
      <c r="W18" s="12"/>
    </row>
    <row r="19" spans="1:23" ht="11.25" customHeight="1" x14ac:dyDescent="0.25">
      <c r="A19" s="105"/>
      <c r="B19" s="105"/>
      <c r="C19" s="105"/>
      <c r="D19" s="13" t="s">
        <v>30</v>
      </c>
      <c r="E19" s="13" t="s">
        <v>25</v>
      </c>
      <c r="F19" s="13" t="s">
        <v>25</v>
      </c>
      <c r="G19" s="12" t="s">
        <v>86</v>
      </c>
      <c r="H19" s="12" t="s">
        <v>80</v>
      </c>
      <c r="I19" s="12">
        <f>SUMIF(Mercado_Receita!$S$2:$S$1261,"44440B1ConvencionalResidencialResidencial baixa renda – faixa 02Não se aplicaNão se aplicaPonta",Mercado_Receita!$L$2:$L$1261)+SUMIF(Mercado_Receita!$S$2:$S$1261,"44440B1ConvencionalResidencialResidencial baixa renda – faixa 02Não se aplicaNão se aplicaFora ponta",Mercado_Receita!$L$2:$L$1261)+SUMIF(Mercado_Receita!$S$2:$S$1261,"44440B1ConvencionalResidencialResidencial baixa renda – faixa 02Não se aplicaNão se aplicaIntermediário",Mercado_Receita!$L$2:$L$1261)+SUMIF(Mercado_Receita!$S$2:$S$1261,"44440B1ConvencionalResidencialResidencial baixa renda – faixa 02Não se aplicaNão se aplicaNão se aplica",Mercado_Receita!$L$2:$L$1261)</f>
        <v>605.25400000000002</v>
      </c>
      <c r="J19" s="12">
        <f>SUMIF(Mercado_Receita!$S$2:$S$1261,"44470B1ConvencionalResidencialResidencial baixa renda – faixa 02Não se aplicaNão se aplicaPonta",Mercado_Receita!$L$2:$L$1261)+SUMIF(Mercado_Receita!$S$2:$S$1261,"44470B1ConvencionalResidencialResidencial baixa renda – faixa 02Não se aplicaNão se aplicaFora ponta",Mercado_Receita!$L$2:$L$1261)+SUMIF(Mercado_Receita!$S$2:$S$1261,"44470B1ConvencionalResidencialResidencial baixa renda – faixa 02Não se aplicaNão se aplicaIntermediário",Mercado_Receita!$L$2:$L$1261)+SUMIF(Mercado_Receita!$S$2:$S$1261,"44470B1ConvencionalResidencialResidencial baixa renda – faixa 02Não se aplicaNão se aplicaNão se aplica",Mercado_Receita!$L$2:$L$1261)</f>
        <v>624.71999999999991</v>
      </c>
      <c r="K19" s="12">
        <f>SUMIF(Mercado_Receita!$S$2:$S$1261,"44501B1ConvencionalResidencialResidencial baixa renda – faixa 02Não se aplicaNão se aplicaPonta",Mercado_Receita!$L$2:$L$1261)+SUMIF(Mercado_Receita!$S$2:$S$1261,"44501B1ConvencionalResidencialResidencial baixa renda – faixa 02Não se aplicaNão se aplicaFora ponta",Mercado_Receita!$L$2:$L$1261)+SUMIF(Mercado_Receita!$S$2:$S$1261,"44501B1ConvencionalResidencialResidencial baixa renda – faixa 02Não se aplicaNão se aplicaIntermediário",Mercado_Receita!$L$2:$L$1261)+SUMIF(Mercado_Receita!$S$2:$S$1261,"44501B1ConvencionalResidencialResidencial baixa renda – faixa 02Não se aplicaNão se aplicaNão se aplica",Mercado_Receita!$L$2:$L$1261)</f>
        <v>635.27299999999991</v>
      </c>
      <c r="L19" s="12">
        <f>SUMIF(Mercado_Receita!$S$2:$S$1261,"44531B1ConvencionalResidencialResidencial baixa renda – faixa 02Não se aplicaNão se aplicaPonta",Mercado_Receita!$L$2:$L$1261)+SUMIF(Mercado_Receita!$S$2:$S$1261,"44531B1ConvencionalResidencialResidencial baixa renda – faixa 02Não se aplicaNão se aplicaFora ponta",Mercado_Receita!$L$2:$L$1261)+SUMIF(Mercado_Receita!$S$2:$S$1261,"44531B1ConvencionalResidencialResidencial baixa renda – faixa 02Não se aplicaNão se aplicaIntermediário",Mercado_Receita!$L$2:$L$1261)+SUMIF(Mercado_Receita!$S$2:$S$1261,"44531B1ConvencionalResidencialResidencial baixa renda – faixa 02Não se aplicaNão se aplicaNão se aplica",Mercado_Receita!$L$2:$L$1261)</f>
        <v>655.04899999999998</v>
      </c>
      <c r="M19" s="12">
        <f>SUMIF(Mercado_Receita!$S$2:$S$1261,"44562B1ConvencionalResidencialResidencial baixa renda – faixa 02Não se aplicaNão se aplicaPonta",Mercado_Receita!$L$2:$L$1261)+SUMIF(Mercado_Receita!$S$2:$S$1261,"44562B1ConvencionalResidencialResidencial baixa renda – faixa 02Não se aplicaNão se aplicaFora ponta",Mercado_Receita!$L$2:$L$1261)+SUMIF(Mercado_Receita!$S$2:$S$1261,"44562B1ConvencionalResidencialResidencial baixa renda – faixa 02Não se aplicaNão se aplicaIntermediário",Mercado_Receita!$L$2:$L$1261)+SUMIF(Mercado_Receita!$S$2:$S$1261,"44562B1ConvencionalResidencialResidencial baixa renda – faixa 02Não se aplicaNão se aplicaNão se aplica",Mercado_Receita!$L$2:$L$1261)</f>
        <v>677.33999999999992</v>
      </c>
      <c r="N19" s="12">
        <f>SUMIF(Mercado_Receita!$S$2:$S$1261,"44593B1ConvencionalResidencialResidencial baixa renda – faixa 02Não se aplicaNão se aplicaPonta",Mercado_Receita!$L$2:$L$1261)+SUMIF(Mercado_Receita!$S$2:$S$1261,"44593B1ConvencionalResidencialResidencial baixa renda – faixa 02Não se aplicaNão se aplicaFora ponta",Mercado_Receita!$L$2:$L$1261)+SUMIF(Mercado_Receita!$S$2:$S$1261,"44593B1ConvencionalResidencialResidencial baixa renda – faixa 02Não se aplicaNão se aplicaIntermediário",Mercado_Receita!$L$2:$L$1261)+SUMIF(Mercado_Receita!$S$2:$S$1261,"44593B1ConvencionalResidencialResidencial baixa renda – faixa 02Não se aplicaNão se aplicaNão se aplica",Mercado_Receita!$L$2:$L$1261)</f>
        <v>699.95999999999992</v>
      </c>
      <c r="O19" s="12">
        <f>SUMIF(Mercado_Receita!$S$2:$S$1261,"44621B1ConvencionalResidencialResidencial baixa renda – faixa 02Não se aplicaNão se aplicaPonta",Mercado_Receita!$L$2:$L$1261)+SUMIF(Mercado_Receita!$S$2:$S$1261,"44621B1ConvencionalResidencialResidencial baixa renda – faixa 02Não se aplicaNão se aplicaFora ponta",Mercado_Receita!$L$2:$L$1261)+SUMIF(Mercado_Receita!$S$2:$S$1261,"44621B1ConvencionalResidencialResidencial baixa renda – faixa 02Não se aplicaNão se aplicaIntermediário",Mercado_Receita!$L$2:$L$1261)+SUMIF(Mercado_Receita!$S$2:$S$1261,"44621B1ConvencionalResidencialResidencial baixa renda – faixa 02Não se aplicaNão se aplicaNão se aplica",Mercado_Receita!$L$2:$L$1261)</f>
        <v>836.30099999999993</v>
      </c>
      <c r="P19" s="12">
        <f>SUMIF(Mercado_Receita!$S$2:$S$1261,"44652B1ConvencionalResidencialResidencial baixa renda – faixa 02Não se aplicaNão se aplicaPonta",Mercado_Receita!$L$2:$L$1261)+SUMIF(Mercado_Receita!$S$2:$S$1261,"44652B1ConvencionalResidencialResidencial baixa renda – faixa 02Não se aplicaNão se aplicaFora ponta",Mercado_Receita!$L$2:$L$1261)+SUMIF(Mercado_Receita!$S$2:$S$1261,"44652B1ConvencionalResidencialResidencial baixa renda – faixa 02Não se aplicaNão se aplicaIntermediário",Mercado_Receita!$L$2:$L$1261)+SUMIF(Mercado_Receita!$S$2:$S$1261,"44652B1ConvencionalResidencialResidencial baixa renda – faixa 02Não se aplicaNão se aplicaNão se aplica",Mercado_Receita!$L$2:$L$1261)</f>
        <v>854.18899999999996</v>
      </c>
      <c r="Q19" s="12">
        <f>SUMIF(Mercado_Receita!$S$2:$S$1261,"44682B1ConvencionalResidencialResidencial baixa renda – faixa 02Não se aplicaNão se aplicaPonta",Mercado_Receita!$L$2:$L$1261)+SUMIF(Mercado_Receita!$S$2:$S$1261,"44682B1ConvencionalResidencialResidencial baixa renda – faixa 02Não se aplicaNão se aplicaFora ponta",Mercado_Receita!$L$2:$L$1261)+SUMIF(Mercado_Receita!$S$2:$S$1261,"44682B1ConvencionalResidencialResidencial baixa renda – faixa 02Não se aplicaNão se aplicaIntermediário",Mercado_Receita!$L$2:$L$1261)+SUMIF(Mercado_Receita!$S$2:$S$1261,"44682B1ConvencionalResidencialResidencial baixa renda – faixa 02Não se aplicaNão se aplicaNão se aplica",Mercado_Receita!$L$2:$L$1261)</f>
        <v>753.38699999999994</v>
      </c>
      <c r="R19" s="12">
        <f>SUMIF(Mercado_Receita!$S$2:$S$1261,"44713B1ConvencionalResidencialResidencial baixa renda – faixa 02Não se aplicaNão se aplicaPonta",Mercado_Receita!$L$2:$L$1261)+SUMIF(Mercado_Receita!$S$2:$S$1261,"44713B1ConvencionalResidencialResidencial baixa renda – faixa 02Não se aplicaNão se aplicaFora ponta",Mercado_Receita!$L$2:$L$1261)+SUMIF(Mercado_Receita!$S$2:$S$1261,"44713B1ConvencionalResidencialResidencial baixa renda – faixa 02Não se aplicaNão se aplicaIntermediário",Mercado_Receita!$L$2:$L$1261)+SUMIF(Mercado_Receita!$S$2:$S$1261,"44713B1ConvencionalResidencialResidencial baixa renda – faixa 02Não se aplicaNão se aplicaNão se aplica",Mercado_Receita!$L$2:$L$1261)</f>
        <v>768.43899999999996</v>
      </c>
      <c r="S19" s="12">
        <f>SUMIF(Mercado_Receita!$S$2:$S$1261,"44743B1ConvencionalResidencialResidencial baixa renda – faixa 02Não se aplicaNão se aplicaPonta",Mercado_Receita!$L$2:$L$1261)+SUMIF(Mercado_Receita!$S$2:$S$1261,"44743B1ConvencionalResidencialResidencial baixa renda – faixa 02Não se aplicaNão se aplicaFora ponta",Mercado_Receita!$L$2:$L$1261)+SUMIF(Mercado_Receita!$S$2:$S$1261,"44743B1ConvencionalResidencialResidencial baixa renda – faixa 02Não se aplicaNão se aplicaIntermediário",Mercado_Receita!$L$2:$L$1261)+SUMIF(Mercado_Receita!$S$2:$S$1261,"44743B1ConvencionalResidencialResidencial baixa renda – faixa 02Não se aplicaNão se aplicaNão se aplica",Mercado_Receita!$L$2:$L$1261)</f>
        <v>635.10699999999997</v>
      </c>
      <c r="T19" s="12">
        <f>SUMIF(Mercado_Receita!$S$2:$S$1261,"44774B1ConvencionalResidencialResidencial baixa renda – faixa 02Não se aplicaNão se aplicaPonta",Mercado_Receita!$L$2:$L$1261)+SUMIF(Mercado_Receita!$S$2:$S$1261,"44774B1ConvencionalResidencialResidencial baixa renda – faixa 02Não se aplicaNão se aplicaFora ponta",Mercado_Receita!$L$2:$L$1261)+SUMIF(Mercado_Receita!$S$2:$S$1261,"44774B1ConvencionalResidencialResidencial baixa renda – faixa 02Não se aplicaNão se aplicaIntermediário",Mercado_Receita!$L$2:$L$1261)+SUMIF(Mercado_Receita!$S$2:$S$1261,"44774B1ConvencionalResidencialResidencial baixa renda – faixa 02Não se aplicaNão se aplicaNão se aplica",Mercado_Receita!$L$2:$L$1261)</f>
        <v>635.10699999999997</v>
      </c>
      <c r="U19" s="12">
        <f t="shared" si="0"/>
        <v>8380.1260000000002</v>
      </c>
      <c r="V19" s="12"/>
      <c r="W19" s="12"/>
    </row>
    <row r="20" spans="1:23" ht="11.25" customHeight="1" x14ac:dyDescent="0.25">
      <c r="A20" s="105"/>
      <c r="B20" s="105"/>
      <c r="C20" s="105"/>
      <c r="D20" s="13" t="s">
        <v>31</v>
      </c>
      <c r="E20" s="13" t="s">
        <v>25</v>
      </c>
      <c r="F20" s="13" t="s">
        <v>25</v>
      </c>
      <c r="G20" s="12" t="s">
        <v>86</v>
      </c>
      <c r="H20" s="12" t="s">
        <v>80</v>
      </c>
      <c r="I20" s="12">
        <f>SUMIF(Mercado_Receita!$S$2:$S$1261,"44440B1ConvencionalResidencialResidencial baixa renda – faixa 03Não se aplicaNão se aplicaPonta",Mercado_Receita!$L$2:$L$1261)+SUMIF(Mercado_Receita!$S$2:$S$1261,"44440B1ConvencionalResidencialResidencial baixa renda – faixa 03Não se aplicaNão se aplicaFora ponta",Mercado_Receita!$L$2:$L$1261)+SUMIF(Mercado_Receita!$S$2:$S$1261,"44440B1ConvencionalResidencialResidencial baixa renda – faixa 03Não se aplicaNão se aplicaIntermediário",Mercado_Receita!$L$2:$L$1261)+SUMIF(Mercado_Receita!$S$2:$S$1261,"44440B1ConvencionalResidencialResidencial baixa renda – faixa 03Não se aplicaNão se aplicaNão se aplica",Mercado_Receita!$L$2:$L$1261)</f>
        <v>454.25700000000001</v>
      </c>
      <c r="J20" s="12">
        <f>SUMIF(Mercado_Receita!$S$2:$S$1261,"44470B1ConvencionalResidencialResidencial baixa renda – faixa 03Não se aplicaNão se aplicaPonta",Mercado_Receita!$L$2:$L$1261)+SUMIF(Mercado_Receita!$S$2:$S$1261,"44470B1ConvencionalResidencialResidencial baixa renda – faixa 03Não se aplicaNão se aplicaFora ponta",Mercado_Receita!$L$2:$L$1261)+SUMIF(Mercado_Receita!$S$2:$S$1261,"44470B1ConvencionalResidencialResidencial baixa renda – faixa 03Não se aplicaNão se aplicaIntermediário",Mercado_Receita!$L$2:$L$1261)+SUMIF(Mercado_Receita!$S$2:$S$1261,"44470B1ConvencionalResidencialResidencial baixa renda – faixa 03Não se aplicaNão se aplicaNão se aplica",Mercado_Receita!$L$2:$L$1261)</f>
        <v>496.62099999999998</v>
      </c>
      <c r="K20" s="12">
        <f>SUMIF(Mercado_Receita!$S$2:$S$1261,"44501B1ConvencionalResidencialResidencial baixa renda – faixa 03Não se aplicaNão se aplicaPonta",Mercado_Receita!$L$2:$L$1261)+SUMIF(Mercado_Receita!$S$2:$S$1261,"44501B1ConvencionalResidencialResidencial baixa renda – faixa 03Não se aplicaNão se aplicaFora ponta",Mercado_Receita!$L$2:$L$1261)+SUMIF(Mercado_Receita!$S$2:$S$1261,"44501B1ConvencionalResidencialResidencial baixa renda – faixa 03Não se aplicaNão se aplicaIntermediário",Mercado_Receita!$L$2:$L$1261)+SUMIF(Mercado_Receita!$S$2:$S$1261,"44501B1ConvencionalResidencialResidencial baixa renda – faixa 03Não se aplicaNão se aplicaNão se aplica",Mercado_Receita!$L$2:$L$1261)</f>
        <v>487.56099999999998</v>
      </c>
      <c r="L20" s="12">
        <f>SUMIF(Mercado_Receita!$S$2:$S$1261,"44531B1ConvencionalResidencialResidencial baixa renda – faixa 03Não se aplicaNão se aplicaPonta",Mercado_Receita!$L$2:$L$1261)+SUMIF(Mercado_Receita!$S$2:$S$1261,"44531B1ConvencionalResidencialResidencial baixa renda – faixa 03Não se aplicaNão se aplicaFora ponta",Mercado_Receita!$L$2:$L$1261)+SUMIF(Mercado_Receita!$S$2:$S$1261,"44531B1ConvencionalResidencialResidencial baixa renda – faixa 03Não se aplicaNão se aplicaIntermediário",Mercado_Receita!$L$2:$L$1261)+SUMIF(Mercado_Receita!$S$2:$S$1261,"44531B1ConvencionalResidencialResidencial baixa renda – faixa 03Não se aplicaNão se aplicaNão se aplica",Mercado_Receita!$L$2:$L$1261)</f>
        <v>516.60800000000006</v>
      </c>
      <c r="M20" s="12">
        <f>SUMIF(Mercado_Receita!$S$2:$S$1261,"44562B1ConvencionalResidencialResidencial baixa renda – faixa 03Não se aplicaNão se aplicaPonta",Mercado_Receita!$L$2:$L$1261)+SUMIF(Mercado_Receita!$S$2:$S$1261,"44562B1ConvencionalResidencialResidencial baixa renda – faixa 03Não se aplicaNão se aplicaFora ponta",Mercado_Receita!$L$2:$L$1261)+SUMIF(Mercado_Receita!$S$2:$S$1261,"44562B1ConvencionalResidencialResidencial baixa renda – faixa 03Não se aplicaNão se aplicaIntermediário",Mercado_Receita!$L$2:$L$1261)+SUMIF(Mercado_Receita!$S$2:$S$1261,"44562B1ConvencionalResidencialResidencial baixa renda – faixa 03Não se aplicaNão se aplicaNão se aplica",Mercado_Receita!$L$2:$L$1261)</f>
        <v>580.31100000000004</v>
      </c>
      <c r="N20" s="12">
        <f>SUMIF(Mercado_Receita!$S$2:$S$1261,"44593B1ConvencionalResidencialResidencial baixa renda – faixa 03Não se aplicaNão se aplicaPonta",Mercado_Receita!$L$2:$L$1261)+SUMIF(Mercado_Receita!$S$2:$S$1261,"44593B1ConvencionalResidencialResidencial baixa renda – faixa 03Não se aplicaNão se aplicaFora ponta",Mercado_Receita!$L$2:$L$1261)+SUMIF(Mercado_Receita!$S$2:$S$1261,"44593B1ConvencionalResidencialResidencial baixa renda – faixa 03Não se aplicaNão se aplicaIntermediário",Mercado_Receita!$L$2:$L$1261)+SUMIF(Mercado_Receita!$S$2:$S$1261,"44593B1ConvencionalResidencialResidencial baixa renda – faixa 03Não se aplicaNão se aplicaNão se aplica",Mercado_Receita!$L$2:$L$1261)</f>
        <v>637.22699999999998</v>
      </c>
      <c r="O20" s="12">
        <f>SUMIF(Mercado_Receita!$S$2:$S$1261,"44621B1ConvencionalResidencialResidencial baixa renda – faixa 03Não se aplicaNão se aplicaPonta",Mercado_Receita!$L$2:$L$1261)+SUMIF(Mercado_Receita!$S$2:$S$1261,"44621B1ConvencionalResidencialResidencial baixa renda – faixa 03Não se aplicaNão se aplicaFora ponta",Mercado_Receita!$L$2:$L$1261)+SUMIF(Mercado_Receita!$S$2:$S$1261,"44621B1ConvencionalResidencialResidencial baixa renda – faixa 03Não se aplicaNão se aplicaIntermediário",Mercado_Receita!$L$2:$L$1261)+SUMIF(Mercado_Receita!$S$2:$S$1261,"44621B1ConvencionalResidencialResidencial baixa renda – faixa 03Não se aplicaNão se aplicaNão se aplica",Mercado_Receita!$L$2:$L$1261)</f>
        <v>767.44799999999998</v>
      </c>
      <c r="P20" s="12">
        <f>SUMIF(Mercado_Receita!$S$2:$S$1261,"44652B1ConvencionalResidencialResidencial baixa renda – faixa 03Não se aplicaNão se aplicaPonta",Mercado_Receita!$L$2:$L$1261)+SUMIF(Mercado_Receita!$S$2:$S$1261,"44652B1ConvencionalResidencialResidencial baixa renda – faixa 03Não se aplicaNão se aplicaFora ponta",Mercado_Receita!$L$2:$L$1261)+SUMIF(Mercado_Receita!$S$2:$S$1261,"44652B1ConvencionalResidencialResidencial baixa renda – faixa 03Não se aplicaNão se aplicaIntermediário",Mercado_Receita!$L$2:$L$1261)+SUMIF(Mercado_Receita!$S$2:$S$1261,"44652B1ConvencionalResidencialResidencial baixa renda – faixa 03Não se aplicaNão se aplicaNão se aplica",Mercado_Receita!$L$2:$L$1261)</f>
        <v>779.9</v>
      </c>
      <c r="Q20" s="12">
        <f>SUMIF(Mercado_Receita!$S$2:$S$1261,"44682B1ConvencionalResidencialResidencial baixa renda – faixa 03Não se aplicaNão se aplicaPonta",Mercado_Receita!$L$2:$L$1261)+SUMIF(Mercado_Receita!$S$2:$S$1261,"44682B1ConvencionalResidencialResidencial baixa renda – faixa 03Não se aplicaNão se aplicaFora ponta",Mercado_Receita!$L$2:$L$1261)+SUMIF(Mercado_Receita!$S$2:$S$1261,"44682B1ConvencionalResidencialResidencial baixa renda – faixa 03Não se aplicaNão se aplicaIntermediário",Mercado_Receita!$L$2:$L$1261)+SUMIF(Mercado_Receita!$S$2:$S$1261,"44682B1ConvencionalResidencialResidencial baixa renda – faixa 03Não se aplicaNão se aplicaNão se aplica",Mercado_Receita!$L$2:$L$1261)</f>
        <v>582.66100000000006</v>
      </c>
      <c r="R20" s="12">
        <f>SUMIF(Mercado_Receita!$S$2:$S$1261,"44713B1ConvencionalResidencialResidencial baixa renda – faixa 03Não se aplicaNão se aplicaPonta",Mercado_Receita!$L$2:$L$1261)+SUMIF(Mercado_Receita!$S$2:$S$1261,"44713B1ConvencionalResidencialResidencial baixa renda – faixa 03Não se aplicaNão se aplicaFora ponta",Mercado_Receita!$L$2:$L$1261)+SUMIF(Mercado_Receita!$S$2:$S$1261,"44713B1ConvencionalResidencialResidencial baixa renda – faixa 03Não se aplicaNão se aplicaIntermediário",Mercado_Receita!$L$2:$L$1261)+SUMIF(Mercado_Receita!$S$2:$S$1261,"44713B1ConvencionalResidencialResidencial baixa renda – faixa 03Não se aplicaNão se aplicaNão se aplica",Mercado_Receita!$L$2:$L$1261)</f>
        <v>511.87299999999999</v>
      </c>
      <c r="S20" s="12">
        <f>SUMIF(Mercado_Receita!$S$2:$S$1261,"44743B1ConvencionalResidencialResidencial baixa renda – faixa 03Não se aplicaNão se aplicaPonta",Mercado_Receita!$L$2:$L$1261)+SUMIF(Mercado_Receita!$S$2:$S$1261,"44743B1ConvencionalResidencialResidencial baixa renda – faixa 03Não se aplicaNão se aplicaFora ponta",Mercado_Receita!$L$2:$L$1261)+SUMIF(Mercado_Receita!$S$2:$S$1261,"44743B1ConvencionalResidencialResidencial baixa renda – faixa 03Não se aplicaNão se aplicaIntermediário",Mercado_Receita!$L$2:$L$1261)+SUMIF(Mercado_Receita!$S$2:$S$1261,"44743B1ConvencionalResidencialResidencial baixa renda – faixa 03Não se aplicaNão se aplicaNão se aplica",Mercado_Receita!$L$2:$L$1261)</f>
        <v>376.39</v>
      </c>
      <c r="T20" s="12">
        <f>SUMIF(Mercado_Receita!$S$2:$S$1261,"44774B1ConvencionalResidencialResidencial baixa renda – faixa 03Não se aplicaNão se aplicaPonta",Mercado_Receita!$L$2:$L$1261)+SUMIF(Mercado_Receita!$S$2:$S$1261,"44774B1ConvencionalResidencialResidencial baixa renda – faixa 03Não se aplicaNão se aplicaFora ponta",Mercado_Receita!$L$2:$L$1261)+SUMIF(Mercado_Receita!$S$2:$S$1261,"44774B1ConvencionalResidencialResidencial baixa renda – faixa 03Não se aplicaNão se aplicaIntermediário",Mercado_Receita!$L$2:$L$1261)+SUMIF(Mercado_Receita!$S$2:$S$1261,"44774B1ConvencionalResidencialResidencial baixa renda – faixa 03Não se aplicaNão se aplicaNão se aplica",Mercado_Receita!$L$2:$L$1261)</f>
        <v>376.39</v>
      </c>
      <c r="U20" s="12">
        <f t="shared" si="0"/>
        <v>6567.2470000000003</v>
      </c>
      <c r="V20" s="12"/>
      <c r="W20" s="12"/>
    </row>
    <row r="21" spans="1:23" ht="11.25" customHeight="1" x14ac:dyDescent="0.25">
      <c r="A21" s="105"/>
      <c r="B21" s="105"/>
      <c r="C21" s="105"/>
      <c r="D21" s="13" t="s">
        <v>32</v>
      </c>
      <c r="E21" s="13" t="s">
        <v>25</v>
      </c>
      <c r="F21" s="13" t="s">
        <v>25</v>
      </c>
      <c r="G21" s="12" t="s">
        <v>86</v>
      </c>
      <c r="H21" s="12" t="s">
        <v>80</v>
      </c>
      <c r="I21" s="12">
        <f>SUMIF(Mercado_Receita!$S$2:$S$1261,"44440B1ConvencionalResidencialResidencial baixa renda – faixa 04Não se aplicaNão se aplicaPonta",Mercado_Receita!$L$2:$L$1261)+SUMIF(Mercado_Receita!$S$2:$S$1261,"44440B1ConvencionalResidencialResidencial baixa renda – faixa 04Não se aplicaNão se aplicaFora ponta",Mercado_Receita!$L$2:$L$1261)+SUMIF(Mercado_Receita!$S$2:$S$1261,"44440B1ConvencionalResidencialResidencial baixa renda – faixa 04Não se aplicaNão se aplicaIntermediário",Mercado_Receita!$L$2:$L$1261)+SUMIF(Mercado_Receita!$S$2:$S$1261,"44440B1ConvencionalResidencialResidencial baixa renda – faixa 04Não se aplicaNão se aplicaNão se aplica",Mercado_Receita!$L$2:$L$1261)</f>
        <v>109.197</v>
      </c>
      <c r="J21" s="12">
        <f>SUMIF(Mercado_Receita!$S$2:$S$1261,"44470B1ConvencionalResidencialResidencial baixa renda – faixa 04Não se aplicaNão se aplicaPonta",Mercado_Receita!$L$2:$L$1261)+SUMIF(Mercado_Receita!$S$2:$S$1261,"44470B1ConvencionalResidencialResidencial baixa renda – faixa 04Não se aplicaNão se aplicaFora ponta",Mercado_Receita!$L$2:$L$1261)+SUMIF(Mercado_Receita!$S$2:$S$1261,"44470B1ConvencionalResidencialResidencial baixa renda – faixa 04Não se aplicaNão se aplicaIntermediário",Mercado_Receita!$L$2:$L$1261)+SUMIF(Mercado_Receita!$S$2:$S$1261,"44470B1ConvencionalResidencialResidencial baixa renda – faixa 04Não se aplicaNão se aplicaNão se aplica",Mercado_Receita!$L$2:$L$1261)</f>
        <v>128.33699999999999</v>
      </c>
      <c r="K21" s="12">
        <f>SUMIF(Mercado_Receita!$S$2:$S$1261,"44501B1ConvencionalResidencialResidencial baixa renda – faixa 04Não se aplicaNão se aplicaPonta",Mercado_Receita!$L$2:$L$1261)+SUMIF(Mercado_Receita!$S$2:$S$1261,"44501B1ConvencionalResidencialResidencial baixa renda – faixa 04Não se aplicaNão se aplicaFora ponta",Mercado_Receita!$L$2:$L$1261)+SUMIF(Mercado_Receita!$S$2:$S$1261,"44501B1ConvencionalResidencialResidencial baixa renda – faixa 04Não se aplicaNão se aplicaIntermediário",Mercado_Receita!$L$2:$L$1261)+SUMIF(Mercado_Receita!$S$2:$S$1261,"44501B1ConvencionalResidencialResidencial baixa renda – faixa 04Não se aplicaNão se aplicaNão se aplica",Mercado_Receita!$L$2:$L$1261)</f>
        <v>119.16</v>
      </c>
      <c r="L21" s="12">
        <f>SUMIF(Mercado_Receita!$S$2:$S$1261,"44531B1ConvencionalResidencialResidencial baixa renda – faixa 04Não se aplicaNão se aplicaPonta",Mercado_Receita!$L$2:$L$1261)+SUMIF(Mercado_Receita!$S$2:$S$1261,"44531B1ConvencionalResidencialResidencial baixa renda – faixa 04Não se aplicaNão se aplicaFora ponta",Mercado_Receita!$L$2:$L$1261)+SUMIF(Mercado_Receita!$S$2:$S$1261,"44531B1ConvencionalResidencialResidencial baixa renda – faixa 04Não se aplicaNão se aplicaIntermediário",Mercado_Receita!$L$2:$L$1261)+SUMIF(Mercado_Receita!$S$2:$S$1261,"44531B1ConvencionalResidencialResidencial baixa renda – faixa 04Não se aplicaNão se aplicaNão se aplica",Mercado_Receita!$L$2:$L$1261)</f>
        <v>128.41900000000001</v>
      </c>
      <c r="M21" s="12">
        <f>SUMIF(Mercado_Receita!$S$2:$S$1261,"44562B1ConvencionalResidencialResidencial baixa renda – faixa 04Não se aplicaNão se aplicaPonta",Mercado_Receita!$L$2:$L$1261)+SUMIF(Mercado_Receita!$S$2:$S$1261,"44562B1ConvencionalResidencialResidencial baixa renda – faixa 04Não se aplicaNão se aplicaFora ponta",Mercado_Receita!$L$2:$L$1261)+SUMIF(Mercado_Receita!$S$2:$S$1261,"44562B1ConvencionalResidencialResidencial baixa renda – faixa 04Não se aplicaNão se aplicaIntermediário",Mercado_Receita!$L$2:$L$1261)+SUMIF(Mercado_Receita!$S$2:$S$1261,"44562B1ConvencionalResidencialResidencial baixa renda – faixa 04Não se aplicaNão se aplicaNão se aplica",Mercado_Receita!$L$2:$L$1261)</f>
        <v>168.649</v>
      </c>
      <c r="N21" s="12">
        <f>SUMIF(Mercado_Receita!$S$2:$S$1261,"44593B1ConvencionalResidencialResidencial baixa renda – faixa 04Não se aplicaNão se aplicaPonta",Mercado_Receita!$L$2:$L$1261)+SUMIF(Mercado_Receita!$S$2:$S$1261,"44593B1ConvencionalResidencialResidencial baixa renda – faixa 04Não se aplicaNão se aplicaFora ponta",Mercado_Receita!$L$2:$L$1261)+SUMIF(Mercado_Receita!$S$2:$S$1261,"44593B1ConvencionalResidencialResidencial baixa renda – faixa 04Não se aplicaNão se aplicaIntermediário",Mercado_Receita!$L$2:$L$1261)+SUMIF(Mercado_Receita!$S$2:$S$1261,"44593B1ConvencionalResidencialResidencial baixa renda – faixa 04Não se aplicaNão se aplicaNão se aplica",Mercado_Receita!$L$2:$L$1261)</f>
        <v>223.125</v>
      </c>
      <c r="O21" s="12">
        <f>SUMIF(Mercado_Receita!$S$2:$S$1261,"44621B1ConvencionalResidencialResidencial baixa renda – faixa 04Não se aplicaNão se aplicaPonta",Mercado_Receita!$L$2:$L$1261)+SUMIF(Mercado_Receita!$S$2:$S$1261,"44621B1ConvencionalResidencialResidencial baixa renda – faixa 04Não se aplicaNão se aplicaFora ponta",Mercado_Receita!$L$2:$L$1261)+SUMIF(Mercado_Receita!$S$2:$S$1261,"44621B1ConvencionalResidencialResidencial baixa renda – faixa 04Não se aplicaNão se aplicaIntermediário",Mercado_Receita!$L$2:$L$1261)+SUMIF(Mercado_Receita!$S$2:$S$1261,"44621B1ConvencionalResidencialResidencial baixa renda – faixa 04Não se aplicaNão se aplicaNão se aplica",Mercado_Receita!$L$2:$L$1261)</f>
        <v>287.185</v>
      </c>
      <c r="P21" s="12">
        <f>SUMIF(Mercado_Receita!$S$2:$S$1261,"44652B1ConvencionalResidencialResidencial baixa renda – faixa 04Não se aplicaNão se aplicaPonta",Mercado_Receita!$L$2:$L$1261)+SUMIF(Mercado_Receita!$S$2:$S$1261,"44652B1ConvencionalResidencialResidencial baixa renda – faixa 04Não se aplicaNão se aplicaFora ponta",Mercado_Receita!$L$2:$L$1261)+SUMIF(Mercado_Receita!$S$2:$S$1261,"44652B1ConvencionalResidencialResidencial baixa renda – faixa 04Não se aplicaNão se aplicaIntermediário",Mercado_Receita!$L$2:$L$1261)+SUMIF(Mercado_Receita!$S$2:$S$1261,"44652B1ConvencionalResidencialResidencial baixa renda – faixa 04Não se aplicaNão se aplicaNão se aplica",Mercado_Receita!$L$2:$L$1261)</f>
        <v>294.00700000000001</v>
      </c>
      <c r="Q21" s="12">
        <f>SUMIF(Mercado_Receita!$S$2:$S$1261,"44682B1ConvencionalResidencialResidencial baixa renda – faixa 04Não se aplicaNão se aplicaPonta",Mercado_Receita!$L$2:$L$1261)+SUMIF(Mercado_Receita!$S$2:$S$1261,"44682B1ConvencionalResidencialResidencial baixa renda – faixa 04Não se aplicaNão se aplicaFora ponta",Mercado_Receita!$L$2:$L$1261)+SUMIF(Mercado_Receita!$S$2:$S$1261,"44682B1ConvencionalResidencialResidencial baixa renda – faixa 04Não se aplicaNão se aplicaIntermediário",Mercado_Receita!$L$2:$L$1261)+SUMIF(Mercado_Receita!$S$2:$S$1261,"44682B1ConvencionalResidencialResidencial baixa renda – faixa 04Não se aplicaNão se aplicaNão se aplica",Mercado_Receita!$L$2:$L$1261)</f>
        <v>171.00099999999998</v>
      </c>
      <c r="R21" s="12">
        <f>SUMIF(Mercado_Receita!$S$2:$S$1261,"44713B1ConvencionalResidencialResidencial baixa renda – faixa 04Não se aplicaNão se aplicaPonta",Mercado_Receita!$L$2:$L$1261)+SUMIF(Mercado_Receita!$S$2:$S$1261,"44713B1ConvencionalResidencialResidencial baixa renda – faixa 04Não se aplicaNão se aplicaFora ponta",Mercado_Receita!$L$2:$L$1261)+SUMIF(Mercado_Receita!$S$2:$S$1261,"44713B1ConvencionalResidencialResidencial baixa renda – faixa 04Não se aplicaNão se aplicaIntermediário",Mercado_Receita!$L$2:$L$1261)+SUMIF(Mercado_Receita!$S$2:$S$1261,"44713B1ConvencionalResidencialResidencial baixa renda – faixa 04Não se aplicaNão se aplicaNão se aplica",Mercado_Receita!$L$2:$L$1261)</f>
        <v>115.608</v>
      </c>
      <c r="S21" s="12">
        <f>SUMIF(Mercado_Receita!$S$2:$S$1261,"44743B1ConvencionalResidencialResidencial baixa renda – faixa 04Não se aplicaNão se aplicaPonta",Mercado_Receita!$L$2:$L$1261)+SUMIF(Mercado_Receita!$S$2:$S$1261,"44743B1ConvencionalResidencialResidencial baixa renda – faixa 04Não se aplicaNão se aplicaFora ponta",Mercado_Receita!$L$2:$L$1261)+SUMIF(Mercado_Receita!$S$2:$S$1261,"44743B1ConvencionalResidencialResidencial baixa renda – faixa 04Não se aplicaNão se aplicaIntermediário",Mercado_Receita!$L$2:$L$1261)+SUMIF(Mercado_Receita!$S$2:$S$1261,"44743B1ConvencionalResidencialResidencial baixa renda – faixa 04Não se aplicaNão se aplicaNão se aplica",Mercado_Receita!$L$2:$L$1261)</f>
        <v>66.99799999999999</v>
      </c>
      <c r="T21" s="12">
        <f>SUMIF(Mercado_Receita!$S$2:$S$1261,"44774B1ConvencionalResidencialResidencial baixa renda – faixa 04Não se aplicaNão se aplicaPonta",Mercado_Receita!$L$2:$L$1261)+SUMIF(Mercado_Receita!$S$2:$S$1261,"44774B1ConvencionalResidencialResidencial baixa renda – faixa 04Não se aplicaNão se aplicaFora ponta",Mercado_Receita!$L$2:$L$1261)+SUMIF(Mercado_Receita!$S$2:$S$1261,"44774B1ConvencionalResidencialResidencial baixa renda – faixa 04Não se aplicaNão se aplicaIntermediário",Mercado_Receita!$L$2:$L$1261)+SUMIF(Mercado_Receita!$S$2:$S$1261,"44774B1ConvencionalResidencialResidencial baixa renda – faixa 04Não se aplicaNão se aplicaNão se aplica",Mercado_Receita!$L$2:$L$1261)</f>
        <v>66.99799999999999</v>
      </c>
      <c r="U21" s="12">
        <f t="shared" si="0"/>
        <v>1878.684</v>
      </c>
      <c r="V21" s="12"/>
      <c r="W21" s="12"/>
    </row>
    <row r="22" spans="1:23" ht="11.25" customHeight="1" x14ac:dyDescent="0.25">
      <c r="A22" s="105"/>
      <c r="B22" s="104" t="s">
        <v>94</v>
      </c>
      <c r="C22" s="104" t="s">
        <v>24</v>
      </c>
      <c r="D22" s="13" t="s">
        <v>24</v>
      </c>
      <c r="E22" s="13" t="s">
        <v>25</v>
      </c>
      <c r="F22" s="13" t="s">
        <v>25</v>
      </c>
      <c r="G22" s="12" t="s">
        <v>86</v>
      </c>
      <c r="H22" s="12" t="s">
        <v>80</v>
      </c>
      <c r="I22" s="12">
        <f>SUMIF(Mercado_Receita!$S$2:$S$1261,"44440B1Convencional pré-pagamentoResidencialResidencialNão se aplicaNão se aplicaPonta",Mercado_Receita!$L$2:$L$1261)+SUMIF(Mercado_Receita!$S$2:$S$1261,"44440B1Convencional pré-pagamentoResidencialResidencialNão se aplicaNão se aplicaFora ponta",Mercado_Receita!$L$2:$L$1261)+SUMIF(Mercado_Receita!$S$2:$S$1261,"44440B1Convencional pré-pagamentoResidencialResidencialNão se aplicaNão se aplicaIntermediário",Mercado_Receita!$L$2:$L$1261)+SUMIF(Mercado_Receita!$S$2:$S$1261,"44440B1Convencional pré-pagamentoResidencialResidencialNão se aplicaNão se aplicaNão se aplica",Mercado_Receita!$L$2:$L$1261)</f>
        <v>0</v>
      </c>
      <c r="J22" s="12">
        <f>SUMIF(Mercado_Receita!$S$2:$S$1261,"44470B1Convencional pré-pagamentoResidencialResidencialNão se aplicaNão se aplicaPonta",Mercado_Receita!$L$2:$L$1261)+SUMIF(Mercado_Receita!$S$2:$S$1261,"44470B1Convencional pré-pagamentoResidencialResidencialNão se aplicaNão se aplicaFora ponta",Mercado_Receita!$L$2:$L$1261)+SUMIF(Mercado_Receita!$S$2:$S$1261,"44470B1Convencional pré-pagamentoResidencialResidencialNão se aplicaNão se aplicaIntermediário",Mercado_Receita!$L$2:$L$1261)+SUMIF(Mercado_Receita!$S$2:$S$1261,"44470B1Convencional pré-pagamentoResidencialResidencialNão se aplicaNão se aplicaNão se aplica",Mercado_Receita!$L$2:$L$1261)</f>
        <v>0</v>
      </c>
      <c r="K22" s="12">
        <f>SUMIF(Mercado_Receita!$S$2:$S$1261,"44501B1Convencional pré-pagamentoResidencialResidencialNão se aplicaNão se aplicaPonta",Mercado_Receita!$L$2:$L$1261)+SUMIF(Mercado_Receita!$S$2:$S$1261,"44501B1Convencional pré-pagamentoResidencialResidencialNão se aplicaNão se aplicaFora ponta",Mercado_Receita!$L$2:$L$1261)+SUMIF(Mercado_Receita!$S$2:$S$1261,"44501B1Convencional pré-pagamentoResidencialResidencialNão se aplicaNão se aplicaIntermediário",Mercado_Receita!$L$2:$L$1261)+SUMIF(Mercado_Receita!$S$2:$S$1261,"44501B1Convencional pré-pagamentoResidencialResidencialNão se aplicaNão se aplicaNão se aplica",Mercado_Receita!$L$2:$L$1261)</f>
        <v>0</v>
      </c>
      <c r="L22" s="12">
        <f>SUMIF(Mercado_Receita!$S$2:$S$1261,"44531B1Convencional pré-pagamentoResidencialResidencialNão se aplicaNão se aplicaPonta",Mercado_Receita!$L$2:$L$1261)+SUMIF(Mercado_Receita!$S$2:$S$1261,"44531B1Convencional pré-pagamentoResidencialResidencialNão se aplicaNão se aplicaFora ponta",Mercado_Receita!$L$2:$L$1261)+SUMIF(Mercado_Receita!$S$2:$S$1261,"44531B1Convencional pré-pagamentoResidencialResidencialNão se aplicaNão se aplicaIntermediário",Mercado_Receita!$L$2:$L$1261)+SUMIF(Mercado_Receita!$S$2:$S$1261,"44531B1Convencional pré-pagamentoResidencialResidencialNão se aplicaNão se aplicaNão se aplica",Mercado_Receita!$L$2:$L$1261)</f>
        <v>0</v>
      </c>
      <c r="M22" s="12">
        <f>SUMIF(Mercado_Receita!$S$2:$S$1261,"44562B1Convencional pré-pagamentoResidencialResidencialNão se aplicaNão se aplicaPonta",Mercado_Receita!$L$2:$L$1261)+SUMIF(Mercado_Receita!$S$2:$S$1261,"44562B1Convencional pré-pagamentoResidencialResidencialNão se aplicaNão se aplicaFora ponta",Mercado_Receita!$L$2:$L$1261)+SUMIF(Mercado_Receita!$S$2:$S$1261,"44562B1Convencional pré-pagamentoResidencialResidencialNão se aplicaNão se aplicaIntermediário",Mercado_Receita!$L$2:$L$1261)+SUMIF(Mercado_Receita!$S$2:$S$1261,"44562B1Convencional pré-pagamentoResidencialResidencialNão se aplicaNão se aplicaNão se aplica",Mercado_Receita!$L$2:$L$1261)</f>
        <v>0</v>
      </c>
      <c r="N22" s="12">
        <f>SUMIF(Mercado_Receita!$S$2:$S$1261,"44593B1Convencional pré-pagamentoResidencialResidencialNão se aplicaNão se aplicaPonta",Mercado_Receita!$L$2:$L$1261)+SUMIF(Mercado_Receita!$S$2:$S$1261,"44593B1Convencional pré-pagamentoResidencialResidencialNão se aplicaNão se aplicaFora ponta",Mercado_Receita!$L$2:$L$1261)+SUMIF(Mercado_Receita!$S$2:$S$1261,"44593B1Convencional pré-pagamentoResidencialResidencialNão se aplicaNão se aplicaIntermediário",Mercado_Receita!$L$2:$L$1261)+SUMIF(Mercado_Receita!$S$2:$S$1261,"44593B1Convencional pré-pagamentoResidencialResidencialNão se aplicaNão se aplicaNão se aplica",Mercado_Receita!$L$2:$L$1261)</f>
        <v>0</v>
      </c>
      <c r="O22" s="12">
        <f>SUMIF(Mercado_Receita!$S$2:$S$1261,"44621B1Convencional pré-pagamentoResidencialResidencialNão se aplicaNão se aplicaPonta",Mercado_Receita!$L$2:$L$1261)+SUMIF(Mercado_Receita!$S$2:$S$1261,"44621B1Convencional pré-pagamentoResidencialResidencialNão se aplicaNão se aplicaFora ponta",Mercado_Receita!$L$2:$L$1261)+SUMIF(Mercado_Receita!$S$2:$S$1261,"44621B1Convencional pré-pagamentoResidencialResidencialNão se aplicaNão se aplicaIntermediário",Mercado_Receita!$L$2:$L$1261)+SUMIF(Mercado_Receita!$S$2:$S$1261,"44621B1Convencional pré-pagamentoResidencialResidencialNão se aplicaNão se aplicaNão se aplica",Mercado_Receita!$L$2:$L$1261)</f>
        <v>0</v>
      </c>
      <c r="P22" s="12">
        <f>SUMIF(Mercado_Receita!$S$2:$S$1261,"44652B1Convencional pré-pagamentoResidencialResidencialNão se aplicaNão se aplicaPonta",Mercado_Receita!$L$2:$L$1261)+SUMIF(Mercado_Receita!$S$2:$S$1261,"44652B1Convencional pré-pagamentoResidencialResidencialNão se aplicaNão se aplicaFora ponta",Mercado_Receita!$L$2:$L$1261)+SUMIF(Mercado_Receita!$S$2:$S$1261,"44652B1Convencional pré-pagamentoResidencialResidencialNão se aplicaNão se aplicaIntermediário",Mercado_Receita!$L$2:$L$1261)+SUMIF(Mercado_Receita!$S$2:$S$1261,"44652B1Convencional pré-pagamentoResidencialResidencialNão se aplicaNão se aplicaNão se aplica",Mercado_Receita!$L$2:$L$1261)</f>
        <v>0</v>
      </c>
      <c r="Q22" s="12">
        <f>SUMIF(Mercado_Receita!$S$2:$S$1261,"44682B1Convencional pré-pagamentoResidencialResidencialNão se aplicaNão se aplicaPonta",Mercado_Receita!$L$2:$L$1261)+SUMIF(Mercado_Receita!$S$2:$S$1261,"44682B1Convencional pré-pagamentoResidencialResidencialNão se aplicaNão se aplicaFora ponta",Mercado_Receita!$L$2:$L$1261)+SUMIF(Mercado_Receita!$S$2:$S$1261,"44682B1Convencional pré-pagamentoResidencialResidencialNão se aplicaNão se aplicaIntermediário",Mercado_Receita!$L$2:$L$1261)+SUMIF(Mercado_Receita!$S$2:$S$1261,"44682B1Convencional pré-pagamentoResidencialResidencialNão se aplicaNão se aplicaNão se aplica",Mercado_Receita!$L$2:$L$1261)</f>
        <v>0</v>
      </c>
      <c r="R22" s="12">
        <f>SUMIF(Mercado_Receita!$S$2:$S$1261,"44713B1Convencional pré-pagamentoResidencialResidencialNão se aplicaNão se aplicaPonta",Mercado_Receita!$L$2:$L$1261)+SUMIF(Mercado_Receita!$S$2:$S$1261,"44713B1Convencional pré-pagamentoResidencialResidencialNão se aplicaNão se aplicaFora ponta",Mercado_Receita!$L$2:$L$1261)+SUMIF(Mercado_Receita!$S$2:$S$1261,"44713B1Convencional pré-pagamentoResidencialResidencialNão se aplicaNão se aplicaIntermediário",Mercado_Receita!$L$2:$L$1261)+SUMIF(Mercado_Receita!$S$2:$S$1261,"44713B1Convencional pré-pagamentoResidencialResidencialNão se aplicaNão se aplicaNão se aplica",Mercado_Receita!$L$2:$L$1261)</f>
        <v>0</v>
      </c>
      <c r="S22" s="12">
        <f>SUMIF(Mercado_Receita!$S$2:$S$1261,"44743B1Convencional pré-pagamentoResidencialResidencialNão se aplicaNão se aplicaPonta",Mercado_Receita!$L$2:$L$1261)+SUMIF(Mercado_Receita!$S$2:$S$1261,"44743B1Convencional pré-pagamentoResidencialResidencialNão se aplicaNão se aplicaFora ponta",Mercado_Receita!$L$2:$L$1261)+SUMIF(Mercado_Receita!$S$2:$S$1261,"44743B1Convencional pré-pagamentoResidencialResidencialNão se aplicaNão se aplicaIntermediário",Mercado_Receita!$L$2:$L$1261)+SUMIF(Mercado_Receita!$S$2:$S$1261,"44743B1Convencional pré-pagamentoResidencialResidencialNão se aplicaNão se aplicaNão se aplica",Mercado_Receita!$L$2:$L$1261)</f>
        <v>0</v>
      </c>
      <c r="T22" s="12">
        <f>SUMIF(Mercado_Receita!$S$2:$S$1261,"44774B1Convencional pré-pagamentoResidencialResidencialNão se aplicaNão se aplicaPonta",Mercado_Receita!$L$2:$L$1261)+SUMIF(Mercado_Receita!$S$2:$S$1261,"44774B1Convencional pré-pagamentoResidencialResidencialNão se aplicaNão se aplicaFora ponta",Mercado_Receita!$L$2:$L$1261)+SUMIF(Mercado_Receita!$S$2:$S$1261,"44774B1Convencional pré-pagamentoResidencialResidencialNão se aplicaNão se aplicaIntermediário",Mercado_Receita!$L$2:$L$1261)+SUMIF(Mercado_Receita!$S$2:$S$1261,"44774B1Convencional pré-pagamentoResidencialResidencialNão se aplicaNão se aplicaNão se aplica",Mercado_Receita!$L$2:$L$1261)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05"/>
      <c r="B23" s="105"/>
      <c r="C23" s="105"/>
      <c r="D23" s="13" t="s">
        <v>29</v>
      </c>
      <c r="E23" s="13" t="s">
        <v>25</v>
      </c>
      <c r="F23" s="13" t="s">
        <v>25</v>
      </c>
      <c r="G23" s="12" t="s">
        <v>86</v>
      </c>
      <c r="H23" s="12" t="s">
        <v>80</v>
      </c>
      <c r="I23" s="12">
        <f>SUMIF(Mercado_Receita!$S$2:$S$1261,"44440B1Convencional pré-pagamentoResidencialResidencial baixa renda – faixa 01Não se aplicaNão se aplicaPonta",Mercado_Receita!$L$2:$L$1261)+SUMIF(Mercado_Receita!$S$2:$S$1261,"44440B1Convencional pré-pagamentoResidencialResidencial baixa renda – faixa 01Não se aplicaNão se aplicaFora ponta",Mercado_Receita!$L$2:$L$1261)+SUMIF(Mercado_Receita!$S$2:$S$1261,"44440B1Convencional pré-pagamentoResidencialResidencial baixa renda – faixa 01Não se aplicaNão se aplicaIntermediário",Mercado_Receita!$L$2:$L$1261)+SUMIF(Mercado_Receita!$S$2:$S$1261,"44440B1Convencional pré-pagamentoResidencialResidencial baixa renda – faixa 01Não se aplicaNão se aplicaNão se aplica",Mercado_Receita!$L$2:$L$1261)</f>
        <v>0</v>
      </c>
      <c r="J23" s="12">
        <f>SUMIF(Mercado_Receita!$S$2:$S$1261,"44470B1Convencional pré-pagamentoResidencialResidencial baixa renda – faixa 01Não se aplicaNão se aplicaPonta",Mercado_Receita!$L$2:$L$1261)+SUMIF(Mercado_Receita!$S$2:$S$1261,"44470B1Convencional pré-pagamentoResidencialResidencial baixa renda – faixa 01Não se aplicaNão se aplicaFora ponta",Mercado_Receita!$L$2:$L$1261)+SUMIF(Mercado_Receita!$S$2:$S$1261,"44470B1Convencional pré-pagamentoResidencialResidencial baixa renda – faixa 01Não se aplicaNão se aplicaIntermediário",Mercado_Receita!$L$2:$L$1261)+SUMIF(Mercado_Receita!$S$2:$S$1261,"44470B1Convencional pré-pagamentoResidencialResidencial baixa renda – faixa 01Não se aplicaNão se aplicaNão se aplica",Mercado_Receita!$L$2:$L$1261)</f>
        <v>0</v>
      </c>
      <c r="K23" s="12">
        <f>SUMIF(Mercado_Receita!$S$2:$S$1261,"44501B1Convencional pré-pagamentoResidencialResidencial baixa renda – faixa 01Não se aplicaNão se aplicaPonta",Mercado_Receita!$L$2:$L$1261)+SUMIF(Mercado_Receita!$S$2:$S$1261,"44501B1Convencional pré-pagamentoResidencialResidencial baixa renda – faixa 01Não se aplicaNão se aplicaFora ponta",Mercado_Receita!$L$2:$L$1261)+SUMIF(Mercado_Receita!$S$2:$S$1261,"44501B1Convencional pré-pagamentoResidencialResidencial baixa renda – faixa 01Não se aplicaNão se aplicaIntermediário",Mercado_Receita!$L$2:$L$1261)+SUMIF(Mercado_Receita!$S$2:$S$1261,"44501B1Convencional pré-pagamentoResidencialResidencial baixa renda – faixa 01Não se aplicaNão se aplicaNão se aplica",Mercado_Receita!$L$2:$L$1261)</f>
        <v>0</v>
      </c>
      <c r="L23" s="12">
        <f>SUMIF(Mercado_Receita!$S$2:$S$1261,"44531B1Convencional pré-pagamentoResidencialResidencial baixa renda – faixa 01Não se aplicaNão se aplicaPonta",Mercado_Receita!$L$2:$L$1261)+SUMIF(Mercado_Receita!$S$2:$S$1261,"44531B1Convencional pré-pagamentoResidencialResidencial baixa renda – faixa 01Não se aplicaNão se aplicaFora ponta",Mercado_Receita!$L$2:$L$1261)+SUMIF(Mercado_Receita!$S$2:$S$1261,"44531B1Convencional pré-pagamentoResidencialResidencial baixa renda – faixa 01Não se aplicaNão se aplicaIntermediário",Mercado_Receita!$L$2:$L$1261)+SUMIF(Mercado_Receita!$S$2:$S$1261,"44531B1Convencional pré-pagamentoResidencialResidencial baixa renda – faixa 01Não se aplicaNão se aplicaNão se aplica",Mercado_Receita!$L$2:$L$1261)</f>
        <v>0</v>
      </c>
      <c r="M23" s="12">
        <f>SUMIF(Mercado_Receita!$S$2:$S$1261,"44562B1Convencional pré-pagamentoResidencialResidencial baixa renda – faixa 01Não se aplicaNão se aplicaPonta",Mercado_Receita!$L$2:$L$1261)+SUMIF(Mercado_Receita!$S$2:$S$1261,"44562B1Convencional pré-pagamentoResidencialResidencial baixa renda – faixa 01Não se aplicaNão se aplicaFora ponta",Mercado_Receita!$L$2:$L$1261)+SUMIF(Mercado_Receita!$S$2:$S$1261,"44562B1Convencional pré-pagamentoResidencialResidencial baixa renda – faixa 01Não se aplicaNão se aplicaIntermediário",Mercado_Receita!$L$2:$L$1261)+SUMIF(Mercado_Receita!$S$2:$S$1261,"44562B1Convencional pré-pagamentoResidencialResidencial baixa renda – faixa 01Não se aplicaNão se aplicaNão se aplica",Mercado_Receita!$L$2:$L$1261)</f>
        <v>0</v>
      </c>
      <c r="N23" s="12">
        <f>SUMIF(Mercado_Receita!$S$2:$S$1261,"44593B1Convencional pré-pagamentoResidencialResidencial baixa renda – faixa 01Não se aplicaNão se aplicaPonta",Mercado_Receita!$L$2:$L$1261)+SUMIF(Mercado_Receita!$S$2:$S$1261,"44593B1Convencional pré-pagamentoResidencialResidencial baixa renda – faixa 01Não se aplicaNão se aplicaFora ponta",Mercado_Receita!$L$2:$L$1261)+SUMIF(Mercado_Receita!$S$2:$S$1261,"44593B1Convencional pré-pagamentoResidencialResidencial baixa renda – faixa 01Não se aplicaNão se aplicaIntermediário",Mercado_Receita!$L$2:$L$1261)+SUMIF(Mercado_Receita!$S$2:$S$1261,"44593B1Convencional pré-pagamentoResidencialResidencial baixa renda – faixa 01Não se aplicaNão se aplicaNão se aplica",Mercado_Receita!$L$2:$L$1261)</f>
        <v>0</v>
      </c>
      <c r="O23" s="12">
        <f>SUMIF(Mercado_Receita!$S$2:$S$1261,"44621B1Convencional pré-pagamentoResidencialResidencial baixa renda – faixa 01Não se aplicaNão se aplicaPonta",Mercado_Receita!$L$2:$L$1261)+SUMIF(Mercado_Receita!$S$2:$S$1261,"44621B1Convencional pré-pagamentoResidencialResidencial baixa renda – faixa 01Não se aplicaNão se aplicaFora ponta",Mercado_Receita!$L$2:$L$1261)+SUMIF(Mercado_Receita!$S$2:$S$1261,"44621B1Convencional pré-pagamentoResidencialResidencial baixa renda – faixa 01Não se aplicaNão se aplicaIntermediário",Mercado_Receita!$L$2:$L$1261)+SUMIF(Mercado_Receita!$S$2:$S$1261,"44621B1Convencional pré-pagamentoResidencialResidencial baixa renda – faixa 01Não se aplicaNão se aplicaNão se aplica",Mercado_Receita!$L$2:$L$1261)</f>
        <v>0</v>
      </c>
      <c r="P23" s="12">
        <f>SUMIF(Mercado_Receita!$S$2:$S$1261,"44652B1Convencional pré-pagamentoResidencialResidencial baixa renda – faixa 01Não se aplicaNão se aplicaPonta",Mercado_Receita!$L$2:$L$1261)+SUMIF(Mercado_Receita!$S$2:$S$1261,"44652B1Convencional pré-pagamentoResidencialResidencial baixa renda – faixa 01Não se aplicaNão se aplicaFora ponta",Mercado_Receita!$L$2:$L$1261)+SUMIF(Mercado_Receita!$S$2:$S$1261,"44652B1Convencional pré-pagamentoResidencialResidencial baixa renda – faixa 01Não se aplicaNão se aplicaIntermediário",Mercado_Receita!$L$2:$L$1261)+SUMIF(Mercado_Receita!$S$2:$S$1261,"44652B1Convencional pré-pagamentoResidencialResidencial baixa renda – faixa 01Não se aplicaNão se aplicaNão se aplica",Mercado_Receita!$L$2:$L$1261)</f>
        <v>0</v>
      </c>
      <c r="Q23" s="12">
        <f>SUMIF(Mercado_Receita!$S$2:$S$1261,"44682B1Convencional pré-pagamentoResidencialResidencial baixa renda – faixa 01Não se aplicaNão se aplicaPonta",Mercado_Receita!$L$2:$L$1261)+SUMIF(Mercado_Receita!$S$2:$S$1261,"44682B1Convencional pré-pagamentoResidencialResidencial baixa renda – faixa 01Não se aplicaNão se aplicaFora ponta",Mercado_Receita!$L$2:$L$1261)+SUMIF(Mercado_Receita!$S$2:$S$1261,"44682B1Convencional pré-pagamentoResidencialResidencial baixa renda – faixa 01Não se aplicaNão se aplicaIntermediário",Mercado_Receita!$L$2:$L$1261)+SUMIF(Mercado_Receita!$S$2:$S$1261,"44682B1Convencional pré-pagamentoResidencialResidencial baixa renda – faixa 01Não se aplicaNão se aplicaNão se aplica",Mercado_Receita!$L$2:$L$1261)</f>
        <v>0</v>
      </c>
      <c r="R23" s="12">
        <f>SUMIF(Mercado_Receita!$S$2:$S$1261,"44713B1Convencional pré-pagamentoResidencialResidencial baixa renda – faixa 01Não se aplicaNão se aplicaPonta",Mercado_Receita!$L$2:$L$1261)+SUMIF(Mercado_Receita!$S$2:$S$1261,"44713B1Convencional pré-pagamentoResidencialResidencial baixa renda – faixa 01Não se aplicaNão se aplicaFora ponta",Mercado_Receita!$L$2:$L$1261)+SUMIF(Mercado_Receita!$S$2:$S$1261,"44713B1Convencional pré-pagamentoResidencialResidencial baixa renda – faixa 01Não se aplicaNão se aplicaIntermediário",Mercado_Receita!$L$2:$L$1261)+SUMIF(Mercado_Receita!$S$2:$S$1261,"44713B1Convencional pré-pagamentoResidencialResidencial baixa renda – faixa 01Não se aplicaNão se aplicaNão se aplica",Mercado_Receita!$L$2:$L$1261)</f>
        <v>0</v>
      </c>
      <c r="S23" s="12">
        <f>SUMIF(Mercado_Receita!$S$2:$S$1261,"44743B1Convencional pré-pagamentoResidencialResidencial baixa renda – faixa 01Não se aplicaNão se aplicaPonta",Mercado_Receita!$L$2:$L$1261)+SUMIF(Mercado_Receita!$S$2:$S$1261,"44743B1Convencional pré-pagamentoResidencialResidencial baixa renda – faixa 01Não se aplicaNão se aplicaFora ponta",Mercado_Receita!$L$2:$L$1261)+SUMIF(Mercado_Receita!$S$2:$S$1261,"44743B1Convencional pré-pagamentoResidencialResidencial baixa renda – faixa 01Não se aplicaNão se aplicaIntermediário",Mercado_Receita!$L$2:$L$1261)+SUMIF(Mercado_Receita!$S$2:$S$1261,"44743B1Convencional pré-pagamentoResidencialResidencial baixa renda – faixa 01Não se aplicaNão se aplicaNão se aplica",Mercado_Receita!$L$2:$L$1261)</f>
        <v>0</v>
      </c>
      <c r="T23" s="12">
        <f>SUMIF(Mercado_Receita!$S$2:$S$1261,"44774B1Convencional pré-pagamentoResidencialResidencial baixa renda – faixa 01Não se aplicaNão se aplicaPonta",Mercado_Receita!$L$2:$L$1261)+SUMIF(Mercado_Receita!$S$2:$S$1261,"44774B1Convencional pré-pagamentoResidencialResidencial baixa renda – faixa 01Não se aplicaNão se aplicaFora ponta",Mercado_Receita!$L$2:$L$1261)+SUMIF(Mercado_Receita!$S$2:$S$1261,"44774B1Convencional pré-pagamentoResidencialResidencial baixa renda – faixa 01Não se aplicaNão se aplicaIntermediário",Mercado_Receita!$L$2:$L$1261)+SUMIF(Mercado_Receita!$S$2:$S$1261,"44774B1Convencional pré-pagamentoResidencialResidencial baixa renda – faixa 01Não se aplicaNão se aplicaNão se aplica",Mercado_Receita!$L$2:$L$1261)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105"/>
      <c r="B24" s="105"/>
      <c r="C24" s="105"/>
      <c r="D24" s="13" t="s">
        <v>30</v>
      </c>
      <c r="E24" s="13" t="s">
        <v>25</v>
      </c>
      <c r="F24" s="13" t="s">
        <v>25</v>
      </c>
      <c r="G24" s="12" t="s">
        <v>86</v>
      </c>
      <c r="H24" s="12" t="s">
        <v>80</v>
      </c>
      <c r="I24" s="12">
        <f>SUMIF(Mercado_Receita!$S$2:$S$1261,"44440B1Convencional pré-pagamentoResidencialResidencial baixa renda – faixa 02Não se aplicaNão se aplicaPonta",Mercado_Receita!$L$2:$L$1261)+SUMIF(Mercado_Receita!$S$2:$S$1261,"44440B1Convencional pré-pagamentoResidencialResidencial baixa renda – faixa 02Não se aplicaNão se aplicaFora ponta",Mercado_Receita!$L$2:$L$1261)+SUMIF(Mercado_Receita!$S$2:$S$1261,"44440B1Convencional pré-pagamentoResidencialResidencial baixa renda – faixa 02Não se aplicaNão se aplicaIntermediário",Mercado_Receita!$L$2:$L$1261)+SUMIF(Mercado_Receita!$S$2:$S$1261,"44440B1Convencional pré-pagamentoResidencialResidencial baixa renda – faixa 02Não se aplicaNão se aplicaNão se aplica",Mercado_Receita!$L$2:$L$1261)</f>
        <v>0</v>
      </c>
      <c r="J24" s="12">
        <f>SUMIF(Mercado_Receita!$S$2:$S$1261,"44470B1Convencional pré-pagamentoResidencialResidencial baixa renda – faixa 02Não se aplicaNão se aplicaPonta",Mercado_Receita!$L$2:$L$1261)+SUMIF(Mercado_Receita!$S$2:$S$1261,"44470B1Convencional pré-pagamentoResidencialResidencial baixa renda – faixa 02Não se aplicaNão se aplicaFora ponta",Mercado_Receita!$L$2:$L$1261)+SUMIF(Mercado_Receita!$S$2:$S$1261,"44470B1Convencional pré-pagamentoResidencialResidencial baixa renda – faixa 02Não se aplicaNão se aplicaIntermediário",Mercado_Receita!$L$2:$L$1261)+SUMIF(Mercado_Receita!$S$2:$S$1261,"44470B1Convencional pré-pagamentoResidencialResidencial baixa renda – faixa 02Não se aplicaNão se aplicaNão se aplica",Mercado_Receita!$L$2:$L$1261)</f>
        <v>0</v>
      </c>
      <c r="K24" s="12">
        <f>SUMIF(Mercado_Receita!$S$2:$S$1261,"44501B1Convencional pré-pagamentoResidencialResidencial baixa renda – faixa 02Não se aplicaNão se aplicaPonta",Mercado_Receita!$L$2:$L$1261)+SUMIF(Mercado_Receita!$S$2:$S$1261,"44501B1Convencional pré-pagamentoResidencialResidencial baixa renda – faixa 02Não se aplicaNão se aplicaFora ponta",Mercado_Receita!$L$2:$L$1261)+SUMIF(Mercado_Receita!$S$2:$S$1261,"44501B1Convencional pré-pagamentoResidencialResidencial baixa renda – faixa 02Não se aplicaNão se aplicaIntermediário",Mercado_Receita!$L$2:$L$1261)+SUMIF(Mercado_Receita!$S$2:$S$1261,"44501B1Convencional pré-pagamentoResidencialResidencial baixa renda – faixa 02Não se aplicaNão se aplicaNão se aplica",Mercado_Receita!$L$2:$L$1261)</f>
        <v>0</v>
      </c>
      <c r="L24" s="12">
        <f>SUMIF(Mercado_Receita!$S$2:$S$1261,"44531B1Convencional pré-pagamentoResidencialResidencial baixa renda – faixa 02Não se aplicaNão se aplicaPonta",Mercado_Receita!$L$2:$L$1261)+SUMIF(Mercado_Receita!$S$2:$S$1261,"44531B1Convencional pré-pagamentoResidencialResidencial baixa renda – faixa 02Não se aplicaNão se aplicaFora ponta",Mercado_Receita!$L$2:$L$1261)+SUMIF(Mercado_Receita!$S$2:$S$1261,"44531B1Convencional pré-pagamentoResidencialResidencial baixa renda – faixa 02Não se aplicaNão se aplicaIntermediário",Mercado_Receita!$L$2:$L$1261)+SUMIF(Mercado_Receita!$S$2:$S$1261,"44531B1Convencional pré-pagamentoResidencialResidencial baixa renda – faixa 02Não se aplicaNão se aplicaNão se aplica",Mercado_Receita!$L$2:$L$1261)</f>
        <v>0</v>
      </c>
      <c r="M24" s="12">
        <f>SUMIF(Mercado_Receita!$S$2:$S$1261,"44562B1Convencional pré-pagamentoResidencialResidencial baixa renda – faixa 02Não se aplicaNão se aplicaPonta",Mercado_Receita!$L$2:$L$1261)+SUMIF(Mercado_Receita!$S$2:$S$1261,"44562B1Convencional pré-pagamentoResidencialResidencial baixa renda – faixa 02Não se aplicaNão se aplicaFora ponta",Mercado_Receita!$L$2:$L$1261)+SUMIF(Mercado_Receita!$S$2:$S$1261,"44562B1Convencional pré-pagamentoResidencialResidencial baixa renda – faixa 02Não se aplicaNão se aplicaIntermediário",Mercado_Receita!$L$2:$L$1261)+SUMIF(Mercado_Receita!$S$2:$S$1261,"44562B1Convencional pré-pagamentoResidencialResidencial baixa renda – faixa 02Não se aplicaNão se aplicaNão se aplica",Mercado_Receita!$L$2:$L$1261)</f>
        <v>0</v>
      </c>
      <c r="N24" s="12">
        <f>SUMIF(Mercado_Receita!$S$2:$S$1261,"44593B1Convencional pré-pagamentoResidencialResidencial baixa renda – faixa 02Não se aplicaNão se aplicaPonta",Mercado_Receita!$L$2:$L$1261)+SUMIF(Mercado_Receita!$S$2:$S$1261,"44593B1Convencional pré-pagamentoResidencialResidencial baixa renda – faixa 02Não se aplicaNão se aplicaFora ponta",Mercado_Receita!$L$2:$L$1261)+SUMIF(Mercado_Receita!$S$2:$S$1261,"44593B1Convencional pré-pagamentoResidencialResidencial baixa renda – faixa 02Não se aplicaNão se aplicaIntermediário",Mercado_Receita!$L$2:$L$1261)+SUMIF(Mercado_Receita!$S$2:$S$1261,"44593B1Convencional pré-pagamentoResidencialResidencial baixa renda – faixa 02Não se aplicaNão se aplicaNão se aplica",Mercado_Receita!$L$2:$L$1261)</f>
        <v>0</v>
      </c>
      <c r="O24" s="12">
        <f>SUMIF(Mercado_Receita!$S$2:$S$1261,"44621B1Convencional pré-pagamentoResidencialResidencial baixa renda – faixa 02Não se aplicaNão se aplicaPonta",Mercado_Receita!$L$2:$L$1261)+SUMIF(Mercado_Receita!$S$2:$S$1261,"44621B1Convencional pré-pagamentoResidencialResidencial baixa renda – faixa 02Não se aplicaNão se aplicaFora ponta",Mercado_Receita!$L$2:$L$1261)+SUMIF(Mercado_Receita!$S$2:$S$1261,"44621B1Convencional pré-pagamentoResidencialResidencial baixa renda – faixa 02Não se aplicaNão se aplicaIntermediário",Mercado_Receita!$L$2:$L$1261)+SUMIF(Mercado_Receita!$S$2:$S$1261,"44621B1Convencional pré-pagamentoResidencialResidencial baixa renda – faixa 02Não se aplicaNão se aplicaNão se aplica",Mercado_Receita!$L$2:$L$1261)</f>
        <v>0</v>
      </c>
      <c r="P24" s="12">
        <f>SUMIF(Mercado_Receita!$S$2:$S$1261,"44652B1Convencional pré-pagamentoResidencialResidencial baixa renda – faixa 02Não se aplicaNão se aplicaPonta",Mercado_Receita!$L$2:$L$1261)+SUMIF(Mercado_Receita!$S$2:$S$1261,"44652B1Convencional pré-pagamentoResidencialResidencial baixa renda – faixa 02Não se aplicaNão se aplicaFora ponta",Mercado_Receita!$L$2:$L$1261)+SUMIF(Mercado_Receita!$S$2:$S$1261,"44652B1Convencional pré-pagamentoResidencialResidencial baixa renda – faixa 02Não se aplicaNão se aplicaIntermediário",Mercado_Receita!$L$2:$L$1261)+SUMIF(Mercado_Receita!$S$2:$S$1261,"44652B1Convencional pré-pagamentoResidencialResidencial baixa renda – faixa 02Não se aplicaNão se aplicaNão se aplica",Mercado_Receita!$L$2:$L$1261)</f>
        <v>0</v>
      </c>
      <c r="Q24" s="12">
        <f>SUMIF(Mercado_Receita!$S$2:$S$1261,"44682B1Convencional pré-pagamentoResidencialResidencial baixa renda – faixa 02Não se aplicaNão se aplicaPonta",Mercado_Receita!$L$2:$L$1261)+SUMIF(Mercado_Receita!$S$2:$S$1261,"44682B1Convencional pré-pagamentoResidencialResidencial baixa renda – faixa 02Não se aplicaNão se aplicaFora ponta",Mercado_Receita!$L$2:$L$1261)+SUMIF(Mercado_Receita!$S$2:$S$1261,"44682B1Convencional pré-pagamentoResidencialResidencial baixa renda – faixa 02Não se aplicaNão se aplicaIntermediário",Mercado_Receita!$L$2:$L$1261)+SUMIF(Mercado_Receita!$S$2:$S$1261,"44682B1Convencional pré-pagamentoResidencialResidencial baixa renda – faixa 02Não se aplicaNão se aplicaNão se aplica",Mercado_Receita!$L$2:$L$1261)</f>
        <v>0</v>
      </c>
      <c r="R24" s="12">
        <f>SUMIF(Mercado_Receita!$S$2:$S$1261,"44713B1Convencional pré-pagamentoResidencialResidencial baixa renda – faixa 02Não se aplicaNão se aplicaPonta",Mercado_Receita!$L$2:$L$1261)+SUMIF(Mercado_Receita!$S$2:$S$1261,"44713B1Convencional pré-pagamentoResidencialResidencial baixa renda – faixa 02Não se aplicaNão se aplicaFora ponta",Mercado_Receita!$L$2:$L$1261)+SUMIF(Mercado_Receita!$S$2:$S$1261,"44713B1Convencional pré-pagamentoResidencialResidencial baixa renda – faixa 02Não se aplicaNão se aplicaIntermediário",Mercado_Receita!$L$2:$L$1261)+SUMIF(Mercado_Receita!$S$2:$S$1261,"44713B1Convencional pré-pagamentoResidencialResidencial baixa renda – faixa 02Não se aplicaNão se aplicaNão se aplica",Mercado_Receita!$L$2:$L$1261)</f>
        <v>0</v>
      </c>
      <c r="S24" s="12">
        <f>SUMIF(Mercado_Receita!$S$2:$S$1261,"44743B1Convencional pré-pagamentoResidencialResidencial baixa renda – faixa 02Não se aplicaNão se aplicaPonta",Mercado_Receita!$L$2:$L$1261)+SUMIF(Mercado_Receita!$S$2:$S$1261,"44743B1Convencional pré-pagamentoResidencialResidencial baixa renda – faixa 02Não se aplicaNão se aplicaFora ponta",Mercado_Receita!$L$2:$L$1261)+SUMIF(Mercado_Receita!$S$2:$S$1261,"44743B1Convencional pré-pagamentoResidencialResidencial baixa renda – faixa 02Não se aplicaNão se aplicaIntermediário",Mercado_Receita!$L$2:$L$1261)+SUMIF(Mercado_Receita!$S$2:$S$1261,"44743B1Convencional pré-pagamentoResidencialResidencial baixa renda – faixa 02Não se aplicaNão se aplicaNão se aplica",Mercado_Receita!$L$2:$L$1261)</f>
        <v>0</v>
      </c>
      <c r="T24" s="12">
        <f>SUMIF(Mercado_Receita!$S$2:$S$1261,"44774B1Convencional pré-pagamentoResidencialResidencial baixa renda – faixa 02Não se aplicaNão se aplicaPonta",Mercado_Receita!$L$2:$L$1261)+SUMIF(Mercado_Receita!$S$2:$S$1261,"44774B1Convencional pré-pagamentoResidencialResidencial baixa renda – faixa 02Não se aplicaNão se aplicaFora ponta",Mercado_Receita!$L$2:$L$1261)+SUMIF(Mercado_Receita!$S$2:$S$1261,"44774B1Convencional pré-pagamentoResidencialResidencial baixa renda – faixa 02Não se aplicaNão se aplicaIntermediário",Mercado_Receita!$L$2:$L$1261)+SUMIF(Mercado_Receita!$S$2:$S$1261,"44774B1Convencional pré-pagamentoResidencialResidencial baixa renda – faixa 02Não se aplicaNão se aplicaNão se aplica",Mercado_Receita!$L$2:$L$1261)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105"/>
      <c r="B25" s="105"/>
      <c r="C25" s="105"/>
      <c r="D25" s="13" t="s">
        <v>31</v>
      </c>
      <c r="E25" s="13" t="s">
        <v>25</v>
      </c>
      <c r="F25" s="13" t="s">
        <v>25</v>
      </c>
      <c r="G25" s="12" t="s">
        <v>86</v>
      </c>
      <c r="H25" s="12" t="s">
        <v>80</v>
      </c>
      <c r="I25" s="12">
        <f>SUMIF(Mercado_Receita!$S$2:$S$1261,"44440B1Convencional pré-pagamentoResidencialResidencial baixa renda – faixa 03Não se aplicaNão se aplicaPonta",Mercado_Receita!$L$2:$L$1261)+SUMIF(Mercado_Receita!$S$2:$S$1261,"44440B1Convencional pré-pagamentoResidencialResidencial baixa renda – faixa 03Não se aplicaNão se aplicaFora ponta",Mercado_Receita!$L$2:$L$1261)+SUMIF(Mercado_Receita!$S$2:$S$1261,"44440B1Convencional pré-pagamentoResidencialResidencial baixa renda – faixa 03Não se aplicaNão se aplicaIntermediário",Mercado_Receita!$L$2:$L$1261)+SUMIF(Mercado_Receita!$S$2:$S$1261,"44440B1Convencional pré-pagamentoResidencialResidencial baixa renda – faixa 03Não se aplicaNão se aplicaNão se aplica",Mercado_Receita!$L$2:$L$1261)</f>
        <v>0</v>
      </c>
      <c r="J25" s="12">
        <f>SUMIF(Mercado_Receita!$S$2:$S$1261,"44470B1Convencional pré-pagamentoResidencialResidencial baixa renda – faixa 03Não se aplicaNão se aplicaPonta",Mercado_Receita!$L$2:$L$1261)+SUMIF(Mercado_Receita!$S$2:$S$1261,"44470B1Convencional pré-pagamentoResidencialResidencial baixa renda – faixa 03Não se aplicaNão se aplicaFora ponta",Mercado_Receita!$L$2:$L$1261)+SUMIF(Mercado_Receita!$S$2:$S$1261,"44470B1Convencional pré-pagamentoResidencialResidencial baixa renda – faixa 03Não se aplicaNão se aplicaIntermediário",Mercado_Receita!$L$2:$L$1261)+SUMIF(Mercado_Receita!$S$2:$S$1261,"44470B1Convencional pré-pagamentoResidencialResidencial baixa renda – faixa 03Não se aplicaNão se aplicaNão se aplica",Mercado_Receita!$L$2:$L$1261)</f>
        <v>0</v>
      </c>
      <c r="K25" s="12">
        <f>SUMIF(Mercado_Receita!$S$2:$S$1261,"44501B1Convencional pré-pagamentoResidencialResidencial baixa renda – faixa 03Não se aplicaNão se aplicaPonta",Mercado_Receita!$L$2:$L$1261)+SUMIF(Mercado_Receita!$S$2:$S$1261,"44501B1Convencional pré-pagamentoResidencialResidencial baixa renda – faixa 03Não se aplicaNão se aplicaFora ponta",Mercado_Receita!$L$2:$L$1261)+SUMIF(Mercado_Receita!$S$2:$S$1261,"44501B1Convencional pré-pagamentoResidencialResidencial baixa renda – faixa 03Não se aplicaNão se aplicaIntermediário",Mercado_Receita!$L$2:$L$1261)+SUMIF(Mercado_Receita!$S$2:$S$1261,"44501B1Convencional pré-pagamentoResidencialResidencial baixa renda – faixa 03Não se aplicaNão se aplicaNão se aplica",Mercado_Receita!$L$2:$L$1261)</f>
        <v>0</v>
      </c>
      <c r="L25" s="12">
        <f>SUMIF(Mercado_Receita!$S$2:$S$1261,"44531B1Convencional pré-pagamentoResidencialResidencial baixa renda – faixa 03Não se aplicaNão se aplicaPonta",Mercado_Receita!$L$2:$L$1261)+SUMIF(Mercado_Receita!$S$2:$S$1261,"44531B1Convencional pré-pagamentoResidencialResidencial baixa renda – faixa 03Não se aplicaNão se aplicaFora ponta",Mercado_Receita!$L$2:$L$1261)+SUMIF(Mercado_Receita!$S$2:$S$1261,"44531B1Convencional pré-pagamentoResidencialResidencial baixa renda – faixa 03Não se aplicaNão se aplicaIntermediário",Mercado_Receita!$L$2:$L$1261)+SUMIF(Mercado_Receita!$S$2:$S$1261,"44531B1Convencional pré-pagamentoResidencialResidencial baixa renda – faixa 03Não se aplicaNão se aplicaNão se aplica",Mercado_Receita!$L$2:$L$1261)</f>
        <v>0</v>
      </c>
      <c r="M25" s="12">
        <f>SUMIF(Mercado_Receita!$S$2:$S$1261,"44562B1Convencional pré-pagamentoResidencialResidencial baixa renda – faixa 03Não se aplicaNão se aplicaPonta",Mercado_Receita!$L$2:$L$1261)+SUMIF(Mercado_Receita!$S$2:$S$1261,"44562B1Convencional pré-pagamentoResidencialResidencial baixa renda – faixa 03Não se aplicaNão se aplicaFora ponta",Mercado_Receita!$L$2:$L$1261)+SUMIF(Mercado_Receita!$S$2:$S$1261,"44562B1Convencional pré-pagamentoResidencialResidencial baixa renda – faixa 03Não se aplicaNão se aplicaIntermediário",Mercado_Receita!$L$2:$L$1261)+SUMIF(Mercado_Receita!$S$2:$S$1261,"44562B1Convencional pré-pagamentoResidencialResidencial baixa renda – faixa 03Não se aplicaNão se aplicaNão se aplica",Mercado_Receita!$L$2:$L$1261)</f>
        <v>0</v>
      </c>
      <c r="N25" s="12">
        <f>SUMIF(Mercado_Receita!$S$2:$S$1261,"44593B1Convencional pré-pagamentoResidencialResidencial baixa renda – faixa 03Não se aplicaNão se aplicaPonta",Mercado_Receita!$L$2:$L$1261)+SUMIF(Mercado_Receita!$S$2:$S$1261,"44593B1Convencional pré-pagamentoResidencialResidencial baixa renda – faixa 03Não se aplicaNão se aplicaFora ponta",Mercado_Receita!$L$2:$L$1261)+SUMIF(Mercado_Receita!$S$2:$S$1261,"44593B1Convencional pré-pagamentoResidencialResidencial baixa renda – faixa 03Não se aplicaNão se aplicaIntermediário",Mercado_Receita!$L$2:$L$1261)+SUMIF(Mercado_Receita!$S$2:$S$1261,"44593B1Convencional pré-pagamentoResidencialResidencial baixa renda – faixa 03Não se aplicaNão se aplicaNão se aplica",Mercado_Receita!$L$2:$L$1261)</f>
        <v>0</v>
      </c>
      <c r="O25" s="12">
        <f>SUMIF(Mercado_Receita!$S$2:$S$1261,"44621B1Convencional pré-pagamentoResidencialResidencial baixa renda – faixa 03Não se aplicaNão se aplicaPonta",Mercado_Receita!$L$2:$L$1261)+SUMIF(Mercado_Receita!$S$2:$S$1261,"44621B1Convencional pré-pagamentoResidencialResidencial baixa renda – faixa 03Não se aplicaNão se aplicaFora ponta",Mercado_Receita!$L$2:$L$1261)+SUMIF(Mercado_Receita!$S$2:$S$1261,"44621B1Convencional pré-pagamentoResidencialResidencial baixa renda – faixa 03Não se aplicaNão se aplicaIntermediário",Mercado_Receita!$L$2:$L$1261)+SUMIF(Mercado_Receita!$S$2:$S$1261,"44621B1Convencional pré-pagamentoResidencialResidencial baixa renda – faixa 03Não se aplicaNão se aplicaNão se aplica",Mercado_Receita!$L$2:$L$1261)</f>
        <v>0</v>
      </c>
      <c r="P25" s="12">
        <f>SUMIF(Mercado_Receita!$S$2:$S$1261,"44652B1Convencional pré-pagamentoResidencialResidencial baixa renda – faixa 03Não se aplicaNão se aplicaPonta",Mercado_Receita!$L$2:$L$1261)+SUMIF(Mercado_Receita!$S$2:$S$1261,"44652B1Convencional pré-pagamentoResidencialResidencial baixa renda – faixa 03Não se aplicaNão se aplicaFora ponta",Mercado_Receita!$L$2:$L$1261)+SUMIF(Mercado_Receita!$S$2:$S$1261,"44652B1Convencional pré-pagamentoResidencialResidencial baixa renda – faixa 03Não se aplicaNão se aplicaIntermediário",Mercado_Receita!$L$2:$L$1261)+SUMIF(Mercado_Receita!$S$2:$S$1261,"44652B1Convencional pré-pagamentoResidencialResidencial baixa renda – faixa 03Não se aplicaNão se aplicaNão se aplica",Mercado_Receita!$L$2:$L$1261)</f>
        <v>0</v>
      </c>
      <c r="Q25" s="12">
        <f>SUMIF(Mercado_Receita!$S$2:$S$1261,"44682B1Convencional pré-pagamentoResidencialResidencial baixa renda – faixa 03Não se aplicaNão se aplicaPonta",Mercado_Receita!$L$2:$L$1261)+SUMIF(Mercado_Receita!$S$2:$S$1261,"44682B1Convencional pré-pagamentoResidencialResidencial baixa renda – faixa 03Não se aplicaNão se aplicaFora ponta",Mercado_Receita!$L$2:$L$1261)+SUMIF(Mercado_Receita!$S$2:$S$1261,"44682B1Convencional pré-pagamentoResidencialResidencial baixa renda – faixa 03Não se aplicaNão se aplicaIntermediário",Mercado_Receita!$L$2:$L$1261)+SUMIF(Mercado_Receita!$S$2:$S$1261,"44682B1Convencional pré-pagamentoResidencialResidencial baixa renda – faixa 03Não se aplicaNão se aplicaNão se aplica",Mercado_Receita!$L$2:$L$1261)</f>
        <v>0</v>
      </c>
      <c r="R25" s="12">
        <f>SUMIF(Mercado_Receita!$S$2:$S$1261,"44713B1Convencional pré-pagamentoResidencialResidencial baixa renda – faixa 03Não se aplicaNão se aplicaPonta",Mercado_Receita!$L$2:$L$1261)+SUMIF(Mercado_Receita!$S$2:$S$1261,"44713B1Convencional pré-pagamentoResidencialResidencial baixa renda – faixa 03Não se aplicaNão se aplicaFora ponta",Mercado_Receita!$L$2:$L$1261)+SUMIF(Mercado_Receita!$S$2:$S$1261,"44713B1Convencional pré-pagamentoResidencialResidencial baixa renda – faixa 03Não se aplicaNão se aplicaIntermediário",Mercado_Receita!$L$2:$L$1261)+SUMIF(Mercado_Receita!$S$2:$S$1261,"44713B1Convencional pré-pagamentoResidencialResidencial baixa renda – faixa 03Não se aplicaNão se aplicaNão se aplica",Mercado_Receita!$L$2:$L$1261)</f>
        <v>0</v>
      </c>
      <c r="S25" s="12">
        <f>SUMIF(Mercado_Receita!$S$2:$S$1261,"44743B1Convencional pré-pagamentoResidencialResidencial baixa renda – faixa 03Não se aplicaNão se aplicaPonta",Mercado_Receita!$L$2:$L$1261)+SUMIF(Mercado_Receita!$S$2:$S$1261,"44743B1Convencional pré-pagamentoResidencialResidencial baixa renda – faixa 03Não se aplicaNão se aplicaFora ponta",Mercado_Receita!$L$2:$L$1261)+SUMIF(Mercado_Receita!$S$2:$S$1261,"44743B1Convencional pré-pagamentoResidencialResidencial baixa renda – faixa 03Não se aplicaNão se aplicaIntermediário",Mercado_Receita!$L$2:$L$1261)+SUMIF(Mercado_Receita!$S$2:$S$1261,"44743B1Convencional pré-pagamentoResidencialResidencial baixa renda – faixa 03Não se aplicaNão se aplicaNão se aplica",Mercado_Receita!$L$2:$L$1261)</f>
        <v>0</v>
      </c>
      <c r="T25" s="12">
        <f>SUMIF(Mercado_Receita!$S$2:$S$1261,"44774B1Convencional pré-pagamentoResidencialResidencial baixa renda – faixa 03Não se aplicaNão se aplicaPonta",Mercado_Receita!$L$2:$L$1261)+SUMIF(Mercado_Receita!$S$2:$S$1261,"44774B1Convencional pré-pagamentoResidencialResidencial baixa renda – faixa 03Não se aplicaNão se aplicaFora ponta",Mercado_Receita!$L$2:$L$1261)+SUMIF(Mercado_Receita!$S$2:$S$1261,"44774B1Convencional pré-pagamentoResidencialResidencial baixa renda – faixa 03Não se aplicaNão se aplicaIntermediário",Mercado_Receita!$L$2:$L$1261)+SUMIF(Mercado_Receita!$S$2:$S$1261,"44774B1Convencional pré-pagamentoResidencialResidencial baixa renda – faixa 03Não se aplicaNão se aplicaNão se aplica",Mercado_Receita!$L$2:$L$1261)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105"/>
      <c r="B26" s="105"/>
      <c r="C26" s="105"/>
      <c r="D26" s="13" t="s">
        <v>32</v>
      </c>
      <c r="E26" s="13" t="s">
        <v>25</v>
      </c>
      <c r="F26" s="13" t="s">
        <v>25</v>
      </c>
      <c r="G26" s="12" t="s">
        <v>86</v>
      </c>
      <c r="H26" s="12" t="s">
        <v>80</v>
      </c>
      <c r="I26" s="12">
        <f>SUMIF(Mercado_Receita!$S$2:$S$1261,"44440B1Convencional pré-pagamentoResidencialResidencial baixa renda – faixa 04Não se aplicaNão se aplicaPonta",Mercado_Receita!$L$2:$L$1261)+SUMIF(Mercado_Receita!$S$2:$S$1261,"44440B1Convencional pré-pagamentoResidencialResidencial baixa renda – faixa 04Não se aplicaNão se aplicaFora ponta",Mercado_Receita!$L$2:$L$1261)+SUMIF(Mercado_Receita!$S$2:$S$1261,"44440B1Convencional pré-pagamentoResidencialResidencial baixa renda – faixa 04Não se aplicaNão se aplicaIntermediário",Mercado_Receita!$L$2:$L$1261)+SUMIF(Mercado_Receita!$S$2:$S$1261,"44440B1Convencional pré-pagamentoResidencialResidencial baixa renda – faixa 04Não se aplicaNão se aplicaNão se aplica",Mercado_Receita!$L$2:$L$1261)</f>
        <v>0</v>
      </c>
      <c r="J26" s="12">
        <f>SUMIF(Mercado_Receita!$S$2:$S$1261,"44470B1Convencional pré-pagamentoResidencialResidencial baixa renda – faixa 04Não se aplicaNão se aplicaPonta",Mercado_Receita!$L$2:$L$1261)+SUMIF(Mercado_Receita!$S$2:$S$1261,"44470B1Convencional pré-pagamentoResidencialResidencial baixa renda – faixa 04Não se aplicaNão se aplicaFora ponta",Mercado_Receita!$L$2:$L$1261)+SUMIF(Mercado_Receita!$S$2:$S$1261,"44470B1Convencional pré-pagamentoResidencialResidencial baixa renda – faixa 04Não se aplicaNão se aplicaIntermediário",Mercado_Receita!$L$2:$L$1261)+SUMIF(Mercado_Receita!$S$2:$S$1261,"44470B1Convencional pré-pagamentoResidencialResidencial baixa renda – faixa 04Não se aplicaNão se aplicaNão se aplica",Mercado_Receita!$L$2:$L$1261)</f>
        <v>0</v>
      </c>
      <c r="K26" s="12">
        <f>SUMIF(Mercado_Receita!$S$2:$S$1261,"44501B1Convencional pré-pagamentoResidencialResidencial baixa renda – faixa 04Não se aplicaNão se aplicaPonta",Mercado_Receita!$L$2:$L$1261)+SUMIF(Mercado_Receita!$S$2:$S$1261,"44501B1Convencional pré-pagamentoResidencialResidencial baixa renda – faixa 04Não se aplicaNão se aplicaFora ponta",Mercado_Receita!$L$2:$L$1261)+SUMIF(Mercado_Receita!$S$2:$S$1261,"44501B1Convencional pré-pagamentoResidencialResidencial baixa renda – faixa 04Não se aplicaNão se aplicaIntermediário",Mercado_Receita!$L$2:$L$1261)+SUMIF(Mercado_Receita!$S$2:$S$1261,"44501B1Convencional pré-pagamentoResidencialResidencial baixa renda – faixa 04Não se aplicaNão se aplicaNão se aplica",Mercado_Receita!$L$2:$L$1261)</f>
        <v>0</v>
      </c>
      <c r="L26" s="12">
        <f>SUMIF(Mercado_Receita!$S$2:$S$1261,"44531B1Convencional pré-pagamentoResidencialResidencial baixa renda – faixa 04Não se aplicaNão se aplicaPonta",Mercado_Receita!$L$2:$L$1261)+SUMIF(Mercado_Receita!$S$2:$S$1261,"44531B1Convencional pré-pagamentoResidencialResidencial baixa renda – faixa 04Não se aplicaNão se aplicaFora ponta",Mercado_Receita!$L$2:$L$1261)+SUMIF(Mercado_Receita!$S$2:$S$1261,"44531B1Convencional pré-pagamentoResidencialResidencial baixa renda – faixa 04Não se aplicaNão se aplicaIntermediário",Mercado_Receita!$L$2:$L$1261)+SUMIF(Mercado_Receita!$S$2:$S$1261,"44531B1Convencional pré-pagamentoResidencialResidencial baixa renda – faixa 04Não se aplicaNão se aplicaNão se aplica",Mercado_Receita!$L$2:$L$1261)</f>
        <v>0</v>
      </c>
      <c r="M26" s="12">
        <f>SUMIF(Mercado_Receita!$S$2:$S$1261,"44562B1Convencional pré-pagamentoResidencialResidencial baixa renda – faixa 04Não se aplicaNão se aplicaPonta",Mercado_Receita!$L$2:$L$1261)+SUMIF(Mercado_Receita!$S$2:$S$1261,"44562B1Convencional pré-pagamentoResidencialResidencial baixa renda – faixa 04Não se aplicaNão se aplicaFora ponta",Mercado_Receita!$L$2:$L$1261)+SUMIF(Mercado_Receita!$S$2:$S$1261,"44562B1Convencional pré-pagamentoResidencialResidencial baixa renda – faixa 04Não se aplicaNão se aplicaIntermediário",Mercado_Receita!$L$2:$L$1261)+SUMIF(Mercado_Receita!$S$2:$S$1261,"44562B1Convencional pré-pagamentoResidencialResidencial baixa renda – faixa 04Não se aplicaNão se aplicaNão se aplica",Mercado_Receita!$L$2:$L$1261)</f>
        <v>0</v>
      </c>
      <c r="N26" s="12">
        <f>SUMIF(Mercado_Receita!$S$2:$S$1261,"44593B1Convencional pré-pagamentoResidencialResidencial baixa renda – faixa 04Não se aplicaNão se aplicaPonta",Mercado_Receita!$L$2:$L$1261)+SUMIF(Mercado_Receita!$S$2:$S$1261,"44593B1Convencional pré-pagamentoResidencialResidencial baixa renda – faixa 04Não se aplicaNão se aplicaFora ponta",Mercado_Receita!$L$2:$L$1261)+SUMIF(Mercado_Receita!$S$2:$S$1261,"44593B1Convencional pré-pagamentoResidencialResidencial baixa renda – faixa 04Não se aplicaNão se aplicaIntermediário",Mercado_Receita!$L$2:$L$1261)+SUMIF(Mercado_Receita!$S$2:$S$1261,"44593B1Convencional pré-pagamentoResidencialResidencial baixa renda – faixa 04Não se aplicaNão se aplicaNão se aplica",Mercado_Receita!$L$2:$L$1261)</f>
        <v>0</v>
      </c>
      <c r="O26" s="12">
        <f>SUMIF(Mercado_Receita!$S$2:$S$1261,"44621B1Convencional pré-pagamentoResidencialResidencial baixa renda – faixa 04Não se aplicaNão se aplicaPonta",Mercado_Receita!$L$2:$L$1261)+SUMIF(Mercado_Receita!$S$2:$S$1261,"44621B1Convencional pré-pagamentoResidencialResidencial baixa renda – faixa 04Não se aplicaNão se aplicaFora ponta",Mercado_Receita!$L$2:$L$1261)+SUMIF(Mercado_Receita!$S$2:$S$1261,"44621B1Convencional pré-pagamentoResidencialResidencial baixa renda – faixa 04Não se aplicaNão se aplicaIntermediário",Mercado_Receita!$L$2:$L$1261)+SUMIF(Mercado_Receita!$S$2:$S$1261,"44621B1Convencional pré-pagamentoResidencialResidencial baixa renda – faixa 04Não se aplicaNão se aplicaNão se aplica",Mercado_Receita!$L$2:$L$1261)</f>
        <v>0</v>
      </c>
      <c r="P26" s="12">
        <f>SUMIF(Mercado_Receita!$S$2:$S$1261,"44652B1Convencional pré-pagamentoResidencialResidencial baixa renda – faixa 04Não se aplicaNão se aplicaPonta",Mercado_Receita!$L$2:$L$1261)+SUMIF(Mercado_Receita!$S$2:$S$1261,"44652B1Convencional pré-pagamentoResidencialResidencial baixa renda – faixa 04Não se aplicaNão se aplicaFora ponta",Mercado_Receita!$L$2:$L$1261)+SUMIF(Mercado_Receita!$S$2:$S$1261,"44652B1Convencional pré-pagamentoResidencialResidencial baixa renda – faixa 04Não se aplicaNão se aplicaIntermediário",Mercado_Receita!$L$2:$L$1261)+SUMIF(Mercado_Receita!$S$2:$S$1261,"44652B1Convencional pré-pagamentoResidencialResidencial baixa renda – faixa 04Não se aplicaNão se aplicaNão se aplica",Mercado_Receita!$L$2:$L$1261)</f>
        <v>0</v>
      </c>
      <c r="Q26" s="12">
        <f>SUMIF(Mercado_Receita!$S$2:$S$1261,"44682B1Convencional pré-pagamentoResidencialResidencial baixa renda – faixa 04Não se aplicaNão se aplicaPonta",Mercado_Receita!$L$2:$L$1261)+SUMIF(Mercado_Receita!$S$2:$S$1261,"44682B1Convencional pré-pagamentoResidencialResidencial baixa renda – faixa 04Não se aplicaNão se aplicaFora ponta",Mercado_Receita!$L$2:$L$1261)+SUMIF(Mercado_Receita!$S$2:$S$1261,"44682B1Convencional pré-pagamentoResidencialResidencial baixa renda – faixa 04Não se aplicaNão se aplicaIntermediário",Mercado_Receita!$L$2:$L$1261)+SUMIF(Mercado_Receita!$S$2:$S$1261,"44682B1Convencional pré-pagamentoResidencialResidencial baixa renda – faixa 04Não se aplicaNão se aplicaNão se aplica",Mercado_Receita!$L$2:$L$1261)</f>
        <v>0</v>
      </c>
      <c r="R26" s="12">
        <f>SUMIF(Mercado_Receita!$S$2:$S$1261,"44713B1Convencional pré-pagamentoResidencialResidencial baixa renda – faixa 04Não se aplicaNão se aplicaPonta",Mercado_Receita!$L$2:$L$1261)+SUMIF(Mercado_Receita!$S$2:$S$1261,"44713B1Convencional pré-pagamentoResidencialResidencial baixa renda – faixa 04Não se aplicaNão se aplicaFora ponta",Mercado_Receita!$L$2:$L$1261)+SUMIF(Mercado_Receita!$S$2:$S$1261,"44713B1Convencional pré-pagamentoResidencialResidencial baixa renda – faixa 04Não se aplicaNão se aplicaIntermediário",Mercado_Receita!$L$2:$L$1261)+SUMIF(Mercado_Receita!$S$2:$S$1261,"44713B1Convencional pré-pagamentoResidencialResidencial baixa renda – faixa 04Não se aplicaNão se aplicaNão se aplica",Mercado_Receita!$L$2:$L$1261)</f>
        <v>0</v>
      </c>
      <c r="S26" s="12">
        <f>SUMIF(Mercado_Receita!$S$2:$S$1261,"44743B1Convencional pré-pagamentoResidencialResidencial baixa renda – faixa 04Não se aplicaNão se aplicaPonta",Mercado_Receita!$L$2:$L$1261)+SUMIF(Mercado_Receita!$S$2:$S$1261,"44743B1Convencional pré-pagamentoResidencialResidencial baixa renda – faixa 04Não se aplicaNão se aplicaFora ponta",Mercado_Receita!$L$2:$L$1261)+SUMIF(Mercado_Receita!$S$2:$S$1261,"44743B1Convencional pré-pagamentoResidencialResidencial baixa renda – faixa 04Não se aplicaNão se aplicaIntermediário",Mercado_Receita!$L$2:$L$1261)+SUMIF(Mercado_Receita!$S$2:$S$1261,"44743B1Convencional pré-pagamentoResidencialResidencial baixa renda – faixa 04Não se aplicaNão se aplicaNão se aplica",Mercado_Receita!$L$2:$L$1261)</f>
        <v>0</v>
      </c>
      <c r="T26" s="12">
        <f>SUMIF(Mercado_Receita!$S$2:$S$1261,"44774B1Convencional pré-pagamentoResidencialResidencial baixa renda – faixa 04Não se aplicaNão se aplicaPonta",Mercado_Receita!$L$2:$L$1261)+SUMIF(Mercado_Receita!$S$2:$S$1261,"44774B1Convencional pré-pagamentoResidencialResidencial baixa renda – faixa 04Não se aplicaNão se aplicaFora ponta",Mercado_Receita!$L$2:$L$1261)+SUMIF(Mercado_Receita!$S$2:$S$1261,"44774B1Convencional pré-pagamentoResidencialResidencial baixa renda – faixa 04Não se aplicaNão se aplicaIntermediário",Mercado_Receita!$L$2:$L$1261)+SUMIF(Mercado_Receita!$S$2:$S$1261,"44774B1Convencional pré-pagamentoResidencialResidencial baixa renda – faixa 04Não se aplicaNão se aplicaNão se aplica",Mercado_Receita!$L$2:$L$1261)</f>
        <v>0</v>
      </c>
      <c r="U26" s="12">
        <f t="shared" si="0"/>
        <v>0</v>
      </c>
      <c r="V26" s="12"/>
      <c r="W26" s="12"/>
    </row>
    <row r="27" spans="1:23" ht="11.25" customHeight="1" x14ac:dyDescent="0.25">
      <c r="A27" s="104" t="s">
        <v>43</v>
      </c>
      <c r="B27" s="104" t="s">
        <v>33</v>
      </c>
      <c r="C27" s="104" t="s">
        <v>44</v>
      </c>
      <c r="D27" s="104" t="s">
        <v>25</v>
      </c>
      <c r="E27" s="104" t="s">
        <v>25</v>
      </c>
      <c r="F27" s="104" t="s">
        <v>25</v>
      </c>
      <c r="G27" s="12" t="s">
        <v>81</v>
      </c>
      <c r="H27" s="12" t="s">
        <v>80</v>
      </c>
      <c r="I27" s="12">
        <f>SUMIF(Mercado_Receita!$S$2:$S$1261,"44440B2BrancaRuralNão se aplicaNão se aplicaNão se aplicaPonta",Mercado_Receita!$L$2:$L$1261)</f>
        <v>1.9E-2</v>
      </c>
      <c r="J27" s="12">
        <f>SUMIF(Mercado_Receita!$S$2:$S$1261,"44470B2BrancaRuralNão se aplicaNão se aplicaNão se aplicaPonta",Mercado_Receita!$L$2:$L$1261)</f>
        <v>0.02</v>
      </c>
      <c r="K27" s="12">
        <f>SUMIF(Mercado_Receita!$S$2:$S$1261,"44501B2BrancaRuralNão se aplicaNão se aplicaNão se aplicaPonta",Mercado_Receita!$L$2:$L$1261)</f>
        <v>2.1000000000000001E-2</v>
      </c>
      <c r="L27" s="12">
        <f>SUMIF(Mercado_Receita!$S$2:$S$1261,"44531B2BrancaRuralNão se aplicaNão se aplicaNão se aplicaPonta",Mercado_Receita!$L$2:$L$1261)</f>
        <v>0.02</v>
      </c>
      <c r="M27" s="12">
        <f>SUMIF(Mercado_Receita!$S$2:$S$1261,"44562B2BrancaRuralNão se aplicaNão se aplicaNão se aplicaPonta",Mercado_Receita!$L$2:$L$1261)</f>
        <v>2.1999999999999999E-2</v>
      </c>
      <c r="N27" s="12">
        <f>SUMIF(Mercado_Receita!$S$2:$S$1261,"44593B2BrancaRuralNão se aplicaNão se aplicaNão se aplicaPonta",Mercado_Receita!$L$2:$L$1261)</f>
        <v>2.1000000000000001E-2</v>
      </c>
      <c r="O27" s="12">
        <f>SUMIF(Mercado_Receita!$S$2:$S$1261,"44621B2BrancaRuralNão se aplicaNão se aplicaNão se aplicaPonta",Mercado_Receita!$L$2:$L$1261)</f>
        <v>1.9E-2</v>
      </c>
      <c r="P27" s="12">
        <f>SUMIF(Mercado_Receita!$S$2:$S$1261,"44652B2BrancaRuralNão se aplicaNão se aplicaNão se aplicaPonta",Mercado_Receita!$L$2:$L$1261)</f>
        <v>3.3000000000000002E-2</v>
      </c>
      <c r="Q27" s="12">
        <f>SUMIF(Mercado_Receita!$S$2:$S$1261,"44682B2BrancaRuralNão se aplicaNão se aplicaNão se aplicaPonta",Mercado_Receita!$L$2:$L$1261)</f>
        <v>2.5999999999999999E-2</v>
      </c>
      <c r="R27" s="12">
        <f>SUMIF(Mercado_Receita!$S$2:$S$1261,"44713B2BrancaRuralNão se aplicaNão se aplicaNão se aplicaPonta",Mercado_Receita!$L$2:$L$1261)</f>
        <v>2.5000000000000001E-2</v>
      </c>
      <c r="S27" s="12">
        <f>SUMIF(Mercado_Receita!$S$2:$S$1261,"44743B2BrancaRuralNão se aplicaNão se aplicaNão se aplicaPonta",Mercado_Receita!$L$2:$L$1261)</f>
        <v>2.3E-2</v>
      </c>
      <c r="T27" s="12">
        <f>SUMIF(Mercado_Receita!$S$2:$S$1261,"44774B2BrancaRuralNão se aplicaNão se aplicaNão se aplicaPonta",Mercado_Receita!$L$2:$L$1261)</f>
        <v>2.3E-2</v>
      </c>
      <c r="U27" s="12">
        <f t="shared" si="0"/>
        <v>0.27200000000000002</v>
      </c>
      <c r="V27" s="12"/>
      <c r="W27" s="12"/>
    </row>
    <row r="28" spans="1:23" ht="11.25" customHeight="1" x14ac:dyDescent="0.25">
      <c r="A28" s="105"/>
      <c r="B28" s="105"/>
      <c r="C28" s="105"/>
      <c r="D28" s="105"/>
      <c r="E28" s="105"/>
      <c r="F28" s="105"/>
      <c r="G28" s="12" t="s">
        <v>91</v>
      </c>
      <c r="H28" s="12" t="s">
        <v>80</v>
      </c>
      <c r="I28" s="12">
        <f>SUMIF(Mercado_Receita!$S$2:$S$1261,"44440B2BrancaRuralNão se aplicaNão se aplicaNão se aplicaIntermediário",Mercado_Receita!$L$2:$L$1261)</f>
        <v>1.4E-2</v>
      </c>
      <c r="J28" s="12">
        <f>SUMIF(Mercado_Receita!$S$2:$S$1261,"44470B2BrancaRuralNão se aplicaNão se aplicaNão se aplicaIntermediário",Mercado_Receita!$L$2:$L$1261)</f>
        <v>1.7000000000000001E-2</v>
      </c>
      <c r="K28" s="12">
        <f>SUMIF(Mercado_Receita!$S$2:$S$1261,"44501B2BrancaRuralNão se aplicaNão se aplicaNão se aplicaIntermediário",Mercado_Receita!$L$2:$L$1261)</f>
        <v>1.6E-2</v>
      </c>
      <c r="L28" s="12">
        <f>SUMIF(Mercado_Receita!$S$2:$S$1261,"44531B2BrancaRuralNão se aplicaNão se aplicaNão se aplicaIntermediário",Mercado_Receita!$L$2:$L$1261)</f>
        <v>1.4999999999999999E-2</v>
      </c>
      <c r="M28" s="12">
        <f>SUMIF(Mercado_Receita!$S$2:$S$1261,"44562B2BrancaRuralNão se aplicaNão se aplicaNão se aplicaIntermediário",Mercado_Receita!$L$2:$L$1261)</f>
        <v>1.7000000000000001E-2</v>
      </c>
      <c r="N28" s="12">
        <f>SUMIF(Mercado_Receita!$S$2:$S$1261,"44593B2BrancaRuralNão se aplicaNão se aplicaNão se aplicaIntermediário",Mercado_Receita!$L$2:$L$1261)</f>
        <v>1.6E-2</v>
      </c>
      <c r="O28" s="12">
        <f>SUMIF(Mercado_Receita!$S$2:$S$1261,"44621B2BrancaRuralNão se aplicaNão se aplicaNão se aplicaIntermediário",Mercado_Receita!$L$2:$L$1261)</f>
        <v>1.6E-2</v>
      </c>
      <c r="P28" s="12">
        <f>SUMIF(Mercado_Receita!$S$2:$S$1261,"44652B2BrancaRuralNão se aplicaNão se aplicaNão se aplicaIntermediário",Mercado_Receita!$L$2:$L$1261)</f>
        <v>2.1999999999999999E-2</v>
      </c>
      <c r="Q28" s="12">
        <f>SUMIF(Mercado_Receita!$S$2:$S$1261,"44682B2BrancaRuralNão se aplicaNão se aplicaNão se aplicaIntermediário",Mercado_Receita!$L$2:$L$1261)</f>
        <v>2.3E-2</v>
      </c>
      <c r="R28" s="12">
        <f>SUMIF(Mercado_Receita!$S$2:$S$1261,"44713B2BrancaRuralNão se aplicaNão se aplicaNão se aplicaIntermediário",Mercado_Receita!$L$2:$L$1261)</f>
        <v>1.7000000000000001E-2</v>
      </c>
      <c r="S28" s="12">
        <f>SUMIF(Mercado_Receita!$S$2:$S$1261,"44743B2BrancaRuralNão se aplicaNão se aplicaNão se aplicaIntermediário",Mercado_Receita!$L$2:$L$1261)</f>
        <v>1.4E-2</v>
      </c>
      <c r="T28" s="12">
        <f>SUMIF(Mercado_Receita!$S$2:$S$1261,"44774B2BrancaRuralNão se aplicaNão se aplicaNão se aplicaIntermediário",Mercado_Receita!$L$2:$L$1261)</f>
        <v>1.4E-2</v>
      </c>
      <c r="U28" s="12">
        <f t="shared" si="0"/>
        <v>0.20100000000000001</v>
      </c>
      <c r="V28" s="12"/>
      <c r="W28" s="12"/>
    </row>
    <row r="29" spans="1:23" ht="11.25" customHeight="1" x14ac:dyDescent="0.25">
      <c r="A29" s="105"/>
      <c r="B29" s="105"/>
      <c r="C29" s="105"/>
      <c r="D29" s="105"/>
      <c r="E29" s="105"/>
      <c r="F29" s="105"/>
      <c r="G29" s="12" t="s">
        <v>82</v>
      </c>
      <c r="H29" s="12" t="s">
        <v>80</v>
      </c>
      <c r="I29" s="12">
        <f>SUMIF(Mercado_Receita!$S$2:$S$1261,"44440B2BrancaRuralNão se aplicaNão se aplicaNão se aplicaFora ponta",Mercado_Receita!$L$2:$L$1261)</f>
        <v>0.439</v>
      </c>
      <c r="J29" s="12">
        <f>SUMIF(Mercado_Receita!$S$2:$S$1261,"44470B2BrancaRuralNão se aplicaNão se aplicaNão se aplicaFora ponta",Mercado_Receita!$L$2:$L$1261)</f>
        <v>0.68200000000000005</v>
      </c>
      <c r="K29" s="12">
        <f>SUMIF(Mercado_Receita!$S$2:$S$1261,"44501B2BrancaRuralNão se aplicaNão se aplicaNão se aplicaFora ponta",Mercado_Receita!$L$2:$L$1261)</f>
        <v>0.317</v>
      </c>
      <c r="L29" s="12">
        <f>SUMIF(Mercado_Receita!$S$2:$S$1261,"44531B2BrancaRuralNão se aplicaNão se aplicaNão se aplicaFora ponta",Mercado_Receita!$L$2:$L$1261)</f>
        <v>0.26200000000000001</v>
      </c>
      <c r="M29" s="12">
        <f>SUMIF(Mercado_Receita!$S$2:$S$1261,"44562B2BrancaRuralNão se aplicaNão se aplicaNão se aplicaFora ponta",Mercado_Receita!$L$2:$L$1261)</f>
        <v>0.42599999999999999</v>
      </c>
      <c r="N29" s="12">
        <f>SUMIF(Mercado_Receita!$S$2:$S$1261,"44593B2BrancaRuralNão se aplicaNão se aplicaNão se aplicaFora ponta",Mercado_Receita!$L$2:$L$1261)</f>
        <v>0.34699999999999998</v>
      </c>
      <c r="O29" s="12">
        <f>SUMIF(Mercado_Receita!$S$2:$S$1261,"44621B2BrancaRuralNão se aplicaNão se aplicaNão se aplicaFora ponta",Mercado_Receita!$L$2:$L$1261)</f>
        <v>0.35099999999999998</v>
      </c>
      <c r="P29" s="12">
        <f>SUMIF(Mercado_Receita!$S$2:$S$1261,"44652B2BrancaRuralNão se aplicaNão se aplicaNão se aplicaFora ponta",Mercado_Receita!$L$2:$L$1261)</f>
        <v>0.30199999999999999</v>
      </c>
      <c r="Q29" s="12">
        <f>SUMIF(Mercado_Receita!$S$2:$S$1261,"44682B2BrancaRuralNão se aplicaNão se aplicaNão se aplicaFora ponta",Mercado_Receita!$L$2:$L$1261)</f>
        <v>0.54500000000000004</v>
      </c>
      <c r="R29" s="12">
        <f>SUMIF(Mercado_Receita!$S$2:$S$1261,"44713B2BrancaRuralNão se aplicaNão se aplicaNão se aplicaFora ponta",Mercado_Receita!$L$2:$L$1261)</f>
        <v>0.55300000000000005</v>
      </c>
      <c r="S29" s="12">
        <f>SUMIF(Mercado_Receita!$S$2:$S$1261,"44743B2BrancaRuralNão se aplicaNão se aplicaNão se aplicaFora ponta",Mercado_Receita!$L$2:$L$1261)</f>
        <v>0.59</v>
      </c>
      <c r="T29" s="12">
        <f>SUMIF(Mercado_Receita!$S$2:$S$1261,"44774B2BrancaRuralNão se aplicaNão se aplicaNão se aplicaFora ponta",Mercado_Receita!$L$2:$L$1261)</f>
        <v>0.59</v>
      </c>
      <c r="U29" s="12">
        <f t="shared" si="0"/>
        <v>5.4039999999999999</v>
      </c>
      <c r="V29" s="12"/>
      <c r="W29" s="12"/>
    </row>
    <row r="30" spans="1:23" ht="11.25" customHeight="1" x14ac:dyDescent="0.25">
      <c r="A30" s="105"/>
      <c r="B30" s="13" t="s">
        <v>23</v>
      </c>
      <c r="C30" s="13" t="s">
        <v>44</v>
      </c>
      <c r="D30" s="13" t="s">
        <v>25</v>
      </c>
      <c r="E30" s="13" t="s">
        <v>25</v>
      </c>
      <c r="F30" s="13" t="s">
        <v>25</v>
      </c>
      <c r="G30" s="12" t="s">
        <v>86</v>
      </c>
      <c r="H30" s="12" t="s">
        <v>80</v>
      </c>
      <c r="I30" s="12">
        <f>SUMIF(Mercado_Receita!$S$2:$S$1261,"44440B2ConvencionalRuralNão se aplicaNão se aplicaNão se aplicaPonta",Mercado_Receita!$L$2:$L$1261)+SUMIF(Mercado_Receita!$S$2:$S$1261,"44440B2ConvencionalRuralNão se aplicaNão se aplicaNão se aplicaFora ponta",Mercado_Receita!$L$2:$L$1261)+SUMIF(Mercado_Receita!$S$2:$S$1261,"44440B2ConvencionalRuralNão se aplicaNão se aplicaNão se aplicaIntermediário",Mercado_Receita!$L$2:$L$1261)+SUMIF(Mercado_Receita!$S$2:$S$1261,"44440B2ConvencionalRuralNão se aplicaNão se aplicaNão se aplicaNão se aplica",Mercado_Receita!$L$2:$L$1261)</f>
        <v>21074.960999999999</v>
      </c>
      <c r="J30" s="12">
        <f>SUMIF(Mercado_Receita!$S$2:$S$1261,"44470B2ConvencionalRuralNão se aplicaNão se aplicaNão se aplicaPonta",Mercado_Receita!$L$2:$L$1261)+SUMIF(Mercado_Receita!$S$2:$S$1261,"44470B2ConvencionalRuralNão se aplicaNão se aplicaNão se aplicaFora ponta",Mercado_Receita!$L$2:$L$1261)+SUMIF(Mercado_Receita!$S$2:$S$1261,"44470B2ConvencionalRuralNão se aplicaNão se aplicaNão se aplicaIntermediário",Mercado_Receita!$L$2:$L$1261)+SUMIF(Mercado_Receita!$S$2:$S$1261,"44470B2ConvencionalRuralNão se aplicaNão se aplicaNão se aplicaNão se aplica",Mercado_Receita!$L$2:$L$1261)</f>
        <v>21418.967000000004</v>
      </c>
      <c r="K30" s="12">
        <f>SUMIF(Mercado_Receita!$S$2:$S$1261,"44501B2ConvencionalRuralNão se aplicaNão se aplicaNão se aplicaPonta",Mercado_Receita!$L$2:$L$1261)+SUMIF(Mercado_Receita!$S$2:$S$1261,"44501B2ConvencionalRuralNão se aplicaNão se aplicaNão se aplicaFora ponta",Mercado_Receita!$L$2:$L$1261)+SUMIF(Mercado_Receita!$S$2:$S$1261,"44501B2ConvencionalRuralNão se aplicaNão se aplicaNão se aplicaIntermediário",Mercado_Receita!$L$2:$L$1261)+SUMIF(Mercado_Receita!$S$2:$S$1261,"44501B2ConvencionalRuralNão se aplicaNão se aplicaNão se aplicaNão se aplica",Mercado_Receita!$L$2:$L$1261)</f>
        <v>9354.5949999999993</v>
      </c>
      <c r="L30" s="12">
        <f>SUMIF(Mercado_Receita!$S$2:$S$1261,"44531B2ConvencionalRuralNão se aplicaNão se aplicaNão se aplicaPonta",Mercado_Receita!$L$2:$L$1261)+SUMIF(Mercado_Receita!$S$2:$S$1261,"44531B2ConvencionalRuralNão se aplicaNão se aplicaNão se aplicaFora ponta",Mercado_Receita!$L$2:$L$1261)+SUMIF(Mercado_Receita!$S$2:$S$1261,"44531B2ConvencionalRuralNão se aplicaNão se aplicaNão se aplicaIntermediário",Mercado_Receita!$L$2:$L$1261)+SUMIF(Mercado_Receita!$S$2:$S$1261,"44531B2ConvencionalRuralNão se aplicaNão se aplicaNão se aplicaNão se aplica",Mercado_Receita!$L$2:$L$1261)</f>
        <v>8290.7029999999995</v>
      </c>
      <c r="M30" s="12">
        <f>SUMIF(Mercado_Receita!$S$2:$S$1261,"44562B2ConvencionalRuralNão se aplicaNão se aplicaNão se aplicaPonta",Mercado_Receita!$L$2:$L$1261)+SUMIF(Mercado_Receita!$S$2:$S$1261,"44562B2ConvencionalRuralNão se aplicaNão se aplicaNão se aplicaFora ponta",Mercado_Receita!$L$2:$L$1261)+SUMIF(Mercado_Receita!$S$2:$S$1261,"44562B2ConvencionalRuralNão se aplicaNão se aplicaNão se aplicaIntermediário",Mercado_Receita!$L$2:$L$1261)+SUMIF(Mercado_Receita!$S$2:$S$1261,"44562B2ConvencionalRuralNão se aplicaNão se aplicaNão se aplicaNão se aplica",Mercado_Receita!$L$2:$L$1261)</f>
        <v>8610.9929999999986</v>
      </c>
      <c r="N30" s="12">
        <f>SUMIF(Mercado_Receita!$S$2:$S$1261,"44593B2ConvencionalRuralNão se aplicaNão se aplicaNão se aplicaPonta",Mercado_Receita!$L$2:$L$1261)+SUMIF(Mercado_Receita!$S$2:$S$1261,"44593B2ConvencionalRuralNão se aplicaNão se aplicaNão se aplicaFora ponta",Mercado_Receita!$L$2:$L$1261)+SUMIF(Mercado_Receita!$S$2:$S$1261,"44593B2ConvencionalRuralNão se aplicaNão se aplicaNão se aplicaIntermediário",Mercado_Receita!$L$2:$L$1261)+SUMIF(Mercado_Receita!$S$2:$S$1261,"44593B2ConvencionalRuralNão se aplicaNão se aplicaNão se aplicaNão se aplica",Mercado_Receita!$L$2:$L$1261)</f>
        <v>11581.906999999999</v>
      </c>
      <c r="O30" s="12">
        <f>SUMIF(Mercado_Receita!$S$2:$S$1261,"44621B2ConvencionalRuralNão se aplicaNão se aplicaNão se aplicaPonta",Mercado_Receita!$L$2:$L$1261)+SUMIF(Mercado_Receita!$S$2:$S$1261,"44621B2ConvencionalRuralNão se aplicaNão se aplicaNão se aplicaFora ponta",Mercado_Receita!$L$2:$L$1261)+SUMIF(Mercado_Receita!$S$2:$S$1261,"44621B2ConvencionalRuralNão se aplicaNão se aplicaNão se aplicaIntermediário",Mercado_Receita!$L$2:$L$1261)+SUMIF(Mercado_Receita!$S$2:$S$1261,"44621B2ConvencionalRuralNão se aplicaNão se aplicaNão se aplicaNão se aplica",Mercado_Receita!$L$2:$L$1261)</f>
        <v>9985.1660000000011</v>
      </c>
      <c r="P30" s="12">
        <f>SUMIF(Mercado_Receita!$S$2:$S$1261,"44652B2ConvencionalRuralNão se aplicaNão se aplicaNão se aplicaPonta",Mercado_Receita!$L$2:$L$1261)+SUMIF(Mercado_Receita!$S$2:$S$1261,"44652B2ConvencionalRuralNão se aplicaNão se aplicaNão se aplicaFora ponta",Mercado_Receita!$L$2:$L$1261)+SUMIF(Mercado_Receita!$S$2:$S$1261,"44652B2ConvencionalRuralNão se aplicaNão se aplicaNão se aplicaIntermediário",Mercado_Receita!$L$2:$L$1261)+SUMIF(Mercado_Receita!$S$2:$S$1261,"44652B2ConvencionalRuralNão se aplicaNão se aplicaNão se aplicaNão se aplica",Mercado_Receita!$L$2:$L$1261)</f>
        <v>14637.785999999998</v>
      </c>
      <c r="Q30" s="12">
        <f>SUMIF(Mercado_Receita!$S$2:$S$1261,"44682B2ConvencionalRuralNão se aplicaNão se aplicaNão se aplicaPonta",Mercado_Receita!$L$2:$L$1261)+SUMIF(Mercado_Receita!$S$2:$S$1261,"44682B2ConvencionalRuralNão se aplicaNão se aplicaNão se aplicaFora ponta",Mercado_Receita!$L$2:$L$1261)+SUMIF(Mercado_Receita!$S$2:$S$1261,"44682B2ConvencionalRuralNão se aplicaNão se aplicaNão se aplicaIntermediário",Mercado_Receita!$L$2:$L$1261)+SUMIF(Mercado_Receita!$S$2:$S$1261,"44682B2ConvencionalRuralNão se aplicaNão se aplicaNão se aplicaNão se aplica",Mercado_Receita!$L$2:$L$1261)</f>
        <v>20276.927999999996</v>
      </c>
      <c r="R30" s="12">
        <f>SUMIF(Mercado_Receita!$S$2:$S$1261,"44713B2ConvencionalRuralNão se aplicaNão se aplicaNão se aplicaPonta",Mercado_Receita!$L$2:$L$1261)+SUMIF(Mercado_Receita!$S$2:$S$1261,"44713B2ConvencionalRuralNão se aplicaNão se aplicaNão se aplicaFora ponta",Mercado_Receita!$L$2:$L$1261)+SUMIF(Mercado_Receita!$S$2:$S$1261,"44713B2ConvencionalRuralNão se aplicaNão se aplicaNão se aplicaIntermediário",Mercado_Receita!$L$2:$L$1261)+SUMIF(Mercado_Receita!$S$2:$S$1261,"44713B2ConvencionalRuralNão se aplicaNão se aplicaNão se aplicaNão se aplica",Mercado_Receita!$L$2:$L$1261)</f>
        <v>18874.582999999999</v>
      </c>
      <c r="S30" s="12">
        <f>SUMIF(Mercado_Receita!$S$2:$S$1261,"44743B2ConvencionalRuralNão se aplicaNão se aplicaNão se aplicaPonta",Mercado_Receita!$L$2:$L$1261)+SUMIF(Mercado_Receita!$S$2:$S$1261,"44743B2ConvencionalRuralNão se aplicaNão se aplicaNão se aplicaFora ponta",Mercado_Receita!$L$2:$L$1261)+SUMIF(Mercado_Receita!$S$2:$S$1261,"44743B2ConvencionalRuralNão se aplicaNão se aplicaNão se aplicaIntermediário",Mercado_Receita!$L$2:$L$1261)+SUMIF(Mercado_Receita!$S$2:$S$1261,"44743B2ConvencionalRuralNão se aplicaNão se aplicaNão se aplicaNão se aplica",Mercado_Receita!$L$2:$L$1261)</f>
        <v>19665.840000000004</v>
      </c>
      <c r="T30" s="12">
        <f>SUMIF(Mercado_Receita!$S$2:$S$1261,"44774B2ConvencionalRuralNão se aplicaNão se aplicaNão se aplicaPonta",Mercado_Receita!$L$2:$L$1261)+SUMIF(Mercado_Receita!$S$2:$S$1261,"44774B2ConvencionalRuralNão se aplicaNão se aplicaNão se aplicaFora ponta",Mercado_Receita!$L$2:$L$1261)+SUMIF(Mercado_Receita!$S$2:$S$1261,"44774B2ConvencionalRuralNão se aplicaNão se aplicaNão se aplicaIntermediário",Mercado_Receita!$L$2:$L$1261)+SUMIF(Mercado_Receita!$S$2:$S$1261,"44774B2ConvencionalRuralNão se aplicaNão se aplicaNão se aplicaNão se aplica",Mercado_Receita!$L$2:$L$1261)</f>
        <v>19665.840000000004</v>
      </c>
      <c r="U30" s="12">
        <f t="shared" si="0"/>
        <v>183438.26899999997</v>
      </c>
      <c r="V30" s="12"/>
      <c r="W30" s="12"/>
    </row>
    <row r="31" spans="1:23" ht="11.25" customHeight="1" x14ac:dyDescent="0.25">
      <c r="A31" s="105"/>
      <c r="B31" s="104" t="s">
        <v>33</v>
      </c>
      <c r="C31" s="104" t="s">
        <v>44</v>
      </c>
      <c r="D31" s="104" t="s">
        <v>95</v>
      </c>
      <c r="E31" s="104" t="s">
        <v>25</v>
      </c>
      <c r="F31" s="104" t="s">
        <v>25</v>
      </c>
      <c r="G31" s="12" t="s">
        <v>81</v>
      </c>
      <c r="H31" s="12" t="s">
        <v>80</v>
      </c>
      <c r="I31" s="12">
        <f>SUMIF(Mercado_Receita!$S$2:$S$1261,"44440B2BrancaRuralCooperativa de eletrificação ruralNão se aplicaNão se aplicaPonta",Mercado_Receita!$L$2:$L$1261)</f>
        <v>0</v>
      </c>
      <c r="J31" s="12">
        <f>SUMIF(Mercado_Receita!$S$2:$S$1261,"44470B2BrancaRuralCooperativa de eletrificação ruralNão se aplicaNão se aplicaPonta",Mercado_Receita!$L$2:$L$1261)</f>
        <v>0</v>
      </c>
      <c r="K31" s="12">
        <f>SUMIF(Mercado_Receita!$S$2:$S$1261,"44501B2BrancaRuralCooperativa de eletrificação ruralNão se aplicaNão se aplicaPonta",Mercado_Receita!$L$2:$L$1261)</f>
        <v>0</v>
      </c>
      <c r="L31" s="12">
        <f>SUMIF(Mercado_Receita!$S$2:$S$1261,"44531B2BrancaRuralCooperativa de eletrificação ruralNão se aplicaNão se aplicaPonta",Mercado_Receita!$L$2:$L$1261)</f>
        <v>0</v>
      </c>
      <c r="M31" s="12">
        <f>SUMIF(Mercado_Receita!$S$2:$S$1261,"44562B2BrancaRuralCooperativa de eletrificação ruralNão se aplicaNão se aplicaPonta",Mercado_Receita!$L$2:$L$1261)</f>
        <v>0</v>
      </c>
      <c r="N31" s="12">
        <f>SUMIF(Mercado_Receita!$S$2:$S$1261,"44593B2BrancaRuralCooperativa de eletrificação ruralNão se aplicaNão se aplicaPonta",Mercado_Receita!$L$2:$L$1261)</f>
        <v>0</v>
      </c>
      <c r="O31" s="12">
        <f>SUMIF(Mercado_Receita!$S$2:$S$1261,"44621B2BrancaRuralCooperativa de eletrificação ruralNão se aplicaNão se aplicaPonta",Mercado_Receita!$L$2:$L$1261)</f>
        <v>0</v>
      </c>
      <c r="P31" s="12">
        <f>SUMIF(Mercado_Receita!$S$2:$S$1261,"44652B2BrancaRuralCooperativa de eletrificação ruralNão se aplicaNão se aplicaPonta",Mercado_Receita!$L$2:$L$1261)</f>
        <v>0</v>
      </c>
      <c r="Q31" s="12">
        <f>SUMIF(Mercado_Receita!$S$2:$S$1261,"44682B2BrancaRuralCooperativa de eletrificação ruralNão se aplicaNão se aplicaPonta",Mercado_Receita!$L$2:$L$1261)</f>
        <v>0</v>
      </c>
      <c r="R31" s="12">
        <f>SUMIF(Mercado_Receita!$S$2:$S$1261,"44713B2BrancaRuralCooperativa de eletrificação ruralNão se aplicaNão se aplicaPonta",Mercado_Receita!$L$2:$L$1261)</f>
        <v>0</v>
      </c>
      <c r="S31" s="12">
        <f>SUMIF(Mercado_Receita!$S$2:$S$1261,"44743B2BrancaRuralCooperativa de eletrificação ruralNão se aplicaNão se aplicaPonta",Mercado_Receita!$L$2:$L$1261)</f>
        <v>0</v>
      </c>
      <c r="T31" s="12">
        <f>SUMIF(Mercado_Receita!$S$2:$S$1261,"44774B2BrancaRuralCooperativa de eletrificação ruralNão se aplicaNão se aplicaPonta",Mercado_Receita!$L$2:$L$1261)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105"/>
      <c r="B32" s="105"/>
      <c r="C32" s="105"/>
      <c r="D32" s="105"/>
      <c r="E32" s="105"/>
      <c r="F32" s="105"/>
      <c r="G32" s="12" t="s">
        <v>91</v>
      </c>
      <c r="H32" s="12" t="s">
        <v>80</v>
      </c>
      <c r="I32" s="12">
        <f>SUMIF(Mercado_Receita!$S$2:$S$1261,"44440B2BrancaRuralCooperativa de eletrificação ruralNão se aplicaNão se aplicaIntermediário",Mercado_Receita!$L$2:$L$1261)</f>
        <v>0</v>
      </c>
      <c r="J32" s="12">
        <f>SUMIF(Mercado_Receita!$S$2:$S$1261,"44470B2BrancaRuralCooperativa de eletrificação ruralNão se aplicaNão se aplicaIntermediário",Mercado_Receita!$L$2:$L$1261)</f>
        <v>0</v>
      </c>
      <c r="K32" s="12">
        <f>SUMIF(Mercado_Receita!$S$2:$S$1261,"44501B2BrancaRuralCooperativa de eletrificação ruralNão se aplicaNão se aplicaIntermediário",Mercado_Receita!$L$2:$L$1261)</f>
        <v>0</v>
      </c>
      <c r="L32" s="12">
        <f>SUMIF(Mercado_Receita!$S$2:$S$1261,"44531B2BrancaRuralCooperativa de eletrificação ruralNão se aplicaNão se aplicaIntermediário",Mercado_Receita!$L$2:$L$1261)</f>
        <v>0</v>
      </c>
      <c r="M32" s="12">
        <f>SUMIF(Mercado_Receita!$S$2:$S$1261,"44562B2BrancaRuralCooperativa de eletrificação ruralNão se aplicaNão se aplicaIntermediário",Mercado_Receita!$L$2:$L$1261)</f>
        <v>0</v>
      </c>
      <c r="N32" s="12">
        <f>SUMIF(Mercado_Receita!$S$2:$S$1261,"44593B2BrancaRuralCooperativa de eletrificação ruralNão se aplicaNão se aplicaIntermediário",Mercado_Receita!$L$2:$L$1261)</f>
        <v>0</v>
      </c>
      <c r="O32" s="12">
        <f>SUMIF(Mercado_Receita!$S$2:$S$1261,"44621B2BrancaRuralCooperativa de eletrificação ruralNão se aplicaNão se aplicaIntermediário",Mercado_Receita!$L$2:$L$1261)</f>
        <v>0</v>
      </c>
      <c r="P32" s="12">
        <f>SUMIF(Mercado_Receita!$S$2:$S$1261,"44652B2BrancaRuralCooperativa de eletrificação ruralNão se aplicaNão se aplicaIntermediário",Mercado_Receita!$L$2:$L$1261)</f>
        <v>0</v>
      </c>
      <c r="Q32" s="12">
        <f>SUMIF(Mercado_Receita!$S$2:$S$1261,"44682B2BrancaRuralCooperativa de eletrificação ruralNão se aplicaNão se aplicaIntermediário",Mercado_Receita!$L$2:$L$1261)</f>
        <v>0</v>
      </c>
      <c r="R32" s="12">
        <f>SUMIF(Mercado_Receita!$S$2:$S$1261,"44713B2BrancaRuralCooperativa de eletrificação ruralNão se aplicaNão se aplicaIntermediário",Mercado_Receita!$L$2:$L$1261)</f>
        <v>0</v>
      </c>
      <c r="S32" s="12">
        <f>SUMIF(Mercado_Receita!$S$2:$S$1261,"44743B2BrancaRuralCooperativa de eletrificação ruralNão se aplicaNão se aplicaIntermediário",Mercado_Receita!$L$2:$L$1261)</f>
        <v>0</v>
      </c>
      <c r="T32" s="12">
        <f>SUMIF(Mercado_Receita!$S$2:$S$1261,"44774B2BrancaRuralCooperativa de eletrificação ruralNão se aplicaNão se aplicaIntermediário",Mercado_Receita!$L$2:$L$1261)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05"/>
      <c r="B33" s="105"/>
      <c r="C33" s="105"/>
      <c r="D33" s="105"/>
      <c r="E33" s="105"/>
      <c r="F33" s="105"/>
      <c r="G33" s="12" t="s">
        <v>82</v>
      </c>
      <c r="H33" s="12" t="s">
        <v>80</v>
      </c>
      <c r="I33" s="12">
        <f>SUMIF(Mercado_Receita!$S$2:$S$1261,"44440B2BrancaRuralCooperativa de eletrificação ruralNão se aplicaNão se aplicaFora ponta",Mercado_Receita!$L$2:$L$1261)</f>
        <v>0</v>
      </c>
      <c r="J33" s="12">
        <f>SUMIF(Mercado_Receita!$S$2:$S$1261,"44470B2BrancaRuralCooperativa de eletrificação ruralNão se aplicaNão se aplicaFora ponta",Mercado_Receita!$L$2:$L$1261)</f>
        <v>0</v>
      </c>
      <c r="K33" s="12">
        <f>SUMIF(Mercado_Receita!$S$2:$S$1261,"44501B2BrancaRuralCooperativa de eletrificação ruralNão se aplicaNão se aplicaFora ponta",Mercado_Receita!$L$2:$L$1261)</f>
        <v>0</v>
      </c>
      <c r="L33" s="12">
        <f>SUMIF(Mercado_Receita!$S$2:$S$1261,"44531B2BrancaRuralCooperativa de eletrificação ruralNão se aplicaNão se aplicaFora ponta",Mercado_Receita!$L$2:$L$1261)</f>
        <v>0</v>
      </c>
      <c r="M33" s="12">
        <f>SUMIF(Mercado_Receita!$S$2:$S$1261,"44562B2BrancaRuralCooperativa de eletrificação ruralNão se aplicaNão se aplicaFora ponta",Mercado_Receita!$L$2:$L$1261)</f>
        <v>0</v>
      </c>
      <c r="N33" s="12">
        <f>SUMIF(Mercado_Receita!$S$2:$S$1261,"44593B2BrancaRuralCooperativa de eletrificação ruralNão se aplicaNão se aplicaFora ponta",Mercado_Receita!$L$2:$L$1261)</f>
        <v>0</v>
      </c>
      <c r="O33" s="12">
        <f>SUMIF(Mercado_Receita!$S$2:$S$1261,"44621B2BrancaRuralCooperativa de eletrificação ruralNão se aplicaNão se aplicaFora ponta",Mercado_Receita!$L$2:$L$1261)</f>
        <v>0</v>
      </c>
      <c r="P33" s="12">
        <f>SUMIF(Mercado_Receita!$S$2:$S$1261,"44652B2BrancaRuralCooperativa de eletrificação ruralNão se aplicaNão se aplicaFora ponta",Mercado_Receita!$L$2:$L$1261)</f>
        <v>0</v>
      </c>
      <c r="Q33" s="12">
        <f>SUMIF(Mercado_Receita!$S$2:$S$1261,"44682B2BrancaRuralCooperativa de eletrificação ruralNão se aplicaNão se aplicaFora ponta",Mercado_Receita!$L$2:$L$1261)</f>
        <v>0</v>
      </c>
      <c r="R33" s="12">
        <f>SUMIF(Mercado_Receita!$S$2:$S$1261,"44713B2BrancaRuralCooperativa de eletrificação ruralNão se aplicaNão se aplicaFora ponta",Mercado_Receita!$L$2:$L$1261)</f>
        <v>0</v>
      </c>
      <c r="S33" s="12">
        <f>SUMIF(Mercado_Receita!$S$2:$S$1261,"44743B2BrancaRuralCooperativa de eletrificação ruralNão se aplicaNão se aplicaFora ponta",Mercado_Receita!$L$2:$L$1261)</f>
        <v>0</v>
      </c>
      <c r="T33" s="12">
        <f>SUMIF(Mercado_Receita!$S$2:$S$1261,"44774B2BrancaRuralCooperativa de eletrificação ruralNão se aplicaNão se aplicaFora ponta",Mercado_Receita!$L$2:$L$1261)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05"/>
      <c r="B34" s="13" t="s">
        <v>23</v>
      </c>
      <c r="C34" s="13" t="s">
        <v>44</v>
      </c>
      <c r="D34" s="13" t="s">
        <v>95</v>
      </c>
      <c r="E34" s="13" t="s">
        <v>25</v>
      </c>
      <c r="F34" s="13" t="s">
        <v>25</v>
      </c>
      <c r="G34" s="12" t="s">
        <v>86</v>
      </c>
      <c r="H34" s="12" t="s">
        <v>80</v>
      </c>
      <c r="I34" s="12">
        <f>SUMIF(Mercado_Receita!$S$2:$S$1261,"44440B2ConvencionalRuralCooperativa de eletrificação ruralNão se aplicaNão se aplicaPonta",Mercado_Receita!$L$2:$L$1261)+SUMIF(Mercado_Receita!$S$2:$S$1261,"44440B2ConvencionalRuralCooperativa de eletrificação ruralNão se aplicaNão se aplicaFora ponta",Mercado_Receita!$L$2:$L$1261)+SUMIF(Mercado_Receita!$S$2:$S$1261,"44440B2ConvencionalRuralCooperativa de eletrificação ruralNão se aplicaNão se aplicaIntermediário",Mercado_Receita!$L$2:$L$1261)+SUMIF(Mercado_Receita!$S$2:$S$1261,"44440B2ConvencionalRuralCooperativa de eletrificação ruralNão se aplicaNão se aplicaNão se aplica",Mercado_Receita!$L$2:$L$1261)</f>
        <v>0</v>
      </c>
      <c r="J34" s="12">
        <f>SUMIF(Mercado_Receita!$S$2:$S$1261,"44470B2ConvencionalRuralCooperativa de eletrificação ruralNão se aplicaNão se aplicaPonta",Mercado_Receita!$L$2:$L$1261)+SUMIF(Mercado_Receita!$S$2:$S$1261,"44470B2ConvencionalRuralCooperativa de eletrificação ruralNão se aplicaNão se aplicaFora ponta",Mercado_Receita!$L$2:$L$1261)+SUMIF(Mercado_Receita!$S$2:$S$1261,"44470B2ConvencionalRuralCooperativa de eletrificação ruralNão se aplicaNão se aplicaIntermediário",Mercado_Receita!$L$2:$L$1261)+SUMIF(Mercado_Receita!$S$2:$S$1261,"44470B2ConvencionalRuralCooperativa de eletrificação ruralNão se aplicaNão se aplicaNão se aplica",Mercado_Receita!$L$2:$L$1261)</f>
        <v>0</v>
      </c>
      <c r="K34" s="12">
        <f>SUMIF(Mercado_Receita!$S$2:$S$1261,"44501B2ConvencionalRuralCooperativa de eletrificação ruralNão se aplicaNão se aplicaPonta",Mercado_Receita!$L$2:$L$1261)+SUMIF(Mercado_Receita!$S$2:$S$1261,"44501B2ConvencionalRuralCooperativa de eletrificação ruralNão se aplicaNão se aplicaFora ponta",Mercado_Receita!$L$2:$L$1261)+SUMIF(Mercado_Receita!$S$2:$S$1261,"44501B2ConvencionalRuralCooperativa de eletrificação ruralNão se aplicaNão se aplicaIntermediário",Mercado_Receita!$L$2:$L$1261)+SUMIF(Mercado_Receita!$S$2:$S$1261,"44501B2ConvencionalRuralCooperativa de eletrificação ruralNão se aplicaNão se aplicaNão se aplica",Mercado_Receita!$L$2:$L$1261)</f>
        <v>0</v>
      </c>
      <c r="L34" s="12">
        <f>SUMIF(Mercado_Receita!$S$2:$S$1261,"44531B2ConvencionalRuralCooperativa de eletrificação ruralNão se aplicaNão se aplicaPonta",Mercado_Receita!$L$2:$L$1261)+SUMIF(Mercado_Receita!$S$2:$S$1261,"44531B2ConvencionalRuralCooperativa de eletrificação ruralNão se aplicaNão se aplicaFora ponta",Mercado_Receita!$L$2:$L$1261)+SUMIF(Mercado_Receita!$S$2:$S$1261,"44531B2ConvencionalRuralCooperativa de eletrificação ruralNão se aplicaNão se aplicaIntermediário",Mercado_Receita!$L$2:$L$1261)+SUMIF(Mercado_Receita!$S$2:$S$1261,"44531B2ConvencionalRuralCooperativa de eletrificação ruralNão se aplicaNão se aplicaNão se aplica",Mercado_Receita!$L$2:$L$1261)</f>
        <v>0</v>
      </c>
      <c r="M34" s="12">
        <f>SUMIF(Mercado_Receita!$S$2:$S$1261,"44562B2ConvencionalRuralCooperativa de eletrificação ruralNão se aplicaNão se aplicaPonta",Mercado_Receita!$L$2:$L$1261)+SUMIF(Mercado_Receita!$S$2:$S$1261,"44562B2ConvencionalRuralCooperativa de eletrificação ruralNão se aplicaNão se aplicaFora ponta",Mercado_Receita!$L$2:$L$1261)+SUMIF(Mercado_Receita!$S$2:$S$1261,"44562B2ConvencionalRuralCooperativa de eletrificação ruralNão se aplicaNão se aplicaIntermediário",Mercado_Receita!$L$2:$L$1261)+SUMIF(Mercado_Receita!$S$2:$S$1261,"44562B2ConvencionalRuralCooperativa de eletrificação ruralNão se aplicaNão se aplicaNão se aplica",Mercado_Receita!$L$2:$L$1261)</f>
        <v>0</v>
      </c>
      <c r="N34" s="12">
        <f>SUMIF(Mercado_Receita!$S$2:$S$1261,"44593B2ConvencionalRuralCooperativa de eletrificação ruralNão se aplicaNão se aplicaPonta",Mercado_Receita!$L$2:$L$1261)+SUMIF(Mercado_Receita!$S$2:$S$1261,"44593B2ConvencionalRuralCooperativa de eletrificação ruralNão se aplicaNão se aplicaFora ponta",Mercado_Receita!$L$2:$L$1261)+SUMIF(Mercado_Receita!$S$2:$S$1261,"44593B2ConvencionalRuralCooperativa de eletrificação ruralNão se aplicaNão se aplicaIntermediário",Mercado_Receita!$L$2:$L$1261)+SUMIF(Mercado_Receita!$S$2:$S$1261,"44593B2ConvencionalRuralCooperativa de eletrificação ruralNão se aplicaNão se aplicaNão se aplica",Mercado_Receita!$L$2:$L$1261)</f>
        <v>0</v>
      </c>
      <c r="O34" s="12">
        <f>SUMIF(Mercado_Receita!$S$2:$S$1261,"44621B2ConvencionalRuralCooperativa de eletrificação ruralNão se aplicaNão se aplicaPonta",Mercado_Receita!$L$2:$L$1261)+SUMIF(Mercado_Receita!$S$2:$S$1261,"44621B2ConvencionalRuralCooperativa de eletrificação ruralNão se aplicaNão se aplicaFora ponta",Mercado_Receita!$L$2:$L$1261)+SUMIF(Mercado_Receita!$S$2:$S$1261,"44621B2ConvencionalRuralCooperativa de eletrificação ruralNão se aplicaNão se aplicaIntermediário",Mercado_Receita!$L$2:$L$1261)+SUMIF(Mercado_Receita!$S$2:$S$1261,"44621B2ConvencionalRuralCooperativa de eletrificação ruralNão se aplicaNão se aplicaNão se aplica",Mercado_Receita!$L$2:$L$1261)</f>
        <v>0</v>
      </c>
      <c r="P34" s="12">
        <f>SUMIF(Mercado_Receita!$S$2:$S$1261,"44652B2ConvencionalRuralCooperativa de eletrificação ruralNão se aplicaNão se aplicaPonta",Mercado_Receita!$L$2:$L$1261)+SUMIF(Mercado_Receita!$S$2:$S$1261,"44652B2ConvencionalRuralCooperativa de eletrificação ruralNão se aplicaNão se aplicaFora ponta",Mercado_Receita!$L$2:$L$1261)+SUMIF(Mercado_Receita!$S$2:$S$1261,"44652B2ConvencionalRuralCooperativa de eletrificação ruralNão se aplicaNão se aplicaIntermediário",Mercado_Receita!$L$2:$L$1261)+SUMIF(Mercado_Receita!$S$2:$S$1261,"44652B2ConvencionalRuralCooperativa de eletrificação ruralNão se aplicaNão se aplicaNão se aplica",Mercado_Receita!$L$2:$L$1261)</f>
        <v>0</v>
      </c>
      <c r="Q34" s="12">
        <f>SUMIF(Mercado_Receita!$S$2:$S$1261,"44682B2ConvencionalRuralCooperativa de eletrificação ruralNão se aplicaNão se aplicaPonta",Mercado_Receita!$L$2:$L$1261)+SUMIF(Mercado_Receita!$S$2:$S$1261,"44682B2ConvencionalRuralCooperativa de eletrificação ruralNão se aplicaNão se aplicaFora ponta",Mercado_Receita!$L$2:$L$1261)+SUMIF(Mercado_Receita!$S$2:$S$1261,"44682B2ConvencionalRuralCooperativa de eletrificação ruralNão se aplicaNão se aplicaIntermediário",Mercado_Receita!$L$2:$L$1261)+SUMIF(Mercado_Receita!$S$2:$S$1261,"44682B2ConvencionalRuralCooperativa de eletrificação ruralNão se aplicaNão se aplicaNão se aplica",Mercado_Receita!$L$2:$L$1261)</f>
        <v>0</v>
      </c>
      <c r="R34" s="12">
        <f>SUMIF(Mercado_Receita!$S$2:$S$1261,"44713B2ConvencionalRuralCooperativa de eletrificação ruralNão se aplicaNão se aplicaPonta",Mercado_Receita!$L$2:$L$1261)+SUMIF(Mercado_Receita!$S$2:$S$1261,"44713B2ConvencionalRuralCooperativa de eletrificação ruralNão se aplicaNão se aplicaFora ponta",Mercado_Receita!$L$2:$L$1261)+SUMIF(Mercado_Receita!$S$2:$S$1261,"44713B2ConvencionalRuralCooperativa de eletrificação ruralNão se aplicaNão se aplicaIntermediário",Mercado_Receita!$L$2:$L$1261)+SUMIF(Mercado_Receita!$S$2:$S$1261,"44713B2ConvencionalRuralCooperativa de eletrificação ruralNão se aplicaNão se aplicaNão se aplica",Mercado_Receita!$L$2:$L$1261)</f>
        <v>0</v>
      </c>
      <c r="S34" s="12">
        <f>SUMIF(Mercado_Receita!$S$2:$S$1261,"44743B2ConvencionalRuralCooperativa de eletrificação ruralNão se aplicaNão se aplicaPonta",Mercado_Receita!$L$2:$L$1261)+SUMIF(Mercado_Receita!$S$2:$S$1261,"44743B2ConvencionalRuralCooperativa de eletrificação ruralNão se aplicaNão se aplicaFora ponta",Mercado_Receita!$L$2:$L$1261)+SUMIF(Mercado_Receita!$S$2:$S$1261,"44743B2ConvencionalRuralCooperativa de eletrificação ruralNão se aplicaNão se aplicaIntermediário",Mercado_Receita!$L$2:$L$1261)+SUMIF(Mercado_Receita!$S$2:$S$1261,"44743B2ConvencionalRuralCooperativa de eletrificação ruralNão se aplicaNão se aplicaNão se aplica",Mercado_Receita!$L$2:$L$1261)</f>
        <v>0</v>
      </c>
      <c r="T34" s="12">
        <f>SUMIF(Mercado_Receita!$S$2:$S$1261,"44774B2ConvencionalRuralCooperativa de eletrificação ruralNão se aplicaNão se aplicaPonta",Mercado_Receita!$L$2:$L$1261)+SUMIF(Mercado_Receita!$S$2:$S$1261,"44774B2ConvencionalRuralCooperativa de eletrificação ruralNão se aplicaNão se aplicaFora ponta",Mercado_Receita!$L$2:$L$1261)+SUMIF(Mercado_Receita!$S$2:$S$1261,"44774B2ConvencionalRuralCooperativa de eletrificação ruralNão se aplicaNão se aplicaIntermediário",Mercado_Receita!$L$2:$L$1261)+SUMIF(Mercado_Receita!$S$2:$S$1261,"44774B2ConvencionalRuralCooperativa de eletrificação ruralNão se aplicaNão se aplicaNão se aplica",Mercado_Receita!$L$2:$L$1261)</f>
        <v>0</v>
      </c>
      <c r="U34" s="12">
        <f t="shared" si="0"/>
        <v>0</v>
      </c>
      <c r="V34" s="12"/>
      <c r="W34" s="12"/>
    </row>
    <row r="35" spans="1:23" ht="11.25" customHeight="1" x14ac:dyDescent="0.25">
      <c r="A35" s="105"/>
      <c r="B35" s="104" t="s">
        <v>33</v>
      </c>
      <c r="C35" s="104" t="s">
        <v>44</v>
      </c>
      <c r="D35" s="104" t="s">
        <v>55</v>
      </c>
      <c r="E35" s="104" t="s">
        <v>25</v>
      </c>
      <c r="F35" s="104" t="s">
        <v>25</v>
      </c>
      <c r="G35" s="12" t="s">
        <v>81</v>
      </c>
      <c r="H35" s="12" t="s">
        <v>80</v>
      </c>
      <c r="I35" s="12">
        <f>SUMIF(Mercado_Receita!$S$2:$S$1261,"44440B2BrancaRuralServiço público de irrigação ruralNão se aplicaNão se aplicaPonta",Mercado_Receita!$L$2:$L$1261)</f>
        <v>0</v>
      </c>
      <c r="J35" s="12">
        <f>SUMIF(Mercado_Receita!$S$2:$S$1261,"44470B2BrancaRuralServiço público de irrigação ruralNão se aplicaNão se aplicaPonta",Mercado_Receita!$L$2:$L$1261)</f>
        <v>0</v>
      </c>
      <c r="K35" s="12">
        <f>SUMIF(Mercado_Receita!$S$2:$S$1261,"44501B2BrancaRuralServiço público de irrigação ruralNão se aplicaNão se aplicaPonta",Mercado_Receita!$L$2:$L$1261)</f>
        <v>0</v>
      </c>
      <c r="L35" s="12">
        <f>SUMIF(Mercado_Receita!$S$2:$S$1261,"44531B2BrancaRuralServiço público de irrigação ruralNão se aplicaNão se aplicaPonta",Mercado_Receita!$L$2:$L$1261)</f>
        <v>0</v>
      </c>
      <c r="M35" s="12">
        <f>SUMIF(Mercado_Receita!$S$2:$S$1261,"44562B2BrancaRuralServiço público de irrigação ruralNão se aplicaNão se aplicaPonta",Mercado_Receita!$L$2:$L$1261)</f>
        <v>0</v>
      </c>
      <c r="N35" s="12">
        <f>SUMIF(Mercado_Receita!$S$2:$S$1261,"44593B2BrancaRuralServiço público de irrigação ruralNão se aplicaNão se aplicaPonta",Mercado_Receita!$L$2:$L$1261)</f>
        <v>0</v>
      </c>
      <c r="O35" s="12">
        <f>SUMIF(Mercado_Receita!$S$2:$S$1261,"44621B2BrancaRuralServiço público de irrigação ruralNão se aplicaNão se aplicaPonta",Mercado_Receita!$L$2:$L$1261)</f>
        <v>0</v>
      </c>
      <c r="P35" s="12">
        <f>SUMIF(Mercado_Receita!$S$2:$S$1261,"44652B2BrancaRuralServiço público de irrigação ruralNão se aplicaNão se aplicaPonta",Mercado_Receita!$L$2:$L$1261)</f>
        <v>0</v>
      </c>
      <c r="Q35" s="12">
        <f>SUMIF(Mercado_Receita!$S$2:$S$1261,"44682B2BrancaRuralServiço público de irrigação ruralNão se aplicaNão se aplicaPonta",Mercado_Receita!$L$2:$L$1261)</f>
        <v>0</v>
      </c>
      <c r="R35" s="12">
        <f>SUMIF(Mercado_Receita!$S$2:$S$1261,"44713B2BrancaRuralServiço público de irrigação ruralNão se aplicaNão se aplicaPonta",Mercado_Receita!$L$2:$L$1261)</f>
        <v>0</v>
      </c>
      <c r="S35" s="12">
        <f>SUMIF(Mercado_Receita!$S$2:$S$1261,"44743B2BrancaRuralServiço público de irrigação ruralNão se aplicaNão se aplicaPonta",Mercado_Receita!$L$2:$L$1261)</f>
        <v>0</v>
      </c>
      <c r="T35" s="12">
        <f>SUMIF(Mercado_Receita!$S$2:$S$1261,"44774B2BrancaRuralServiço público de irrigação ruralNão se aplicaNão se aplicaPonta",Mercado_Receita!$L$2:$L$1261)</f>
        <v>0</v>
      </c>
      <c r="U35" s="12">
        <f t="shared" si="0"/>
        <v>0</v>
      </c>
      <c r="V35" s="12"/>
      <c r="W35" s="12"/>
    </row>
    <row r="36" spans="1:23" ht="11.25" customHeight="1" x14ac:dyDescent="0.25">
      <c r="A36" s="105"/>
      <c r="B36" s="105"/>
      <c r="C36" s="105"/>
      <c r="D36" s="105"/>
      <c r="E36" s="105"/>
      <c r="F36" s="105"/>
      <c r="G36" s="12" t="s">
        <v>91</v>
      </c>
      <c r="H36" s="12" t="s">
        <v>80</v>
      </c>
      <c r="I36" s="12">
        <f>SUMIF(Mercado_Receita!$S$2:$S$1261,"44440B2BrancaRuralServiço público de irrigação ruralNão se aplicaNão se aplicaIntermediário",Mercado_Receita!$L$2:$L$1261)</f>
        <v>0</v>
      </c>
      <c r="J36" s="12">
        <f>SUMIF(Mercado_Receita!$S$2:$S$1261,"44470B2BrancaRuralServiço público de irrigação ruralNão se aplicaNão se aplicaIntermediário",Mercado_Receita!$L$2:$L$1261)</f>
        <v>0</v>
      </c>
      <c r="K36" s="12">
        <f>SUMIF(Mercado_Receita!$S$2:$S$1261,"44501B2BrancaRuralServiço público de irrigação ruralNão se aplicaNão se aplicaIntermediário",Mercado_Receita!$L$2:$L$1261)</f>
        <v>0</v>
      </c>
      <c r="L36" s="12">
        <f>SUMIF(Mercado_Receita!$S$2:$S$1261,"44531B2BrancaRuralServiço público de irrigação ruralNão se aplicaNão se aplicaIntermediário",Mercado_Receita!$L$2:$L$1261)</f>
        <v>0</v>
      </c>
      <c r="M36" s="12">
        <f>SUMIF(Mercado_Receita!$S$2:$S$1261,"44562B2BrancaRuralServiço público de irrigação ruralNão se aplicaNão se aplicaIntermediário",Mercado_Receita!$L$2:$L$1261)</f>
        <v>0</v>
      </c>
      <c r="N36" s="12">
        <f>SUMIF(Mercado_Receita!$S$2:$S$1261,"44593B2BrancaRuralServiço público de irrigação ruralNão se aplicaNão se aplicaIntermediário",Mercado_Receita!$L$2:$L$1261)</f>
        <v>0</v>
      </c>
      <c r="O36" s="12">
        <f>SUMIF(Mercado_Receita!$S$2:$S$1261,"44621B2BrancaRuralServiço público de irrigação ruralNão se aplicaNão se aplicaIntermediário",Mercado_Receita!$L$2:$L$1261)</f>
        <v>0</v>
      </c>
      <c r="P36" s="12">
        <f>SUMIF(Mercado_Receita!$S$2:$S$1261,"44652B2BrancaRuralServiço público de irrigação ruralNão se aplicaNão se aplicaIntermediário",Mercado_Receita!$L$2:$L$1261)</f>
        <v>0</v>
      </c>
      <c r="Q36" s="12">
        <f>SUMIF(Mercado_Receita!$S$2:$S$1261,"44682B2BrancaRuralServiço público de irrigação ruralNão se aplicaNão se aplicaIntermediário",Mercado_Receita!$L$2:$L$1261)</f>
        <v>0</v>
      </c>
      <c r="R36" s="12">
        <f>SUMIF(Mercado_Receita!$S$2:$S$1261,"44713B2BrancaRuralServiço público de irrigação ruralNão se aplicaNão se aplicaIntermediário",Mercado_Receita!$L$2:$L$1261)</f>
        <v>0</v>
      </c>
      <c r="S36" s="12">
        <f>SUMIF(Mercado_Receita!$S$2:$S$1261,"44743B2BrancaRuralServiço público de irrigação ruralNão se aplicaNão se aplicaIntermediário",Mercado_Receita!$L$2:$L$1261)</f>
        <v>0</v>
      </c>
      <c r="T36" s="12">
        <f>SUMIF(Mercado_Receita!$S$2:$S$1261,"44774B2BrancaRuralServiço público de irrigação ruralNão se aplicaNão se aplicaIntermediário",Mercado_Receita!$L$2:$L$1261)</f>
        <v>0</v>
      </c>
      <c r="U36" s="12">
        <f t="shared" si="0"/>
        <v>0</v>
      </c>
      <c r="V36" s="12"/>
      <c r="W36" s="12"/>
    </row>
    <row r="37" spans="1:23" ht="11.25" customHeight="1" x14ac:dyDescent="0.25">
      <c r="A37" s="105"/>
      <c r="B37" s="105"/>
      <c r="C37" s="105"/>
      <c r="D37" s="105"/>
      <c r="E37" s="105"/>
      <c r="F37" s="105"/>
      <c r="G37" s="12" t="s">
        <v>82</v>
      </c>
      <c r="H37" s="12" t="s">
        <v>80</v>
      </c>
      <c r="I37" s="12">
        <f>SUMIF(Mercado_Receita!$S$2:$S$1261,"44440B2BrancaRuralServiço público de irrigação ruralNão se aplicaNão se aplicaFora ponta",Mercado_Receita!$L$2:$L$1261)</f>
        <v>0</v>
      </c>
      <c r="J37" s="12">
        <f>SUMIF(Mercado_Receita!$S$2:$S$1261,"44470B2BrancaRuralServiço público de irrigação ruralNão se aplicaNão se aplicaFora ponta",Mercado_Receita!$L$2:$L$1261)</f>
        <v>0</v>
      </c>
      <c r="K37" s="12">
        <f>SUMIF(Mercado_Receita!$S$2:$S$1261,"44501B2BrancaRuralServiço público de irrigação ruralNão se aplicaNão se aplicaFora ponta",Mercado_Receita!$L$2:$L$1261)</f>
        <v>0</v>
      </c>
      <c r="L37" s="12">
        <f>SUMIF(Mercado_Receita!$S$2:$S$1261,"44531B2BrancaRuralServiço público de irrigação ruralNão se aplicaNão se aplicaFora ponta",Mercado_Receita!$L$2:$L$1261)</f>
        <v>0</v>
      </c>
      <c r="M37" s="12">
        <f>SUMIF(Mercado_Receita!$S$2:$S$1261,"44562B2BrancaRuralServiço público de irrigação ruralNão se aplicaNão se aplicaFora ponta",Mercado_Receita!$L$2:$L$1261)</f>
        <v>0</v>
      </c>
      <c r="N37" s="12">
        <f>SUMIF(Mercado_Receita!$S$2:$S$1261,"44593B2BrancaRuralServiço público de irrigação ruralNão se aplicaNão se aplicaFora ponta",Mercado_Receita!$L$2:$L$1261)</f>
        <v>0</v>
      </c>
      <c r="O37" s="12">
        <f>SUMIF(Mercado_Receita!$S$2:$S$1261,"44621B2BrancaRuralServiço público de irrigação ruralNão se aplicaNão se aplicaFora ponta",Mercado_Receita!$L$2:$L$1261)</f>
        <v>0</v>
      </c>
      <c r="P37" s="12">
        <f>SUMIF(Mercado_Receita!$S$2:$S$1261,"44652B2BrancaRuralServiço público de irrigação ruralNão se aplicaNão se aplicaFora ponta",Mercado_Receita!$L$2:$L$1261)</f>
        <v>0</v>
      </c>
      <c r="Q37" s="12">
        <f>SUMIF(Mercado_Receita!$S$2:$S$1261,"44682B2BrancaRuralServiço público de irrigação ruralNão se aplicaNão se aplicaFora ponta",Mercado_Receita!$L$2:$L$1261)</f>
        <v>0</v>
      </c>
      <c r="R37" s="12">
        <f>SUMIF(Mercado_Receita!$S$2:$S$1261,"44713B2BrancaRuralServiço público de irrigação ruralNão se aplicaNão se aplicaFora ponta",Mercado_Receita!$L$2:$L$1261)</f>
        <v>0</v>
      </c>
      <c r="S37" s="12">
        <f>SUMIF(Mercado_Receita!$S$2:$S$1261,"44743B2BrancaRuralServiço público de irrigação ruralNão se aplicaNão se aplicaFora ponta",Mercado_Receita!$L$2:$L$1261)</f>
        <v>0</v>
      </c>
      <c r="T37" s="12">
        <f>SUMIF(Mercado_Receita!$S$2:$S$1261,"44774B2BrancaRuralServiço público de irrigação ruralNão se aplicaNão se aplicaFora ponta",Mercado_Receita!$L$2:$L$1261)</f>
        <v>0</v>
      </c>
      <c r="U37" s="12">
        <f t="shared" si="0"/>
        <v>0</v>
      </c>
      <c r="V37" s="12"/>
      <c r="W37" s="12"/>
    </row>
    <row r="38" spans="1:23" ht="11.25" customHeight="1" x14ac:dyDescent="0.25">
      <c r="A38" s="105"/>
      <c r="B38" s="13" t="s">
        <v>23</v>
      </c>
      <c r="C38" s="13" t="s">
        <v>44</v>
      </c>
      <c r="D38" s="13" t="s">
        <v>55</v>
      </c>
      <c r="E38" s="13" t="s">
        <v>25</v>
      </c>
      <c r="F38" s="13" t="s">
        <v>25</v>
      </c>
      <c r="G38" s="12" t="s">
        <v>86</v>
      </c>
      <c r="H38" s="12" t="s">
        <v>80</v>
      </c>
      <c r="I38" s="12">
        <f>SUMIF(Mercado_Receita!$S$2:$S$1261,"44440B2ConvencionalRuralServiço público de irrigação ruralNão se aplicaNão se aplicaPonta",Mercado_Receita!$L$2:$L$1261)+SUMIF(Mercado_Receita!$S$2:$S$1261,"44440B2ConvencionalRuralServiço público de irrigação ruralNão se aplicaNão se aplicaFora ponta",Mercado_Receita!$L$2:$L$1261)+SUMIF(Mercado_Receita!$S$2:$S$1261,"44440B2ConvencionalRuralServiço público de irrigação ruralNão se aplicaNão se aplicaIntermediário",Mercado_Receita!$L$2:$L$1261)+SUMIF(Mercado_Receita!$S$2:$S$1261,"44440B2ConvencionalRuralServiço público de irrigação ruralNão se aplicaNão se aplicaNão se aplica",Mercado_Receita!$L$2:$L$1261)</f>
        <v>5.3710000000000004</v>
      </c>
      <c r="J38" s="12">
        <f>SUMIF(Mercado_Receita!$S$2:$S$1261,"44470B2ConvencionalRuralServiço público de irrigação ruralNão se aplicaNão se aplicaPonta",Mercado_Receita!$L$2:$L$1261)+SUMIF(Mercado_Receita!$S$2:$S$1261,"44470B2ConvencionalRuralServiço público de irrigação ruralNão se aplicaNão se aplicaFora ponta",Mercado_Receita!$L$2:$L$1261)+SUMIF(Mercado_Receita!$S$2:$S$1261,"44470B2ConvencionalRuralServiço público de irrigação ruralNão se aplicaNão se aplicaIntermediário",Mercado_Receita!$L$2:$L$1261)+SUMIF(Mercado_Receita!$S$2:$S$1261,"44470B2ConvencionalRuralServiço público de irrigação ruralNão se aplicaNão se aplicaNão se aplica",Mercado_Receita!$L$2:$L$1261)</f>
        <v>6.7240000000000002</v>
      </c>
      <c r="K38" s="12">
        <f>SUMIF(Mercado_Receita!$S$2:$S$1261,"44501B2ConvencionalRuralServiço público de irrigação ruralNão se aplicaNão se aplicaPonta",Mercado_Receita!$L$2:$L$1261)+SUMIF(Mercado_Receita!$S$2:$S$1261,"44501B2ConvencionalRuralServiço público de irrigação ruralNão se aplicaNão se aplicaFora ponta",Mercado_Receita!$L$2:$L$1261)+SUMIF(Mercado_Receita!$S$2:$S$1261,"44501B2ConvencionalRuralServiço público de irrigação ruralNão se aplicaNão se aplicaIntermediário",Mercado_Receita!$L$2:$L$1261)+SUMIF(Mercado_Receita!$S$2:$S$1261,"44501B2ConvencionalRuralServiço público de irrigação ruralNão se aplicaNão se aplicaNão se aplica",Mercado_Receita!$L$2:$L$1261)</f>
        <v>0.14100000000000001</v>
      </c>
      <c r="L38" s="12">
        <f>SUMIF(Mercado_Receita!$S$2:$S$1261,"44531B2ConvencionalRuralServiço público de irrigação ruralNão se aplicaNão se aplicaPonta",Mercado_Receita!$L$2:$L$1261)+SUMIF(Mercado_Receita!$S$2:$S$1261,"44531B2ConvencionalRuralServiço público de irrigação ruralNão se aplicaNão se aplicaFora ponta",Mercado_Receita!$L$2:$L$1261)+SUMIF(Mercado_Receita!$S$2:$S$1261,"44531B2ConvencionalRuralServiço público de irrigação ruralNão se aplicaNão se aplicaIntermediário",Mercado_Receita!$L$2:$L$1261)+SUMIF(Mercado_Receita!$S$2:$S$1261,"44531B2ConvencionalRuralServiço público de irrigação ruralNão se aplicaNão se aplicaNão se aplica",Mercado_Receita!$L$2:$L$1261)</f>
        <v>0.77900000000000003</v>
      </c>
      <c r="M38" s="12">
        <f>SUMIF(Mercado_Receita!$S$2:$S$1261,"44562B2ConvencionalRuralServiço público de irrigação ruralNão se aplicaNão se aplicaPonta",Mercado_Receita!$L$2:$L$1261)+SUMIF(Mercado_Receita!$S$2:$S$1261,"44562B2ConvencionalRuralServiço público de irrigação ruralNão se aplicaNão se aplicaFora ponta",Mercado_Receita!$L$2:$L$1261)+SUMIF(Mercado_Receita!$S$2:$S$1261,"44562B2ConvencionalRuralServiço público de irrigação ruralNão se aplicaNão se aplicaIntermediário",Mercado_Receita!$L$2:$L$1261)+SUMIF(Mercado_Receita!$S$2:$S$1261,"44562B2ConvencionalRuralServiço público de irrigação ruralNão se aplicaNão se aplicaNão se aplica",Mercado_Receita!$L$2:$L$1261)</f>
        <v>2.0640000000000001</v>
      </c>
      <c r="N38" s="12">
        <f>SUMIF(Mercado_Receita!$S$2:$S$1261,"44593B2ConvencionalRuralServiço público de irrigação ruralNão se aplicaNão se aplicaPonta",Mercado_Receita!$L$2:$L$1261)+SUMIF(Mercado_Receita!$S$2:$S$1261,"44593B2ConvencionalRuralServiço público de irrigação ruralNão se aplicaNão se aplicaFora ponta",Mercado_Receita!$L$2:$L$1261)+SUMIF(Mercado_Receita!$S$2:$S$1261,"44593B2ConvencionalRuralServiço público de irrigação ruralNão se aplicaNão se aplicaIntermediário",Mercado_Receita!$L$2:$L$1261)+SUMIF(Mercado_Receita!$S$2:$S$1261,"44593B2ConvencionalRuralServiço público de irrigação ruralNão se aplicaNão se aplicaNão se aplica",Mercado_Receita!$L$2:$L$1261)</f>
        <v>2.9220000000000002</v>
      </c>
      <c r="O38" s="12">
        <f>SUMIF(Mercado_Receita!$S$2:$S$1261,"44621B2ConvencionalRuralServiço público de irrigação ruralNão se aplicaNão se aplicaPonta",Mercado_Receita!$L$2:$L$1261)+SUMIF(Mercado_Receita!$S$2:$S$1261,"44621B2ConvencionalRuralServiço público de irrigação ruralNão se aplicaNão se aplicaFora ponta",Mercado_Receita!$L$2:$L$1261)+SUMIF(Mercado_Receita!$S$2:$S$1261,"44621B2ConvencionalRuralServiço público de irrigação ruralNão se aplicaNão se aplicaIntermediário",Mercado_Receita!$L$2:$L$1261)+SUMIF(Mercado_Receita!$S$2:$S$1261,"44621B2ConvencionalRuralServiço público de irrigação ruralNão se aplicaNão se aplicaNão se aplica",Mercado_Receita!$L$2:$L$1261)</f>
        <v>0.61199999999999999</v>
      </c>
      <c r="P38" s="12">
        <f>SUMIF(Mercado_Receita!$S$2:$S$1261,"44652B2ConvencionalRuralServiço público de irrigação ruralNão se aplicaNão se aplicaPonta",Mercado_Receita!$L$2:$L$1261)+SUMIF(Mercado_Receita!$S$2:$S$1261,"44652B2ConvencionalRuralServiço público de irrigação ruralNão se aplicaNão se aplicaFora ponta",Mercado_Receita!$L$2:$L$1261)+SUMIF(Mercado_Receita!$S$2:$S$1261,"44652B2ConvencionalRuralServiço público de irrigação ruralNão se aplicaNão se aplicaIntermediário",Mercado_Receita!$L$2:$L$1261)+SUMIF(Mercado_Receita!$S$2:$S$1261,"44652B2ConvencionalRuralServiço público de irrigação ruralNão se aplicaNão se aplicaNão se aplica",Mercado_Receita!$L$2:$L$1261)</f>
        <v>3.9359999999999999</v>
      </c>
      <c r="Q38" s="12">
        <f>SUMIF(Mercado_Receita!$S$2:$S$1261,"44682B2ConvencionalRuralServiço público de irrigação ruralNão se aplicaNão se aplicaPonta",Mercado_Receita!$L$2:$L$1261)+SUMIF(Mercado_Receita!$S$2:$S$1261,"44682B2ConvencionalRuralServiço público de irrigação ruralNão se aplicaNão se aplicaFora ponta",Mercado_Receita!$L$2:$L$1261)+SUMIF(Mercado_Receita!$S$2:$S$1261,"44682B2ConvencionalRuralServiço público de irrigação ruralNão se aplicaNão se aplicaIntermediário",Mercado_Receita!$L$2:$L$1261)+SUMIF(Mercado_Receita!$S$2:$S$1261,"44682B2ConvencionalRuralServiço público de irrigação ruralNão se aplicaNão se aplicaNão se aplica",Mercado_Receita!$L$2:$L$1261)</f>
        <v>4.6740000000000004</v>
      </c>
      <c r="R38" s="12">
        <f>SUMIF(Mercado_Receita!$S$2:$S$1261,"44713B2ConvencionalRuralServiço público de irrigação ruralNão se aplicaNão se aplicaPonta",Mercado_Receita!$L$2:$L$1261)+SUMIF(Mercado_Receita!$S$2:$S$1261,"44713B2ConvencionalRuralServiço público de irrigação ruralNão se aplicaNão se aplicaFora ponta",Mercado_Receita!$L$2:$L$1261)+SUMIF(Mercado_Receita!$S$2:$S$1261,"44713B2ConvencionalRuralServiço público de irrigação ruralNão se aplicaNão se aplicaIntermediário",Mercado_Receita!$L$2:$L$1261)+SUMIF(Mercado_Receita!$S$2:$S$1261,"44713B2ConvencionalRuralServiço público de irrigação ruralNão se aplicaNão se aplicaNão se aplica",Mercado_Receita!$L$2:$L$1261)</f>
        <v>0.98399999999999999</v>
      </c>
      <c r="S38" s="12">
        <f>SUMIF(Mercado_Receita!$S$2:$S$1261,"44743B2ConvencionalRuralServiço público de irrigação ruralNão se aplicaNão se aplicaPonta",Mercado_Receita!$L$2:$L$1261)+SUMIF(Mercado_Receita!$S$2:$S$1261,"44743B2ConvencionalRuralServiço público de irrigação ruralNão se aplicaNão se aplicaFora ponta",Mercado_Receita!$L$2:$L$1261)+SUMIF(Mercado_Receita!$S$2:$S$1261,"44743B2ConvencionalRuralServiço público de irrigação ruralNão se aplicaNão se aplicaIntermediário",Mercado_Receita!$L$2:$L$1261)+SUMIF(Mercado_Receita!$S$2:$S$1261,"44743B2ConvencionalRuralServiço público de irrigação ruralNão se aplicaNão se aplicaNão se aplica",Mercado_Receita!$L$2:$L$1261)</f>
        <v>0.86099999999999999</v>
      </c>
      <c r="T38" s="12">
        <f>SUMIF(Mercado_Receita!$S$2:$S$1261,"44774B2ConvencionalRuralServiço público de irrigação ruralNão se aplicaNão se aplicaPonta",Mercado_Receita!$L$2:$L$1261)+SUMIF(Mercado_Receita!$S$2:$S$1261,"44774B2ConvencionalRuralServiço público de irrigação ruralNão se aplicaNão se aplicaFora ponta",Mercado_Receita!$L$2:$L$1261)+SUMIF(Mercado_Receita!$S$2:$S$1261,"44774B2ConvencionalRuralServiço público de irrigação ruralNão se aplicaNão se aplicaIntermediário",Mercado_Receita!$L$2:$L$1261)+SUMIF(Mercado_Receita!$S$2:$S$1261,"44774B2ConvencionalRuralServiço público de irrigação ruralNão se aplicaNão se aplicaNão se aplica",Mercado_Receita!$L$2:$L$1261)</f>
        <v>0.86099999999999999</v>
      </c>
      <c r="U38" s="12">
        <f t="shared" si="0"/>
        <v>29.929000000000002</v>
      </c>
      <c r="V38" s="12"/>
      <c r="W38" s="12"/>
    </row>
    <row r="39" spans="1:23" ht="11.25" customHeight="1" x14ac:dyDescent="0.25">
      <c r="A39" s="105"/>
      <c r="B39" s="104" t="s">
        <v>94</v>
      </c>
      <c r="C39" s="104" t="s">
        <v>44</v>
      </c>
      <c r="D39" s="13" t="s">
        <v>25</v>
      </c>
      <c r="E39" s="13" t="s">
        <v>25</v>
      </c>
      <c r="F39" s="13" t="s">
        <v>25</v>
      </c>
      <c r="G39" s="12" t="s">
        <v>86</v>
      </c>
      <c r="H39" s="12" t="s">
        <v>80</v>
      </c>
      <c r="I39" s="12">
        <f>SUMIF(Mercado_Receita!$S$2:$S$1261,"44440B2Convencional pré-pagamentoRuralNão se aplicaNão se aplicaNão se aplicaPonta",Mercado_Receita!$L$2:$L$1261)+SUMIF(Mercado_Receita!$S$2:$S$1261,"44440B2Convencional pré-pagamentoRuralNão se aplicaNão se aplicaNão se aplicaFora ponta",Mercado_Receita!$L$2:$L$1261)+SUMIF(Mercado_Receita!$S$2:$S$1261,"44440B2Convencional pré-pagamentoRuralNão se aplicaNão se aplicaNão se aplicaIntermediário",Mercado_Receita!$L$2:$L$1261)+SUMIF(Mercado_Receita!$S$2:$S$1261,"44440B2Convencional pré-pagamentoRuralNão se aplicaNão se aplicaNão se aplicaNão se aplica",Mercado_Receita!$L$2:$L$1261)</f>
        <v>0</v>
      </c>
      <c r="J39" s="12">
        <f>SUMIF(Mercado_Receita!$S$2:$S$1261,"44470B2Convencional pré-pagamentoRuralNão se aplicaNão se aplicaNão se aplicaPonta",Mercado_Receita!$L$2:$L$1261)+SUMIF(Mercado_Receita!$S$2:$S$1261,"44470B2Convencional pré-pagamentoRuralNão se aplicaNão se aplicaNão se aplicaFora ponta",Mercado_Receita!$L$2:$L$1261)+SUMIF(Mercado_Receita!$S$2:$S$1261,"44470B2Convencional pré-pagamentoRuralNão se aplicaNão se aplicaNão se aplicaIntermediário",Mercado_Receita!$L$2:$L$1261)+SUMIF(Mercado_Receita!$S$2:$S$1261,"44470B2Convencional pré-pagamentoRuralNão se aplicaNão se aplicaNão se aplicaNão se aplica",Mercado_Receita!$L$2:$L$1261)</f>
        <v>0</v>
      </c>
      <c r="K39" s="12">
        <f>SUMIF(Mercado_Receita!$S$2:$S$1261,"44501B2Convencional pré-pagamentoRuralNão se aplicaNão se aplicaNão se aplicaPonta",Mercado_Receita!$L$2:$L$1261)+SUMIF(Mercado_Receita!$S$2:$S$1261,"44501B2Convencional pré-pagamentoRuralNão se aplicaNão se aplicaNão se aplicaFora ponta",Mercado_Receita!$L$2:$L$1261)+SUMIF(Mercado_Receita!$S$2:$S$1261,"44501B2Convencional pré-pagamentoRuralNão se aplicaNão se aplicaNão se aplicaIntermediário",Mercado_Receita!$L$2:$L$1261)+SUMIF(Mercado_Receita!$S$2:$S$1261,"44501B2Convencional pré-pagamentoRuralNão se aplicaNão se aplicaNão se aplicaNão se aplica",Mercado_Receita!$L$2:$L$1261)</f>
        <v>0</v>
      </c>
      <c r="L39" s="12">
        <f>SUMIF(Mercado_Receita!$S$2:$S$1261,"44531B2Convencional pré-pagamentoRuralNão se aplicaNão se aplicaNão se aplicaPonta",Mercado_Receita!$L$2:$L$1261)+SUMIF(Mercado_Receita!$S$2:$S$1261,"44531B2Convencional pré-pagamentoRuralNão se aplicaNão se aplicaNão se aplicaFora ponta",Mercado_Receita!$L$2:$L$1261)+SUMIF(Mercado_Receita!$S$2:$S$1261,"44531B2Convencional pré-pagamentoRuralNão se aplicaNão se aplicaNão se aplicaIntermediário",Mercado_Receita!$L$2:$L$1261)+SUMIF(Mercado_Receita!$S$2:$S$1261,"44531B2Convencional pré-pagamentoRuralNão se aplicaNão se aplicaNão se aplicaNão se aplica",Mercado_Receita!$L$2:$L$1261)</f>
        <v>0</v>
      </c>
      <c r="M39" s="12">
        <f>SUMIF(Mercado_Receita!$S$2:$S$1261,"44562B2Convencional pré-pagamentoRuralNão se aplicaNão se aplicaNão se aplicaPonta",Mercado_Receita!$L$2:$L$1261)+SUMIF(Mercado_Receita!$S$2:$S$1261,"44562B2Convencional pré-pagamentoRuralNão se aplicaNão se aplicaNão se aplicaFora ponta",Mercado_Receita!$L$2:$L$1261)+SUMIF(Mercado_Receita!$S$2:$S$1261,"44562B2Convencional pré-pagamentoRuralNão se aplicaNão se aplicaNão se aplicaIntermediário",Mercado_Receita!$L$2:$L$1261)+SUMIF(Mercado_Receita!$S$2:$S$1261,"44562B2Convencional pré-pagamentoRuralNão se aplicaNão se aplicaNão se aplicaNão se aplica",Mercado_Receita!$L$2:$L$1261)</f>
        <v>0</v>
      </c>
      <c r="N39" s="12">
        <f>SUMIF(Mercado_Receita!$S$2:$S$1261,"44593B2Convencional pré-pagamentoRuralNão se aplicaNão se aplicaNão se aplicaPonta",Mercado_Receita!$L$2:$L$1261)+SUMIF(Mercado_Receita!$S$2:$S$1261,"44593B2Convencional pré-pagamentoRuralNão se aplicaNão se aplicaNão se aplicaFora ponta",Mercado_Receita!$L$2:$L$1261)+SUMIF(Mercado_Receita!$S$2:$S$1261,"44593B2Convencional pré-pagamentoRuralNão se aplicaNão se aplicaNão se aplicaIntermediário",Mercado_Receita!$L$2:$L$1261)+SUMIF(Mercado_Receita!$S$2:$S$1261,"44593B2Convencional pré-pagamentoRuralNão se aplicaNão se aplicaNão se aplicaNão se aplica",Mercado_Receita!$L$2:$L$1261)</f>
        <v>0</v>
      </c>
      <c r="O39" s="12">
        <f>SUMIF(Mercado_Receita!$S$2:$S$1261,"44621B2Convencional pré-pagamentoRuralNão se aplicaNão se aplicaNão se aplicaPonta",Mercado_Receita!$L$2:$L$1261)+SUMIF(Mercado_Receita!$S$2:$S$1261,"44621B2Convencional pré-pagamentoRuralNão se aplicaNão se aplicaNão se aplicaFora ponta",Mercado_Receita!$L$2:$L$1261)+SUMIF(Mercado_Receita!$S$2:$S$1261,"44621B2Convencional pré-pagamentoRuralNão se aplicaNão se aplicaNão se aplicaIntermediário",Mercado_Receita!$L$2:$L$1261)+SUMIF(Mercado_Receita!$S$2:$S$1261,"44621B2Convencional pré-pagamentoRuralNão se aplicaNão se aplicaNão se aplicaNão se aplica",Mercado_Receita!$L$2:$L$1261)</f>
        <v>0</v>
      </c>
      <c r="P39" s="12">
        <f>SUMIF(Mercado_Receita!$S$2:$S$1261,"44652B2Convencional pré-pagamentoRuralNão se aplicaNão se aplicaNão se aplicaPonta",Mercado_Receita!$L$2:$L$1261)+SUMIF(Mercado_Receita!$S$2:$S$1261,"44652B2Convencional pré-pagamentoRuralNão se aplicaNão se aplicaNão se aplicaFora ponta",Mercado_Receita!$L$2:$L$1261)+SUMIF(Mercado_Receita!$S$2:$S$1261,"44652B2Convencional pré-pagamentoRuralNão se aplicaNão se aplicaNão se aplicaIntermediário",Mercado_Receita!$L$2:$L$1261)+SUMIF(Mercado_Receita!$S$2:$S$1261,"44652B2Convencional pré-pagamentoRuralNão se aplicaNão se aplicaNão se aplicaNão se aplica",Mercado_Receita!$L$2:$L$1261)</f>
        <v>0</v>
      </c>
      <c r="Q39" s="12">
        <f>SUMIF(Mercado_Receita!$S$2:$S$1261,"44682B2Convencional pré-pagamentoRuralNão se aplicaNão se aplicaNão se aplicaPonta",Mercado_Receita!$L$2:$L$1261)+SUMIF(Mercado_Receita!$S$2:$S$1261,"44682B2Convencional pré-pagamentoRuralNão se aplicaNão se aplicaNão se aplicaFora ponta",Mercado_Receita!$L$2:$L$1261)+SUMIF(Mercado_Receita!$S$2:$S$1261,"44682B2Convencional pré-pagamentoRuralNão se aplicaNão se aplicaNão se aplicaIntermediário",Mercado_Receita!$L$2:$L$1261)+SUMIF(Mercado_Receita!$S$2:$S$1261,"44682B2Convencional pré-pagamentoRuralNão se aplicaNão se aplicaNão se aplicaNão se aplica",Mercado_Receita!$L$2:$L$1261)</f>
        <v>0</v>
      </c>
      <c r="R39" s="12">
        <f>SUMIF(Mercado_Receita!$S$2:$S$1261,"44713B2Convencional pré-pagamentoRuralNão se aplicaNão se aplicaNão se aplicaPonta",Mercado_Receita!$L$2:$L$1261)+SUMIF(Mercado_Receita!$S$2:$S$1261,"44713B2Convencional pré-pagamentoRuralNão se aplicaNão se aplicaNão se aplicaFora ponta",Mercado_Receita!$L$2:$L$1261)+SUMIF(Mercado_Receita!$S$2:$S$1261,"44713B2Convencional pré-pagamentoRuralNão se aplicaNão se aplicaNão se aplicaIntermediário",Mercado_Receita!$L$2:$L$1261)+SUMIF(Mercado_Receita!$S$2:$S$1261,"44713B2Convencional pré-pagamentoRuralNão se aplicaNão se aplicaNão se aplicaNão se aplica",Mercado_Receita!$L$2:$L$1261)</f>
        <v>0</v>
      </c>
      <c r="S39" s="12">
        <f>SUMIF(Mercado_Receita!$S$2:$S$1261,"44743B2Convencional pré-pagamentoRuralNão se aplicaNão se aplicaNão se aplicaPonta",Mercado_Receita!$L$2:$L$1261)+SUMIF(Mercado_Receita!$S$2:$S$1261,"44743B2Convencional pré-pagamentoRuralNão se aplicaNão se aplicaNão se aplicaFora ponta",Mercado_Receita!$L$2:$L$1261)+SUMIF(Mercado_Receita!$S$2:$S$1261,"44743B2Convencional pré-pagamentoRuralNão se aplicaNão se aplicaNão se aplicaIntermediário",Mercado_Receita!$L$2:$L$1261)+SUMIF(Mercado_Receita!$S$2:$S$1261,"44743B2Convencional pré-pagamentoRuralNão se aplicaNão se aplicaNão se aplicaNão se aplica",Mercado_Receita!$L$2:$L$1261)</f>
        <v>0</v>
      </c>
      <c r="T39" s="12">
        <f>SUMIF(Mercado_Receita!$S$2:$S$1261,"44774B2Convencional pré-pagamentoRuralNão se aplicaNão se aplicaNão se aplicaPonta",Mercado_Receita!$L$2:$L$1261)+SUMIF(Mercado_Receita!$S$2:$S$1261,"44774B2Convencional pré-pagamentoRuralNão se aplicaNão se aplicaNão se aplicaFora ponta",Mercado_Receita!$L$2:$L$1261)+SUMIF(Mercado_Receita!$S$2:$S$1261,"44774B2Convencional pré-pagamentoRuralNão se aplicaNão se aplicaNão se aplicaIntermediário",Mercado_Receita!$L$2:$L$1261)+SUMIF(Mercado_Receita!$S$2:$S$1261,"44774B2Convencional pré-pagamentoRuralNão se aplicaNão se aplicaNão se aplicaNão se aplica",Mercado_Receita!$L$2:$L$1261)</f>
        <v>0</v>
      </c>
      <c r="U39" s="12">
        <f t="shared" si="0"/>
        <v>0</v>
      </c>
      <c r="V39" s="12"/>
      <c r="W39" s="12"/>
    </row>
    <row r="40" spans="1:23" ht="11.25" customHeight="1" x14ac:dyDescent="0.25">
      <c r="A40" s="105"/>
      <c r="B40" s="105"/>
      <c r="C40" s="105"/>
      <c r="D40" s="13" t="s">
        <v>95</v>
      </c>
      <c r="E40" s="13" t="s">
        <v>25</v>
      </c>
      <c r="F40" s="13" t="s">
        <v>25</v>
      </c>
      <c r="G40" s="12" t="s">
        <v>86</v>
      </c>
      <c r="H40" s="12" t="s">
        <v>80</v>
      </c>
      <c r="I40" s="12">
        <f>SUMIF(Mercado_Receita!$S$2:$S$1261,"44440B2Convencional pré-pagamentoRuralCooperativa de eletrificação ruralNão se aplicaNão se aplicaPonta",Mercado_Receita!$L$2:$L$1261)+SUMIF(Mercado_Receita!$S$2:$S$1261,"44440B2Convencional pré-pagamentoRuralCooperativa de eletrificação ruralNão se aplicaNão se aplicaFora ponta",Mercado_Receita!$L$2:$L$1261)+SUMIF(Mercado_Receita!$S$2:$S$1261,"44440B2Convencional pré-pagamentoRuralCooperativa de eletrificação ruralNão se aplicaNão se aplicaIntermediário",Mercado_Receita!$L$2:$L$1261)+SUMIF(Mercado_Receita!$S$2:$S$1261,"44440B2Convencional pré-pagamentoRuralCooperativa de eletrificação ruralNão se aplicaNão se aplicaNão se aplica",Mercado_Receita!$L$2:$L$1261)</f>
        <v>0</v>
      </c>
      <c r="J40" s="12">
        <f>SUMIF(Mercado_Receita!$S$2:$S$1261,"44470B2Convencional pré-pagamentoRuralCooperativa de eletrificação ruralNão se aplicaNão se aplicaPonta",Mercado_Receita!$L$2:$L$1261)+SUMIF(Mercado_Receita!$S$2:$S$1261,"44470B2Convencional pré-pagamentoRuralCooperativa de eletrificação ruralNão se aplicaNão se aplicaFora ponta",Mercado_Receita!$L$2:$L$1261)+SUMIF(Mercado_Receita!$S$2:$S$1261,"44470B2Convencional pré-pagamentoRuralCooperativa de eletrificação ruralNão se aplicaNão se aplicaIntermediário",Mercado_Receita!$L$2:$L$1261)+SUMIF(Mercado_Receita!$S$2:$S$1261,"44470B2Convencional pré-pagamentoRuralCooperativa de eletrificação ruralNão se aplicaNão se aplicaNão se aplica",Mercado_Receita!$L$2:$L$1261)</f>
        <v>0</v>
      </c>
      <c r="K40" s="12">
        <f>SUMIF(Mercado_Receita!$S$2:$S$1261,"44501B2Convencional pré-pagamentoRuralCooperativa de eletrificação ruralNão se aplicaNão se aplicaPonta",Mercado_Receita!$L$2:$L$1261)+SUMIF(Mercado_Receita!$S$2:$S$1261,"44501B2Convencional pré-pagamentoRuralCooperativa de eletrificação ruralNão se aplicaNão se aplicaFora ponta",Mercado_Receita!$L$2:$L$1261)+SUMIF(Mercado_Receita!$S$2:$S$1261,"44501B2Convencional pré-pagamentoRuralCooperativa de eletrificação ruralNão se aplicaNão se aplicaIntermediário",Mercado_Receita!$L$2:$L$1261)+SUMIF(Mercado_Receita!$S$2:$S$1261,"44501B2Convencional pré-pagamentoRuralCooperativa de eletrificação ruralNão se aplicaNão se aplicaNão se aplica",Mercado_Receita!$L$2:$L$1261)</f>
        <v>0</v>
      </c>
      <c r="L40" s="12">
        <f>SUMIF(Mercado_Receita!$S$2:$S$1261,"44531B2Convencional pré-pagamentoRuralCooperativa de eletrificação ruralNão se aplicaNão se aplicaPonta",Mercado_Receita!$L$2:$L$1261)+SUMIF(Mercado_Receita!$S$2:$S$1261,"44531B2Convencional pré-pagamentoRuralCooperativa de eletrificação ruralNão se aplicaNão se aplicaFora ponta",Mercado_Receita!$L$2:$L$1261)+SUMIF(Mercado_Receita!$S$2:$S$1261,"44531B2Convencional pré-pagamentoRuralCooperativa de eletrificação ruralNão se aplicaNão se aplicaIntermediário",Mercado_Receita!$L$2:$L$1261)+SUMIF(Mercado_Receita!$S$2:$S$1261,"44531B2Convencional pré-pagamentoRuralCooperativa de eletrificação ruralNão se aplicaNão se aplicaNão se aplica",Mercado_Receita!$L$2:$L$1261)</f>
        <v>0</v>
      </c>
      <c r="M40" s="12">
        <f>SUMIF(Mercado_Receita!$S$2:$S$1261,"44562B2Convencional pré-pagamentoRuralCooperativa de eletrificação ruralNão se aplicaNão se aplicaPonta",Mercado_Receita!$L$2:$L$1261)+SUMIF(Mercado_Receita!$S$2:$S$1261,"44562B2Convencional pré-pagamentoRuralCooperativa de eletrificação ruralNão se aplicaNão se aplicaFora ponta",Mercado_Receita!$L$2:$L$1261)+SUMIF(Mercado_Receita!$S$2:$S$1261,"44562B2Convencional pré-pagamentoRuralCooperativa de eletrificação ruralNão se aplicaNão se aplicaIntermediário",Mercado_Receita!$L$2:$L$1261)+SUMIF(Mercado_Receita!$S$2:$S$1261,"44562B2Convencional pré-pagamentoRuralCooperativa de eletrificação ruralNão se aplicaNão se aplicaNão se aplica",Mercado_Receita!$L$2:$L$1261)</f>
        <v>0</v>
      </c>
      <c r="N40" s="12">
        <f>SUMIF(Mercado_Receita!$S$2:$S$1261,"44593B2Convencional pré-pagamentoRuralCooperativa de eletrificação ruralNão se aplicaNão se aplicaPonta",Mercado_Receita!$L$2:$L$1261)+SUMIF(Mercado_Receita!$S$2:$S$1261,"44593B2Convencional pré-pagamentoRuralCooperativa de eletrificação ruralNão se aplicaNão se aplicaFora ponta",Mercado_Receita!$L$2:$L$1261)+SUMIF(Mercado_Receita!$S$2:$S$1261,"44593B2Convencional pré-pagamentoRuralCooperativa de eletrificação ruralNão se aplicaNão se aplicaIntermediário",Mercado_Receita!$L$2:$L$1261)+SUMIF(Mercado_Receita!$S$2:$S$1261,"44593B2Convencional pré-pagamentoRuralCooperativa de eletrificação ruralNão se aplicaNão se aplicaNão se aplica",Mercado_Receita!$L$2:$L$1261)</f>
        <v>0</v>
      </c>
      <c r="O40" s="12">
        <f>SUMIF(Mercado_Receita!$S$2:$S$1261,"44621B2Convencional pré-pagamentoRuralCooperativa de eletrificação ruralNão se aplicaNão se aplicaPonta",Mercado_Receita!$L$2:$L$1261)+SUMIF(Mercado_Receita!$S$2:$S$1261,"44621B2Convencional pré-pagamentoRuralCooperativa de eletrificação ruralNão se aplicaNão se aplicaFora ponta",Mercado_Receita!$L$2:$L$1261)+SUMIF(Mercado_Receita!$S$2:$S$1261,"44621B2Convencional pré-pagamentoRuralCooperativa de eletrificação ruralNão se aplicaNão se aplicaIntermediário",Mercado_Receita!$L$2:$L$1261)+SUMIF(Mercado_Receita!$S$2:$S$1261,"44621B2Convencional pré-pagamentoRuralCooperativa de eletrificação ruralNão se aplicaNão se aplicaNão se aplica",Mercado_Receita!$L$2:$L$1261)</f>
        <v>0</v>
      </c>
      <c r="P40" s="12">
        <f>SUMIF(Mercado_Receita!$S$2:$S$1261,"44652B2Convencional pré-pagamentoRuralCooperativa de eletrificação ruralNão se aplicaNão se aplicaPonta",Mercado_Receita!$L$2:$L$1261)+SUMIF(Mercado_Receita!$S$2:$S$1261,"44652B2Convencional pré-pagamentoRuralCooperativa de eletrificação ruralNão se aplicaNão se aplicaFora ponta",Mercado_Receita!$L$2:$L$1261)+SUMIF(Mercado_Receita!$S$2:$S$1261,"44652B2Convencional pré-pagamentoRuralCooperativa de eletrificação ruralNão se aplicaNão se aplicaIntermediário",Mercado_Receita!$L$2:$L$1261)+SUMIF(Mercado_Receita!$S$2:$S$1261,"44652B2Convencional pré-pagamentoRuralCooperativa de eletrificação ruralNão se aplicaNão se aplicaNão se aplica",Mercado_Receita!$L$2:$L$1261)</f>
        <v>0</v>
      </c>
      <c r="Q40" s="12">
        <f>SUMIF(Mercado_Receita!$S$2:$S$1261,"44682B2Convencional pré-pagamentoRuralCooperativa de eletrificação ruralNão se aplicaNão se aplicaPonta",Mercado_Receita!$L$2:$L$1261)+SUMIF(Mercado_Receita!$S$2:$S$1261,"44682B2Convencional pré-pagamentoRuralCooperativa de eletrificação ruralNão se aplicaNão se aplicaFora ponta",Mercado_Receita!$L$2:$L$1261)+SUMIF(Mercado_Receita!$S$2:$S$1261,"44682B2Convencional pré-pagamentoRuralCooperativa de eletrificação ruralNão se aplicaNão se aplicaIntermediário",Mercado_Receita!$L$2:$L$1261)+SUMIF(Mercado_Receita!$S$2:$S$1261,"44682B2Convencional pré-pagamentoRuralCooperativa de eletrificação ruralNão se aplicaNão se aplicaNão se aplica",Mercado_Receita!$L$2:$L$1261)</f>
        <v>0</v>
      </c>
      <c r="R40" s="12">
        <f>SUMIF(Mercado_Receita!$S$2:$S$1261,"44713B2Convencional pré-pagamentoRuralCooperativa de eletrificação ruralNão se aplicaNão se aplicaPonta",Mercado_Receita!$L$2:$L$1261)+SUMIF(Mercado_Receita!$S$2:$S$1261,"44713B2Convencional pré-pagamentoRuralCooperativa de eletrificação ruralNão se aplicaNão se aplicaFora ponta",Mercado_Receita!$L$2:$L$1261)+SUMIF(Mercado_Receita!$S$2:$S$1261,"44713B2Convencional pré-pagamentoRuralCooperativa de eletrificação ruralNão se aplicaNão se aplicaIntermediário",Mercado_Receita!$L$2:$L$1261)+SUMIF(Mercado_Receita!$S$2:$S$1261,"44713B2Convencional pré-pagamentoRuralCooperativa de eletrificação ruralNão se aplicaNão se aplicaNão se aplica",Mercado_Receita!$L$2:$L$1261)</f>
        <v>0</v>
      </c>
      <c r="S40" s="12">
        <f>SUMIF(Mercado_Receita!$S$2:$S$1261,"44743B2Convencional pré-pagamentoRuralCooperativa de eletrificação ruralNão se aplicaNão se aplicaPonta",Mercado_Receita!$L$2:$L$1261)+SUMIF(Mercado_Receita!$S$2:$S$1261,"44743B2Convencional pré-pagamentoRuralCooperativa de eletrificação ruralNão se aplicaNão se aplicaFora ponta",Mercado_Receita!$L$2:$L$1261)+SUMIF(Mercado_Receita!$S$2:$S$1261,"44743B2Convencional pré-pagamentoRuralCooperativa de eletrificação ruralNão se aplicaNão se aplicaIntermediário",Mercado_Receita!$L$2:$L$1261)+SUMIF(Mercado_Receita!$S$2:$S$1261,"44743B2Convencional pré-pagamentoRuralCooperativa de eletrificação ruralNão se aplicaNão se aplicaNão se aplica",Mercado_Receita!$L$2:$L$1261)</f>
        <v>0</v>
      </c>
      <c r="T40" s="12">
        <f>SUMIF(Mercado_Receita!$S$2:$S$1261,"44774B2Convencional pré-pagamentoRuralCooperativa de eletrificação ruralNão se aplicaNão se aplicaPonta",Mercado_Receita!$L$2:$L$1261)+SUMIF(Mercado_Receita!$S$2:$S$1261,"44774B2Convencional pré-pagamentoRuralCooperativa de eletrificação ruralNão se aplicaNão se aplicaFora ponta",Mercado_Receita!$L$2:$L$1261)+SUMIF(Mercado_Receita!$S$2:$S$1261,"44774B2Convencional pré-pagamentoRuralCooperativa de eletrificação ruralNão se aplicaNão se aplicaIntermediário",Mercado_Receita!$L$2:$L$1261)+SUMIF(Mercado_Receita!$S$2:$S$1261,"44774B2Convencional pré-pagamentoRuralCooperativa de eletrificação ruralNão se aplicaNão se aplicaNão se aplica",Mercado_Receita!$L$2:$L$1261)</f>
        <v>0</v>
      </c>
      <c r="U40" s="12">
        <f t="shared" si="0"/>
        <v>0</v>
      </c>
      <c r="V40" s="12"/>
      <c r="W40" s="12"/>
    </row>
    <row r="41" spans="1:23" ht="11.25" customHeight="1" x14ac:dyDescent="0.25">
      <c r="A41" s="105"/>
      <c r="B41" s="105"/>
      <c r="C41" s="105"/>
      <c r="D41" s="13" t="s">
        <v>55</v>
      </c>
      <c r="E41" s="13" t="s">
        <v>25</v>
      </c>
      <c r="F41" s="13" t="s">
        <v>25</v>
      </c>
      <c r="G41" s="12" t="s">
        <v>86</v>
      </c>
      <c r="H41" s="12" t="s">
        <v>80</v>
      </c>
      <c r="I41" s="12">
        <f>SUMIF(Mercado_Receita!$S$2:$S$1261,"44440B2Convencional pré-pagamentoRuralServiço público de irrigação ruralNão se aplicaNão se aplicaPonta",Mercado_Receita!$L$2:$L$1261)+SUMIF(Mercado_Receita!$S$2:$S$1261,"44440B2Convencional pré-pagamentoRuralServiço público de irrigação ruralNão se aplicaNão se aplicaFora ponta",Mercado_Receita!$L$2:$L$1261)+SUMIF(Mercado_Receita!$S$2:$S$1261,"44440B2Convencional pré-pagamentoRuralServiço público de irrigação ruralNão se aplicaNão se aplicaIntermediário",Mercado_Receita!$L$2:$L$1261)+SUMIF(Mercado_Receita!$S$2:$S$1261,"44440B2Convencional pré-pagamentoRuralServiço público de irrigação ruralNão se aplicaNão se aplicaNão se aplica",Mercado_Receita!$L$2:$L$1261)</f>
        <v>0</v>
      </c>
      <c r="J41" s="12">
        <f>SUMIF(Mercado_Receita!$S$2:$S$1261,"44470B2Convencional pré-pagamentoRuralServiço público de irrigação ruralNão se aplicaNão se aplicaPonta",Mercado_Receita!$L$2:$L$1261)+SUMIF(Mercado_Receita!$S$2:$S$1261,"44470B2Convencional pré-pagamentoRuralServiço público de irrigação ruralNão se aplicaNão se aplicaFora ponta",Mercado_Receita!$L$2:$L$1261)+SUMIF(Mercado_Receita!$S$2:$S$1261,"44470B2Convencional pré-pagamentoRuralServiço público de irrigação ruralNão se aplicaNão se aplicaIntermediário",Mercado_Receita!$L$2:$L$1261)+SUMIF(Mercado_Receita!$S$2:$S$1261,"44470B2Convencional pré-pagamentoRuralServiço público de irrigação ruralNão se aplicaNão se aplicaNão se aplica",Mercado_Receita!$L$2:$L$1261)</f>
        <v>0</v>
      </c>
      <c r="K41" s="12">
        <f>SUMIF(Mercado_Receita!$S$2:$S$1261,"44501B2Convencional pré-pagamentoRuralServiço público de irrigação ruralNão se aplicaNão se aplicaPonta",Mercado_Receita!$L$2:$L$1261)+SUMIF(Mercado_Receita!$S$2:$S$1261,"44501B2Convencional pré-pagamentoRuralServiço público de irrigação ruralNão se aplicaNão se aplicaFora ponta",Mercado_Receita!$L$2:$L$1261)+SUMIF(Mercado_Receita!$S$2:$S$1261,"44501B2Convencional pré-pagamentoRuralServiço público de irrigação ruralNão se aplicaNão se aplicaIntermediário",Mercado_Receita!$L$2:$L$1261)+SUMIF(Mercado_Receita!$S$2:$S$1261,"44501B2Convencional pré-pagamentoRuralServiço público de irrigação ruralNão se aplicaNão se aplicaNão se aplica",Mercado_Receita!$L$2:$L$1261)</f>
        <v>0</v>
      </c>
      <c r="L41" s="12">
        <f>SUMIF(Mercado_Receita!$S$2:$S$1261,"44531B2Convencional pré-pagamentoRuralServiço público de irrigação ruralNão se aplicaNão se aplicaPonta",Mercado_Receita!$L$2:$L$1261)+SUMIF(Mercado_Receita!$S$2:$S$1261,"44531B2Convencional pré-pagamentoRuralServiço público de irrigação ruralNão se aplicaNão se aplicaFora ponta",Mercado_Receita!$L$2:$L$1261)+SUMIF(Mercado_Receita!$S$2:$S$1261,"44531B2Convencional pré-pagamentoRuralServiço público de irrigação ruralNão se aplicaNão se aplicaIntermediário",Mercado_Receita!$L$2:$L$1261)+SUMIF(Mercado_Receita!$S$2:$S$1261,"44531B2Convencional pré-pagamentoRuralServiço público de irrigação ruralNão se aplicaNão se aplicaNão se aplica",Mercado_Receita!$L$2:$L$1261)</f>
        <v>0</v>
      </c>
      <c r="M41" s="12">
        <f>SUMIF(Mercado_Receita!$S$2:$S$1261,"44562B2Convencional pré-pagamentoRuralServiço público de irrigação ruralNão se aplicaNão se aplicaPonta",Mercado_Receita!$L$2:$L$1261)+SUMIF(Mercado_Receita!$S$2:$S$1261,"44562B2Convencional pré-pagamentoRuralServiço público de irrigação ruralNão se aplicaNão se aplicaFora ponta",Mercado_Receita!$L$2:$L$1261)+SUMIF(Mercado_Receita!$S$2:$S$1261,"44562B2Convencional pré-pagamentoRuralServiço público de irrigação ruralNão se aplicaNão se aplicaIntermediário",Mercado_Receita!$L$2:$L$1261)+SUMIF(Mercado_Receita!$S$2:$S$1261,"44562B2Convencional pré-pagamentoRuralServiço público de irrigação ruralNão se aplicaNão se aplicaNão se aplica",Mercado_Receita!$L$2:$L$1261)</f>
        <v>0</v>
      </c>
      <c r="N41" s="12">
        <f>SUMIF(Mercado_Receita!$S$2:$S$1261,"44593B2Convencional pré-pagamentoRuralServiço público de irrigação ruralNão se aplicaNão se aplicaPonta",Mercado_Receita!$L$2:$L$1261)+SUMIF(Mercado_Receita!$S$2:$S$1261,"44593B2Convencional pré-pagamentoRuralServiço público de irrigação ruralNão se aplicaNão se aplicaFora ponta",Mercado_Receita!$L$2:$L$1261)+SUMIF(Mercado_Receita!$S$2:$S$1261,"44593B2Convencional pré-pagamentoRuralServiço público de irrigação ruralNão se aplicaNão se aplicaIntermediário",Mercado_Receita!$L$2:$L$1261)+SUMIF(Mercado_Receita!$S$2:$S$1261,"44593B2Convencional pré-pagamentoRuralServiço público de irrigação ruralNão se aplicaNão se aplicaNão se aplica",Mercado_Receita!$L$2:$L$1261)</f>
        <v>0</v>
      </c>
      <c r="O41" s="12">
        <f>SUMIF(Mercado_Receita!$S$2:$S$1261,"44621B2Convencional pré-pagamentoRuralServiço público de irrigação ruralNão se aplicaNão se aplicaPonta",Mercado_Receita!$L$2:$L$1261)+SUMIF(Mercado_Receita!$S$2:$S$1261,"44621B2Convencional pré-pagamentoRuralServiço público de irrigação ruralNão se aplicaNão se aplicaFora ponta",Mercado_Receita!$L$2:$L$1261)+SUMIF(Mercado_Receita!$S$2:$S$1261,"44621B2Convencional pré-pagamentoRuralServiço público de irrigação ruralNão se aplicaNão se aplicaIntermediário",Mercado_Receita!$L$2:$L$1261)+SUMIF(Mercado_Receita!$S$2:$S$1261,"44621B2Convencional pré-pagamentoRuralServiço público de irrigação ruralNão se aplicaNão se aplicaNão se aplica",Mercado_Receita!$L$2:$L$1261)</f>
        <v>0</v>
      </c>
      <c r="P41" s="12">
        <f>SUMIF(Mercado_Receita!$S$2:$S$1261,"44652B2Convencional pré-pagamentoRuralServiço público de irrigação ruralNão se aplicaNão se aplicaPonta",Mercado_Receita!$L$2:$L$1261)+SUMIF(Mercado_Receita!$S$2:$S$1261,"44652B2Convencional pré-pagamentoRuralServiço público de irrigação ruralNão se aplicaNão se aplicaFora ponta",Mercado_Receita!$L$2:$L$1261)+SUMIF(Mercado_Receita!$S$2:$S$1261,"44652B2Convencional pré-pagamentoRuralServiço público de irrigação ruralNão se aplicaNão se aplicaIntermediário",Mercado_Receita!$L$2:$L$1261)+SUMIF(Mercado_Receita!$S$2:$S$1261,"44652B2Convencional pré-pagamentoRuralServiço público de irrigação ruralNão se aplicaNão se aplicaNão se aplica",Mercado_Receita!$L$2:$L$1261)</f>
        <v>0</v>
      </c>
      <c r="Q41" s="12">
        <f>SUMIF(Mercado_Receita!$S$2:$S$1261,"44682B2Convencional pré-pagamentoRuralServiço público de irrigação ruralNão se aplicaNão se aplicaPonta",Mercado_Receita!$L$2:$L$1261)+SUMIF(Mercado_Receita!$S$2:$S$1261,"44682B2Convencional pré-pagamentoRuralServiço público de irrigação ruralNão se aplicaNão se aplicaFora ponta",Mercado_Receita!$L$2:$L$1261)+SUMIF(Mercado_Receita!$S$2:$S$1261,"44682B2Convencional pré-pagamentoRuralServiço público de irrigação ruralNão se aplicaNão se aplicaIntermediário",Mercado_Receita!$L$2:$L$1261)+SUMIF(Mercado_Receita!$S$2:$S$1261,"44682B2Convencional pré-pagamentoRuralServiço público de irrigação ruralNão se aplicaNão se aplicaNão se aplica",Mercado_Receita!$L$2:$L$1261)</f>
        <v>0</v>
      </c>
      <c r="R41" s="12">
        <f>SUMIF(Mercado_Receita!$S$2:$S$1261,"44713B2Convencional pré-pagamentoRuralServiço público de irrigação ruralNão se aplicaNão se aplicaPonta",Mercado_Receita!$L$2:$L$1261)+SUMIF(Mercado_Receita!$S$2:$S$1261,"44713B2Convencional pré-pagamentoRuralServiço público de irrigação ruralNão se aplicaNão se aplicaFora ponta",Mercado_Receita!$L$2:$L$1261)+SUMIF(Mercado_Receita!$S$2:$S$1261,"44713B2Convencional pré-pagamentoRuralServiço público de irrigação ruralNão se aplicaNão se aplicaIntermediário",Mercado_Receita!$L$2:$L$1261)+SUMIF(Mercado_Receita!$S$2:$S$1261,"44713B2Convencional pré-pagamentoRuralServiço público de irrigação ruralNão se aplicaNão se aplicaNão se aplica",Mercado_Receita!$L$2:$L$1261)</f>
        <v>0</v>
      </c>
      <c r="S41" s="12">
        <f>SUMIF(Mercado_Receita!$S$2:$S$1261,"44743B2Convencional pré-pagamentoRuralServiço público de irrigação ruralNão se aplicaNão se aplicaPonta",Mercado_Receita!$L$2:$L$1261)+SUMIF(Mercado_Receita!$S$2:$S$1261,"44743B2Convencional pré-pagamentoRuralServiço público de irrigação ruralNão se aplicaNão se aplicaFora ponta",Mercado_Receita!$L$2:$L$1261)+SUMIF(Mercado_Receita!$S$2:$S$1261,"44743B2Convencional pré-pagamentoRuralServiço público de irrigação ruralNão se aplicaNão se aplicaIntermediário",Mercado_Receita!$L$2:$L$1261)+SUMIF(Mercado_Receita!$S$2:$S$1261,"44743B2Convencional pré-pagamentoRuralServiço público de irrigação ruralNão se aplicaNão se aplicaNão se aplica",Mercado_Receita!$L$2:$L$1261)</f>
        <v>0</v>
      </c>
      <c r="T41" s="12">
        <f>SUMIF(Mercado_Receita!$S$2:$S$1261,"44774B2Convencional pré-pagamentoRuralServiço público de irrigação ruralNão se aplicaNão se aplicaPonta",Mercado_Receita!$L$2:$L$1261)+SUMIF(Mercado_Receita!$S$2:$S$1261,"44774B2Convencional pré-pagamentoRuralServiço público de irrigação ruralNão se aplicaNão se aplicaFora ponta",Mercado_Receita!$L$2:$L$1261)+SUMIF(Mercado_Receita!$S$2:$S$1261,"44774B2Convencional pré-pagamentoRuralServiço público de irrigação ruralNão se aplicaNão se aplicaIntermediário",Mercado_Receita!$L$2:$L$1261)+SUMIF(Mercado_Receita!$S$2:$S$1261,"44774B2Convencional pré-pagamentoRuralServiço público de irrigação ruralNão se aplicaNão se aplicaNão se aplica",Mercado_Receita!$L$2:$L$1261)</f>
        <v>0</v>
      </c>
      <c r="U41" s="12">
        <f t="shared" si="0"/>
        <v>0</v>
      </c>
      <c r="V41" s="12"/>
      <c r="W41" s="12"/>
    </row>
    <row r="42" spans="1:23" ht="11.25" customHeight="1" x14ac:dyDescent="0.25">
      <c r="A42" s="104" t="s">
        <v>37</v>
      </c>
      <c r="B42" s="104" t="s">
        <v>33</v>
      </c>
      <c r="C42" s="104" t="s">
        <v>25</v>
      </c>
      <c r="D42" s="104" t="s">
        <v>25</v>
      </c>
      <c r="E42" s="104" t="s">
        <v>25</v>
      </c>
      <c r="F42" s="104" t="s">
        <v>25</v>
      </c>
      <c r="G42" s="12" t="s">
        <v>81</v>
      </c>
      <c r="H42" s="12" t="s">
        <v>80</v>
      </c>
      <c r="I42" s="12">
        <f>SUMIF(Mercado_Receita!$S$2:$S$1261,"44440B3BrancaNão se aplicaNão se aplicaNão se aplicaNão se aplicaPonta",Mercado_Receita!$L$2:$L$1261)</f>
        <v>4.72</v>
      </c>
      <c r="J42" s="12">
        <f>SUMIF(Mercado_Receita!$S$2:$S$1261,"44470B3BrancaNão se aplicaNão se aplicaNão se aplicaNão se aplicaPonta",Mercado_Receita!$L$2:$L$1261)</f>
        <v>4.7830000000000013</v>
      </c>
      <c r="K42" s="12">
        <f>SUMIF(Mercado_Receita!$S$2:$S$1261,"44501B3BrancaNão se aplicaNão se aplicaNão se aplicaNão se aplicaPonta",Mercado_Receita!$L$2:$L$1261)</f>
        <v>5.0809999999999995</v>
      </c>
      <c r="L42" s="12">
        <f>SUMIF(Mercado_Receita!$S$2:$S$1261,"44531B3BrancaNão se aplicaNão se aplicaNão se aplicaNão se aplicaPonta",Mercado_Receita!$L$2:$L$1261)</f>
        <v>5.1619999999999999</v>
      </c>
      <c r="M42" s="12">
        <f>SUMIF(Mercado_Receita!$S$2:$S$1261,"44562B3BrancaNão se aplicaNão se aplicaNão se aplicaNão se aplicaPonta",Mercado_Receita!$L$2:$L$1261)</f>
        <v>4.867</v>
      </c>
      <c r="N42" s="12">
        <f>SUMIF(Mercado_Receita!$S$2:$S$1261,"44593B3BrancaNão se aplicaNão se aplicaNão se aplicaNão se aplicaPonta",Mercado_Receita!$L$2:$L$1261)</f>
        <v>4.8689999999999998</v>
      </c>
      <c r="O42" s="12">
        <f>SUMIF(Mercado_Receita!$S$2:$S$1261,"44621B3BrancaNão se aplicaNão se aplicaNão se aplicaNão se aplicaPonta",Mercado_Receita!$L$2:$L$1261)</f>
        <v>5.1310000000000002</v>
      </c>
      <c r="P42" s="12">
        <f>SUMIF(Mercado_Receita!$S$2:$S$1261,"44652B3BrancaNão se aplicaNão se aplicaNão se aplicaNão se aplicaPonta",Mercado_Receita!$L$2:$L$1261)</f>
        <v>4.8359999999999994</v>
      </c>
      <c r="Q42" s="12">
        <f>SUMIF(Mercado_Receita!$S$2:$S$1261,"44682B3BrancaNão se aplicaNão se aplicaNão se aplicaNão se aplicaPonta",Mercado_Receita!$L$2:$L$1261)</f>
        <v>4.6639999999999997</v>
      </c>
      <c r="R42" s="12">
        <f>SUMIF(Mercado_Receita!$S$2:$S$1261,"44713B3BrancaNão se aplicaNão se aplicaNão se aplicaNão se aplicaPonta",Mercado_Receita!$L$2:$L$1261)</f>
        <v>4.1599999999999993</v>
      </c>
      <c r="S42" s="12">
        <f>SUMIF(Mercado_Receita!$S$2:$S$1261,"44743B3BrancaNão se aplicaNão se aplicaNão se aplicaNão se aplicaPonta",Mercado_Receita!$L$2:$L$1261)</f>
        <v>4.444</v>
      </c>
      <c r="T42" s="12">
        <f>SUMIF(Mercado_Receita!$S$2:$S$1261,"44774B3BrancaNão se aplicaNão se aplicaNão se aplicaNão se aplicaPonta",Mercado_Receita!$L$2:$L$1261)</f>
        <v>4.444</v>
      </c>
      <c r="U42" s="12">
        <f t="shared" si="0"/>
        <v>57.161000000000001</v>
      </c>
      <c r="V42" s="12"/>
      <c r="W42" s="12"/>
    </row>
    <row r="43" spans="1:23" ht="11.25" customHeight="1" x14ac:dyDescent="0.25">
      <c r="A43" s="105"/>
      <c r="B43" s="105"/>
      <c r="C43" s="105"/>
      <c r="D43" s="105"/>
      <c r="E43" s="105"/>
      <c r="F43" s="105"/>
      <c r="G43" s="12" t="s">
        <v>91</v>
      </c>
      <c r="H43" s="12" t="s">
        <v>80</v>
      </c>
      <c r="I43" s="12">
        <f>SUMIF(Mercado_Receita!$S$2:$S$1261,"44440B3BrancaNão se aplicaNão se aplicaNão se aplicaNão se aplicaIntermediário",Mercado_Receita!$L$2:$L$1261)</f>
        <v>3.6949999999999998</v>
      </c>
      <c r="J43" s="12">
        <f>SUMIF(Mercado_Receita!$S$2:$S$1261,"44470B3BrancaNão se aplicaNão se aplicaNão se aplicaNão se aplicaIntermediário",Mercado_Receita!$L$2:$L$1261)</f>
        <v>4.101</v>
      </c>
      <c r="K43" s="12">
        <f>SUMIF(Mercado_Receita!$S$2:$S$1261,"44501B3BrancaNão se aplicaNão se aplicaNão se aplicaNão se aplicaIntermediário",Mercado_Receita!$L$2:$L$1261)</f>
        <v>8.1879999999999988</v>
      </c>
      <c r="L43" s="12">
        <f>SUMIF(Mercado_Receita!$S$2:$S$1261,"44531B3BrancaNão se aplicaNão se aplicaNão se aplicaNão se aplicaIntermediário",Mercado_Receita!$L$2:$L$1261)</f>
        <v>1.4710000000000001</v>
      </c>
      <c r="M43" s="12">
        <f>SUMIF(Mercado_Receita!$S$2:$S$1261,"44562B3BrancaNão se aplicaNão se aplicaNão se aplicaNão se aplicaIntermediário",Mercado_Receita!$L$2:$L$1261)</f>
        <v>4.2540000000000004</v>
      </c>
      <c r="N43" s="12">
        <f>SUMIF(Mercado_Receita!$S$2:$S$1261,"44593B3BrancaNão se aplicaNão se aplicaNão se aplicaNão se aplicaIntermediário",Mercado_Receita!$L$2:$L$1261)</f>
        <v>6.0949999999999998</v>
      </c>
      <c r="O43" s="12">
        <f>SUMIF(Mercado_Receita!$S$2:$S$1261,"44621B3BrancaNão se aplicaNão se aplicaNão se aplicaNão se aplicaIntermediário",Mercado_Receita!$L$2:$L$1261)</f>
        <v>4.7290000000000001</v>
      </c>
      <c r="P43" s="12">
        <f>SUMIF(Mercado_Receita!$S$2:$S$1261,"44652B3BrancaNão se aplicaNão se aplicaNão se aplicaNão se aplicaIntermediário",Mercado_Receita!$L$2:$L$1261)</f>
        <v>4.6769999999999996</v>
      </c>
      <c r="Q43" s="12">
        <f>SUMIF(Mercado_Receita!$S$2:$S$1261,"44682B3BrancaNão se aplicaNão se aplicaNão se aplicaNão se aplicaIntermediário",Mercado_Receita!$L$2:$L$1261)</f>
        <v>4.2640000000000002</v>
      </c>
      <c r="R43" s="12">
        <f>SUMIF(Mercado_Receita!$S$2:$S$1261,"44713B3BrancaNão se aplicaNão se aplicaNão se aplicaNão se aplicaIntermediário",Mercado_Receita!$L$2:$L$1261)</f>
        <v>3.4580000000000006</v>
      </c>
      <c r="S43" s="12">
        <f>SUMIF(Mercado_Receita!$S$2:$S$1261,"44743B3BrancaNão se aplicaNão se aplicaNão se aplicaNão se aplicaIntermediário",Mercado_Receita!$L$2:$L$1261)</f>
        <v>3.3569999999999998</v>
      </c>
      <c r="T43" s="12">
        <f>SUMIF(Mercado_Receita!$S$2:$S$1261,"44774B3BrancaNão se aplicaNão se aplicaNão se aplicaNão se aplicaIntermediário",Mercado_Receita!$L$2:$L$1261)</f>
        <v>3.3569999999999998</v>
      </c>
      <c r="U43" s="12">
        <f t="shared" si="0"/>
        <v>51.646000000000001</v>
      </c>
      <c r="V43" s="12"/>
      <c r="W43" s="12"/>
    </row>
    <row r="44" spans="1:23" ht="11.25" customHeight="1" x14ac:dyDescent="0.25">
      <c r="A44" s="105"/>
      <c r="B44" s="105"/>
      <c r="C44" s="105"/>
      <c r="D44" s="105"/>
      <c r="E44" s="105"/>
      <c r="F44" s="105"/>
      <c r="G44" s="12" t="s">
        <v>82</v>
      </c>
      <c r="H44" s="12" t="s">
        <v>80</v>
      </c>
      <c r="I44" s="12">
        <f>SUMIF(Mercado_Receita!$S$2:$S$1261,"44440B3BrancaNão se aplicaNão se aplicaNão se aplicaNão se aplicaFora ponta",Mercado_Receita!$L$2:$L$1261)</f>
        <v>76.623000000000005</v>
      </c>
      <c r="J44" s="12">
        <f>SUMIF(Mercado_Receita!$S$2:$S$1261,"44470B3BrancaNão se aplicaNão se aplicaNão se aplicaNão se aplicaFora ponta",Mercado_Receita!$L$2:$L$1261)</f>
        <v>86.22699999999999</v>
      </c>
      <c r="K44" s="12">
        <f>SUMIF(Mercado_Receita!$S$2:$S$1261,"44501B3BrancaNão se aplicaNão se aplicaNão se aplicaNão se aplicaFora ponta",Mercado_Receita!$L$2:$L$1261)</f>
        <v>79.688999999999993</v>
      </c>
      <c r="L44" s="12">
        <f>SUMIF(Mercado_Receita!$S$2:$S$1261,"44531B3BrancaNão se aplicaNão se aplicaNão se aplicaNão se aplicaFora ponta",Mercado_Receita!$L$2:$L$1261)</f>
        <v>91.483000000000018</v>
      </c>
      <c r="M44" s="12">
        <f>SUMIF(Mercado_Receita!$S$2:$S$1261,"44562B3BrancaNão se aplicaNão se aplicaNão se aplicaNão se aplicaFora ponta",Mercado_Receita!$L$2:$L$1261)</f>
        <v>79.234999999999999</v>
      </c>
      <c r="N44" s="12">
        <f>SUMIF(Mercado_Receita!$S$2:$S$1261,"44593B3BrancaNão se aplicaNão se aplicaNão se aplicaNão se aplicaFora ponta",Mercado_Receita!$L$2:$L$1261)</f>
        <v>100.12000000000002</v>
      </c>
      <c r="O44" s="12">
        <f>SUMIF(Mercado_Receita!$S$2:$S$1261,"44621B3BrancaNão se aplicaNão se aplicaNão se aplicaNão se aplicaFora ponta",Mercado_Receita!$L$2:$L$1261)</f>
        <v>97.676000000000016</v>
      </c>
      <c r="P44" s="12">
        <f>SUMIF(Mercado_Receita!$S$2:$S$1261,"44652B3BrancaNão se aplicaNão se aplicaNão se aplicaNão se aplicaFora ponta",Mercado_Receita!$L$2:$L$1261)</f>
        <v>96.573999999999998</v>
      </c>
      <c r="Q44" s="12">
        <f>SUMIF(Mercado_Receita!$S$2:$S$1261,"44682B3BrancaNão se aplicaNão se aplicaNão se aplicaNão se aplicaFora ponta",Mercado_Receita!$L$2:$L$1261)</f>
        <v>82.466999999999985</v>
      </c>
      <c r="R44" s="12">
        <f>SUMIF(Mercado_Receita!$S$2:$S$1261,"44713B3BrancaNão se aplicaNão se aplicaNão se aplicaNão se aplicaFora ponta",Mercado_Receita!$L$2:$L$1261)</f>
        <v>63.61</v>
      </c>
      <c r="S44" s="12">
        <f>SUMIF(Mercado_Receita!$S$2:$S$1261,"44743B3BrancaNão se aplicaNão se aplicaNão se aplicaNão se aplicaFora ponta",Mercado_Receita!$L$2:$L$1261)</f>
        <v>64.507999999999996</v>
      </c>
      <c r="T44" s="12">
        <f>SUMIF(Mercado_Receita!$S$2:$S$1261,"44774B3BrancaNão se aplicaNão se aplicaNão se aplicaNão se aplicaFora ponta",Mercado_Receita!$L$2:$L$1261)</f>
        <v>64.507999999999996</v>
      </c>
      <c r="U44" s="12">
        <f t="shared" si="0"/>
        <v>982.72000000000014</v>
      </c>
      <c r="V44" s="12"/>
      <c r="W44" s="12"/>
    </row>
    <row r="45" spans="1:23" ht="11.25" customHeight="1" x14ac:dyDescent="0.25">
      <c r="A45" s="105"/>
      <c r="B45" s="13" t="s">
        <v>23</v>
      </c>
      <c r="C45" s="13" t="s">
        <v>25</v>
      </c>
      <c r="D45" s="13" t="s">
        <v>25</v>
      </c>
      <c r="E45" s="13" t="s">
        <v>25</v>
      </c>
      <c r="F45" s="13" t="s">
        <v>25</v>
      </c>
      <c r="G45" s="12" t="s">
        <v>86</v>
      </c>
      <c r="H45" s="12" t="s">
        <v>80</v>
      </c>
      <c r="I45" s="12">
        <f>SUMIF(Mercado_Receita!$S$2:$S$1261,"44440B3ConvencionalNão se aplicaNão se aplicaNão se aplicaNão se aplicaPonta",Mercado_Receita!$L$2:$L$1261)+SUMIF(Mercado_Receita!$S$2:$S$1261,"44440B3ConvencionalNão se aplicaNão se aplicaNão se aplicaNão se aplicaFora ponta",Mercado_Receita!$L$2:$L$1261)+SUMIF(Mercado_Receita!$S$2:$S$1261,"44440B3ConvencionalNão se aplicaNão se aplicaNão se aplicaNão se aplicaIntermediário",Mercado_Receita!$L$2:$L$1261)+SUMIF(Mercado_Receita!$S$2:$S$1261,"44440B3ConvencionalNão se aplicaNão se aplicaNão se aplicaNão se aplicaNão se aplica",Mercado_Receita!$L$2:$L$1261)</f>
        <v>6855.5779999999995</v>
      </c>
      <c r="J45" s="12">
        <f>SUMIF(Mercado_Receita!$S$2:$S$1261,"44470B3ConvencionalNão se aplicaNão se aplicaNão se aplicaNão se aplicaPonta",Mercado_Receita!$L$2:$L$1261)+SUMIF(Mercado_Receita!$S$2:$S$1261,"44470B3ConvencionalNão se aplicaNão se aplicaNão se aplicaNão se aplicaFora ponta",Mercado_Receita!$L$2:$L$1261)+SUMIF(Mercado_Receita!$S$2:$S$1261,"44470B3ConvencionalNão se aplicaNão se aplicaNão se aplicaNão se aplicaIntermediário",Mercado_Receita!$L$2:$L$1261)+SUMIF(Mercado_Receita!$S$2:$S$1261,"44470B3ConvencionalNão se aplicaNão se aplicaNão se aplicaNão se aplicaNão se aplica",Mercado_Receita!$L$2:$L$1261)</f>
        <v>7427.853000000001</v>
      </c>
      <c r="K45" s="12">
        <f>SUMIF(Mercado_Receita!$S$2:$S$1261,"44501B3ConvencionalNão se aplicaNão se aplicaNão se aplicaNão se aplicaPonta",Mercado_Receita!$L$2:$L$1261)+SUMIF(Mercado_Receita!$S$2:$S$1261,"44501B3ConvencionalNão se aplicaNão se aplicaNão se aplicaNão se aplicaFora ponta",Mercado_Receita!$L$2:$L$1261)+SUMIF(Mercado_Receita!$S$2:$S$1261,"44501B3ConvencionalNão se aplicaNão se aplicaNão se aplicaNão se aplicaIntermediário",Mercado_Receita!$L$2:$L$1261)+SUMIF(Mercado_Receita!$S$2:$S$1261,"44501B3ConvencionalNão se aplicaNão se aplicaNão se aplicaNão se aplicaNão se aplica",Mercado_Receita!$L$2:$L$1261)</f>
        <v>7107.8420000000015</v>
      </c>
      <c r="L45" s="12">
        <f>SUMIF(Mercado_Receita!$S$2:$S$1261,"44531B3ConvencionalNão se aplicaNão se aplicaNão se aplicaNão se aplicaPonta",Mercado_Receita!$L$2:$L$1261)+SUMIF(Mercado_Receita!$S$2:$S$1261,"44531B3ConvencionalNão se aplicaNão se aplicaNão se aplicaNão se aplicaFora ponta",Mercado_Receita!$L$2:$L$1261)+SUMIF(Mercado_Receita!$S$2:$S$1261,"44531B3ConvencionalNão se aplicaNão se aplicaNão se aplicaNão se aplicaIntermediário",Mercado_Receita!$L$2:$L$1261)+SUMIF(Mercado_Receita!$S$2:$S$1261,"44531B3ConvencionalNão se aplicaNão se aplicaNão se aplicaNão se aplicaNão se aplica",Mercado_Receita!$L$2:$L$1261)</f>
        <v>7573.6099999999988</v>
      </c>
      <c r="M45" s="12">
        <f>SUMIF(Mercado_Receita!$S$2:$S$1261,"44562B3ConvencionalNão se aplicaNão se aplicaNão se aplicaNão se aplicaPonta",Mercado_Receita!$L$2:$L$1261)+SUMIF(Mercado_Receita!$S$2:$S$1261,"44562B3ConvencionalNão se aplicaNão se aplicaNão se aplicaNão se aplicaFora ponta",Mercado_Receita!$L$2:$L$1261)+SUMIF(Mercado_Receita!$S$2:$S$1261,"44562B3ConvencionalNão se aplicaNão se aplicaNão se aplicaNão se aplicaIntermediário",Mercado_Receita!$L$2:$L$1261)+SUMIF(Mercado_Receita!$S$2:$S$1261,"44562B3ConvencionalNão se aplicaNão se aplicaNão se aplicaNão se aplicaNão se aplica",Mercado_Receita!$L$2:$L$1261)</f>
        <v>7209.5309999999999</v>
      </c>
      <c r="N45" s="12">
        <f>SUMIF(Mercado_Receita!$S$2:$S$1261,"44593B3ConvencionalNão se aplicaNão se aplicaNão se aplicaNão se aplicaPonta",Mercado_Receita!$L$2:$L$1261)+SUMIF(Mercado_Receita!$S$2:$S$1261,"44593B3ConvencionalNão se aplicaNão se aplicaNão se aplicaNão se aplicaFora ponta",Mercado_Receita!$L$2:$L$1261)+SUMIF(Mercado_Receita!$S$2:$S$1261,"44593B3ConvencionalNão se aplicaNão se aplicaNão se aplicaNão se aplicaIntermediário",Mercado_Receita!$L$2:$L$1261)+SUMIF(Mercado_Receita!$S$2:$S$1261,"44593B3ConvencionalNão se aplicaNão se aplicaNão se aplicaNão se aplicaNão se aplica",Mercado_Receita!$L$2:$L$1261)</f>
        <v>8166.1710000000003</v>
      </c>
      <c r="O45" s="12">
        <f>SUMIF(Mercado_Receita!$S$2:$S$1261,"44621B3ConvencionalNão se aplicaNão se aplicaNão se aplicaNão se aplicaPonta",Mercado_Receita!$L$2:$L$1261)+SUMIF(Mercado_Receita!$S$2:$S$1261,"44621B3ConvencionalNão se aplicaNão se aplicaNão se aplicaNão se aplicaFora ponta",Mercado_Receita!$L$2:$L$1261)+SUMIF(Mercado_Receita!$S$2:$S$1261,"44621B3ConvencionalNão se aplicaNão se aplicaNão se aplicaNão se aplicaIntermediário",Mercado_Receita!$L$2:$L$1261)+SUMIF(Mercado_Receita!$S$2:$S$1261,"44621B3ConvencionalNão se aplicaNão se aplicaNão se aplicaNão se aplicaNão se aplica",Mercado_Receita!$L$2:$L$1261)</f>
        <v>8172.1769999999997</v>
      </c>
      <c r="P45" s="12">
        <f>SUMIF(Mercado_Receita!$S$2:$S$1261,"44652B3ConvencionalNão se aplicaNão se aplicaNão se aplicaNão se aplicaPonta",Mercado_Receita!$L$2:$L$1261)+SUMIF(Mercado_Receita!$S$2:$S$1261,"44652B3ConvencionalNão se aplicaNão se aplicaNão se aplicaNão se aplicaFora ponta",Mercado_Receita!$L$2:$L$1261)+SUMIF(Mercado_Receita!$S$2:$S$1261,"44652B3ConvencionalNão se aplicaNão se aplicaNão se aplicaNão se aplicaIntermediário",Mercado_Receita!$L$2:$L$1261)+SUMIF(Mercado_Receita!$S$2:$S$1261,"44652B3ConvencionalNão se aplicaNão se aplicaNão se aplicaNão se aplicaNão se aplica",Mercado_Receita!$L$2:$L$1261)</f>
        <v>8543.2639999999992</v>
      </c>
      <c r="Q45" s="12">
        <f>SUMIF(Mercado_Receita!$S$2:$S$1261,"44682B3ConvencionalNão se aplicaNão se aplicaNão se aplicaNão se aplicaPonta",Mercado_Receita!$L$2:$L$1261)+SUMIF(Mercado_Receita!$S$2:$S$1261,"44682B3ConvencionalNão se aplicaNão se aplicaNão se aplicaNão se aplicaFora ponta",Mercado_Receita!$L$2:$L$1261)+SUMIF(Mercado_Receita!$S$2:$S$1261,"44682B3ConvencionalNão se aplicaNão se aplicaNão se aplicaNão se aplicaIntermediário",Mercado_Receita!$L$2:$L$1261)+SUMIF(Mercado_Receita!$S$2:$S$1261,"44682B3ConvencionalNão se aplicaNão se aplicaNão se aplicaNão se aplicaNão se aplica",Mercado_Receita!$L$2:$L$1261)</f>
        <v>7426.9459999999999</v>
      </c>
      <c r="R45" s="12">
        <f>SUMIF(Mercado_Receita!$S$2:$S$1261,"44713B3ConvencionalNão se aplicaNão se aplicaNão se aplicaNão se aplicaPonta",Mercado_Receita!$L$2:$L$1261)+SUMIF(Mercado_Receita!$S$2:$S$1261,"44713B3ConvencionalNão se aplicaNão se aplicaNão se aplicaNão se aplicaFora ponta",Mercado_Receita!$L$2:$L$1261)+SUMIF(Mercado_Receita!$S$2:$S$1261,"44713B3ConvencionalNão se aplicaNão se aplicaNão se aplicaNão se aplicaIntermediário",Mercado_Receita!$L$2:$L$1261)+SUMIF(Mercado_Receita!$S$2:$S$1261,"44713B3ConvencionalNão se aplicaNão se aplicaNão se aplicaNão se aplicaNão se aplica",Mercado_Receita!$L$2:$L$1261)</f>
        <v>6559.5380000000005</v>
      </c>
      <c r="S45" s="12">
        <f>SUMIF(Mercado_Receita!$S$2:$S$1261,"44743B3ConvencionalNão se aplicaNão se aplicaNão se aplicaNão se aplicaPonta",Mercado_Receita!$L$2:$L$1261)+SUMIF(Mercado_Receita!$S$2:$S$1261,"44743B3ConvencionalNão se aplicaNão se aplicaNão se aplicaNão se aplicaFora ponta",Mercado_Receita!$L$2:$L$1261)+SUMIF(Mercado_Receita!$S$2:$S$1261,"44743B3ConvencionalNão se aplicaNão se aplicaNão se aplicaNão se aplicaIntermediário",Mercado_Receita!$L$2:$L$1261)+SUMIF(Mercado_Receita!$S$2:$S$1261,"44743B3ConvencionalNão se aplicaNão se aplicaNão se aplicaNão se aplicaNão se aplica",Mercado_Receita!$L$2:$L$1261)</f>
        <v>5823.8029999999999</v>
      </c>
      <c r="T45" s="12">
        <f>SUMIF(Mercado_Receita!$S$2:$S$1261,"44774B3ConvencionalNão se aplicaNão se aplicaNão se aplicaNão se aplicaPonta",Mercado_Receita!$L$2:$L$1261)+SUMIF(Mercado_Receita!$S$2:$S$1261,"44774B3ConvencionalNão se aplicaNão se aplicaNão se aplicaNão se aplicaFora ponta",Mercado_Receita!$L$2:$L$1261)+SUMIF(Mercado_Receita!$S$2:$S$1261,"44774B3ConvencionalNão se aplicaNão se aplicaNão se aplicaNão se aplicaIntermediário",Mercado_Receita!$L$2:$L$1261)+SUMIF(Mercado_Receita!$S$2:$S$1261,"44774B3ConvencionalNão se aplicaNão se aplicaNão se aplicaNão se aplicaNão se aplica",Mercado_Receita!$L$2:$L$1261)</f>
        <v>5823.8029999999999</v>
      </c>
      <c r="U45" s="12">
        <f t="shared" si="0"/>
        <v>86690.115999999995</v>
      </c>
      <c r="V45" s="12"/>
      <c r="W45" s="12"/>
    </row>
    <row r="46" spans="1:23" ht="11.25" customHeight="1" x14ac:dyDescent="0.25">
      <c r="A46" s="105"/>
      <c r="B46" s="13" t="s">
        <v>94</v>
      </c>
      <c r="C46" s="13" t="s">
        <v>25</v>
      </c>
      <c r="D46" s="13" t="s">
        <v>25</v>
      </c>
      <c r="E46" s="13" t="s">
        <v>25</v>
      </c>
      <c r="F46" s="13" t="s">
        <v>25</v>
      </c>
      <c r="G46" s="12" t="s">
        <v>86</v>
      </c>
      <c r="H46" s="12" t="s">
        <v>80</v>
      </c>
      <c r="I46" s="12">
        <f>SUMIF(Mercado_Receita!$S$2:$S$1261,"44440B3Convencional pré-pagamentoNão se aplicaNão se aplicaNão se aplicaNão se aplicaPonta",Mercado_Receita!$L$2:$L$1261)+SUMIF(Mercado_Receita!$S$2:$S$1261,"44440B3Convencional pré-pagamentoNão se aplicaNão se aplicaNão se aplicaNão se aplicaFora ponta",Mercado_Receita!$L$2:$L$1261)+SUMIF(Mercado_Receita!$S$2:$S$1261,"44440B3Convencional pré-pagamentoNão se aplicaNão se aplicaNão se aplicaNão se aplicaIntermediário",Mercado_Receita!$L$2:$L$1261)+SUMIF(Mercado_Receita!$S$2:$S$1261,"44440B3Convencional pré-pagamentoNão se aplicaNão se aplicaNão se aplicaNão se aplicaNão se aplica",Mercado_Receita!$L$2:$L$1261)</f>
        <v>0</v>
      </c>
      <c r="J46" s="12">
        <f>SUMIF(Mercado_Receita!$S$2:$S$1261,"44470B3Convencional pré-pagamentoNão se aplicaNão se aplicaNão se aplicaNão se aplicaPonta",Mercado_Receita!$L$2:$L$1261)+SUMIF(Mercado_Receita!$S$2:$S$1261,"44470B3Convencional pré-pagamentoNão se aplicaNão se aplicaNão se aplicaNão se aplicaFora ponta",Mercado_Receita!$L$2:$L$1261)+SUMIF(Mercado_Receita!$S$2:$S$1261,"44470B3Convencional pré-pagamentoNão se aplicaNão se aplicaNão se aplicaNão se aplicaIntermediário",Mercado_Receita!$L$2:$L$1261)+SUMIF(Mercado_Receita!$S$2:$S$1261,"44470B3Convencional pré-pagamentoNão se aplicaNão se aplicaNão se aplicaNão se aplicaNão se aplica",Mercado_Receita!$L$2:$L$1261)</f>
        <v>0</v>
      </c>
      <c r="K46" s="12">
        <f>SUMIF(Mercado_Receita!$S$2:$S$1261,"44501B3Convencional pré-pagamentoNão se aplicaNão se aplicaNão se aplicaNão se aplicaPonta",Mercado_Receita!$L$2:$L$1261)+SUMIF(Mercado_Receita!$S$2:$S$1261,"44501B3Convencional pré-pagamentoNão se aplicaNão se aplicaNão se aplicaNão se aplicaFora ponta",Mercado_Receita!$L$2:$L$1261)+SUMIF(Mercado_Receita!$S$2:$S$1261,"44501B3Convencional pré-pagamentoNão se aplicaNão se aplicaNão se aplicaNão se aplicaIntermediário",Mercado_Receita!$L$2:$L$1261)+SUMIF(Mercado_Receita!$S$2:$S$1261,"44501B3Convencional pré-pagamentoNão se aplicaNão se aplicaNão se aplicaNão se aplicaNão se aplica",Mercado_Receita!$L$2:$L$1261)</f>
        <v>0</v>
      </c>
      <c r="L46" s="12">
        <f>SUMIF(Mercado_Receita!$S$2:$S$1261,"44531B3Convencional pré-pagamentoNão se aplicaNão se aplicaNão se aplicaNão se aplicaPonta",Mercado_Receita!$L$2:$L$1261)+SUMIF(Mercado_Receita!$S$2:$S$1261,"44531B3Convencional pré-pagamentoNão se aplicaNão se aplicaNão se aplicaNão se aplicaFora ponta",Mercado_Receita!$L$2:$L$1261)+SUMIF(Mercado_Receita!$S$2:$S$1261,"44531B3Convencional pré-pagamentoNão se aplicaNão se aplicaNão se aplicaNão se aplicaIntermediário",Mercado_Receita!$L$2:$L$1261)+SUMIF(Mercado_Receita!$S$2:$S$1261,"44531B3Convencional pré-pagamentoNão se aplicaNão se aplicaNão se aplicaNão se aplicaNão se aplica",Mercado_Receita!$L$2:$L$1261)</f>
        <v>0</v>
      </c>
      <c r="M46" s="12">
        <f>SUMIF(Mercado_Receita!$S$2:$S$1261,"44562B3Convencional pré-pagamentoNão se aplicaNão se aplicaNão se aplicaNão se aplicaPonta",Mercado_Receita!$L$2:$L$1261)+SUMIF(Mercado_Receita!$S$2:$S$1261,"44562B3Convencional pré-pagamentoNão se aplicaNão se aplicaNão se aplicaNão se aplicaFora ponta",Mercado_Receita!$L$2:$L$1261)+SUMIF(Mercado_Receita!$S$2:$S$1261,"44562B3Convencional pré-pagamentoNão se aplicaNão se aplicaNão se aplicaNão se aplicaIntermediário",Mercado_Receita!$L$2:$L$1261)+SUMIF(Mercado_Receita!$S$2:$S$1261,"44562B3Convencional pré-pagamentoNão se aplicaNão se aplicaNão se aplicaNão se aplicaNão se aplica",Mercado_Receita!$L$2:$L$1261)</f>
        <v>0</v>
      </c>
      <c r="N46" s="12">
        <f>SUMIF(Mercado_Receita!$S$2:$S$1261,"44593B3Convencional pré-pagamentoNão se aplicaNão se aplicaNão se aplicaNão se aplicaPonta",Mercado_Receita!$L$2:$L$1261)+SUMIF(Mercado_Receita!$S$2:$S$1261,"44593B3Convencional pré-pagamentoNão se aplicaNão se aplicaNão se aplicaNão se aplicaFora ponta",Mercado_Receita!$L$2:$L$1261)+SUMIF(Mercado_Receita!$S$2:$S$1261,"44593B3Convencional pré-pagamentoNão se aplicaNão se aplicaNão se aplicaNão se aplicaIntermediário",Mercado_Receita!$L$2:$L$1261)+SUMIF(Mercado_Receita!$S$2:$S$1261,"44593B3Convencional pré-pagamentoNão se aplicaNão se aplicaNão se aplicaNão se aplicaNão se aplica",Mercado_Receita!$L$2:$L$1261)</f>
        <v>0</v>
      </c>
      <c r="O46" s="12">
        <f>SUMIF(Mercado_Receita!$S$2:$S$1261,"44621B3Convencional pré-pagamentoNão se aplicaNão se aplicaNão se aplicaNão se aplicaPonta",Mercado_Receita!$L$2:$L$1261)+SUMIF(Mercado_Receita!$S$2:$S$1261,"44621B3Convencional pré-pagamentoNão se aplicaNão se aplicaNão se aplicaNão se aplicaFora ponta",Mercado_Receita!$L$2:$L$1261)+SUMIF(Mercado_Receita!$S$2:$S$1261,"44621B3Convencional pré-pagamentoNão se aplicaNão se aplicaNão se aplicaNão se aplicaIntermediário",Mercado_Receita!$L$2:$L$1261)+SUMIF(Mercado_Receita!$S$2:$S$1261,"44621B3Convencional pré-pagamentoNão se aplicaNão se aplicaNão se aplicaNão se aplicaNão se aplica",Mercado_Receita!$L$2:$L$1261)</f>
        <v>0</v>
      </c>
      <c r="P46" s="12">
        <f>SUMIF(Mercado_Receita!$S$2:$S$1261,"44652B3Convencional pré-pagamentoNão se aplicaNão se aplicaNão se aplicaNão se aplicaPonta",Mercado_Receita!$L$2:$L$1261)+SUMIF(Mercado_Receita!$S$2:$S$1261,"44652B3Convencional pré-pagamentoNão se aplicaNão se aplicaNão se aplicaNão se aplicaFora ponta",Mercado_Receita!$L$2:$L$1261)+SUMIF(Mercado_Receita!$S$2:$S$1261,"44652B3Convencional pré-pagamentoNão se aplicaNão se aplicaNão se aplicaNão se aplicaIntermediário",Mercado_Receita!$L$2:$L$1261)+SUMIF(Mercado_Receita!$S$2:$S$1261,"44652B3Convencional pré-pagamentoNão se aplicaNão se aplicaNão se aplicaNão se aplicaNão se aplica",Mercado_Receita!$L$2:$L$1261)</f>
        <v>0</v>
      </c>
      <c r="Q46" s="12">
        <f>SUMIF(Mercado_Receita!$S$2:$S$1261,"44682B3Convencional pré-pagamentoNão se aplicaNão se aplicaNão se aplicaNão se aplicaPonta",Mercado_Receita!$L$2:$L$1261)+SUMIF(Mercado_Receita!$S$2:$S$1261,"44682B3Convencional pré-pagamentoNão se aplicaNão se aplicaNão se aplicaNão se aplicaFora ponta",Mercado_Receita!$L$2:$L$1261)+SUMIF(Mercado_Receita!$S$2:$S$1261,"44682B3Convencional pré-pagamentoNão se aplicaNão se aplicaNão se aplicaNão se aplicaIntermediário",Mercado_Receita!$L$2:$L$1261)+SUMIF(Mercado_Receita!$S$2:$S$1261,"44682B3Convencional pré-pagamentoNão se aplicaNão se aplicaNão se aplicaNão se aplicaNão se aplica",Mercado_Receita!$L$2:$L$1261)</f>
        <v>0</v>
      </c>
      <c r="R46" s="12">
        <f>SUMIF(Mercado_Receita!$S$2:$S$1261,"44713B3Convencional pré-pagamentoNão se aplicaNão se aplicaNão se aplicaNão se aplicaPonta",Mercado_Receita!$L$2:$L$1261)+SUMIF(Mercado_Receita!$S$2:$S$1261,"44713B3Convencional pré-pagamentoNão se aplicaNão se aplicaNão se aplicaNão se aplicaFora ponta",Mercado_Receita!$L$2:$L$1261)+SUMIF(Mercado_Receita!$S$2:$S$1261,"44713B3Convencional pré-pagamentoNão se aplicaNão se aplicaNão se aplicaNão se aplicaIntermediário",Mercado_Receita!$L$2:$L$1261)+SUMIF(Mercado_Receita!$S$2:$S$1261,"44713B3Convencional pré-pagamentoNão se aplicaNão se aplicaNão se aplicaNão se aplicaNão se aplica",Mercado_Receita!$L$2:$L$1261)</f>
        <v>0</v>
      </c>
      <c r="S46" s="12">
        <f>SUMIF(Mercado_Receita!$S$2:$S$1261,"44743B3Convencional pré-pagamentoNão se aplicaNão se aplicaNão se aplicaNão se aplicaPonta",Mercado_Receita!$L$2:$L$1261)+SUMIF(Mercado_Receita!$S$2:$S$1261,"44743B3Convencional pré-pagamentoNão se aplicaNão se aplicaNão se aplicaNão se aplicaFora ponta",Mercado_Receita!$L$2:$L$1261)+SUMIF(Mercado_Receita!$S$2:$S$1261,"44743B3Convencional pré-pagamentoNão se aplicaNão se aplicaNão se aplicaNão se aplicaIntermediário",Mercado_Receita!$L$2:$L$1261)+SUMIF(Mercado_Receita!$S$2:$S$1261,"44743B3Convencional pré-pagamentoNão se aplicaNão se aplicaNão se aplicaNão se aplicaNão se aplica",Mercado_Receita!$L$2:$L$1261)</f>
        <v>0</v>
      </c>
      <c r="T46" s="12">
        <f>SUMIF(Mercado_Receita!$S$2:$S$1261,"44774B3Convencional pré-pagamentoNão se aplicaNão se aplicaNão se aplicaNão se aplicaPonta",Mercado_Receita!$L$2:$L$1261)+SUMIF(Mercado_Receita!$S$2:$S$1261,"44774B3Convencional pré-pagamentoNão se aplicaNão se aplicaNão se aplicaNão se aplicaFora ponta",Mercado_Receita!$L$2:$L$1261)+SUMIF(Mercado_Receita!$S$2:$S$1261,"44774B3Convencional pré-pagamentoNão se aplicaNão se aplicaNão se aplicaNão se aplicaIntermediário",Mercado_Receita!$L$2:$L$1261)+SUMIF(Mercado_Receita!$S$2:$S$1261,"44774B3Convencional pré-pagamentoNão se aplicaNão se aplicaNão se aplicaNão se aplicaNão se aplica",Mercado_Receita!$L$2:$L$1261)</f>
        <v>0</v>
      </c>
      <c r="U46" s="12">
        <f t="shared" si="0"/>
        <v>0</v>
      </c>
      <c r="V46" s="12"/>
      <c r="W46" s="12"/>
    </row>
    <row r="47" spans="1:23" ht="11.25" customHeight="1" x14ac:dyDescent="0.25">
      <c r="A47" s="104" t="s">
        <v>46</v>
      </c>
      <c r="B47" s="104" t="s">
        <v>23</v>
      </c>
      <c r="C47" s="104" t="s">
        <v>47</v>
      </c>
      <c r="D47" s="13" t="s">
        <v>48</v>
      </c>
      <c r="E47" s="13" t="s">
        <v>25</v>
      </c>
      <c r="F47" s="13" t="s">
        <v>25</v>
      </c>
      <c r="G47" s="12" t="s">
        <v>86</v>
      </c>
      <c r="H47" s="12" t="s">
        <v>80</v>
      </c>
      <c r="I47" s="12">
        <f>SUMIF(Mercado_Receita!$S$2:$S$1261,"44440B4ConvencionalIluminação públicaIluminação pública – B4aNão se aplicaNão se aplicaPonta",Mercado_Receita!$L$2:$L$1261)+SUMIF(Mercado_Receita!$S$2:$S$1261,"44440B4ConvencionalIluminação públicaIluminação pública – B4aNão se aplicaNão se aplicaFora ponta",Mercado_Receita!$L$2:$L$1261)+SUMIF(Mercado_Receita!$S$2:$S$1261,"44440B4ConvencionalIluminação públicaIluminação pública – B4aNão se aplicaNão se aplicaIntermediário",Mercado_Receita!$L$2:$L$1261)+SUMIF(Mercado_Receita!$S$2:$S$1261,"44440B4ConvencionalIluminação públicaIluminação pública – B4aNão se aplicaNão se aplicaNão se aplica",Mercado_Receita!$L$2:$L$1261)</f>
        <v>1537.0060000000001</v>
      </c>
      <c r="J47" s="12">
        <f>SUMIF(Mercado_Receita!$S$2:$S$1261,"44470B4ConvencionalIluminação públicaIluminação pública – B4aNão se aplicaNão se aplicaPonta",Mercado_Receita!$L$2:$L$1261)+SUMIF(Mercado_Receita!$S$2:$S$1261,"44470B4ConvencionalIluminação públicaIluminação pública – B4aNão se aplicaNão se aplicaFora ponta",Mercado_Receita!$L$2:$L$1261)+SUMIF(Mercado_Receita!$S$2:$S$1261,"44470B4ConvencionalIluminação públicaIluminação pública – B4aNão se aplicaNão se aplicaIntermediário",Mercado_Receita!$L$2:$L$1261)+SUMIF(Mercado_Receita!$S$2:$S$1261,"44470B4ConvencionalIluminação públicaIluminação pública – B4aNão se aplicaNão se aplicaNão se aplica",Mercado_Receita!$L$2:$L$1261)</f>
        <v>1614.039</v>
      </c>
      <c r="K47" s="12">
        <f>SUMIF(Mercado_Receita!$S$2:$S$1261,"44501B4ConvencionalIluminação públicaIluminação pública – B4aNão se aplicaNão se aplicaPonta",Mercado_Receita!$L$2:$L$1261)+SUMIF(Mercado_Receita!$S$2:$S$1261,"44501B4ConvencionalIluminação públicaIluminação pública – B4aNão se aplicaNão se aplicaFora ponta",Mercado_Receita!$L$2:$L$1261)+SUMIF(Mercado_Receita!$S$2:$S$1261,"44501B4ConvencionalIluminação públicaIluminação pública – B4aNão se aplicaNão se aplicaIntermediário",Mercado_Receita!$L$2:$L$1261)+SUMIF(Mercado_Receita!$S$2:$S$1261,"44501B4ConvencionalIluminação públicaIluminação pública – B4aNão se aplicaNão se aplicaNão se aplica",Mercado_Receita!$L$2:$L$1261)</f>
        <v>1634.374</v>
      </c>
      <c r="L47" s="12">
        <f>SUMIF(Mercado_Receita!$S$2:$S$1261,"44531B4ConvencionalIluminação públicaIluminação pública – B4aNão se aplicaNão se aplicaPonta",Mercado_Receita!$L$2:$L$1261)+SUMIF(Mercado_Receita!$S$2:$S$1261,"44531B4ConvencionalIluminação públicaIluminação pública – B4aNão se aplicaNão se aplicaFora ponta",Mercado_Receita!$L$2:$L$1261)+SUMIF(Mercado_Receita!$S$2:$S$1261,"44531B4ConvencionalIluminação públicaIluminação pública – B4aNão se aplicaNão se aplicaIntermediário",Mercado_Receita!$L$2:$L$1261)+SUMIF(Mercado_Receita!$S$2:$S$1261,"44531B4ConvencionalIluminação públicaIluminação pública – B4aNão se aplicaNão se aplicaNão se aplica",Mercado_Receita!$L$2:$L$1261)</f>
        <v>1610.021</v>
      </c>
      <c r="M47" s="12">
        <f>SUMIF(Mercado_Receita!$S$2:$S$1261,"44562B4ConvencionalIluminação públicaIluminação pública – B4aNão se aplicaNão se aplicaPonta",Mercado_Receita!$L$2:$L$1261)+SUMIF(Mercado_Receita!$S$2:$S$1261,"44562B4ConvencionalIluminação públicaIluminação pública – B4aNão se aplicaNão se aplicaFora ponta",Mercado_Receita!$L$2:$L$1261)+SUMIF(Mercado_Receita!$S$2:$S$1261,"44562B4ConvencionalIluminação públicaIluminação pública – B4aNão se aplicaNão se aplicaIntermediário",Mercado_Receita!$L$2:$L$1261)+SUMIF(Mercado_Receita!$S$2:$S$1261,"44562B4ConvencionalIluminação públicaIluminação pública – B4aNão se aplicaNão se aplicaNão se aplica",Mercado_Receita!$L$2:$L$1261)</f>
        <v>1589.424</v>
      </c>
      <c r="N47" s="12">
        <f>SUMIF(Mercado_Receita!$S$2:$S$1261,"44593B4ConvencionalIluminação públicaIluminação pública – B4aNão se aplicaNão se aplicaPonta",Mercado_Receita!$L$2:$L$1261)+SUMIF(Mercado_Receita!$S$2:$S$1261,"44593B4ConvencionalIluminação públicaIluminação pública – B4aNão se aplicaNão se aplicaFora ponta",Mercado_Receita!$L$2:$L$1261)+SUMIF(Mercado_Receita!$S$2:$S$1261,"44593B4ConvencionalIluminação públicaIluminação pública – B4aNão se aplicaNão se aplicaIntermediário",Mercado_Receita!$L$2:$L$1261)+SUMIF(Mercado_Receita!$S$2:$S$1261,"44593B4ConvencionalIluminação públicaIluminação pública – B4aNão se aplicaNão se aplicaNão se aplica",Mercado_Receita!$L$2:$L$1261)</f>
        <v>1460.8230000000001</v>
      </c>
      <c r="O47" s="12">
        <f>SUMIF(Mercado_Receita!$S$2:$S$1261,"44621B4ConvencionalIluminação públicaIluminação pública – B4aNão se aplicaNão se aplicaPonta",Mercado_Receita!$L$2:$L$1261)+SUMIF(Mercado_Receita!$S$2:$S$1261,"44621B4ConvencionalIluminação públicaIluminação pública – B4aNão se aplicaNão se aplicaFora ponta",Mercado_Receita!$L$2:$L$1261)+SUMIF(Mercado_Receita!$S$2:$S$1261,"44621B4ConvencionalIluminação públicaIluminação pública – B4aNão se aplicaNão se aplicaIntermediário",Mercado_Receita!$L$2:$L$1261)+SUMIF(Mercado_Receita!$S$2:$S$1261,"44621B4ConvencionalIluminação públicaIluminação pública – B4aNão se aplicaNão se aplicaNão se aplica",Mercado_Receita!$L$2:$L$1261)</f>
        <v>1594.6569999999999</v>
      </c>
      <c r="P47" s="12">
        <f>SUMIF(Mercado_Receita!$S$2:$S$1261,"44652B4ConvencionalIluminação públicaIluminação pública – B4aNão se aplicaNão se aplicaPonta",Mercado_Receita!$L$2:$L$1261)+SUMIF(Mercado_Receita!$S$2:$S$1261,"44652B4ConvencionalIluminação públicaIluminação pública – B4aNão se aplicaNão se aplicaFora ponta",Mercado_Receita!$L$2:$L$1261)+SUMIF(Mercado_Receita!$S$2:$S$1261,"44652B4ConvencionalIluminação públicaIluminação pública – B4aNão se aplicaNão se aplicaIntermediário",Mercado_Receita!$L$2:$L$1261)+SUMIF(Mercado_Receita!$S$2:$S$1261,"44652B4ConvencionalIluminação públicaIluminação pública – B4aNão se aplicaNão se aplicaNão se aplica",Mercado_Receita!$L$2:$L$1261)</f>
        <v>1552.9849999999999</v>
      </c>
      <c r="Q47" s="12">
        <f>SUMIF(Mercado_Receita!$S$2:$S$1261,"44682B4ConvencionalIluminação públicaIluminação pública – B4aNão se aplicaNão se aplicaPonta",Mercado_Receita!$L$2:$L$1261)+SUMIF(Mercado_Receita!$S$2:$S$1261,"44682B4ConvencionalIluminação públicaIluminação pública – B4aNão se aplicaNão se aplicaFora ponta",Mercado_Receita!$L$2:$L$1261)+SUMIF(Mercado_Receita!$S$2:$S$1261,"44682B4ConvencionalIluminação públicaIluminação pública – B4aNão se aplicaNão se aplicaIntermediário",Mercado_Receita!$L$2:$L$1261)+SUMIF(Mercado_Receita!$S$2:$S$1261,"44682B4ConvencionalIluminação públicaIluminação pública – B4aNão se aplicaNão se aplicaNão se aplica",Mercado_Receita!$L$2:$L$1261)</f>
        <v>1605.3999999999999</v>
      </c>
      <c r="R47" s="12">
        <f>SUMIF(Mercado_Receita!$S$2:$S$1261,"44713B4ConvencionalIluminação públicaIluminação pública – B4aNão se aplicaNão se aplicaPonta",Mercado_Receita!$L$2:$L$1261)+SUMIF(Mercado_Receita!$S$2:$S$1261,"44713B4ConvencionalIluminação públicaIluminação pública – B4aNão se aplicaNão se aplicaFora ponta",Mercado_Receita!$L$2:$L$1261)+SUMIF(Mercado_Receita!$S$2:$S$1261,"44713B4ConvencionalIluminação públicaIluminação pública – B4aNão se aplicaNão se aplicaIntermediário",Mercado_Receita!$L$2:$L$1261)+SUMIF(Mercado_Receita!$S$2:$S$1261,"44713B4ConvencionalIluminação públicaIluminação pública – B4aNão se aplicaNão se aplicaNão se aplica",Mercado_Receita!$L$2:$L$1261)</f>
        <v>1564.44</v>
      </c>
      <c r="S47" s="12">
        <f>SUMIF(Mercado_Receita!$S$2:$S$1261,"44743B4ConvencionalIluminação públicaIluminação pública – B4aNão se aplicaNão se aplicaPonta",Mercado_Receita!$L$2:$L$1261)+SUMIF(Mercado_Receita!$S$2:$S$1261,"44743B4ConvencionalIluminação públicaIluminação pública – B4aNão se aplicaNão se aplicaFora ponta",Mercado_Receita!$L$2:$L$1261)+SUMIF(Mercado_Receita!$S$2:$S$1261,"44743B4ConvencionalIluminação públicaIluminação pública – B4aNão se aplicaNão se aplicaIntermediário",Mercado_Receita!$L$2:$L$1261)+SUMIF(Mercado_Receita!$S$2:$S$1261,"44743B4ConvencionalIluminação públicaIluminação pública – B4aNão se aplicaNão se aplicaNão se aplica",Mercado_Receita!$L$2:$L$1261)</f>
        <v>1606.5830000000001</v>
      </c>
      <c r="T47" s="12">
        <f>SUMIF(Mercado_Receita!$S$2:$S$1261,"44774B4ConvencionalIluminação públicaIluminação pública – B4aNão se aplicaNão se aplicaPonta",Mercado_Receita!$L$2:$L$1261)+SUMIF(Mercado_Receita!$S$2:$S$1261,"44774B4ConvencionalIluminação públicaIluminação pública – B4aNão se aplicaNão se aplicaFora ponta",Mercado_Receita!$L$2:$L$1261)+SUMIF(Mercado_Receita!$S$2:$S$1261,"44774B4ConvencionalIluminação públicaIluminação pública – B4aNão se aplicaNão se aplicaIntermediário",Mercado_Receita!$L$2:$L$1261)+SUMIF(Mercado_Receita!$S$2:$S$1261,"44774B4ConvencionalIluminação públicaIluminação pública – B4aNão se aplicaNão se aplicaNão se aplica",Mercado_Receita!$L$2:$L$1261)</f>
        <v>1606.5830000000001</v>
      </c>
      <c r="U47" s="12">
        <f t="shared" si="0"/>
        <v>18976.334999999999</v>
      </c>
      <c r="V47" s="12"/>
      <c r="W47" s="12"/>
    </row>
    <row r="48" spans="1:23" ht="11.25" customHeight="1" x14ac:dyDescent="0.25">
      <c r="A48" s="105"/>
      <c r="B48" s="105"/>
      <c r="C48" s="105"/>
      <c r="D48" s="12" t="s">
        <v>96</v>
      </c>
      <c r="E48" s="12" t="s">
        <v>25</v>
      </c>
      <c r="F48" s="12" t="s">
        <v>25</v>
      </c>
      <c r="G48" s="12" t="s">
        <v>86</v>
      </c>
      <c r="H48" s="12" t="s">
        <v>80</v>
      </c>
      <c r="I48" s="12">
        <f>SUMIF(Mercado_Receita!$S$2:$S$1261,"44440B4ConvencionalIluminação públicaIluminação pública – B4bNão se aplicaNão se aplicaPonta",Mercado_Receita!$L$2:$L$1261)+SUMIF(Mercado_Receita!$S$2:$S$1261,"44440B4ConvencionalIluminação públicaIluminação pública – B4bNão se aplicaNão se aplicaFora ponta",Mercado_Receita!$L$2:$L$1261)+SUMIF(Mercado_Receita!$S$2:$S$1261,"44440B4ConvencionalIluminação públicaIluminação pública – B4bNão se aplicaNão se aplicaIntermediário",Mercado_Receita!$L$2:$L$1261)+SUMIF(Mercado_Receita!$S$2:$S$1261,"44440B4ConvencionalIluminação públicaIluminação pública – B4bNão se aplicaNão se aplicaNão se aplica",Mercado_Receita!$L$2:$L$1261)</f>
        <v>0</v>
      </c>
      <c r="J48" s="12">
        <f>SUMIF(Mercado_Receita!$S$2:$S$1261,"44470B4ConvencionalIluminação públicaIluminação pública – B4bNão se aplicaNão se aplicaPonta",Mercado_Receita!$L$2:$L$1261)+SUMIF(Mercado_Receita!$S$2:$S$1261,"44470B4ConvencionalIluminação públicaIluminação pública – B4bNão se aplicaNão se aplicaFora ponta",Mercado_Receita!$L$2:$L$1261)+SUMIF(Mercado_Receita!$S$2:$S$1261,"44470B4ConvencionalIluminação públicaIluminação pública – B4bNão se aplicaNão se aplicaIntermediário",Mercado_Receita!$L$2:$L$1261)+SUMIF(Mercado_Receita!$S$2:$S$1261,"44470B4ConvencionalIluminação públicaIluminação pública – B4bNão se aplicaNão se aplicaNão se aplica",Mercado_Receita!$L$2:$L$1261)</f>
        <v>0</v>
      </c>
      <c r="K48" s="12">
        <f>SUMIF(Mercado_Receita!$S$2:$S$1261,"44501B4ConvencionalIluminação públicaIluminação pública – B4bNão se aplicaNão se aplicaPonta",Mercado_Receita!$L$2:$L$1261)+SUMIF(Mercado_Receita!$S$2:$S$1261,"44501B4ConvencionalIluminação públicaIluminação pública – B4bNão se aplicaNão se aplicaFora ponta",Mercado_Receita!$L$2:$L$1261)+SUMIF(Mercado_Receita!$S$2:$S$1261,"44501B4ConvencionalIluminação públicaIluminação pública – B4bNão se aplicaNão se aplicaIntermediário",Mercado_Receita!$L$2:$L$1261)+SUMIF(Mercado_Receita!$S$2:$S$1261,"44501B4ConvencionalIluminação públicaIluminação pública – B4bNão se aplicaNão se aplicaNão se aplica",Mercado_Receita!$L$2:$L$1261)</f>
        <v>0</v>
      </c>
      <c r="L48" s="12">
        <f>SUMIF(Mercado_Receita!$S$2:$S$1261,"44531B4ConvencionalIluminação públicaIluminação pública – B4bNão se aplicaNão se aplicaPonta",Mercado_Receita!$L$2:$L$1261)+SUMIF(Mercado_Receita!$S$2:$S$1261,"44531B4ConvencionalIluminação públicaIluminação pública – B4bNão se aplicaNão se aplicaFora ponta",Mercado_Receita!$L$2:$L$1261)+SUMIF(Mercado_Receita!$S$2:$S$1261,"44531B4ConvencionalIluminação públicaIluminação pública – B4bNão se aplicaNão se aplicaIntermediário",Mercado_Receita!$L$2:$L$1261)+SUMIF(Mercado_Receita!$S$2:$S$1261,"44531B4ConvencionalIluminação públicaIluminação pública – B4bNão se aplicaNão se aplicaNão se aplica",Mercado_Receita!$L$2:$L$1261)</f>
        <v>0</v>
      </c>
      <c r="M48" s="12">
        <f>SUMIF(Mercado_Receita!$S$2:$S$1261,"44562B4ConvencionalIluminação públicaIluminação pública – B4bNão se aplicaNão se aplicaPonta",Mercado_Receita!$L$2:$L$1261)+SUMIF(Mercado_Receita!$S$2:$S$1261,"44562B4ConvencionalIluminação públicaIluminação pública – B4bNão se aplicaNão se aplicaFora ponta",Mercado_Receita!$L$2:$L$1261)+SUMIF(Mercado_Receita!$S$2:$S$1261,"44562B4ConvencionalIluminação públicaIluminação pública – B4bNão se aplicaNão se aplicaIntermediário",Mercado_Receita!$L$2:$L$1261)+SUMIF(Mercado_Receita!$S$2:$S$1261,"44562B4ConvencionalIluminação públicaIluminação pública – B4bNão se aplicaNão se aplicaNão se aplica",Mercado_Receita!$L$2:$L$1261)</f>
        <v>0</v>
      </c>
      <c r="N48" s="12">
        <f>SUMIF(Mercado_Receita!$S$2:$S$1261,"44593B4ConvencionalIluminação públicaIluminação pública – B4bNão se aplicaNão se aplicaPonta",Mercado_Receita!$L$2:$L$1261)+SUMIF(Mercado_Receita!$S$2:$S$1261,"44593B4ConvencionalIluminação públicaIluminação pública – B4bNão se aplicaNão se aplicaFora ponta",Mercado_Receita!$L$2:$L$1261)+SUMIF(Mercado_Receita!$S$2:$S$1261,"44593B4ConvencionalIluminação públicaIluminação pública – B4bNão se aplicaNão se aplicaIntermediário",Mercado_Receita!$L$2:$L$1261)+SUMIF(Mercado_Receita!$S$2:$S$1261,"44593B4ConvencionalIluminação públicaIluminação pública – B4bNão se aplicaNão se aplicaNão se aplica",Mercado_Receita!$L$2:$L$1261)</f>
        <v>0</v>
      </c>
      <c r="O48" s="12">
        <f>SUMIF(Mercado_Receita!$S$2:$S$1261,"44621B4ConvencionalIluminação públicaIluminação pública – B4bNão se aplicaNão se aplicaPonta",Mercado_Receita!$L$2:$L$1261)+SUMIF(Mercado_Receita!$S$2:$S$1261,"44621B4ConvencionalIluminação públicaIluminação pública – B4bNão se aplicaNão se aplicaFora ponta",Mercado_Receita!$L$2:$L$1261)+SUMIF(Mercado_Receita!$S$2:$S$1261,"44621B4ConvencionalIluminação públicaIluminação pública – B4bNão se aplicaNão se aplicaIntermediário",Mercado_Receita!$L$2:$L$1261)+SUMIF(Mercado_Receita!$S$2:$S$1261,"44621B4ConvencionalIluminação públicaIluminação pública – B4bNão se aplicaNão se aplicaNão se aplica",Mercado_Receita!$L$2:$L$1261)</f>
        <v>0</v>
      </c>
      <c r="P48" s="12">
        <f>SUMIF(Mercado_Receita!$S$2:$S$1261,"44652B4ConvencionalIluminação públicaIluminação pública – B4bNão se aplicaNão se aplicaPonta",Mercado_Receita!$L$2:$L$1261)+SUMIF(Mercado_Receita!$S$2:$S$1261,"44652B4ConvencionalIluminação públicaIluminação pública – B4bNão se aplicaNão se aplicaFora ponta",Mercado_Receita!$L$2:$L$1261)+SUMIF(Mercado_Receita!$S$2:$S$1261,"44652B4ConvencionalIluminação públicaIluminação pública – B4bNão se aplicaNão se aplicaIntermediário",Mercado_Receita!$L$2:$L$1261)+SUMIF(Mercado_Receita!$S$2:$S$1261,"44652B4ConvencionalIluminação públicaIluminação pública – B4bNão se aplicaNão se aplicaNão se aplica",Mercado_Receita!$L$2:$L$1261)</f>
        <v>0</v>
      </c>
      <c r="Q48" s="12">
        <f>SUMIF(Mercado_Receita!$S$2:$S$1261,"44682B4ConvencionalIluminação públicaIluminação pública – B4bNão se aplicaNão se aplicaPonta",Mercado_Receita!$L$2:$L$1261)+SUMIF(Mercado_Receita!$S$2:$S$1261,"44682B4ConvencionalIluminação públicaIluminação pública – B4bNão se aplicaNão se aplicaFora ponta",Mercado_Receita!$L$2:$L$1261)+SUMIF(Mercado_Receita!$S$2:$S$1261,"44682B4ConvencionalIluminação públicaIluminação pública – B4bNão se aplicaNão se aplicaIntermediário",Mercado_Receita!$L$2:$L$1261)+SUMIF(Mercado_Receita!$S$2:$S$1261,"44682B4ConvencionalIluminação públicaIluminação pública – B4bNão se aplicaNão se aplicaNão se aplica",Mercado_Receita!$L$2:$L$1261)</f>
        <v>0</v>
      </c>
      <c r="R48" s="12">
        <f>SUMIF(Mercado_Receita!$S$2:$S$1261,"44713B4ConvencionalIluminação públicaIluminação pública – B4bNão se aplicaNão se aplicaPonta",Mercado_Receita!$L$2:$L$1261)+SUMIF(Mercado_Receita!$S$2:$S$1261,"44713B4ConvencionalIluminação públicaIluminação pública – B4bNão se aplicaNão se aplicaFora ponta",Mercado_Receita!$L$2:$L$1261)+SUMIF(Mercado_Receita!$S$2:$S$1261,"44713B4ConvencionalIluminação públicaIluminação pública – B4bNão se aplicaNão se aplicaIntermediário",Mercado_Receita!$L$2:$L$1261)+SUMIF(Mercado_Receita!$S$2:$S$1261,"44713B4ConvencionalIluminação públicaIluminação pública – B4bNão se aplicaNão se aplicaNão se aplica",Mercado_Receita!$L$2:$L$1261)</f>
        <v>0</v>
      </c>
      <c r="S48" s="12">
        <f>SUMIF(Mercado_Receita!$S$2:$S$1261,"44743B4ConvencionalIluminação públicaIluminação pública – B4bNão se aplicaNão se aplicaPonta",Mercado_Receita!$L$2:$L$1261)+SUMIF(Mercado_Receita!$S$2:$S$1261,"44743B4ConvencionalIluminação públicaIluminação pública – B4bNão se aplicaNão se aplicaFora ponta",Mercado_Receita!$L$2:$L$1261)+SUMIF(Mercado_Receita!$S$2:$S$1261,"44743B4ConvencionalIluminação públicaIluminação pública – B4bNão se aplicaNão se aplicaIntermediário",Mercado_Receita!$L$2:$L$1261)+SUMIF(Mercado_Receita!$S$2:$S$1261,"44743B4ConvencionalIluminação públicaIluminação pública – B4bNão se aplicaNão se aplicaNão se aplica",Mercado_Receita!$L$2:$L$1261)</f>
        <v>0</v>
      </c>
      <c r="T48" s="12">
        <f>SUMIF(Mercado_Receita!$S$2:$S$1261,"44774B4ConvencionalIluminação públicaIluminação pública – B4bNão se aplicaNão se aplicaPonta",Mercado_Receita!$L$2:$L$1261)+SUMIF(Mercado_Receita!$S$2:$S$1261,"44774B4ConvencionalIluminação públicaIluminação pública – B4bNão se aplicaNão se aplicaFora ponta",Mercado_Receita!$L$2:$L$1261)+SUMIF(Mercado_Receita!$S$2:$S$1261,"44774B4ConvencionalIluminação públicaIluminação pública – B4bNão se aplicaNão se aplicaIntermediário",Mercado_Receita!$L$2:$L$1261)+SUMIF(Mercado_Receita!$S$2:$S$1261,"44774B4ConvencionalIluminação públicaIluminação pública – B4bNão se aplicaNão se aplicaNão se aplica",Mercado_Receita!$L$2:$L$1261)</f>
        <v>0</v>
      </c>
      <c r="U48" s="12">
        <f t="shared" si="0"/>
        <v>0</v>
      </c>
      <c r="V48" s="12"/>
      <c r="W48" s="12"/>
    </row>
    <row r="49" spans="1:23" ht="11.25" customHeight="1" x14ac:dyDescent="0.25">
      <c r="A49" s="106" t="s">
        <v>643</v>
      </c>
      <c r="B49" s="107"/>
      <c r="C49" s="107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2"/>
      <c r="W49" s="12"/>
    </row>
  </sheetData>
  <mergeCells count="55"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  <mergeCell ref="C31:C33"/>
    <mergeCell ref="B31:B33"/>
    <mergeCell ref="F35:F37"/>
    <mergeCell ref="E35:E37"/>
    <mergeCell ref="D35:D37"/>
    <mergeCell ref="C35:C37"/>
    <mergeCell ref="B35:B37"/>
    <mergeCell ref="C17:C21"/>
    <mergeCell ref="B17:B21"/>
    <mergeCell ref="C22:C26"/>
    <mergeCell ref="B22:B26"/>
    <mergeCell ref="A14:A26"/>
    <mergeCell ref="F27:F29"/>
    <mergeCell ref="E27:E29"/>
    <mergeCell ref="D27:D29"/>
    <mergeCell ref="C27:C29"/>
    <mergeCell ref="B27:B29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844C-6F84-41A7-A5B5-48BD95AD4D95}">
  <dimension ref="A1:AD39"/>
  <sheetViews>
    <sheetView showGridLines="0" workbookViewId="0">
      <selection activeCell="K8" sqref="K8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70</v>
      </c>
      <c r="B1" s="10" t="s">
        <v>71</v>
      </c>
      <c r="C1" s="10" t="s">
        <v>72</v>
      </c>
      <c r="D1" s="10" t="s">
        <v>73</v>
      </c>
      <c r="E1" s="10" t="s">
        <v>74</v>
      </c>
      <c r="F1" s="10" t="s">
        <v>75</v>
      </c>
      <c r="G1" s="10" t="s">
        <v>76</v>
      </c>
      <c r="H1" s="10" t="s">
        <v>77</v>
      </c>
      <c r="I1" s="11">
        <v>44440</v>
      </c>
      <c r="J1" s="11">
        <v>44470</v>
      </c>
      <c r="K1" s="11">
        <v>44501</v>
      </c>
      <c r="L1" s="11">
        <v>44531</v>
      </c>
      <c r="M1" s="11">
        <v>44562</v>
      </c>
      <c r="N1" s="11">
        <v>44593</v>
      </c>
      <c r="O1" s="11">
        <v>44621</v>
      </c>
      <c r="P1" s="11">
        <v>44652</v>
      </c>
      <c r="Q1" s="11">
        <v>44682</v>
      </c>
      <c r="R1" s="11">
        <v>44713</v>
      </c>
      <c r="S1" s="11">
        <v>44743</v>
      </c>
      <c r="T1" s="11">
        <v>44774</v>
      </c>
      <c r="U1" s="10" t="s">
        <v>78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4" t="s">
        <v>39</v>
      </c>
      <c r="B2" s="104" t="s">
        <v>79</v>
      </c>
      <c r="C2" s="104" t="s">
        <v>25</v>
      </c>
      <c r="D2" s="104" t="s">
        <v>25</v>
      </c>
      <c r="E2" s="104" t="s">
        <v>25</v>
      </c>
      <c r="F2" s="104" t="s">
        <v>25</v>
      </c>
      <c r="G2" s="14" t="s">
        <v>81</v>
      </c>
      <c r="H2" s="14" t="s">
        <v>80</v>
      </c>
      <c r="I2" s="14">
        <f>SUMIF(Mercado_Receita!$T$2:$T$1261,"44440A4Energia horáriaNão se aplicaNão se aplicaNão se aplicaNão se aplicaPonta",Mercado_Receita!$N$2:$N$1261)</f>
        <v>264.41899999999998</v>
      </c>
      <c r="J2" s="14">
        <f>SUMIF(Mercado_Receita!$T$2:$T$1261,"44470A4Energia horáriaNão se aplicaNão se aplicaNão se aplicaNão se aplicaPonta",Mercado_Receita!$N$2:$N$1261)</f>
        <v>276.09399999999994</v>
      </c>
      <c r="K2" s="14">
        <f>SUMIF(Mercado_Receita!$T$2:$T$1261,"44501A4Energia horáriaNão se aplicaNão se aplicaNão se aplicaNão se aplicaPonta",Mercado_Receita!$N$2:$N$1261)</f>
        <v>255.33599999999998</v>
      </c>
      <c r="L2" s="14">
        <f>SUMIF(Mercado_Receita!$T$2:$T$1261,"44531A4Energia horáriaNão se aplicaNão se aplicaNão se aplicaNão se aplicaPonta",Mercado_Receita!$N$2:$N$1261)</f>
        <v>274.97500000000002</v>
      </c>
      <c r="M2" s="14">
        <f>SUMIF(Mercado_Receita!$T$2:$T$1261,"44562A4Energia horáriaNão se aplicaNão se aplicaNão se aplicaNão se aplicaPonta",Mercado_Receita!$N$2:$N$1261)</f>
        <v>240.298</v>
      </c>
      <c r="N2" s="14">
        <f>SUMIF(Mercado_Receita!$T$2:$T$1261,"44593A4Energia horáriaNão se aplicaNão se aplicaNão se aplicaNão se aplicaPonta",Mercado_Receita!$N$2:$N$1261)</f>
        <v>262.35200000000003</v>
      </c>
      <c r="O2" s="14">
        <f>SUMIF(Mercado_Receita!$T$2:$T$1261,"44621A4Energia horáriaNão se aplicaNão se aplicaNão se aplicaNão se aplicaPonta",Mercado_Receita!$N$2:$N$1261)</f>
        <v>312.02199999999999</v>
      </c>
      <c r="P2" s="14">
        <f>SUMIF(Mercado_Receita!$T$2:$T$1261,"44652A4Energia horáriaNão se aplicaNão se aplicaNão se aplicaNão se aplicaPonta",Mercado_Receita!$N$2:$N$1261)</f>
        <v>285.75599999999997</v>
      </c>
      <c r="Q2" s="14">
        <f>SUMIF(Mercado_Receita!$T$2:$T$1261,"44682A4Energia horáriaNão se aplicaNão se aplicaNão se aplicaNão se aplicaPonta",Mercado_Receita!$N$2:$N$1261)</f>
        <v>251.42599999999999</v>
      </c>
      <c r="R2" s="14">
        <f>SUMIF(Mercado_Receita!$T$2:$T$1261,"44713A4Energia horáriaNão se aplicaNão se aplicaNão se aplicaNão se aplicaPonta",Mercado_Receita!$N$2:$N$1261)</f>
        <v>243.33600000000004</v>
      </c>
      <c r="S2" s="14">
        <f>SUMIF(Mercado_Receita!$T$2:$T$1261,"44743A4Energia horáriaNão se aplicaNão se aplicaNão se aplicaNão se aplicaPonta",Mercado_Receita!$N$2:$N$1261)</f>
        <v>234.95500000000001</v>
      </c>
      <c r="T2" s="14">
        <f>SUMIF(Mercado_Receita!$T$2:$T$1261,"44774A4Energia horáriaNão se aplicaNão se aplicaNão se aplicaNão se aplicaPonta",Mercado_Receita!$N$2:$N$1261)</f>
        <v>234.95500000000001</v>
      </c>
      <c r="U2" s="14">
        <f t="shared" ref="U2:U38" si="0">SUM(I2:T2)</f>
        <v>3135.924</v>
      </c>
      <c r="V2" s="14"/>
      <c r="W2" s="14"/>
    </row>
    <row r="3" spans="1:30" ht="11.25" customHeight="1" x14ac:dyDescent="0.25">
      <c r="A3" s="105"/>
      <c r="B3" s="105"/>
      <c r="C3" s="105"/>
      <c r="D3" s="105"/>
      <c r="E3" s="105"/>
      <c r="F3" s="105"/>
      <c r="G3" s="14" t="s">
        <v>82</v>
      </c>
      <c r="H3" s="14" t="s">
        <v>80</v>
      </c>
      <c r="I3" s="14">
        <f>SUMIF(Mercado_Receita!$T$2:$T$1261,"44440A4Energia horáriaNão se aplicaNão se aplicaNão se aplicaNão se aplicaFora ponta",Mercado_Receita!$N$2:$N$1261)</f>
        <v>5207.9049999999997</v>
      </c>
      <c r="J3" s="14">
        <f>SUMIF(Mercado_Receita!$T$2:$T$1261,"44470A4Energia horáriaNão se aplicaNão se aplicaNão se aplicaNão se aplicaFora ponta",Mercado_Receita!$N$2:$N$1261)</f>
        <v>5528.5139999999992</v>
      </c>
      <c r="K3" s="14">
        <f>SUMIF(Mercado_Receita!$T$2:$T$1261,"44501A4Energia horáriaNão se aplicaNão se aplicaNão se aplicaNão se aplicaFora ponta",Mercado_Receita!$N$2:$N$1261)</f>
        <v>5025.9340000000002</v>
      </c>
      <c r="L3" s="14">
        <f>SUMIF(Mercado_Receita!$T$2:$T$1261,"44531A4Energia horáriaNão se aplicaNão se aplicaNão se aplicaNão se aplicaFora ponta",Mercado_Receita!$N$2:$N$1261)</f>
        <v>4962.6029999999992</v>
      </c>
      <c r="M3" s="14">
        <f>SUMIF(Mercado_Receita!$T$2:$T$1261,"44562A4Energia horáriaNão se aplicaNão se aplicaNão se aplicaNão se aplicaFora ponta",Mercado_Receita!$N$2:$N$1261)</f>
        <v>4451.2009999999991</v>
      </c>
      <c r="N3" s="14">
        <f>SUMIF(Mercado_Receita!$T$2:$T$1261,"44593A4Energia horáriaNão se aplicaNão se aplicaNão se aplicaNão se aplicaFora ponta",Mercado_Receita!$N$2:$N$1261)</f>
        <v>4661.0970000000007</v>
      </c>
      <c r="O3" s="14">
        <f>SUMIF(Mercado_Receita!$T$2:$T$1261,"44621A4Energia horáriaNão se aplicaNão se aplicaNão se aplicaNão se aplicaFora ponta",Mercado_Receita!$N$2:$N$1261)</f>
        <v>5078.1379999999999</v>
      </c>
      <c r="P3" s="14">
        <f>SUMIF(Mercado_Receita!$T$2:$T$1261,"44652A4Energia horáriaNão se aplicaNão se aplicaNão se aplicaNão se aplicaFora ponta",Mercado_Receita!$N$2:$N$1261)</f>
        <v>4647.7719999999999</v>
      </c>
      <c r="Q3" s="14">
        <f>SUMIF(Mercado_Receita!$T$2:$T$1261,"44682A4Energia horáriaNão se aplicaNão se aplicaNão se aplicaNão se aplicaFora ponta",Mercado_Receita!$N$2:$N$1261)</f>
        <v>4490.8469999999998</v>
      </c>
      <c r="R3" s="14">
        <f>SUMIF(Mercado_Receita!$T$2:$T$1261,"44713A4Energia horáriaNão se aplicaNão se aplicaNão se aplicaNão se aplicaFora ponta",Mercado_Receita!$N$2:$N$1261)</f>
        <v>3984.3799999999997</v>
      </c>
      <c r="S3" s="14">
        <f>SUMIF(Mercado_Receita!$T$2:$T$1261,"44743A4Energia horáriaNão se aplicaNão se aplicaNão se aplicaNão se aplicaFora ponta",Mercado_Receita!$N$2:$N$1261)</f>
        <v>4083.0140000000001</v>
      </c>
      <c r="T3" s="14">
        <f>SUMIF(Mercado_Receita!$T$2:$T$1261,"44774A4Energia horáriaNão se aplicaNão se aplicaNão se aplicaNão se aplicaFora ponta",Mercado_Receita!$N$2:$N$1261)</f>
        <v>4083.0140000000001</v>
      </c>
      <c r="U3" s="14">
        <f t="shared" si="0"/>
        <v>56204.419000000002</v>
      </c>
      <c r="V3" s="14"/>
      <c r="W3" s="14"/>
    </row>
    <row r="4" spans="1:30" ht="11.25" customHeight="1" x14ac:dyDescent="0.25">
      <c r="A4" s="104" t="s">
        <v>22</v>
      </c>
      <c r="B4" s="104" t="s">
        <v>79</v>
      </c>
      <c r="C4" s="104" t="s">
        <v>24</v>
      </c>
      <c r="D4" s="104" t="s">
        <v>24</v>
      </c>
      <c r="E4" s="104" t="s">
        <v>25</v>
      </c>
      <c r="F4" s="104" t="s">
        <v>25</v>
      </c>
      <c r="G4" s="14" t="s">
        <v>81</v>
      </c>
      <c r="H4" s="14" t="s">
        <v>80</v>
      </c>
      <c r="I4" s="14">
        <f>SUMIF(Mercado_Receita!$T$2:$T$1261,"44440B1Energia horáriaResidencialResidencialNão se aplicaNão se aplicaPonta",Mercado_Receita!$N$2:$N$1261)</f>
        <v>1.484</v>
      </c>
      <c r="J4" s="14">
        <f>SUMIF(Mercado_Receita!$T$2:$T$1261,"44470B1Energia horáriaResidencialResidencialNão se aplicaNão se aplicaPonta",Mercado_Receita!$N$2:$N$1261)</f>
        <v>1.653</v>
      </c>
      <c r="K4" s="14">
        <f>SUMIF(Mercado_Receita!$T$2:$T$1261,"44501B1Energia horáriaResidencialResidencialNão se aplicaNão se aplicaPonta",Mercado_Receita!$N$2:$N$1261)</f>
        <v>1.482</v>
      </c>
      <c r="L4" s="14">
        <f>SUMIF(Mercado_Receita!$T$2:$T$1261,"44531B1Energia horáriaResidencialResidencialNão se aplicaNão se aplicaPonta",Mercado_Receita!$N$2:$N$1261)</f>
        <v>1.6040000000000001</v>
      </c>
      <c r="M4" s="14">
        <f>SUMIF(Mercado_Receita!$T$2:$T$1261,"44562B1Energia horáriaResidencialResidencialNão se aplicaNão se aplicaPonta",Mercado_Receita!$N$2:$N$1261)</f>
        <v>1.5620000000000001</v>
      </c>
      <c r="N4" s="14">
        <f>SUMIF(Mercado_Receita!$T$2:$T$1261,"44593B1Energia horáriaResidencialResidencialNão se aplicaNão se aplicaPonta",Mercado_Receita!$N$2:$N$1261)</f>
        <v>1.6719999999999999</v>
      </c>
      <c r="O4" s="14">
        <f>SUMIF(Mercado_Receita!$T$2:$T$1261,"44621B1Energia horáriaResidencialResidencialNão se aplicaNão se aplicaPonta",Mercado_Receita!$N$2:$N$1261)</f>
        <v>1.627</v>
      </c>
      <c r="P4" s="14">
        <f>SUMIF(Mercado_Receita!$T$2:$T$1261,"44652B1Energia horáriaResidencialResidencialNão se aplicaNão se aplicaPonta",Mercado_Receita!$N$2:$N$1261)</f>
        <v>1.72</v>
      </c>
      <c r="Q4" s="14">
        <f>SUMIF(Mercado_Receita!$T$2:$T$1261,"44682B1Energia horáriaResidencialResidencialNão se aplicaNão se aplicaPonta",Mercado_Receita!$N$2:$N$1261)</f>
        <v>1.2809999999999999</v>
      </c>
      <c r="R4" s="14">
        <f>SUMIF(Mercado_Receita!$T$2:$T$1261,"44713B1Energia horáriaResidencialResidencialNão se aplicaNão se aplicaPonta",Mercado_Receita!$N$2:$N$1261)</f>
        <v>1.111</v>
      </c>
      <c r="S4" s="14">
        <f>SUMIF(Mercado_Receita!$T$2:$T$1261,"44743B1Energia horáriaResidencialResidencialNão se aplicaNão se aplicaPonta",Mercado_Receita!$N$2:$N$1261)</f>
        <v>1.206</v>
      </c>
      <c r="T4" s="14">
        <f>SUMIF(Mercado_Receita!$T$2:$T$1261,"44774B1Energia horáriaResidencialResidencialNão se aplicaNão se aplicaPonta",Mercado_Receita!$N$2:$N$1261)</f>
        <v>1.206</v>
      </c>
      <c r="U4" s="14">
        <f t="shared" si="0"/>
        <v>17.608000000000004</v>
      </c>
      <c r="V4" s="14"/>
      <c r="W4" s="14"/>
    </row>
    <row r="5" spans="1:30" ht="11.25" customHeight="1" x14ac:dyDescent="0.25">
      <c r="A5" s="105"/>
      <c r="B5" s="105"/>
      <c r="C5" s="105"/>
      <c r="D5" s="105"/>
      <c r="E5" s="105"/>
      <c r="F5" s="105"/>
      <c r="G5" s="14" t="s">
        <v>91</v>
      </c>
      <c r="H5" s="14" t="s">
        <v>80</v>
      </c>
      <c r="I5" s="14">
        <f>SUMIF(Mercado_Receita!$T$2:$T$1261,"44440B1Energia horáriaResidencialResidencialNão se aplicaNão se aplicaIntermediário",Mercado_Receita!$N$2:$N$1261)</f>
        <v>0.56000000000000005</v>
      </c>
      <c r="J5" s="14">
        <f>SUMIF(Mercado_Receita!$T$2:$T$1261,"44470B1Energia horáriaResidencialResidencialNão se aplicaNão se aplicaIntermediário",Mercado_Receita!$N$2:$N$1261)</f>
        <v>0.63200000000000001</v>
      </c>
      <c r="K5" s="14">
        <f>SUMIF(Mercado_Receita!$T$2:$T$1261,"44501B1Energia horáriaResidencialResidencialNão se aplicaNão se aplicaIntermediário",Mercado_Receita!$N$2:$N$1261)</f>
        <v>0.57899999999999996</v>
      </c>
      <c r="L5" s="14">
        <f>SUMIF(Mercado_Receita!$T$2:$T$1261,"44531B1Energia horáriaResidencialResidencialNão se aplicaNão se aplicaIntermediário",Mercado_Receita!$N$2:$N$1261)</f>
        <v>0.73499999999999999</v>
      </c>
      <c r="M5" s="14">
        <f>SUMIF(Mercado_Receita!$T$2:$T$1261,"44562B1Energia horáriaResidencialResidencialNão se aplicaNão se aplicaIntermediário",Mercado_Receita!$N$2:$N$1261)</f>
        <v>0.621</v>
      </c>
      <c r="N5" s="14">
        <f>SUMIF(Mercado_Receita!$T$2:$T$1261,"44593B1Energia horáriaResidencialResidencialNão se aplicaNão se aplicaIntermediário",Mercado_Receita!$N$2:$N$1261)</f>
        <v>0.72</v>
      </c>
      <c r="O5" s="14">
        <f>SUMIF(Mercado_Receita!$T$2:$T$1261,"44621B1Energia horáriaResidencialResidencialNão se aplicaNão se aplicaIntermediário",Mercado_Receita!$N$2:$N$1261)</f>
        <v>0.69599999999999995</v>
      </c>
      <c r="P5" s="14">
        <f>SUMIF(Mercado_Receita!$T$2:$T$1261,"44652B1Energia horáriaResidencialResidencialNão se aplicaNão se aplicaIntermediário",Mercado_Receita!$N$2:$N$1261)</f>
        <v>0.72299999999999998</v>
      </c>
      <c r="Q5" s="14">
        <f>SUMIF(Mercado_Receita!$T$2:$T$1261,"44682B1Energia horáriaResidencialResidencialNão se aplicaNão se aplicaIntermediário",Mercado_Receita!$N$2:$N$1261)</f>
        <v>0.56200000000000006</v>
      </c>
      <c r="R5" s="14">
        <f>SUMIF(Mercado_Receita!$T$2:$T$1261,"44713B1Energia horáriaResidencialResidencialNão se aplicaNão se aplicaIntermediário",Mercado_Receita!$N$2:$N$1261)</f>
        <v>0.496</v>
      </c>
      <c r="S5" s="14">
        <f>SUMIF(Mercado_Receita!$T$2:$T$1261,"44743B1Energia horáriaResidencialResidencialNão se aplicaNão se aplicaIntermediário",Mercado_Receita!$N$2:$N$1261)</f>
        <v>0.51</v>
      </c>
      <c r="T5" s="14">
        <f>SUMIF(Mercado_Receita!$T$2:$T$1261,"44774B1Energia horáriaResidencialResidencialNão se aplicaNão se aplicaIntermediário",Mercado_Receita!$N$2:$N$1261)</f>
        <v>0.51</v>
      </c>
      <c r="U5" s="14">
        <f t="shared" si="0"/>
        <v>7.3439999999999994</v>
      </c>
      <c r="V5" s="14"/>
      <c r="W5" s="14"/>
    </row>
    <row r="6" spans="1:30" ht="11.25" customHeight="1" x14ac:dyDescent="0.25">
      <c r="A6" s="105"/>
      <c r="B6" s="105"/>
      <c r="C6" s="105"/>
      <c r="D6" s="105"/>
      <c r="E6" s="105"/>
      <c r="F6" s="105"/>
      <c r="G6" s="14" t="s">
        <v>82</v>
      </c>
      <c r="H6" s="14" t="s">
        <v>80</v>
      </c>
      <c r="I6" s="14">
        <f>SUMIF(Mercado_Receita!$T$2:$T$1261,"44440B1Energia horáriaResidencialResidencialNão se aplicaNão se aplicaFora ponta",Mercado_Receita!$N$2:$N$1261)</f>
        <v>9.4320000000000004</v>
      </c>
      <c r="J6" s="14">
        <f>SUMIF(Mercado_Receita!$T$2:$T$1261,"44470B1Energia horáriaResidencialResidencialNão se aplicaNão se aplicaFora ponta",Mercado_Receita!$N$2:$N$1261)</f>
        <v>10.689</v>
      </c>
      <c r="K6" s="14">
        <f>SUMIF(Mercado_Receita!$T$2:$T$1261,"44501B1Energia horáriaResidencialResidencialNão se aplicaNão se aplicaFora ponta",Mercado_Receita!$N$2:$N$1261)</f>
        <v>9.8710000000000004</v>
      </c>
      <c r="L6" s="14">
        <f>SUMIF(Mercado_Receita!$T$2:$T$1261,"44531B1Energia horáriaResidencialResidencialNão se aplicaNão se aplicaFora ponta",Mercado_Receita!$N$2:$N$1261)</f>
        <v>11.031000000000001</v>
      </c>
      <c r="M6" s="14">
        <f>SUMIF(Mercado_Receita!$T$2:$T$1261,"44562B1Energia horáriaResidencialResidencialNão se aplicaNão se aplicaFora ponta",Mercado_Receita!$N$2:$N$1261)</f>
        <v>11.08</v>
      </c>
      <c r="N6" s="14">
        <f>SUMIF(Mercado_Receita!$T$2:$T$1261,"44593B1Energia horáriaResidencialResidencialNão se aplicaNão se aplicaFora ponta",Mercado_Receita!$N$2:$N$1261)</f>
        <v>13.28</v>
      </c>
      <c r="O6" s="14">
        <f>SUMIF(Mercado_Receita!$T$2:$T$1261,"44621B1Energia horáriaResidencialResidencialNão se aplicaNão se aplicaFora ponta",Mercado_Receita!$N$2:$N$1261)</f>
        <v>12.452999999999999</v>
      </c>
      <c r="P6" s="14">
        <f>SUMIF(Mercado_Receita!$T$2:$T$1261,"44652B1Energia horáriaResidencialResidencialNão se aplicaNão se aplicaFora ponta",Mercado_Receita!$N$2:$N$1261)</f>
        <v>12.872</v>
      </c>
      <c r="Q6" s="14">
        <f>SUMIF(Mercado_Receita!$T$2:$T$1261,"44682B1Energia horáriaResidencialResidencialNão se aplicaNão se aplicaFora ponta",Mercado_Receita!$N$2:$N$1261)</f>
        <v>9.4329999999999998</v>
      </c>
      <c r="R6" s="14">
        <f>SUMIF(Mercado_Receita!$T$2:$T$1261,"44713B1Energia horáriaResidencialResidencialNão se aplicaNão se aplicaFora ponta",Mercado_Receita!$N$2:$N$1261)</f>
        <v>6.7210000000000001</v>
      </c>
      <c r="S6" s="14">
        <f>SUMIF(Mercado_Receita!$T$2:$T$1261,"44743B1Energia horáriaResidencialResidencialNão se aplicaNão se aplicaFora ponta",Mercado_Receita!$N$2:$N$1261)</f>
        <v>6.66</v>
      </c>
      <c r="T6" s="14">
        <f>SUMIF(Mercado_Receita!$T$2:$T$1261,"44774B1Energia horáriaResidencialResidencialNão se aplicaNão se aplicaFora ponta",Mercado_Receita!$N$2:$N$1261)</f>
        <v>6.66</v>
      </c>
      <c r="U6" s="14">
        <f t="shared" si="0"/>
        <v>120.18199999999999</v>
      </c>
      <c r="V6" s="14"/>
      <c r="W6" s="14"/>
    </row>
    <row r="7" spans="1:30" ht="11.25" customHeight="1" x14ac:dyDescent="0.25">
      <c r="A7" s="105"/>
      <c r="B7" s="104" t="s">
        <v>92</v>
      </c>
      <c r="C7" s="104" t="s">
        <v>24</v>
      </c>
      <c r="D7" s="13" t="s">
        <v>24</v>
      </c>
      <c r="E7" s="13" t="s">
        <v>25</v>
      </c>
      <c r="F7" s="13" t="s">
        <v>25</v>
      </c>
      <c r="G7" s="14" t="s">
        <v>86</v>
      </c>
      <c r="H7" s="14" t="s">
        <v>80</v>
      </c>
      <c r="I7" s="14">
        <f>SUMIF(Mercado_Receita!$T$2:$T$1261,"44440B1Energia convencionalResidencialResidencialNão se aplicaNão se aplicaNão se aplica",Mercado_Receita!$N$2:$N$1261)</f>
        <v>10226.847</v>
      </c>
      <c r="J7" s="14">
        <f>SUMIF(Mercado_Receita!$T$2:$T$1261,"44470B1Energia convencionalResidencialResidencialNão se aplicaNão se aplicaNão se aplica",Mercado_Receita!$N$2:$N$1261)</f>
        <v>10801.921</v>
      </c>
      <c r="K7" s="14">
        <f>SUMIF(Mercado_Receita!$T$2:$T$1261,"44501B1Energia convencionalResidencialResidencialNão se aplicaNão se aplicaNão se aplica",Mercado_Receita!$N$2:$N$1261)</f>
        <v>10391.748000000001</v>
      </c>
      <c r="L7" s="14">
        <f>SUMIF(Mercado_Receita!$T$2:$T$1261,"44531B1Energia convencionalResidencialResidencialNão se aplicaNão se aplicaNão se aplica",Mercado_Receita!$N$2:$N$1261)</f>
        <v>10747.088000000002</v>
      </c>
      <c r="M7" s="14">
        <f>SUMIF(Mercado_Receita!$T$2:$T$1261,"44562B1Energia convencionalResidencialResidencialNão se aplicaNão se aplicaNão se aplica",Mercado_Receita!$N$2:$N$1261)</f>
        <v>11123.838</v>
      </c>
      <c r="N7" s="14">
        <f>SUMIF(Mercado_Receita!$T$2:$T$1261,"44593B1Energia convencionalResidencialResidencialNão se aplicaNão se aplicaNão se aplica",Mercado_Receita!$N$2:$N$1261)</f>
        <v>12125.803</v>
      </c>
      <c r="O7" s="14">
        <f>SUMIF(Mercado_Receita!$T$2:$T$1261,"44621B1Energia convencionalResidencialResidencialNão se aplicaNão se aplicaNão se aplica",Mercado_Receita!$N$2:$N$1261)</f>
        <v>11690.799000000001</v>
      </c>
      <c r="P7" s="14">
        <f>SUMIF(Mercado_Receita!$T$2:$T$1261,"44652B1Energia convencionalResidencialResidencialNão se aplicaNão se aplicaNão se aplica",Mercado_Receita!$N$2:$N$1261)</f>
        <v>11827.583999999999</v>
      </c>
      <c r="Q7" s="14">
        <f>SUMIF(Mercado_Receita!$T$2:$T$1261,"44682B1Energia convencionalResidencialResidencialNão se aplicaNão se aplicaNão se aplica",Mercado_Receita!$N$2:$N$1261)</f>
        <v>10296.942000000001</v>
      </c>
      <c r="R7" s="14">
        <f>SUMIF(Mercado_Receita!$T$2:$T$1261,"44713B1Energia convencionalResidencialResidencialNão se aplicaNão se aplicaNão se aplica",Mercado_Receita!$N$2:$N$1261)</f>
        <v>8905.117000000002</v>
      </c>
      <c r="S7" s="14">
        <f>SUMIF(Mercado_Receita!$T$2:$T$1261,"44743B1Energia convencionalResidencialResidencialNão se aplicaNão se aplicaNão se aplica",Mercado_Receita!$N$2:$N$1261)</f>
        <v>8497.530999999999</v>
      </c>
      <c r="T7" s="14">
        <f>SUMIF(Mercado_Receita!$T$2:$T$1261,"44774B1Energia convencionalResidencialResidencialNão se aplicaNão se aplicaNão se aplica",Mercado_Receita!$N$2:$N$1261)</f>
        <v>8497.530999999999</v>
      </c>
      <c r="U7" s="14">
        <f t="shared" si="0"/>
        <v>125132.74900000001</v>
      </c>
      <c r="V7" s="14"/>
      <c r="W7" s="14"/>
    </row>
    <row r="8" spans="1:30" ht="11.25" customHeight="1" x14ac:dyDescent="0.25">
      <c r="A8" s="105"/>
      <c r="B8" s="105"/>
      <c r="C8" s="105"/>
      <c r="D8" s="13" t="s">
        <v>29</v>
      </c>
      <c r="E8" s="13" t="s">
        <v>25</v>
      </c>
      <c r="F8" s="13" t="s">
        <v>25</v>
      </c>
      <c r="G8" s="14" t="s">
        <v>86</v>
      </c>
      <c r="H8" s="14" t="s">
        <v>80</v>
      </c>
      <c r="I8" s="14">
        <f>SUMIF(Mercado_Receita!$T$2:$T$1261,"44440B1Energia convencionalResidencialResidencial baixa renda – faixa 01Não se aplicaNão se aplicaNão se aplica",Mercado_Receita!$N$2:$N$1261)</f>
        <v>303.54000000000002</v>
      </c>
      <c r="J8" s="14">
        <f>SUMIF(Mercado_Receita!$T$2:$T$1261,"44470B1Energia convencionalResidencialResidencial baixa renda – faixa 01Não se aplicaNão se aplicaNão se aplica",Mercado_Receita!$N$2:$N$1261)</f>
        <v>308.58000000000004</v>
      </c>
      <c r="K8" s="14">
        <f>SUMIF(Mercado_Receita!$T$2:$T$1261,"44501B1Energia convencionalResidencialResidencial baixa renda – faixa 01Não se aplicaNão se aplicaNão se aplica",Mercado_Receita!$N$2:$N$1261)</f>
        <v>316.34999999999997</v>
      </c>
      <c r="L8" s="14">
        <f>SUMIF(Mercado_Receita!$T$2:$T$1261,"44531B1Energia convencionalResidencialResidencial baixa renda – faixa 01Não se aplicaNão se aplicaNão se aplica",Mercado_Receita!$N$2:$N$1261)</f>
        <v>322.16999999999996</v>
      </c>
      <c r="M8" s="14">
        <f>SUMIF(Mercado_Receita!$T$2:$T$1261,"44562B1Energia convencionalResidencialResidencial baixa renda – faixa 01Não se aplicaNão se aplicaNão se aplica",Mercado_Receita!$N$2:$N$1261)</f>
        <v>327.78000000000003</v>
      </c>
      <c r="N8" s="14">
        <f>SUMIF(Mercado_Receita!$T$2:$T$1261,"44593B1Energia convencionalResidencialResidencial baixa renda – faixa 01Não se aplicaNão se aplicaNão se aplica",Mercado_Receita!$N$2:$N$1261)</f>
        <v>335.24999999999994</v>
      </c>
      <c r="O8" s="14">
        <f>SUMIF(Mercado_Receita!$T$2:$T$1261,"44621B1Energia convencionalResidencialResidencial baixa renda – faixa 01Não se aplicaNão se aplicaNão se aplica",Mercado_Receita!$N$2:$N$1261)</f>
        <v>403.61999999999995</v>
      </c>
      <c r="P8" s="14">
        <f>SUMIF(Mercado_Receita!$T$2:$T$1261,"44652B1Energia convencionalResidencialResidencial baixa renda – faixa 01Não se aplicaNão se aplicaNão se aplica",Mercado_Receita!$N$2:$N$1261)</f>
        <v>410.4</v>
      </c>
      <c r="Q8" s="14">
        <f>SUMIF(Mercado_Receita!$T$2:$T$1261,"44682B1Energia convencionalResidencialResidencial baixa renda – faixa 01Não se aplicaNão se aplicaNão se aplica",Mercado_Receita!$N$2:$N$1261)</f>
        <v>378.48</v>
      </c>
      <c r="R8" s="14">
        <f>SUMIF(Mercado_Receita!$T$2:$T$1261,"44713B1Energia convencionalResidencialResidencial baixa renda – faixa 01Não se aplicaNão se aplicaNão se aplica",Mercado_Receita!$N$2:$N$1261)</f>
        <v>398.94</v>
      </c>
      <c r="S8" s="14">
        <f>SUMIF(Mercado_Receita!$T$2:$T$1261,"44743B1Energia convencionalResidencialResidencial baixa renda – faixa 01Não se aplicaNão se aplicaNão se aplica",Mercado_Receita!$N$2:$N$1261)</f>
        <v>337.2</v>
      </c>
      <c r="T8" s="14">
        <f>SUMIF(Mercado_Receita!$T$2:$T$1261,"44774B1Energia convencionalResidencialResidencial baixa renda – faixa 01Não se aplicaNão se aplicaNão se aplica",Mercado_Receita!$N$2:$N$1261)</f>
        <v>337.2</v>
      </c>
      <c r="U8" s="14">
        <f t="shared" si="0"/>
        <v>4179.51</v>
      </c>
      <c r="V8" s="14"/>
      <c r="W8" s="14"/>
    </row>
    <row r="9" spans="1:30" ht="11.25" customHeight="1" x14ac:dyDescent="0.25">
      <c r="A9" s="105"/>
      <c r="B9" s="105"/>
      <c r="C9" s="105"/>
      <c r="D9" s="13" t="s">
        <v>30</v>
      </c>
      <c r="E9" s="13" t="s">
        <v>25</v>
      </c>
      <c r="F9" s="13" t="s">
        <v>25</v>
      </c>
      <c r="G9" s="14" t="s">
        <v>86</v>
      </c>
      <c r="H9" s="14" t="s">
        <v>80</v>
      </c>
      <c r="I9" s="14">
        <f>SUMIF(Mercado_Receita!$T$2:$T$1261,"44440B1Energia convencionalResidencialResidencial baixa renda – faixa 02Não se aplicaNão se aplicaNão se aplica",Mercado_Receita!$N$2:$N$1261)</f>
        <v>605.25400000000002</v>
      </c>
      <c r="J9" s="14">
        <f>SUMIF(Mercado_Receita!$T$2:$T$1261,"44470B1Energia convencionalResidencialResidencial baixa renda – faixa 02Não se aplicaNão se aplicaNão se aplica",Mercado_Receita!$N$2:$N$1261)</f>
        <v>624.71999999999991</v>
      </c>
      <c r="K9" s="14">
        <f>SUMIF(Mercado_Receita!$T$2:$T$1261,"44501B1Energia convencionalResidencialResidencial baixa renda – faixa 02Não se aplicaNão se aplicaNão se aplica",Mercado_Receita!$N$2:$N$1261)</f>
        <v>635.27299999999991</v>
      </c>
      <c r="L9" s="14">
        <f>SUMIF(Mercado_Receita!$T$2:$T$1261,"44531B1Energia convencionalResidencialResidencial baixa renda – faixa 02Não se aplicaNão se aplicaNão se aplica",Mercado_Receita!$N$2:$N$1261)</f>
        <v>655.04899999999998</v>
      </c>
      <c r="M9" s="14">
        <f>SUMIF(Mercado_Receita!$T$2:$T$1261,"44562B1Energia convencionalResidencialResidencial baixa renda – faixa 02Não se aplicaNão se aplicaNão se aplica",Mercado_Receita!$N$2:$N$1261)</f>
        <v>677.33999999999992</v>
      </c>
      <c r="N9" s="14">
        <f>SUMIF(Mercado_Receita!$T$2:$T$1261,"44593B1Energia convencionalResidencialResidencial baixa renda – faixa 02Não se aplicaNão se aplicaNão se aplica",Mercado_Receita!$N$2:$N$1261)</f>
        <v>699.95999999999992</v>
      </c>
      <c r="O9" s="14">
        <f>SUMIF(Mercado_Receita!$T$2:$T$1261,"44621B1Energia convencionalResidencialResidencial baixa renda – faixa 02Não se aplicaNão se aplicaNão se aplica",Mercado_Receita!$N$2:$N$1261)</f>
        <v>836.30099999999993</v>
      </c>
      <c r="P9" s="14">
        <f>SUMIF(Mercado_Receita!$T$2:$T$1261,"44652B1Energia convencionalResidencialResidencial baixa renda – faixa 02Não se aplicaNão se aplicaNão se aplica",Mercado_Receita!$N$2:$N$1261)</f>
        <v>854.18899999999996</v>
      </c>
      <c r="Q9" s="14">
        <f>SUMIF(Mercado_Receita!$T$2:$T$1261,"44682B1Energia convencionalResidencialResidencial baixa renda – faixa 02Não se aplicaNão se aplicaNão se aplica",Mercado_Receita!$N$2:$N$1261)</f>
        <v>753.38699999999994</v>
      </c>
      <c r="R9" s="14">
        <f>SUMIF(Mercado_Receita!$T$2:$T$1261,"44713B1Energia convencionalResidencialResidencial baixa renda – faixa 02Não se aplicaNão se aplicaNão se aplica",Mercado_Receita!$N$2:$N$1261)</f>
        <v>768.43899999999996</v>
      </c>
      <c r="S9" s="14">
        <f>SUMIF(Mercado_Receita!$T$2:$T$1261,"44743B1Energia convencionalResidencialResidencial baixa renda – faixa 02Não se aplicaNão se aplicaNão se aplica",Mercado_Receita!$N$2:$N$1261)</f>
        <v>635.10699999999997</v>
      </c>
      <c r="T9" s="14">
        <f>SUMIF(Mercado_Receita!$T$2:$T$1261,"44774B1Energia convencionalResidencialResidencial baixa renda – faixa 02Não se aplicaNão se aplicaNão se aplica",Mercado_Receita!$N$2:$N$1261)</f>
        <v>635.10699999999997</v>
      </c>
      <c r="U9" s="14">
        <f t="shared" si="0"/>
        <v>8380.1260000000002</v>
      </c>
      <c r="V9" s="14"/>
      <c r="W9" s="14"/>
    </row>
    <row r="10" spans="1:30" ht="11.25" customHeight="1" x14ac:dyDescent="0.25">
      <c r="A10" s="105"/>
      <c r="B10" s="105"/>
      <c r="C10" s="105"/>
      <c r="D10" s="13" t="s">
        <v>31</v>
      </c>
      <c r="E10" s="13" t="s">
        <v>25</v>
      </c>
      <c r="F10" s="13" t="s">
        <v>25</v>
      </c>
      <c r="G10" s="14" t="s">
        <v>86</v>
      </c>
      <c r="H10" s="14" t="s">
        <v>80</v>
      </c>
      <c r="I10" s="14">
        <f>SUMIF(Mercado_Receita!$T$2:$T$1261,"44440B1Energia convencionalResidencialResidencial baixa renda – faixa 03Não se aplicaNão se aplicaNão se aplica",Mercado_Receita!$N$2:$N$1261)</f>
        <v>454.25700000000001</v>
      </c>
      <c r="J10" s="14">
        <f>SUMIF(Mercado_Receita!$T$2:$T$1261,"44470B1Energia convencionalResidencialResidencial baixa renda – faixa 03Não se aplicaNão se aplicaNão se aplica",Mercado_Receita!$N$2:$N$1261)</f>
        <v>496.62099999999998</v>
      </c>
      <c r="K10" s="14">
        <f>SUMIF(Mercado_Receita!$T$2:$T$1261,"44501B1Energia convencionalResidencialResidencial baixa renda – faixa 03Não se aplicaNão se aplicaNão se aplica",Mercado_Receita!$N$2:$N$1261)</f>
        <v>487.56099999999998</v>
      </c>
      <c r="L10" s="14">
        <f>SUMIF(Mercado_Receita!$T$2:$T$1261,"44531B1Energia convencionalResidencialResidencial baixa renda – faixa 03Não se aplicaNão se aplicaNão se aplica",Mercado_Receita!$N$2:$N$1261)</f>
        <v>516.60800000000006</v>
      </c>
      <c r="M10" s="14">
        <f>SUMIF(Mercado_Receita!$T$2:$T$1261,"44562B1Energia convencionalResidencialResidencial baixa renda – faixa 03Não se aplicaNão se aplicaNão se aplica",Mercado_Receita!$N$2:$N$1261)</f>
        <v>580.31100000000004</v>
      </c>
      <c r="N10" s="14">
        <f>SUMIF(Mercado_Receita!$T$2:$T$1261,"44593B1Energia convencionalResidencialResidencial baixa renda – faixa 03Não se aplicaNão se aplicaNão se aplica",Mercado_Receita!$N$2:$N$1261)</f>
        <v>637.22699999999998</v>
      </c>
      <c r="O10" s="14">
        <f>SUMIF(Mercado_Receita!$T$2:$T$1261,"44621B1Energia convencionalResidencialResidencial baixa renda – faixa 03Não se aplicaNão se aplicaNão se aplica",Mercado_Receita!$N$2:$N$1261)</f>
        <v>767.44799999999998</v>
      </c>
      <c r="P10" s="14">
        <f>SUMIF(Mercado_Receita!$T$2:$T$1261,"44652B1Energia convencionalResidencialResidencial baixa renda – faixa 03Não se aplicaNão se aplicaNão se aplica",Mercado_Receita!$N$2:$N$1261)</f>
        <v>779.9</v>
      </c>
      <c r="Q10" s="14">
        <f>SUMIF(Mercado_Receita!$T$2:$T$1261,"44682B1Energia convencionalResidencialResidencial baixa renda – faixa 03Não se aplicaNão se aplicaNão se aplica",Mercado_Receita!$N$2:$N$1261)</f>
        <v>582.66100000000006</v>
      </c>
      <c r="R10" s="14">
        <f>SUMIF(Mercado_Receita!$T$2:$T$1261,"44713B1Energia convencionalResidencialResidencial baixa renda – faixa 03Não se aplicaNão se aplicaNão se aplica",Mercado_Receita!$N$2:$N$1261)</f>
        <v>511.87299999999999</v>
      </c>
      <c r="S10" s="14">
        <f>SUMIF(Mercado_Receita!$T$2:$T$1261,"44743B1Energia convencionalResidencialResidencial baixa renda – faixa 03Não se aplicaNão se aplicaNão se aplica",Mercado_Receita!$N$2:$N$1261)</f>
        <v>376.39</v>
      </c>
      <c r="T10" s="14">
        <f>SUMIF(Mercado_Receita!$T$2:$T$1261,"44774B1Energia convencionalResidencialResidencial baixa renda – faixa 03Não se aplicaNão se aplicaNão se aplica",Mercado_Receita!$N$2:$N$1261)</f>
        <v>376.39</v>
      </c>
      <c r="U10" s="14">
        <f t="shared" si="0"/>
        <v>6567.2470000000003</v>
      </c>
      <c r="V10" s="14"/>
      <c r="W10" s="14"/>
    </row>
    <row r="11" spans="1:30" ht="11.25" customHeight="1" x14ac:dyDescent="0.25">
      <c r="A11" s="105"/>
      <c r="B11" s="105"/>
      <c r="C11" s="105"/>
      <c r="D11" s="13" t="s">
        <v>32</v>
      </c>
      <c r="E11" s="13" t="s">
        <v>25</v>
      </c>
      <c r="F11" s="13" t="s">
        <v>25</v>
      </c>
      <c r="G11" s="14" t="s">
        <v>86</v>
      </c>
      <c r="H11" s="14" t="s">
        <v>80</v>
      </c>
      <c r="I11" s="14">
        <f>SUMIF(Mercado_Receita!$T$2:$T$1261,"44440B1Energia convencionalResidencialResidencial baixa renda – faixa 04Não se aplicaNão se aplicaNão se aplica",Mercado_Receita!$N$2:$N$1261)</f>
        <v>109.197</v>
      </c>
      <c r="J11" s="14">
        <f>SUMIF(Mercado_Receita!$T$2:$T$1261,"44470B1Energia convencionalResidencialResidencial baixa renda – faixa 04Não se aplicaNão se aplicaNão se aplica",Mercado_Receita!$N$2:$N$1261)</f>
        <v>128.33699999999999</v>
      </c>
      <c r="K11" s="14">
        <f>SUMIF(Mercado_Receita!$T$2:$T$1261,"44501B1Energia convencionalResidencialResidencial baixa renda – faixa 04Não se aplicaNão se aplicaNão se aplica",Mercado_Receita!$N$2:$N$1261)</f>
        <v>119.16</v>
      </c>
      <c r="L11" s="14">
        <f>SUMIF(Mercado_Receita!$T$2:$T$1261,"44531B1Energia convencionalResidencialResidencial baixa renda – faixa 04Não se aplicaNão se aplicaNão se aplica",Mercado_Receita!$N$2:$N$1261)</f>
        <v>128.41900000000001</v>
      </c>
      <c r="M11" s="14">
        <f>SUMIF(Mercado_Receita!$T$2:$T$1261,"44562B1Energia convencionalResidencialResidencial baixa renda – faixa 04Não se aplicaNão se aplicaNão se aplica",Mercado_Receita!$N$2:$N$1261)</f>
        <v>168.649</v>
      </c>
      <c r="N11" s="14">
        <f>SUMIF(Mercado_Receita!$T$2:$T$1261,"44593B1Energia convencionalResidencialResidencial baixa renda – faixa 04Não se aplicaNão se aplicaNão se aplica",Mercado_Receita!$N$2:$N$1261)</f>
        <v>223.125</v>
      </c>
      <c r="O11" s="14">
        <f>SUMIF(Mercado_Receita!$T$2:$T$1261,"44621B1Energia convencionalResidencialResidencial baixa renda – faixa 04Não se aplicaNão se aplicaNão se aplica",Mercado_Receita!$N$2:$N$1261)</f>
        <v>287.185</v>
      </c>
      <c r="P11" s="14">
        <f>SUMIF(Mercado_Receita!$T$2:$T$1261,"44652B1Energia convencionalResidencialResidencial baixa renda – faixa 04Não se aplicaNão se aplicaNão se aplica",Mercado_Receita!$N$2:$N$1261)</f>
        <v>294.00700000000001</v>
      </c>
      <c r="Q11" s="14">
        <f>SUMIF(Mercado_Receita!$T$2:$T$1261,"44682B1Energia convencionalResidencialResidencial baixa renda – faixa 04Não se aplicaNão se aplicaNão se aplica",Mercado_Receita!$N$2:$N$1261)</f>
        <v>171.00099999999998</v>
      </c>
      <c r="R11" s="14">
        <f>SUMIF(Mercado_Receita!$T$2:$T$1261,"44713B1Energia convencionalResidencialResidencial baixa renda – faixa 04Não se aplicaNão se aplicaNão se aplica",Mercado_Receita!$N$2:$N$1261)</f>
        <v>115.608</v>
      </c>
      <c r="S11" s="14">
        <f>SUMIF(Mercado_Receita!$T$2:$T$1261,"44743B1Energia convencionalResidencialResidencial baixa renda – faixa 04Não se aplicaNão se aplicaNão se aplica",Mercado_Receita!$N$2:$N$1261)</f>
        <v>66.99799999999999</v>
      </c>
      <c r="T11" s="14">
        <f>SUMIF(Mercado_Receita!$T$2:$T$1261,"44774B1Energia convencionalResidencialResidencial baixa renda – faixa 04Não se aplicaNão se aplicaNão se aplica",Mercado_Receita!$N$2:$N$1261)</f>
        <v>66.99799999999999</v>
      </c>
      <c r="U11" s="14">
        <f t="shared" si="0"/>
        <v>1878.684</v>
      </c>
      <c r="V11" s="14"/>
      <c r="W11" s="14"/>
    </row>
    <row r="12" spans="1:30" ht="11.25" customHeight="1" x14ac:dyDescent="0.25">
      <c r="A12" s="105"/>
      <c r="B12" s="104" t="s">
        <v>93</v>
      </c>
      <c r="C12" s="104" t="s">
        <v>24</v>
      </c>
      <c r="D12" s="13" t="s">
        <v>24</v>
      </c>
      <c r="E12" s="13" t="s">
        <v>25</v>
      </c>
      <c r="F12" s="13" t="s">
        <v>25</v>
      </c>
      <c r="G12" s="14" t="s">
        <v>86</v>
      </c>
      <c r="H12" s="14" t="s">
        <v>80</v>
      </c>
      <c r="I12" s="14">
        <f>SUMIF(Mercado_Receita!$T$2:$T$1261,"44440B1Energia convencional pré-pagamentoResidencialResidencialNão se aplicaNão se aplicaNão se aplica",Mercado_Receita!$N$2:$N$1261)</f>
        <v>0</v>
      </c>
      <c r="J12" s="14">
        <f>SUMIF(Mercado_Receita!$T$2:$T$1261,"44470B1Energia convencional pré-pagamentoResidencialResidencialNão se aplicaNão se aplicaNão se aplica",Mercado_Receita!$N$2:$N$1261)</f>
        <v>0</v>
      </c>
      <c r="K12" s="14">
        <f>SUMIF(Mercado_Receita!$T$2:$T$1261,"44501B1Energia convencional pré-pagamentoResidencialResidencialNão se aplicaNão se aplicaNão se aplica",Mercado_Receita!$N$2:$N$1261)</f>
        <v>0</v>
      </c>
      <c r="L12" s="14">
        <f>SUMIF(Mercado_Receita!$T$2:$T$1261,"44531B1Energia convencional pré-pagamentoResidencialResidencialNão se aplicaNão se aplicaNão se aplica",Mercado_Receita!$N$2:$N$1261)</f>
        <v>0</v>
      </c>
      <c r="M12" s="14">
        <f>SUMIF(Mercado_Receita!$T$2:$T$1261,"44562B1Energia convencional pré-pagamentoResidencialResidencialNão se aplicaNão se aplicaNão se aplica",Mercado_Receita!$N$2:$N$1261)</f>
        <v>0</v>
      </c>
      <c r="N12" s="14">
        <f>SUMIF(Mercado_Receita!$T$2:$T$1261,"44593B1Energia convencional pré-pagamentoResidencialResidencialNão se aplicaNão se aplicaNão se aplica",Mercado_Receita!$N$2:$N$1261)</f>
        <v>0</v>
      </c>
      <c r="O12" s="14">
        <f>SUMIF(Mercado_Receita!$T$2:$T$1261,"44621B1Energia convencional pré-pagamentoResidencialResidencialNão se aplicaNão se aplicaNão se aplica",Mercado_Receita!$N$2:$N$1261)</f>
        <v>0</v>
      </c>
      <c r="P12" s="14">
        <f>SUMIF(Mercado_Receita!$T$2:$T$1261,"44652B1Energia convencional pré-pagamentoResidencialResidencialNão se aplicaNão se aplicaNão se aplica",Mercado_Receita!$N$2:$N$1261)</f>
        <v>0</v>
      </c>
      <c r="Q12" s="14">
        <f>SUMIF(Mercado_Receita!$T$2:$T$1261,"44682B1Energia convencional pré-pagamentoResidencialResidencialNão se aplicaNão se aplicaNão se aplica",Mercado_Receita!$N$2:$N$1261)</f>
        <v>0</v>
      </c>
      <c r="R12" s="14">
        <f>SUMIF(Mercado_Receita!$T$2:$T$1261,"44713B1Energia convencional pré-pagamentoResidencialResidencialNão se aplicaNão se aplicaNão se aplica",Mercado_Receita!$N$2:$N$1261)</f>
        <v>0</v>
      </c>
      <c r="S12" s="14">
        <f>SUMIF(Mercado_Receita!$T$2:$T$1261,"44743B1Energia convencional pré-pagamentoResidencialResidencialNão se aplicaNão se aplicaNão se aplica",Mercado_Receita!$N$2:$N$1261)</f>
        <v>0</v>
      </c>
      <c r="T12" s="14">
        <f>SUMIF(Mercado_Receita!$T$2:$T$1261,"44774B1Energia convencional pré-pagamentoResidencialResidencialNão se aplicaNão se aplicaNão se aplica",Mercado_Receita!$N$2:$N$1261)</f>
        <v>0</v>
      </c>
      <c r="U12" s="14">
        <f t="shared" si="0"/>
        <v>0</v>
      </c>
      <c r="V12" s="14"/>
      <c r="W12" s="14"/>
    </row>
    <row r="13" spans="1:30" ht="11.25" customHeight="1" x14ac:dyDescent="0.25">
      <c r="A13" s="105"/>
      <c r="B13" s="105"/>
      <c r="C13" s="105"/>
      <c r="D13" s="13" t="s">
        <v>29</v>
      </c>
      <c r="E13" s="13" t="s">
        <v>25</v>
      </c>
      <c r="F13" s="13" t="s">
        <v>25</v>
      </c>
      <c r="G13" s="14" t="s">
        <v>86</v>
      </c>
      <c r="H13" s="14" t="s">
        <v>80</v>
      </c>
      <c r="I13" s="14">
        <f>SUMIF(Mercado_Receita!$T$2:$T$1261,"44440B1Energia convencional pré-pagamentoResidencialResidencial baixa renda – faixa 01Não se aplicaNão se aplicaNão se aplica",Mercado_Receita!$N$2:$N$1261)</f>
        <v>0</v>
      </c>
      <c r="J13" s="14">
        <f>SUMIF(Mercado_Receita!$T$2:$T$1261,"44470B1Energia convencional pré-pagamentoResidencialResidencial baixa renda – faixa 01Não se aplicaNão se aplicaNão se aplica",Mercado_Receita!$N$2:$N$1261)</f>
        <v>0</v>
      </c>
      <c r="K13" s="14">
        <f>SUMIF(Mercado_Receita!$T$2:$T$1261,"44501B1Energia convencional pré-pagamentoResidencialResidencial baixa renda – faixa 01Não se aplicaNão se aplicaNão se aplica",Mercado_Receita!$N$2:$N$1261)</f>
        <v>0</v>
      </c>
      <c r="L13" s="14">
        <f>SUMIF(Mercado_Receita!$T$2:$T$1261,"44531B1Energia convencional pré-pagamentoResidencialResidencial baixa renda – faixa 01Não se aplicaNão se aplicaNão se aplica",Mercado_Receita!$N$2:$N$1261)</f>
        <v>0</v>
      </c>
      <c r="M13" s="14">
        <f>SUMIF(Mercado_Receita!$T$2:$T$1261,"44562B1Energia convencional pré-pagamentoResidencialResidencial baixa renda – faixa 01Não se aplicaNão se aplicaNão se aplica",Mercado_Receita!$N$2:$N$1261)</f>
        <v>0</v>
      </c>
      <c r="N13" s="14">
        <f>SUMIF(Mercado_Receita!$T$2:$T$1261,"44593B1Energia convencional pré-pagamentoResidencialResidencial baixa renda – faixa 01Não se aplicaNão se aplicaNão se aplica",Mercado_Receita!$N$2:$N$1261)</f>
        <v>0</v>
      </c>
      <c r="O13" s="14">
        <f>SUMIF(Mercado_Receita!$T$2:$T$1261,"44621B1Energia convencional pré-pagamentoResidencialResidencial baixa renda – faixa 01Não se aplicaNão se aplicaNão se aplica",Mercado_Receita!$N$2:$N$1261)</f>
        <v>0</v>
      </c>
      <c r="P13" s="14">
        <f>SUMIF(Mercado_Receita!$T$2:$T$1261,"44652B1Energia convencional pré-pagamentoResidencialResidencial baixa renda – faixa 01Não se aplicaNão se aplicaNão se aplica",Mercado_Receita!$N$2:$N$1261)</f>
        <v>0</v>
      </c>
      <c r="Q13" s="14">
        <f>SUMIF(Mercado_Receita!$T$2:$T$1261,"44682B1Energia convencional pré-pagamentoResidencialResidencial baixa renda – faixa 01Não se aplicaNão se aplicaNão se aplica",Mercado_Receita!$N$2:$N$1261)</f>
        <v>0</v>
      </c>
      <c r="R13" s="14">
        <f>SUMIF(Mercado_Receita!$T$2:$T$1261,"44713B1Energia convencional pré-pagamentoResidencialResidencial baixa renda – faixa 01Não se aplicaNão se aplicaNão se aplica",Mercado_Receita!$N$2:$N$1261)</f>
        <v>0</v>
      </c>
      <c r="S13" s="14">
        <f>SUMIF(Mercado_Receita!$T$2:$T$1261,"44743B1Energia convencional pré-pagamentoResidencialResidencial baixa renda – faixa 01Não se aplicaNão se aplicaNão se aplica",Mercado_Receita!$N$2:$N$1261)</f>
        <v>0</v>
      </c>
      <c r="T13" s="14">
        <f>SUMIF(Mercado_Receita!$T$2:$T$1261,"44774B1Energia convencional pré-pagamentoResidencialResidencial baixa renda – faixa 01Não se aplicaNão se aplicaNão se aplica",Mercado_Receita!$N$2:$N$1261)</f>
        <v>0</v>
      </c>
      <c r="U13" s="14">
        <f t="shared" si="0"/>
        <v>0</v>
      </c>
      <c r="V13" s="14"/>
      <c r="W13" s="14"/>
    </row>
    <row r="14" spans="1:30" ht="11.25" customHeight="1" x14ac:dyDescent="0.25">
      <c r="A14" s="105"/>
      <c r="B14" s="105"/>
      <c r="C14" s="105"/>
      <c r="D14" s="13" t="s">
        <v>30</v>
      </c>
      <c r="E14" s="13" t="s">
        <v>25</v>
      </c>
      <c r="F14" s="13" t="s">
        <v>25</v>
      </c>
      <c r="G14" s="14" t="s">
        <v>86</v>
      </c>
      <c r="H14" s="14" t="s">
        <v>80</v>
      </c>
      <c r="I14" s="14">
        <f>SUMIF(Mercado_Receita!$T$2:$T$1261,"44440B1Energia convencional pré-pagamentoResidencialResidencial baixa renda – faixa 02Não se aplicaNão se aplicaNão se aplica",Mercado_Receita!$N$2:$N$1261)</f>
        <v>0</v>
      </c>
      <c r="J14" s="14">
        <f>SUMIF(Mercado_Receita!$T$2:$T$1261,"44470B1Energia convencional pré-pagamentoResidencialResidencial baixa renda – faixa 02Não se aplicaNão se aplicaNão se aplica",Mercado_Receita!$N$2:$N$1261)</f>
        <v>0</v>
      </c>
      <c r="K14" s="14">
        <f>SUMIF(Mercado_Receita!$T$2:$T$1261,"44501B1Energia convencional pré-pagamentoResidencialResidencial baixa renda – faixa 02Não se aplicaNão se aplicaNão se aplica",Mercado_Receita!$N$2:$N$1261)</f>
        <v>0</v>
      </c>
      <c r="L14" s="14">
        <f>SUMIF(Mercado_Receita!$T$2:$T$1261,"44531B1Energia convencional pré-pagamentoResidencialResidencial baixa renda – faixa 02Não se aplicaNão se aplicaNão se aplica",Mercado_Receita!$N$2:$N$1261)</f>
        <v>0</v>
      </c>
      <c r="M14" s="14">
        <f>SUMIF(Mercado_Receita!$T$2:$T$1261,"44562B1Energia convencional pré-pagamentoResidencialResidencial baixa renda – faixa 02Não se aplicaNão se aplicaNão se aplica",Mercado_Receita!$N$2:$N$1261)</f>
        <v>0</v>
      </c>
      <c r="N14" s="14">
        <f>SUMIF(Mercado_Receita!$T$2:$T$1261,"44593B1Energia convencional pré-pagamentoResidencialResidencial baixa renda – faixa 02Não se aplicaNão se aplicaNão se aplica",Mercado_Receita!$N$2:$N$1261)</f>
        <v>0</v>
      </c>
      <c r="O14" s="14">
        <f>SUMIF(Mercado_Receita!$T$2:$T$1261,"44621B1Energia convencional pré-pagamentoResidencialResidencial baixa renda – faixa 02Não se aplicaNão se aplicaNão se aplica",Mercado_Receita!$N$2:$N$1261)</f>
        <v>0</v>
      </c>
      <c r="P14" s="14">
        <f>SUMIF(Mercado_Receita!$T$2:$T$1261,"44652B1Energia convencional pré-pagamentoResidencialResidencial baixa renda – faixa 02Não se aplicaNão se aplicaNão se aplica",Mercado_Receita!$N$2:$N$1261)</f>
        <v>0</v>
      </c>
      <c r="Q14" s="14">
        <f>SUMIF(Mercado_Receita!$T$2:$T$1261,"44682B1Energia convencional pré-pagamentoResidencialResidencial baixa renda – faixa 02Não se aplicaNão se aplicaNão se aplica",Mercado_Receita!$N$2:$N$1261)</f>
        <v>0</v>
      </c>
      <c r="R14" s="14">
        <f>SUMIF(Mercado_Receita!$T$2:$T$1261,"44713B1Energia convencional pré-pagamentoResidencialResidencial baixa renda – faixa 02Não se aplicaNão se aplicaNão se aplica",Mercado_Receita!$N$2:$N$1261)</f>
        <v>0</v>
      </c>
      <c r="S14" s="14">
        <f>SUMIF(Mercado_Receita!$T$2:$T$1261,"44743B1Energia convencional pré-pagamentoResidencialResidencial baixa renda – faixa 02Não se aplicaNão se aplicaNão se aplica",Mercado_Receita!$N$2:$N$1261)</f>
        <v>0</v>
      </c>
      <c r="T14" s="14">
        <f>SUMIF(Mercado_Receita!$T$2:$T$1261,"44774B1Energia convencional pré-pagamentoResidencialResidencial baixa renda – faixa 02Não se aplicaNão se aplicaNão se aplica",Mercado_Receita!$N$2:$N$1261)</f>
        <v>0</v>
      </c>
      <c r="U14" s="14">
        <f t="shared" si="0"/>
        <v>0</v>
      </c>
      <c r="V14" s="14"/>
      <c r="W14" s="14"/>
    </row>
    <row r="15" spans="1:30" ht="11.25" customHeight="1" x14ac:dyDescent="0.25">
      <c r="A15" s="105"/>
      <c r="B15" s="105"/>
      <c r="C15" s="105"/>
      <c r="D15" s="13" t="s">
        <v>31</v>
      </c>
      <c r="E15" s="13" t="s">
        <v>25</v>
      </c>
      <c r="F15" s="13" t="s">
        <v>25</v>
      </c>
      <c r="G15" s="14" t="s">
        <v>86</v>
      </c>
      <c r="H15" s="14" t="s">
        <v>80</v>
      </c>
      <c r="I15" s="14">
        <f>SUMIF(Mercado_Receita!$T$2:$T$1261,"44440B1Energia convencional pré-pagamentoResidencialResidencial baixa renda – faixa 03Não se aplicaNão se aplicaNão se aplica",Mercado_Receita!$N$2:$N$1261)</f>
        <v>0</v>
      </c>
      <c r="J15" s="14">
        <f>SUMIF(Mercado_Receita!$T$2:$T$1261,"44470B1Energia convencional pré-pagamentoResidencialResidencial baixa renda – faixa 03Não se aplicaNão se aplicaNão se aplica",Mercado_Receita!$N$2:$N$1261)</f>
        <v>0</v>
      </c>
      <c r="K15" s="14">
        <f>SUMIF(Mercado_Receita!$T$2:$T$1261,"44501B1Energia convencional pré-pagamentoResidencialResidencial baixa renda – faixa 03Não se aplicaNão se aplicaNão se aplica",Mercado_Receita!$N$2:$N$1261)</f>
        <v>0</v>
      </c>
      <c r="L15" s="14">
        <f>SUMIF(Mercado_Receita!$T$2:$T$1261,"44531B1Energia convencional pré-pagamentoResidencialResidencial baixa renda – faixa 03Não se aplicaNão se aplicaNão se aplica",Mercado_Receita!$N$2:$N$1261)</f>
        <v>0</v>
      </c>
      <c r="M15" s="14">
        <f>SUMIF(Mercado_Receita!$T$2:$T$1261,"44562B1Energia convencional pré-pagamentoResidencialResidencial baixa renda – faixa 03Não se aplicaNão se aplicaNão se aplica",Mercado_Receita!$N$2:$N$1261)</f>
        <v>0</v>
      </c>
      <c r="N15" s="14">
        <f>SUMIF(Mercado_Receita!$T$2:$T$1261,"44593B1Energia convencional pré-pagamentoResidencialResidencial baixa renda – faixa 03Não se aplicaNão se aplicaNão se aplica",Mercado_Receita!$N$2:$N$1261)</f>
        <v>0</v>
      </c>
      <c r="O15" s="14">
        <f>SUMIF(Mercado_Receita!$T$2:$T$1261,"44621B1Energia convencional pré-pagamentoResidencialResidencial baixa renda – faixa 03Não se aplicaNão se aplicaNão se aplica",Mercado_Receita!$N$2:$N$1261)</f>
        <v>0</v>
      </c>
      <c r="P15" s="14">
        <f>SUMIF(Mercado_Receita!$T$2:$T$1261,"44652B1Energia convencional pré-pagamentoResidencialResidencial baixa renda – faixa 03Não se aplicaNão se aplicaNão se aplica",Mercado_Receita!$N$2:$N$1261)</f>
        <v>0</v>
      </c>
      <c r="Q15" s="14">
        <f>SUMIF(Mercado_Receita!$T$2:$T$1261,"44682B1Energia convencional pré-pagamentoResidencialResidencial baixa renda – faixa 03Não se aplicaNão se aplicaNão se aplica",Mercado_Receita!$N$2:$N$1261)</f>
        <v>0</v>
      </c>
      <c r="R15" s="14">
        <f>SUMIF(Mercado_Receita!$T$2:$T$1261,"44713B1Energia convencional pré-pagamentoResidencialResidencial baixa renda – faixa 03Não se aplicaNão se aplicaNão se aplica",Mercado_Receita!$N$2:$N$1261)</f>
        <v>0</v>
      </c>
      <c r="S15" s="14">
        <f>SUMIF(Mercado_Receita!$T$2:$T$1261,"44743B1Energia convencional pré-pagamentoResidencialResidencial baixa renda – faixa 03Não se aplicaNão se aplicaNão se aplica",Mercado_Receita!$N$2:$N$1261)</f>
        <v>0</v>
      </c>
      <c r="T15" s="14">
        <f>SUMIF(Mercado_Receita!$T$2:$T$1261,"44774B1Energia convencional pré-pagamentoResidencialResidencial baixa renda – faixa 03Não se aplicaNão se aplicaNão se aplica",Mercado_Receita!$N$2:$N$1261)</f>
        <v>0</v>
      </c>
      <c r="U15" s="14">
        <f t="shared" si="0"/>
        <v>0</v>
      </c>
      <c r="V15" s="14"/>
      <c r="W15" s="14"/>
    </row>
    <row r="16" spans="1:30" ht="11.25" customHeight="1" x14ac:dyDescent="0.25">
      <c r="A16" s="105"/>
      <c r="B16" s="105"/>
      <c r="C16" s="105"/>
      <c r="D16" s="13" t="s">
        <v>32</v>
      </c>
      <c r="E16" s="13" t="s">
        <v>25</v>
      </c>
      <c r="F16" s="13" t="s">
        <v>25</v>
      </c>
      <c r="G16" s="14" t="s">
        <v>86</v>
      </c>
      <c r="H16" s="14" t="s">
        <v>80</v>
      </c>
      <c r="I16" s="14">
        <f>SUMIF(Mercado_Receita!$T$2:$T$1261,"44440B1Energia convencional pré-pagamentoResidencialResidencial baixa renda – faixa 04Não se aplicaNão se aplicaNão se aplica",Mercado_Receita!$N$2:$N$1261)</f>
        <v>0</v>
      </c>
      <c r="J16" s="14">
        <f>SUMIF(Mercado_Receita!$T$2:$T$1261,"44470B1Energia convencional pré-pagamentoResidencialResidencial baixa renda – faixa 04Não se aplicaNão se aplicaNão se aplica",Mercado_Receita!$N$2:$N$1261)</f>
        <v>0</v>
      </c>
      <c r="K16" s="14">
        <f>SUMIF(Mercado_Receita!$T$2:$T$1261,"44501B1Energia convencional pré-pagamentoResidencialResidencial baixa renda – faixa 04Não se aplicaNão se aplicaNão se aplica",Mercado_Receita!$N$2:$N$1261)</f>
        <v>0</v>
      </c>
      <c r="L16" s="14">
        <f>SUMIF(Mercado_Receita!$T$2:$T$1261,"44531B1Energia convencional pré-pagamentoResidencialResidencial baixa renda – faixa 04Não se aplicaNão se aplicaNão se aplica",Mercado_Receita!$N$2:$N$1261)</f>
        <v>0</v>
      </c>
      <c r="M16" s="14">
        <f>SUMIF(Mercado_Receita!$T$2:$T$1261,"44562B1Energia convencional pré-pagamentoResidencialResidencial baixa renda – faixa 04Não se aplicaNão se aplicaNão se aplica",Mercado_Receita!$N$2:$N$1261)</f>
        <v>0</v>
      </c>
      <c r="N16" s="14">
        <f>SUMIF(Mercado_Receita!$T$2:$T$1261,"44593B1Energia convencional pré-pagamentoResidencialResidencial baixa renda – faixa 04Não se aplicaNão se aplicaNão se aplica",Mercado_Receita!$N$2:$N$1261)</f>
        <v>0</v>
      </c>
      <c r="O16" s="14">
        <f>SUMIF(Mercado_Receita!$T$2:$T$1261,"44621B1Energia convencional pré-pagamentoResidencialResidencial baixa renda – faixa 04Não se aplicaNão se aplicaNão se aplica",Mercado_Receita!$N$2:$N$1261)</f>
        <v>0</v>
      </c>
      <c r="P16" s="14">
        <f>SUMIF(Mercado_Receita!$T$2:$T$1261,"44652B1Energia convencional pré-pagamentoResidencialResidencial baixa renda – faixa 04Não se aplicaNão se aplicaNão se aplica",Mercado_Receita!$N$2:$N$1261)</f>
        <v>0</v>
      </c>
      <c r="Q16" s="14">
        <f>SUMIF(Mercado_Receita!$T$2:$T$1261,"44682B1Energia convencional pré-pagamentoResidencialResidencial baixa renda – faixa 04Não se aplicaNão se aplicaNão se aplica",Mercado_Receita!$N$2:$N$1261)</f>
        <v>0</v>
      </c>
      <c r="R16" s="14">
        <f>SUMIF(Mercado_Receita!$T$2:$T$1261,"44713B1Energia convencional pré-pagamentoResidencialResidencial baixa renda – faixa 04Não se aplicaNão se aplicaNão se aplica",Mercado_Receita!$N$2:$N$1261)</f>
        <v>0</v>
      </c>
      <c r="S16" s="14">
        <f>SUMIF(Mercado_Receita!$T$2:$T$1261,"44743B1Energia convencional pré-pagamentoResidencialResidencial baixa renda – faixa 04Não se aplicaNão se aplicaNão se aplica",Mercado_Receita!$N$2:$N$1261)</f>
        <v>0</v>
      </c>
      <c r="T16" s="14">
        <f>SUMIF(Mercado_Receita!$T$2:$T$1261,"44774B1Energia convencional pré-pagamentoResidencialResidencial baixa renda – faixa 04Não se aplicaNão se aplicaNão se aplica",Mercado_Receita!$N$2:$N$1261)</f>
        <v>0</v>
      </c>
      <c r="U16" s="14">
        <f t="shared" si="0"/>
        <v>0</v>
      </c>
      <c r="V16" s="14"/>
      <c r="W16" s="14"/>
    </row>
    <row r="17" spans="1:23" ht="11.25" customHeight="1" x14ac:dyDescent="0.25">
      <c r="A17" s="104" t="s">
        <v>43</v>
      </c>
      <c r="B17" s="104" t="s">
        <v>79</v>
      </c>
      <c r="C17" s="104" t="s">
        <v>44</v>
      </c>
      <c r="D17" s="104" t="s">
        <v>25</v>
      </c>
      <c r="E17" s="104" t="s">
        <v>25</v>
      </c>
      <c r="F17" s="104" t="s">
        <v>25</v>
      </c>
      <c r="G17" s="14" t="s">
        <v>81</v>
      </c>
      <c r="H17" s="14" t="s">
        <v>80</v>
      </c>
      <c r="I17" s="14">
        <f>SUMIF(Mercado_Receita!$T$2:$T$1261,"44440B2Energia horáriaRuralNão se aplicaNão se aplicaNão se aplicaPonta",Mercado_Receita!$N$2:$N$1261)</f>
        <v>1.9E-2</v>
      </c>
      <c r="J17" s="14">
        <f>SUMIF(Mercado_Receita!$T$2:$T$1261,"44470B2Energia horáriaRuralNão se aplicaNão se aplicaNão se aplicaPonta",Mercado_Receita!$N$2:$N$1261)</f>
        <v>0.02</v>
      </c>
      <c r="K17" s="14">
        <f>SUMIF(Mercado_Receita!$T$2:$T$1261,"44501B2Energia horáriaRuralNão se aplicaNão se aplicaNão se aplicaPonta",Mercado_Receita!$N$2:$N$1261)</f>
        <v>2.1000000000000001E-2</v>
      </c>
      <c r="L17" s="14">
        <f>SUMIF(Mercado_Receita!$T$2:$T$1261,"44531B2Energia horáriaRuralNão se aplicaNão se aplicaNão se aplicaPonta",Mercado_Receita!$N$2:$N$1261)</f>
        <v>0.02</v>
      </c>
      <c r="M17" s="14">
        <f>SUMIF(Mercado_Receita!$T$2:$T$1261,"44562B2Energia horáriaRuralNão se aplicaNão se aplicaNão se aplicaPonta",Mercado_Receita!$N$2:$N$1261)</f>
        <v>2.1999999999999999E-2</v>
      </c>
      <c r="N17" s="14">
        <f>SUMIF(Mercado_Receita!$T$2:$T$1261,"44593B2Energia horáriaRuralNão se aplicaNão se aplicaNão se aplicaPonta",Mercado_Receita!$N$2:$N$1261)</f>
        <v>2.1000000000000001E-2</v>
      </c>
      <c r="O17" s="14">
        <f>SUMIF(Mercado_Receita!$T$2:$T$1261,"44621B2Energia horáriaRuralNão se aplicaNão se aplicaNão se aplicaPonta",Mercado_Receita!$N$2:$N$1261)</f>
        <v>1.9E-2</v>
      </c>
      <c r="P17" s="14">
        <f>SUMIF(Mercado_Receita!$T$2:$T$1261,"44652B2Energia horáriaRuralNão se aplicaNão se aplicaNão se aplicaPonta",Mercado_Receita!$N$2:$N$1261)</f>
        <v>3.3000000000000002E-2</v>
      </c>
      <c r="Q17" s="14">
        <f>SUMIF(Mercado_Receita!$T$2:$T$1261,"44682B2Energia horáriaRuralNão se aplicaNão se aplicaNão se aplicaPonta",Mercado_Receita!$N$2:$N$1261)</f>
        <v>2.5999999999999999E-2</v>
      </c>
      <c r="R17" s="14">
        <f>SUMIF(Mercado_Receita!$T$2:$T$1261,"44713B2Energia horáriaRuralNão se aplicaNão se aplicaNão se aplicaPonta",Mercado_Receita!$N$2:$N$1261)</f>
        <v>2.5000000000000001E-2</v>
      </c>
      <c r="S17" s="14">
        <f>SUMIF(Mercado_Receita!$T$2:$T$1261,"44743B2Energia horáriaRuralNão se aplicaNão se aplicaNão se aplicaPonta",Mercado_Receita!$N$2:$N$1261)</f>
        <v>2.3E-2</v>
      </c>
      <c r="T17" s="14">
        <f>SUMIF(Mercado_Receita!$T$2:$T$1261,"44774B2Energia horáriaRuralNão se aplicaNão se aplicaNão se aplicaPonta",Mercado_Receita!$N$2:$N$1261)</f>
        <v>2.3E-2</v>
      </c>
      <c r="U17" s="14">
        <f t="shared" si="0"/>
        <v>0.27200000000000002</v>
      </c>
      <c r="V17" s="14"/>
      <c r="W17" s="14"/>
    </row>
    <row r="18" spans="1:23" ht="11.25" customHeight="1" x14ac:dyDescent="0.25">
      <c r="A18" s="105"/>
      <c r="B18" s="105"/>
      <c r="C18" s="105"/>
      <c r="D18" s="105"/>
      <c r="E18" s="105"/>
      <c r="F18" s="105"/>
      <c r="G18" s="14" t="s">
        <v>91</v>
      </c>
      <c r="H18" s="14" t="s">
        <v>80</v>
      </c>
      <c r="I18" s="14">
        <f>SUMIF(Mercado_Receita!$T$2:$T$1261,"44440B2Energia horáriaRuralNão se aplicaNão se aplicaNão se aplicaIntermediário",Mercado_Receita!$N$2:$N$1261)</f>
        <v>1.4E-2</v>
      </c>
      <c r="J18" s="14">
        <f>SUMIF(Mercado_Receita!$T$2:$T$1261,"44470B2Energia horáriaRuralNão se aplicaNão se aplicaNão se aplicaIntermediário",Mercado_Receita!$N$2:$N$1261)</f>
        <v>1.7000000000000001E-2</v>
      </c>
      <c r="K18" s="14">
        <f>SUMIF(Mercado_Receita!$T$2:$T$1261,"44501B2Energia horáriaRuralNão se aplicaNão se aplicaNão se aplicaIntermediário",Mercado_Receita!$N$2:$N$1261)</f>
        <v>1.6E-2</v>
      </c>
      <c r="L18" s="14">
        <f>SUMIF(Mercado_Receita!$T$2:$T$1261,"44531B2Energia horáriaRuralNão se aplicaNão se aplicaNão se aplicaIntermediário",Mercado_Receita!$N$2:$N$1261)</f>
        <v>1.4999999999999999E-2</v>
      </c>
      <c r="M18" s="14">
        <f>SUMIF(Mercado_Receita!$T$2:$T$1261,"44562B2Energia horáriaRuralNão se aplicaNão se aplicaNão se aplicaIntermediário",Mercado_Receita!$N$2:$N$1261)</f>
        <v>1.7000000000000001E-2</v>
      </c>
      <c r="N18" s="14">
        <f>SUMIF(Mercado_Receita!$T$2:$T$1261,"44593B2Energia horáriaRuralNão se aplicaNão se aplicaNão se aplicaIntermediário",Mercado_Receita!$N$2:$N$1261)</f>
        <v>1.6E-2</v>
      </c>
      <c r="O18" s="14">
        <f>SUMIF(Mercado_Receita!$T$2:$T$1261,"44621B2Energia horáriaRuralNão se aplicaNão se aplicaNão se aplicaIntermediário",Mercado_Receita!$N$2:$N$1261)</f>
        <v>1.6E-2</v>
      </c>
      <c r="P18" s="14">
        <f>SUMIF(Mercado_Receita!$T$2:$T$1261,"44652B2Energia horáriaRuralNão se aplicaNão se aplicaNão se aplicaIntermediário",Mercado_Receita!$N$2:$N$1261)</f>
        <v>2.1999999999999999E-2</v>
      </c>
      <c r="Q18" s="14">
        <f>SUMIF(Mercado_Receita!$T$2:$T$1261,"44682B2Energia horáriaRuralNão se aplicaNão se aplicaNão se aplicaIntermediário",Mercado_Receita!$N$2:$N$1261)</f>
        <v>2.3E-2</v>
      </c>
      <c r="R18" s="14">
        <f>SUMIF(Mercado_Receita!$T$2:$T$1261,"44713B2Energia horáriaRuralNão se aplicaNão se aplicaNão se aplicaIntermediário",Mercado_Receita!$N$2:$N$1261)</f>
        <v>1.7000000000000001E-2</v>
      </c>
      <c r="S18" s="14">
        <f>SUMIF(Mercado_Receita!$T$2:$T$1261,"44743B2Energia horáriaRuralNão se aplicaNão se aplicaNão se aplicaIntermediário",Mercado_Receita!$N$2:$N$1261)</f>
        <v>1.4E-2</v>
      </c>
      <c r="T18" s="14">
        <f>SUMIF(Mercado_Receita!$T$2:$T$1261,"44774B2Energia horáriaRuralNão se aplicaNão se aplicaNão se aplicaIntermediário",Mercado_Receita!$N$2:$N$1261)</f>
        <v>1.4E-2</v>
      </c>
      <c r="U18" s="14">
        <f t="shared" si="0"/>
        <v>0.20100000000000001</v>
      </c>
      <c r="V18" s="14"/>
      <c r="W18" s="14"/>
    </row>
    <row r="19" spans="1:23" ht="11.25" customHeight="1" x14ac:dyDescent="0.25">
      <c r="A19" s="105"/>
      <c r="B19" s="105"/>
      <c r="C19" s="105"/>
      <c r="D19" s="105"/>
      <c r="E19" s="105"/>
      <c r="F19" s="105"/>
      <c r="G19" s="14" t="s">
        <v>82</v>
      </c>
      <c r="H19" s="14" t="s">
        <v>80</v>
      </c>
      <c r="I19" s="14">
        <f>SUMIF(Mercado_Receita!$T$2:$T$1261,"44440B2Energia horáriaRuralNão se aplicaNão se aplicaNão se aplicaFora ponta",Mercado_Receita!$N$2:$N$1261)</f>
        <v>0.439</v>
      </c>
      <c r="J19" s="14">
        <f>SUMIF(Mercado_Receita!$T$2:$T$1261,"44470B2Energia horáriaRuralNão se aplicaNão se aplicaNão se aplicaFora ponta",Mercado_Receita!$N$2:$N$1261)</f>
        <v>0.68200000000000005</v>
      </c>
      <c r="K19" s="14">
        <f>SUMIF(Mercado_Receita!$T$2:$T$1261,"44501B2Energia horáriaRuralNão se aplicaNão se aplicaNão se aplicaFora ponta",Mercado_Receita!$N$2:$N$1261)</f>
        <v>0.317</v>
      </c>
      <c r="L19" s="14">
        <f>SUMIF(Mercado_Receita!$T$2:$T$1261,"44531B2Energia horáriaRuralNão se aplicaNão se aplicaNão se aplicaFora ponta",Mercado_Receita!$N$2:$N$1261)</f>
        <v>0.26200000000000001</v>
      </c>
      <c r="M19" s="14">
        <f>SUMIF(Mercado_Receita!$T$2:$T$1261,"44562B2Energia horáriaRuralNão se aplicaNão se aplicaNão se aplicaFora ponta",Mercado_Receita!$N$2:$N$1261)</f>
        <v>0.42599999999999999</v>
      </c>
      <c r="N19" s="14">
        <f>SUMIF(Mercado_Receita!$T$2:$T$1261,"44593B2Energia horáriaRuralNão se aplicaNão se aplicaNão se aplicaFora ponta",Mercado_Receita!$N$2:$N$1261)</f>
        <v>0.34699999999999998</v>
      </c>
      <c r="O19" s="14">
        <f>SUMIF(Mercado_Receita!$T$2:$T$1261,"44621B2Energia horáriaRuralNão se aplicaNão se aplicaNão se aplicaFora ponta",Mercado_Receita!$N$2:$N$1261)</f>
        <v>0.35099999999999998</v>
      </c>
      <c r="P19" s="14">
        <f>SUMIF(Mercado_Receita!$T$2:$T$1261,"44652B2Energia horáriaRuralNão se aplicaNão se aplicaNão se aplicaFora ponta",Mercado_Receita!$N$2:$N$1261)</f>
        <v>0.30199999999999999</v>
      </c>
      <c r="Q19" s="14">
        <f>SUMIF(Mercado_Receita!$T$2:$T$1261,"44682B2Energia horáriaRuralNão se aplicaNão se aplicaNão se aplicaFora ponta",Mercado_Receita!$N$2:$N$1261)</f>
        <v>0.54500000000000004</v>
      </c>
      <c r="R19" s="14">
        <f>SUMIF(Mercado_Receita!$T$2:$T$1261,"44713B2Energia horáriaRuralNão se aplicaNão se aplicaNão se aplicaFora ponta",Mercado_Receita!$N$2:$N$1261)</f>
        <v>0.55300000000000005</v>
      </c>
      <c r="S19" s="14">
        <f>SUMIF(Mercado_Receita!$T$2:$T$1261,"44743B2Energia horáriaRuralNão se aplicaNão se aplicaNão se aplicaFora ponta",Mercado_Receita!$N$2:$N$1261)</f>
        <v>0.59</v>
      </c>
      <c r="T19" s="14">
        <f>SUMIF(Mercado_Receita!$T$2:$T$1261,"44774B2Energia horáriaRuralNão se aplicaNão se aplicaNão se aplicaFora ponta",Mercado_Receita!$N$2:$N$1261)</f>
        <v>0.59</v>
      </c>
      <c r="U19" s="14">
        <f t="shared" si="0"/>
        <v>5.4039999999999999</v>
      </c>
      <c r="V19" s="14"/>
      <c r="W19" s="14"/>
    </row>
    <row r="20" spans="1:23" ht="11.25" customHeight="1" x14ac:dyDescent="0.25">
      <c r="A20" s="105"/>
      <c r="B20" s="13" t="s">
        <v>92</v>
      </c>
      <c r="C20" s="13" t="s">
        <v>44</v>
      </c>
      <c r="D20" s="13" t="s">
        <v>25</v>
      </c>
      <c r="E20" s="13" t="s">
        <v>25</v>
      </c>
      <c r="F20" s="13" t="s">
        <v>25</v>
      </c>
      <c r="G20" s="14" t="s">
        <v>86</v>
      </c>
      <c r="H20" s="14" t="s">
        <v>80</v>
      </c>
      <c r="I20" s="14">
        <f>SUMIF(Mercado_Receita!$T$2:$T$1261,"44440B2Energia convencionalRuralNão se aplicaNão se aplicaNão se aplicaNão se aplica",Mercado_Receita!$N$2:$N$1261)</f>
        <v>21074.960999999999</v>
      </c>
      <c r="J20" s="14">
        <f>SUMIF(Mercado_Receita!$T$2:$T$1261,"44470B2Energia convencionalRuralNão se aplicaNão se aplicaNão se aplicaNão se aplica",Mercado_Receita!$N$2:$N$1261)</f>
        <v>21418.967000000004</v>
      </c>
      <c r="K20" s="14">
        <f>SUMIF(Mercado_Receita!$T$2:$T$1261,"44501B2Energia convencionalRuralNão se aplicaNão se aplicaNão se aplicaNão se aplica",Mercado_Receita!$N$2:$N$1261)</f>
        <v>9354.5949999999993</v>
      </c>
      <c r="L20" s="14">
        <f>SUMIF(Mercado_Receita!$T$2:$T$1261,"44531B2Energia convencionalRuralNão se aplicaNão se aplicaNão se aplicaNão se aplica",Mercado_Receita!$N$2:$N$1261)</f>
        <v>8290.7029999999995</v>
      </c>
      <c r="M20" s="14">
        <f>SUMIF(Mercado_Receita!$T$2:$T$1261,"44562B2Energia convencionalRuralNão se aplicaNão se aplicaNão se aplicaNão se aplica",Mercado_Receita!$N$2:$N$1261)</f>
        <v>8610.9929999999986</v>
      </c>
      <c r="N20" s="14">
        <f>SUMIF(Mercado_Receita!$T$2:$T$1261,"44593B2Energia convencionalRuralNão se aplicaNão se aplicaNão se aplicaNão se aplica",Mercado_Receita!$N$2:$N$1261)</f>
        <v>11581.906999999999</v>
      </c>
      <c r="O20" s="14">
        <f>SUMIF(Mercado_Receita!$T$2:$T$1261,"44621B2Energia convencionalRuralNão se aplicaNão se aplicaNão se aplicaNão se aplica",Mercado_Receita!$N$2:$N$1261)</f>
        <v>9985.1660000000011</v>
      </c>
      <c r="P20" s="14">
        <f>SUMIF(Mercado_Receita!$T$2:$T$1261,"44652B2Energia convencionalRuralNão se aplicaNão se aplicaNão se aplicaNão se aplica",Mercado_Receita!$N$2:$N$1261)</f>
        <v>14637.785999999998</v>
      </c>
      <c r="Q20" s="14">
        <f>SUMIF(Mercado_Receita!$T$2:$T$1261,"44682B2Energia convencionalRuralNão se aplicaNão se aplicaNão se aplicaNão se aplica",Mercado_Receita!$N$2:$N$1261)</f>
        <v>20276.927999999996</v>
      </c>
      <c r="R20" s="14">
        <f>SUMIF(Mercado_Receita!$T$2:$T$1261,"44713B2Energia convencionalRuralNão se aplicaNão se aplicaNão se aplicaNão se aplica",Mercado_Receita!$N$2:$N$1261)</f>
        <v>18874.582999999999</v>
      </c>
      <c r="S20" s="14">
        <f>SUMIF(Mercado_Receita!$T$2:$T$1261,"44743B2Energia convencionalRuralNão se aplicaNão se aplicaNão se aplicaNão se aplica",Mercado_Receita!$N$2:$N$1261)</f>
        <v>19665.840000000004</v>
      </c>
      <c r="T20" s="14">
        <f>SUMIF(Mercado_Receita!$T$2:$T$1261,"44774B2Energia convencionalRuralNão se aplicaNão se aplicaNão se aplicaNão se aplica",Mercado_Receita!$N$2:$N$1261)</f>
        <v>19665.840000000004</v>
      </c>
      <c r="U20" s="14">
        <f t="shared" si="0"/>
        <v>183438.26899999997</v>
      </c>
      <c r="V20" s="14"/>
      <c r="W20" s="14"/>
    </row>
    <row r="21" spans="1:23" ht="11.25" customHeight="1" x14ac:dyDescent="0.25">
      <c r="A21" s="105"/>
      <c r="B21" s="104" t="s">
        <v>79</v>
      </c>
      <c r="C21" s="104" t="s">
        <v>44</v>
      </c>
      <c r="D21" s="104" t="s">
        <v>95</v>
      </c>
      <c r="E21" s="104" t="s">
        <v>25</v>
      </c>
      <c r="F21" s="104" t="s">
        <v>25</v>
      </c>
      <c r="G21" s="14" t="s">
        <v>81</v>
      </c>
      <c r="H21" s="14" t="s">
        <v>80</v>
      </c>
      <c r="I21" s="14">
        <f>SUMIF(Mercado_Receita!$T$2:$T$1261,"44440B2Energia horáriaRuralCooperativa de eletrificação ruralNão se aplicaNão se aplicaPonta",Mercado_Receita!$N$2:$N$1261)</f>
        <v>0</v>
      </c>
      <c r="J21" s="14">
        <f>SUMIF(Mercado_Receita!$T$2:$T$1261,"44470B2Energia horáriaRuralCooperativa de eletrificação ruralNão se aplicaNão se aplicaPonta",Mercado_Receita!$N$2:$N$1261)</f>
        <v>0</v>
      </c>
      <c r="K21" s="14">
        <f>SUMIF(Mercado_Receita!$T$2:$T$1261,"44501B2Energia horáriaRuralCooperativa de eletrificação ruralNão se aplicaNão se aplicaPonta",Mercado_Receita!$N$2:$N$1261)</f>
        <v>0</v>
      </c>
      <c r="L21" s="14">
        <f>SUMIF(Mercado_Receita!$T$2:$T$1261,"44531B2Energia horáriaRuralCooperativa de eletrificação ruralNão se aplicaNão se aplicaPonta",Mercado_Receita!$N$2:$N$1261)</f>
        <v>0</v>
      </c>
      <c r="M21" s="14">
        <f>SUMIF(Mercado_Receita!$T$2:$T$1261,"44562B2Energia horáriaRuralCooperativa de eletrificação ruralNão se aplicaNão se aplicaPonta",Mercado_Receita!$N$2:$N$1261)</f>
        <v>0</v>
      </c>
      <c r="N21" s="14">
        <f>SUMIF(Mercado_Receita!$T$2:$T$1261,"44593B2Energia horáriaRuralCooperativa de eletrificação ruralNão se aplicaNão se aplicaPonta",Mercado_Receita!$N$2:$N$1261)</f>
        <v>0</v>
      </c>
      <c r="O21" s="14">
        <f>SUMIF(Mercado_Receita!$T$2:$T$1261,"44621B2Energia horáriaRuralCooperativa de eletrificação ruralNão se aplicaNão se aplicaPonta",Mercado_Receita!$N$2:$N$1261)</f>
        <v>0</v>
      </c>
      <c r="P21" s="14">
        <f>SUMIF(Mercado_Receita!$T$2:$T$1261,"44652B2Energia horáriaRuralCooperativa de eletrificação ruralNão se aplicaNão se aplicaPonta",Mercado_Receita!$N$2:$N$1261)</f>
        <v>0</v>
      </c>
      <c r="Q21" s="14">
        <f>SUMIF(Mercado_Receita!$T$2:$T$1261,"44682B2Energia horáriaRuralCooperativa de eletrificação ruralNão se aplicaNão se aplicaPonta",Mercado_Receita!$N$2:$N$1261)</f>
        <v>0</v>
      </c>
      <c r="R21" s="14">
        <f>SUMIF(Mercado_Receita!$T$2:$T$1261,"44713B2Energia horáriaRuralCooperativa de eletrificação ruralNão se aplicaNão se aplicaPonta",Mercado_Receita!$N$2:$N$1261)</f>
        <v>0</v>
      </c>
      <c r="S21" s="14">
        <f>SUMIF(Mercado_Receita!$T$2:$T$1261,"44743B2Energia horáriaRuralCooperativa de eletrificação ruralNão se aplicaNão se aplicaPonta",Mercado_Receita!$N$2:$N$1261)</f>
        <v>0</v>
      </c>
      <c r="T21" s="14">
        <f>SUMIF(Mercado_Receita!$T$2:$T$1261,"44774B2Energia horáriaRuralCooperativa de eletrificação ruralNão se aplicaNão se aplicaPonta",Mercado_Receita!$N$2:$N$1261)</f>
        <v>0</v>
      </c>
      <c r="U21" s="14">
        <f t="shared" si="0"/>
        <v>0</v>
      </c>
      <c r="V21" s="14"/>
      <c r="W21" s="14"/>
    </row>
    <row r="22" spans="1:23" ht="11.25" customHeight="1" x14ac:dyDescent="0.25">
      <c r="A22" s="105"/>
      <c r="B22" s="105"/>
      <c r="C22" s="105"/>
      <c r="D22" s="105"/>
      <c r="E22" s="105"/>
      <c r="F22" s="105"/>
      <c r="G22" s="14" t="s">
        <v>91</v>
      </c>
      <c r="H22" s="14" t="s">
        <v>80</v>
      </c>
      <c r="I22" s="14">
        <f>SUMIF(Mercado_Receita!$T$2:$T$1261,"44440B2Energia horáriaRuralCooperativa de eletrificação ruralNão se aplicaNão se aplicaIntermediário",Mercado_Receita!$N$2:$N$1261)</f>
        <v>0</v>
      </c>
      <c r="J22" s="14">
        <f>SUMIF(Mercado_Receita!$T$2:$T$1261,"44470B2Energia horáriaRuralCooperativa de eletrificação ruralNão se aplicaNão se aplicaIntermediário",Mercado_Receita!$N$2:$N$1261)</f>
        <v>0</v>
      </c>
      <c r="K22" s="14">
        <f>SUMIF(Mercado_Receita!$T$2:$T$1261,"44501B2Energia horáriaRuralCooperativa de eletrificação ruralNão se aplicaNão se aplicaIntermediário",Mercado_Receita!$N$2:$N$1261)</f>
        <v>0</v>
      </c>
      <c r="L22" s="14">
        <f>SUMIF(Mercado_Receita!$T$2:$T$1261,"44531B2Energia horáriaRuralCooperativa de eletrificação ruralNão se aplicaNão se aplicaIntermediário",Mercado_Receita!$N$2:$N$1261)</f>
        <v>0</v>
      </c>
      <c r="M22" s="14">
        <f>SUMIF(Mercado_Receita!$T$2:$T$1261,"44562B2Energia horáriaRuralCooperativa de eletrificação ruralNão se aplicaNão se aplicaIntermediário",Mercado_Receita!$N$2:$N$1261)</f>
        <v>0</v>
      </c>
      <c r="N22" s="14">
        <f>SUMIF(Mercado_Receita!$T$2:$T$1261,"44593B2Energia horáriaRuralCooperativa de eletrificação ruralNão se aplicaNão se aplicaIntermediário",Mercado_Receita!$N$2:$N$1261)</f>
        <v>0</v>
      </c>
      <c r="O22" s="14">
        <f>SUMIF(Mercado_Receita!$T$2:$T$1261,"44621B2Energia horáriaRuralCooperativa de eletrificação ruralNão se aplicaNão se aplicaIntermediário",Mercado_Receita!$N$2:$N$1261)</f>
        <v>0</v>
      </c>
      <c r="P22" s="14">
        <f>SUMIF(Mercado_Receita!$T$2:$T$1261,"44652B2Energia horáriaRuralCooperativa de eletrificação ruralNão se aplicaNão se aplicaIntermediário",Mercado_Receita!$N$2:$N$1261)</f>
        <v>0</v>
      </c>
      <c r="Q22" s="14">
        <f>SUMIF(Mercado_Receita!$T$2:$T$1261,"44682B2Energia horáriaRuralCooperativa de eletrificação ruralNão se aplicaNão se aplicaIntermediário",Mercado_Receita!$N$2:$N$1261)</f>
        <v>0</v>
      </c>
      <c r="R22" s="14">
        <f>SUMIF(Mercado_Receita!$T$2:$T$1261,"44713B2Energia horáriaRuralCooperativa de eletrificação ruralNão se aplicaNão se aplicaIntermediário",Mercado_Receita!$N$2:$N$1261)</f>
        <v>0</v>
      </c>
      <c r="S22" s="14">
        <f>SUMIF(Mercado_Receita!$T$2:$T$1261,"44743B2Energia horáriaRuralCooperativa de eletrificação ruralNão se aplicaNão se aplicaIntermediário",Mercado_Receita!$N$2:$N$1261)</f>
        <v>0</v>
      </c>
      <c r="T22" s="14">
        <f>SUMIF(Mercado_Receita!$T$2:$T$1261,"44774B2Energia horáriaRuralCooperativa de eletrificação ruralNão se aplicaNão se aplicaIntermediário",Mercado_Receita!$N$2:$N$1261)</f>
        <v>0</v>
      </c>
      <c r="U22" s="14">
        <f t="shared" si="0"/>
        <v>0</v>
      </c>
      <c r="V22" s="14"/>
      <c r="W22" s="14"/>
    </row>
    <row r="23" spans="1:23" ht="11.25" customHeight="1" x14ac:dyDescent="0.25">
      <c r="A23" s="105"/>
      <c r="B23" s="105"/>
      <c r="C23" s="105"/>
      <c r="D23" s="105"/>
      <c r="E23" s="105"/>
      <c r="F23" s="105"/>
      <c r="G23" s="14" t="s">
        <v>82</v>
      </c>
      <c r="H23" s="14" t="s">
        <v>80</v>
      </c>
      <c r="I23" s="14">
        <f>SUMIF(Mercado_Receita!$T$2:$T$1261,"44440B2Energia horáriaRuralCooperativa de eletrificação ruralNão se aplicaNão se aplicaFora ponta",Mercado_Receita!$N$2:$N$1261)</f>
        <v>0</v>
      </c>
      <c r="J23" s="14">
        <f>SUMIF(Mercado_Receita!$T$2:$T$1261,"44470B2Energia horáriaRuralCooperativa de eletrificação ruralNão se aplicaNão se aplicaFora ponta",Mercado_Receita!$N$2:$N$1261)</f>
        <v>0</v>
      </c>
      <c r="K23" s="14">
        <f>SUMIF(Mercado_Receita!$T$2:$T$1261,"44501B2Energia horáriaRuralCooperativa de eletrificação ruralNão se aplicaNão se aplicaFora ponta",Mercado_Receita!$N$2:$N$1261)</f>
        <v>0</v>
      </c>
      <c r="L23" s="14">
        <f>SUMIF(Mercado_Receita!$T$2:$T$1261,"44531B2Energia horáriaRuralCooperativa de eletrificação ruralNão se aplicaNão se aplicaFora ponta",Mercado_Receita!$N$2:$N$1261)</f>
        <v>0</v>
      </c>
      <c r="M23" s="14">
        <f>SUMIF(Mercado_Receita!$T$2:$T$1261,"44562B2Energia horáriaRuralCooperativa de eletrificação ruralNão se aplicaNão se aplicaFora ponta",Mercado_Receita!$N$2:$N$1261)</f>
        <v>0</v>
      </c>
      <c r="N23" s="14">
        <f>SUMIF(Mercado_Receita!$T$2:$T$1261,"44593B2Energia horáriaRuralCooperativa de eletrificação ruralNão se aplicaNão se aplicaFora ponta",Mercado_Receita!$N$2:$N$1261)</f>
        <v>0</v>
      </c>
      <c r="O23" s="14">
        <f>SUMIF(Mercado_Receita!$T$2:$T$1261,"44621B2Energia horáriaRuralCooperativa de eletrificação ruralNão se aplicaNão se aplicaFora ponta",Mercado_Receita!$N$2:$N$1261)</f>
        <v>0</v>
      </c>
      <c r="P23" s="14">
        <f>SUMIF(Mercado_Receita!$T$2:$T$1261,"44652B2Energia horáriaRuralCooperativa de eletrificação ruralNão se aplicaNão se aplicaFora ponta",Mercado_Receita!$N$2:$N$1261)</f>
        <v>0</v>
      </c>
      <c r="Q23" s="14">
        <f>SUMIF(Mercado_Receita!$T$2:$T$1261,"44682B2Energia horáriaRuralCooperativa de eletrificação ruralNão se aplicaNão se aplicaFora ponta",Mercado_Receita!$N$2:$N$1261)</f>
        <v>0</v>
      </c>
      <c r="R23" s="14">
        <f>SUMIF(Mercado_Receita!$T$2:$T$1261,"44713B2Energia horáriaRuralCooperativa de eletrificação ruralNão se aplicaNão se aplicaFora ponta",Mercado_Receita!$N$2:$N$1261)</f>
        <v>0</v>
      </c>
      <c r="S23" s="14">
        <f>SUMIF(Mercado_Receita!$T$2:$T$1261,"44743B2Energia horáriaRuralCooperativa de eletrificação ruralNão se aplicaNão se aplicaFora ponta",Mercado_Receita!$N$2:$N$1261)</f>
        <v>0</v>
      </c>
      <c r="T23" s="14">
        <f>SUMIF(Mercado_Receita!$T$2:$T$1261,"44774B2Energia horáriaRuralCooperativa de eletrificação ruralNão se aplicaNão se aplicaFora ponta",Mercado_Receita!$N$2:$N$1261)</f>
        <v>0</v>
      </c>
      <c r="U23" s="14">
        <f t="shared" si="0"/>
        <v>0</v>
      </c>
      <c r="V23" s="14"/>
      <c r="W23" s="14"/>
    </row>
    <row r="24" spans="1:23" ht="11.25" customHeight="1" x14ac:dyDescent="0.25">
      <c r="A24" s="105"/>
      <c r="B24" s="13" t="s">
        <v>92</v>
      </c>
      <c r="C24" s="13" t="s">
        <v>44</v>
      </c>
      <c r="D24" s="13" t="s">
        <v>95</v>
      </c>
      <c r="E24" s="13" t="s">
        <v>25</v>
      </c>
      <c r="F24" s="13" t="s">
        <v>25</v>
      </c>
      <c r="G24" s="14" t="s">
        <v>86</v>
      </c>
      <c r="H24" s="14" t="s">
        <v>80</v>
      </c>
      <c r="I24" s="14">
        <f>SUMIF(Mercado_Receita!$T$2:$T$1261,"44440B2Energia convencionalRuralCooperativa de eletrificação ruralNão se aplicaNão se aplicaNão se aplica",Mercado_Receita!$N$2:$N$1261)</f>
        <v>0</v>
      </c>
      <c r="J24" s="14">
        <f>SUMIF(Mercado_Receita!$T$2:$T$1261,"44470B2Energia convencionalRuralCooperativa de eletrificação ruralNão se aplicaNão se aplicaNão se aplica",Mercado_Receita!$N$2:$N$1261)</f>
        <v>0</v>
      </c>
      <c r="K24" s="14">
        <f>SUMIF(Mercado_Receita!$T$2:$T$1261,"44501B2Energia convencionalRuralCooperativa de eletrificação ruralNão se aplicaNão se aplicaNão se aplica",Mercado_Receita!$N$2:$N$1261)</f>
        <v>0</v>
      </c>
      <c r="L24" s="14">
        <f>SUMIF(Mercado_Receita!$T$2:$T$1261,"44531B2Energia convencionalRuralCooperativa de eletrificação ruralNão se aplicaNão se aplicaNão se aplica",Mercado_Receita!$N$2:$N$1261)</f>
        <v>0</v>
      </c>
      <c r="M24" s="14">
        <f>SUMIF(Mercado_Receita!$T$2:$T$1261,"44562B2Energia convencionalRuralCooperativa de eletrificação ruralNão se aplicaNão se aplicaNão se aplica",Mercado_Receita!$N$2:$N$1261)</f>
        <v>0</v>
      </c>
      <c r="N24" s="14">
        <f>SUMIF(Mercado_Receita!$T$2:$T$1261,"44593B2Energia convencionalRuralCooperativa de eletrificação ruralNão se aplicaNão se aplicaNão se aplica",Mercado_Receita!$N$2:$N$1261)</f>
        <v>0</v>
      </c>
      <c r="O24" s="14">
        <f>SUMIF(Mercado_Receita!$T$2:$T$1261,"44621B2Energia convencionalRuralCooperativa de eletrificação ruralNão se aplicaNão se aplicaNão se aplica",Mercado_Receita!$N$2:$N$1261)</f>
        <v>0</v>
      </c>
      <c r="P24" s="14">
        <f>SUMIF(Mercado_Receita!$T$2:$T$1261,"44652B2Energia convencionalRuralCooperativa de eletrificação ruralNão se aplicaNão se aplicaNão se aplica",Mercado_Receita!$N$2:$N$1261)</f>
        <v>0</v>
      </c>
      <c r="Q24" s="14">
        <f>SUMIF(Mercado_Receita!$T$2:$T$1261,"44682B2Energia convencionalRuralCooperativa de eletrificação ruralNão se aplicaNão se aplicaNão se aplica",Mercado_Receita!$N$2:$N$1261)</f>
        <v>0</v>
      </c>
      <c r="R24" s="14">
        <f>SUMIF(Mercado_Receita!$T$2:$T$1261,"44713B2Energia convencionalRuralCooperativa de eletrificação ruralNão se aplicaNão se aplicaNão se aplica",Mercado_Receita!$N$2:$N$1261)</f>
        <v>0</v>
      </c>
      <c r="S24" s="14">
        <f>SUMIF(Mercado_Receita!$T$2:$T$1261,"44743B2Energia convencionalRuralCooperativa de eletrificação ruralNão se aplicaNão se aplicaNão se aplica",Mercado_Receita!$N$2:$N$1261)</f>
        <v>0</v>
      </c>
      <c r="T24" s="14">
        <f>SUMIF(Mercado_Receita!$T$2:$T$1261,"44774B2Energia convencionalRuralCooperativa de eletrificação ruralNão se aplicaNão se aplicaNão se aplica",Mercado_Receita!$N$2:$N$1261)</f>
        <v>0</v>
      </c>
      <c r="U24" s="14">
        <f t="shared" si="0"/>
        <v>0</v>
      </c>
      <c r="V24" s="14"/>
      <c r="W24" s="14"/>
    </row>
    <row r="25" spans="1:23" ht="11.25" customHeight="1" x14ac:dyDescent="0.25">
      <c r="A25" s="105"/>
      <c r="B25" s="104" t="s">
        <v>79</v>
      </c>
      <c r="C25" s="104" t="s">
        <v>44</v>
      </c>
      <c r="D25" s="104" t="s">
        <v>55</v>
      </c>
      <c r="E25" s="104" t="s">
        <v>25</v>
      </c>
      <c r="F25" s="104" t="s">
        <v>25</v>
      </c>
      <c r="G25" s="14" t="s">
        <v>81</v>
      </c>
      <c r="H25" s="14" t="s">
        <v>80</v>
      </c>
      <c r="I25" s="14">
        <f>SUMIF(Mercado_Receita!$T$2:$T$1261,"44440B2Energia horáriaRuralServiço público de irrigação ruralNão se aplicaNão se aplicaPonta",Mercado_Receita!$N$2:$N$1261)</f>
        <v>0</v>
      </c>
      <c r="J25" s="14">
        <f>SUMIF(Mercado_Receita!$T$2:$T$1261,"44470B2Energia horáriaRuralServiço público de irrigação ruralNão se aplicaNão se aplicaPonta",Mercado_Receita!$N$2:$N$1261)</f>
        <v>0</v>
      </c>
      <c r="K25" s="14">
        <f>SUMIF(Mercado_Receita!$T$2:$T$1261,"44501B2Energia horáriaRuralServiço público de irrigação ruralNão se aplicaNão se aplicaPonta",Mercado_Receita!$N$2:$N$1261)</f>
        <v>0</v>
      </c>
      <c r="L25" s="14">
        <f>SUMIF(Mercado_Receita!$T$2:$T$1261,"44531B2Energia horáriaRuralServiço público de irrigação ruralNão se aplicaNão se aplicaPonta",Mercado_Receita!$N$2:$N$1261)</f>
        <v>0</v>
      </c>
      <c r="M25" s="14">
        <f>SUMIF(Mercado_Receita!$T$2:$T$1261,"44562B2Energia horáriaRuralServiço público de irrigação ruralNão se aplicaNão se aplicaPonta",Mercado_Receita!$N$2:$N$1261)</f>
        <v>0</v>
      </c>
      <c r="N25" s="14">
        <f>SUMIF(Mercado_Receita!$T$2:$T$1261,"44593B2Energia horáriaRuralServiço público de irrigação ruralNão se aplicaNão se aplicaPonta",Mercado_Receita!$N$2:$N$1261)</f>
        <v>0</v>
      </c>
      <c r="O25" s="14">
        <f>SUMIF(Mercado_Receita!$T$2:$T$1261,"44621B2Energia horáriaRuralServiço público de irrigação ruralNão se aplicaNão se aplicaPonta",Mercado_Receita!$N$2:$N$1261)</f>
        <v>0</v>
      </c>
      <c r="P25" s="14">
        <f>SUMIF(Mercado_Receita!$T$2:$T$1261,"44652B2Energia horáriaRuralServiço público de irrigação ruralNão se aplicaNão se aplicaPonta",Mercado_Receita!$N$2:$N$1261)</f>
        <v>0</v>
      </c>
      <c r="Q25" s="14">
        <f>SUMIF(Mercado_Receita!$T$2:$T$1261,"44682B2Energia horáriaRuralServiço público de irrigação ruralNão se aplicaNão se aplicaPonta",Mercado_Receita!$N$2:$N$1261)</f>
        <v>0</v>
      </c>
      <c r="R25" s="14">
        <f>SUMIF(Mercado_Receita!$T$2:$T$1261,"44713B2Energia horáriaRuralServiço público de irrigação ruralNão se aplicaNão se aplicaPonta",Mercado_Receita!$N$2:$N$1261)</f>
        <v>0</v>
      </c>
      <c r="S25" s="14">
        <f>SUMIF(Mercado_Receita!$T$2:$T$1261,"44743B2Energia horáriaRuralServiço público de irrigação ruralNão se aplicaNão se aplicaPonta",Mercado_Receita!$N$2:$N$1261)</f>
        <v>0</v>
      </c>
      <c r="T25" s="14">
        <f>SUMIF(Mercado_Receita!$T$2:$T$1261,"44774B2Energia horáriaRuralServiço público de irrigação ruralNão se aplicaNão se aplicaPonta",Mercado_Receita!$N$2:$N$1261)</f>
        <v>0</v>
      </c>
      <c r="U25" s="14">
        <f t="shared" si="0"/>
        <v>0</v>
      </c>
      <c r="V25" s="14"/>
      <c r="W25" s="14"/>
    </row>
    <row r="26" spans="1:23" ht="11.25" customHeight="1" x14ac:dyDescent="0.25">
      <c r="A26" s="105"/>
      <c r="B26" s="105"/>
      <c r="C26" s="105"/>
      <c r="D26" s="105"/>
      <c r="E26" s="105"/>
      <c r="F26" s="105"/>
      <c r="G26" s="14" t="s">
        <v>91</v>
      </c>
      <c r="H26" s="14" t="s">
        <v>80</v>
      </c>
      <c r="I26" s="14">
        <f>SUMIF(Mercado_Receita!$T$2:$T$1261,"44440B2Energia horáriaRuralServiço público de irrigação ruralNão se aplicaNão se aplicaIntermediário",Mercado_Receita!$N$2:$N$1261)</f>
        <v>0</v>
      </c>
      <c r="J26" s="14">
        <f>SUMIF(Mercado_Receita!$T$2:$T$1261,"44470B2Energia horáriaRuralServiço público de irrigação ruralNão se aplicaNão se aplicaIntermediário",Mercado_Receita!$N$2:$N$1261)</f>
        <v>0</v>
      </c>
      <c r="K26" s="14">
        <f>SUMIF(Mercado_Receita!$T$2:$T$1261,"44501B2Energia horáriaRuralServiço público de irrigação ruralNão se aplicaNão se aplicaIntermediário",Mercado_Receita!$N$2:$N$1261)</f>
        <v>0</v>
      </c>
      <c r="L26" s="14">
        <f>SUMIF(Mercado_Receita!$T$2:$T$1261,"44531B2Energia horáriaRuralServiço público de irrigação ruralNão se aplicaNão se aplicaIntermediário",Mercado_Receita!$N$2:$N$1261)</f>
        <v>0</v>
      </c>
      <c r="M26" s="14">
        <f>SUMIF(Mercado_Receita!$T$2:$T$1261,"44562B2Energia horáriaRuralServiço público de irrigação ruralNão se aplicaNão se aplicaIntermediário",Mercado_Receita!$N$2:$N$1261)</f>
        <v>0</v>
      </c>
      <c r="N26" s="14">
        <f>SUMIF(Mercado_Receita!$T$2:$T$1261,"44593B2Energia horáriaRuralServiço público de irrigação ruralNão se aplicaNão se aplicaIntermediário",Mercado_Receita!$N$2:$N$1261)</f>
        <v>0</v>
      </c>
      <c r="O26" s="14">
        <f>SUMIF(Mercado_Receita!$T$2:$T$1261,"44621B2Energia horáriaRuralServiço público de irrigação ruralNão se aplicaNão se aplicaIntermediário",Mercado_Receita!$N$2:$N$1261)</f>
        <v>0</v>
      </c>
      <c r="P26" s="14">
        <f>SUMIF(Mercado_Receita!$T$2:$T$1261,"44652B2Energia horáriaRuralServiço público de irrigação ruralNão se aplicaNão se aplicaIntermediário",Mercado_Receita!$N$2:$N$1261)</f>
        <v>0</v>
      </c>
      <c r="Q26" s="14">
        <f>SUMIF(Mercado_Receita!$T$2:$T$1261,"44682B2Energia horáriaRuralServiço público de irrigação ruralNão se aplicaNão se aplicaIntermediário",Mercado_Receita!$N$2:$N$1261)</f>
        <v>0</v>
      </c>
      <c r="R26" s="14">
        <f>SUMIF(Mercado_Receita!$T$2:$T$1261,"44713B2Energia horáriaRuralServiço público de irrigação ruralNão se aplicaNão se aplicaIntermediário",Mercado_Receita!$N$2:$N$1261)</f>
        <v>0</v>
      </c>
      <c r="S26" s="14">
        <f>SUMIF(Mercado_Receita!$T$2:$T$1261,"44743B2Energia horáriaRuralServiço público de irrigação ruralNão se aplicaNão se aplicaIntermediário",Mercado_Receita!$N$2:$N$1261)</f>
        <v>0</v>
      </c>
      <c r="T26" s="14">
        <f>SUMIF(Mercado_Receita!$T$2:$T$1261,"44774B2Energia horáriaRuralServiço público de irrigação ruralNão se aplicaNão se aplicaIntermediário",Mercado_Receita!$N$2:$N$1261)</f>
        <v>0</v>
      </c>
      <c r="U26" s="14">
        <f t="shared" si="0"/>
        <v>0</v>
      </c>
      <c r="V26" s="14"/>
      <c r="W26" s="14"/>
    </row>
    <row r="27" spans="1:23" ht="11.25" customHeight="1" x14ac:dyDescent="0.25">
      <c r="A27" s="105"/>
      <c r="B27" s="105"/>
      <c r="C27" s="105"/>
      <c r="D27" s="105"/>
      <c r="E27" s="105"/>
      <c r="F27" s="105"/>
      <c r="G27" s="14" t="s">
        <v>82</v>
      </c>
      <c r="H27" s="14" t="s">
        <v>80</v>
      </c>
      <c r="I27" s="14">
        <f>SUMIF(Mercado_Receita!$T$2:$T$1261,"44440B2Energia horáriaRuralServiço público de irrigação ruralNão se aplicaNão se aplicaFora ponta",Mercado_Receita!$N$2:$N$1261)</f>
        <v>0</v>
      </c>
      <c r="J27" s="14">
        <f>SUMIF(Mercado_Receita!$T$2:$T$1261,"44470B2Energia horáriaRuralServiço público de irrigação ruralNão se aplicaNão se aplicaFora ponta",Mercado_Receita!$N$2:$N$1261)</f>
        <v>0</v>
      </c>
      <c r="K27" s="14">
        <f>SUMIF(Mercado_Receita!$T$2:$T$1261,"44501B2Energia horáriaRuralServiço público de irrigação ruralNão se aplicaNão se aplicaFora ponta",Mercado_Receita!$N$2:$N$1261)</f>
        <v>0</v>
      </c>
      <c r="L27" s="14">
        <f>SUMIF(Mercado_Receita!$T$2:$T$1261,"44531B2Energia horáriaRuralServiço público de irrigação ruralNão se aplicaNão se aplicaFora ponta",Mercado_Receita!$N$2:$N$1261)</f>
        <v>0</v>
      </c>
      <c r="M27" s="14">
        <f>SUMIF(Mercado_Receita!$T$2:$T$1261,"44562B2Energia horáriaRuralServiço público de irrigação ruralNão se aplicaNão se aplicaFora ponta",Mercado_Receita!$N$2:$N$1261)</f>
        <v>0</v>
      </c>
      <c r="N27" s="14">
        <f>SUMIF(Mercado_Receita!$T$2:$T$1261,"44593B2Energia horáriaRuralServiço público de irrigação ruralNão se aplicaNão se aplicaFora ponta",Mercado_Receita!$N$2:$N$1261)</f>
        <v>0</v>
      </c>
      <c r="O27" s="14">
        <f>SUMIF(Mercado_Receita!$T$2:$T$1261,"44621B2Energia horáriaRuralServiço público de irrigação ruralNão se aplicaNão se aplicaFora ponta",Mercado_Receita!$N$2:$N$1261)</f>
        <v>0</v>
      </c>
      <c r="P27" s="14">
        <f>SUMIF(Mercado_Receita!$T$2:$T$1261,"44652B2Energia horáriaRuralServiço público de irrigação ruralNão se aplicaNão se aplicaFora ponta",Mercado_Receita!$N$2:$N$1261)</f>
        <v>0</v>
      </c>
      <c r="Q27" s="14">
        <f>SUMIF(Mercado_Receita!$T$2:$T$1261,"44682B2Energia horáriaRuralServiço público de irrigação ruralNão se aplicaNão se aplicaFora ponta",Mercado_Receita!$N$2:$N$1261)</f>
        <v>0</v>
      </c>
      <c r="R27" s="14">
        <f>SUMIF(Mercado_Receita!$T$2:$T$1261,"44713B2Energia horáriaRuralServiço público de irrigação ruralNão se aplicaNão se aplicaFora ponta",Mercado_Receita!$N$2:$N$1261)</f>
        <v>0</v>
      </c>
      <c r="S27" s="14">
        <f>SUMIF(Mercado_Receita!$T$2:$T$1261,"44743B2Energia horáriaRuralServiço público de irrigação ruralNão se aplicaNão se aplicaFora ponta",Mercado_Receita!$N$2:$N$1261)</f>
        <v>0</v>
      </c>
      <c r="T27" s="14">
        <f>SUMIF(Mercado_Receita!$T$2:$T$1261,"44774B2Energia horáriaRuralServiço público de irrigação ruralNão se aplicaNão se aplicaFora ponta",Mercado_Receita!$N$2:$N$1261)</f>
        <v>0</v>
      </c>
      <c r="U27" s="14">
        <f t="shared" si="0"/>
        <v>0</v>
      </c>
      <c r="V27" s="14"/>
      <c r="W27" s="14"/>
    </row>
    <row r="28" spans="1:23" ht="11.25" customHeight="1" x14ac:dyDescent="0.25">
      <c r="A28" s="105"/>
      <c r="B28" s="13" t="s">
        <v>92</v>
      </c>
      <c r="C28" s="13" t="s">
        <v>44</v>
      </c>
      <c r="D28" s="13" t="s">
        <v>55</v>
      </c>
      <c r="E28" s="13" t="s">
        <v>25</v>
      </c>
      <c r="F28" s="13" t="s">
        <v>25</v>
      </c>
      <c r="G28" s="14" t="s">
        <v>86</v>
      </c>
      <c r="H28" s="14" t="s">
        <v>80</v>
      </c>
      <c r="I28" s="14">
        <f>SUMIF(Mercado_Receita!$T$2:$T$1261,"44440B2Energia convencionalRuralServiço público de irrigação ruralNão se aplicaNão se aplicaNão se aplica",Mercado_Receita!$N$2:$N$1261)</f>
        <v>5.3710000000000004</v>
      </c>
      <c r="J28" s="14">
        <f>SUMIF(Mercado_Receita!$T$2:$T$1261,"44470B2Energia convencionalRuralServiço público de irrigação ruralNão se aplicaNão se aplicaNão se aplica",Mercado_Receita!$N$2:$N$1261)</f>
        <v>6.7240000000000002</v>
      </c>
      <c r="K28" s="14">
        <f>SUMIF(Mercado_Receita!$T$2:$T$1261,"44501B2Energia convencionalRuralServiço público de irrigação ruralNão se aplicaNão se aplicaNão se aplica",Mercado_Receita!$N$2:$N$1261)</f>
        <v>0.14100000000000001</v>
      </c>
      <c r="L28" s="14">
        <f>SUMIF(Mercado_Receita!$T$2:$T$1261,"44531B2Energia convencionalRuralServiço público de irrigação ruralNão se aplicaNão se aplicaNão se aplica",Mercado_Receita!$N$2:$N$1261)</f>
        <v>0.77900000000000003</v>
      </c>
      <c r="M28" s="14">
        <f>SUMIF(Mercado_Receita!$T$2:$T$1261,"44562B2Energia convencionalRuralServiço público de irrigação ruralNão se aplicaNão se aplicaNão se aplica",Mercado_Receita!$N$2:$N$1261)</f>
        <v>2.0640000000000001</v>
      </c>
      <c r="N28" s="14">
        <f>SUMIF(Mercado_Receita!$T$2:$T$1261,"44593B2Energia convencionalRuralServiço público de irrigação ruralNão se aplicaNão se aplicaNão se aplica",Mercado_Receita!$N$2:$N$1261)</f>
        <v>2.9220000000000002</v>
      </c>
      <c r="O28" s="14">
        <f>SUMIF(Mercado_Receita!$T$2:$T$1261,"44621B2Energia convencionalRuralServiço público de irrigação ruralNão se aplicaNão se aplicaNão se aplica",Mercado_Receita!$N$2:$N$1261)</f>
        <v>0.61199999999999999</v>
      </c>
      <c r="P28" s="14">
        <f>SUMIF(Mercado_Receita!$T$2:$T$1261,"44652B2Energia convencionalRuralServiço público de irrigação ruralNão se aplicaNão se aplicaNão se aplica",Mercado_Receita!$N$2:$N$1261)</f>
        <v>3.9359999999999999</v>
      </c>
      <c r="Q28" s="14">
        <f>SUMIF(Mercado_Receita!$T$2:$T$1261,"44682B2Energia convencionalRuralServiço público de irrigação ruralNão se aplicaNão se aplicaNão se aplica",Mercado_Receita!$N$2:$N$1261)</f>
        <v>4.6740000000000004</v>
      </c>
      <c r="R28" s="14">
        <f>SUMIF(Mercado_Receita!$T$2:$T$1261,"44713B2Energia convencionalRuralServiço público de irrigação ruralNão se aplicaNão se aplicaNão se aplica",Mercado_Receita!$N$2:$N$1261)</f>
        <v>0.98399999999999999</v>
      </c>
      <c r="S28" s="14">
        <f>SUMIF(Mercado_Receita!$T$2:$T$1261,"44743B2Energia convencionalRuralServiço público de irrigação ruralNão se aplicaNão se aplicaNão se aplica",Mercado_Receita!$N$2:$N$1261)</f>
        <v>0.86099999999999999</v>
      </c>
      <c r="T28" s="14">
        <f>SUMIF(Mercado_Receita!$T$2:$T$1261,"44774B2Energia convencionalRuralServiço público de irrigação ruralNão se aplicaNão se aplicaNão se aplica",Mercado_Receita!$N$2:$N$1261)</f>
        <v>0.86099999999999999</v>
      </c>
      <c r="U28" s="14">
        <f t="shared" si="0"/>
        <v>29.929000000000002</v>
      </c>
      <c r="V28" s="14"/>
      <c r="W28" s="14"/>
    </row>
    <row r="29" spans="1:23" ht="11.25" customHeight="1" x14ac:dyDescent="0.25">
      <c r="A29" s="105"/>
      <c r="B29" s="104" t="s">
        <v>93</v>
      </c>
      <c r="C29" s="104" t="s">
        <v>44</v>
      </c>
      <c r="D29" s="13" t="s">
        <v>25</v>
      </c>
      <c r="E29" s="13" t="s">
        <v>25</v>
      </c>
      <c r="F29" s="13" t="s">
        <v>25</v>
      </c>
      <c r="G29" s="14" t="s">
        <v>86</v>
      </c>
      <c r="H29" s="14" t="s">
        <v>80</v>
      </c>
      <c r="I29" s="14">
        <f>SUMIF(Mercado_Receita!$T$2:$T$1261,"44440B2Energia convencional pré-pagamentoRuralNão se aplicaNão se aplicaNão se aplicaNão se aplica",Mercado_Receita!$N$2:$N$1261)</f>
        <v>0</v>
      </c>
      <c r="J29" s="14">
        <f>SUMIF(Mercado_Receita!$T$2:$T$1261,"44470B2Energia convencional pré-pagamentoRuralNão se aplicaNão se aplicaNão se aplicaNão se aplica",Mercado_Receita!$N$2:$N$1261)</f>
        <v>0</v>
      </c>
      <c r="K29" s="14">
        <f>SUMIF(Mercado_Receita!$T$2:$T$1261,"44501B2Energia convencional pré-pagamentoRuralNão se aplicaNão se aplicaNão se aplicaNão se aplica",Mercado_Receita!$N$2:$N$1261)</f>
        <v>0</v>
      </c>
      <c r="L29" s="14">
        <f>SUMIF(Mercado_Receita!$T$2:$T$1261,"44531B2Energia convencional pré-pagamentoRuralNão se aplicaNão se aplicaNão se aplicaNão se aplica",Mercado_Receita!$N$2:$N$1261)</f>
        <v>0</v>
      </c>
      <c r="M29" s="14">
        <f>SUMIF(Mercado_Receita!$T$2:$T$1261,"44562B2Energia convencional pré-pagamentoRuralNão se aplicaNão se aplicaNão se aplicaNão se aplica",Mercado_Receita!$N$2:$N$1261)</f>
        <v>0</v>
      </c>
      <c r="N29" s="14">
        <f>SUMIF(Mercado_Receita!$T$2:$T$1261,"44593B2Energia convencional pré-pagamentoRuralNão se aplicaNão se aplicaNão se aplicaNão se aplica",Mercado_Receita!$N$2:$N$1261)</f>
        <v>0</v>
      </c>
      <c r="O29" s="14">
        <f>SUMIF(Mercado_Receita!$T$2:$T$1261,"44621B2Energia convencional pré-pagamentoRuralNão se aplicaNão se aplicaNão se aplicaNão se aplica",Mercado_Receita!$N$2:$N$1261)</f>
        <v>0</v>
      </c>
      <c r="P29" s="14">
        <f>SUMIF(Mercado_Receita!$T$2:$T$1261,"44652B2Energia convencional pré-pagamentoRuralNão se aplicaNão se aplicaNão se aplicaNão se aplica",Mercado_Receita!$N$2:$N$1261)</f>
        <v>0</v>
      </c>
      <c r="Q29" s="14">
        <f>SUMIF(Mercado_Receita!$T$2:$T$1261,"44682B2Energia convencional pré-pagamentoRuralNão se aplicaNão se aplicaNão se aplicaNão se aplica",Mercado_Receita!$N$2:$N$1261)</f>
        <v>0</v>
      </c>
      <c r="R29" s="14">
        <f>SUMIF(Mercado_Receita!$T$2:$T$1261,"44713B2Energia convencional pré-pagamentoRuralNão se aplicaNão se aplicaNão se aplicaNão se aplica",Mercado_Receita!$N$2:$N$1261)</f>
        <v>0</v>
      </c>
      <c r="S29" s="14">
        <f>SUMIF(Mercado_Receita!$T$2:$T$1261,"44743B2Energia convencional pré-pagamentoRuralNão se aplicaNão se aplicaNão se aplicaNão se aplica",Mercado_Receita!$N$2:$N$1261)</f>
        <v>0</v>
      </c>
      <c r="T29" s="14">
        <f>SUMIF(Mercado_Receita!$T$2:$T$1261,"44774B2Energia convencional pré-pagamentoRuralNão se aplicaNão se aplicaNão se aplicaNão se aplica",Mercado_Receita!$N$2:$N$1261)</f>
        <v>0</v>
      </c>
      <c r="U29" s="14">
        <f t="shared" si="0"/>
        <v>0</v>
      </c>
      <c r="V29" s="14"/>
      <c r="W29" s="14"/>
    </row>
    <row r="30" spans="1:23" ht="11.25" customHeight="1" x14ac:dyDescent="0.25">
      <c r="A30" s="105"/>
      <c r="B30" s="105"/>
      <c r="C30" s="105"/>
      <c r="D30" s="13" t="s">
        <v>95</v>
      </c>
      <c r="E30" s="13" t="s">
        <v>25</v>
      </c>
      <c r="F30" s="13" t="s">
        <v>25</v>
      </c>
      <c r="G30" s="14" t="s">
        <v>86</v>
      </c>
      <c r="H30" s="14" t="s">
        <v>80</v>
      </c>
      <c r="I30" s="14">
        <f>SUMIF(Mercado_Receita!$T$2:$T$1261,"44440B2Energia convencional pré-pagamentoRuralCooperativa de eletrificação ruralNão se aplicaNão se aplicaNão se aplica",Mercado_Receita!$N$2:$N$1261)</f>
        <v>0</v>
      </c>
      <c r="J30" s="14">
        <f>SUMIF(Mercado_Receita!$T$2:$T$1261,"44470B2Energia convencional pré-pagamentoRuralCooperativa de eletrificação ruralNão se aplicaNão se aplicaNão se aplica",Mercado_Receita!$N$2:$N$1261)</f>
        <v>0</v>
      </c>
      <c r="K30" s="14">
        <f>SUMIF(Mercado_Receita!$T$2:$T$1261,"44501B2Energia convencional pré-pagamentoRuralCooperativa de eletrificação ruralNão se aplicaNão se aplicaNão se aplica",Mercado_Receita!$N$2:$N$1261)</f>
        <v>0</v>
      </c>
      <c r="L30" s="14">
        <f>SUMIF(Mercado_Receita!$T$2:$T$1261,"44531B2Energia convencional pré-pagamentoRuralCooperativa de eletrificação ruralNão se aplicaNão se aplicaNão se aplica",Mercado_Receita!$N$2:$N$1261)</f>
        <v>0</v>
      </c>
      <c r="M30" s="14">
        <f>SUMIF(Mercado_Receita!$T$2:$T$1261,"44562B2Energia convencional pré-pagamentoRuralCooperativa de eletrificação ruralNão se aplicaNão se aplicaNão se aplica",Mercado_Receita!$N$2:$N$1261)</f>
        <v>0</v>
      </c>
      <c r="N30" s="14">
        <f>SUMIF(Mercado_Receita!$T$2:$T$1261,"44593B2Energia convencional pré-pagamentoRuralCooperativa de eletrificação ruralNão se aplicaNão se aplicaNão se aplica",Mercado_Receita!$N$2:$N$1261)</f>
        <v>0</v>
      </c>
      <c r="O30" s="14">
        <f>SUMIF(Mercado_Receita!$T$2:$T$1261,"44621B2Energia convencional pré-pagamentoRuralCooperativa de eletrificação ruralNão se aplicaNão se aplicaNão se aplica",Mercado_Receita!$N$2:$N$1261)</f>
        <v>0</v>
      </c>
      <c r="P30" s="14">
        <f>SUMIF(Mercado_Receita!$T$2:$T$1261,"44652B2Energia convencional pré-pagamentoRuralCooperativa de eletrificação ruralNão se aplicaNão se aplicaNão se aplica",Mercado_Receita!$N$2:$N$1261)</f>
        <v>0</v>
      </c>
      <c r="Q30" s="14">
        <f>SUMIF(Mercado_Receita!$T$2:$T$1261,"44682B2Energia convencional pré-pagamentoRuralCooperativa de eletrificação ruralNão se aplicaNão se aplicaNão se aplica",Mercado_Receita!$N$2:$N$1261)</f>
        <v>0</v>
      </c>
      <c r="R30" s="14">
        <f>SUMIF(Mercado_Receita!$T$2:$T$1261,"44713B2Energia convencional pré-pagamentoRuralCooperativa de eletrificação ruralNão se aplicaNão se aplicaNão se aplica",Mercado_Receita!$N$2:$N$1261)</f>
        <v>0</v>
      </c>
      <c r="S30" s="14">
        <f>SUMIF(Mercado_Receita!$T$2:$T$1261,"44743B2Energia convencional pré-pagamentoRuralCooperativa de eletrificação ruralNão se aplicaNão se aplicaNão se aplica",Mercado_Receita!$N$2:$N$1261)</f>
        <v>0</v>
      </c>
      <c r="T30" s="14">
        <f>SUMIF(Mercado_Receita!$T$2:$T$1261,"44774B2Energia convencional pré-pagamentoRuralCooperativa de eletrificação ruralNão se aplicaNão se aplicaNão se aplica",Mercado_Receita!$N$2:$N$1261)</f>
        <v>0</v>
      </c>
      <c r="U30" s="14">
        <f t="shared" si="0"/>
        <v>0</v>
      </c>
      <c r="V30" s="14"/>
      <c r="W30" s="14"/>
    </row>
    <row r="31" spans="1:23" ht="11.25" customHeight="1" x14ac:dyDescent="0.25">
      <c r="A31" s="105"/>
      <c r="B31" s="105"/>
      <c r="C31" s="105"/>
      <c r="D31" s="13" t="s">
        <v>55</v>
      </c>
      <c r="E31" s="13" t="s">
        <v>25</v>
      </c>
      <c r="F31" s="13" t="s">
        <v>25</v>
      </c>
      <c r="G31" s="14" t="s">
        <v>86</v>
      </c>
      <c r="H31" s="14" t="s">
        <v>80</v>
      </c>
      <c r="I31" s="14">
        <f>SUMIF(Mercado_Receita!$T$2:$T$1261,"44440B2Energia convencional pré-pagamentoRuralServiço público de irrigação ruralNão se aplicaNão se aplicaNão se aplica",Mercado_Receita!$N$2:$N$1261)</f>
        <v>0</v>
      </c>
      <c r="J31" s="14">
        <f>SUMIF(Mercado_Receita!$T$2:$T$1261,"44470B2Energia convencional pré-pagamentoRuralServiço público de irrigação ruralNão se aplicaNão se aplicaNão se aplica",Mercado_Receita!$N$2:$N$1261)</f>
        <v>0</v>
      </c>
      <c r="K31" s="14">
        <f>SUMIF(Mercado_Receita!$T$2:$T$1261,"44501B2Energia convencional pré-pagamentoRuralServiço público de irrigação ruralNão se aplicaNão se aplicaNão se aplica",Mercado_Receita!$N$2:$N$1261)</f>
        <v>0</v>
      </c>
      <c r="L31" s="14">
        <f>SUMIF(Mercado_Receita!$T$2:$T$1261,"44531B2Energia convencional pré-pagamentoRuralServiço público de irrigação ruralNão se aplicaNão se aplicaNão se aplica",Mercado_Receita!$N$2:$N$1261)</f>
        <v>0</v>
      </c>
      <c r="M31" s="14">
        <f>SUMIF(Mercado_Receita!$T$2:$T$1261,"44562B2Energia convencional pré-pagamentoRuralServiço público de irrigação ruralNão se aplicaNão se aplicaNão se aplica",Mercado_Receita!$N$2:$N$1261)</f>
        <v>0</v>
      </c>
      <c r="N31" s="14">
        <f>SUMIF(Mercado_Receita!$T$2:$T$1261,"44593B2Energia convencional pré-pagamentoRuralServiço público de irrigação ruralNão se aplicaNão se aplicaNão se aplica",Mercado_Receita!$N$2:$N$1261)</f>
        <v>0</v>
      </c>
      <c r="O31" s="14">
        <f>SUMIF(Mercado_Receita!$T$2:$T$1261,"44621B2Energia convencional pré-pagamentoRuralServiço público de irrigação ruralNão se aplicaNão se aplicaNão se aplica",Mercado_Receita!$N$2:$N$1261)</f>
        <v>0</v>
      </c>
      <c r="P31" s="14">
        <f>SUMIF(Mercado_Receita!$T$2:$T$1261,"44652B2Energia convencional pré-pagamentoRuralServiço público de irrigação ruralNão se aplicaNão se aplicaNão se aplica",Mercado_Receita!$N$2:$N$1261)</f>
        <v>0</v>
      </c>
      <c r="Q31" s="14">
        <f>SUMIF(Mercado_Receita!$T$2:$T$1261,"44682B2Energia convencional pré-pagamentoRuralServiço público de irrigação ruralNão se aplicaNão se aplicaNão se aplica",Mercado_Receita!$N$2:$N$1261)</f>
        <v>0</v>
      </c>
      <c r="R31" s="14">
        <f>SUMIF(Mercado_Receita!$T$2:$T$1261,"44713B2Energia convencional pré-pagamentoRuralServiço público de irrigação ruralNão se aplicaNão se aplicaNão se aplica",Mercado_Receita!$N$2:$N$1261)</f>
        <v>0</v>
      </c>
      <c r="S31" s="14">
        <f>SUMIF(Mercado_Receita!$T$2:$T$1261,"44743B2Energia convencional pré-pagamentoRuralServiço público de irrigação ruralNão se aplicaNão se aplicaNão se aplica",Mercado_Receita!$N$2:$N$1261)</f>
        <v>0</v>
      </c>
      <c r="T31" s="14">
        <f>SUMIF(Mercado_Receita!$T$2:$T$1261,"44774B2Energia convencional pré-pagamentoRuralServiço público de irrigação ruralNão se aplicaNão se aplicaNão se aplica",Mercado_Receita!$N$2:$N$1261)</f>
        <v>0</v>
      </c>
      <c r="U31" s="14">
        <f t="shared" si="0"/>
        <v>0</v>
      </c>
      <c r="V31" s="14"/>
      <c r="W31" s="14"/>
    </row>
    <row r="32" spans="1:23" ht="11.25" customHeight="1" x14ac:dyDescent="0.25">
      <c r="A32" s="104" t="s">
        <v>37</v>
      </c>
      <c r="B32" s="104" t="s">
        <v>79</v>
      </c>
      <c r="C32" s="104" t="s">
        <v>25</v>
      </c>
      <c r="D32" s="104" t="s">
        <v>25</v>
      </c>
      <c r="E32" s="104" t="s">
        <v>25</v>
      </c>
      <c r="F32" s="104" t="s">
        <v>25</v>
      </c>
      <c r="G32" s="14" t="s">
        <v>81</v>
      </c>
      <c r="H32" s="14" t="s">
        <v>80</v>
      </c>
      <c r="I32" s="14">
        <f>SUMIF(Mercado_Receita!$T$2:$T$1261,"44440B3Energia horáriaNão se aplicaNão se aplicaNão se aplicaNão se aplicaPonta",Mercado_Receita!$N$2:$N$1261)</f>
        <v>4.72</v>
      </c>
      <c r="J32" s="14">
        <f>SUMIF(Mercado_Receita!$T$2:$T$1261,"44470B3Energia horáriaNão se aplicaNão se aplicaNão se aplicaNão se aplicaPonta",Mercado_Receita!$N$2:$N$1261)</f>
        <v>4.7830000000000013</v>
      </c>
      <c r="K32" s="14">
        <f>SUMIF(Mercado_Receita!$T$2:$T$1261,"44501B3Energia horáriaNão se aplicaNão se aplicaNão se aplicaNão se aplicaPonta",Mercado_Receita!$N$2:$N$1261)</f>
        <v>5.0809999999999995</v>
      </c>
      <c r="L32" s="14">
        <f>SUMIF(Mercado_Receita!$T$2:$T$1261,"44531B3Energia horáriaNão se aplicaNão se aplicaNão se aplicaNão se aplicaPonta",Mercado_Receita!$N$2:$N$1261)</f>
        <v>5.1619999999999999</v>
      </c>
      <c r="M32" s="14">
        <f>SUMIF(Mercado_Receita!$T$2:$T$1261,"44562B3Energia horáriaNão se aplicaNão se aplicaNão se aplicaNão se aplicaPonta",Mercado_Receita!$N$2:$N$1261)</f>
        <v>4.867</v>
      </c>
      <c r="N32" s="14">
        <f>SUMIF(Mercado_Receita!$T$2:$T$1261,"44593B3Energia horáriaNão se aplicaNão se aplicaNão se aplicaNão se aplicaPonta",Mercado_Receita!$N$2:$N$1261)</f>
        <v>4.8689999999999998</v>
      </c>
      <c r="O32" s="14">
        <f>SUMIF(Mercado_Receita!$T$2:$T$1261,"44621B3Energia horáriaNão se aplicaNão se aplicaNão se aplicaNão se aplicaPonta",Mercado_Receita!$N$2:$N$1261)</f>
        <v>5.1310000000000002</v>
      </c>
      <c r="P32" s="14">
        <f>SUMIF(Mercado_Receita!$T$2:$T$1261,"44652B3Energia horáriaNão se aplicaNão se aplicaNão se aplicaNão se aplicaPonta",Mercado_Receita!$N$2:$N$1261)</f>
        <v>4.8359999999999994</v>
      </c>
      <c r="Q32" s="14">
        <f>SUMIF(Mercado_Receita!$T$2:$T$1261,"44682B3Energia horáriaNão se aplicaNão se aplicaNão se aplicaNão se aplicaPonta",Mercado_Receita!$N$2:$N$1261)</f>
        <v>4.6639999999999997</v>
      </c>
      <c r="R32" s="14">
        <f>SUMIF(Mercado_Receita!$T$2:$T$1261,"44713B3Energia horáriaNão se aplicaNão se aplicaNão se aplicaNão se aplicaPonta",Mercado_Receita!$N$2:$N$1261)</f>
        <v>4.1599999999999993</v>
      </c>
      <c r="S32" s="14">
        <f>SUMIF(Mercado_Receita!$T$2:$T$1261,"44743B3Energia horáriaNão se aplicaNão se aplicaNão se aplicaNão se aplicaPonta",Mercado_Receita!$N$2:$N$1261)</f>
        <v>4.444</v>
      </c>
      <c r="T32" s="14">
        <f>SUMIF(Mercado_Receita!$T$2:$T$1261,"44774B3Energia horáriaNão se aplicaNão se aplicaNão se aplicaNão se aplicaPonta",Mercado_Receita!$N$2:$N$1261)</f>
        <v>4.444</v>
      </c>
      <c r="U32" s="14">
        <f t="shared" si="0"/>
        <v>57.161000000000001</v>
      </c>
      <c r="V32" s="14"/>
      <c r="W32" s="14"/>
    </row>
    <row r="33" spans="1:23" ht="11.25" customHeight="1" x14ac:dyDescent="0.25">
      <c r="A33" s="105"/>
      <c r="B33" s="105"/>
      <c r="C33" s="105"/>
      <c r="D33" s="105"/>
      <c r="E33" s="105"/>
      <c r="F33" s="105"/>
      <c r="G33" s="14" t="s">
        <v>91</v>
      </c>
      <c r="H33" s="14" t="s">
        <v>80</v>
      </c>
      <c r="I33" s="14">
        <f>SUMIF(Mercado_Receita!$T$2:$T$1261,"44440B3Energia horáriaNão se aplicaNão se aplicaNão se aplicaNão se aplicaIntermediário",Mercado_Receita!$N$2:$N$1261)</f>
        <v>3.6949999999999998</v>
      </c>
      <c r="J33" s="14">
        <f>SUMIF(Mercado_Receita!$T$2:$T$1261,"44470B3Energia horáriaNão se aplicaNão se aplicaNão se aplicaNão se aplicaIntermediário",Mercado_Receita!$N$2:$N$1261)</f>
        <v>4.101</v>
      </c>
      <c r="K33" s="14">
        <f>SUMIF(Mercado_Receita!$T$2:$T$1261,"44501B3Energia horáriaNão se aplicaNão se aplicaNão se aplicaNão se aplicaIntermediário",Mercado_Receita!$N$2:$N$1261)</f>
        <v>8.1879999999999988</v>
      </c>
      <c r="L33" s="14">
        <f>SUMIF(Mercado_Receita!$T$2:$T$1261,"44531B3Energia horáriaNão se aplicaNão se aplicaNão se aplicaNão se aplicaIntermediário",Mercado_Receita!$N$2:$N$1261)</f>
        <v>1.4710000000000001</v>
      </c>
      <c r="M33" s="14">
        <f>SUMIF(Mercado_Receita!$T$2:$T$1261,"44562B3Energia horáriaNão se aplicaNão se aplicaNão se aplicaNão se aplicaIntermediário",Mercado_Receita!$N$2:$N$1261)</f>
        <v>4.2540000000000004</v>
      </c>
      <c r="N33" s="14">
        <f>SUMIF(Mercado_Receita!$T$2:$T$1261,"44593B3Energia horáriaNão se aplicaNão se aplicaNão se aplicaNão se aplicaIntermediário",Mercado_Receita!$N$2:$N$1261)</f>
        <v>6.0949999999999998</v>
      </c>
      <c r="O33" s="14">
        <f>SUMIF(Mercado_Receita!$T$2:$T$1261,"44621B3Energia horáriaNão se aplicaNão se aplicaNão se aplicaNão se aplicaIntermediário",Mercado_Receita!$N$2:$N$1261)</f>
        <v>4.7290000000000001</v>
      </c>
      <c r="P33" s="14">
        <f>SUMIF(Mercado_Receita!$T$2:$T$1261,"44652B3Energia horáriaNão se aplicaNão se aplicaNão se aplicaNão se aplicaIntermediário",Mercado_Receita!$N$2:$N$1261)</f>
        <v>4.6769999999999996</v>
      </c>
      <c r="Q33" s="14">
        <f>SUMIF(Mercado_Receita!$T$2:$T$1261,"44682B3Energia horáriaNão se aplicaNão se aplicaNão se aplicaNão se aplicaIntermediário",Mercado_Receita!$N$2:$N$1261)</f>
        <v>4.2640000000000002</v>
      </c>
      <c r="R33" s="14">
        <f>SUMIF(Mercado_Receita!$T$2:$T$1261,"44713B3Energia horáriaNão se aplicaNão se aplicaNão se aplicaNão se aplicaIntermediário",Mercado_Receita!$N$2:$N$1261)</f>
        <v>3.4580000000000006</v>
      </c>
      <c r="S33" s="14">
        <f>SUMIF(Mercado_Receita!$T$2:$T$1261,"44743B3Energia horáriaNão se aplicaNão se aplicaNão se aplicaNão se aplicaIntermediário",Mercado_Receita!$N$2:$N$1261)</f>
        <v>3.3569999999999998</v>
      </c>
      <c r="T33" s="14">
        <f>SUMIF(Mercado_Receita!$T$2:$T$1261,"44774B3Energia horáriaNão se aplicaNão se aplicaNão se aplicaNão se aplicaIntermediário",Mercado_Receita!$N$2:$N$1261)</f>
        <v>3.3569999999999998</v>
      </c>
      <c r="U33" s="14">
        <f t="shared" si="0"/>
        <v>51.646000000000001</v>
      </c>
      <c r="V33" s="14"/>
      <c r="W33" s="14"/>
    </row>
    <row r="34" spans="1:23" ht="11.25" customHeight="1" x14ac:dyDescent="0.25">
      <c r="A34" s="105"/>
      <c r="B34" s="105"/>
      <c r="C34" s="105"/>
      <c r="D34" s="105"/>
      <c r="E34" s="105"/>
      <c r="F34" s="105"/>
      <c r="G34" s="14" t="s">
        <v>82</v>
      </c>
      <c r="H34" s="14" t="s">
        <v>80</v>
      </c>
      <c r="I34" s="14">
        <f>SUMIF(Mercado_Receita!$T$2:$T$1261,"44440B3Energia horáriaNão se aplicaNão se aplicaNão se aplicaNão se aplicaFora ponta",Mercado_Receita!$N$2:$N$1261)</f>
        <v>76.623000000000005</v>
      </c>
      <c r="J34" s="14">
        <f>SUMIF(Mercado_Receita!$T$2:$T$1261,"44470B3Energia horáriaNão se aplicaNão se aplicaNão se aplicaNão se aplicaFora ponta",Mercado_Receita!$N$2:$N$1261)</f>
        <v>86.22699999999999</v>
      </c>
      <c r="K34" s="14">
        <f>SUMIF(Mercado_Receita!$T$2:$T$1261,"44501B3Energia horáriaNão se aplicaNão se aplicaNão se aplicaNão se aplicaFora ponta",Mercado_Receita!$N$2:$N$1261)</f>
        <v>79.688999999999993</v>
      </c>
      <c r="L34" s="14">
        <f>SUMIF(Mercado_Receita!$T$2:$T$1261,"44531B3Energia horáriaNão se aplicaNão se aplicaNão se aplicaNão se aplicaFora ponta",Mercado_Receita!$N$2:$N$1261)</f>
        <v>91.483000000000018</v>
      </c>
      <c r="M34" s="14">
        <f>SUMIF(Mercado_Receita!$T$2:$T$1261,"44562B3Energia horáriaNão se aplicaNão se aplicaNão se aplicaNão se aplicaFora ponta",Mercado_Receita!$N$2:$N$1261)</f>
        <v>79.234999999999999</v>
      </c>
      <c r="N34" s="14">
        <f>SUMIF(Mercado_Receita!$T$2:$T$1261,"44593B3Energia horáriaNão se aplicaNão se aplicaNão se aplicaNão se aplicaFora ponta",Mercado_Receita!$N$2:$N$1261)</f>
        <v>100.12000000000002</v>
      </c>
      <c r="O34" s="14">
        <f>SUMIF(Mercado_Receita!$T$2:$T$1261,"44621B3Energia horáriaNão se aplicaNão se aplicaNão se aplicaNão se aplicaFora ponta",Mercado_Receita!$N$2:$N$1261)</f>
        <v>97.676000000000016</v>
      </c>
      <c r="P34" s="14">
        <f>SUMIF(Mercado_Receita!$T$2:$T$1261,"44652B3Energia horáriaNão se aplicaNão se aplicaNão se aplicaNão se aplicaFora ponta",Mercado_Receita!$N$2:$N$1261)</f>
        <v>96.573999999999998</v>
      </c>
      <c r="Q34" s="14">
        <f>SUMIF(Mercado_Receita!$T$2:$T$1261,"44682B3Energia horáriaNão se aplicaNão se aplicaNão se aplicaNão se aplicaFora ponta",Mercado_Receita!$N$2:$N$1261)</f>
        <v>82.466999999999985</v>
      </c>
      <c r="R34" s="14">
        <f>SUMIF(Mercado_Receita!$T$2:$T$1261,"44713B3Energia horáriaNão se aplicaNão se aplicaNão se aplicaNão se aplicaFora ponta",Mercado_Receita!$N$2:$N$1261)</f>
        <v>63.61</v>
      </c>
      <c r="S34" s="14">
        <f>SUMIF(Mercado_Receita!$T$2:$T$1261,"44743B3Energia horáriaNão se aplicaNão se aplicaNão se aplicaNão se aplicaFora ponta",Mercado_Receita!$N$2:$N$1261)</f>
        <v>64.507999999999996</v>
      </c>
      <c r="T34" s="14">
        <f>SUMIF(Mercado_Receita!$T$2:$T$1261,"44774B3Energia horáriaNão se aplicaNão se aplicaNão se aplicaNão se aplicaFora ponta",Mercado_Receita!$N$2:$N$1261)</f>
        <v>64.507999999999996</v>
      </c>
      <c r="U34" s="14">
        <f t="shared" si="0"/>
        <v>982.72000000000014</v>
      </c>
      <c r="V34" s="14"/>
      <c r="W34" s="14"/>
    </row>
    <row r="35" spans="1:23" ht="11.25" customHeight="1" x14ac:dyDescent="0.25">
      <c r="A35" s="105"/>
      <c r="B35" s="13" t="s">
        <v>92</v>
      </c>
      <c r="C35" s="13" t="s">
        <v>25</v>
      </c>
      <c r="D35" s="13" t="s">
        <v>25</v>
      </c>
      <c r="E35" s="13" t="s">
        <v>25</v>
      </c>
      <c r="F35" s="13" t="s">
        <v>25</v>
      </c>
      <c r="G35" s="14" t="s">
        <v>86</v>
      </c>
      <c r="H35" s="14" t="s">
        <v>80</v>
      </c>
      <c r="I35" s="14">
        <f>SUMIF(Mercado_Receita!$T$2:$T$1261,"44440B3Energia convencionalNão se aplicaNão se aplicaNão se aplicaNão se aplicaNão se aplica",Mercado_Receita!$N$2:$N$1261)</f>
        <v>6855.5779999999995</v>
      </c>
      <c r="J35" s="14">
        <f>SUMIF(Mercado_Receita!$T$2:$T$1261,"44470B3Energia convencionalNão se aplicaNão se aplicaNão se aplicaNão se aplicaNão se aplica",Mercado_Receita!$N$2:$N$1261)</f>
        <v>7427.853000000001</v>
      </c>
      <c r="K35" s="14">
        <f>SUMIF(Mercado_Receita!$T$2:$T$1261,"44501B3Energia convencionalNão se aplicaNão se aplicaNão se aplicaNão se aplicaNão se aplica",Mercado_Receita!$N$2:$N$1261)</f>
        <v>7107.8420000000015</v>
      </c>
      <c r="L35" s="14">
        <f>SUMIF(Mercado_Receita!$T$2:$T$1261,"44531B3Energia convencionalNão se aplicaNão se aplicaNão se aplicaNão se aplicaNão se aplica",Mercado_Receita!$N$2:$N$1261)</f>
        <v>7573.6099999999988</v>
      </c>
      <c r="M35" s="14">
        <f>SUMIF(Mercado_Receita!$T$2:$T$1261,"44562B3Energia convencionalNão se aplicaNão se aplicaNão se aplicaNão se aplicaNão se aplica",Mercado_Receita!$N$2:$N$1261)</f>
        <v>7209.5309999999999</v>
      </c>
      <c r="N35" s="14">
        <f>SUMIF(Mercado_Receita!$T$2:$T$1261,"44593B3Energia convencionalNão se aplicaNão se aplicaNão se aplicaNão se aplicaNão se aplica",Mercado_Receita!$N$2:$N$1261)</f>
        <v>8166.1710000000003</v>
      </c>
      <c r="O35" s="14">
        <f>SUMIF(Mercado_Receita!$T$2:$T$1261,"44621B3Energia convencionalNão se aplicaNão se aplicaNão se aplicaNão se aplicaNão se aplica",Mercado_Receita!$N$2:$N$1261)</f>
        <v>8172.1769999999997</v>
      </c>
      <c r="P35" s="14">
        <f>SUMIF(Mercado_Receita!$T$2:$T$1261,"44652B3Energia convencionalNão se aplicaNão se aplicaNão se aplicaNão se aplicaNão se aplica",Mercado_Receita!$N$2:$N$1261)</f>
        <v>8543.2639999999992</v>
      </c>
      <c r="Q35" s="14">
        <f>SUMIF(Mercado_Receita!$T$2:$T$1261,"44682B3Energia convencionalNão se aplicaNão se aplicaNão se aplicaNão se aplicaNão se aplica",Mercado_Receita!$N$2:$N$1261)</f>
        <v>7426.9459999999999</v>
      </c>
      <c r="R35" s="14">
        <f>SUMIF(Mercado_Receita!$T$2:$T$1261,"44713B3Energia convencionalNão se aplicaNão se aplicaNão se aplicaNão se aplicaNão se aplica",Mercado_Receita!$N$2:$N$1261)</f>
        <v>6559.5380000000005</v>
      </c>
      <c r="S35" s="14">
        <f>SUMIF(Mercado_Receita!$T$2:$T$1261,"44743B3Energia convencionalNão se aplicaNão se aplicaNão se aplicaNão se aplicaNão se aplica",Mercado_Receita!$N$2:$N$1261)</f>
        <v>5823.8029999999999</v>
      </c>
      <c r="T35" s="14">
        <f>SUMIF(Mercado_Receita!$T$2:$T$1261,"44774B3Energia convencionalNão se aplicaNão se aplicaNão se aplicaNão se aplicaNão se aplica",Mercado_Receita!$N$2:$N$1261)</f>
        <v>5823.8029999999999</v>
      </c>
      <c r="U35" s="14">
        <f t="shared" si="0"/>
        <v>86690.115999999995</v>
      </c>
      <c r="V35" s="14"/>
      <c r="W35" s="14"/>
    </row>
    <row r="36" spans="1:23" ht="11.25" customHeight="1" x14ac:dyDescent="0.25">
      <c r="A36" s="105"/>
      <c r="B36" s="13" t="s">
        <v>93</v>
      </c>
      <c r="C36" s="13" t="s">
        <v>25</v>
      </c>
      <c r="D36" s="13" t="s">
        <v>25</v>
      </c>
      <c r="E36" s="13" t="s">
        <v>25</v>
      </c>
      <c r="F36" s="13" t="s">
        <v>25</v>
      </c>
      <c r="G36" s="14" t="s">
        <v>86</v>
      </c>
      <c r="H36" s="14" t="s">
        <v>80</v>
      </c>
      <c r="I36" s="14">
        <f>SUMIF(Mercado_Receita!$T$2:$T$1261,"44440B3Energia convencional pré-pagamentoNão se aplicaNão se aplicaNão se aplicaNão se aplicaNão se aplica",Mercado_Receita!$N$2:$N$1261)</f>
        <v>0</v>
      </c>
      <c r="J36" s="14">
        <f>SUMIF(Mercado_Receita!$T$2:$T$1261,"44470B3Energia convencional pré-pagamentoNão se aplicaNão se aplicaNão se aplicaNão se aplicaNão se aplica",Mercado_Receita!$N$2:$N$1261)</f>
        <v>0</v>
      </c>
      <c r="K36" s="14">
        <f>SUMIF(Mercado_Receita!$T$2:$T$1261,"44501B3Energia convencional pré-pagamentoNão se aplicaNão se aplicaNão se aplicaNão se aplicaNão se aplica",Mercado_Receita!$N$2:$N$1261)</f>
        <v>0</v>
      </c>
      <c r="L36" s="14">
        <f>SUMIF(Mercado_Receita!$T$2:$T$1261,"44531B3Energia convencional pré-pagamentoNão se aplicaNão se aplicaNão se aplicaNão se aplicaNão se aplica",Mercado_Receita!$N$2:$N$1261)</f>
        <v>0</v>
      </c>
      <c r="M36" s="14">
        <f>SUMIF(Mercado_Receita!$T$2:$T$1261,"44562B3Energia convencional pré-pagamentoNão se aplicaNão se aplicaNão se aplicaNão se aplicaNão se aplica",Mercado_Receita!$N$2:$N$1261)</f>
        <v>0</v>
      </c>
      <c r="N36" s="14">
        <f>SUMIF(Mercado_Receita!$T$2:$T$1261,"44593B3Energia convencional pré-pagamentoNão se aplicaNão se aplicaNão se aplicaNão se aplicaNão se aplica",Mercado_Receita!$N$2:$N$1261)</f>
        <v>0</v>
      </c>
      <c r="O36" s="14">
        <f>SUMIF(Mercado_Receita!$T$2:$T$1261,"44621B3Energia convencional pré-pagamentoNão se aplicaNão se aplicaNão se aplicaNão se aplicaNão se aplica",Mercado_Receita!$N$2:$N$1261)</f>
        <v>0</v>
      </c>
      <c r="P36" s="14">
        <f>SUMIF(Mercado_Receita!$T$2:$T$1261,"44652B3Energia convencional pré-pagamentoNão se aplicaNão se aplicaNão se aplicaNão se aplicaNão se aplica",Mercado_Receita!$N$2:$N$1261)</f>
        <v>0</v>
      </c>
      <c r="Q36" s="14">
        <f>SUMIF(Mercado_Receita!$T$2:$T$1261,"44682B3Energia convencional pré-pagamentoNão se aplicaNão se aplicaNão se aplicaNão se aplicaNão se aplica",Mercado_Receita!$N$2:$N$1261)</f>
        <v>0</v>
      </c>
      <c r="R36" s="14">
        <f>SUMIF(Mercado_Receita!$T$2:$T$1261,"44713B3Energia convencional pré-pagamentoNão se aplicaNão se aplicaNão se aplicaNão se aplicaNão se aplica",Mercado_Receita!$N$2:$N$1261)</f>
        <v>0</v>
      </c>
      <c r="S36" s="14">
        <f>SUMIF(Mercado_Receita!$T$2:$T$1261,"44743B3Energia convencional pré-pagamentoNão se aplicaNão se aplicaNão se aplicaNão se aplicaNão se aplica",Mercado_Receita!$N$2:$N$1261)</f>
        <v>0</v>
      </c>
      <c r="T36" s="14">
        <f>SUMIF(Mercado_Receita!$T$2:$T$1261,"44774B3Energia convencional pré-pagamentoNão se aplicaNão se aplicaNão se aplicaNão se aplicaNão se aplica",Mercado_Receita!$N$2:$N$1261)</f>
        <v>0</v>
      </c>
      <c r="U36" s="14">
        <f t="shared" si="0"/>
        <v>0</v>
      </c>
      <c r="V36" s="14"/>
      <c r="W36" s="14"/>
    </row>
    <row r="37" spans="1:23" ht="11.25" customHeight="1" x14ac:dyDescent="0.25">
      <c r="A37" s="104" t="s">
        <v>46</v>
      </c>
      <c r="B37" s="104" t="s">
        <v>92</v>
      </c>
      <c r="C37" s="104" t="s">
        <v>47</v>
      </c>
      <c r="D37" s="13" t="s">
        <v>48</v>
      </c>
      <c r="E37" s="13" t="s">
        <v>25</v>
      </c>
      <c r="F37" s="13" t="s">
        <v>25</v>
      </c>
      <c r="G37" s="14" t="s">
        <v>86</v>
      </c>
      <c r="H37" s="14" t="s">
        <v>80</v>
      </c>
      <c r="I37" s="14">
        <f>SUMIF(Mercado_Receita!$T$2:$T$1261,"44440B4Energia convencionalIluminação públicaIluminação pública – B4aNão se aplicaNão se aplicaNão se aplica",Mercado_Receita!$N$2:$N$1261)</f>
        <v>1537.0060000000001</v>
      </c>
      <c r="J37" s="14">
        <f>SUMIF(Mercado_Receita!$T$2:$T$1261,"44470B4Energia convencionalIluminação públicaIluminação pública – B4aNão se aplicaNão se aplicaNão se aplica",Mercado_Receita!$N$2:$N$1261)</f>
        <v>1614.039</v>
      </c>
      <c r="K37" s="14">
        <f>SUMIF(Mercado_Receita!$T$2:$T$1261,"44501B4Energia convencionalIluminação públicaIluminação pública – B4aNão se aplicaNão se aplicaNão se aplica",Mercado_Receita!$N$2:$N$1261)</f>
        <v>1634.374</v>
      </c>
      <c r="L37" s="14">
        <f>SUMIF(Mercado_Receita!$T$2:$T$1261,"44531B4Energia convencionalIluminação públicaIluminação pública – B4aNão se aplicaNão se aplicaNão se aplica",Mercado_Receita!$N$2:$N$1261)</f>
        <v>1610.021</v>
      </c>
      <c r="M37" s="14">
        <f>SUMIF(Mercado_Receita!$T$2:$T$1261,"44562B4Energia convencionalIluminação públicaIluminação pública – B4aNão se aplicaNão se aplicaNão se aplica",Mercado_Receita!$N$2:$N$1261)</f>
        <v>1589.424</v>
      </c>
      <c r="N37" s="14">
        <f>SUMIF(Mercado_Receita!$T$2:$T$1261,"44593B4Energia convencionalIluminação públicaIluminação pública – B4aNão se aplicaNão se aplicaNão se aplica",Mercado_Receita!$N$2:$N$1261)</f>
        <v>1460.8230000000001</v>
      </c>
      <c r="O37" s="14">
        <f>SUMIF(Mercado_Receita!$T$2:$T$1261,"44621B4Energia convencionalIluminação públicaIluminação pública – B4aNão se aplicaNão se aplicaNão se aplica",Mercado_Receita!$N$2:$N$1261)</f>
        <v>1594.6569999999999</v>
      </c>
      <c r="P37" s="14">
        <f>SUMIF(Mercado_Receita!$T$2:$T$1261,"44652B4Energia convencionalIluminação públicaIluminação pública – B4aNão se aplicaNão se aplicaNão se aplica",Mercado_Receita!$N$2:$N$1261)</f>
        <v>1552.9849999999999</v>
      </c>
      <c r="Q37" s="14">
        <f>SUMIF(Mercado_Receita!$T$2:$T$1261,"44682B4Energia convencionalIluminação públicaIluminação pública – B4aNão se aplicaNão se aplicaNão se aplica",Mercado_Receita!$N$2:$N$1261)</f>
        <v>1605.3999999999999</v>
      </c>
      <c r="R37" s="14">
        <f>SUMIF(Mercado_Receita!$T$2:$T$1261,"44713B4Energia convencionalIluminação públicaIluminação pública – B4aNão se aplicaNão se aplicaNão se aplica",Mercado_Receita!$N$2:$N$1261)</f>
        <v>1564.44</v>
      </c>
      <c r="S37" s="14">
        <f>SUMIF(Mercado_Receita!$T$2:$T$1261,"44743B4Energia convencionalIluminação públicaIluminação pública – B4aNão se aplicaNão se aplicaNão se aplica",Mercado_Receita!$N$2:$N$1261)</f>
        <v>1606.5830000000001</v>
      </c>
      <c r="T37" s="14">
        <f>SUMIF(Mercado_Receita!$T$2:$T$1261,"44774B4Energia convencionalIluminação públicaIluminação pública – B4aNão se aplicaNão se aplicaNão se aplica",Mercado_Receita!$N$2:$N$1261)</f>
        <v>1606.5830000000001</v>
      </c>
      <c r="U37" s="14">
        <f t="shared" si="0"/>
        <v>18976.334999999999</v>
      </c>
      <c r="V37" s="14"/>
      <c r="W37" s="14"/>
    </row>
    <row r="38" spans="1:23" ht="11.25" customHeight="1" x14ac:dyDescent="0.25">
      <c r="A38" s="105"/>
      <c r="B38" s="105"/>
      <c r="C38" s="105"/>
      <c r="D38" s="14" t="s">
        <v>96</v>
      </c>
      <c r="E38" s="14" t="s">
        <v>25</v>
      </c>
      <c r="F38" s="14" t="s">
        <v>25</v>
      </c>
      <c r="G38" s="14" t="s">
        <v>86</v>
      </c>
      <c r="H38" s="14" t="s">
        <v>80</v>
      </c>
      <c r="I38" s="14">
        <f>SUMIF(Mercado_Receita!$T$2:$T$1261,"44440B4Energia convencionalIluminação públicaIluminação pública – B4bNão se aplicaNão se aplicaNão se aplica",Mercado_Receita!$N$2:$N$1261)</f>
        <v>0</v>
      </c>
      <c r="J38" s="14">
        <f>SUMIF(Mercado_Receita!$T$2:$T$1261,"44470B4Energia convencionalIluminação públicaIluminação pública – B4bNão se aplicaNão se aplicaNão se aplica",Mercado_Receita!$N$2:$N$1261)</f>
        <v>0</v>
      </c>
      <c r="K38" s="14">
        <f>SUMIF(Mercado_Receita!$T$2:$T$1261,"44501B4Energia convencionalIluminação públicaIluminação pública – B4bNão se aplicaNão se aplicaNão se aplica",Mercado_Receita!$N$2:$N$1261)</f>
        <v>0</v>
      </c>
      <c r="L38" s="14">
        <f>SUMIF(Mercado_Receita!$T$2:$T$1261,"44531B4Energia convencionalIluminação públicaIluminação pública – B4bNão se aplicaNão se aplicaNão se aplica",Mercado_Receita!$N$2:$N$1261)</f>
        <v>0</v>
      </c>
      <c r="M38" s="14">
        <f>SUMIF(Mercado_Receita!$T$2:$T$1261,"44562B4Energia convencionalIluminação públicaIluminação pública – B4bNão se aplicaNão se aplicaNão se aplica",Mercado_Receita!$N$2:$N$1261)</f>
        <v>0</v>
      </c>
      <c r="N38" s="14">
        <f>SUMIF(Mercado_Receita!$T$2:$T$1261,"44593B4Energia convencionalIluminação públicaIluminação pública – B4bNão se aplicaNão se aplicaNão se aplica",Mercado_Receita!$N$2:$N$1261)</f>
        <v>0</v>
      </c>
      <c r="O38" s="14">
        <f>SUMIF(Mercado_Receita!$T$2:$T$1261,"44621B4Energia convencionalIluminação públicaIluminação pública – B4bNão se aplicaNão se aplicaNão se aplica",Mercado_Receita!$N$2:$N$1261)</f>
        <v>0</v>
      </c>
      <c r="P38" s="14">
        <f>SUMIF(Mercado_Receita!$T$2:$T$1261,"44652B4Energia convencionalIluminação públicaIluminação pública – B4bNão se aplicaNão se aplicaNão se aplica",Mercado_Receita!$N$2:$N$1261)</f>
        <v>0</v>
      </c>
      <c r="Q38" s="14">
        <f>SUMIF(Mercado_Receita!$T$2:$T$1261,"44682B4Energia convencionalIluminação públicaIluminação pública – B4bNão se aplicaNão se aplicaNão se aplica",Mercado_Receita!$N$2:$N$1261)</f>
        <v>0</v>
      </c>
      <c r="R38" s="14">
        <f>SUMIF(Mercado_Receita!$T$2:$T$1261,"44713B4Energia convencionalIluminação públicaIluminação pública – B4bNão se aplicaNão se aplicaNão se aplica",Mercado_Receita!$N$2:$N$1261)</f>
        <v>0</v>
      </c>
      <c r="S38" s="14">
        <f>SUMIF(Mercado_Receita!$T$2:$T$1261,"44743B4Energia convencionalIluminação públicaIluminação pública – B4bNão se aplicaNão se aplicaNão se aplica",Mercado_Receita!$N$2:$N$1261)</f>
        <v>0</v>
      </c>
      <c r="T38" s="14">
        <f>SUMIF(Mercado_Receita!$T$2:$T$1261,"44774B4Energia convencionalIluminação públicaIluminação pública – B4bNão se aplicaNão se aplicaNão se aplica",Mercado_Receita!$N$2:$N$1261)</f>
        <v>0</v>
      </c>
      <c r="U38" s="14">
        <f t="shared" si="0"/>
        <v>0</v>
      </c>
      <c r="V38" s="14"/>
      <c r="W38" s="14"/>
    </row>
    <row r="39" spans="1:23" ht="11.25" customHeight="1" x14ac:dyDescent="0.25">
      <c r="A39" s="106" t="s">
        <v>643</v>
      </c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4"/>
      <c r="W39" s="14"/>
    </row>
  </sheetData>
  <mergeCells count="44">
    <mergeCell ref="A2:A3"/>
    <mergeCell ref="F2:F3"/>
    <mergeCell ref="E2:E3"/>
    <mergeCell ref="D2:D3"/>
    <mergeCell ref="C2:C3"/>
    <mergeCell ref="B2:B3"/>
    <mergeCell ref="C12:C16"/>
    <mergeCell ref="B12:B16"/>
    <mergeCell ref="A4:A16"/>
    <mergeCell ref="F17:F19"/>
    <mergeCell ref="E17:E19"/>
    <mergeCell ref="D17:D19"/>
    <mergeCell ref="C17:C19"/>
    <mergeCell ref="B17:B19"/>
    <mergeCell ref="F4:F6"/>
    <mergeCell ref="E4:E6"/>
    <mergeCell ref="D4:D6"/>
    <mergeCell ref="C4:C6"/>
    <mergeCell ref="B4:B6"/>
    <mergeCell ref="C7:C11"/>
    <mergeCell ref="B7:B11"/>
    <mergeCell ref="C21:C23"/>
    <mergeCell ref="B21:B23"/>
    <mergeCell ref="F25:F27"/>
    <mergeCell ref="E25:E27"/>
    <mergeCell ref="D25:D27"/>
    <mergeCell ref="C25:C27"/>
    <mergeCell ref="B25:B27"/>
    <mergeCell ref="A37:A38"/>
    <mergeCell ref="B37:B38"/>
    <mergeCell ref="C37:C38"/>
    <mergeCell ref="A39:U39"/>
    <mergeCell ref="C29:C31"/>
    <mergeCell ref="B29:B31"/>
    <mergeCell ref="A17:A31"/>
    <mergeCell ref="F32:F34"/>
    <mergeCell ref="E32:E34"/>
    <mergeCell ref="D32:D34"/>
    <mergeCell ref="C32:C34"/>
    <mergeCell ref="B32:B34"/>
    <mergeCell ref="A32:A36"/>
    <mergeCell ref="F21:F23"/>
    <mergeCell ref="E21:E23"/>
    <mergeCell ref="D21:D2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09E25-B3A6-46E6-A47A-A3190B5513E7}">
  <dimension ref="A1:AD200"/>
  <sheetViews>
    <sheetView showGridLines="0" topLeftCell="A34" workbookViewId="0">
      <selection activeCell="I50" sqref="I50"/>
    </sheetView>
  </sheetViews>
  <sheetFormatPr defaultRowHeight="12" customHeight="1" x14ac:dyDescent="0.2"/>
  <cols>
    <col min="1" max="1" width="10.5703125" style="16" bestFit="1" customWidth="1"/>
    <col min="2" max="2" width="14.42578125" style="16" bestFit="1" customWidth="1"/>
    <col min="3" max="3" width="18.42578125" style="16" bestFit="1" customWidth="1"/>
    <col min="4" max="4" width="15" style="16" bestFit="1" customWidth="1"/>
    <col min="5" max="5" width="14.5703125" style="16" bestFit="1" customWidth="1"/>
    <col min="6" max="6" width="10.85546875" style="16" bestFit="1" customWidth="1"/>
    <col min="7" max="8" width="11.7109375" style="16" bestFit="1" customWidth="1"/>
    <col min="9" max="11" width="9.140625" style="16"/>
    <col min="12" max="12" width="34.140625" style="16" bestFit="1" customWidth="1"/>
    <col min="13" max="13" width="11.7109375" style="16" bestFit="1" customWidth="1"/>
    <col min="14" max="14" width="36.140625" style="16" bestFit="1" customWidth="1"/>
    <col min="15" max="15" width="30.7109375" style="16" customWidth="1"/>
    <col min="16" max="16" width="13.5703125" style="16" bestFit="1" customWidth="1"/>
    <col min="17" max="17" width="9.28515625" style="16" bestFit="1" customWidth="1"/>
    <col min="18" max="18" width="14.5703125" style="16" bestFit="1" customWidth="1"/>
    <col min="19" max="19" width="31.140625" style="16" bestFit="1" customWidth="1"/>
    <col min="20" max="20" width="15.42578125" style="16" bestFit="1" customWidth="1"/>
    <col min="21" max="21" width="10.85546875" style="16" bestFit="1" customWidth="1"/>
    <col min="22" max="22" width="13.28515625" style="16" bestFit="1" customWidth="1"/>
    <col min="23" max="23" width="5" style="16" bestFit="1" customWidth="1"/>
    <col min="24" max="24" width="53.140625" style="16" bestFit="1" customWidth="1"/>
    <col min="25" max="26" width="5" style="16" bestFit="1" customWidth="1"/>
    <col min="27" max="27" width="2" style="16" bestFit="1" customWidth="1"/>
    <col min="28" max="16384" width="9.140625" style="16"/>
  </cols>
  <sheetData>
    <row r="1" spans="1:30" ht="12" customHeight="1" x14ac:dyDescent="0.2">
      <c r="A1" s="10" t="s">
        <v>683</v>
      </c>
      <c r="B1" s="10" t="s">
        <v>684</v>
      </c>
      <c r="C1" s="10" t="s">
        <v>685</v>
      </c>
      <c r="D1" s="10" t="s">
        <v>686</v>
      </c>
      <c r="E1" s="10" t="s">
        <v>687</v>
      </c>
      <c r="F1" s="10" t="s">
        <v>688</v>
      </c>
      <c r="G1" s="7"/>
      <c r="H1" s="7"/>
      <c r="I1" s="7"/>
      <c r="J1" s="7"/>
      <c r="K1" s="7"/>
      <c r="L1" s="115" t="s">
        <v>689</v>
      </c>
      <c r="M1" s="115"/>
      <c r="N1" s="7"/>
      <c r="O1" s="108" t="s">
        <v>776</v>
      </c>
      <c r="P1" s="109"/>
      <c r="Q1" s="109"/>
      <c r="R1" s="109"/>
      <c r="S1" s="109"/>
      <c r="T1" s="109"/>
      <c r="U1" s="109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16" t="s">
        <v>644</v>
      </c>
      <c r="B2" s="116" t="s">
        <v>645</v>
      </c>
      <c r="C2" s="18" t="s">
        <v>730</v>
      </c>
      <c r="D2" s="15">
        <v>3468806.8800173793</v>
      </c>
      <c r="E2" s="15">
        <v>61216.954029554181</v>
      </c>
      <c r="F2" s="15">
        <v>238543.93631434083</v>
      </c>
      <c r="G2" s="17"/>
      <c r="H2" s="17"/>
      <c r="I2" s="17"/>
      <c r="J2" s="17"/>
      <c r="K2" s="17"/>
      <c r="L2" s="32" t="s">
        <v>690</v>
      </c>
      <c r="M2" s="87">
        <v>0.17923905592895384</v>
      </c>
      <c r="N2" s="17"/>
      <c r="O2" s="44" t="s">
        <v>777</v>
      </c>
      <c r="P2" s="44" t="s">
        <v>778</v>
      </c>
      <c r="Q2" s="44" t="s">
        <v>779</v>
      </c>
      <c r="R2" s="44" t="s">
        <v>39</v>
      </c>
      <c r="S2" s="44" t="s">
        <v>780</v>
      </c>
      <c r="T2" s="44" t="s">
        <v>88</v>
      </c>
      <c r="U2" s="44"/>
      <c r="V2" s="17"/>
      <c r="W2" s="17"/>
      <c r="X2" s="32" t="s">
        <v>743</v>
      </c>
      <c r="Y2" s="17"/>
      <c r="Z2" s="17"/>
      <c r="AA2" s="17" t="s">
        <v>788</v>
      </c>
      <c r="AB2" s="17"/>
      <c r="AC2" s="17"/>
      <c r="AD2" s="17"/>
    </row>
    <row r="3" spans="1:30" ht="12" customHeight="1" x14ac:dyDescent="0.2">
      <c r="A3" s="117"/>
      <c r="B3" s="117"/>
      <c r="C3" s="18" t="s">
        <v>646</v>
      </c>
      <c r="D3" s="15">
        <v>386710.27876951877</v>
      </c>
      <c r="E3" s="15">
        <v>-189.02293064447531</v>
      </c>
      <c r="F3" s="15">
        <v>0</v>
      </c>
      <c r="G3" s="17"/>
      <c r="H3" s="17"/>
      <c r="I3" s="17"/>
      <c r="J3" s="17"/>
      <c r="K3" s="17"/>
      <c r="L3" s="32" t="s">
        <v>691</v>
      </c>
      <c r="M3" s="87"/>
      <c r="N3" s="17"/>
      <c r="O3" s="45">
        <v>1</v>
      </c>
      <c r="P3" s="45">
        <v>1</v>
      </c>
      <c r="Q3" s="45">
        <v>1</v>
      </c>
      <c r="R3" s="45">
        <v>1</v>
      </c>
      <c r="S3" s="45">
        <v>1</v>
      </c>
      <c r="T3" s="45">
        <v>1</v>
      </c>
      <c r="U3" s="45" t="s">
        <v>781</v>
      </c>
      <c r="V3" s="17"/>
      <c r="W3" s="17"/>
      <c r="X3" s="32" t="s">
        <v>744</v>
      </c>
      <c r="Y3" s="17"/>
      <c r="Z3" s="17"/>
      <c r="AA3" s="17">
        <v>0</v>
      </c>
      <c r="AB3" s="17"/>
      <c r="AC3" s="17"/>
      <c r="AD3" s="17"/>
    </row>
    <row r="4" spans="1:30" ht="12" customHeight="1" x14ac:dyDescent="0.2">
      <c r="A4" s="117"/>
      <c r="B4" s="117"/>
      <c r="C4" s="18" t="s">
        <v>647</v>
      </c>
      <c r="D4" s="15">
        <f>$M$22-D$30</f>
        <v>1611276.9310492913</v>
      </c>
      <c r="E4" s="15">
        <f>IF((D4+D$30)&lt;&gt;0,$M$20*D4/(D4+D$30),0)</f>
        <v>1.6924369367879528</v>
      </c>
      <c r="F4" s="15">
        <f>IF((D4+D$30)&lt;&gt;0,$M$21*D4/(D4+D$30),0)</f>
        <v>0</v>
      </c>
      <c r="G4" s="17"/>
      <c r="H4" s="17"/>
      <c r="I4" s="17"/>
      <c r="J4" s="17"/>
      <c r="K4" s="17"/>
      <c r="L4" s="32" t="s">
        <v>692</v>
      </c>
      <c r="M4" s="87">
        <v>8.5874515481677571E-2</v>
      </c>
      <c r="N4" s="17"/>
      <c r="O4" s="45">
        <v>1</v>
      </c>
      <c r="P4" s="45">
        <v>1</v>
      </c>
      <c r="Q4" s="45">
        <v>1</v>
      </c>
      <c r="R4" s="45">
        <v>1</v>
      </c>
      <c r="S4" s="45">
        <v>1</v>
      </c>
      <c r="T4" s="45">
        <v>1</v>
      </c>
      <c r="U4" s="45" t="s">
        <v>59</v>
      </c>
      <c r="V4" s="17"/>
      <c r="W4" s="17"/>
      <c r="X4" s="17"/>
      <c r="Y4" s="17"/>
      <c r="Z4" s="17"/>
      <c r="AA4" s="17"/>
      <c r="AB4" s="17"/>
      <c r="AC4" s="17"/>
      <c r="AD4" s="17"/>
    </row>
    <row r="5" spans="1:30" ht="12" customHeight="1" x14ac:dyDescent="0.2">
      <c r="A5" s="117"/>
      <c r="B5" s="117"/>
      <c r="C5" s="18" t="s">
        <v>648</v>
      </c>
      <c r="D5" s="15">
        <v>0</v>
      </c>
      <c r="E5" s="15">
        <v>0</v>
      </c>
      <c r="F5" s="15">
        <v>0</v>
      </c>
      <c r="G5" s="17"/>
      <c r="H5" s="17"/>
      <c r="I5" s="17"/>
      <c r="J5" s="17"/>
      <c r="K5" s="17"/>
      <c r="L5" s="32" t="s">
        <v>693</v>
      </c>
      <c r="M5" s="87">
        <v>0.01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</row>
    <row r="6" spans="1:30" ht="12" customHeight="1" x14ac:dyDescent="0.2">
      <c r="A6" s="117"/>
      <c r="B6" s="117"/>
      <c r="C6" s="18" t="s">
        <v>649</v>
      </c>
      <c r="D6" s="15">
        <v>0</v>
      </c>
      <c r="E6" s="15">
        <v>0</v>
      </c>
      <c r="F6" s="15">
        <v>0</v>
      </c>
      <c r="G6" s="17"/>
      <c r="H6" s="17"/>
      <c r="I6" s="17"/>
      <c r="J6" s="17"/>
      <c r="K6" s="17"/>
      <c r="L6" s="32" t="s">
        <v>694</v>
      </c>
      <c r="M6" s="87">
        <v>0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</row>
    <row r="7" spans="1:30" ht="12" customHeight="1" x14ac:dyDescent="0.2">
      <c r="A7" s="117"/>
      <c r="B7" s="117"/>
      <c r="C7" s="18" t="s">
        <v>650</v>
      </c>
      <c r="D7" s="15">
        <v>49513626.114528321</v>
      </c>
      <c r="E7" s="15">
        <v>872697.51891916431</v>
      </c>
      <c r="F7" s="15">
        <v>13731581.0275</v>
      </c>
      <c r="G7" s="17"/>
      <c r="H7" s="17"/>
      <c r="I7" s="17"/>
      <c r="J7" s="17"/>
      <c r="K7" s="17"/>
      <c r="L7" s="32" t="s">
        <v>695</v>
      </c>
      <c r="M7" s="32">
        <f>M8+M9+M10+M11</f>
        <v>84296.784204806594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</row>
    <row r="8" spans="1:30" ht="12" customHeight="1" x14ac:dyDescent="0.2">
      <c r="A8" s="117"/>
      <c r="B8" s="117"/>
      <c r="C8" s="18" t="s">
        <v>651</v>
      </c>
      <c r="D8" s="15">
        <v>8169895.7713834094</v>
      </c>
      <c r="E8" s="15">
        <v>158922.22308649262</v>
      </c>
      <c r="F8" s="15">
        <v>2732711.7645999999</v>
      </c>
      <c r="G8" s="17"/>
      <c r="H8" s="17"/>
      <c r="I8" s="17"/>
      <c r="J8" s="17"/>
      <c r="K8" s="17"/>
      <c r="L8" s="88" t="s">
        <v>696</v>
      </c>
      <c r="M8" s="32">
        <v>58567.742953362591</v>
      </c>
      <c r="N8" s="17"/>
      <c r="O8" s="32" t="s">
        <v>729</v>
      </c>
      <c r="P8" s="45">
        <v>0</v>
      </c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</row>
    <row r="9" spans="1:30" ht="12" customHeight="1" x14ac:dyDescent="0.2">
      <c r="A9" s="117"/>
      <c r="B9" s="117"/>
      <c r="C9" s="18" t="s">
        <v>652</v>
      </c>
      <c r="D9" s="15"/>
      <c r="E9" s="15"/>
      <c r="F9" s="15"/>
      <c r="G9" s="17"/>
      <c r="H9" s="17"/>
      <c r="I9" s="17"/>
      <c r="J9" s="17"/>
      <c r="K9" s="17"/>
      <c r="L9" s="89" t="s">
        <v>697</v>
      </c>
      <c r="M9" s="32">
        <v>8358.398851444008</v>
      </c>
      <c r="N9" s="17"/>
      <c r="O9" s="32" t="s">
        <v>734</v>
      </c>
      <c r="P9" s="45">
        <f>SUM(Mercado_Receita!$J$2:$J$1261)</f>
        <v>690243</v>
      </c>
      <c r="Q9" s="45">
        <v>690243</v>
      </c>
      <c r="R9" s="45" t="str">
        <f>IF(ABS(P9-Q9)&gt;1,"ERRO BADNET","OK BADNET")</f>
        <v>OK BADNET</v>
      </c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</row>
    <row r="10" spans="1:30" ht="12" customHeight="1" x14ac:dyDescent="0.2">
      <c r="A10" s="117"/>
      <c r="B10" s="118"/>
      <c r="C10" s="18" t="s">
        <v>653</v>
      </c>
      <c r="D10" s="15">
        <f>SUM(D$2:D9)</f>
        <v>63150315.975747921</v>
      </c>
      <c r="E10" s="15">
        <f>SUM(E$2:E9)</f>
        <v>1092649.3655415033</v>
      </c>
      <c r="F10" s="15">
        <f>SUM(F$2:F9)</f>
        <v>16702836.72841434</v>
      </c>
      <c r="G10" s="17"/>
      <c r="H10" s="17"/>
      <c r="I10" s="17"/>
      <c r="J10" s="17"/>
      <c r="K10" s="17"/>
      <c r="L10" s="88" t="s">
        <v>698</v>
      </c>
      <c r="M10" s="32">
        <v>2065.7201219918925</v>
      </c>
      <c r="N10" s="17"/>
      <c r="O10" s="32" t="s">
        <v>735</v>
      </c>
      <c r="P10" s="45">
        <f>SUM(Mercado_Receita!$L$2:$L$1261)</f>
        <v>577810.31400000048</v>
      </c>
      <c r="Q10" s="45">
        <v>577810.31400000094</v>
      </c>
      <c r="R10" s="45" t="str">
        <f>IF(ABS(P10-Q10)&gt;1,"ERRO BADNET","OK BADNET")</f>
        <v>OK BADNET</v>
      </c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</row>
    <row r="11" spans="1:30" ht="12" customHeight="1" x14ac:dyDescent="0.2">
      <c r="A11" s="117"/>
      <c r="B11" s="116" t="s">
        <v>654</v>
      </c>
      <c r="C11" s="18" t="s">
        <v>655</v>
      </c>
      <c r="D11" s="15">
        <v>13501545</v>
      </c>
      <c r="E11" s="15">
        <v>841303.70031928609</v>
      </c>
      <c r="F11" s="15">
        <f>IF((+$D$11+$D$12+$D$16+$D$17+$D$39)&lt;&gt;0,$M$19*$D$11/(+$D$11+$D$12+$D$16+$D$17+$D$39),0)</f>
        <v>646049.07174960163</v>
      </c>
      <c r="G11" s="17"/>
      <c r="H11" s="17"/>
      <c r="I11" s="17"/>
      <c r="J11" s="17"/>
      <c r="K11" s="17"/>
      <c r="L11" s="88" t="s">
        <v>699</v>
      </c>
      <c r="M11" s="32">
        <v>15304.922278008107</v>
      </c>
      <c r="N11" s="17"/>
      <c r="O11" s="32" t="s">
        <v>736</v>
      </c>
      <c r="P11" s="45">
        <f>SUM(Mercado_Receita!$N$2:$N$1261)</f>
        <v>495855.84600000049</v>
      </c>
      <c r="Q11" s="45">
        <v>495855.84600000101</v>
      </c>
      <c r="R11" s="45" t="str">
        <f>IF(ABS(P11-Q11)&gt;1,"ERRO BADNET","OK BADNET")</f>
        <v>OK BADNET</v>
      </c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</row>
    <row r="12" spans="1:30" ht="12" customHeight="1" x14ac:dyDescent="0.2">
      <c r="A12" s="117"/>
      <c r="B12" s="117"/>
      <c r="C12" s="18" t="s">
        <v>656</v>
      </c>
      <c r="D12" s="15">
        <v>1779799.1999999997</v>
      </c>
      <c r="E12" s="15">
        <v>109001.93057800652</v>
      </c>
      <c r="F12" s="15">
        <f>IF((+$D$11+$D$12+$D$16+$D$17+$D$39)&lt;&gt;0,$M$19*$D$12/(+$D$11+$D$12+$D$16+$D$17+$D$39),0)</f>
        <v>85163.410636388886</v>
      </c>
      <c r="G12" s="17"/>
      <c r="H12" s="17"/>
      <c r="I12" s="17"/>
      <c r="J12" s="17"/>
      <c r="K12" s="17"/>
      <c r="L12" s="32" t="s">
        <v>700</v>
      </c>
      <c r="M12" s="32">
        <v>580152.63020480704</v>
      </c>
      <c r="N12" s="17"/>
      <c r="O12" s="32" t="s">
        <v>737</v>
      </c>
      <c r="P12" s="45">
        <f>SUMIF('MERCADO TUSD'!$H$2:$H$48,"kW",'MERCADO TUSD'!$U$2:$U$48)</f>
        <v>690243</v>
      </c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</row>
    <row r="13" spans="1:30" ht="12" customHeight="1" x14ac:dyDescent="0.2">
      <c r="A13" s="117"/>
      <c r="B13" s="117"/>
      <c r="C13" s="18" t="s">
        <v>657</v>
      </c>
      <c r="D13" s="15">
        <f>-$M$51+590407.982780871</f>
        <v>590407.98278087098</v>
      </c>
      <c r="E13" s="15">
        <v>11201.073412471691</v>
      </c>
      <c r="F13" s="15">
        <v>0</v>
      </c>
      <c r="G13" s="17"/>
      <c r="H13" s="17"/>
      <c r="I13" s="17"/>
      <c r="J13" s="17"/>
      <c r="K13" s="17"/>
      <c r="L13" s="32" t="s">
        <v>701</v>
      </c>
      <c r="M13" s="32">
        <v>12312.924316881899</v>
      </c>
      <c r="N13" s="17"/>
      <c r="O13" s="32" t="s">
        <v>738</v>
      </c>
      <c r="P13" s="45">
        <f>SUMIF('MERCADO TUSD'!$H$2:$H$48,"MWh",'MERCADO TUSD'!$U$2:$U$48)</f>
        <v>577810.3139999999</v>
      </c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</row>
    <row r="14" spans="1:30" ht="12" customHeight="1" x14ac:dyDescent="0.2">
      <c r="A14" s="117"/>
      <c r="B14" s="117"/>
      <c r="C14" s="18" t="s">
        <v>658</v>
      </c>
      <c r="D14" s="15">
        <v>0</v>
      </c>
      <c r="E14" s="15">
        <v>0</v>
      </c>
      <c r="F14" s="15">
        <v>0</v>
      </c>
      <c r="G14" s="17"/>
      <c r="H14" s="17"/>
      <c r="I14" s="17"/>
      <c r="J14" s="17"/>
      <c r="K14" s="17"/>
      <c r="L14" s="32" t="s">
        <v>702</v>
      </c>
      <c r="M14" s="32">
        <v>253.30185775639143</v>
      </c>
      <c r="N14" s="17"/>
      <c r="O14" s="32" t="s">
        <v>739</v>
      </c>
      <c r="P14" s="45">
        <f>SUMIF('MERCADO TE'!$H$2:$H$38,"MWh",'MERCADO TE'!$U$2:$U$38)</f>
        <v>495855.84600000002</v>
      </c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</row>
    <row r="15" spans="1:30" ht="12" customHeight="1" x14ac:dyDescent="0.2">
      <c r="A15" s="117"/>
      <c r="B15" s="117"/>
      <c r="C15" s="18" t="s">
        <v>659</v>
      </c>
      <c r="D15" s="15">
        <v>22524332.473099999</v>
      </c>
      <c r="E15" s="15">
        <v>373498.95084228634</v>
      </c>
      <c r="F15" s="15">
        <v>0</v>
      </c>
      <c r="G15" s="17"/>
      <c r="H15" s="17"/>
      <c r="I15" s="17"/>
      <c r="J15" s="17"/>
      <c r="K15" s="17"/>
      <c r="L15" s="32" t="s">
        <v>703</v>
      </c>
      <c r="M15" s="32">
        <f>M14*M12</f>
        <v>146953739.01313439</v>
      </c>
      <c r="N15" s="17"/>
      <c r="O15" s="32" t="s">
        <v>740</v>
      </c>
      <c r="P15" s="45" t="str">
        <f>IF(ABS(P9-P12)&gt;1,"ERRO","OK")</f>
        <v>OK</v>
      </c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</row>
    <row r="16" spans="1:30" ht="12" customHeight="1" x14ac:dyDescent="0.2">
      <c r="A16" s="117"/>
      <c r="B16" s="117"/>
      <c r="C16" s="18" t="s">
        <v>660</v>
      </c>
      <c r="D16" s="15">
        <v>0</v>
      </c>
      <c r="E16" s="15">
        <v>0</v>
      </c>
      <c r="F16" s="15">
        <f>IF((+$D$11+$D$12+$D$16+$D$17+$D$39)&lt;&gt;0,$M$19*$D$16/(+$D$11+$D$12+$D$16+$D$17+$D$39),0)</f>
        <v>0</v>
      </c>
      <c r="G16" s="17"/>
      <c r="H16" s="17"/>
      <c r="I16" s="17"/>
      <c r="J16" s="17"/>
      <c r="K16" s="17"/>
      <c r="L16" s="32" t="s">
        <v>704</v>
      </c>
      <c r="M16" s="32">
        <v>6464693.4200780038</v>
      </c>
      <c r="N16" s="17"/>
      <c r="O16" s="32" t="s">
        <v>741</v>
      </c>
      <c r="P16" s="45" t="str">
        <f>IF(ABS(P10-P13)&gt;1,"ERRO","OK")</f>
        <v>OK</v>
      </c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</row>
    <row r="17" spans="1:30" ht="12" customHeight="1" x14ac:dyDescent="0.2">
      <c r="A17" s="117"/>
      <c r="B17" s="117"/>
      <c r="C17" s="18" t="s">
        <v>661</v>
      </c>
      <c r="D17" s="15">
        <v>0</v>
      </c>
      <c r="E17" s="15">
        <v>0</v>
      </c>
      <c r="F17" s="15">
        <f>IF((+$D$11+$D$12+$D$16+$D$17+$D$39)&lt;&gt;0,$M$19*$D$17/(+$D$11+$D$12+$D$16+$D$17+$D$39),0)</f>
        <v>0</v>
      </c>
      <c r="G17" s="17"/>
      <c r="H17" s="17"/>
      <c r="I17" s="17"/>
      <c r="J17" s="17"/>
      <c r="K17" s="17"/>
      <c r="L17" s="32" t="s">
        <v>705</v>
      </c>
      <c r="M17" s="32">
        <v>2465211.3950999998</v>
      </c>
      <c r="N17" s="17"/>
      <c r="O17" s="32" t="s">
        <v>742</v>
      </c>
      <c r="P17" s="45" t="str">
        <f>IF(ABS(P11-P14)&gt;1,"ERRO","OK")</f>
        <v>OK</v>
      </c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</row>
    <row r="18" spans="1:30" ht="12" customHeight="1" x14ac:dyDescent="0.2">
      <c r="A18" s="117"/>
      <c r="B18" s="118"/>
      <c r="C18" s="18" t="s">
        <v>653</v>
      </c>
      <c r="D18" s="15">
        <f>SUM(D$11:D17)</f>
        <v>38396084.655880868</v>
      </c>
      <c r="E18" s="15">
        <f>SUM(E$11:E17)</f>
        <v>1335005.6551520508</v>
      </c>
      <c r="F18" s="15">
        <f>SUM(F$11:F17)</f>
        <v>731212.48238599056</v>
      </c>
      <c r="G18" s="17"/>
      <c r="H18" s="17"/>
      <c r="I18" s="17"/>
      <c r="J18" s="17"/>
      <c r="K18" s="17"/>
      <c r="L18" s="32" t="s">
        <v>706</v>
      </c>
      <c r="M18" s="32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</row>
    <row r="19" spans="1:30" ht="12" customHeight="1" x14ac:dyDescent="0.2">
      <c r="A19" s="117"/>
      <c r="B19" s="116" t="s">
        <v>662</v>
      </c>
      <c r="C19" s="18" t="s">
        <v>663</v>
      </c>
      <c r="D19" s="15">
        <v>94940059.683411762</v>
      </c>
      <c r="E19" s="15">
        <v>0</v>
      </c>
      <c r="F19" s="15">
        <v>0</v>
      </c>
      <c r="G19" s="17"/>
      <c r="H19" s="17"/>
      <c r="I19" s="17"/>
      <c r="J19" s="17"/>
      <c r="K19" s="17"/>
      <c r="L19" s="32" t="s">
        <v>707</v>
      </c>
      <c r="M19" s="32">
        <v>840312.4325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</row>
    <row r="20" spans="1:30" ht="12" customHeight="1" x14ac:dyDescent="0.2">
      <c r="A20" s="117"/>
      <c r="B20" s="118"/>
      <c r="C20" s="18" t="s">
        <v>653</v>
      </c>
      <c r="D20" s="15">
        <f>SUM(D$19:D19)</f>
        <v>94940059.683411762</v>
      </c>
      <c r="E20" s="15">
        <f>SUM(E$19:E19)</f>
        <v>0</v>
      </c>
      <c r="F20" s="15">
        <f>SUM(F$19:F19)</f>
        <v>0</v>
      </c>
      <c r="G20" s="17"/>
      <c r="H20" s="17"/>
      <c r="I20" s="17"/>
      <c r="J20" s="17"/>
      <c r="K20" s="17"/>
      <c r="L20" s="32" t="s">
        <v>708</v>
      </c>
      <c r="M20" s="32">
        <v>3.31761933359968</v>
      </c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</row>
    <row r="21" spans="1:30" ht="12" customHeight="1" x14ac:dyDescent="0.2">
      <c r="A21" s="117"/>
      <c r="B21" s="116" t="s">
        <v>664</v>
      </c>
      <c r="C21" s="18" t="s">
        <v>665</v>
      </c>
      <c r="D21" s="15"/>
      <c r="E21" s="15">
        <f>IF($D$47&lt;&gt;0,(1-$D$46/$D$47)*-10677275.9446455,0)+0</f>
        <v>-6320522.4543774305</v>
      </c>
      <c r="F21" s="15"/>
      <c r="G21" s="17"/>
      <c r="H21" s="17"/>
      <c r="I21" s="17"/>
      <c r="J21" s="17"/>
      <c r="K21" s="17"/>
      <c r="L21" s="32" t="s">
        <v>709</v>
      </c>
      <c r="M21" s="32">
        <v>0</v>
      </c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</row>
    <row r="22" spans="1:30" ht="12" customHeight="1" x14ac:dyDescent="0.2">
      <c r="A22" s="117"/>
      <c r="B22" s="117"/>
      <c r="C22" s="18" t="s">
        <v>666</v>
      </c>
      <c r="D22" s="15"/>
      <c r="E22" s="15"/>
      <c r="F22" s="15"/>
      <c r="G22" s="17"/>
      <c r="H22" s="17"/>
      <c r="I22" s="17"/>
      <c r="J22" s="17"/>
      <c r="K22" s="17"/>
      <c r="L22" s="32" t="s">
        <v>731</v>
      </c>
      <c r="M22" s="32">
        <v>3158524.4814956691</v>
      </c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</row>
    <row r="23" spans="1:30" ht="12" customHeight="1" x14ac:dyDescent="0.2">
      <c r="A23" s="117"/>
      <c r="B23" s="118"/>
      <c r="C23" s="18" t="s">
        <v>653</v>
      </c>
      <c r="D23" s="15">
        <f>SUM(D$21:D22)</f>
        <v>0</v>
      </c>
      <c r="E23" s="15">
        <f>SUM(E$21:E22)</f>
        <v>-6320522.4543774305</v>
      </c>
      <c r="F23" s="15">
        <f>SUM(F$21:F22)</f>
        <v>0</v>
      </c>
      <c r="G23" s="17"/>
      <c r="H23" s="17"/>
      <c r="I23" s="17"/>
      <c r="J23" s="17"/>
      <c r="K23" s="17"/>
      <c r="L23" s="32" t="s">
        <v>710</v>
      </c>
      <c r="M23" s="32">
        <v>15</v>
      </c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</row>
    <row r="24" spans="1:30" ht="12" customHeight="1" x14ac:dyDescent="0.2">
      <c r="A24" s="117"/>
      <c r="B24" s="116" t="s">
        <v>667</v>
      </c>
      <c r="C24" s="18" t="s">
        <v>668</v>
      </c>
      <c r="D24" s="15">
        <f>$M$14*$M$8</f>
        <v>14835318.094685547</v>
      </c>
      <c r="E24" s="15">
        <f>$M$16*$M$8/$M$12</f>
        <v>652625.67604969873</v>
      </c>
      <c r="F24" s="15">
        <f>$M$17*$M$8/$M$12</f>
        <v>248868.76279945005</v>
      </c>
      <c r="G24" s="17"/>
      <c r="H24" s="17"/>
      <c r="I24" s="17"/>
      <c r="J24" s="17"/>
      <c r="K24" s="17"/>
      <c r="L24" s="32" t="s">
        <v>711</v>
      </c>
      <c r="M24" s="32">
        <v>0</v>
      </c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</row>
    <row r="25" spans="1:30" ht="12" customHeight="1" x14ac:dyDescent="0.2">
      <c r="A25" s="117"/>
      <c r="B25" s="117"/>
      <c r="C25" s="18" t="s">
        <v>669</v>
      </c>
      <c r="D25" s="15">
        <f>$M$14*$M$10</f>
        <v>523250.74450530589</v>
      </c>
      <c r="E25" s="15">
        <f>$M$16*$M$10/$M$12</f>
        <v>23018.506829227623</v>
      </c>
      <c r="F25" s="15">
        <f>$M$17*$M$10/$M$12</f>
        <v>8777.7535060455211</v>
      </c>
      <c r="G25" s="17"/>
      <c r="H25" s="17"/>
      <c r="I25" s="17"/>
      <c r="J25" s="17"/>
      <c r="K25" s="17"/>
      <c r="L25" s="32" t="s">
        <v>712</v>
      </c>
      <c r="M25" s="32">
        <v>0</v>
      </c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</row>
    <row r="26" spans="1:30" ht="12" customHeight="1" x14ac:dyDescent="0.2">
      <c r="A26" s="117"/>
      <c r="B26" s="117"/>
      <c r="C26" s="18" t="s">
        <v>670</v>
      </c>
      <c r="D26" s="15">
        <f>$M$14*$M$9</f>
        <v>2117197.9569396554</v>
      </c>
      <c r="E26" s="15">
        <f>$M$16*$M$9/$M$12</f>
        <v>93138.397111536353</v>
      </c>
      <c r="F26" s="15">
        <f>$M$17*$M$9/$M$12</f>
        <v>35516.895073105865</v>
      </c>
      <c r="G26" s="17"/>
      <c r="H26" s="17"/>
      <c r="I26" s="17"/>
      <c r="J26" s="17"/>
      <c r="K26" s="17"/>
      <c r="L26" s="32" t="s">
        <v>713</v>
      </c>
      <c r="M26" s="32">
        <v>0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</row>
    <row r="27" spans="1:30" ht="12" customHeight="1" x14ac:dyDescent="0.2">
      <c r="A27" s="117"/>
      <c r="B27" s="117"/>
      <c r="C27" s="18" t="s">
        <v>671</v>
      </c>
      <c r="D27" s="15">
        <v>259702.41465416804</v>
      </c>
      <c r="E27" s="15">
        <v>9335.0738691690512</v>
      </c>
      <c r="F27" s="15">
        <v>0</v>
      </c>
      <c r="G27" s="17"/>
      <c r="H27" s="17"/>
      <c r="I27" s="17"/>
      <c r="J27" s="17"/>
      <c r="K27" s="17"/>
      <c r="L27" s="32" t="s">
        <v>714</v>
      </c>
      <c r="M27" s="32">
        <v>0</v>
      </c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</row>
    <row r="28" spans="1:30" ht="12" customHeight="1" x14ac:dyDescent="0.2">
      <c r="A28" s="117"/>
      <c r="B28" s="118"/>
      <c r="C28" s="18" t="s">
        <v>653</v>
      </c>
      <c r="D28" s="15">
        <f>SUM(D$24:D27)</f>
        <v>17735469.210784677</v>
      </c>
      <c r="E28" s="15">
        <f>SUM(E$24:E27)</f>
        <v>778117.65385963186</v>
      </c>
      <c r="F28" s="15">
        <f>SUM(F$24:F27)</f>
        <v>293163.41137860145</v>
      </c>
      <c r="G28" s="17"/>
      <c r="H28" s="17"/>
      <c r="I28" s="17"/>
      <c r="J28" s="17"/>
      <c r="K28" s="17"/>
      <c r="L28" s="32" t="s">
        <v>715</v>
      </c>
      <c r="M28" s="32">
        <v>0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</row>
    <row r="29" spans="1:30" ht="12" customHeight="1" x14ac:dyDescent="0.2">
      <c r="A29" s="118"/>
      <c r="B29" s="112" t="s">
        <v>653</v>
      </c>
      <c r="C29" s="114"/>
      <c r="D29" s="15">
        <f>SUMIF(C$2:C28,"SUBTOTAL",D$2:D28)</f>
        <v>214221929.5258252</v>
      </c>
      <c r="E29" s="15">
        <f>SUMIF(C$2:C28,"SUBTOTAL",E$2:E28)</f>
        <v>-3114749.7798242448</v>
      </c>
      <c r="F29" s="15">
        <f>SUMIF(C$2:C28,"SUBTOTAL",F$2:F28)</f>
        <v>17727212.622178931</v>
      </c>
      <c r="G29" s="17"/>
      <c r="H29" s="17"/>
      <c r="I29" s="17"/>
      <c r="J29" s="17"/>
      <c r="K29" s="17"/>
      <c r="L29" s="32" t="s">
        <v>716</v>
      </c>
      <c r="M29" s="32">
        <v>0</v>
      </c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</row>
    <row r="30" spans="1:30" ht="12" customHeight="1" x14ac:dyDescent="0.2">
      <c r="A30" s="116" t="s">
        <v>672</v>
      </c>
      <c r="B30" s="116" t="s">
        <v>645</v>
      </c>
      <c r="C30" s="18" t="s">
        <v>647</v>
      </c>
      <c r="D30" s="15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1547247.5504463778</v>
      </c>
      <c r="E30" s="15">
        <f>IF((D30+D$4)&lt;&gt;0,$M$20*D30/(D30+D$4),0)</f>
        <v>1.6251823968117272</v>
      </c>
      <c r="F30" s="15">
        <f>IF((D30+D$4)&lt;&gt;0,$M$21*D30/(D30+D$4),0)</f>
        <v>0</v>
      </c>
      <c r="G30" s="17"/>
      <c r="H30" s="17"/>
      <c r="I30" s="17"/>
      <c r="J30" s="17"/>
      <c r="K30" s="17"/>
      <c r="L30" s="32" t="s">
        <v>717</v>
      </c>
      <c r="M30" s="32">
        <v>0</v>
      </c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</row>
    <row r="31" spans="1:30" ht="12" customHeight="1" x14ac:dyDescent="0.2">
      <c r="A31" s="117"/>
      <c r="B31" s="117"/>
      <c r="C31" s="18" t="s">
        <v>673</v>
      </c>
      <c r="D31" s="15">
        <v>13955488.450000001</v>
      </c>
      <c r="E31" s="15">
        <v>-1927337.176929784</v>
      </c>
      <c r="F31" s="15">
        <v>4743030.0866999999</v>
      </c>
      <c r="G31" s="17"/>
      <c r="H31" s="17"/>
      <c r="I31" s="17"/>
      <c r="J31" s="17"/>
      <c r="K31" s="17"/>
      <c r="L31" s="32" t="s">
        <v>718</v>
      </c>
      <c r="M31" s="32">
        <v>0</v>
      </c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</row>
    <row r="32" spans="1:30" ht="12" customHeight="1" x14ac:dyDescent="0.2">
      <c r="A32" s="117"/>
      <c r="B32" s="117"/>
      <c r="C32" s="18" t="s">
        <v>674</v>
      </c>
      <c r="D32" s="15">
        <v>0</v>
      </c>
      <c r="E32" s="15">
        <v>0</v>
      </c>
      <c r="F32" s="15">
        <v>0</v>
      </c>
      <c r="G32" s="17"/>
      <c r="H32" s="17"/>
      <c r="I32" s="17"/>
      <c r="J32" s="17"/>
      <c r="K32" s="17"/>
      <c r="L32" s="32" t="s">
        <v>719</v>
      </c>
      <c r="M32" s="32">
        <v>0.45</v>
      </c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</row>
    <row r="33" spans="1:30" ht="12" customHeight="1" x14ac:dyDescent="0.2">
      <c r="A33" s="117"/>
      <c r="B33" s="117"/>
      <c r="C33" s="18" t="s">
        <v>733</v>
      </c>
      <c r="D33" s="15">
        <v>5157975.3383182185</v>
      </c>
      <c r="E33" s="15">
        <v>75017.44241902011</v>
      </c>
      <c r="F33" s="15">
        <v>354705.17188565916</v>
      </c>
      <c r="G33" s="17"/>
      <c r="H33" s="17"/>
      <c r="I33" s="17"/>
      <c r="J33" s="17"/>
      <c r="K33" s="17"/>
      <c r="L33" s="32" t="s">
        <v>720</v>
      </c>
      <c r="M33" s="32">
        <v>0.4</v>
      </c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</row>
    <row r="34" spans="1:30" ht="12" customHeight="1" x14ac:dyDescent="0.2">
      <c r="A34" s="117"/>
      <c r="B34" s="117"/>
      <c r="C34" s="18" t="s">
        <v>675</v>
      </c>
      <c r="D34" s="15">
        <v>-8064467.3899999997</v>
      </c>
      <c r="E34" s="15"/>
      <c r="F34" s="15"/>
      <c r="G34" s="17"/>
      <c r="H34" s="17"/>
      <c r="I34" s="17"/>
      <c r="J34" s="17"/>
      <c r="K34" s="17"/>
      <c r="L34" s="32" t="s">
        <v>721</v>
      </c>
      <c r="M34" s="32">
        <v>0.65</v>
      </c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</row>
    <row r="35" spans="1:30" ht="12" customHeight="1" x14ac:dyDescent="0.2">
      <c r="A35" s="117"/>
      <c r="B35" s="118"/>
      <c r="C35" s="18" t="s">
        <v>653</v>
      </c>
      <c r="D35" s="15">
        <f>SUM(D$30:D34)</f>
        <v>12596243.948764596</v>
      </c>
      <c r="E35" s="15">
        <f>SUM(E$30:E34)</f>
        <v>-1852318.1093283673</v>
      </c>
      <c r="F35" s="15">
        <f>SUM(F$30:F34)</f>
        <v>5097735.2585856589</v>
      </c>
      <c r="G35" s="17"/>
      <c r="H35" s="17"/>
      <c r="I35" s="17"/>
      <c r="J35" s="17"/>
      <c r="K35" s="17"/>
      <c r="L35" s="32" t="s">
        <v>722</v>
      </c>
      <c r="M35" s="32">
        <v>0.4</v>
      </c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</row>
    <row r="36" spans="1:30" ht="12" customHeight="1" x14ac:dyDescent="0.2">
      <c r="A36" s="117"/>
      <c r="B36" s="116" t="s">
        <v>676</v>
      </c>
      <c r="C36" s="18" t="s">
        <v>677</v>
      </c>
      <c r="D36" s="15">
        <f>$M$14*($M$12-$M$7)</f>
        <v>125601206.97116724</v>
      </c>
      <c r="E36" s="15">
        <f>$M$16*($M$12-$M$7)/$M$12</f>
        <v>5525366.701882883</v>
      </c>
      <c r="F36" s="15">
        <f>$M$17*($M$12-$M$7)/$M$12</f>
        <v>2107013.5999463112</v>
      </c>
      <c r="G36" s="17"/>
      <c r="H36" s="17"/>
      <c r="I36" s="17"/>
      <c r="J36" s="17"/>
      <c r="K36" s="17"/>
      <c r="L36" s="32" t="s">
        <v>723</v>
      </c>
      <c r="M36" s="32">
        <v>0.1</v>
      </c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</row>
    <row r="37" spans="1:30" ht="12" customHeight="1" x14ac:dyDescent="0.2">
      <c r="A37" s="117"/>
      <c r="B37" s="118"/>
      <c r="C37" s="18" t="s">
        <v>653</v>
      </c>
      <c r="D37" s="15">
        <f>SUM(D$36:D36)</f>
        <v>125601206.97116724</v>
      </c>
      <c r="E37" s="15">
        <f>SUM(E$36:E36)</f>
        <v>5525366.701882883</v>
      </c>
      <c r="F37" s="15">
        <f>SUM(F$36:F36)</f>
        <v>2107013.5999463112</v>
      </c>
      <c r="G37" s="17"/>
      <c r="H37" s="17"/>
      <c r="I37" s="17"/>
      <c r="J37" s="17"/>
      <c r="K37" s="17"/>
      <c r="L37" s="32" t="s">
        <v>724</v>
      </c>
      <c r="M37" s="32">
        <v>0</v>
      </c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</row>
    <row r="38" spans="1:30" ht="12" customHeight="1" x14ac:dyDescent="0.2">
      <c r="A38" s="117"/>
      <c r="B38" s="116" t="s">
        <v>654</v>
      </c>
      <c r="C38" s="18" t="s">
        <v>678</v>
      </c>
      <c r="D38" s="15">
        <v>3309508.075408096</v>
      </c>
      <c r="E38" s="15">
        <v>229031.73735434609</v>
      </c>
      <c r="F38" s="15">
        <v>636967.30110000004</v>
      </c>
      <c r="G38" s="17"/>
      <c r="H38" s="17"/>
      <c r="I38" s="17"/>
      <c r="J38" s="17"/>
      <c r="K38" s="17"/>
      <c r="L38" s="32" t="s">
        <v>725</v>
      </c>
      <c r="M38" s="32">
        <f>IFERROR(VLOOKUP("Convencional1RuralNão se aplicaRURALB2",Descontos!B1:U88,VLOOKUP("Convencional1RuralNão se aplicaRURALB2",Descontos!B1:U88,20,FALSE)+12,FALSE),100)</f>
        <v>0.06</v>
      </c>
      <c r="N38" s="17" t="s">
        <v>782</v>
      </c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</row>
    <row r="39" spans="1:30" ht="12" customHeight="1" x14ac:dyDescent="0.2">
      <c r="A39" s="117"/>
      <c r="B39" s="117"/>
      <c r="C39" s="18" t="s">
        <v>679</v>
      </c>
      <c r="D39" s="15">
        <v>2280040.2482939754</v>
      </c>
      <c r="E39" s="15">
        <v>190800.61359658238</v>
      </c>
      <c r="F39" s="15">
        <f>IF((+$D$11+$D$12+$D$16+$D$17+$D$39)&lt;&gt;0,$M$19*$D$39/(+$D$11+$D$12+$D$16+$D$17+$D$39),0)</f>
        <v>109099.95011400947</v>
      </c>
      <c r="G39" s="17"/>
      <c r="H39" s="17"/>
      <c r="I39" s="17"/>
      <c r="J39" s="17"/>
      <c r="K39" s="17"/>
      <c r="L39" s="32" t="s">
        <v>726</v>
      </c>
      <c r="M39" s="32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7">
        <v>0.3</v>
      </c>
      <c r="O39" s="17" t="s">
        <v>799</v>
      </c>
      <c r="P39" s="17" t="s">
        <v>800</v>
      </c>
      <c r="Q39" s="17" t="s">
        <v>801</v>
      </c>
      <c r="R39" s="17" t="s">
        <v>802</v>
      </c>
      <c r="S39" s="17" t="s">
        <v>1</v>
      </c>
      <c r="T39" s="17" t="s">
        <v>803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</row>
    <row r="40" spans="1:30" ht="12" customHeight="1" x14ac:dyDescent="0.25">
      <c r="A40" s="117"/>
      <c r="B40" s="117"/>
      <c r="C40" s="18" t="s">
        <v>680</v>
      </c>
      <c r="D40" s="15"/>
      <c r="E40" s="15">
        <v>0</v>
      </c>
      <c r="F40" s="15">
        <v>0</v>
      </c>
      <c r="G40" s="17"/>
      <c r="H40" s="17"/>
      <c r="I40" s="17"/>
      <c r="J40" s="17"/>
      <c r="K40" s="17"/>
      <c r="L40" s="32" t="s">
        <v>727</v>
      </c>
      <c r="M40" s="32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7">
        <v>0.4</v>
      </c>
      <c r="O40" s="51"/>
      <c r="P40" s="51"/>
      <c r="Q40" s="51"/>
      <c r="R40" s="51"/>
      <c r="S40" s="51"/>
      <c r="T40" s="51"/>
      <c r="U40" s="17"/>
      <c r="V40" s="17"/>
      <c r="W40" s="17"/>
      <c r="X40" s="17"/>
      <c r="Y40" s="17"/>
      <c r="Z40" s="17"/>
      <c r="AA40" s="17"/>
      <c r="AB40" s="17"/>
      <c r="AC40" s="17"/>
      <c r="AD40" s="17"/>
    </row>
    <row r="41" spans="1:30" ht="12" customHeight="1" x14ac:dyDescent="0.25">
      <c r="A41" s="117"/>
      <c r="B41" s="118"/>
      <c r="C41" s="18" t="s">
        <v>653</v>
      </c>
      <c r="D41" s="15">
        <f>SUM(D$38:D40)</f>
        <v>5589548.3237020709</v>
      </c>
      <c r="E41" s="15">
        <f>SUM(E$38:E40)</f>
        <v>419832.35095092846</v>
      </c>
      <c r="F41" s="15">
        <f>SUM(F$38:F40)</f>
        <v>746067.25121400948</v>
      </c>
      <c r="G41" s="17"/>
      <c r="H41" s="17"/>
      <c r="I41" s="17"/>
      <c r="J41" s="17"/>
      <c r="K41" s="17"/>
      <c r="L41" s="17"/>
      <c r="M41" s="17"/>
      <c r="N41" s="17"/>
      <c r="O41" s="51"/>
      <c r="P41" s="51"/>
      <c r="Q41" s="51"/>
      <c r="R41" s="51"/>
      <c r="S41" s="51"/>
      <c r="T41" s="51"/>
      <c r="U41" s="17"/>
      <c r="V41" s="17"/>
      <c r="W41" s="17"/>
      <c r="X41" s="17"/>
      <c r="Y41" s="17"/>
      <c r="Z41" s="17"/>
      <c r="AA41" s="17"/>
      <c r="AB41" s="17"/>
      <c r="AC41" s="17"/>
      <c r="AD41" s="17"/>
    </row>
    <row r="42" spans="1:30" ht="12" customHeight="1" x14ac:dyDescent="0.25">
      <c r="A42" s="117"/>
      <c r="B42" s="116" t="s">
        <v>664</v>
      </c>
      <c r="C42" s="18" t="s">
        <v>665</v>
      </c>
      <c r="D42" s="15"/>
      <c r="E42" s="15">
        <f>IF($D$47&lt;&gt;0,($D$46/$D$47)* -10677275.9446455,0)+0</f>
        <v>-4356753.4902680693</v>
      </c>
      <c r="F42" s="15"/>
      <c r="G42" s="17"/>
      <c r="H42" s="17"/>
      <c r="I42" s="17"/>
      <c r="J42" s="17"/>
      <c r="K42" s="17"/>
      <c r="L42" s="17"/>
      <c r="M42" s="17"/>
      <c r="N42" s="17"/>
      <c r="O42" s="51"/>
      <c r="P42" s="51"/>
      <c r="Q42" s="51"/>
      <c r="R42" s="51"/>
      <c r="S42" s="51"/>
      <c r="T42" s="51"/>
      <c r="U42" s="17"/>
      <c r="V42" s="17"/>
      <c r="W42" s="17"/>
      <c r="X42" s="17"/>
      <c r="Y42" s="17"/>
      <c r="Z42" s="17"/>
      <c r="AA42" s="17"/>
      <c r="AB42" s="17"/>
      <c r="AC42" s="17"/>
      <c r="AD42" s="17"/>
    </row>
    <row r="43" spans="1:30" ht="12" customHeight="1" x14ac:dyDescent="0.25">
      <c r="A43" s="117"/>
      <c r="B43" s="118"/>
      <c r="C43" s="18" t="s">
        <v>653</v>
      </c>
      <c r="D43" s="15">
        <f>SUM(D$42:D42)</f>
        <v>0</v>
      </c>
      <c r="E43" s="15">
        <f>SUM(E$42:E42)</f>
        <v>-4356753.4902680693</v>
      </c>
      <c r="F43" s="15">
        <f>SUM(F$42:F42)</f>
        <v>0</v>
      </c>
      <c r="G43" s="17"/>
      <c r="H43" s="17"/>
      <c r="I43" s="17"/>
      <c r="J43" s="17"/>
      <c r="K43" s="17"/>
      <c r="L43" s="17"/>
      <c r="M43" s="17"/>
      <c r="N43" s="17"/>
      <c r="O43" s="51"/>
      <c r="P43" s="51"/>
      <c r="Q43" s="51"/>
      <c r="R43" s="51"/>
      <c r="S43" s="51"/>
      <c r="T43" s="51"/>
      <c r="U43" s="17"/>
      <c r="V43" s="17"/>
      <c r="W43" s="17"/>
      <c r="X43" s="17"/>
      <c r="Y43" s="17"/>
      <c r="Z43" s="17"/>
      <c r="AA43" s="17"/>
      <c r="AB43" s="17"/>
      <c r="AC43" s="17"/>
      <c r="AD43" s="17"/>
    </row>
    <row r="44" spans="1:30" ht="12" customHeight="1" x14ac:dyDescent="0.25">
      <c r="A44" s="117"/>
      <c r="B44" s="116" t="s">
        <v>667</v>
      </c>
      <c r="C44" s="18" t="s">
        <v>681</v>
      </c>
      <c r="D44" s="15">
        <f>$M$14*$M$11</f>
        <v>3876765.2458366361</v>
      </c>
      <c r="E44" s="15">
        <f>$M$16*$M$11/$M$12</f>
        <v>170544.13820465765</v>
      </c>
      <c r="F44" s="15">
        <f>$M$17*$M$11/$M$12</f>
        <v>65034.383775086797</v>
      </c>
      <c r="G44" s="17"/>
      <c r="H44" s="17"/>
      <c r="I44" s="17"/>
      <c r="J44" s="17"/>
      <c r="K44" s="17"/>
      <c r="L44" s="17"/>
      <c r="M44" s="17"/>
      <c r="N44" s="17"/>
      <c r="O44" s="51"/>
      <c r="P44" s="51"/>
      <c r="Q44" s="51"/>
      <c r="R44" s="51"/>
      <c r="S44" s="51"/>
      <c r="T44" s="51"/>
      <c r="U44" s="17"/>
      <c r="V44" s="17"/>
      <c r="W44" s="17"/>
      <c r="X44" s="17"/>
      <c r="Y44" s="17"/>
      <c r="Z44" s="17"/>
      <c r="AA44" s="17"/>
      <c r="AB44" s="17"/>
      <c r="AC44" s="17"/>
      <c r="AD44" s="17"/>
    </row>
    <row r="45" spans="1:30" ht="12" customHeight="1" x14ac:dyDescent="0.25">
      <c r="A45" s="117"/>
      <c r="B45" s="118"/>
      <c r="C45" s="18" t="s">
        <v>653</v>
      </c>
      <c r="D45" s="15">
        <f>SUM(D$44:D44)</f>
        <v>3876765.2458366361</v>
      </c>
      <c r="E45" s="15">
        <f>SUM(E$44:E44)</f>
        <v>170544.13820465765</v>
      </c>
      <c r="F45" s="15">
        <f>SUM(F$44:F44)</f>
        <v>65034.383775086797</v>
      </c>
      <c r="G45" s="17"/>
      <c r="H45" s="17"/>
      <c r="I45" s="17"/>
      <c r="J45" s="17"/>
      <c r="K45" s="17"/>
      <c r="L45" s="17"/>
      <c r="M45" s="17"/>
      <c r="N45" s="17"/>
      <c r="O45" s="51"/>
      <c r="P45" s="51"/>
      <c r="Q45" s="51"/>
      <c r="R45" s="51"/>
      <c r="S45" s="51"/>
      <c r="T45" s="51"/>
      <c r="U45" s="17"/>
      <c r="V45" s="17"/>
      <c r="W45" s="17"/>
      <c r="X45" s="17"/>
      <c r="Y45" s="17"/>
      <c r="Z45" s="17"/>
      <c r="AA45" s="17"/>
      <c r="AB45" s="17"/>
      <c r="AC45" s="17"/>
      <c r="AD45" s="17"/>
    </row>
    <row r="46" spans="1:30" ht="12" customHeight="1" x14ac:dyDescent="0.25">
      <c r="A46" s="118"/>
      <c r="B46" s="112" t="s">
        <v>653</v>
      </c>
      <c r="C46" s="114"/>
      <c r="D46" s="15">
        <f>SUMIF(C$30:C45,"SUBTOTAL",D$30:D45)</f>
        <v>147663764.48947054</v>
      </c>
      <c r="E46" s="15">
        <f>SUMIF(C$30:C45,"SUBTOTAL",E$30:E45)</f>
        <v>-93328.408557967574</v>
      </c>
      <c r="F46" s="15">
        <f>SUMIF(C$30:C45,"SUBTOTAL",F$30:F45)</f>
        <v>8015850.4935210673</v>
      </c>
      <c r="G46" s="17"/>
      <c r="H46" s="17"/>
      <c r="I46" s="17"/>
      <c r="J46" s="17"/>
      <c r="K46" s="17"/>
      <c r="L46" s="17"/>
      <c r="M46" s="17"/>
      <c r="N46" s="17"/>
      <c r="O46" s="51"/>
      <c r="P46" s="51"/>
      <c r="Q46" s="51"/>
      <c r="R46" s="51"/>
      <c r="S46" s="51"/>
      <c r="T46" s="51"/>
      <c r="U46" s="17"/>
      <c r="V46" s="17"/>
      <c r="W46" s="17"/>
      <c r="X46" s="17"/>
      <c r="Y46" s="17"/>
      <c r="Z46" s="17"/>
      <c r="AA46" s="17"/>
      <c r="AB46" s="17"/>
      <c r="AC46" s="17"/>
      <c r="AD46" s="17"/>
    </row>
    <row r="47" spans="1:30" ht="12" customHeight="1" x14ac:dyDescent="0.25">
      <c r="A47" s="112" t="s">
        <v>682</v>
      </c>
      <c r="B47" s="113"/>
      <c r="C47" s="114"/>
      <c r="D47" s="15">
        <f>SUMIF(C$2:C46,"SUBTOTAL",D$2:D46)</f>
        <v>361885694.01529574</v>
      </c>
      <c r="E47" s="15">
        <f>SUMIF(C$2:C46,"SUBTOTAL",E$2:E46)</f>
        <v>-3208078.188382213</v>
      </c>
      <c r="F47" s="15">
        <f>SUMIF(C$2:C46,"SUBTOTAL",F$2:F46)</f>
        <v>25743063.115699995</v>
      </c>
      <c r="G47" s="17">
        <f>D47+E47+F47</f>
        <v>384420678.94261354</v>
      </c>
      <c r="H47" s="17">
        <f ca="1">EFEITO!AU9+SUM(SUBSIDIO!AJ2:AJ9)</f>
        <v>384420678.94261342</v>
      </c>
      <c r="I47" s="17"/>
      <c r="J47" s="17"/>
      <c r="K47" s="17"/>
      <c r="L47" s="17"/>
      <c r="M47" s="17"/>
      <c r="N47" s="17"/>
      <c r="O47" s="51"/>
      <c r="P47" s="51"/>
      <c r="Q47" s="51"/>
      <c r="R47" s="51"/>
      <c r="S47" s="51"/>
      <c r="T47" s="51"/>
      <c r="U47" s="17"/>
      <c r="V47" s="17"/>
      <c r="W47" s="17"/>
      <c r="X47" s="17"/>
      <c r="Y47" s="17"/>
      <c r="Z47" s="17"/>
      <c r="AA47" s="17"/>
      <c r="AB47" s="17"/>
      <c r="AC47" s="17"/>
      <c r="AD47" s="17"/>
    </row>
    <row r="48" spans="1:30" ht="12" customHeight="1" x14ac:dyDescent="0.25">
      <c r="A48" s="110" t="s">
        <v>774</v>
      </c>
      <c r="B48" s="111"/>
      <c r="C48" s="111"/>
      <c r="D48" s="42">
        <f ca="1">'TUSD BE'!$AM$53+'TUSD BE'!$AM$57+'TE BE'!$AB$43</f>
        <v>361885694.01529574</v>
      </c>
      <c r="E48" s="42">
        <f ca="1">'TUSD BF'!$AM$53+'TE BF'!$AB$43</f>
        <v>-3208078.188382213</v>
      </c>
      <c r="F48" s="42">
        <f ca="1">'TUSD CVA'!$AM$53+'TE CVA'!$AB$43</f>
        <v>25743063.115699999</v>
      </c>
      <c r="H48" s="85" t="str">
        <f ca="1">IF(ABS(G47-H47)&gt;1,"ERRO","OK")</f>
        <v>OK</v>
      </c>
      <c r="L48" s="90"/>
      <c r="M48" s="32"/>
      <c r="O48" s="51"/>
      <c r="P48" s="51"/>
      <c r="Q48" s="51"/>
      <c r="R48" s="51"/>
      <c r="S48" s="51"/>
      <c r="T48" s="51"/>
    </row>
    <row r="49" spans="1:20" ht="12" customHeight="1" x14ac:dyDescent="0.25">
      <c r="A49" s="110" t="s">
        <v>775</v>
      </c>
      <c r="B49" s="111"/>
      <c r="C49" s="111"/>
      <c r="D49" s="43" t="str">
        <f ca="1">IF(ABS(D48-D47)&gt;1,"ERRO","OK")</f>
        <v>OK</v>
      </c>
      <c r="E49" s="43" t="str">
        <f ca="1">IF(ABS(E48-E47)&gt;1,"ERRO","OK")</f>
        <v>OK</v>
      </c>
      <c r="F49" s="43" t="str">
        <f ca="1">IF(ABS(F48-F47)&gt;1,"ERRO","OK")</f>
        <v>OK</v>
      </c>
      <c r="L49" s="90"/>
      <c r="M49" s="32"/>
      <c r="O49" s="51"/>
      <c r="P49" s="51"/>
      <c r="Q49" s="51"/>
      <c r="R49" s="51"/>
      <c r="S49" s="51"/>
      <c r="T49" s="51"/>
    </row>
    <row r="50" spans="1:20" ht="12" customHeight="1" x14ac:dyDescent="0.25">
      <c r="L50" s="90"/>
      <c r="M50" s="32"/>
      <c r="O50" s="51"/>
      <c r="P50" s="51"/>
      <c r="Q50" s="51"/>
      <c r="R50" s="51"/>
      <c r="S50" s="51"/>
      <c r="T50" s="51"/>
    </row>
    <row r="51" spans="1:20" ht="12" customHeight="1" x14ac:dyDescent="0.25">
      <c r="L51" s="68" t="s">
        <v>728</v>
      </c>
      <c r="M51" s="76">
        <v>0</v>
      </c>
      <c r="O51" s="51"/>
      <c r="P51" s="51"/>
      <c r="Q51" s="51"/>
      <c r="R51" s="51"/>
      <c r="S51" s="51"/>
      <c r="T51" s="51"/>
    </row>
    <row r="52" spans="1:20" ht="12" customHeight="1" x14ac:dyDescent="0.25">
      <c r="C52" s="16" t="s">
        <v>1265</v>
      </c>
      <c r="D52" s="86">
        <v>361885694.01529574</v>
      </c>
      <c r="E52" s="86">
        <v>22534984.927317794</v>
      </c>
      <c r="O52" s="51"/>
      <c r="P52" s="51"/>
      <c r="Q52" s="51"/>
      <c r="R52" s="51"/>
      <c r="S52" s="51"/>
      <c r="T52" s="51"/>
    </row>
    <row r="53" spans="1:20" ht="12" customHeight="1" x14ac:dyDescent="0.25">
      <c r="D53" s="85" t="str">
        <f>IF(ABS(D52-D47)&gt;1,"ERRO","OK")</f>
        <v>OK</v>
      </c>
      <c r="E53" s="85" t="str">
        <f ca="1">IF(ABS(E48+F47-E52)&gt;1,"ERRO","OK")</f>
        <v>OK</v>
      </c>
      <c r="O53" s="51"/>
      <c r="P53" s="51"/>
      <c r="Q53" s="51"/>
      <c r="R53" s="51"/>
      <c r="S53" s="51"/>
      <c r="T53" s="51"/>
    </row>
    <row r="54" spans="1:20" ht="12" customHeight="1" x14ac:dyDescent="0.25">
      <c r="O54" s="51"/>
      <c r="P54" s="51"/>
      <c r="Q54" s="51"/>
      <c r="R54" s="51"/>
      <c r="S54" s="51"/>
      <c r="T54" s="51"/>
    </row>
    <row r="55" spans="1:20" ht="12" customHeight="1" x14ac:dyDescent="0.25">
      <c r="O55" s="51"/>
      <c r="P55" s="51"/>
      <c r="Q55" s="51"/>
      <c r="R55" s="51"/>
      <c r="S55" s="51"/>
      <c r="T55" s="51"/>
    </row>
    <row r="56" spans="1:20" ht="12" customHeight="1" x14ac:dyDescent="0.25">
      <c r="O56" s="51"/>
      <c r="P56" s="51"/>
      <c r="Q56" s="51"/>
      <c r="R56" s="51"/>
      <c r="S56" s="51"/>
      <c r="T56" s="51"/>
    </row>
    <row r="57" spans="1:20" ht="12" customHeight="1" x14ac:dyDescent="0.25">
      <c r="O57" s="51"/>
      <c r="P57" s="51"/>
      <c r="Q57" s="51"/>
      <c r="R57" s="51"/>
      <c r="S57" s="51"/>
      <c r="T57" s="51"/>
    </row>
    <row r="58" spans="1:20" ht="12" customHeight="1" x14ac:dyDescent="0.25">
      <c r="O58" s="51"/>
      <c r="P58" s="51"/>
      <c r="Q58" s="51"/>
      <c r="R58" s="51"/>
      <c r="S58" s="51"/>
      <c r="T58" s="51"/>
    </row>
    <row r="59" spans="1:20" ht="12" customHeight="1" x14ac:dyDescent="0.25">
      <c r="O59" s="51"/>
      <c r="P59" s="51"/>
      <c r="Q59" s="51"/>
      <c r="R59" s="51"/>
      <c r="S59" s="51"/>
      <c r="T59" s="51"/>
    </row>
    <row r="60" spans="1:20" ht="12" customHeight="1" x14ac:dyDescent="0.25">
      <c r="O60" s="51"/>
      <c r="P60" s="51"/>
      <c r="Q60" s="51"/>
      <c r="R60" s="51"/>
      <c r="S60" s="51"/>
      <c r="T60" s="51"/>
    </row>
    <row r="61" spans="1:20" ht="12" customHeight="1" x14ac:dyDescent="0.25">
      <c r="O61" s="51"/>
      <c r="P61" s="51"/>
      <c r="Q61" s="51"/>
      <c r="R61" s="51"/>
      <c r="S61" s="51"/>
      <c r="T61" s="51"/>
    </row>
    <row r="62" spans="1:20" ht="12" customHeight="1" x14ac:dyDescent="0.25">
      <c r="O62" s="51"/>
      <c r="P62" s="51"/>
      <c r="Q62" s="51"/>
      <c r="R62" s="51"/>
      <c r="S62" s="51"/>
      <c r="T62" s="51"/>
    </row>
    <row r="63" spans="1:20" ht="12" customHeight="1" x14ac:dyDescent="0.25">
      <c r="O63" s="51"/>
      <c r="P63" s="51"/>
      <c r="Q63" s="51"/>
      <c r="R63" s="51"/>
      <c r="S63" s="51"/>
      <c r="T63" s="51"/>
    </row>
    <row r="64" spans="1:20" ht="12" customHeight="1" x14ac:dyDescent="0.25">
      <c r="O64" s="51"/>
      <c r="P64" s="51"/>
      <c r="Q64" s="51"/>
      <c r="R64" s="51"/>
      <c r="S64" s="51"/>
      <c r="T64" s="51"/>
    </row>
    <row r="65" spans="15:20" ht="12" customHeight="1" x14ac:dyDescent="0.25">
      <c r="O65" s="51"/>
      <c r="P65" s="51"/>
      <c r="Q65" s="51"/>
      <c r="R65" s="51"/>
      <c r="S65" s="51"/>
      <c r="T65" s="51"/>
    </row>
    <row r="66" spans="15:20" ht="12" customHeight="1" x14ac:dyDescent="0.25">
      <c r="O66" s="51"/>
      <c r="P66" s="51"/>
      <c r="Q66" s="51"/>
      <c r="R66" s="51"/>
      <c r="S66" s="51"/>
      <c r="T66" s="51"/>
    </row>
    <row r="67" spans="15:20" ht="12" customHeight="1" x14ac:dyDescent="0.25">
      <c r="O67" s="51"/>
      <c r="P67" s="51"/>
      <c r="Q67" s="51"/>
      <c r="R67" s="51"/>
      <c r="S67" s="51"/>
      <c r="T67" s="51"/>
    </row>
    <row r="68" spans="15:20" ht="12" customHeight="1" x14ac:dyDescent="0.25">
      <c r="O68" s="51"/>
      <c r="P68" s="51"/>
      <c r="Q68" s="51"/>
      <c r="R68" s="51"/>
      <c r="S68" s="51"/>
      <c r="T68" s="51"/>
    </row>
    <row r="69" spans="15:20" ht="12" customHeight="1" x14ac:dyDescent="0.25">
      <c r="O69" s="51"/>
      <c r="P69" s="51"/>
      <c r="Q69" s="51"/>
      <c r="R69" s="51"/>
      <c r="S69" s="51"/>
      <c r="T69" s="51"/>
    </row>
    <row r="70" spans="15:20" ht="12" customHeight="1" x14ac:dyDescent="0.25">
      <c r="O70" s="51"/>
      <c r="P70" s="51"/>
      <c r="Q70" s="51"/>
      <c r="R70" s="51"/>
      <c r="S70" s="51"/>
      <c r="T70" s="51"/>
    </row>
    <row r="71" spans="15:20" ht="12" customHeight="1" x14ac:dyDescent="0.25">
      <c r="O71" s="51"/>
      <c r="P71" s="51"/>
      <c r="Q71" s="51"/>
      <c r="R71" s="51"/>
      <c r="S71" s="51"/>
      <c r="T71" s="51"/>
    </row>
    <row r="72" spans="15:20" ht="12" customHeight="1" x14ac:dyDescent="0.25">
      <c r="O72" s="51"/>
      <c r="P72" s="51"/>
      <c r="Q72" s="51"/>
      <c r="R72" s="51"/>
      <c r="S72" s="51"/>
      <c r="T72" s="51"/>
    </row>
    <row r="73" spans="15:20" ht="12" customHeight="1" x14ac:dyDescent="0.25">
      <c r="O73" s="51"/>
      <c r="P73" s="51"/>
      <c r="Q73" s="51"/>
      <c r="R73" s="51"/>
      <c r="S73" s="51"/>
      <c r="T73" s="51"/>
    </row>
    <row r="74" spans="15:20" ht="12" customHeight="1" x14ac:dyDescent="0.25">
      <c r="O74" s="51"/>
      <c r="P74" s="51"/>
      <c r="Q74" s="51"/>
      <c r="R74" s="51"/>
      <c r="S74" s="51"/>
      <c r="T74" s="51"/>
    </row>
    <row r="75" spans="15:20" ht="12" customHeight="1" x14ac:dyDescent="0.25">
      <c r="O75" s="51"/>
      <c r="P75" s="51"/>
      <c r="Q75" s="51"/>
      <c r="R75" s="51"/>
      <c r="S75" s="51"/>
      <c r="T75" s="51"/>
    </row>
    <row r="76" spans="15:20" ht="12" customHeight="1" x14ac:dyDescent="0.25">
      <c r="O76" s="51"/>
      <c r="P76" s="51"/>
      <c r="Q76" s="51"/>
      <c r="R76" s="51"/>
      <c r="S76" s="51"/>
      <c r="T76" s="51"/>
    </row>
    <row r="77" spans="15:20" ht="12" customHeight="1" x14ac:dyDescent="0.25">
      <c r="O77" s="51"/>
      <c r="P77" s="51"/>
      <c r="Q77" s="51"/>
      <c r="R77" s="51"/>
      <c r="S77" s="51"/>
      <c r="T77" s="51"/>
    </row>
    <row r="78" spans="15:20" ht="12" customHeight="1" x14ac:dyDescent="0.25">
      <c r="O78" s="51"/>
      <c r="P78" s="51"/>
      <c r="Q78" s="51"/>
      <c r="R78" s="51"/>
      <c r="S78" s="51"/>
      <c r="T78" s="51"/>
    </row>
    <row r="79" spans="15:20" ht="12" customHeight="1" x14ac:dyDescent="0.25">
      <c r="O79" s="51"/>
      <c r="P79" s="51"/>
      <c r="Q79" s="51"/>
      <c r="R79" s="51"/>
      <c r="S79" s="51"/>
      <c r="T79" s="51"/>
    </row>
    <row r="80" spans="15:20" ht="12" customHeight="1" x14ac:dyDescent="0.25">
      <c r="O80" s="51"/>
      <c r="P80" s="51"/>
      <c r="Q80" s="51"/>
      <c r="R80" s="51"/>
      <c r="S80" s="51"/>
      <c r="T80" s="51"/>
    </row>
    <row r="81" spans="15:20" ht="12" customHeight="1" x14ac:dyDescent="0.25">
      <c r="O81" s="51"/>
      <c r="P81" s="51"/>
      <c r="Q81" s="51"/>
      <c r="R81" s="51"/>
      <c r="S81" s="51"/>
      <c r="T81" s="51"/>
    </row>
    <row r="82" spans="15:20" ht="12" customHeight="1" x14ac:dyDescent="0.25">
      <c r="O82" s="51"/>
      <c r="P82" s="51"/>
      <c r="Q82" s="51"/>
      <c r="R82" s="51"/>
      <c r="S82" s="51"/>
      <c r="T82" s="51"/>
    </row>
    <row r="83" spans="15:20" ht="12" customHeight="1" x14ac:dyDescent="0.25">
      <c r="O83" s="51"/>
      <c r="P83" s="51"/>
      <c r="Q83" s="51"/>
      <c r="R83" s="51"/>
      <c r="S83" s="51"/>
      <c r="T83" s="51"/>
    </row>
    <row r="84" spans="15:20" ht="12" customHeight="1" x14ac:dyDescent="0.25">
      <c r="O84" s="51"/>
      <c r="P84" s="51"/>
      <c r="Q84" s="51"/>
      <c r="R84" s="51"/>
      <c r="S84" s="51"/>
      <c r="T84" s="51"/>
    </row>
    <row r="85" spans="15:20" ht="12" customHeight="1" x14ac:dyDescent="0.25">
      <c r="O85" s="51"/>
      <c r="P85" s="51"/>
      <c r="Q85" s="51"/>
      <c r="R85" s="51"/>
      <c r="S85" s="51"/>
      <c r="T85" s="51"/>
    </row>
    <row r="86" spans="15:20" ht="12" customHeight="1" x14ac:dyDescent="0.25">
      <c r="O86" s="51"/>
      <c r="P86" s="51"/>
      <c r="Q86" s="51"/>
      <c r="R86" s="51"/>
      <c r="S86" s="51"/>
      <c r="T86" s="51"/>
    </row>
    <row r="87" spans="15:20" ht="12" customHeight="1" x14ac:dyDescent="0.25">
      <c r="O87" s="51"/>
      <c r="P87" s="51"/>
      <c r="Q87" s="51"/>
      <c r="R87" s="51"/>
      <c r="S87" s="51"/>
      <c r="T87" s="51"/>
    </row>
    <row r="88" spans="15:20" ht="12" customHeight="1" x14ac:dyDescent="0.25">
      <c r="O88" s="51"/>
      <c r="P88" s="51"/>
      <c r="Q88" s="51"/>
      <c r="R88" s="51"/>
      <c r="S88" s="51"/>
      <c r="T88" s="51"/>
    </row>
    <row r="89" spans="15:20" ht="12" customHeight="1" x14ac:dyDescent="0.25">
      <c r="O89" s="51"/>
      <c r="P89" s="51"/>
      <c r="Q89" s="51"/>
      <c r="R89" s="51"/>
      <c r="S89" s="51"/>
      <c r="T89" s="51"/>
    </row>
    <row r="90" spans="15:20" ht="12" customHeight="1" x14ac:dyDescent="0.25">
      <c r="O90" s="51"/>
      <c r="P90" s="51"/>
      <c r="Q90" s="51"/>
      <c r="R90" s="51"/>
      <c r="S90" s="51"/>
      <c r="T90" s="51"/>
    </row>
    <row r="91" spans="15:20" ht="12" customHeight="1" x14ac:dyDescent="0.25">
      <c r="O91" s="51"/>
      <c r="P91" s="51"/>
      <c r="Q91" s="51"/>
      <c r="R91" s="51"/>
      <c r="S91" s="51"/>
      <c r="T91" s="51"/>
    </row>
    <row r="92" spans="15:20" ht="12" customHeight="1" x14ac:dyDescent="0.25">
      <c r="O92" s="51"/>
      <c r="P92" s="51"/>
      <c r="Q92" s="51"/>
      <c r="R92" s="51"/>
      <c r="S92" s="51"/>
      <c r="T92" s="51"/>
    </row>
    <row r="93" spans="15:20" ht="12" customHeight="1" x14ac:dyDescent="0.25">
      <c r="O93" s="51"/>
      <c r="P93" s="51"/>
      <c r="Q93" s="51"/>
      <c r="R93" s="51"/>
      <c r="S93" s="51"/>
      <c r="T93" s="51"/>
    </row>
    <row r="94" spans="15:20" ht="12" customHeight="1" x14ac:dyDescent="0.25">
      <c r="O94" s="51"/>
      <c r="P94" s="51"/>
      <c r="Q94" s="51"/>
      <c r="R94" s="51"/>
      <c r="S94" s="51"/>
      <c r="T94" s="51"/>
    </row>
    <row r="95" spans="15:20" ht="12" customHeight="1" x14ac:dyDescent="0.25">
      <c r="O95" s="51"/>
      <c r="P95" s="51"/>
      <c r="Q95" s="51"/>
      <c r="R95" s="51"/>
      <c r="S95" s="51"/>
      <c r="T95" s="51"/>
    </row>
    <row r="96" spans="15:20" ht="12" customHeight="1" x14ac:dyDescent="0.25">
      <c r="O96" s="51"/>
      <c r="P96" s="51"/>
      <c r="Q96" s="51"/>
      <c r="R96" s="51"/>
      <c r="S96" s="51"/>
      <c r="T96" s="51"/>
    </row>
    <row r="97" spans="15:30" ht="12" customHeight="1" x14ac:dyDescent="0.25">
      <c r="O97" s="51"/>
      <c r="P97" s="51"/>
      <c r="Q97" s="51"/>
      <c r="R97" s="51"/>
      <c r="S97" s="51"/>
      <c r="T97" s="51"/>
    </row>
    <row r="98" spans="15:30" ht="12" customHeight="1" x14ac:dyDescent="0.25">
      <c r="O98" s="51"/>
      <c r="P98" s="51"/>
      <c r="Q98" s="51"/>
      <c r="R98" s="51"/>
      <c r="S98" s="51"/>
      <c r="T98" s="51"/>
    </row>
    <row r="99" spans="15:30" ht="12" customHeight="1" x14ac:dyDescent="0.25">
      <c r="O99" s="50"/>
      <c r="P99" s="50"/>
      <c r="Q99" s="50"/>
      <c r="R99" s="50"/>
      <c r="S99" s="50"/>
      <c r="T99" s="50"/>
    </row>
    <row r="100" spans="15:30" ht="12" customHeight="1" x14ac:dyDescent="0.25"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</row>
    <row r="101" spans="15:30" ht="12" customHeight="1" x14ac:dyDescent="0.25">
      <c r="O101" s="51" t="s">
        <v>799</v>
      </c>
      <c r="P101" s="51" t="s">
        <v>804</v>
      </c>
      <c r="Q101" s="51" t="s">
        <v>805</v>
      </c>
      <c r="R101" s="51" t="s">
        <v>806</v>
      </c>
      <c r="S101" s="51" t="s">
        <v>807</v>
      </c>
      <c r="T101" s="51" t="s">
        <v>808</v>
      </c>
      <c r="U101" s="51" t="s">
        <v>809</v>
      </c>
      <c r="V101" s="51" t="s">
        <v>810</v>
      </c>
      <c r="W101" s="51"/>
      <c r="X101" s="51"/>
      <c r="Y101" s="51"/>
      <c r="Z101" s="51"/>
      <c r="AA101" s="51"/>
      <c r="AB101" s="51"/>
      <c r="AC101" s="51"/>
      <c r="AD101" s="51"/>
    </row>
    <row r="102" spans="15:30" ht="12" customHeight="1" x14ac:dyDescent="0.25">
      <c r="O102" s="51" t="s">
        <v>38</v>
      </c>
      <c r="P102" s="51" t="s">
        <v>42</v>
      </c>
      <c r="Q102" s="51" t="s">
        <v>39</v>
      </c>
      <c r="R102" s="51" t="s">
        <v>44</v>
      </c>
      <c r="S102" s="51" t="s">
        <v>25</v>
      </c>
      <c r="T102" s="51" t="s">
        <v>811</v>
      </c>
      <c r="U102" s="51">
        <v>4</v>
      </c>
      <c r="V102" s="51">
        <v>0.1</v>
      </c>
      <c r="W102" s="51">
        <v>0.08</v>
      </c>
      <c r="X102" s="51">
        <v>0.06</v>
      </c>
      <c r="Y102" s="51">
        <v>0.04</v>
      </c>
      <c r="Z102" s="51">
        <v>0.02</v>
      </c>
      <c r="AA102" s="51">
        <v>0</v>
      </c>
      <c r="AB102" s="51"/>
      <c r="AC102" s="51"/>
      <c r="AD102" s="51"/>
    </row>
    <row r="103" spans="15:30" ht="12" customHeight="1" x14ac:dyDescent="0.25">
      <c r="O103" s="51" t="s">
        <v>38</v>
      </c>
      <c r="P103" s="51" t="s">
        <v>42</v>
      </c>
      <c r="Q103" s="51" t="s">
        <v>39</v>
      </c>
      <c r="R103" s="51" t="s">
        <v>49</v>
      </c>
      <c r="S103" s="51" t="s">
        <v>50</v>
      </c>
      <c r="T103" s="51" t="s">
        <v>812</v>
      </c>
      <c r="U103" s="51">
        <v>4</v>
      </c>
      <c r="V103" s="51">
        <v>0.15</v>
      </c>
      <c r="W103" s="51">
        <v>0.12</v>
      </c>
      <c r="X103" s="51">
        <v>0.09</v>
      </c>
      <c r="Y103" s="51">
        <v>0.06</v>
      </c>
      <c r="Z103" s="51">
        <v>0.03</v>
      </c>
      <c r="AA103" s="51">
        <v>0</v>
      </c>
      <c r="AB103" s="51"/>
      <c r="AC103" s="51"/>
      <c r="AD103" s="51"/>
    </row>
    <row r="104" spans="15:30" ht="12" customHeight="1" x14ac:dyDescent="0.25">
      <c r="O104" s="51" t="s">
        <v>38</v>
      </c>
      <c r="P104" s="51" t="s">
        <v>33</v>
      </c>
      <c r="Q104" s="51" t="s">
        <v>43</v>
      </c>
      <c r="R104" s="51" t="s">
        <v>44</v>
      </c>
      <c r="S104" s="51" t="s">
        <v>95</v>
      </c>
      <c r="T104" s="51" t="s">
        <v>812</v>
      </c>
      <c r="U104" s="51">
        <v>4</v>
      </c>
      <c r="V104" s="51">
        <v>0.3</v>
      </c>
      <c r="W104" s="51">
        <v>0.24</v>
      </c>
      <c r="X104" s="51">
        <v>0.18</v>
      </c>
      <c r="Y104" s="51">
        <v>0.12</v>
      </c>
      <c r="Z104" s="51">
        <v>0.06</v>
      </c>
      <c r="AA104" s="51">
        <v>0</v>
      </c>
      <c r="AB104" s="51"/>
      <c r="AC104" s="51"/>
      <c r="AD104" s="51"/>
    </row>
    <row r="105" spans="15:30" ht="12" customHeight="1" x14ac:dyDescent="0.25">
      <c r="O105" s="51" t="s">
        <v>38</v>
      </c>
      <c r="P105" s="51" t="s">
        <v>813</v>
      </c>
      <c r="Q105" s="51" t="s">
        <v>43</v>
      </c>
      <c r="R105" s="51" t="s">
        <v>44</v>
      </c>
      <c r="S105" s="51" t="s">
        <v>25</v>
      </c>
      <c r="T105" s="51" t="s">
        <v>44</v>
      </c>
      <c r="U105" s="51">
        <v>4</v>
      </c>
      <c r="V105" s="51">
        <v>0.3</v>
      </c>
      <c r="W105" s="51">
        <v>0.24</v>
      </c>
      <c r="X105" s="51">
        <v>0.18</v>
      </c>
      <c r="Y105" s="51">
        <v>0.12</v>
      </c>
      <c r="Z105" s="51">
        <v>0.06</v>
      </c>
      <c r="AA105" s="51">
        <v>0</v>
      </c>
      <c r="AB105" s="51"/>
      <c r="AC105" s="51"/>
      <c r="AD105" s="51"/>
    </row>
    <row r="106" spans="15:30" ht="12" customHeight="1" x14ac:dyDescent="0.25">
      <c r="O106" s="51" t="s">
        <v>38</v>
      </c>
      <c r="P106" s="51" t="s">
        <v>33</v>
      </c>
      <c r="Q106" s="51" t="s">
        <v>43</v>
      </c>
      <c r="R106" s="51" t="s">
        <v>44</v>
      </c>
      <c r="S106" s="51" t="s">
        <v>55</v>
      </c>
      <c r="T106" s="51" t="s">
        <v>812</v>
      </c>
      <c r="U106" s="51">
        <v>4</v>
      </c>
      <c r="V106" s="51">
        <v>0.4</v>
      </c>
      <c r="W106" s="51">
        <v>0.32</v>
      </c>
      <c r="X106" s="51">
        <v>0.24</v>
      </c>
      <c r="Y106" s="51">
        <v>0.16</v>
      </c>
      <c r="Z106" s="51">
        <v>0.08</v>
      </c>
      <c r="AA106" s="51">
        <v>0</v>
      </c>
      <c r="AB106" s="51"/>
      <c r="AC106" s="51"/>
      <c r="AD106" s="51"/>
    </row>
    <row r="107" spans="15:30" ht="12" customHeight="1" x14ac:dyDescent="0.25">
      <c r="O107" s="51" t="s">
        <v>38</v>
      </c>
      <c r="P107" s="51" t="s">
        <v>813</v>
      </c>
      <c r="Q107" s="51" t="s">
        <v>37</v>
      </c>
      <c r="R107" s="51" t="s">
        <v>49</v>
      </c>
      <c r="S107" s="51" t="s">
        <v>50</v>
      </c>
      <c r="T107" s="51" t="s">
        <v>812</v>
      </c>
      <c r="U107" s="51">
        <v>4</v>
      </c>
      <c r="V107" s="51">
        <v>0.15</v>
      </c>
      <c r="W107" s="51">
        <v>0.12</v>
      </c>
      <c r="X107" s="51">
        <v>0.09</v>
      </c>
      <c r="Y107" s="51">
        <v>0.06</v>
      </c>
      <c r="Z107" s="51">
        <v>0.03</v>
      </c>
      <c r="AA107" s="51">
        <v>0</v>
      </c>
      <c r="AB107" s="51"/>
      <c r="AC107" s="51"/>
      <c r="AD107" s="51"/>
    </row>
    <row r="108" spans="15:30" ht="12" customHeight="1" x14ac:dyDescent="0.25">
      <c r="O108" s="51" t="s">
        <v>38</v>
      </c>
      <c r="P108" s="51" t="s">
        <v>814</v>
      </c>
      <c r="Q108" s="51" t="s">
        <v>39</v>
      </c>
      <c r="R108" s="51" t="s">
        <v>44</v>
      </c>
      <c r="S108" s="51" t="s">
        <v>25</v>
      </c>
      <c r="T108" s="51" t="s">
        <v>811</v>
      </c>
      <c r="U108" s="51">
        <v>4</v>
      </c>
      <c r="V108" s="51">
        <v>0.1</v>
      </c>
      <c r="W108" s="51">
        <v>0.08</v>
      </c>
      <c r="X108" s="51">
        <v>0.06</v>
      </c>
      <c r="Y108" s="51">
        <v>0.04</v>
      </c>
      <c r="Z108" s="51">
        <v>0.02</v>
      </c>
      <c r="AA108" s="51">
        <v>0</v>
      </c>
      <c r="AB108" s="51"/>
      <c r="AC108" s="51"/>
      <c r="AD108" s="51"/>
    </row>
    <row r="109" spans="15:30" ht="12" customHeight="1" x14ac:dyDescent="0.25">
      <c r="O109" s="51" t="s">
        <v>38</v>
      </c>
      <c r="P109" s="51" t="s">
        <v>23</v>
      </c>
      <c r="Q109" s="51" t="s">
        <v>39</v>
      </c>
      <c r="R109" s="51" t="s">
        <v>49</v>
      </c>
      <c r="S109" s="51" t="s">
        <v>50</v>
      </c>
      <c r="T109" s="51" t="s">
        <v>812</v>
      </c>
      <c r="U109" s="51">
        <v>4</v>
      </c>
      <c r="V109" s="51">
        <v>0.15</v>
      </c>
      <c r="W109" s="51">
        <v>0.12</v>
      </c>
      <c r="X109" s="51">
        <v>0.09</v>
      </c>
      <c r="Y109" s="51">
        <v>0.06</v>
      </c>
      <c r="Z109" s="51">
        <v>0.03</v>
      </c>
      <c r="AA109" s="51">
        <v>0</v>
      </c>
      <c r="AB109" s="51"/>
      <c r="AC109" s="51"/>
      <c r="AD109" s="51"/>
    </row>
    <row r="110" spans="15:30" ht="12" customHeight="1" x14ac:dyDescent="0.25">
      <c r="O110" s="51" t="s">
        <v>38</v>
      </c>
      <c r="P110" s="51" t="s">
        <v>23</v>
      </c>
      <c r="Q110" s="51" t="s">
        <v>43</v>
      </c>
      <c r="R110" s="51" t="s">
        <v>44</v>
      </c>
      <c r="S110" s="51" t="s">
        <v>95</v>
      </c>
      <c r="T110" s="51" t="s">
        <v>812</v>
      </c>
      <c r="U110" s="51">
        <v>4</v>
      </c>
      <c r="V110" s="51">
        <v>0.3</v>
      </c>
      <c r="W110" s="51">
        <v>0.24</v>
      </c>
      <c r="X110" s="51">
        <v>0.18</v>
      </c>
      <c r="Y110" s="51">
        <v>0.12</v>
      </c>
      <c r="Z110" s="51">
        <v>0.06</v>
      </c>
      <c r="AA110" s="51">
        <v>0</v>
      </c>
      <c r="AB110" s="51"/>
      <c r="AC110" s="51"/>
      <c r="AD110" s="51"/>
    </row>
    <row r="111" spans="15:30" ht="12" customHeight="1" x14ac:dyDescent="0.25">
      <c r="O111" s="51" t="s">
        <v>38</v>
      </c>
      <c r="P111" s="51" t="s">
        <v>23</v>
      </c>
      <c r="Q111" s="51" t="s">
        <v>43</v>
      </c>
      <c r="R111" s="51" t="s">
        <v>44</v>
      </c>
      <c r="S111" s="51" t="s">
        <v>25</v>
      </c>
      <c r="T111" s="51" t="s">
        <v>44</v>
      </c>
      <c r="U111" s="51">
        <v>4</v>
      </c>
      <c r="V111" s="51">
        <v>0.3</v>
      </c>
      <c r="W111" s="51">
        <v>0.24</v>
      </c>
      <c r="X111" s="51">
        <v>0.18</v>
      </c>
      <c r="Y111" s="51">
        <v>0.12</v>
      </c>
      <c r="Z111" s="51">
        <v>0.06</v>
      </c>
      <c r="AA111" s="51">
        <v>0</v>
      </c>
      <c r="AB111" s="51"/>
      <c r="AC111" s="51"/>
      <c r="AD111" s="51"/>
    </row>
    <row r="112" spans="15:30" ht="12" customHeight="1" x14ac:dyDescent="0.25">
      <c r="O112" s="51" t="s">
        <v>38</v>
      </c>
      <c r="P112" s="51" t="s">
        <v>23</v>
      </c>
      <c r="Q112" s="51" t="s">
        <v>43</v>
      </c>
      <c r="R112" s="51" t="s">
        <v>44</v>
      </c>
      <c r="S112" s="51" t="s">
        <v>55</v>
      </c>
      <c r="T112" s="51" t="s">
        <v>812</v>
      </c>
      <c r="U112" s="51">
        <v>4</v>
      </c>
      <c r="V112" s="51">
        <v>0.4</v>
      </c>
      <c r="W112" s="51">
        <v>0.32</v>
      </c>
      <c r="X112" s="51">
        <v>0.24</v>
      </c>
      <c r="Y112" s="51">
        <v>0.16</v>
      </c>
      <c r="Z112" s="51">
        <v>0.08</v>
      </c>
      <c r="AA112" s="51">
        <v>0</v>
      </c>
      <c r="AB112" s="51"/>
      <c r="AC112" s="51"/>
      <c r="AD112" s="51"/>
    </row>
    <row r="113" spans="15:30" ht="12" customHeight="1" x14ac:dyDescent="0.25">
      <c r="O113" s="51" t="s">
        <v>38</v>
      </c>
      <c r="P113" s="51" t="s">
        <v>23</v>
      </c>
      <c r="Q113" s="51" t="s">
        <v>37</v>
      </c>
      <c r="R113" s="51" t="s">
        <v>49</v>
      </c>
      <c r="S113" s="51" t="s">
        <v>50</v>
      </c>
      <c r="T113" s="51" t="s">
        <v>812</v>
      </c>
      <c r="U113" s="51">
        <v>4</v>
      </c>
      <c r="V113" s="51">
        <v>0.15</v>
      </c>
      <c r="W113" s="51">
        <v>0.12</v>
      </c>
      <c r="X113" s="51">
        <v>0.09</v>
      </c>
      <c r="Y113" s="51">
        <v>0.06</v>
      </c>
      <c r="Z113" s="51">
        <v>0.03</v>
      </c>
      <c r="AA113" s="51">
        <v>0</v>
      </c>
      <c r="AB113" s="51"/>
      <c r="AC113" s="51"/>
      <c r="AD113" s="51"/>
    </row>
    <row r="114" spans="15:30" ht="12" customHeight="1" x14ac:dyDescent="0.25">
      <c r="O114" s="51" t="s">
        <v>38</v>
      </c>
      <c r="P114" s="51" t="s">
        <v>40</v>
      </c>
      <c r="Q114" s="51" t="s">
        <v>39</v>
      </c>
      <c r="R114" s="51" t="s">
        <v>44</v>
      </c>
      <c r="S114" s="51" t="s">
        <v>25</v>
      </c>
      <c r="T114" s="51" t="s">
        <v>811</v>
      </c>
      <c r="U114" s="51">
        <v>4</v>
      </c>
      <c r="V114" s="51">
        <v>0.1</v>
      </c>
      <c r="W114" s="51">
        <v>0.08</v>
      </c>
      <c r="X114" s="51">
        <v>0.06</v>
      </c>
      <c r="Y114" s="51">
        <v>0.04</v>
      </c>
      <c r="Z114" s="51">
        <v>0.02</v>
      </c>
      <c r="AA114" s="51">
        <v>0</v>
      </c>
      <c r="AB114" s="51"/>
      <c r="AC114" s="51"/>
      <c r="AD114" s="51"/>
    </row>
    <row r="115" spans="15:30" ht="12" customHeight="1" x14ac:dyDescent="0.25">
      <c r="O115" s="51" t="s">
        <v>38</v>
      </c>
      <c r="P115" s="51" t="s">
        <v>40</v>
      </c>
      <c r="Q115" s="51" t="s">
        <v>39</v>
      </c>
      <c r="R115" s="51" t="s">
        <v>49</v>
      </c>
      <c r="S115" s="51" t="s">
        <v>50</v>
      </c>
      <c r="T115" s="51" t="s">
        <v>812</v>
      </c>
      <c r="U115" s="51">
        <v>4</v>
      </c>
      <c r="V115" s="51">
        <v>0.15</v>
      </c>
      <c r="W115" s="51">
        <v>0.12</v>
      </c>
      <c r="X115" s="51">
        <v>0.09</v>
      </c>
      <c r="Y115" s="51">
        <v>0.06</v>
      </c>
      <c r="Z115" s="51">
        <v>0.03</v>
      </c>
      <c r="AA115" s="51">
        <v>0</v>
      </c>
      <c r="AB115" s="51"/>
      <c r="AC115" s="51"/>
      <c r="AD115" s="51"/>
    </row>
    <row r="116" spans="15:30" ht="12" customHeight="1" x14ac:dyDescent="0.25"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</row>
    <row r="117" spans="15:30" ht="12" customHeight="1" x14ac:dyDescent="0.25"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</row>
    <row r="118" spans="15:30" ht="12" customHeight="1" x14ac:dyDescent="0.25"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</row>
    <row r="119" spans="15:30" ht="12" customHeight="1" x14ac:dyDescent="0.25"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</row>
    <row r="120" spans="15:30" ht="12" customHeight="1" x14ac:dyDescent="0.25"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</row>
    <row r="121" spans="15:30" ht="12" customHeight="1" x14ac:dyDescent="0.25"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</row>
    <row r="122" spans="15:30" ht="12" customHeight="1" x14ac:dyDescent="0.25"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</row>
    <row r="123" spans="15:30" ht="12" customHeight="1" x14ac:dyDescent="0.25"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</row>
    <row r="124" spans="15:30" ht="12" customHeight="1" x14ac:dyDescent="0.25"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</row>
    <row r="125" spans="15:30" ht="12" customHeight="1" x14ac:dyDescent="0.25"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</row>
    <row r="126" spans="15:30" ht="12" customHeight="1" x14ac:dyDescent="0.25"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</row>
    <row r="127" spans="15:30" ht="12" customHeight="1" x14ac:dyDescent="0.25"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</row>
    <row r="128" spans="15:30" ht="12" customHeight="1" x14ac:dyDescent="0.25"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</row>
    <row r="129" spans="15:30" ht="12" customHeight="1" x14ac:dyDescent="0.25"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</row>
    <row r="130" spans="15:30" ht="12" customHeight="1" x14ac:dyDescent="0.25"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</row>
    <row r="131" spans="15:30" ht="12" customHeight="1" x14ac:dyDescent="0.25"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</row>
    <row r="132" spans="15:30" ht="12" customHeight="1" x14ac:dyDescent="0.25"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</row>
    <row r="133" spans="15:30" ht="12" customHeight="1" x14ac:dyDescent="0.25"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</row>
    <row r="134" spans="15:30" ht="12" customHeight="1" x14ac:dyDescent="0.25"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</row>
    <row r="135" spans="15:30" ht="12" customHeight="1" x14ac:dyDescent="0.25"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</row>
    <row r="136" spans="15:30" ht="12" customHeight="1" x14ac:dyDescent="0.25"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</row>
    <row r="137" spans="15:30" ht="12" customHeight="1" x14ac:dyDescent="0.25"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</row>
    <row r="138" spans="15:30" ht="12" customHeight="1" x14ac:dyDescent="0.25"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</row>
    <row r="139" spans="15:30" ht="12" customHeight="1" x14ac:dyDescent="0.25"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</row>
    <row r="140" spans="15:30" ht="12" customHeight="1" x14ac:dyDescent="0.25"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</row>
    <row r="141" spans="15:30" ht="12" customHeight="1" x14ac:dyDescent="0.25"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</row>
    <row r="142" spans="15:30" ht="12" customHeight="1" x14ac:dyDescent="0.25"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</row>
    <row r="143" spans="15:30" ht="12" customHeight="1" x14ac:dyDescent="0.25"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</row>
    <row r="144" spans="15:30" ht="12" customHeight="1" x14ac:dyDescent="0.25"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</row>
    <row r="145" spans="15:30" ht="12" customHeight="1" x14ac:dyDescent="0.25"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</row>
    <row r="146" spans="15:30" ht="12" customHeight="1" x14ac:dyDescent="0.25"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</row>
    <row r="147" spans="15:30" ht="12" customHeight="1" x14ac:dyDescent="0.25"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</row>
    <row r="148" spans="15:30" ht="12" customHeight="1" x14ac:dyDescent="0.25"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</row>
    <row r="149" spans="15:30" ht="12" customHeight="1" x14ac:dyDescent="0.25"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</row>
    <row r="150" spans="15:30" ht="12" customHeight="1" x14ac:dyDescent="0.25"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</row>
    <row r="151" spans="15:30" ht="12" customHeight="1" x14ac:dyDescent="0.25"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</row>
    <row r="152" spans="15:30" ht="12" customHeight="1" x14ac:dyDescent="0.25"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</row>
    <row r="153" spans="15:30" ht="12" customHeight="1" x14ac:dyDescent="0.25"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</row>
    <row r="154" spans="15:30" ht="12" customHeight="1" x14ac:dyDescent="0.25"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</row>
    <row r="155" spans="15:30" ht="12" customHeight="1" x14ac:dyDescent="0.25"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</row>
    <row r="156" spans="15:30" ht="12" customHeight="1" x14ac:dyDescent="0.25"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</row>
    <row r="157" spans="15:30" ht="12" customHeight="1" x14ac:dyDescent="0.25"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</row>
    <row r="158" spans="15:30" ht="12" customHeight="1" x14ac:dyDescent="0.25"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</row>
    <row r="159" spans="15:30" ht="12" customHeight="1" x14ac:dyDescent="0.25"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</row>
    <row r="160" spans="15:30" ht="12" customHeight="1" x14ac:dyDescent="0.25"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</row>
    <row r="161" spans="15:30" ht="12" customHeight="1" x14ac:dyDescent="0.25"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</row>
    <row r="162" spans="15:30" ht="12" customHeight="1" x14ac:dyDescent="0.25"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</row>
    <row r="163" spans="15:30" ht="12" customHeight="1" x14ac:dyDescent="0.25"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</row>
    <row r="164" spans="15:30" ht="12" customHeight="1" x14ac:dyDescent="0.25"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</row>
    <row r="165" spans="15:30" ht="12" customHeight="1" x14ac:dyDescent="0.25"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</row>
    <row r="166" spans="15:30" ht="12" customHeight="1" x14ac:dyDescent="0.25"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</row>
    <row r="167" spans="15:30" ht="12" customHeight="1" x14ac:dyDescent="0.25"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</row>
    <row r="168" spans="15:30" ht="12" customHeight="1" x14ac:dyDescent="0.25"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</row>
    <row r="169" spans="15:30" ht="12" customHeight="1" x14ac:dyDescent="0.25"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</row>
    <row r="170" spans="15:30" ht="12" customHeight="1" x14ac:dyDescent="0.25"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</row>
    <row r="171" spans="15:30" ht="12" customHeight="1" x14ac:dyDescent="0.25"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</row>
    <row r="172" spans="15:30" ht="12" customHeight="1" x14ac:dyDescent="0.25"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</row>
    <row r="173" spans="15:30" ht="12" customHeight="1" x14ac:dyDescent="0.25"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</row>
    <row r="174" spans="15:30" ht="12" customHeight="1" x14ac:dyDescent="0.25"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</row>
    <row r="175" spans="15:30" ht="12" customHeight="1" x14ac:dyDescent="0.25"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</row>
    <row r="176" spans="15:30" ht="12" customHeight="1" x14ac:dyDescent="0.25"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</row>
    <row r="177" spans="15:30" ht="12" customHeight="1" x14ac:dyDescent="0.25"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</row>
    <row r="178" spans="15:30" ht="12" customHeight="1" x14ac:dyDescent="0.25"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</row>
    <row r="179" spans="15:30" ht="12" customHeight="1" x14ac:dyDescent="0.25"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</row>
    <row r="180" spans="15:30" ht="12" customHeight="1" x14ac:dyDescent="0.25"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</row>
    <row r="181" spans="15:30" ht="12" customHeight="1" x14ac:dyDescent="0.25"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</row>
    <row r="182" spans="15:30" ht="12" customHeight="1" x14ac:dyDescent="0.25"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</row>
    <row r="183" spans="15:30" ht="12" customHeight="1" x14ac:dyDescent="0.25"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</row>
    <row r="184" spans="15:30" ht="12" customHeight="1" x14ac:dyDescent="0.25"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</row>
    <row r="185" spans="15:30" ht="12" customHeight="1" x14ac:dyDescent="0.25"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</row>
    <row r="186" spans="15:30" ht="12" customHeight="1" x14ac:dyDescent="0.25"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</row>
    <row r="187" spans="15:30" ht="12" customHeight="1" x14ac:dyDescent="0.25"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</row>
    <row r="188" spans="15:30" ht="12" customHeight="1" x14ac:dyDescent="0.25"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</row>
    <row r="189" spans="15:30" ht="12" customHeight="1" x14ac:dyDescent="0.25"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</row>
    <row r="190" spans="15:30" ht="12" customHeight="1" x14ac:dyDescent="0.25"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</row>
    <row r="191" spans="15:30" ht="12" customHeight="1" x14ac:dyDescent="0.25"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</row>
    <row r="192" spans="15:30" ht="12" customHeight="1" x14ac:dyDescent="0.25"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</row>
    <row r="193" spans="15:30" ht="12" customHeight="1" x14ac:dyDescent="0.25"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</row>
    <row r="194" spans="15:30" ht="12" customHeight="1" x14ac:dyDescent="0.25"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</row>
    <row r="195" spans="15:30" ht="12" customHeight="1" x14ac:dyDescent="0.25"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</row>
    <row r="196" spans="15:30" ht="12" customHeight="1" x14ac:dyDescent="0.25"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</row>
    <row r="197" spans="15:30" ht="12" customHeight="1" x14ac:dyDescent="0.25"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</row>
    <row r="198" spans="15:30" ht="12" customHeight="1" x14ac:dyDescent="0.25"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</row>
    <row r="199" spans="15:30" ht="12" customHeight="1" x14ac:dyDescent="0.25"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</row>
    <row r="200" spans="15:30" ht="12" customHeight="1" x14ac:dyDescent="0.25"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</row>
  </sheetData>
  <mergeCells count="19">
    <mergeCell ref="B42:B43"/>
    <mergeCell ref="B44:B45"/>
    <mergeCell ref="B46:C46"/>
    <mergeCell ref="O1:U1"/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</mergeCells>
  <pageMargins left="0.511811024" right="0.511811024" top="0.78740157499999996" bottom="0.78740157499999996" header="0.31496062000000002" footer="0.31496062000000002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44D47-524A-4B18-9CF6-2BCF5AE7BCE8}">
  <dimension ref="A1:AP51"/>
  <sheetViews>
    <sheetView showGridLines="0" topLeftCell="D38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2" width="10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8.7109375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20" t="s">
        <v>70</v>
      </c>
      <c r="B1" s="120" t="s">
        <v>71</v>
      </c>
      <c r="C1" s="120" t="s">
        <v>72</v>
      </c>
      <c r="D1" s="120" t="s">
        <v>73</v>
      </c>
      <c r="E1" s="120" t="s">
        <v>74</v>
      </c>
      <c r="F1" s="120" t="s">
        <v>15</v>
      </c>
      <c r="G1" s="120" t="s">
        <v>76</v>
      </c>
      <c r="H1" s="120" t="s">
        <v>77</v>
      </c>
      <c r="I1" s="120" t="s">
        <v>745</v>
      </c>
      <c r="J1" s="108"/>
      <c r="L1" s="121" t="s">
        <v>746</v>
      </c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K1" s="121"/>
      <c r="AL1" s="121"/>
      <c r="AM1" s="121"/>
      <c r="AP1" s="121" t="s">
        <v>747</v>
      </c>
    </row>
    <row r="2" spans="1:42" ht="11.25" customHeight="1" x14ac:dyDescent="0.25">
      <c r="A2" s="120"/>
      <c r="B2" s="120"/>
      <c r="C2" s="120"/>
      <c r="D2" s="120"/>
      <c r="E2" s="120"/>
      <c r="F2" s="120"/>
      <c r="G2" s="120"/>
      <c r="H2" s="120"/>
      <c r="I2" s="120"/>
      <c r="J2" s="108"/>
      <c r="L2" s="121" t="s">
        <v>644</v>
      </c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P2" s="122"/>
    </row>
    <row r="3" spans="1:42" ht="11.25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08"/>
      <c r="L3" s="121" t="s">
        <v>645</v>
      </c>
      <c r="M3" s="121"/>
      <c r="N3" s="121"/>
      <c r="O3" s="121"/>
      <c r="P3" s="121"/>
      <c r="Q3" s="121"/>
      <c r="R3" s="121"/>
      <c r="S3" s="121"/>
      <c r="T3" s="121"/>
      <c r="U3" s="121" t="s">
        <v>654</v>
      </c>
      <c r="V3" s="121"/>
      <c r="W3" s="121"/>
      <c r="X3" s="121"/>
      <c r="Y3" s="121"/>
      <c r="Z3" s="121"/>
      <c r="AA3" s="121"/>
      <c r="AB3" s="121"/>
      <c r="AC3" s="121" t="s">
        <v>662</v>
      </c>
      <c r="AD3" s="121"/>
      <c r="AE3" s="121" t="s">
        <v>664</v>
      </c>
      <c r="AF3" s="121"/>
      <c r="AG3" s="121"/>
      <c r="AH3" s="121" t="s">
        <v>667</v>
      </c>
      <c r="AI3" s="121"/>
      <c r="AJ3" s="121"/>
      <c r="AK3" s="121"/>
      <c r="AL3" s="121"/>
      <c r="AM3" s="121" t="s">
        <v>653</v>
      </c>
      <c r="AP3" s="122"/>
    </row>
    <row r="4" spans="1:42" ht="11.25" customHeight="1" x14ac:dyDescent="0.25">
      <c r="A4" s="120"/>
      <c r="B4" s="120"/>
      <c r="C4" s="120"/>
      <c r="D4" s="120"/>
      <c r="E4" s="120"/>
      <c r="F4" s="120"/>
      <c r="G4" s="120"/>
      <c r="H4" s="120"/>
      <c r="I4" s="120"/>
      <c r="J4" s="108"/>
      <c r="L4" s="41" t="s">
        <v>730</v>
      </c>
      <c r="M4" s="41" t="s">
        <v>646</v>
      </c>
      <c r="N4" s="41" t="s">
        <v>647</v>
      </c>
      <c r="O4" s="41" t="s">
        <v>648</v>
      </c>
      <c r="P4" s="41" t="s">
        <v>649</v>
      </c>
      <c r="Q4" s="41" t="s">
        <v>650</v>
      </c>
      <c r="R4" s="41" t="s">
        <v>651</v>
      </c>
      <c r="S4" s="41" t="s">
        <v>652</v>
      </c>
      <c r="T4" s="41" t="s">
        <v>653</v>
      </c>
      <c r="U4" s="41" t="s">
        <v>655</v>
      </c>
      <c r="V4" s="41" t="s">
        <v>656</v>
      </c>
      <c r="W4" s="41" t="s">
        <v>657</v>
      </c>
      <c r="X4" s="41" t="s">
        <v>658</v>
      </c>
      <c r="Y4" s="41" t="s">
        <v>659</v>
      </c>
      <c r="Z4" s="41" t="s">
        <v>660</v>
      </c>
      <c r="AA4" s="41" t="s">
        <v>661</v>
      </c>
      <c r="AB4" s="41" t="s">
        <v>653</v>
      </c>
      <c r="AC4" s="41" t="s">
        <v>663</v>
      </c>
      <c r="AD4" s="41" t="s">
        <v>653</v>
      </c>
      <c r="AE4" s="41" t="s">
        <v>665</v>
      </c>
      <c r="AF4" s="41" t="s">
        <v>666</v>
      </c>
      <c r="AG4" s="41" t="s">
        <v>653</v>
      </c>
      <c r="AH4" s="41" t="s">
        <v>668</v>
      </c>
      <c r="AI4" s="41" t="s">
        <v>669</v>
      </c>
      <c r="AJ4" s="41" t="s">
        <v>670</v>
      </c>
      <c r="AK4" s="41" t="s">
        <v>671</v>
      </c>
      <c r="AL4" s="41" t="s">
        <v>653</v>
      </c>
      <c r="AM4" s="123"/>
      <c r="AP4" s="122"/>
    </row>
    <row r="5" spans="1:42" ht="11.25" customHeight="1" x14ac:dyDescent="0.25">
      <c r="A5" s="119" t="s">
        <v>39</v>
      </c>
      <c r="B5" s="119" t="s">
        <v>42</v>
      </c>
      <c r="C5" s="119" t="s">
        <v>25</v>
      </c>
      <c r="D5" s="119" t="s">
        <v>25</v>
      </c>
      <c r="E5" s="119" t="s">
        <v>25</v>
      </c>
      <c r="F5" s="119" t="s">
        <v>25</v>
      </c>
      <c r="G5" s="21" t="s">
        <v>84</v>
      </c>
      <c r="H5" s="21" t="s">
        <v>83</v>
      </c>
      <c r="I5" s="21">
        <f>'MERCADO TUSD'!$U$2</f>
        <v>63135</v>
      </c>
      <c r="J5" s="17"/>
      <c r="L5" s="39"/>
      <c r="M5" s="39"/>
      <c r="N5" s="39"/>
      <c r="O5" s="39"/>
      <c r="P5" s="39"/>
      <c r="Q5" s="39"/>
      <c r="R5" s="39"/>
      <c r="S5" s="39"/>
      <c r="T5" s="39"/>
      <c r="U5" s="39">
        <v>4.8307000000000002</v>
      </c>
      <c r="V5" s="39">
        <v>0.68340000000000001</v>
      </c>
      <c r="W5" s="39">
        <v>0.21310000000000001</v>
      </c>
      <c r="X5" s="39">
        <v>0</v>
      </c>
      <c r="Y5" s="39">
        <v>11.2371</v>
      </c>
      <c r="Z5" s="39">
        <v>0</v>
      </c>
      <c r="AA5" s="39">
        <v>0</v>
      </c>
      <c r="AB5" s="39"/>
      <c r="AC5" s="39">
        <v>34.908200000000001</v>
      </c>
      <c r="AD5" s="39"/>
      <c r="AE5" s="39"/>
      <c r="AF5" s="39"/>
      <c r="AG5" s="39"/>
      <c r="AH5" s="39"/>
      <c r="AI5" s="39"/>
      <c r="AJ5" s="39"/>
      <c r="AK5" s="39"/>
      <c r="AL5" s="39"/>
      <c r="AM5" s="39"/>
      <c r="AP5" s="39">
        <v>1</v>
      </c>
    </row>
    <row r="6" spans="1:42" ht="11.25" customHeight="1" x14ac:dyDescent="0.25">
      <c r="A6" s="119"/>
      <c r="B6" s="119"/>
      <c r="C6" s="119"/>
      <c r="D6" s="119"/>
      <c r="E6" s="119"/>
      <c r="F6" s="119"/>
      <c r="G6" s="21" t="s">
        <v>85</v>
      </c>
      <c r="H6" s="21" t="s">
        <v>83</v>
      </c>
      <c r="I6" s="21">
        <f>'MERCADO TUSD'!$U$3</f>
        <v>71815</v>
      </c>
      <c r="J6" s="17"/>
      <c r="L6" s="39"/>
      <c r="M6" s="39"/>
      <c r="N6" s="39"/>
      <c r="O6" s="39"/>
      <c r="P6" s="39"/>
      <c r="Q6" s="39"/>
      <c r="R6" s="39"/>
      <c r="S6" s="39"/>
      <c r="T6" s="39"/>
      <c r="U6" s="39">
        <v>1.7139</v>
      </c>
      <c r="V6" s="39">
        <v>0.2555</v>
      </c>
      <c r="W6" s="39">
        <v>7.7299999999999994E-2</v>
      </c>
      <c r="X6" s="39">
        <v>0</v>
      </c>
      <c r="Y6" s="39">
        <v>2.7936000000000001</v>
      </c>
      <c r="Z6" s="39">
        <v>0</v>
      </c>
      <c r="AA6" s="39">
        <v>0</v>
      </c>
      <c r="AB6" s="39"/>
      <c r="AC6" s="39">
        <v>11.746</v>
      </c>
      <c r="AD6" s="39"/>
      <c r="AE6" s="39"/>
      <c r="AF6" s="39"/>
      <c r="AG6" s="39"/>
      <c r="AH6" s="39"/>
      <c r="AI6" s="39"/>
      <c r="AJ6" s="39"/>
      <c r="AK6" s="39"/>
      <c r="AL6" s="39"/>
      <c r="AM6" s="39"/>
      <c r="AP6" s="39">
        <v>1</v>
      </c>
    </row>
    <row r="7" spans="1:42" ht="11.25" customHeight="1" x14ac:dyDescent="0.25">
      <c r="A7" s="119"/>
      <c r="B7" s="119"/>
      <c r="C7" s="119"/>
      <c r="D7" s="119"/>
      <c r="E7" s="119"/>
      <c r="F7" s="119"/>
      <c r="G7" s="21" t="s">
        <v>86</v>
      </c>
      <c r="H7" s="21" t="s">
        <v>80</v>
      </c>
      <c r="I7" s="21">
        <f>'MERCADO TUSD'!$U$4</f>
        <v>30235.892999999989</v>
      </c>
      <c r="J7" s="17"/>
      <c r="L7" s="39"/>
      <c r="M7" s="39"/>
      <c r="N7" s="39"/>
      <c r="O7" s="39"/>
      <c r="P7" s="39"/>
      <c r="Q7" s="39"/>
      <c r="R7" s="39"/>
      <c r="S7" s="39"/>
      <c r="T7" s="39"/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/>
      <c r="AC7" s="39">
        <v>0</v>
      </c>
      <c r="AD7" s="39"/>
      <c r="AE7" s="39"/>
      <c r="AF7" s="39"/>
      <c r="AG7" s="39"/>
      <c r="AH7" s="39"/>
      <c r="AI7" s="39"/>
      <c r="AJ7" s="39"/>
      <c r="AK7" s="39"/>
      <c r="AL7" s="39"/>
      <c r="AM7" s="39"/>
      <c r="AP7" s="39">
        <v>1</v>
      </c>
    </row>
    <row r="8" spans="1:42" ht="11.25" customHeight="1" x14ac:dyDescent="0.25">
      <c r="A8" s="119"/>
      <c r="B8" s="119"/>
      <c r="C8" s="119"/>
      <c r="D8" s="119"/>
      <c r="E8" s="40" t="s">
        <v>87</v>
      </c>
      <c r="F8" s="40" t="s">
        <v>25</v>
      </c>
      <c r="G8" s="21" t="s">
        <v>86</v>
      </c>
      <c r="H8" s="21" t="s">
        <v>80</v>
      </c>
      <c r="I8" s="21">
        <f>'MERCADO TUSD'!$U$5</f>
        <v>0</v>
      </c>
      <c r="J8" s="17"/>
      <c r="L8" s="39"/>
      <c r="M8" s="39"/>
      <c r="N8" s="39"/>
      <c r="O8" s="39"/>
      <c r="P8" s="39"/>
      <c r="Q8" s="39"/>
      <c r="R8" s="39"/>
      <c r="S8" s="39"/>
      <c r="T8" s="39"/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/>
      <c r="AC8" s="39">
        <v>0</v>
      </c>
      <c r="AD8" s="39"/>
      <c r="AE8" s="39"/>
      <c r="AF8" s="39"/>
      <c r="AG8" s="39"/>
      <c r="AH8" s="39"/>
      <c r="AI8" s="39"/>
      <c r="AJ8" s="39"/>
      <c r="AK8" s="39"/>
      <c r="AL8" s="39"/>
      <c r="AM8" s="39"/>
      <c r="AP8" s="39">
        <v>1</v>
      </c>
    </row>
    <row r="9" spans="1:42" ht="11.25" customHeight="1" x14ac:dyDescent="0.25">
      <c r="A9" s="119"/>
      <c r="B9" s="40" t="s">
        <v>59</v>
      </c>
      <c r="C9" s="40" t="s">
        <v>25</v>
      </c>
      <c r="D9" s="40" t="s">
        <v>25</v>
      </c>
      <c r="E9" s="40" t="s">
        <v>25</v>
      </c>
      <c r="F9" s="40" t="s">
        <v>25</v>
      </c>
      <c r="G9" s="21" t="s">
        <v>9</v>
      </c>
      <c r="H9" s="21" t="s">
        <v>83</v>
      </c>
      <c r="I9" s="21">
        <f>'MERCADO TUSD'!$U$6</f>
        <v>16152</v>
      </c>
      <c r="J9" s="17"/>
      <c r="L9" s="39"/>
      <c r="M9" s="39"/>
      <c r="N9" s="39"/>
      <c r="O9" s="39"/>
      <c r="P9" s="39"/>
      <c r="Q9" s="39"/>
      <c r="R9" s="39"/>
      <c r="S9" s="39"/>
      <c r="T9" s="39"/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/>
      <c r="AC9" s="39">
        <v>11.0143</v>
      </c>
      <c r="AD9" s="39"/>
      <c r="AE9" s="39"/>
      <c r="AF9" s="39"/>
      <c r="AG9" s="39"/>
      <c r="AH9" s="39"/>
      <c r="AI9" s="39"/>
      <c r="AJ9" s="39"/>
      <c r="AK9" s="39"/>
      <c r="AL9" s="39"/>
      <c r="AM9" s="39"/>
      <c r="AP9" s="39"/>
    </row>
    <row r="10" spans="1:42" ht="11.25" customHeight="1" x14ac:dyDescent="0.25">
      <c r="A10" s="119"/>
      <c r="B10" s="119" t="s">
        <v>40</v>
      </c>
      <c r="C10" s="119" t="s">
        <v>25</v>
      </c>
      <c r="D10" s="119" t="s">
        <v>25</v>
      </c>
      <c r="E10" s="119" t="s">
        <v>25</v>
      </c>
      <c r="F10" s="119" t="s">
        <v>25</v>
      </c>
      <c r="G10" s="21" t="s">
        <v>9</v>
      </c>
      <c r="H10" s="21" t="s">
        <v>83</v>
      </c>
      <c r="I10" s="21">
        <f>'MERCADO TUSD'!$U$7</f>
        <v>539141</v>
      </c>
      <c r="J10" s="17"/>
      <c r="L10" s="39"/>
      <c r="M10" s="39"/>
      <c r="N10" s="39"/>
      <c r="O10" s="39"/>
      <c r="P10" s="39"/>
      <c r="Q10" s="39"/>
      <c r="R10" s="39"/>
      <c r="S10" s="39"/>
      <c r="T10" s="39"/>
      <c r="U10" s="39">
        <v>1.7139</v>
      </c>
      <c r="V10" s="39">
        <v>0.2555</v>
      </c>
      <c r="W10" s="39">
        <v>7.7299999999999994E-2</v>
      </c>
      <c r="X10" s="39">
        <v>0</v>
      </c>
      <c r="Y10" s="39">
        <v>2.7936000000000001</v>
      </c>
      <c r="Z10" s="39">
        <v>0</v>
      </c>
      <c r="AA10" s="39">
        <v>0</v>
      </c>
      <c r="AB10" s="39"/>
      <c r="AC10" s="39">
        <v>11.746</v>
      </c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P10" s="39">
        <v>1</v>
      </c>
    </row>
    <row r="11" spans="1:42" ht="11.25" customHeight="1" x14ac:dyDescent="0.25">
      <c r="A11" s="119"/>
      <c r="B11" s="119"/>
      <c r="C11" s="119"/>
      <c r="D11" s="119"/>
      <c r="E11" s="119"/>
      <c r="F11" s="119"/>
      <c r="G11" s="21" t="s">
        <v>81</v>
      </c>
      <c r="H11" s="21" t="s">
        <v>80</v>
      </c>
      <c r="I11" s="21">
        <f>'MERCADO TUSD'!$U$8</f>
        <v>7136.594000000001</v>
      </c>
      <c r="J11" s="17"/>
      <c r="L11" s="39"/>
      <c r="M11" s="39"/>
      <c r="N11" s="39"/>
      <c r="O11" s="39"/>
      <c r="P11" s="39"/>
      <c r="Q11" s="39"/>
      <c r="R11" s="39"/>
      <c r="S11" s="39"/>
      <c r="T11" s="39"/>
      <c r="U11" s="39">
        <v>116.17870000000001</v>
      </c>
      <c r="V11" s="39">
        <v>16.437000000000001</v>
      </c>
      <c r="W11" s="39">
        <v>5.1243999999999996</v>
      </c>
      <c r="X11" s="39">
        <v>0</v>
      </c>
      <c r="Y11" s="39">
        <v>270.2516</v>
      </c>
      <c r="Z11" s="39">
        <v>0</v>
      </c>
      <c r="AA11" s="39">
        <v>0</v>
      </c>
      <c r="AB11" s="39"/>
      <c r="AC11" s="39">
        <v>839.54250000000002</v>
      </c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P11" s="39">
        <v>1</v>
      </c>
    </row>
    <row r="12" spans="1:42" ht="11.25" customHeight="1" x14ac:dyDescent="0.25">
      <c r="A12" s="119"/>
      <c r="B12" s="119"/>
      <c r="C12" s="119"/>
      <c r="D12" s="119"/>
      <c r="E12" s="119"/>
      <c r="F12" s="119"/>
      <c r="G12" s="21" t="s">
        <v>82</v>
      </c>
      <c r="H12" s="21" t="s">
        <v>80</v>
      </c>
      <c r="I12" s="21">
        <f>'MERCADO TUSD'!$U$9</f>
        <v>103922.32400000001</v>
      </c>
      <c r="J12" s="17"/>
      <c r="L12" s="39"/>
      <c r="M12" s="39"/>
      <c r="N12" s="39"/>
      <c r="O12" s="39"/>
      <c r="P12" s="39"/>
      <c r="Q12" s="39"/>
      <c r="R12" s="39"/>
      <c r="S12" s="39"/>
      <c r="T12" s="39"/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/>
      <c r="AC12" s="39">
        <v>0</v>
      </c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P12" s="39">
        <v>1</v>
      </c>
    </row>
    <row r="13" spans="1:42" ht="11.25" customHeight="1" x14ac:dyDescent="0.25">
      <c r="A13" s="119"/>
      <c r="B13" s="119"/>
      <c r="C13" s="119"/>
      <c r="D13" s="119"/>
      <c r="E13" s="119" t="s">
        <v>87</v>
      </c>
      <c r="F13" s="119" t="s">
        <v>25</v>
      </c>
      <c r="G13" s="21" t="s">
        <v>81</v>
      </c>
      <c r="H13" s="21" t="s">
        <v>80</v>
      </c>
      <c r="I13" s="21">
        <f>'MERCADO TUSD'!$U$10</f>
        <v>0</v>
      </c>
      <c r="J13" s="17"/>
      <c r="L13" s="39"/>
      <c r="M13" s="39"/>
      <c r="N13" s="39"/>
      <c r="O13" s="39"/>
      <c r="P13" s="39"/>
      <c r="Q13" s="39"/>
      <c r="R13" s="39"/>
      <c r="S13" s="39"/>
      <c r="T13" s="39"/>
      <c r="U13" s="39">
        <v>116.17870000000001</v>
      </c>
      <c r="V13" s="39">
        <v>16.437000000000001</v>
      </c>
      <c r="W13" s="39">
        <v>5.1243999999999996</v>
      </c>
      <c r="X13" s="39">
        <v>0</v>
      </c>
      <c r="Y13" s="39">
        <v>270.2516</v>
      </c>
      <c r="Z13" s="39">
        <v>0</v>
      </c>
      <c r="AA13" s="39">
        <v>0</v>
      </c>
      <c r="AB13" s="39"/>
      <c r="AC13" s="39">
        <v>839.54250000000002</v>
      </c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P13" s="39">
        <v>1</v>
      </c>
    </row>
    <row r="14" spans="1:42" ht="11.25" customHeight="1" x14ac:dyDescent="0.25">
      <c r="A14" s="119"/>
      <c r="B14" s="119"/>
      <c r="C14" s="119"/>
      <c r="D14" s="119"/>
      <c r="E14" s="119"/>
      <c r="F14" s="119"/>
      <c r="G14" s="21" t="s">
        <v>82</v>
      </c>
      <c r="H14" s="21" t="s">
        <v>80</v>
      </c>
      <c r="I14" s="21">
        <f>'MERCADO TUSD'!$U$11</f>
        <v>0</v>
      </c>
      <c r="J14" s="17"/>
      <c r="L14" s="39"/>
      <c r="M14" s="39"/>
      <c r="N14" s="39"/>
      <c r="O14" s="39"/>
      <c r="P14" s="39"/>
      <c r="Q14" s="39"/>
      <c r="R14" s="39"/>
      <c r="S14" s="39"/>
      <c r="T14" s="39"/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/>
      <c r="AC14" s="39">
        <v>0</v>
      </c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P14" s="39">
        <v>1</v>
      </c>
    </row>
    <row r="15" spans="1:42" ht="11.25" customHeight="1" x14ac:dyDescent="0.25">
      <c r="A15" s="119" t="s">
        <v>88</v>
      </c>
      <c r="B15" s="119" t="s">
        <v>59</v>
      </c>
      <c r="C15" s="119" t="s">
        <v>25</v>
      </c>
      <c r="D15" s="119" t="s">
        <v>25</v>
      </c>
      <c r="E15" s="40" t="s">
        <v>89</v>
      </c>
      <c r="F15" s="40" t="s">
        <v>25</v>
      </c>
      <c r="G15" s="21" t="s">
        <v>9</v>
      </c>
      <c r="H15" s="21" t="s">
        <v>83</v>
      </c>
      <c r="I15" s="21">
        <f>'MERCADO TUSD'!$U$12+0.00000001</f>
        <v>1E-8</v>
      </c>
      <c r="J15" s="17"/>
      <c r="L15" s="39"/>
      <c r="M15" s="39"/>
      <c r="N15" s="39"/>
      <c r="O15" s="39"/>
      <c r="P15" s="39"/>
      <c r="Q15" s="39"/>
      <c r="R15" s="39"/>
      <c r="S15" s="39"/>
      <c r="T15" s="39"/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/>
      <c r="AC15" s="39">
        <v>1.5883</v>
      </c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P15" s="39"/>
    </row>
    <row r="16" spans="1:42" ht="11.25" customHeight="1" x14ac:dyDescent="0.25">
      <c r="A16" s="119"/>
      <c r="B16" s="119"/>
      <c r="C16" s="119"/>
      <c r="D16" s="119"/>
      <c r="E16" s="40" t="s">
        <v>90</v>
      </c>
      <c r="F16" s="40" t="s">
        <v>25</v>
      </c>
      <c r="G16" s="21" t="s">
        <v>9</v>
      </c>
      <c r="H16" s="21" t="s">
        <v>83</v>
      </c>
      <c r="I16" s="21">
        <f>'MERCADO TUSD'!$U$13+0.00000001</f>
        <v>1E-8</v>
      </c>
      <c r="J16" s="17"/>
      <c r="L16" s="39"/>
      <c r="M16" s="39"/>
      <c r="N16" s="39"/>
      <c r="O16" s="39"/>
      <c r="P16" s="39"/>
      <c r="Q16" s="39"/>
      <c r="R16" s="39"/>
      <c r="S16" s="39"/>
      <c r="T16" s="39"/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/>
      <c r="AC16" s="39">
        <v>14.2615</v>
      </c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P16" s="39"/>
    </row>
    <row r="17" spans="1:42" ht="11.25" customHeight="1" x14ac:dyDescent="0.25">
      <c r="A17" s="119" t="s">
        <v>22</v>
      </c>
      <c r="B17" s="119" t="s">
        <v>33</v>
      </c>
      <c r="C17" s="119" t="s">
        <v>24</v>
      </c>
      <c r="D17" s="119" t="s">
        <v>24</v>
      </c>
      <c r="E17" s="119" t="s">
        <v>25</v>
      </c>
      <c r="F17" s="119" t="s">
        <v>25</v>
      </c>
      <c r="G17" s="21" t="s">
        <v>81</v>
      </c>
      <c r="H17" s="21" t="s">
        <v>80</v>
      </c>
      <c r="I17" s="21">
        <f>'MERCADO TUSD'!$U$14</f>
        <v>17.608000000000004</v>
      </c>
      <c r="J17" s="17"/>
      <c r="L17" s="39"/>
      <c r="M17" s="39"/>
      <c r="N17" s="39"/>
      <c r="O17" s="39"/>
      <c r="P17" s="39"/>
      <c r="Q17" s="39"/>
      <c r="R17" s="39"/>
      <c r="S17" s="39"/>
      <c r="T17" s="39"/>
      <c r="U17" s="39">
        <v>65.891099999999994</v>
      </c>
      <c r="V17" s="39">
        <v>9.5989000000000004</v>
      </c>
      <c r="W17" s="39">
        <v>2.9420999999999999</v>
      </c>
      <c r="X17" s="39">
        <v>0</v>
      </c>
      <c r="Y17" s="39">
        <v>110.50190000000001</v>
      </c>
      <c r="Z17" s="39">
        <v>0</v>
      </c>
      <c r="AA17" s="39">
        <v>0</v>
      </c>
      <c r="AB17" s="39"/>
      <c r="AC17" s="39">
        <v>521.75469999999996</v>
      </c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P17" s="39">
        <v>1</v>
      </c>
    </row>
    <row r="18" spans="1:42" ht="11.25" customHeight="1" x14ac:dyDescent="0.25">
      <c r="A18" s="119"/>
      <c r="B18" s="119"/>
      <c r="C18" s="119"/>
      <c r="D18" s="119"/>
      <c r="E18" s="119"/>
      <c r="F18" s="119"/>
      <c r="G18" s="21" t="s">
        <v>91</v>
      </c>
      <c r="H18" s="21" t="s">
        <v>80</v>
      </c>
      <c r="I18" s="21">
        <f>'MERCADO TUSD'!$U$15</f>
        <v>7.3439999999999994</v>
      </c>
      <c r="J18" s="17"/>
      <c r="L18" s="39"/>
      <c r="M18" s="39"/>
      <c r="N18" s="39"/>
      <c r="O18" s="39"/>
      <c r="P18" s="39"/>
      <c r="Q18" s="39"/>
      <c r="R18" s="39"/>
      <c r="S18" s="39"/>
      <c r="T18" s="39"/>
      <c r="U18" s="39">
        <v>39.534599999999998</v>
      </c>
      <c r="V18" s="39">
        <v>5.7592999999999996</v>
      </c>
      <c r="W18" s="39">
        <v>1.7652000000000001</v>
      </c>
      <c r="X18" s="39">
        <v>0</v>
      </c>
      <c r="Y18" s="39">
        <v>66.301100000000005</v>
      </c>
      <c r="Z18" s="39">
        <v>0</v>
      </c>
      <c r="AA18" s="39">
        <v>0</v>
      </c>
      <c r="AB18" s="39"/>
      <c r="AC18" s="39">
        <v>313.05279999999999</v>
      </c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P18" s="39">
        <v>1</v>
      </c>
    </row>
    <row r="19" spans="1:42" ht="11.25" customHeight="1" x14ac:dyDescent="0.25">
      <c r="A19" s="119"/>
      <c r="B19" s="119"/>
      <c r="C19" s="119"/>
      <c r="D19" s="119"/>
      <c r="E19" s="119"/>
      <c r="F19" s="119"/>
      <c r="G19" s="21" t="s">
        <v>82</v>
      </c>
      <c r="H19" s="21" t="s">
        <v>80</v>
      </c>
      <c r="I19" s="21">
        <f>'MERCADO TUSD'!$U$16</f>
        <v>120.18199999999999</v>
      </c>
      <c r="J19" s="17"/>
      <c r="L19" s="39"/>
      <c r="M19" s="39"/>
      <c r="N19" s="39"/>
      <c r="O19" s="39"/>
      <c r="P19" s="39"/>
      <c r="Q19" s="39"/>
      <c r="R19" s="39"/>
      <c r="S19" s="39"/>
      <c r="T19" s="39"/>
      <c r="U19" s="39">
        <v>13.1782</v>
      </c>
      <c r="V19" s="39">
        <v>1.9198</v>
      </c>
      <c r="W19" s="39">
        <v>0.58840000000000003</v>
      </c>
      <c r="X19" s="39">
        <v>0</v>
      </c>
      <c r="Y19" s="39">
        <v>22.1004</v>
      </c>
      <c r="Z19" s="39">
        <v>0</v>
      </c>
      <c r="AA19" s="39">
        <v>0</v>
      </c>
      <c r="AB19" s="39"/>
      <c r="AC19" s="39">
        <v>104.3509</v>
      </c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P19" s="39">
        <v>1</v>
      </c>
    </row>
    <row r="20" spans="1:42" ht="11.25" customHeight="1" x14ac:dyDescent="0.25">
      <c r="A20" s="119"/>
      <c r="B20" s="119" t="s">
        <v>23</v>
      </c>
      <c r="C20" s="119" t="s">
        <v>24</v>
      </c>
      <c r="D20" s="40" t="s">
        <v>24</v>
      </c>
      <c r="E20" s="40" t="s">
        <v>25</v>
      </c>
      <c r="F20" s="40" t="s">
        <v>25</v>
      </c>
      <c r="G20" s="21" t="s">
        <v>86</v>
      </c>
      <c r="H20" s="21" t="s">
        <v>80</v>
      </c>
      <c r="I20" s="21">
        <f>'MERCADO TUSD'!$U$17</f>
        <v>125132.74900000001</v>
      </c>
      <c r="J20" s="17"/>
      <c r="L20" s="39"/>
      <c r="M20" s="39"/>
      <c r="N20" s="39"/>
      <c r="O20" s="39"/>
      <c r="P20" s="39"/>
      <c r="Q20" s="39"/>
      <c r="R20" s="39"/>
      <c r="S20" s="39"/>
      <c r="T20" s="39"/>
      <c r="U20" s="39">
        <v>20.9178</v>
      </c>
      <c r="V20" s="39">
        <v>3.0472999999999999</v>
      </c>
      <c r="W20" s="39">
        <v>0.93400000000000005</v>
      </c>
      <c r="X20" s="39">
        <v>0</v>
      </c>
      <c r="Y20" s="39">
        <v>35.08</v>
      </c>
      <c r="Z20" s="39">
        <v>0</v>
      </c>
      <c r="AA20" s="39">
        <v>0</v>
      </c>
      <c r="AB20" s="39"/>
      <c r="AC20" s="39">
        <v>165.63640000000001</v>
      </c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P20" s="39">
        <v>1</v>
      </c>
    </row>
    <row r="21" spans="1:42" ht="11.25" customHeight="1" x14ac:dyDescent="0.25">
      <c r="A21" s="119"/>
      <c r="B21" s="119"/>
      <c r="C21" s="119"/>
      <c r="D21" s="40" t="s">
        <v>29</v>
      </c>
      <c r="E21" s="40" t="s">
        <v>25</v>
      </c>
      <c r="F21" s="40" t="s">
        <v>25</v>
      </c>
      <c r="G21" s="21" t="s">
        <v>86</v>
      </c>
      <c r="H21" s="21" t="s">
        <v>80</v>
      </c>
      <c r="I21" s="21">
        <f>'MERCADO TUSD'!$U$18</f>
        <v>4179.51</v>
      </c>
      <c r="J21" s="17"/>
      <c r="L21" s="39"/>
      <c r="M21" s="39"/>
      <c r="N21" s="39"/>
      <c r="O21" s="39"/>
      <c r="P21" s="39"/>
      <c r="Q21" s="39"/>
      <c r="R21" s="39"/>
      <c r="S21" s="39"/>
      <c r="T21" s="39"/>
      <c r="U21" s="39">
        <f>(1 - CUSTOS!$M$24)*20.9178</f>
        <v>20.9178</v>
      </c>
      <c r="V21" s="39">
        <f>(1 - CUSTOS!$M$24)*3.0473</f>
        <v>3.0472999999999999</v>
      </c>
      <c r="W21" s="39">
        <f>(1 - CUSTOS!$M$24)*0.934</f>
        <v>0.93400000000000005</v>
      </c>
      <c r="X21" s="39">
        <v>0</v>
      </c>
      <c r="Y21" s="39">
        <f>(1 - CUSTOS!$M$24)*35.08</f>
        <v>35.08</v>
      </c>
      <c r="Z21" s="39">
        <v>0</v>
      </c>
      <c r="AA21" s="39">
        <v>0</v>
      </c>
      <c r="AB21" s="39"/>
      <c r="AC21" s="39">
        <f>(1 - CUSTOS!$M$24)*165.6364</f>
        <v>165.63640000000001</v>
      </c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P21" s="39">
        <f>IF((1 - CUSTOS!$M$24)&lt;&gt;0,1/(1 - CUSTOS!$M$24),1)</f>
        <v>1</v>
      </c>
    </row>
    <row r="22" spans="1:42" ht="11.25" customHeight="1" x14ac:dyDescent="0.25">
      <c r="A22" s="119"/>
      <c r="B22" s="119"/>
      <c r="C22" s="119"/>
      <c r="D22" s="40" t="s">
        <v>30</v>
      </c>
      <c r="E22" s="40" t="s">
        <v>25</v>
      </c>
      <c r="F22" s="40" t="s">
        <v>25</v>
      </c>
      <c r="G22" s="21" t="s">
        <v>86</v>
      </c>
      <c r="H22" s="21" t="s">
        <v>80</v>
      </c>
      <c r="I22" s="21">
        <f>'MERCADO TUSD'!$U$19</f>
        <v>8380.1260000000002</v>
      </c>
      <c r="J22" s="17"/>
      <c r="L22" s="39"/>
      <c r="M22" s="39"/>
      <c r="N22" s="39"/>
      <c r="O22" s="39"/>
      <c r="P22" s="39"/>
      <c r="Q22" s="39"/>
      <c r="R22" s="39"/>
      <c r="S22" s="39"/>
      <c r="T22" s="39"/>
      <c r="U22" s="39">
        <f>(1 - CUSTOS!$M$25)*20.9178</f>
        <v>20.9178</v>
      </c>
      <c r="V22" s="39">
        <f>(1 - CUSTOS!$M$25)*3.0473</f>
        <v>3.0472999999999999</v>
      </c>
      <c r="W22" s="39">
        <f>(1 - CUSTOS!$M$25)*0.934</f>
        <v>0.93400000000000005</v>
      </c>
      <c r="X22" s="39">
        <v>0</v>
      </c>
      <c r="Y22" s="39">
        <f>(1 - CUSTOS!$M$25)*35.08</f>
        <v>35.08</v>
      </c>
      <c r="Z22" s="39">
        <v>0</v>
      </c>
      <c r="AA22" s="39">
        <v>0</v>
      </c>
      <c r="AB22" s="39"/>
      <c r="AC22" s="39">
        <f>(1 - CUSTOS!$M$25)*165.6364</f>
        <v>165.63640000000001</v>
      </c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P22" s="39">
        <f>IF((1 - CUSTOS!$M$25)&lt;&gt;0,1/(1 - CUSTOS!$M$25),1)</f>
        <v>1</v>
      </c>
    </row>
    <row r="23" spans="1:42" ht="11.25" customHeight="1" x14ac:dyDescent="0.25">
      <c r="A23" s="119"/>
      <c r="B23" s="119"/>
      <c r="C23" s="119"/>
      <c r="D23" s="40" t="s">
        <v>31</v>
      </c>
      <c r="E23" s="40" t="s">
        <v>25</v>
      </c>
      <c r="F23" s="40" t="s">
        <v>25</v>
      </c>
      <c r="G23" s="21" t="s">
        <v>86</v>
      </c>
      <c r="H23" s="21" t="s">
        <v>80</v>
      </c>
      <c r="I23" s="21">
        <f>'MERCADO TUSD'!$U$20</f>
        <v>6567.2470000000003</v>
      </c>
      <c r="J23" s="17"/>
      <c r="L23" s="39"/>
      <c r="M23" s="39"/>
      <c r="N23" s="39"/>
      <c r="O23" s="39"/>
      <c r="P23" s="39"/>
      <c r="Q23" s="39"/>
      <c r="R23" s="39"/>
      <c r="S23" s="39"/>
      <c r="T23" s="39"/>
      <c r="U23" s="39">
        <f>(1 - CUSTOS!$M$26)*20.9178</f>
        <v>20.9178</v>
      </c>
      <c r="V23" s="39">
        <f>(1 - CUSTOS!$M$26)*3.0473</f>
        <v>3.0472999999999999</v>
      </c>
      <c r="W23" s="39">
        <f>(1 - CUSTOS!$M$26)*0.934</f>
        <v>0.93400000000000005</v>
      </c>
      <c r="X23" s="39">
        <v>0</v>
      </c>
      <c r="Y23" s="39">
        <f>(1 - CUSTOS!$M$26)*35.08</f>
        <v>35.08</v>
      </c>
      <c r="Z23" s="39">
        <v>0</v>
      </c>
      <c r="AA23" s="39">
        <v>0</v>
      </c>
      <c r="AB23" s="39"/>
      <c r="AC23" s="39">
        <f>(1 - CUSTOS!$M$26)*165.6364</f>
        <v>165.63640000000001</v>
      </c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P23" s="39">
        <f>IF((1 - CUSTOS!$M$26)&lt;&gt;0,1/(1 - CUSTOS!$M$26),1)</f>
        <v>1</v>
      </c>
    </row>
    <row r="24" spans="1:42" ht="11.25" customHeight="1" x14ac:dyDescent="0.25">
      <c r="A24" s="119"/>
      <c r="B24" s="119"/>
      <c r="C24" s="119"/>
      <c r="D24" s="40" t="s">
        <v>32</v>
      </c>
      <c r="E24" s="40" t="s">
        <v>25</v>
      </c>
      <c r="F24" s="40" t="s">
        <v>25</v>
      </c>
      <c r="G24" s="21" t="s">
        <v>86</v>
      </c>
      <c r="H24" s="21" t="s">
        <v>80</v>
      </c>
      <c r="I24" s="21">
        <f>'MERCADO TUSD'!$U$21</f>
        <v>1878.684</v>
      </c>
      <c r="J24" s="17"/>
      <c r="L24" s="39"/>
      <c r="M24" s="39"/>
      <c r="N24" s="39"/>
      <c r="O24" s="39"/>
      <c r="P24" s="39"/>
      <c r="Q24" s="39"/>
      <c r="R24" s="39"/>
      <c r="S24" s="39"/>
      <c r="T24" s="39"/>
      <c r="U24" s="39">
        <f>(1 - CUSTOS!$M$27)*20.9178</f>
        <v>20.9178</v>
      </c>
      <c r="V24" s="39">
        <f>(1 - CUSTOS!$M$27)*3.0473</f>
        <v>3.0472999999999999</v>
      </c>
      <c r="W24" s="39">
        <f>(1 - CUSTOS!$M$27)*0.934</f>
        <v>0.93400000000000005</v>
      </c>
      <c r="X24" s="39">
        <v>0</v>
      </c>
      <c r="Y24" s="39">
        <f>(1 - CUSTOS!$M$27)*35.08</f>
        <v>35.08</v>
      </c>
      <c r="Z24" s="39">
        <v>0</v>
      </c>
      <c r="AA24" s="39">
        <v>0</v>
      </c>
      <c r="AB24" s="39"/>
      <c r="AC24" s="39">
        <f>(1 - CUSTOS!$M$27)*165.6364</f>
        <v>165.63640000000001</v>
      </c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P24" s="39">
        <f>IF((1 - CUSTOS!$M$27)&lt;&gt;0,1/(1 - CUSTOS!$M$27),1)</f>
        <v>1</v>
      </c>
    </row>
    <row r="25" spans="1:42" ht="11.25" customHeight="1" x14ac:dyDescent="0.25">
      <c r="A25" s="119"/>
      <c r="B25" s="119" t="s">
        <v>94</v>
      </c>
      <c r="C25" s="119" t="s">
        <v>24</v>
      </c>
      <c r="D25" s="40" t="s">
        <v>24</v>
      </c>
      <c r="E25" s="40" t="s">
        <v>25</v>
      </c>
      <c r="F25" s="40" t="s">
        <v>25</v>
      </c>
      <c r="G25" s="21" t="s">
        <v>86</v>
      </c>
      <c r="H25" s="21" t="s">
        <v>80</v>
      </c>
      <c r="I25" s="21">
        <f>'MERCADO TUSD'!$U$22</f>
        <v>0</v>
      </c>
      <c r="J25" s="17"/>
      <c r="L25" s="39"/>
      <c r="M25" s="39"/>
      <c r="N25" s="39"/>
      <c r="O25" s="39"/>
      <c r="P25" s="39"/>
      <c r="Q25" s="39"/>
      <c r="R25" s="39"/>
      <c r="S25" s="39"/>
      <c r="T25" s="39"/>
      <c r="U25" s="39">
        <v>20.9178</v>
      </c>
      <c r="V25" s="39">
        <v>3.0472999999999999</v>
      </c>
      <c r="W25" s="39">
        <v>0.93400000000000005</v>
      </c>
      <c r="X25" s="39">
        <v>0</v>
      </c>
      <c r="Y25" s="39">
        <v>35.08</v>
      </c>
      <c r="Z25" s="39">
        <v>0</v>
      </c>
      <c r="AA25" s="39">
        <v>0</v>
      </c>
      <c r="AB25" s="39"/>
      <c r="AC25" s="39">
        <v>165.63640000000001</v>
      </c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P25" s="39">
        <v>1</v>
      </c>
    </row>
    <row r="26" spans="1:42" ht="11.25" customHeight="1" x14ac:dyDescent="0.25">
      <c r="A26" s="119"/>
      <c r="B26" s="119"/>
      <c r="C26" s="119"/>
      <c r="D26" s="40" t="s">
        <v>29</v>
      </c>
      <c r="E26" s="40" t="s">
        <v>25</v>
      </c>
      <c r="F26" s="40" t="s">
        <v>25</v>
      </c>
      <c r="G26" s="21" t="s">
        <v>86</v>
      </c>
      <c r="H26" s="21" t="s">
        <v>80</v>
      </c>
      <c r="I26" s="21">
        <f>'MERCADO TUSD'!$U$23</f>
        <v>0</v>
      </c>
      <c r="J26" s="17"/>
      <c r="L26" s="39"/>
      <c r="M26" s="39"/>
      <c r="N26" s="39"/>
      <c r="O26" s="39"/>
      <c r="P26" s="39"/>
      <c r="Q26" s="39"/>
      <c r="R26" s="39"/>
      <c r="S26" s="39"/>
      <c r="T26" s="39"/>
      <c r="U26" s="39">
        <f>(1 - CUSTOS!$M$24)*20.9178</f>
        <v>20.9178</v>
      </c>
      <c r="V26" s="39">
        <f>(1 - CUSTOS!$M$24)*3.0473</f>
        <v>3.0472999999999999</v>
      </c>
      <c r="W26" s="39">
        <f>(1 - CUSTOS!$M$24)*0.934</f>
        <v>0.93400000000000005</v>
      </c>
      <c r="X26" s="39">
        <v>0</v>
      </c>
      <c r="Y26" s="39">
        <f>(1 - CUSTOS!$M$24)*35.08</f>
        <v>35.08</v>
      </c>
      <c r="Z26" s="39">
        <v>0</v>
      </c>
      <c r="AA26" s="39">
        <v>0</v>
      </c>
      <c r="AB26" s="39"/>
      <c r="AC26" s="39">
        <f>(1 - CUSTOS!$M$24)*165.6364</f>
        <v>165.63640000000001</v>
      </c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P26" s="39">
        <f>IF((1 - CUSTOS!$M$24)&lt;&gt;0,1/(1 - CUSTOS!$M$24),1)</f>
        <v>1</v>
      </c>
    </row>
    <row r="27" spans="1:42" ht="11.25" customHeight="1" x14ac:dyDescent="0.25">
      <c r="A27" s="119"/>
      <c r="B27" s="119"/>
      <c r="C27" s="119"/>
      <c r="D27" s="40" t="s">
        <v>30</v>
      </c>
      <c r="E27" s="40" t="s">
        <v>25</v>
      </c>
      <c r="F27" s="40" t="s">
        <v>25</v>
      </c>
      <c r="G27" s="21" t="s">
        <v>86</v>
      </c>
      <c r="H27" s="21" t="s">
        <v>80</v>
      </c>
      <c r="I27" s="21">
        <f>'MERCADO TUSD'!$U$24</f>
        <v>0</v>
      </c>
      <c r="J27" s="17"/>
      <c r="L27" s="39"/>
      <c r="M27" s="39"/>
      <c r="N27" s="39"/>
      <c r="O27" s="39"/>
      <c r="P27" s="39"/>
      <c r="Q27" s="39"/>
      <c r="R27" s="39"/>
      <c r="S27" s="39"/>
      <c r="T27" s="39"/>
      <c r="U27" s="39">
        <f>(1 - CUSTOS!$M$25)*20.9178</f>
        <v>20.9178</v>
      </c>
      <c r="V27" s="39">
        <f>(1 - CUSTOS!$M$25)*3.0473</f>
        <v>3.0472999999999999</v>
      </c>
      <c r="W27" s="39">
        <f>(1 - CUSTOS!$M$25)*0.934</f>
        <v>0.93400000000000005</v>
      </c>
      <c r="X27" s="39">
        <v>0</v>
      </c>
      <c r="Y27" s="39">
        <f>(1 - CUSTOS!$M$25)*35.08</f>
        <v>35.08</v>
      </c>
      <c r="Z27" s="39">
        <v>0</v>
      </c>
      <c r="AA27" s="39">
        <v>0</v>
      </c>
      <c r="AB27" s="39"/>
      <c r="AC27" s="39">
        <f>(1 - CUSTOS!$M$25)*165.6364</f>
        <v>165.63640000000001</v>
      </c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P27" s="39">
        <f>IF((1 - CUSTOS!$M$25)&lt;&gt;0,1/(1 - CUSTOS!$M$25),1)</f>
        <v>1</v>
      </c>
    </row>
    <row r="28" spans="1:42" ht="11.25" customHeight="1" x14ac:dyDescent="0.25">
      <c r="A28" s="119"/>
      <c r="B28" s="119"/>
      <c r="C28" s="119"/>
      <c r="D28" s="40" t="s">
        <v>31</v>
      </c>
      <c r="E28" s="40" t="s">
        <v>25</v>
      </c>
      <c r="F28" s="40" t="s">
        <v>25</v>
      </c>
      <c r="G28" s="21" t="s">
        <v>86</v>
      </c>
      <c r="H28" s="21" t="s">
        <v>80</v>
      </c>
      <c r="I28" s="21">
        <f>'MERCADO TUSD'!$U$25</f>
        <v>0</v>
      </c>
      <c r="J28" s="17"/>
      <c r="L28" s="39"/>
      <c r="M28" s="39"/>
      <c r="N28" s="39"/>
      <c r="O28" s="39"/>
      <c r="P28" s="39"/>
      <c r="Q28" s="39"/>
      <c r="R28" s="39"/>
      <c r="S28" s="39"/>
      <c r="T28" s="39"/>
      <c r="U28" s="39">
        <f>(1 - CUSTOS!$M$26)*20.9178</f>
        <v>20.9178</v>
      </c>
      <c r="V28" s="39">
        <f>(1 - CUSTOS!$M$26)*3.0473</f>
        <v>3.0472999999999999</v>
      </c>
      <c r="W28" s="39">
        <f>(1 - CUSTOS!$M$26)*0.934</f>
        <v>0.93400000000000005</v>
      </c>
      <c r="X28" s="39">
        <v>0</v>
      </c>
      <c r="Y28" s="39">
        <f>(1 - CUSTOS!$M$26)*35.08</f>
        <v>35.08</v>
      </c>
      <c r="Z28" s="39">
        <v>0</v>
      </c>
      <c r="AA28" s="39">
        <v>0</v>
      </c>
      <c r="AB28" s="39"/>
      <c r="AC28" s="39">
        <f>(1 - CUSTOS!$M$26)*165.6364</f>
        <v>165.63640000000001</v>
      </c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P28" s="39">
        <f>IF((1 - CUSTOS!$M$26)&lt;&gt;0,1/(1 - CUSTOS!$M$26),1)</f>
        <v>1</v>
      </c>
    </row>
    <row r="29" spans="1:42" ht="11.25" customHeight="1" x14ac:dyDescent="0.25">
      <c r="A29" s="119"/>
      <c r="B29" s="119"/>
      <c r="C29" s="119"/>
      <c r="D29" s="40" t="s">
        <v>32</v>
      </c>
      <c r="E29" s="40" t="s">
        <v>25</v>
      </c>
      <c r="F29" s="40" t="s">
        <v>25</v>
      </c>
      <c r="G29" s="21" t="s">
        <v>86</v>
      </c>
      <c r="H29" s="21" t="s">
        <v>80</v>
      </c>
      <c r="I29" s="21">
        <f>'MERCADO TUSD'!$U$26</f>
        <v>0</v>
      </c>
      <c r="J29" s="17"/>
      <c r="L29" s="39"/>
      <c r="M29" s="39"/>
      <c r="N29" s="39"/>
      <c r="O29" s="39"/>
      <c r="P29" s="39"/>
      <c r="Q29" s="39"/>
      <c r="R29" s="39"/>
      <c r="S29" s="39"/>
      <c r="T29" s="39"/>
      <c r="U29" s="39">
        <f>(1 - CUSTOS!$M$27)*20.9178</f>
        <v>20.9178</v>
      </c>
      <c r="V29" s="39">
        <f>(1 - CUSTOS!$M$27)*3.0473</f>
        <v>3.0472999999999999</v>
      </c>
      <c r="W29" s="39">
        <f>(1 - CUSTOS!$M$27)*0.934</f>
        <v>0.93400000000000005</v>
      </c>
      <c r="X29" s="39">
        <v>0</v>
      </c>
      <c r="Y29" s="39">
        <f>(1 - CUSTOS!$M$27)*35.08</f>
        <v>35.08</v>
      </c>
      <c r="Z29" s="39">
        <v>0</v>
      </c>
      <c r="AA29" s="39">
        <v>0</v>
      </c>
      <c r="AB29" s="39"/>
      <c r="AC29" s="39">
        <f>(1 - CUSTOS!$M$27)*165.6364</f>
        <v>165.63640000000001</v>
      </c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P29" s="39">
        <f>IF((1 - CUSTOS!$M$27)&lt;&gt;0,1/(1 - CUSTOS!$M$27),1)</f>
        <v>1</v>
      </c>
    </row>
    <row r="30" spans="1:42" ht="11.25" customHeight="1" x14ac:dyDescent="0.25">
      <c r="A30" s="119" t="s">
        <v>43</v>
      </c>
      <c r="B30" s="119" t="s">
        <v>33</v>
      </c>
      <c r="C30" s="119" t="s">
        <v>44</v>
      </c>
      <c r="D30" s="119" t="s">
        <v>25</v>
      </c>
      <c r="E30" s="119" t="s">
        <v>25</v>
      </c>
      <c r="F30" s="119" t="s">
        <v>25</v>
      </c>
      <c r="G30" s="21" t="s">
        <v>81</v>
      </c>
      <c r="H30" s="21" t="s">
        <v>80</v>
      </c>
      <c r="I30" s="21">
        <f>'MERCADO TUSD'!$U$27</f>
        <v>0.27200000000000002</v>
      </c>
      <c r="J30" s="17"/>
      <c r="L30" s="39"/>
      <c r="M30" s="39"/>
      <c r="N30" s="39"/>
      <c r="O30" s="39"/>
      <c r="P30" s="39"/>
      <c r="Q30" s="39"/>
      <c r="R30" s="39"/>
      <c r="S30" s="39"/>
      <c r="T30" s="39"/>
      <c r="U30" s="39">
        <f>(1 - CUSTOS!$M$28)*74.2582</f>
        <v>74.258200000000002</v>
      </c>
      <c r="V30" s="39">
        <f>(1 - CUSTOS!$M$28)*10.8178</f>
        <v>10.8178</v>
      </c>
      <c r="W30" s="39">
        <f>(1 - CUSTOS!$M$28)*3.3157</f>
        <v>3.3157000000000001</v>
      </c>
      <c r="X30" s="39">
        <v>0</v>
      </c>
      <c r="Y30" s="39">
        <f>(1 - CUSTOS!$M$28)*124.5339</f>
        <v>124.5339</v>
      </c>
      <c r="Z30" s="39">
        <v>0</v>
      </c>
      <c r="AA30" s="39">
        <v>0</v>
      </c>
      <c r="AB30" s="39"/>
      <c r="AC30" s="39">
        <f>(1 - CUSTOS!$M$28)*588.0093</f>
        <v>588.00930000000005</v>
      </c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P30" s="39">
        <f>IF((1 - CUSTOS!$M$28)&lt;&gt;0,1/(1 - CUSTOS!$M$28),1)</f>
        <v>1</v>
      </c>
    </row>
    <row r="31" spans="1:42" ht="11.25" customHeight="1" x14ac:dyDescent="0.25">
      <c r="A31" s="119"/>
      <c r="B31" s="119"/>
      <c r="C31" s="119"/>
      <c r="D31" s="119"/>
      <c r="E31" s="119"/>
      <c r="F31" s="119"/>
      <c r="G31" s="21" t="s">
        <v>91</v>
      </c>
      <c r="H31" s="21" t="s">
        <v>80</v>
      </c>
      <c r="I31" s="21">
        <f>'MERCADO TUSD'!$U$28</f>
        <v>0.20100000000000001</v>
      </c>
      <c r="J31" s="17"/>
      <c r="L31" s="39"/>
      <c r="M31" s="39"/>
      <c r="N31" s="39"/>
      <c r="O31" s="39"/>
      <c r="P31" s="39"/>
      <c r="Q31" s="39"/>
      <c r="R31" s="39"/>
      <c r="S31" s="39"/>
      <c r="T31" s="39"/>
      <c r="U31" s="39">
        <f>(1 - CUSTOS!$M$28)*44.5549</f>
        <v>44.554900000000004</v>
      </c>
      <c r="V31" s="39">
        <f>(1 - CUSTOS!$M$28)*6.4907</f>
        <v>6.4907000000000004</v>
      </c>
      <c r="W31" s="39">
        <f>(1 - CUSTOS!$M$28)*1.9894</f>
        <v>1.9894000000000001</v>
      </c>
      <c r="X31" s="39">
        <v>0</v>
      </c>
      <c r="Y31" s="39">
        <f>(1 - CUSTOS!$M$28)*74.7203</f>
        <v>74.720299999999995</v>
      </c>
      <c r="Z31" s="39">
        <v>0</v>
      </c>
      <c r="AA31" s="39">
        <v>0</v>
      </c>
      <c r="AB31" s="39"/>
      <c r="AC31" s="39">
        <f>(1 - CUSTOS!$M$28)*352.8056</f>
        <v>352.80560000000003</v>
      </c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P31" s="39">
        <f>IF((1 - CUSTOS!$M$28)&lt;&gt;0,1/(1 - CUSTOS!$M$28),1)</f>
        <v>1</v>
      </c>
    </row>
    <row r="32" spans="1:42" ht="11.25" customHeight="1" x14ac:dyDescent="0.25">
      <c r="A32" s="119"/>
      <c r="B32" s="119"/>
      <c r="C32" s="119"/>
      <c r="D32" s="119"/>
      <c r="E32" s="119"/>
      <c r="F32" s="119"/>
      <c r="G32" s="21" t="s">
        <v>82</v>
      </c>
      <c r="H32" s="21" t="s">
        <v>80</v>
      </c>
      <c r="I32" s="21">
        <f>'MERCADO TUSD'!$U$29</f>
        <v>5.4039999999999999</v>
      </c>
      <c r="J32" s="17"/>
      <c r="L32" s="39"/>
      <c r="M32" s="39"/>
      <c r="N32" s="39"/>
      <c r="O32" s="39"/>
      <c r="P32" s="39"/>
      <c r="Q32" s="39"/>
      <c r="R32" s="39"/>
      <c r="S32" s="39"/>
      <c r="T32" s="39"/>
      <c r="U32" s="39">
        <f>(1 - CUSTOS!$M$28)*14.8516</f>
        <v>14.851599999999999</v>
      </c>
      <c r="V32" s="39">
        <f>(1 - CUSTOS!$M$28)*2.1636</f>
        <v>2.1636000000000002</v>
      </c>
      <c r="W32" s="39">
        <f>(1 - CUSTOS!$M$28)*0.6631</f>
        <v>0.66310000000000002</v>
      </c>
      <c r="X32" s="39">
        <v>0</v>
      </c>
      <c r="Y32" s="39">
        <f>(1 - CUSTOS!$M$28)*24.9068</f>
        <v>24.9068</v>
      </c>
      <c r="Z32" s="39">
        <v>0</v>
      </c>
      <c r="AA32" s="39">
        <v>0</v>
      </c>
      <c r="AB32" s="39"/>
      <c r="AC32" s="39">
        <f>(1 - CUSTOS!$M$28)*117.6019</f>
        <v>117.6019</v>
      </c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P32" s="39">
        <f>IF((1 - CUSTOS!$M$28)&lt;&gt;0,1/(1 - CUSTOS!$M$28),1)</f>
        <v>1</v>
      </c>
    </row>
    <row r="33" spans="1:42" ht="11.25" customHeight="1" x14ac:dyDescent="0.25">
      <c r="A33" s="119"/>
      <c r="B33" s="40" t="s">
        <v>23</v>
      </c>
      <c r="C33" s="40" t="s">
        <v>44</v>
      </c>
      <c r="D33" s="40" t="s">
        <v>25</v>
      </c>
      <c r="E33" s="40" t="s">
        <v>25</v>
      </c>
      <c r="F33" s="40" t="s">
        <v>25</v>
      </c>
      <c r="G33" s="21" t="s">
        <v>86</v>
      </c>
      <c r="H33" s="21" t="s">
        <v>80</v>
      </c>
      <c r="I33" s="21">
        <f>'MERCADO TUSD'!$U$30</f>
        <v>183438.26899999997</v>
      </c>
      <c r="J33" s="17"/>
      <c r="L33" s="39"/>
      <c r="M33" s="39"/>
      <c r="N33" s="39"/>
      <c r="O33" s="39"/>
      <c r="P33" s="39"/>
      <c r="Q33" s="39"/>
      <c r="R33" s="39"/>
      <c r="S33" s="39"/>
      <c r="T33" s="39"/>
      <c r="U33" s="39">
        <f>(1 - CUSTOS!$M$28)*20.9178</f>
        <v>20.9178</v>
      </c>
      <c r="V33" s="39">
        <f>(1 - CUSTOS!$M$28)*3.0473</f>
        <v>3.0472999999999999</v>
      </c>
      <c r="W33" s="39">
        <f>(1 - CUSTOS!$M$28)*0.934</f>
        <v>0.93400000000000005</v>
      </c>
      <c r="X33" s="39">
        <v>0</v>
      </c>
      <c r="Y33" s="39">
        <f>(1 - CUSTOS!$M$28)*35.08</f>
        <v>35.08</v>
      </c>
      <c r="Z33" s="39">
        <v>0</v>
      </c>
      <c r="AA33" s="39">
        <v>0</v>
      </c>
      <c r="AB33" s="39"/>
      <c r="AC33" s="39">
        <f>(1 - CUSTOS!$M$28)*165.6364</f>
        <v>165.63640000000001</v>
      </c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P33" s="39">
        <f>IF((1 - CUSTOS!$M$28)&lt;&gt;0,1/(1 - CUSTOS!$M$28),1)</f>
        <v>1</v>
      </c>
    </row>
    <row r="34" spans="1:42" ht="11.25" customHeight="1" x14ac:dyDescent="0.25">
      <c r="A34" s="119"/>
      <c r="B34" s="119" t="s">
        <v>33</v>
      </c>
      <c r="C34" s="119" t="s">
        <v>44</v>
      </c>
      <c r="D34" s="119" t="s">
        <v>95</v>
      </c>
      <c r="E34" s="119" t="s">
        <v>25</v>
      </c>
      <c r="F34" s="119" t="s">
        <v>25</v>
      </c>
      <c r="G34" s="21" t="s">
        <v>81</v>
      </c>
      <c r="H34" s="21" t="s">
        <v>80</v>
      </c>
      <c r="I34" s="21">
        <f>'MERCADO TUSD'!$U$31</f>
        <v>0</v>
      </c>
      <c r="J34" s="17"/>
      <c r="L34" s="39"/>
      <c r="M34" s="39"/>
      <c r="N34" s="39"/>
      <c r="O34" s="39"/>
      <c r="P34" s="39"/>
      <c r="Q34" s="39"/>
      <c r="R34" s="39"/>
      <c r="S34" s="39"/>
      <c r="T34" s="39"/>
      <c r="U34" s="39">
        <f>(1 - CUSTOS!$M$29)*74.2582</f>
        <v>74.258200000000002</v>
      </c>
      <c r="V34" s="39">
        <f>(1 - CUSTOS!$M$29)*10.8178</f>
        <v>10.8178</v>
      </c>
      <c r="W34" s="39">
        <f>(1 - CUSTOS!$M$29)*3.3157</f>
        <v>3.3157000000000001</v>
      </c>
      <c r="X34" s="39">
        <v>0</v>
      </c>
      <c r="Y34" s="39">
        <f>(1 - CUSTOS!$M$29)*124.5339</f>
        <v>124.5339</v>
      </c>
      <c r="Z34" s="39">
        <v>0</v>
      </c>
      <c r="AA34" s="39">
        <v>0</v>
      </c>
      <c r="AB34" s="39"/>
      <c r="AC34" s="39">
        <f>(1 - CUSTOS!$M$29)*588.0093</f>
        <v>588.00930000000005</v>
      </c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P34" s="39">
        <f>IF((1 - CUSTOS!$M$29)&lt;&gt;0,1/(1 - CUSTOS!$M$29),1)</f>
        <v>1</v>
      </c>
    </row>
    <row r="35" spans="1:42" ht="11.25" customHeight="1" x14ac:dyDescent="0.25">
      <c r="A35" s="119"/>
      <c r="B35" s="119"/>
      <c r="C35" s="119"/>
      <c r="D35" s="119"/>
      <c r="E35" s="119"/>
      <c r="F35" s="119"/>
      <c r="G35" s="21" t="s">
        <v>91</v>
      </c>
      <c r="H35" s="21" t="s">
        <v>80</v>
      </c>
      <c r="I35" s="21">
        <f>'MERCADO TUSD'!$U$32</f>
        <v>0</v>
      </c>
      <c r="J35" s="17"/>
      <c r="L35" s="39"/>
      <c r="M35" s="39"/>
      <c r="N35" s="39"/>
      <c r="O35" s="39"/>
      <c r="P35" s="39"/>
      <c r="Q35" s="39"/>
      <c r="R35" s="39"/>
      <c r="S35" s="39"/>
      <c r="T35" s="39"/>
      <c r="U35" s="39">
        <f>(1 - CUSTOS!$M$29)*44.5549</f>
        <v>44.554900000000004</v>
      </c>
      <c r="V35" s="39">
        <f>(1 - CUSTOS!$M$29)*6.4907</f>
        <v>6.4907000000000004</v>
      </c>
      <c r="W35" s="39">
        <f>(1 - CUSTOS!$M$29)*1.9894</f>
        <v>1.9894000000000001</v>
      </c>
      <c r="X35" s="39">
        <v>0</v>
      </c>
      <c r="Y35" s="39">
        <f>(1 - CUSTOS!$M$29)*74.7203</f>
        <v>74.720299999999995</v>
      </c>
      <c r="Z35" s="39">
        <v>0</v>
      </c>
      <c r="AA35" s="39">
        <v>0</v>
      </c>
      <c r="AB35" s="39"/>
      <c r="AC35" s="39">
        <f>(1 - CUSTOS!$M$29)*352.8056</f>
        <v>352.80560000000003</v>
      </c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P35" s="39">
        <f>IF((1 - CUSTOS!$M$29)&lt;&gt;0,1/(1 - CUSTOS!$M$29),1)</f>
        <v>1</v>
      </c>
    </row>
    <row r="36" spans="1:42" ht="11.25" customHeight="1" x14ac:dyDescent="0.25">
      <c r="A36" s="119"/>
      <c r="B36" s="119"/>
      <c r="C36" s="119"/>
      <c r="D36" s="119"/>
      <c r="E36" s="119"/>
      <c r="F36" s="119"/>
      <c r="G36" s="21" t="s">
        <v>82</v>
      </c>
      <c r="H36" s="21" t="s">
        <v>80</v>
      </c>
      <c r="I36" s="21">
        <f>'MERCADO TUSD'!$U$33</f>
        <v>0</v>
      </c>
      <c r="J36" s="17"/>
      <c r="L36" s="39"/>
      <c r="M36" s="39"/>
      <c r="N36" s="39"/>
      <c r="O36" s="39"/>
      <c r="P36" s="39"/>
      <c r="Q36" s="39"/>
      <c r="R36" s="39"/>
      <c r="S36" s="39"/>
      <c r="T36" s="39"/>
      <c r="U36" s="39">
        <f>(1 - CUSTOS!$M$29)*14.8516</f>
        <v>14.851599999999999</v>
      </c>
      <c r="V36" s="39">
        <f>(1 - CUSTOS!$M$29)*2.1636</f>
        <v>2.1636000000000002</v>
      </c>
      <c r="W36" s="39">
        <f>(1 - CUSTOS!$M$29)*0.6631</f>
        <v>0.66310000000000002</v>
      </c>
      <c r="X36" s="39">
        <v>0</v>
      </c>
      <c r="Y36" s="39">
        <f>(1 - CUSTOS!$M$29)*24.9068</f>
        <v>24.9068</v>
      </c>
      <c r="Z36" s="39">
        <v>0</v>
      </c>
      <c r="AA36" s="39">
        <v>0</v>
      </c>
      <c r="AB36" s="39"/>
      <c r="AC36" s="39">
        <f>(1 - CUSTOS!$M$29)*117.6019</f>
        <v>117.6019</v>
      </c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P36" s="39">
        <f>IF((1 - CUSTOS!$M$29)&lt;&gt;0,1/(1 - CUSTOS!$M$29),1)</f>
        <v>1</v>
      </c>
    </row>
    <row r="37" spans="1:42" ht="11.25" customHeight="1" x14ac:dyDescent="0.25">
      <c r="A37" s="119"/>
      <c r="B37" s="40" t="s">
        <v>23</v>
      </c>
      <c r="C37" s="40" t="s">
        <v>44</v>
      </c>
      <c r="D37" s="40" t="s">
        <v>95</v>
      </c>
      <c r="E37" s="40" t="s">
        <v>25</v>
      </c>
      <c r="F37" s="40" t="s">
        <v>25</v>
      </c>
      <c r="G37" s="21" t="s">
        <v>86</v>
      </c>
      <c r="H37" s="21" t="s">
        <v>80</v>
      </c>
      <c r="I37" s="21">
        <f>'MERCADO TUSD'!$U$34</f>
        <v>0</v>
      </c>
      <c r="J37" s="17"/>
      <c r="L37" s="39"/>
      <c r="M37" s="39"/>
      <c r="N37" s="39"/>
      <c r="O37" s="39"/>
      <c r="P37" s="39"/>
      <c r="Q37" s="39"/>
      <c r="R37" s="39"/>
      <c r="S37" s="39"/>
      <c r="T37" s="39"/>
      <c r="U37" s="39">
        <f>(1 - CUSTOS!$M$29)*20.9178</f>
        <v>20.9178</v>
      </c>
      <c r="V37" s="39">
        <f>(1 - CUSTOS!$M$29)*3.0473</f>
        <v>3.0472999999999999</v>
      </c>
      <c r="W37" s="39">
        <f>(1 - CUSTOS!$M$29)*0.934</f>
        <v>0.93400000000000005</v>
      </c>
      <c r="X37" s="39">
        <v>0</v>
      </c>
      <c r="Y37" s="39">
        <f>(1 - CUSTOS!$M$29)*35.08</f>
        <v>35.08</v>
      </c>
      <c r="Z37" s="39">
        <v>0</v>
      </c>
      <c r="AA37" s="39">
        <v>0</v>
      </c>
      <c r="AB37" s="39"/>
      <c r="AC37" s="39">
        <f>(1 - CUSTOS!$M$29)*165.6364</f>
        <v>165.63640000000001</v>
      </c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P37" s="39">
        <f>IF((1 - CUSTOS!$M$29)&lt;&gt;0,1/(1 - CUSTOS!$M$29),1)</f>
        <v>1</v>
      </c>
    </row>
    <row r="38" spans="1:42" ht="11.25" customHeight="1" x14ac:dyDescent="0.25">
      <c r="A38" s="119"/>
      <c r="B38" s="119" t="s">
        <v>33</v>
      </c>
      <c r="C38" s="119" t="s">
        <v>44</v>
      </c>
      <c r="D38" s="119" t="s">
        <v>55</v>
      </c>
      <c r="E38" s="119" t="s">
        <v>25</v>
      </c>
      <c r="F38" s="119" t="s">
        <v>25</v>
      </c>
      <c r="G38" s="21" t="s">
        <v>81</v>
      </c>
      <c r="H38" s="21" t="s">
        <v>80</v>
      </c>
      <c r="I38" s="21">
        <f>'MERCADO TUSD'!$U$35</f>
        <v>0</v>
      </c>
      <c r="J38" s="17"/>
      <c r="L38" s="39"/>
      <c r="M38" s="39"/>
      <c r="N38" s="39"/>
      <c r="O38" s="39"/>
      <c r="P38" s="39"/>
      <c r="Q38" s="39"/>
      <c r="R38" s="39"/>
      <c r="S38" s="39"/>
      <c r="T38" s="39"/>
      <c r="U38" s="39">
        <f>(1 - CUSTOS!$M$30)*74.2582</f>
        <v>74.258200000000002</v>
      </c>
      <c r="V38" s="39">
        <f>(1 - CUSTOS!$M$30)*10.8178</f>
        <v>10.8178</v>
      </c>
      <c r="W38" s="39">
        <f>(1 - CUSTOS!$M$30)*3.3157</f>
        <v>3.3157000000000001</v>
      </c>
      <c r="X38" s="39">
        <v>0</v>
      </c>
      <c r="Y38" s="39">
        <f>(1 - CUSTOS!$M$30)*124.5339</f>
        <v>124.5339</v>
      </c>
      <c r="Z38" s="39">
        <v>0</v>
      </c>
      <c r="AA38" s="39">
        <v>0</v>
      </c>
      <c r="AB38" s="39"/>
      <c r="AC38" s="39">
        <f>(1 - CUSTOS!$M$30)*588.0093</f>
        <v>588.00930000000005</v>
      </c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P38" s="39">
        <f>IF((1 - CUSTOS!$M$30)&lt;&gt;0,1/(1 - CUSTOS!$M$30),1)</f>
        <v>1</v>
      </c>
    </row>
    <row r="39" spans="1:42" ht="11.25" customHeight="1" x14ac:dyDescent="0.25">
      <c r="A39" s="119"/>
      <c r="B39" s="119"/>
      <c r="C39" s="119"/>
      <c r="D39" s="119"/>
      <c r="E39" s="119"/>
      <c r="F39" s="119"/>
      <c r="G39" s="21" t="s">
        <v>91</v>
      </c>
      <c r="H39" s="21" t="s">
        <v>80</v>
      </c>
      <c r="I39" s="21">
        <f>'MERCADO TUSD'!$U$36</f>
        <v>0</v>
      </c>
      <c r="J39" s="17"/>
      <c r="L39" s="39"/>
      <c r="M39" s="39"/>
      <c r="N39" s="39"/>
      <c r="O39" s="39"/>
      <c r="P39" s="39"/>
      <c r="Q39" s="39"/>
      <c r="R39" s="39"/>
      <c r="S39" s="39"/>
      <c r="T39" s="39"/>
      <c r="U39" s="39">
        <f>(1 - CUSTOS!$M$30)*44.5549</f>
        <v>44.554900000000004</v>
      </c>
      <c r="V39" s="39">
        <f>(1 - CUSTOS!$M$30)*6.4907</f>
        <v>6.4907000000000004</v>
      </c>
      <c r="W39" s="39">
        <f>(1 - CUSTOS!$M$30)*1.9894</f>
        <v>1.9894000000000001</v>
      </c>
      <c r="X39" s="39">
        <v>0</v>
      </c>
      <c r="Y39" s="39">
        <f>(1 - CUSTOS!$M$30)*74.7203</f>
        <v>74.720299999999995</v>
      </c>
      <c r="Z39" s="39">
        <v>0</v>
      </c>
      <c r="AA39" s="39">
        <v>0</v>
      </c>
      <c r="AB39" s="39"/>
      <c r="AC39" s="39">
        <f>(1 - CUSTOS!$M$30)*352.8056</f>
        <v>352.80560000000003</v>
      </c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P39" s="39">
        <f>IF((1 - CUSTOS!$M$30)&lt;&gt;0,1/(1 - CUSTOS!$M$30),1)</f>
        <v>1</v>
      </c>
    </row>
    <row r="40" spans="1:42" ht="11.25" customHeight="1" x14ac:dyDescent="0.25">
      <c r="A40" s="119"/>
      <c r="B40" s="119"/>
      <c r="C40" s="119"/>
      <c r="D40" s="119"/>
      <c r="E40" s="119"/>
      <c r="F40" s="119"/>
      <c r="G40" s="21" t="s">
        <v>82</v>
      </c>
      <c r="H40" s="21" t="s">
        <v>80</v>
      </c>
      <c r="I40" s="21">
        <f>'MERCADO TUSD'!$U$37</f>
        <v>0</v>
      </c>
      <c r="J40" s="17"/>
      <c r="L40" s="39"/>
      <c r="M40" s="39"/>
      <c r="N40" s="39"/>
      <c r="O40" s="39"/>
      <c r="P40" s="39"/>
      <c r="Q40" s="39"/>
      <c r="R40" s="39"/>
      <c r="S40" s="39"/>
      <c r="T40" s="39"/>
      <c r="U40" s="39">
        <f>(1 - CUSTOS!$M$30)*14.8516</f>
        <v>14.851599999999999</v>
      </c>
      <c r="V40" s="39">
        <f>(1 - CUSTOS!$M$30)*2.1636</f>
        <v>2.1636000000000002</v>
      </c>
      <c r="W40" s="39">
        <f>(1 - CUSTOS!$M$30)*0.6631</f>
        <v>0.66310000000000002</v>
      </c>
      <c r="X40" s="39">
        <v>0</v>
      </c>
      <c r="Y40" s="39">
        <f>(1 - CUSTOS!$M$30)*24.9068</f>
        <v>24.9068</v>
      </c>
      <c r="Z40" s="39">
        <v>0</v>
      </c>
      <c r="AA40" s="39">
        <v>0</v>
      </c>
      <c r="AB40" s="39"/>
      <c r="AC40" s="39">
        <f>(1 - CUSTOS!$M$30)*117.6019</f>
        <v>117.6019</v>
      </c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P40" s="39">
        <f>IF((1 - CUSTOS!$M$30)&lt;&gt;0,1/(1 - CUSTOS!$M$30),1)</f>
        <v>1</v>
      </c>
    </row>
    <row r="41" spans="1:42" ht="11.25" customHeight="1" x14ac:dyDescent="0.25">
      <c r="A41" s="119"/>
      <c r="B41" s="40" t="s">
        <v>23</v>
      </c>
      <c r="C41" s="40" t="s">
        <v>44</v>
      </c>
      <c r="D41" s="40" t="s">
        <v>55</v>
      </c>
      <c r="E41" s="40" t="s">
        <v>25</v>
      </c>
      <c r="F41" s="40" t="s">
        <v>25</v>
      </c>
      <c r="G41" s="21" t="s">
        <v>86</v>
      </c>
      <c r="H41" s="21" t="s">
        <v>80</v>
      </c>
      <c r="I41" s="21">
        <f>'MERCADO TUSD'!$U$38</f>
        <v>29.929000000000002</v>
      </c>
      <c r="J41" s="17"/>
      <c r="L41" s="39"/>
      <c r="M41" s="39"/>
      <c r="N41" s="39"/>
      <c r="O41" s="39"/>
      <c r="P41" s="39"/>
      <c r="Q41" s="39"/>
      <c r="R41" s="39"/>
      <c r="S41" s="39"/>
      <c r="T41" s="39"/>
      <c r="U41" s="39">
        <f>(1 - CUSTOS!$M$30)*20.9178</f>
        <v>20.9178</v>
      </c>
      <c r="V41" s="39">
        <f>(1 - CUSTOS!$M$30)*3.0473</f>
        <v>3.0472999999999999</v>
      </c>
      <c r="W41" s="39">
        <f>(1 - CUSTOS!$M$30)*0.934</f>
        <v>0.93400000000000005</v>
      </c>
      <c r="X41" s="39">
        <v>0</v>
      </c>
      <c r="Y41" s="39">
        <f>(1 - CUSTOS!$M$30)*35.08</f>
        <v>35.08</v>
      </c>
      <c r="Z41" s="39">
        <v>0</v>
      </c>
      <c r="AA41" s="39">
        <v>0</v>
      </c>
      <c r="AB41" s="39"/>
      <c r="AC41" s="39">
        <f>(1 - CUSTOS!$M$30)*165.6364</f>
        <v>165.63640000000001</v>
      </c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P41" s="39">
        <f>IF((1 - CUSTOS!$M$30)&lt;&gt;0,1/(1 - CUSTOS!$M$30),1)</f>
        <v>1</v>
      </c>
    </row>
    <row r="42" spans="1:42" ht="11.25" customHeight="1" x14ac:dyDescent="0.25">
      <c r="A42" s="119"/>
      <c r="B42" s="119" t="s">
        <v>94</v>
      </c>
      <c r="C42" s="119" t="s">
        <v>44</v>
      </c>
      <c r="D42" s="40" t="s">
        <v>25</v>
      </c>
      <c r="E42" s="40" t="s">
        <v>25</v>
      </c>
      <c r="F42" s="40" t="s">
        <v>25</v>
      </c>
      <c r="G42" s="21" t="s">
        <v>86</v>
      </c>
      <c r="H42" s="21" t="s">
        <v>80</v>
      </c>
      <c r="I42" s="21">
        <f>'MERCADO TUSD'!$U$39</f>
        <v>0</v>
      </c>
      <c r="J42" s="17"/>
      <c r="L42" s="39"/>
      <c r="M42" s="39"/>
      <c r="N42" s="39"/>
      <c r="O42" s="39"/>
      <c r="P42" s="39"/>
      <c r="Q42" s="39"/>
      <c r="R42" s="39"/>
      <c r="S42" s="39"/>
      <c r="T42" s="39"/>
      <c r="U42" s="39">
        <f>(1 - CUSTOS!$M$28)*20.9178</f>
        <v>20.9178</v>
      </c>
      <c r="V42" s="39">
        <f>(1 - CUSTOS!$M$28)*3.0473</f>
        <v>3.0472999999999999</v>
      </c>
      <c r="W42" s="39">
        <f>(1 - CUSTOS!$M$28)*0.934</f>
        <v>0.93400000000000005</v>
      </c>
      <c r="X42" s="39">
        <v>0</v>
      </c>
      <c r="Y42" s="39">
        <f>(1 - CUSTOS!$M$28)*35.08</f>
        <v>35.08</v>
      </c>
      <c r="Z42" s="39">
        <v>0</v>
      </c>
      <c r="AA42" s="39">
        <v>0</v>
      </c>
      <c r="AB42" s="39"/>
      <c r="AC42" s="39">
        <f>(1 - CUSTOS!$M$28)*165.6364</f>
        <v>165.63640000000001</v>
      </c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P42" s="39">
        <f>IF((1 - CUSTOS!$M$28)&lt;&gt;0,1/(1 - CUSTOS!$M$28),1)</f>
        <v>1</v>
      </c>
    </row>
    <row r="43" spans="1:42" ht="11.25" customHeight="1" x14ac:dyDescent="0.25">
      <c r="A43" s="119"/>
      <c r="B43" s="119"/>
      <c r="C43" s="119"/>
      <c r="D43" s="40" t="s">
        <v>95</v>
      </c>
      <c r="E43" s="40" t="s">
        <v>25</v>
      </c>
      <c r="F43" s="40" t="s">
        <v>25</v>
      </c>
      <c r="G43" s="21" t="s">
        <v>86</v>
      </c>
      <c r="H43" s="21" t="s">
        <v>80</v>
      </c>
      <c r="I43" s="21">
        <f>'MERCADO TUSD'!$U$40</f>
        <v>0</v>
      </c>
      <c r="J43" s="17"/>
      <c r="L43" s="39"/>
      <c r="M43" s="39"/>
      <c r="N43" s="39"/>
      <c r="O43" s="39"/>
      <c r="P43" s="39"/>
      <c r="Q43" s="39"/>
      <c r="R43" s="39"/>
      <c r="S43" s="39"/>
      <c r="T43" s="39"/>
      <c r="U43" s="39">
        <f>(1 - CUSTOS!$M$29)*20.9178</f>
        <v>20.9178</v>
      </c>
      <c r="V43" s="39">
        <f>(1 - CUSTOS!$M$29)*3.0473</f>
        <v>3.0472999999999999</v>
      </c>
      <c r="W43" s="39">
        <f>(1 - CUSTOS!$M$29)*0.934</f>
        <v>0.93400000000000005</v>
      </c>
      <c r="X43" s="39">
        <v>0</v>
      </c>
      <c r="Y43" s="39">
        <f>(1 - CUSTOS!$M$29)*35.08</f>
        <v>35.08</v>
      </c>
      <c r="Z43" s="39">
        <v>0</v>
      </c>
      <c r="AA43" s="39">
        <v>0</v>
      </c>
      <c r="AB43" s="39"/>
      <c r="AC43" s="39">
        <f>(1 - CUSTOS!$M$29)*165.6364</f>
        <v>165.63640000000001</v>
      </c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P43" s="39">
        <f>IF((1 - CUSTOS!$M$29)&lt;&gt;0,1/(1 - CUSTOS!$M$29),1)</f>
        <v>1</v>
      </c>
    </row>
    <row r="44" spans="1:42" ht="11.25" customHeight="1" x14ac:dyDescent="0.25">
      <c r="A44" s="119"/>
      <c r="B44" s="119"/>
      <c r="C44" s="119"/>
      <c r="D44" s="40" t="s">
        <v>55</v>
      </c>
      <c r="E44" s="40" t="s">
        <v>25</v>
      </c>
      <c r="F44" s="40" t="s">
        <v>25</v>
      </c>
      <c r="G44" s="21" t="s">
        <v>86</v>
      </c>
      <c r="H44" s="21" t="s">
        <v>80</v>
      </c>
      <c r="I44" s="21">
        <f>'MERCADO TUSD'!$U$41</f>
        <v>0</v>
      </c>
      <c r="J44" s="17"/>
      <c r="L44" s="39"/>
      <c r="M44" s="39"/>
      <c r="N44" s="39"/>
      <c r="O44" s="39"/>
      <c r="P44" s="39"/>
      <c r="Q44" s="39"/>
      <c r="R44" s="39"/>
      <c r="S44" s="39"/>
      <c r="T44" s="39"/>
      <c r="U44" s="39">
        <f>(1 - CUSTOS!$M$30)*20.9178</f>
        <v>20.9178</v>
      </c>
      <c r="V44" s="39">
        <f>(1 - CUSTOS!$M$30)*3.0473</f>
        <v>3.0472999999999999</v>
      </c>
      <c r="W44" s="39">
        <f>(1 - CUSTOS!$M$30)*0.934</f>
        <v>0.93400000000000005</v>
      </c>
      <c r="X44" s="39">
        <v>0</v>
      </c>
      <c r="Y44" s="39">
        <f>(1 - CUSTOS!$M$30)*35.08</f>
        <v>35.08</v>
      </c>
      <c r="Z44" s="39">
        <v>0</v>
      </c>
      <c r="AA44" s="39">
        <v>0</v>
      </c>
      <c r="AB44" s="39"/>
      <c r="AC44" s="39">
        <f>(1 - CUSTOS!$M$30)*165.6364</f>
        <v>165.63640000000001</v>
      </c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P44" s="39">
        <f>IF((1 - CUSTOS!$M$30)&lt;&gt;0,1/(1 - CUSTOS!$M$30),1)</f>
        <v>1</v>
      </c>
    </row>
    <row r="45" spans="1:42" ht="11.25" customHeight="1" x14ac:dyDescent="0.25">
      <c r="A45" s="119" t="s">
        <v>37</v>
      </c>
      <c r="B45" s="119" t="s">
        <v>33</v>
      </c>
      <c r="C45" s="119" t="s">
        <v>25</v>
      </c>
      <c r="D45" s="119" t="s">
        <v>25</v>
      </c>
      <c r="E45" s="119" t="s">
        <v>25</v>
      </c>
      <c r="F45" s="119" t="s">
        <v>25</v>
      </c>
      <c r="G45" s="21" t="s">
        <v>81</v>
      </c>
      <c r="H45" s="21" t="s">
        <v>80</v>
      </c>
      <c r="I45" s="21">
        <f>'MERCADO TUSD'!$U$42</f>
        <v>57.161000000000001</v>
      </c>
      <c r="J45" s="17"/>
      <c r="L45" s="39"/>
      <c r="M45" s="39"/>
      <c r="N45" s="39"/>
      <c r="O45" s="39"/>
      <c r="P45" s="39"/>
      <c r="Q45" s="39"/>
      <c r="R45" s="39"/>
      <c r="S45" s="39"/>
      <c r="T45" s="39"/>
      <c r="U45" s="39">
        <f>(1 - CUSTOS!$M$31)*74.2582</f>
        <v>74.258200000000002</v>
      </c>
      <c r="V45" s="39">
        <f>(1 - CUSTOS!$M$31)*10.8178</f>
        <v>10.8178</v>
      </c>
      <c r="W45" s="39">
        <f>(1 - CUSTOS!$M$31)*3.3157</f>
        <v>3.3157000000000001</v>
      </c>
      <c r="X45" s="39">
        <v>0</v>
      </c>
      <c r="Y45" s="39">
        <f>(1 - CUSTOS!$M$31)*124.5339</f>
        <v>124.5339</v>
      </c>
      <c r="Z45" s="39">
        <v>0</v>
      </c>
      <c r="AA45" s="39">
        <v>0</v>
      </c>
      <c r="AB45" s="39"/>
      <c r="AC45" s="39">
        <f>(1 - CUSTOS!$M$31)*588.0093</f>
        <v>588.00930000000005</v>
      </c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P45" s="39">
        <f>IF((1 - CUSTOS!$M$31)&lt;&gt;0,1/(1 - CUSTOS!$M$31),1)</f>
        <v>1</v>
      </c>
    </row>
    <row r="46" spans="1:42" ht="11.25" customHeight="1" x14ac:dyDescent="0.25">
      <c r="A46" s="119"/>
      <c r="B46" s="119"/>
      <c r="C46" s="119"/>
      <c r="D46" s="119"/>
      <c r="E46" s="119"/>
      <c r="F46" s="119"/>
      <c r="G46" s="21" t="s">
        <v>91</v>
      </c>
      <c r="H46" s="21" t="s">
        <v>80</v>
      </c>
      <c r="I46" s="21">
        <f>'MERCADO TUSD'!$U$43</f>
        <v>51.646000000000001</v>
      </c>
      <c r="J46" s="17"/>
      <c r="L46" s="39"/>
      <c r="M46" s="39"/>
      <c r="N46" s="39"/>
      <c r="O46" s="39"/>
      <c r="P46" s="39"/>
      <c r="Q46" s="39"/>
      <c r="R46" s="39"/>
      <c r="S46" s="39"/>
      <c r="T46" s="39"/>
      <c r="U46" s="39">
        <f>(1 - CUSTOS!$M$31)*44.5549</f>
        <v>44.554900000000004</v>
      </c>
      <c r="V46" s="39">
        <f>(1 - CUSTOS!$M$31)*6.4907</f>
        <v>6.4907000000000004</v>
      </c>
      <c r="W46" s="39">
        <f>(1 - CUSTOS!$M$31)*1.9894</f>
        <v>1.9894000000000001</v>
      </c>
      <c r="X46" s="39">
        <v>0</v>
      </c>
      <c r="Y46" s="39">
        <f>(1 - CUSTOS!$M$31)*74.7203</f>
        <v>74.720299999999995</v>
      </c>
      <c r="Z46" s="39">
        <v>0</v>
      </c>
      <c r="AA46" s="39">
        <v>0</v>
      </c>
      <c r="AB46" s="39"/>
      <c r="AC46" s="39">
        <f>(1 - CUSTOS!$M$31)*352.8056</f>
        <v>352.80560000000003</v>
      </c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P46" s="39">
        <f>IF((1 - CUSTOS!$M$31)&lt;&gt;0,1/(1 - CUSTOS!$M$31),1)</f>
        <v>1</v>
      </c>
    </row>
    <row r="47" spans="1:42" ht="11.25" customHeight="1" x14ac:dyDescent="0.25">
      <c r="A47" s="119"/>
      <c r="B47" s="119"/>
      <c r="C47" s="119"/>
      <c r="D47" s="119"/>
      <c r="E47" s="119"/>
      <c r="F47" s="119"/>
      <c r="G47" s="21" t="s">
        <v>82</v>
      </c>
      <c r="H47" s="21" t="s">
        <v>80</v>
      </c>
      <c r="I47" s="21">
        <f>'MERCADO TUSD'!$U$44</f>
        <v>982.72000000000014</v>
      </c>
      <c r="J47" s="17"/>
      <c r="L47" s="39"/>
      <c r="M47" s="39"/>
      <c r="N47" s="39"/>
      <c r="O47" s="39"/>
      <c r="P47" s="39"/>
      <c r="Q47" s="39"/>
      <c r="R47" s="39"/>
      <c r="S47" s="39"/>
      <c r="T47" s="39"/>
      <c r="U47" s="39">
        <f>(1 - CUSTOS!$M$31)*14.8516</f>
        <v>14.851599999999999</v>
      </c>
      <c r="V47" s="39">
        <f>(1 - CUSTOS!$M$31)*2.1636</f>
        <v>2.1636000000000002</v>
      </c>
      <c r="W47" s="39">
        <f>(1 - CUSTOS!$M$31)*0.6631</f>
        <v>0.66310000000000002</v>
      </c>
      <c r="X47" s="39">
        <v>0</v>
      </c>
      <c r="Y47" s="39">
        <f>(1 - CUSTOS!$M$31)*24.9068</f>
        <v>24.9068</v>
      </c>
      <c r="Z47" s="39">
        <v>0</v>
      </c>
      <c r="AA47" s="39">
        <v>0</v>
      </c>
      <c r="AB47" s="39"/>
      <c r="AC47" s="39">
        <f>(1 - CUSTOS!$M$31)*117.6019</f>
        <v>117.6019</v>
      </c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P47" s="39">
        <f>IF((1 - CUSTOS!$M$31)&lt;&gt;0,1/(1 - CUSTOS!$M$31),1)</f>
        <v>1</v>
      </c>
    </row>
    <row r="48" spans="1:42" ht="11.25" customHeight="1" x14ac:dyDescent="0.25">
      <c r="A48" s="119"/>
      <c r="B48" s="40" t="s">
        <v>23</v>
      </c>
      <c r="C48" s="40" t="s">
        <v>25</v>
      </c>
      <c r="D48" s="40" t="s">
        <v>25</v>
      </c>
      <c r="E48" s="40" t="s">
        <v>25</v>
      </c>
      <c r="F48" s="40" t="s">
        <v>25</v>
      </c>
      <c r="G48" s="21" t="s">
        <v>86</v>
      </c>
      <c r="H48" s="21" t="s">
        <v>80</v>
      </c>
      <c r="I48" s="21">
        <f>'MERCADO TUSD'!$U$45</f>
        <v>86690.115999999995</v>
      </c>
      <c r="J48" s="17"/>
      <c r="L48" s="39"/>
      <c r="M48" s="39"/>
      <c r="N48" s="39"/>
      <c r="O48" s="39"/>
      <c r="P48" s="39"/>
      <c r="Q48" s="39"/>
      <c r="R48" s="39"/>
      <c r="S48" s="39"/>
      <c r="T48" s="39"/>
      <c r="U48" s="39">
        <f>(1 - CUSTOS!$M$31)*20.9178</f>
        <v>20.9178</v>
      </c>
      <c r="V48" s="39">
        <f>(1 - CUSTOS!$M$31)*3.0473</f>
        <v>3.0472999999999999</v>
      </c>
      <c r="W48" s="39">
        <f>(1 - CUSTOS!$M$31)*0.934</f>
        <v>0.93400000000000005</v>
      </c>
      <c r="X48" s="39">
        <v>0</v>
      </c>
      <c r="Y48" s="39">
        <f>(1 - CUSTOS!$M$31)*35.08</f>
        <v>35.08</v>
      </c>
      <c r="Z48" s="39">
        <v>0</v>
      </c>
      <c r="AA48" s="39">
        <v>0</v>
      </c>
      <c r="AB48" s="39"/>
      <c r="AC48" s="39">
        <f>(1 - CUSTOS!$M$31)*165.6364</f>
        <v>165.63640000000001</v>
      </c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P48" s="39">
        <f>IF((1 - CUSTOS!$M$31)&lt;&gt;0,1/(1 - CUSTOS!$M$31),1)</f>
        <v>1</v>
      </c>
    </row>
    <row r="49" spans="1:42" ht="11.25" customHeight="1" x14ac:dyDescent="0.25">
      <c r="A49" s="119"/>
      <c r="B49" s="40" t="s">
        <v>94</v>
      </c>
      <c r="C49" s="40" t="s">
        <v>25</v>
      </c>
      <c r="D49" s="40" t="s">
        <v>25</v>
      </c>
      <c r="E49" s="40" t="s">
        <v>25</v>
      </c>
      <c r="F49" s="40" t="s">
        <v>25</v>
      </c>
      <c r="G49" s="21" t="s">
        <v>86</v>
      </c>
      <c r="H49" s="21" t="s">
        <v>80</v>
      </c>
      <c r="I49" s="21">
        <f>'MERCADO TUSD'!$U$46</f>
        <v>0</v>
      </c>
      <c r="J49" s="17"/>
      <c r="L49" s="39"/>
      <c r="M49" s="39"/>
      <c r="N49" s="39"/>
      <c r="O49" s="39"/>
      <c r="P49" s="39"/>
      <c r="Q49" s="39"/>
      <c r="R49" s="39"/>
      <c r="S49" s="39"/>
      <c r="T49" s="39"/>
      <c r="U49" s="39">
        <f>(1 - CUSTOS!$M$31)*20.9178</f>
        <v>20.9178</v>
      </c>
      <c r="V49" s="39">
        <f>(1 - CUSTOS!$M$31)*3.0473</f>
        <v>3.0472999999999999</v>
      </c>
      <c r="W49" s="39">
        <f>(1 - CUSTOS!$M$31)*0.934</f>
        <v>0.93400000000000005</v>
      </c>
      <c r="X49" s="39">
        <v>0</v>
      </c>
      <c r="Y49" s="39">
        <f>(1 - CUSTOS!$M$31)*35.08</f>
        <v>35.08</v>
      </c>
      <c r="Z49" s="39">
        <v>0</v>
      </c>
      <c r="AA49" s="39">
        <v>0</v>
      </c>
      <c r="AB49" s="39"/>
      <c r="AC49" s="39">
        <f>(1 - CUSTOS!$M$31)*165.6364</f>
        <v>165.63640000000001</v>
      </c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P49" s="39">
        <f>IF((1 - CUSTOS!$M$31)&lt;&gt;0,1/(1 - CUSTOS!$M$31),1)</f>
        <v>1</v>
      </c>
    </row>
    <row r="50" spans="1:42" ht="11.25" customHeight="1" x14ac:dyDescent="0.25">
      <c r="A50" s="119" t="s">
        <v>46</v>
      </c>
      <c r="B50" s="119" t="s">
        <v>23</v>
      </c>
      <c r="C50" s="119" t="s">
        <v>47</v>
      </c>
      <c r="D50" s="40" t="s">
        <v>48</v>
      </c>
      <c r="E50" s="40" t="s">
        <v>25</v>
      </c>
      <c r="F50" s="40" t="s">
        <v>25</v>
      </c>
      <c r="G50" s="21" t="s">
        <v>86</v>
      </c>
      <c r="H50" s="21" t="s">
        <v>80</v>
      </c>
      <c r="I50" s="21">
        <f>'MERCADO TUSD'!$U$47</f>
        <v>18976.334999999999</v>
      </c>
      <c r="J50" s="17"/>
      <c r="L50" s="39"/>
      <c r="M50" s="39"/>
      <c r="N50" s="39"/>
      <c r="O50" s="39"/>
      <c r="P50" s="39"/>
      <c r="Q50" s="39"/>
      <c r="R50" s="39"/>
      <c r="S50" s="39"/>
      <c r="T50" s="39"/>
      <c r="U50" s="39">
        <f>(1 - CUSTOS!$M$32)*20.9178</f>
        <v>11.504790000000002</v>
      </c>
      <c r="V50" s="39">
        <f>(1 - CUSTOS!$M$32)*3.0473</f>
        <v>1.676015</v>
      </c>
      <c r="W50" s="39">
        <f>(1 - CUSTOS!$M$32)*0.934</f>
        <v>0.51370000000000005</v>
      </c>
      <c r="X50" s="39">
        <v>0</v>
      </c>
      <c r="Y50" s="39">
        <f>(1 - CUSTOS!$M$32)*35.08</f>
        <v>19.294</v>
      </c>
      <c r="Z50" s="39">
        <v>0</v>
      </c>
      <c r="AA50" s="39">
        <v>0</v>
      </c>
      <c r="AB50" s="39"/>
      <c r="AC50" s="39">
        <f>(1 - CUSTOS!$M$32)*165.6364</f>
        <v>91.100020000000015</v>
      </c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P50" s="39">
        <f>IF((1 - CUSTOS!$M$32)&lt;&gt;0,1/(1 - CUSTOS!$M$32),1)</f>
        <v>1.8181818181818181</v>
      </c>
    </row>
    <row r="51" spans="1:42" ht="11.25" customHeight="1" x14ac:dyDescent="0.25">
      <c r="A51" s="119"/>
      <c r="B51" s="119"/>
      <c r="C51" s="119"/>
      <c r="D51" s="21" t="s">
        <v>96</v>
      </c>
      <c r="E51" s="21" t="s">
        <v>25</v>
      </c>
      <c r="F51" s="21" t="s">
        <v>25</v>
      </c>
      <c r="G51" s="21" t="s">
        <v>86</v>
      </c>
      <c r="H51" s="21" t="s">
        <v>80</v>
      </c>
      <c r="I51" s="21">
        <f>'MERCADO TUSD'!$U$48</f>
        <v>0</v>
      </c>
      <c r="J51" s="17"/>
      <c r="L51" s="39"/>
      <c r="M51" s="39"/>
      <c r="N51" s="39"/>
      <c r="O51" s="39"/>
      <c r="P51" s="39"/>
      <c r="Q51" s="39"/>
      <c r="R51" s="39"/>
      <c r="S51" s="39"/>
      <c r="T51" s="39"/>
      <c r="U51" s="39">
        <f>(1 - CUSTOS!$M$33)*20.9178</f>
        <v>12.55068</v>
      </c>
      <c r="V51" s="39">
        <f>(1 - CUSTOS!$M$33)*3.0473</f>
        <v>1.8283799999999999</v>
      </c>
      <c r="W51" s="39">
        <f>(1 - CUSTOS!$M$33)*0.934</f>
        <v>0.56040000000000001</v>
      </c>
      <c r="X51" s="39">
        <v>0</v>
      </c>
      <c r="Y51" s="39">
        <f>(1 - CUSTOS!$M$33)*35.08</f>
        <v>21.047999999999998</v>
      </c>
      <c r="Z51" s="39">
        <v>0</v>
      </c>
      <c r="AA51" s="39">
        <v>0</v>
      </c>
      <c r="AB51" s="39"/>
      <c r="AC51" s="39">
        <f>(1 - CUSTOS!$M$33)*165.6364</f>
        <v>99.381839999999997</v>
      </c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P51" s="39">
        <f>IF((1 - CUSTOS!$M$33)&lt;&gt;0,1/(1 - CUSTOS!$M$33),1)</f>
        <v>1.6666666666666667</v>
      </c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6B400-2B06-46F7-BC86-0BA2E4DCCA96}">
  <dimension ref="A1:AP70"/>
  <sheetViews>
    <sheetView showGridLines="0" topLeftCell="D38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2" width="10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8.7109375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20" t="s">
        <v>70</v>
      </c>
      <c r="B1" s="120" t="s">
        <v>71</v>
      </c>
      <c r="C1" s="120" t="s">
        <v>72</v>
      </c>
      <c r="D1" s="120" t="s">
        <v>73</v>
      </c>
      <c r="E1" s="120" t="s">
        <v>74</v>
      </c>
      <c r="F1" s="120" t="s">
        <v>15</v>
      </c>
      <c r="G1" s="120" t="s">
        <v>76</v>
      </c>
      <c r="H1" s="120" t="s">
        <v>77</v>
      </c>
      <c r="I1" s="120" t="s">
        <v>745</v>
      </c>
      <c r="J1" s="108"/>
      <c r="L1" s="121" t="s">
        <v>746</v>
      </c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K1" s="121"/>
      <c r="AL1" s="121"/>
      <c r="AM1" s="121"/>
      <c r="AP1" s="121" t="s">
        <v>747</v>
      </c>
    </row>
    <row r="2" spans="1:42" ht="11.25" customHeight="1" x14ac:dyDescent="0.25">
      <c r="A2" s="120"/>
      <c r="B2" s="120"/>
      <c r="C2" s="120"/>
      <c r="D2" s="120"/>
      <c r="E2" s="120"/>
      <c r="F2" s="120"/>
      <c r="G2" s="120"/>
      <c r="H2" s="120"/>
      <c r="I2" s="120"/>
      <c r="J2" s="108"/>
      <c r="L2" s="121" t="s">
        <v>644</v>
      </c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P2" s="122"/>
    </row>
    <row r="3" spans="1:42" ht="11.25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08"/>
      <c r="L3" s="121" t="s">
        <v>645</v>
      </c>
      <c r="M3" s="121"/>
      <c r="N3" s="121"/>
      <c r="O3" s="121"/>
      <c r="P3" s="121"/>
      <c r="Q3" s="121"/>
      <c r="R3" s="121"/>
      <c r="S3" s="121"/>
      <c r="T3" s="121"/>
      <c r="U3" s="121" t="s">
        <v>654</v>
      </c>
      <c r="V3" s="121"/>
      <c r="W3" s="121"/>
      <c r="X3" s="121"/>
      <c r="Y3" s="121"/>
      <c r="Z3" s="121"/>
      <c r="AA3" s="121"/>
      <c r="AB3" s="121"/>
      <c r="AC3" s="121" t="s">
        <v>662</v>
      </c>
      <c r="AD3" s="121"/>
      <c r="AE3" s="121" t="s">
        <v>664</v>
      </c>
      <c r="AF3" s="121"/>
      <c r="AG3" s="121"/>
      <c r="AH3" s="121" t="s">
        <v>667</v>
      </c>
      <c r="AI3" s="121"/>
      <c r="AJ3" s="121"/>
      <c r="AK3" s="121"/>
      <c r="AL3" s="121"/>
      <c r="AM3" s="121" t="s">
        <v>653</v>
      </c>
      <c r="AP3" s="122"/>
    </row>
    <row r="4" spans="1:42" ht="11.25" customHeight="1" x14ac:dyDescent="0.25">
      <c r="A4" s="120"/>
      <c r="B4" s="120"/>
      <c r="C4" s="120"/>
      <c r="D4" s="120"/>
      <c r="E4" s="120"/>
      <c r="F4" s="120"/>
      <c r="G4" s="120"/>
      <c r="H4" s="120"/>
      <c r="I4" s="120"/>
      <c r="J4" s="108"/>
      <c r="L4" s="10" t="s">
        <v>730</v>
      </c>
      <c r="M4" s="10" t="s">
        <v>646</v>
      </c>
      <c r="N4" s="10" t="s">
        <v>647</v>
      </c>
      <c r="O4" s="10" t="s">
        <v>648</v>
      </c>
      <c r="P4" s="10" t="s">
        <v>649</v>
      </c>
      <c r="Q4" s="10" t="s">
        <v>650</v>
      </c>
      <c r="R4" s="10" t="s">
        <v>651</v>
      </c>
      <c r="S4" s="10" t="s">
        <v>652</v>
      </c>
      <c r="T4" s="10" t="s">
        <v>653</v>
      </c>
      <c r="U4" s="10" t="s">
        <v>655</v>
      </c>
      <c r="V4" s="10" t="s">
        <v>656</v>
      </c>
      <c r="W4" s="10" t="s">
        <v>657</v>
      </c>
      <c r="X4" s="10" t="s">
        <v>658</v>
      </c>
      <c r="Y4" s="10" t="s">
        <v>659</v>
      </c>
      <c r="Z4" s="10" t="s">
        <v>660</v>
      </c>
      <c r="AA4" s="10" t="s">
        <v>661</v>
      </c>
      <c r="AB4" s="10" t="s">
        <v>653</v>
      </c>
      <c r="AC4" s="10" t="s">
        <v>663</v>
      </c>
      <c r="AD4" s="10" t="s">
        <v>653</v>
      </c>
      <c r="AE4" s="10" t="s">
        <v>665</v>
      </c>
      <c r="AF4" s="10" t="s">
        <v>666</v>
      </c>
      <c r="AG4" s="10" t="s">
        <v>653</v>
      </c>
      <c r="AH4" s="10" t="s">
        <v>668</v>
      </c>
      <c r="AI4" s="10" t="s">
        <v>669</v>
      </c>
      <c r="AJ4" s="10" t="s">
        <v>670</v>
      </c>
      <c r="AK4" s="10" t="s">
        <v>671</v>
      </c>
      <c r="AL4" s="10" t="s">
        <v>653</v>
      </c>
      <c r="AM4" s="123"/>
      <c r="AP4" s="122"/>
    </row>
    <row r="5" spans="1:42" ht="11.25" customHeight="1" x14ac:dyDescent="0.25">
      <c r="A5" s="119" t="s">
        <v>39</v>
      </c>
      <c r="B5" s="119" t="s">
        <v>42</v>
      </c>
      <c r="C5" s="119" t="s">
        <v>25</v>
      </c>
      <c r="D5" s="119" t="s">
        <v>25</v>
      </c>
      <c r="E5" s="119" t="s">
        <v>25</v>
      </c>
      <c r="F5" s="119" t="s">
        <v>25</v>
      </c>
      <c r="G5" s="21" t="s">
        <v>84</v>
      </c>
      <c r="H5" s="21" t="s">
        <v>83</v>
      </c>
      <c r="I5" s="21">
        <f>'MERCADO TUSD'!$U$2</f>
        <v>63135</v>
      </c>
      <c r="J5" s="17"/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/>
      <c r="U5" s="19">
        <f>TRANSICAO!$U$5*CUSTOS!$R$3</f>
        <v>4.8307000000000002</v>
      </c>
      <c r="V5" s="19">
        <f>TRANSICAO!$V$5*CUSTOS!$R$3</f>
        <v>0.68340000000000001</v>
      </c>
      <c r="W5" s="19">
        <f>TRANSICAO!$W$5*CUSTOS!$R$3</f>
        <v>0.21310000000000001</v>
      </c>
      <c r="X5" s="19">
        <f>TRANSICAO!$X$5*CUSTOS!$R$3</f>
        <v>0</v>
      </c>
      <c r="Y5" s="19">
        <f>TRANSICAO!$Y$5*CUSTOS!$R$3</f>
        <v>11.2371</v>
      </c>
      <c r="Z5" s="19">
        <f>TRANSICAO!$Z$5*CUSTOS!$R$3</f>
        <v>0</v>
      </c>
      <c r="AA5" s="19">
        <f>TRANSICAO!$AA$5*CUSTOS!$R$3</f>
        <v>0</v>
      </c>
      <c r="AB5" s="19">
        <f>TRANSICAO!$AB$5*CUSTOS!$R$3</f>
        <v>0</v>
      </c>
      <c r="AC5" s="19">
        <f>TRANSICAO!$AC$5*CUSTOS!$R$3</f>
        <v>34.908200000000001</v>
      </c>
      <c r="AD5" s="19">
        <f>TRANSICAO!$AD$5*CUSTOS!$R$3</f>
        <v>0</v>
      </c>
      <c r="AE5" s="19">
        <v>0</v>
      </c>
      <c r="AF5" s="19">
        <v>0</v>
      </c>
      <c r="AG5" s="19"/>
      <c r="AH5" s="19">
        <v>0</v>
      </c>
      <c r="AI5" s="19">
        <v>0</v>
      </c>
      <c r="AJ5" s="19">
        <v>0</v>
      </c>
      <c r="AK5" s="19">
        <f t="shared" ref="AK5:AK51" si="0">AJ5</f>
        <v>0</v>
      </c>
      <c r="AL5" s="19"/>
      <c r="AM5" s="19"/>
      <c r="AP5" s="19">
        <v>1</v>
      </c>
    </row>
    <row r="6" spans="1:42" ht="11.25" customHeight="1" x14ac:dyDescent="0.25">
      <c r="A6" s="119"/>
      <c r="B6" s="119"/>
      <c r="C6" s="119"/>
      <c r="D6" s="119"/>
      <c r="E6" s="119"/>
      <c r="F6" s="119"/>
      <c r="G6" s="21" t="s">
        <v>85</v>
      </c>
      <c r="H6" s="21" t="s">
        <v>83</v>
      </c>
      <c r="I6" s="21">
        <f>'MERCADO TUSD'!$U$3</f>
        <v>71815</v>
      </c>
      <c r="J6" s="17"/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/>
      <c r="U6" s="19">
        <f>TRANSICAO!$U$6*CUSTOS!$R$3</f>
        <v>1.7139</v>
      </c>
      <c r="V6" s="19">
        <f>TRANSICAO!$V$6*CUSTOS!$R$3</f>
        <v>0.2555</v>
      </c>
      <c r="W6" s="19">
        <f>TRANSICAO!$W$6*CUSTOS!$R$3</f>
        <v>7.7299999999999994E-2</v>
      </c>
      <c r="X6" s="19">
        <f>TRANSICAO!$X$6*CUSTOS!$R$3</f>
        <v>0</v>
      </c>
      <c r="Y6" s="19">
        <f>TRANSICAO!$Y$6*CUSTOS!$R$3</f>
        <v>2.7936000000000001</v>
      </c>
      <c r="Z6" s="19">
        <f>TRANSICAO!$Z$6*CUSTOS!$R$3</f>
        <v>0</v>
      </c>
      <c r="AA6" s="19">
        <f>TRANSICAO!$AA$6*CUSTOS!$R$3</f>
        <v>0</v>
      </c>
      <c r="AB6" s="19">
        <f>TRANSICAO!$AB$6*CUSTOS!$R$3</f>
        <v>0</v>
      </c>
      <c r="AC6" s="19">
        <f>TRANSICAO!$AC$6*CUSTOS!$R$3</f>
        <v>11.746</v>
      </c>
      <c r="AD6" s="19">
        <f>TRANSICAO!$AD$6*CUSTOS!$R$3</f>
        <v>0</v>
      </c>
      <c r="AE6" s="19">
        <v>0</v>
      </c>
      <c r="AF6" s="19">
        <v>0</v>
      </c>
      <c r="AG6" s="19"/>
      <c r="AH6" s="19">
        <v>0</v>
      </c>
      <c r="AI6" s="19">
        <v>0</v>
      </c>
      <c r="AJ6" s="19">
        <v>0</v>
      </c>
      <c r="AK6" s="19">
        <f t="shared" si="0"/>
        <v>0</v>
      </c>
      <c r="AL6" s="19"/>
      <c r="AM6" s="19"/>
      <c r="AP6" s="19">
        <v>1</v>
      </c>
    </row>
    <row r="7" spans="1:42" ht="11.25" customHeight="1" x14ac:dyDescent="0.25">
      <c r="A7" s="119"/>
      <c r="B7" s="119"/>
      <c r="C7" s="119"/>
      <c r="D7" s="119"/>
      <c r="E7" s="119"/>
      <c r="F7" s="119"/>
      <c r="G7" s="21" t="s">
        <v>86</v>
      </c>
      <c r="H7" s="21" t="s">
        <v>80</v>
      </c>
      <c r="I7" s="21">
        <f>'MERCADO TUSD'!$U$4</f>
        <v>30235.892999999989</v>
      </c>
      <c r="J7" s="17"/>
      <c r="L7" s="19">
        <f>0.84</f>
        <v>0.84</v>
      </c>
      <c r="M7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0.47992634842377158</v>
      </c>
      <c r="N7" s="19">
        <f ca="1">(+M7+O7+R7+U7+V7+W7+X7+Y7+Z7+AA7+AC7+AH7+AI7+AJ7+AK7)*CUSTOS!$M$5</f>
        <v>27.125580652490399</v>
      </c>
      <c r="O7" s="19">
        <v>1</v>
      </c>
      <c r="P7" s="19">
        <v>1</v>
      </c>
      <c r="Q7" s="19">
        <f>0.84</f>
        <v>0.84</v>
      </c>
      <c r="R7" s="19">
        <v>1</v>
      </c>
      <c r="S7" s="19">
        <v>1</v>
      </c>
      <c r="T7" s="19"/>
      <c r="U7" s="19">
        <f>TRANSICAO!$U$7*CUSTOS!$R$3</f>
        <v>0</v>
      </c>
      <c r="V7" s="19">
        <f>TRANSICAO!$V$7*CUSTOS!$R$3</f>
        <v>0</v>
      </c>
      <c r="W7" s="19">
        <f>TRANSICAO!$W$7*CUSTOS!$R$3</f>
        <v>0</v>
      </c>
      <c r="X7" s="19">
        <f>TRANSICAO!$X$7*CUSTOS!$R$3</f>
        <v>0</v>
      </c>
      <c r="Y7" s="19">
        <f>TRANSICAO!$Y$7*CUSTOS!$R$3</f>
        <v>0</v>
      </c>
      <c r="Z7" s="19">
        <f>TRANSICAO!$Z$7*CUSTOS!$R$3</f>
        <v>0</v>
      </c>
      <c r="AA7" s="19">
        <f>TRANSICAO!$AA$7*CUSTOS!$R$3</f>
        <v>0</v>
      </c>
      <c r="AB7" s="19">
        <f>TRANSICAO!$AB$7*CUSTOS!$R$3</f>
        <v>0</v>
      </c>
      <c r="AC7" s="19">
        <f>TRANSICAO!$AC$7*CUSTOS!$R$3</f>
        <v>0</v>
      </c>
      <c r="AD7" s="19">
        <f>TRANSICAO!$AD$7*CUSTOS!$R$3</f>
        <v>0</v>
      </c>
      <c r="AE7" s="19">
        <v>0</v>
      </c>
      <c r="AF7" s="19">
        <v>0</v>
      </c>
      <c r="AG7" s="19"/>
      <c r="AH7" s="19">
        <v>1352.0853999999999</v>
      </c>
      <c r="AI7" s="19">
        <v>1352.0853999999999</v>
      </c>
      <c r="AJ7" s="19">
        <f ca="1">$N$63</f>
        <v>2.9536694503082002</v>
      </c>
      <c r="AK7" s="19">
        <f t="shared" ca="1" si="0"/>
        <v>2.9536694503082002</v>
      </c>
      <c r="AL7" s="19"/>
      <c r="AM7" s="19"/>
      <c r="AP7" s="19">
        <v>1</v>
      </c>
    </row>
    <row r="8" spans="1:42" ht="11.25" customHeight="1" x14ac:dyDescent="0.25">
      <c r="A8" s="119"/>
      <c r="B8" s="119"/>
      <c r="C8" s="119"/>
      <c r="D8" s="119"/>
      <c r="E8" s="22" t="s">
        <v>87</v>
      </c>
      <c r="F8" s="22" t="s">
        <v>25</v>
      </c>
      <c r="G8" s="21" t="s">
        <v>86</v>
      </c>
      <c r="H8" s="21" t="s">
        <v>80</v>
      </c>
      <c r="I8" s="21">
        <f>'MERCADO TUSD'!$U$5</f>
        <v>0</v>
      </c>
      <c r="J8" s="17"/>
      <c r="L8" s="19">
        <v>0</v>
      </c>
      <c r="M8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0.47992634842377158</v>
      </c>
      <c r="N8" s="19">
        <f ca="1">(+M8+O8+R8+U8+V8+W8+X8+Y8+Z8+AA8+AC8+AH8+AI8+AJ8+AK8)*CUSTOS!$M$5</f>
        <v>27.115580652490397</v>
      </c>
      <c r="O8" s="19">
        <v>1</v>
      </c>
      <c r="P8" s="19">
        <v>0</v>
      </c>
      <c r="Q8" s="19">
        <v>0</v>
      </c>
      <c r="R8" s="19">
        <v>0</v>
      </c>
      <c r="S8" s="19">
        <v>0</v>
      </c>
      <c r="T8" s="19"/>
      <c r="U8" s="19">
        <f>TRANSICAO!$U$8*CUSTOS!$R$3</f>
        <v>0</v>
      </c>
      <c r="V8" s="19">
        <f>TRANSICAO!$V$8*CUSTOS!$R$3</f>
        <v>0</v>
      </c>
      <c r="W8" s="19">
        <f>TRANSICAO!$W$8*CUSTOS!$R$3</f>
        <v>0</v>
      </c>
      <c r="X8" s="19">
        <f>TRANSICAO!$X$8*CUSTOS!$R$3</f>
        <v>0</v>
      </c>
      <c r="Y8" s="19">
        <f>TRANSICAO!$Y$8*CUSTOS!$R$3</f>
        <v>0</v>
      </c>
      <c r="Z8" s="19">
        <f>TRANSICAO!$Z$8*CUSTOS!$R$3</f>
        <v>0</v>
      </c>
      <c r="AA8" s="19">
        <f>TRANSICAO!$AA$8*CUSTOS!$R$3</f>
        <v>0</v>
      </c>
      <c r="AB8" s="19">
        <f>TRANSICAO!$AB$8*CUSTOS!$R$3</f>
        <v>0</v>
      </c>
      <c r="AC8" s="19">
        <f>TRANSICAO!$AC$8*CUSTOS!$R$3</f>
        <v>0</v>
      </c>
      <c r="AD8" s="19">
        <f>TRANSICAO!$AD$8*CUSTOS!$R$3</f>
        <v>0</v>
      </c>
      <c r="AE8" s="19">
        <v>0</v>
      </c>
      <c r="AF8" s="19">
        <v>0</v>
      </c>
      <c r="AG8" s="19"/>
      <c r="AH8" s="19">
        <v>1352.0853999999999</v>
      </c>
      <c r="AI8" s="19">
        <v>1352.0853999999999</v>
      </c>
      <c r="AJ8" s="19">
        <f ca="1">$N$63</f>
        <v>2.9536694503082002</v>
      </c>
      <c r="AK8" s="19">
        <f t="shared" ca="1" si="0"/>
        <v>2.9536694503082002</v>
      </c>
      <c r="AL8" s="19"/>
      <c r="AM8" s="19"/>
      <c r="AP8" s="19">
        <v>1</v>
      </c>
    </row>
    <row r="9" spans="1:42" ht="11.25" customHeight="1" x14ac:dyDescent="0.25">
      <c r="A9" s="119"/>
      <c r="B9" s="22" t="s">
        <v>59</v>
      </c>
      <c r="C9" s="22" t="s">
        <v>25</v>
      </c>
      <c r="D9" s="22" t="s">
        <v>25</v>
      </c>
      <c r="E9" s="22" t="s">
        <v>25</v>
      </c>
      <c r="F9" s="22" t="s">
        <v>25</v>
      </c>
      <c r="G9" s="21" t="s">
        <v>9</v>
      </c>
      <c r="H9" s="21" t="s">
        <v>83</v>
      </c>
      <c r="I9" s="21">
        <f>'MERCADO TUSD'!$U$6</f>
        <v>16152</v>
      </c>
      <c r="J9" s="17"/>
      <c r="L9" s="19">
        <v>0</v>
      </c>
      <c r="M9" s="19">
        <v>4.41E-2</v>
      </c>
      <c r="N9" s="19">
        <f>0.1171</f>
        <v>0.1171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/>
      <c r="U9" s="19">
        <f>TRANSICAO!$U$9*CUSTOS!$R$4</f>
        <v>0</v>
      </c>
      <c r="V9" s="19">
        <f>TRANSICAO!$V$9*CUSTOS!$R$4</f>
        <v>0</v>
      </c>
      <c r="W9" s="19">
        <f>TRANSICAO!$W$9*CUSTOS!$R$4</f>
        <v>0</v>
      </c>
      <c r="X9" s="19">
        <f>TRANSICAO!$X$9*CUSTOS!$R$4</f>
        <v>0</v>
      </c>
      <c r="Y9" s="19">
        <f>TRANSICAO!$Y$9*CUSTOS!$R$4</f>
        <v>0</v>
      </c>
      <c r="Z9" s="19">
        <f>TRANSICAO!$Z$9*CUSTOS!$R$4</f>
        <v>0</v>
      </c>
      <c r="AA9" s="19">
        <f>TRANSICAO!$AA$9*CUSTOS!$R$4</f>
        <v>0</v>
      </c>
      <c r="AB9" s="19">
        <f>TRANSICAO!$AB$9*CUSTOS!$R$4</f>
        <v>0</v>
      </c>
      <c r="AC9" s="19">
        <f>TRANSICAO!$AC$9*CUSTOS!$R$4</f>
        <v>11.0143</v>
      </c>
      <c r="AD9" s="19">
        <f>TRANSICAO!$AD$9*CUSTOS!$R$4</f>
        <v>0</v>
      </c>
      <c r="AE9" s="19">
        <v>0</v>
      </c>
      <c r="AF9" s="19">
        <v>0</v>
      </c>
      <c r="AG9" s="19"/>
      <c r="AH9" s="19">
        <v>0.65359999999999996</v>
      </c>
      <c r="AI9" s="19">
        <v>0</v>
      </c>
      <c r="AJ9" s="19">
        <v>0</v>
      </c>
      <c r="AK9" s="19">
        <f t="shared" si="0"/>
        <v>0</v>
      </c>
      <c r="AL9" s="19"/>
      <c r="AM9" s="19"/>
      <c r="AP9" s="19"/>
    </row>
    <row r="10" spans="1:42" ht="11.25" customHeight="1" x14ac:dyDescent="0.25">
      <c r="A10" s="119"/>
      <c r="B10" s="119" t="s">
        <v>40</v>
      </c>
      <c r="C10" s="119" t="s">
        <v>25</v>
      </c>
      <c r="D10" s="119" t="s">
        <v>25</v>
      </c>
      <c r="E10" s="119" t="s">
        <v>25</v>
      </c>
      <c r="F10" s="119" t="s">
        <v>25</v>
      </c>
      <c r="G10" s="21" t="s">
        <v>9</v>
      </c>
      <c r="H10" s="21" t="s">
        <v>83</v>
      </c>
      <c r="I10" s="21">
        <f>'MERCADO TUSD'!$U$7</f>
        <v>539141</v>
      </c>
      <c r="J10" s="17"/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/>
      <c r="U10" s="19">
        <f>TRANSICAO!$U$10*CUSTOS!$R$3</f>
        <v>1.7139</v>
      </c>
      <c r="V10" s="19">
        <f>TRANSICAO!$V$10*CUSTOS!$R$3</f>
        <v>0.2555</v>
      </c>
      <c r="W10" s="19">
        <f>TRANSICAO!$W$10*CUSTOS!$R$3</f>
        <v>7.7299999999999994E-2</v>
      </c>
      <c r="X10" s="19">
        <f>TRANSICAO!$X$10*CUSTOS!$R$3</f>
        <v>0</v>
      </c>
      <c r="Y10" s="19">
        <f>TRANSICAO!$Y$10*CUSTOS!$R$3</f>
        <v>2.7936000000000001</v>
      </c>
      <c r="Z10" s="19">
        <f>TRANSICAO!$Z$10*CUSTOS!$R$3</f>
        <v>0</v>
      </c>
      <c r="AA10" s="19">
        <f>TRANSICAO!$AA$10*CUSTOS!$R$3</f>
        <v>0</v>
      </c>
      <c r="AB10" s="19">
        <f>TRANSICAO!$AB$10*CUSTOS!$R$3</f>
        <v>0</v>
      </c>
      <c r="AC10" s="19">
        <f>TRANSICAO!$AC$10*CUSTOS!$R$3</f>
        <v>11.746</v>
      </c>
      <c r="AD10" s="19">
        <f>TRANSICAO!$AD$10*CUSTOS!$R$3</f>
        <v>0</v>
      </c>
      <c r="AE10" s="19">
        <v>0</v>
      </c>
      <c r="AF10" s="19">
        <v>0</v>
      </c>
      <c r="AG10" s="19"/>
      <c r="AH10" s="19">
        <v>0</v>
      </c>
      <c r="AI10" s="19">
        <v>0</v>
      </c>
      <c r="AJ10" s="19">
        <v>0</v>
      </c>
      <c r="AK10" s="19">
        <f t="shared" si="0"/>
        <v>0</v>
      </c>
      <c r="AL10" s="19"/>
      <c r="AM10" s="19"/>
      <c r="AP10" s="19">
        <v>1</v>
      </c>
    </row>
    <row r="11" spans="1:42" ht="11.25" customHeight="1" x14ac:dyDescent="0.25">
      <c r="A11" s="119"/>
      <c r="B11" s="119"/>
      <c r="C11" s="119"/>
      <c r="D11" s="119"/>
      <c r="E11" s="119"/>
      <c r="F11" s="119"/>
      <c r="G11" s="21" t="s">
        <v>81</v>
      </c>
      <c r="H11" s="21" t="s">
        <v>80</v>
      </c>
      <c r="I11" s="21">
        <f>'MERCADO TUSD'!$U$8</f>
        <v>7136.594000000001</v>
      </c>
      <c r="J11" s="17"/>
      <c r="L11" s="19">
        <f>0.84</f>
        <v>0.84</v>
      </c>
      <c r="M11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0.47992634842377158</v>
      </c>
      <c r="N11" s="19">
        <f ca="1">(+M11+O11+R11+U11+V11+W11+X11+Y11+Z11+AA11+AC11+AH11+AI11+AJ11+AK11)*CUSTOS!$M$5</f>
        <v>39.600922652490397</v>
      </c>
      <c r="O11" s="19">
        <v>1</v>
      </c>
      <c r="P11" s="19">
        <v>1</v>
      </c>
      <c r="Q11" s="19">
        <f>0.84</f>
        <v>0.84</v>
      </c>
      <c r="R11" s="19">
        <v>1</v>
      </c>
      <c r="S11" s="19">
        <v>1</v>
      </c>
      <c r="T11" s="19"/>
      <c r="U11" s="19">
        <f>TRANSICAO!$U$11*CUSTOS!$R$3</f>
        <v>116.17870000000001</v>
      </c>
      <c r="V11" s="19">
        <f>TRANSICAO!$V$11*CUSTOS!$R$3</f>
        <v>16.437000000000001</v>
      </c>
      <c r="W11" s="19">
        <f>TRANSICAO!$W$11*CUSTOS!$R$3</f>
        <v>5.1243999999999996</v>
      </c>
      <c r="X11" s="19">
        <f>TRANSICAO!$X$11*CUSTOS!$R$3</f>
        <v>0</v>
      </c>
      <c r="Y11" s="19">
        <f>TRANSICAO!$Y$11*CUSTOS!$R$3</f>
        <v>270.2516</v>
      </c>
      <c r="Z11" s="19">
        <f>TRANSICAO!$Z$11*CUSTOS!$R$3</f>
        <v>0</v>
      </c>
      <c r="AA11" s="19">
        <f>TRANSICAO!$AA$11*CUSTOS!$R$3</f>
        <v>0</v>
      </c>
      <c r="AB11" s="19">
        <f>TRANSICAO!$AB$11*CUSTOS!$R$3</f>
        <v>0</v>
      </c>
      <c r="AC11" s="19">
        <f>TRANSICAO!$AC$11*CUSTOS!$R$3</f>
        <v>839.54250000000002</v>
      </c>
      <c r="AD11" s="19">
        <f>TRANSICAO!$AD$11*CUSTOS!$R$3</f>
        <v>0</v>
      </c>
      <c r="AE11" s="19">
        <v>0</v>
      </c>
      <c r="AF11" s="19">
        <v>0</v>
      </c>
      <c r="AG11" s="19"/>
      <c r="AH11" s="19">
        <v>1352.0853999999999</v>
      </c>
      <c r="AI11" s="19">
        <v>1352.0853999999999</v>
      </c>
      <c r="AJ11" s="19">
        <f ca="1">$N$63</f>
        <v>2.9536694503082002</v>
      </c>
      <c r="AK11" s="19">
        <f t="shared" ca="1" si="0"/>
        <v>2.9536694503082002</v>
      </c>
      <c r="AL11" s="19"/>
      <c r="AM11" s="19"/>
      <c r="AP11" s="19">
        <v>1</v>
      </c>
    </row>
    <row r="12" spans="1:42" ht="11.25" customHeight="1" x14ac:dyDescent="0.25">
      <c r="A12" s="119"/>
      <c r="B12" s="119"/>
      <c r="C12" s="119"/>
      <c r="D12" s="119"/>
      <c r="E12" s="119"/>
      <c r="F12" s="119"/>
      <c r="G12" s="21" t="s">
        <v>82</v>
      </c>
      <c r="H12" s="21" t="s">
        <v>80</v>
      </c>
      <c r="I12" s="21">
        <f>'MERCADO TUSD'!$U$9</f>
        <v>103922.32400000001</v>
      </c>
      <c r="J12" s="17"/>
      <c r="L12" s="19">
        <f>0.84</f>
        <v>0.84</v>
      </c>
      <c r="M12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0.47992634842377158</v>
      </c>
      <c r="N12" s="19">
        <f ca="1">(+M12+O12+R12+U12+V12+W12+X12+Y12+Z12+AA12+AC12+AH12+AI12+AJ12+AK12)*CUSTOS!$M$5</f>
        <v>27.125580652490399</v>
      </c>
      <c r="O12" s="19">
        <v>1</v>
      </c>
      <c r="P12" s="19">
        <v>1</v>
      </c>
      <c r="Q12" s="19">
        <f>0.84</f>
        <v>0.84</v>
      </c>
      <c r="R12" s="19">
        <v>1</v>
      </c>
      <c r="S12" s="19">
        <v>1</v>
      </c>
      <c r="T12" s="19"/>
      <c r="U12" s="19">
        <f>TRANSICAO!$U$12*CUSTOS!$R$3</f>
        <v>0</v>
      </c>
      <c r="V12" s="19">
        <f>TRANSICAO!$V$12*CUSTOS!$R$3</f>
        <v>0</v>
      </c>
      <c r="W12" s="19">
        <f>TRANSICAO!$W$12*CUSTOS!$R$3</f>
        <v>0</v>
      </c>
      <c r="X12" s="19">
        <f>TRANSICAO!$X$12*CUSTOS!$R$3</f>
        <v>0</v>
      </c>
      <c r="Y12" s="19">
        <f>TRANSICAO!$Y$12*CUSTOS!$R$3</f>
        <v>0</v>
      </c>
      <c r="Z12" s="19">
        <f>TRANSICAO!$Z$12*CUSTOS!$R$3</f>
        <v>0</v>
      </c>
      <c r="AA12" s="19">
        <f>TRANSICAO!$AA$12*CUSTOS!$R$3</f>
        <v>0</v>
      </c>
      <c r="AB12" s="19">
        <f>TRANSICAO!$AB$12*CUSTOS!$R$3</f>
        <v>0</v>
      </c>
      <c r="AC12" s="19">
        <f>TRANSICAO!$AC$12*CUSTOS!$R$3</f>
        <v>0</v>
      </c>
      <c r="AD12" s="19">
        <f>TRANSICAO!$AD$12*CUSTOS!$R$3</f>
        <v>0</v>
      </c>
      <c r="AE12" s="19">
        <v>0</v>
      </c>
      <c r="AF12" s="19">
        <v>0</v>
      </c>
      <c r="AG12" s="19"/>
      <c r="AH12" s="19">
        <v>1352.0853999999999</v>
      </c>
      <c r="AI12" s="19">
        <v>1352.0853999999999</v>
      </c>
      <c r="AJ12" s="19">
        <f ca="1">$N$63</f>
        <v>2.9536694503082002</v>
      </c>
      <c r="AK12" s="19">
        <f t="shared" ca="1" si="0"/>
        <v>2.9536694503082002</v>
      </c>
      <c r="AL12" s="19"/>
      <c r="AM12" s="19"/>
      <c r="AP12" s="19">
        <v>1</v>
      </c>
    </row>
    <row r="13" spans="1:42" ht="11.25" customHeight="1" x14ac:dyDescent="0.25">
      <c r="A13" s="119"/>
      <c r="B13" s="119"/>
      <c r="C13" s="119"/>
      <c r="D13" s="119"/>
      <c r="E13" s="119" t="s">
        <v>87</v>
      </c>
      <c r="F13" s="119" t="s">
        <v>25</v>
      </c>
      <c r="G13" s="21" t="s">
        <v>81</v>
      </c>
      <c r="H13" s="21" t="s">
        <v>80</v>
      </c>
      <c r="I13" s="21">
        <f>'MERCADO TUSD'!$U$10</f>
        <v>0</v>
      </c>
      <c r="J13" s="17"/>
      <c r="L13" s="19">
        <v>0</v>
      </c>
      <c r="M13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0.47992634842377158</v>
      </c>
      <c r="N13" s="19">
        <f ca="1">(+M13+O13+R13+U13+V13+W13+X13+Y13+Z13+AA13+AC13+AH13+AI13+AJ13+AK13)*CUSTOS!$M$5</f>
        <v>39.590922652490399</v>
      </c>
      <c r="O13" s="19">
        <v>1</v>
      </c>
      <c r="P13" s="19">
        <v>0</v>
      </c>
      <c r="Q13" s="19">
        <v>0</v>
      </c>
      <c r="R13" s="19">
        <v>0</v>
      </c>
      <c r="S13" s="19">
        <v>0</v>
      </c>
      <c r="T13" s="19"/>
      <c r="U13" s="19">
        <f>TRANSICAO!$U$13*CUSTOS!$R$3</f>
        <v>116.17870000000001</v>
      </c>
      <c r="V13" s="19">
        <f>TRANSICAO!$V$13*CUSTOS!$R$3</f>
        <v>16.437000000000001</v>
      </c>
      <c r="W13" s="19">
        <f>TRANSICAO!$W$13*CUSTOS!$R$3</f>
        <v>5.1243999999999996</v>
      </c>
      <c r="X13" s="19">
        <f>TRANSICAO!$X$13*CUSTOS!$R$3</f>
        <v>0</v>
      </c>
      <c r="Y13" s="19">
        <f>TRANSICAO!$Y$13*CUSTOS!$R$3</f>
        <v>270.2516</v>
      </c>
      <c r="Z13" s="19">
        <f>TRANSICAO!$Z$13*CUSTOS!$R$3</f>
        <v>0</v>
      </c>
      <c r="AA13" s="19">
        <f>TRANSICAO!$AA$13*CUSTOS!$R$3</f>
        <v>0</v>
      </c>
      <c r="AB13" s="19">
        <f>TRANSICAO!$AB$13*CUSTOS!$R$3</f>
        <v>0</v>
      </c>
      <c r="AC13" s="19">
        <f>TRANSICAO!$AC$13*CUSTOS!$R$3</f>
        <v>839.54250000000002</v>
      </c>
      <c r="AD13" s="19">
        <f>TRANSICAO!$AD$13*CUSTOS!$R$3</f>
        <v>0</v>
      </c>
      <c r="AE13" s="19">
        <v>0</v>
      </c>
      <c r="AF13" s="19">
        <v>0</v>
      </c>
      <c r="AG13" s="19"/>
      <c r="AH13" s="19">
        <v>1352.0853999999999</v>
      </c>
      <c r="AI13" s="19">
        <v>1352.0853999999999</v>
      </c>
      <c r="AJ13" s="19">
        <f ca="1">$N$63</f>
        <v>2.9536694503082002</v>
      </c>
      <c r="AK13" s="19">
        <f t="shared" ca="1" si="0"/>
        <v>2.9536694503082002</v>
      </c>
      <c r="AL13" s="19"/>
      <c r="AM13" s="19"/>
      <c r="AP13" s="19">
        <v>1</v>
      </c>
    </row>
    <row r="14" spans="1:42" ht="11.25" customHeight="1" x14ac:dyDescent="0.25">
      <c r="A14" s="119"/>
      <c r="B14" s="119"/>
      <c r="C14" s="119"/>
      <c r="D14" s="119"/>
      <c r="E14" s="119"/>
      <c r="F14" s="119"/>
      <c r="G14" s="21" t="s">
        <v>82</v>
      </c>
      <c r="H14" s="21" t="s">
        <v>80</v>
      </c>
      <c r="I14" s="21">
        <f>'MERCADO TUSD'!$U$11</f>
        <v>0</v>
      </c>
      <c r="J14" s="17"/>
      <c r="L14" s="19">
        <v>0</v>
      </c>
      <c r="M14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0.47992634842377158</v>
      </c>
      <c r="N14" s="19">
        <f ca="1">(+M14+O14+R14+U14+V14+W14+X14+Y14+Z14+AA14+AC14+AH14+AI14+AJ14+AK14)*CUSTOS!$M$5</f>
        <v>27.115580652490397</v>
      </c>
      <c r="O14" s="19">
        <v>1</v>
      </c>
      <c r="P14" s="19">
        <v>0</v>
      </c>
      <c r="Q14" s="19">
        <v>0</v>
      </c>
      <c r="R14" s="19">
        <v>0</v>
      </c>
      <c r="S14" s="19">
        <v>0</v>
      </c>
      <c r="T14" s="19"/>
      <c r="U14" s="19">
        <f>TRANSICAO!$U$14*CUSTOS!$R$3</f>
        <v>0</v>
      </c>
      <c r="V14" s="19">
        <f>TRANSICAO!$V$14*CUSTOS!$R$3</f>
        <v>0</v>
      </c>
      <c r="W14" s="19">
        <f>TRANSICAO!$W$14*CUSTOS!$R$3</f>
        <v>0</v>
      </c>
      <c r="X14" s="19">
        <f>TRANSICAO!$X$14*CUSTOS!$R$3</f>
        <v>0</v>
      </c>
      <c r="Y14" s="19">
        <f>TRANSICAO!$Y$14*CUSTOS!$R$3</f>
        <v>0</v>
      </c>
      <c r="Z14" s="19">
        <f>TRANSICAO!$Z$14*CUSTOS!$R$3</f>
        <v>0</v>
      </c>
      <c r="AA14" s="19">
        <f>TRANSICAO!$AA$14*CUSTOS!$R$3</f>
        <v>0</v>
      </c>
      <c r="AB14" s="19">
        <f>TRANSICAO!$AB$14*CUSTOS!$R$3</f>
        <v>0</v>
      </c>
      <c r="AC14" s="19">
        <f>TRANSICAO!$AC$14*CUSTOS!$R$3</f>
        <v>0</v>
      </c>
      <c r="AD14" s="19">
        <f>TRANSICAO!$AD$14*CUSTOS!$R$3</f>
        <v>0</v>
      </c>
      <c r="AE14" s="19">
        <v>0</v>
      </c>
      <c r="AF14" s="19">
        <v>0</v>
      </c>
      <c r="AG14" s="19"/>
      <c r="AH14" s="19">
        <v>1352.0853999999999</v>
      </c>
      <c r="AI14" s="19">
        <v>1352.0853999999999</v>
      </c>
      <c r="AJ14" s="19">
        <f ca="1">$N$63</f>
        <v>2.9536694503082002</v>
      </c>
      <c r="AK14" s="19">
        <f t="shared" ca="1" si="0"/>
        <v>2.9536694503082002</v>
      </c>
      <c r="AL14" s="19"/>
      <c r="AM14" s="19"/>
      <c r="AP14" s="19">
        <v>1</v>
      </c>
    </row>
    <row r="15" spans="1:42" ht="11.25" customHeight="1" x14ac:dyDescent="0.25">
      <c r="A15" s="119" t="s">
        <v>88</v>
      </c>
      <c r="B15" s="119" t="s">
        <v>59</v>
      </c>
      <c r="C15" s="119" t="s">
        <v>25</v>
      </c>
      <c r="D15" s="119" t="s">
        <v>25</v>
      </c>
      <c r="E15" s="22" t="s">
        <v>89</v>
      </c>
      <c r="F15" s="22" t="s">
        <v>25</v>
      </c>
      <c r="G15" s="21" t="s">
        <v>9</v>
      </c>
      <c r="H15" s="21" t="s">
        <v>83</v>
      </c>
      <c r="I15" s="21">
        <f>'MERCADO TUSD'!$U$12+0.00000001</f>
        <v>1E-8</v>
      </c>
      <c r="J15" s="17"/>
      <c r="L15" s="19">
        <v>0</v>
      </c>
      <c r="M15" s="19">
        <v>6.4000000000000003E-3</v>
      </c>
      <c r="N15" s="19">
        <f>0.0159</f>
        <v>1.5900000000000001E-2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/>
      <c r="U15" s="19">
        <f>TRANSICAO!$U$15*CUSTOS!$T$4</f>
        <v>0</v>
      </c>
      <c r="V15" s="19">
        <f>TRANSICAO!$V$15*CUSTOS!$T$4</f>
        <v>0</v>
      </c>
      <c r="W15" s="19">
        <f>TRANSICAO!$W$15*CUSTOS!$T$4</f>
        <v>0</v>
      </c>
      <c r="X15" s="19">
        <f>TRANSICAO!$X$15*CUSTOS!$T$4</f>
        <v>0</v>
      </c>
      <c r="Y15" s="19">
        <f>TRANSICAO!$Y$15*CUSTOS!$T$4</f>
        <v>0</v>
      </c>
      <c r="Z15" s="19">
        <f>TRANSICAO!$Z$15*CUSTOS!$T$4</f>
        <v>0</v>
      </c>
      <c r="AA15" s="19">
        <f>TRANSICAO!$AA$15*CUSTOS!$T$4</f>
        <v>0</v>
      </c>
      <c r="AB15" s="19">
        <f>TRANSICAO!$AB$15*CUSTOS!$T$4</f>
        <v>0</v>
      </c>
      <c r="AC15" s="19">
        <f>TRANSICAO!$AC$15*CUSTOS!$T$4</f>
        <v>1.5883</v>
      </c>
      <c r="AD15" s="19">
        <f>TRANSICAO!$AD$15*CUSTOS!$T$4</f>
        <v>0</v>
      </c>
      <c r="AE15" s="19">
        <v>0</v>
      </c>
      <c r="AF15" s="19">
        <v>0</v>
      </c>
      <c r="AG15" s="19"/>
      <c r="AH15" s="19">
        <v>0</v>
      </c>
      <c r="AI15" s="19">
        <v>0</v>
      </c>
      <c r="AJ15" s="19">
        <v>0</v>
      </c>
      <c r="AK15" s="19">
        <f t="shared" si="0"/>
        <v>0</v>
      </c>
      <c r="AL15" s="19"/>
      <c r="AM15" s="19"/>
      <c r="AP15" s="19"/>
    </row>
    <row r="16" spans="1:42" ht="11.25" customHeight="1" x14ac:dyDescent="0.25">
      <c r="A16" s="119"/>
      <c r="B16" s="119"/>
      <c r="C16" s="119"/>
      <c r="D16" s="119"/>
      <c r="E16" s="22" t="s">
        <v>90</v>
      </c>
      <c r="F16" s="22" t="s">
        <v>25</v>
      </c>
      <c r="G16" s="21" t="s">
        <v>9</v>
      </c>
      <c r="H16" s="21" t="s">
        <v>83</v>
      </c>
      <c r="I16" s="21">
        <f>'MERCADO TUSD'!$U$13+0.00000001</f>
        <v>1E-8</v>
      </c>
      <c r="J16" s="17"/>
      <c r="L16" s="19">
        <v>0</v>
      </c>
      <c r="M16" s="19">
        <v>6.4000000000000003E-3</v>
      </c>
      <c r="N16" s="19">
        <f>0.0159</f>
        <v>1.5900000000000001E-2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/>
      <c r="U16" s="19">
        <f>TRANSICAO!$U$16*CUSTOS!$T$4</f>
        <v>0</v>
      </c>
      <c r="V16" s="19">
        <f>TRANSICAO!$V$16*CUSTOS!$T$4</f>
        <v>0</v>
      </c>
      <c r="W16" s="19">
        <f>TRANSICAO!$W$16*CUSTOS!$T$4</f>
        <v>0</v>
      </c>
      <c r="X16" s="19">
        <f>TRANSICAO!$X$16*CUSTOS!$T$4</f>
        <v>0</v>
      </c>
      <c r="Y16" s="19">
        <f>TRANSICAO!$Y$16*CUSTOS!$T$4</f>
        <v>0</v>
      </c>
      <c r="Z16" s="19">
        <f>TRANSICAO!$Z$16*CUSTOS!$T$4</f>
        <v>0</v>
      </c>
      <c r="AA16" s="19">
        <f>TRANSICAO!$AA$16*CUSTOS!$T$4</f>
        <v>0</v>
      </c>
      <c r="AB16" s="19">
        <f>TRANSICAO!$AB$16*CUSTOS!$T$4</f>
        <v>0</v>
      </c>
      <c r="AC16" s="19">
        <f>TRANSICAO!$AC$16*CUSTOS!$T$4</f>
        <v>14.2615</v>
      </c>
      <c r="AD16" s="19">
        <f>TRANSICAO!$AD$16*CUSTOS!$T$4</f>
        <v>0</v>
      </c>
      <c r="AE16" s="19">
        <v>0</v>
      </c>
      <c r="AF16" s="19">
        <v>0</v>
      </c>
      <c r="AG16" s="19"/>
      <c r="AH16" s="19">
        <v>0</v>
      </c>
      <c r="AI16" s="19">
        <v>0</v>
      </c>
      <c r="AJ16" s="19">
        <v>0</v>
      </c>
      <c r="AK16" s="19">
        <f t="shared" si="0"/>
        <v>0</v>
      </c>
      <c r="AL16" s="19"/>
      <c r="AM16" s="19"/>
      <c r="AP16" s="19"/>
    </row>
    <row r="17" spans="1:42" ht="11.25" customHeight="1" x14ac:dyDescent="0.25">
      <c r="A17" s="119" t="s">
        <v>22</v>
      </c>
      <c r="B17" s="119" t="s">
        <v>33</v>
      </c>
      <c r="C17" s="119" t="s">
        <v>24</v>
      </c>
      <c r="D17" s="119" t="s">
        <v>24</v>
      </c>
      <c r="E17" s="119" t="s">
        <v>25</v>
      </c>
      <c r="F17" s="119" t="s">
        <v>25</v>
      </c>
      <c r="G17" s="21" t="s">
        <v>81</v>
      </c>
      <c r="H17" s="21" t="s">
        <v>80</v>
      </c>
      <c r="I17" s="21">
        <f>'MERCADO TUSD'!$U$14</f>
        <v>17.608000000000004</v>
      </c>
      <c r="J17" s="17"/>
      <c r="L17" s="19">
        <f>1</f>
        <v>1</v>
      </c>
      <c r="M1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0.73055635798360608</v>
      </c>
      <c r="N17" s="19">
        <f ca="1">(+M17+O17+R17+U17+V17+W17+X17+Y17+Z17+AA17+AC17+AH17+AI17+AJ17+AK17)*CUSTOS!$M$5</f>
        <v>58.040723698475134</v>
      </c>
      <c r="O17" s="19">
        <v>1</v>
      </c>
      <c r="P17" s="19">
        <v>1</v>
      </c>
      <c r="Q17" s="19">
        <f>1</f>
        <v>1</v>
      </c>
      <c r="R17" s="19">
        <v>1</v>
      </c>
      <c r="S17" s="19">
        <v>1</v>
      </c>
      <c r="T17" s="19"/>
      <c r="U17" s="19">
        <f>TRANSICAO!$U$17*CUSTOS!$T$3</f>
        <v>65.891099999999994</v>
      </c>
      <c r="V17" s="19">
        <f>TRANSICAO!$V$17*CUSTOS!$T$3</f>
        <v>9.5989000000000004</v>
      </c>
      <c r="W17" s="19">
        <f>TRANSICAO!$W$17*CUSTOS!$T$3</f>
        <v>2.9420999999999999</v>
      </c>
      <c r="X17" s="19">
        <f>TRANSICAO!$X$17*CUSTOS!$T$3</f>
        <v>0</v>
      </c>
      <c r="Y17" s="19">
        <f>TRANSICAO!$Y$17*CUSTOS!$T$3</f>
        <v>110.50190000000001</v>
      </c>
      <c r="Z17" s="19">
        <f>TRANSICAO!$Z$17*CUSTOS!$T$3</f>
        <v>0</v>
      </c>
      <c r="AA17" s="19">
        <f>TRANSICAO!$AA$17*CUSTOS!$T$3</f>
        <v>0</v>
      </c>
      <c r="AB17" s="19">
        <f>TRANSICAO!$AB$17*CUSTOS!$T$3</f>
        <v>0</v>
      </c>
      <c r="AC17" s="19">
        <f>TRANSICAO!$AC$17*CUSTOS!$T$3</f>
        <v>521.75469999999996</v>
      </c>
      <c r="AD17" s="19">
        <f>TRANSICAO!$AD$17*CUSTOS!$T$3</f>
        <v>0</v>
      </c>
      <c r="AE17" s="19">
        <v>0</v>
      </c>
      <c r="AF17" s="19">
        <v>0</v>
      </c>
      <c r="AG17" s="19"/>
      <c r="AH17" s="19">
        <v>2541.4324000000001</v>
      </c>
      <c r="AI17" s="19">
        <v>2541.4324000000001</v>
      </c>
      <c r="AJ17" s="19">
        <f ca="1">$N$64</f>
        <v>3.8941567447648797</v>
      </c>
      <c r="AK17" s="19">
        <f t="shared" ca="1" si="0"/>
        <v>3.8941567447648797</v>
      </c>
      <c r="AL17" s="19"/>
      <c r="AM17" s="19"/>
      <c r="AP17" s="19">
        <v>1</v>
      </c>
    </row>
    <row r="18" spans="1:42" ht="11.25" customHeight="1" x14ac:dyDescent="0.25">
      <c r="A18" s="119"/>
      <c r="B18" s="119"/>
      <c r="C18" s="119"/>
      <c r="D18" s="119"/>
      <c r="E18" s="119"/>
      <c r="F18" s="119"/>
      <c r="G18" s="21" t="s">
        <v>91</v>
      </c>
      <c r="H18" s="21" t="s">
        <v>80</v>
      </c>
      <c r="I18" s="21">
        <f>'MERCADO TUSD'!$U$15</f>
        <v>7.3439999999999994</v>
      </c>
      <c r="J18" s="17"/>
      <c r="L18" s="19">
        <f>1</f>
        <v>1</v>
      </c>
      <c r="M1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0.73055635798360608</v>
      </c>
      <c r="N18" s="19">
        <f ca="1">(+M18+O18+R18+U18+V18+W18+X18+Y18+Z18+AA18+AC18+AH18+AI18+AJ18+AK18)*CUSTOS!$M$5</f>
        <v>55.197966698475128</v>
      </c>
      <c r="O18" s="19">
        <v>1</v>
      </c>
      <c r="P18" s="19">
        <v>1</v>
      </c>
      <c r="Q18" s="19">
        <f>1</f>
        <v>1</v>
      </c>
      <c r="R18" s="19">
        <v>1</v>
      </c>
      <c r="S18" s="19">
        <v>1</v>
      </c>
      <c r="T18" s="19"/>
      <c r="U18" s="19">
        <f>TRANSICAO!$U$18*CUSTOS!$T$3</f>
        <v>39.534599999999998</v>
      </c>
      <c r="V18" s="19">
        <f>TRANSICAO!$V$18*CUSTOS!$T$3</f>
        <v>5.7592999999999996</v>
      </c>
      <c r="W18" s="19">
        <f>TRANSICAO!$W$18*CUSTOS!$T$3</f>
        <v>1.7652000000000001</v>
      </c>
      <c r="X18" s="19">
        <f>TRANSICAO!$X$18*CUSTOS!$T$3</f>
        <v>0</v>
      </c>
      <c r="Y18" s="19">
        <f>TRANSICAO!$Y$18*CUSTOS!$T$3</f>
        <v>66.301100000000005</v>
      </c>
      <c r="Z18" s="19">
        <f>TRANSICAO!$Z$18*CUSTOS!$T$3</f>
        <v>0</v>
      </c>
      <c r="AA18" s="19">
        <f>TRANSICAO!$AA$18*CUSTOS!$T$3</f>
        <v>0</v>
      </c>
      <c r="AB18" s="19">
        <f>TRANSICAO!$AB$18*CUSTOS!$T$3</f>
        <v>0</v>
      </c>
      <c r="AC18" s="19">
        <f>TRANSICAO!$AC$18*CUSTOS!$T$3</f>
        <v>313.05279999999999</v>
      </c>
      <c r="AD18" s="19">
        <f>TRANSICAO!$AD$18*CUSTOS!$T$3</f>
        <v>0</v>
      </c>
      <c r="AE18" s="19">
        <v>0</v>
      </c>
      <c r="AF18" s="19">
        <v>0</v>
      </c>
      <c r="AG18" s="19"/>
      <c r="AH18" s="19">
        <v>2541.4324000000001</v>
      </c>
      <c r="AI18" s="19">
        <v>2541.4324000000001</v>
      </c>
      <c r="AJ18" s="19">
        <f ca="1">$N$64</f>
        <v>3.8941567447648797</v>
      </c>
      <c r="AK18" s="19">
        <f t="shared" ca="1" si="0"/>
        <v>3.8941567447648797</v>
      </c>
      <c r="AL18" s="19"/>
      <c r="AM18" s="19"/>
      <c r="AP18" s="19">
        <v>1</v>
      </c>
    </row>
    <row r="19" spans="1:42" ht="11.25" customHeight="1" x14ac:dyDescent="0.25">
      <c r="A19" s="119"/>
      <c r="B19" s="119"/>
      <c r="C19" s="119"/>
      <c r="D19" s="119"/>
      <c r="E19" s="119"/>
      <c r="F19" s="119"/>
      <c r="G19" s="21" t="s">
        <v>82</v>
      </c>
      <c r="H19" s="21" t="s">
        <v>80</v>
      </c>
      <c r="I19" s="21">
        <f>'MERCADO TUSD'!$U$16</f>
        <v>120.18199999999999</v>
      </c>
      <c r="J19" s="17"/>
      <c r="L19" s="19">
        <f>1</f>
        <v>1</v>
      </c>
      <c r="M1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0.73055635798360608</v>
      </c>
      <c r="N19" s="19">
        <f ca="1">(+M19+O19+R19+U19+V19+W19+X19+Y19+Z19+AA19+AC19+AH19+AI19+AJ19+AK19)*CUSTOS!$M$5</f>
        <v>52.355213698475126</v>
      </c>
      <c r="O19" s="19">
        <v>1</v>
      </c>
      <c r="P19" s="19">
        <v>1</v>
      </c>
      <c r="Q19" s="19">
        <f>1</f>
        <v>1</v>
      </c>
      <c r="R19" s="19">
        <v>1</v>
      </c>
      <c r="S19" s="19">
        <v>1</v>
      </c>
      <c r="T19" s="19"/>
      <c r="U19" s="19">
        <f>TRANSICAO!$U$19*CUSTOS!$T$3</f>
        <v>13.1782</v>
      </c>
      <c r="V19" s="19">
        <f>TRANSICAO!$V$19*CUSTOS!$T$3</f>
        <v>1.9198</v>
      </c>
      <c r="W19" s="19">
        <f>TRANSICAO!$W$19*CUSTOS!$T$3</f>
        <v>0.58840000000000003</v>
      </c>
      <c r="X19" s="19">
        <f>TRANSICAO!$X$19*CUSTOS!$T$3</f>
        <v>0</v>
      </c>
      <c r="Y19" s="19">
        <f>TRANSICAO!$Y$19*CUSTOS!$T$3</f>
        <v>22.1004</v>
      </c>
      <c r="Z19" s="19">
        <f>TRANSICAO!$Z$19*CUSTOS!$T$3</f>
        <v>0</v>
      </c>
      <c r="AA19" s="19">
        <f>TRANSICAO!$AA$19*CUSTOS!$T$3</f>
        <v>0</v>
      </c>
      <c r="AB19" s="19">
        <f>TRANSICAO!$AB$19*CUSTOS!$T$3</f>
        <v>0</v>
      </c>
      <c r="AC19" s="19">
        <f>TRANSICAO!$AC$19*CUSTOS!$T$3</f>
        <v>104.3509</v>
      </c>
      <c r="AD19" s="19">
        <f>TRANSICAO!$AD$19*CUSTOS!$T$3</f>
        <v>0</v>
      </c>
      <c r="AE19" s="19">
        <v>0</v>
      </c>
      <c r="AF19" s="19">
        <v>0</v>
      </c>
      <c r="AG19" s="19"/>
      <c r="AH19" s="19">
        <v>2541.4324000000001</v>
      </c>
      <c r="AI19" s="19">
        <v>2541.4324000000001</v>
      </c>
      <c r="AJ19" s="19">
        <f ca="1">$N$64</f>
        <v>3.8941567447648797</v>
      </c>
      <c r="AK19" s="19">
        <f t="shared" ca="1" si="0"/>
        <v>3.8941567447648797</v>
      </c>
      <c r="AL19" s="19"/>
      <c r="AM19" s="19"/>
      <c r="AP19" s="19">
        <v>1</v>
      </c>
    </row>
    <row r="20" spans="1:42" ht="11.25" customHeight="1" x14ac:dyDescent="0.25">
      <c r="A20" s="119"/>
      <c r="B20" s="119" t="s">
        <v>23</v>
      </c>
      <c r="C20" s="119" t="s">
        <v>24</v>
      </c>
      <c r="D20" s="22" t="s">
        <v>24</v>
      </c>
      <c r="E20" s="22" t="s">
        <v>25</v>
      </c>
      <c r="F20" s="22" t="s">
        <v>25</v>
      </c>
      <c r="G20" s="21" t="s">
        <v>86</v>
      </c>
      <c r="H20" s="21" t="s">
        <v>80</v>
      </c>
      <c r="I20" s="21">
        <f>'MERCADO TUSD'!$U$17</f>
        <v>125132.74900000001</v>
      </c>
      <c r="J20" s="17"/>
      <c r="L20" s="19">
        <f>1</f>
        <v>1</v>
      </c>
      <c r="M2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0.73055635798360608</v>
      </c>
      <c r="N20" s="19">
        <f ca="1">(+M20+O20+R20+U20+V20+W20+X20+Y20+Z20+AA20+AC20+AH20+AI20+AJ20+AK20)*CUSTOS!$M$5</f>
        <v>53.189991698475133</v>
      </c>
      <c r="O20" s="19">
        <v>1</v>
      </c>
      <c r="P20" s="19">
        <v>1</v>
      </c>
      <c r="Q20" s="19">
        <f>1</f>
        <v>1</v>
      </c>
      <c r="R20" s="19">
        <v>1</v>
      </c>
      <c r="S20" s="19">
        <v>1</v>
      </c>
      <c r="T20" s="19"/>
      <c r="U20" s="19">
        <f>TRANSICAO!$U$20*CUSTOS!$T$3</f>
        <v>20.9178</v>
      </c>
      <c r="V20" s="19">
        <f>TRANSICAO!$V$20*CUSTOS!$T$3</f>
        <v>3.0472999999999999</v>
      </c>
      <c r="W20" s="19">
        <f>TRANSICAO!$W$20*CUSTOS!$T$3</f>
        <v>0.93400000000000005</v>
      </c>
      <c r="X20" s="19">
        <f>TRANSICAO!$X$20*CUSTOS!$T$3</f>
        <v>0</v>
      </c>
      <c r="Y20" s="19">
        <f>TRANSICAO!$Y$20*CUSTOS!$T$3</f>
        <v>35.08</v>
      </c>
      <c r="Z20" s="19">
        <f>TRANSICAO!$Z$20*CUSTOS!$T$3</f>
        <v>0</v>
      </c>
      <c r="AA20" s="19">
        <f>TRANSICAO!$AA$20*CUSTOS!$T$3</f>
        <v>0</v>
      </c>
      <c r="AB20" s="19">
        <f>TRANSICAO!$AB$20*CUSTOS!$T$3</f>
        <v>0</v>
      </c>
      <c r="AC20" s="19">
        <f>TRANSICAO!$AC$20*CUSTOS!$T$3</f>
        <v>165.63640000000001</v>
      </c>
      <c r="AD20" s="19">
        <f>TRANSICAO!$AD$20*CUSTOS!$T$3</f>
        <v>0</v>
      </c>
      <c r="AE20" s="19">
        <v>0</v>
      </c>
      <c r="AF20" s="19">
        <v>0</v>
      </c>
      <c r="AG20" s="19"/>
      <c r="AH20" s="19">
        <v>2541.4324000000001</v>
      </c>
      <c r="AI20" s="19">
        <v>2541.4324000000001</v>
      </c>
      <c r="AJ20" s="19">
        <f ca="1">$N$64</f>
        <v>3.8941567447648797</v>
      </c>
      <c r="AK20" s="19">
        <f t="shared" ca="1" si="0"/>
        <v>3.8941567447648797</v>
      </c>
      <c r="AL20" s="19"/>
      <c r="AM20" s="19"/>
      <c r="AP20" s="19">
        <v>1</v>
      </c>
    </row>
    <row r="21" spans="1:42" ht="11.25" customHeight="1" x14ac:dyDescent="0.25">
      <c r="A21" s="119"/>
      <c r="B21" s="119"/>
      <c r="C21" s="119"/>
      <c r="D21" s="22" t="s">
        <v>29</v>
      </c>
      <c r="E21" s="22" t="s">
        <v>25</v>
      </c>
      <c r="F21" s="22" t="s">
        <v>25</v>
      </c>
      <c r="G21" s="21" t="s">
        <v>86</v>
      </c>
      <c r="H21" s="21" t="s">
        <v>80</v>
      </c>
      <c r="I21" s="21">
        <f>'MERCADO TUSD'!$U$18</f>
        <v>4179.51</v>
      </c>
      <c r="J21" s="17"/>
      <c r="L21" s="19">
        <v>0</v>
      </c>
      <c r="M2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0.73055635798360608</v>
      </c>
      <c r="N21" s="19">
        <f ca="1">(+M21+O21+R21+U21+V21+W21+X21+Y21+Z21+AA21+AC21+AH21+AI21+AJ21+AK21)*CUSTOS!$M$5</f>
        <v>53.179991698475135</v>
      </c>
      <c r="O21" s="19">
        <f>1 - CUSTOS!$M$24</f>
        <v>1</v>
      </c>
      <c r="P21" s="19">
        <v>0</v>
      </c>
      <c r="Q21" s="19">
        <v>0</v>
      </c>
      <c r="R21" s="19">
        <v>0</v>
      </c>
      <c r="S21" s="19">
        <f>1 - CUSTOS!$M$24</f>
        <v>1</v>
      </c>
      <c r="T21" s="19"/>
      <c r="U21" s="19">
        <f>TRANSICAO!$U$21*CUSTOS!$T$3</f>
        <v>20.9178</v>
      </c>
      <c r="V21" s="19">
        <f>TRANSICAO!$V$21*CUSTOS!$T$3</f>
        <v>3.0472999999999999</v>
      </c>
      <c r="W21" s="19">
        <f>TRANSICAO!$W$21*CUSTOS!$T$3</f>
        <v>0.93400000000000005</v>
      </c>
      <c r="X21" s="19">
        <f>TRANSICAO!$X$21*CUSTOS!$T$3</f>
        <v>0</v>
      </c>
      <c r="Y21" s="19">
        <f>TRANSICAO!$Y$21*CUSTOS!$T$3</f>
        <v>35.08</v>
      </c>
      <c r="Z21" s="19">
        <f>TRANSICAO!$Z$21*CUSTOS!$T$3</f>
        <v>0</v>
      </c>
      <c r="AA21" s="19">
        <f>TRANSICAO!$AA$21*CUSTOS!$T$3</f>
        <v>0</v>
      </c>
      <c r="AB21" s="19">
        <f>TRANSICAO!$AB$21*CUSTOS!$T$3</f>
        <v>0</v>
      </c>
      <c r="AC21" s="19">
        <f>TRANSICAO!$AC$21*CUSTOS!$T$3</f>
        <v>165.63640000000001</v>
      </c>
      <c r="AD21" s="19">
        <f>TRANSICAO!$AD$21*CUSTOS!$T$3</f>
        <v>0</v>
      </c>
      <c r="AE21" s="19">
        <v>0</v>
      </c>
      <c r="AF21" s="19">
        <v>0</v>
      </c>
      <c r="AG21" s="19"/>
      <c r="AH21" s="19">
        <f>(1 - CUSTOS!$M$24)*2541.4324</f>
        <v>2541.4324000000001</v>
      </c>
      <c r="AI21" s="19">
        <f>(1 - CUSTOS!$M$24)*2541.4324</f>
        <v>2541.4324000000001</v>
      </c>
      <c r="AJ21" s="19">
        <f ca="1">$N$64*(1-CUSTOS!$M$24)</f>
        <v>3.8941567447648797</v>
      </c>
      <c r="AK21" s="19">
        <f t="shared" ca="1" si="0"/>
        <v>3.8941567447648797</v>
      </c>
      <c r="AL21" s="19"/>
      <c r="AM21" s="19"/>
      <c r="AP21" s="19">
        <f>IF((1 - CUSTOS!$M$24)&lt;&gt;0,1/(1 - CUSTOS!$M$24),1)</f>
        <v>1</v>
      </c>
    </row>
    <row r="22" spans="1:42" ht="11.25" customHeight="1" x14ac:dyDescent="0.25">
      <c r="A22" s="119"/>
      <c r="B22" s="119"/>
      <c r="C22" s="119"/>
      <c r="D22" s="22" t="s">
        <v>30</v>
      </c>
      <c r="E22" s="22" t="s">
        <v>25</v>
      </c>
      <c r="F22" s="22" t="s">
        <v>25</v>
      </c>
      <c r="G22" s="21" t="s">
        <v>86</v>
      </c>
      <c r="H22" s="21" t="s">
        <v>80</v>
      </c>
      <c r="I22" s="21">
        <f>'MERCADO TUSD'!$U$19</f>
        <v>8380.1260000000002</v>
      </c>
      <c r="J22" s="17"/>
      <c r="L22" s="19">
        <v>0</v>
      </c>
      <c r="M22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0.73055635798360608</v>
      </c>
      <c r="N22" s="19">
        <f ca="1">(+M22+O22+R22+U22+V22+W22+X22+Y22+Z22+AA22+AC22+AH22+AI22+AJ22+AK22)*CUSTOS!$M$5</f>
        <v>53.179991698475135</v>
      </c>
      <c r="O22" s="19">
        <f>1 - CUSTOS!$M$25</f>
        <v>1</v>
      </c>
      <c r="P22" s="19">
        <v>0</v>
      </c>
      <c r="Q22" s="19">
        <v>0</v>
      </c>
      <c r="R22" s="19">
        <v>0</v>
      </c>
      <c r="S22" s="19">
        <f>1 - CUSTOS!$M$25</f>
        <v>1</v>
      </c>
      <c r="T22" s="19"/>
      <c r="U22" s="19">
        <f>TRANSICAO!$U$22*CUSTOS!$T$3</f>
        <v>20.9178</v>
      </c>
      <c r="V22" s="19">
        <f>TRANSICAO!$V$22*CUSTOS!$T$3</f>
        <v>3.0472999999999999</v>
      </c>
      <c r="W22" s="19">
        <f>TRANSICAO!$W$22*CUSTOS!$T$3</f>
        <v>0.93400000000000005</v>
      </c>
      <c r="X22" s="19">
        <f>TRANSICAO!$X$22*CUSTOS!$T$3</f>
        <v>0</v>
      </c>
      <c r="Y22" s="19">
        <f>TRANSICAO!$Y$22*CUSTOS!$T$3</f>
        <v>35.08</v>
      </c>
      <c r="Z22" s="19">
        <f>TRANSICAO!$Z$22*CUSTOS!$T$3</f>
        <v>0</v>
      </c>
      <c r="AA22" s="19">
        <f>TRANSICAO!$AA$22*CUSTOS!$T$3</f>
        <v>0</v>
      </c>
      <c r="AB22" s="19">
        <f>TRANSICAO!$AB$22*CUSTOS!$T$3</f>
        <v>0</v>
      </c>
      <c r="AC22" s="19">
        <f>TRANSICAO!$AC$22*CUSTOS!$T$3</f>
        <v>165.63640000000001</v>
      </c>
      <c r="AD22" s="19">
        <f>TRANSICAO!$AD$22*CUSTOS!$T$3</f>
        <v>0</v>
      </c>
      <c r="AE22" s="19">
        <v>0</v>
      </c>
      <c r="AF22" s="19">
        <v>0</v>
      </c>
      <c r="AG22" s="19"/>
      <c r="AH22" s="19">
        <f>(1 - CUSTOS!$M$25)*2541.4324</f>
        <v>2541.4324000000001</v>
      </c>
      <c r="AI22" s="19">
        <f>(1 - CUSTOS!$M$25)*2541.4324</f>
        <v>2541.4324000000001</v>
      </c>
      <c r="AJ22" s="19">
        <f ca="1">$N$64*(1-CUSTOS!$M$25)</f>
        <v>3.8941567447648797</v>
      </c>
      <c r="AK22" s="19">
        <f t="shared" ca="1" si="0"/>
        <v>3.8941567447648797</v>
      </c>
      <c r="AL22" s="19"/>
      <c r="AM22" s="19"/>
      <c r="AP22" s="19">
        <f>IF((1 - CUSTOS!$M$25)&lt;&gt;0,1/(1 - CUSTOS!$M$25),1)</f>
        <v>1</v>
      </c>
    </row>
    <row r="23" spans="1:42" ht="11.25" customHeight="1" x14ac:dyDescent="0.25">
      <c r="A23" s="119"/>
      <c r="B23" s="119"/>
      <c r="C23" s="119"/>
      <c r="D23" s="22" t="s">
        <v>31</v>
      </c>
      <c r="E23" s="22" t="s">
        <v>25</v>
      </c>
      <c r="F23" s="22" t="s">
        <v>25</v>
      </c>
      <c r="G23" s="21" t="s">
        <v>86</v>
      </c>
      <c r="H23" s="21" t="s">
        <v>80</v>
      </c>
      <c r="I23" s="21">
        <f>'MERCADO TUSD'!$U$20</f>
        <v>6567.2470000000003</v>
      </c>
      <c r="J23" s="17"/>
      <c r="L23" s="19">
        <v>0</v>
      </c>
      <c r="M23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0.73055635798360608</v>
      </c>
      <c r="N23" s="19">
        <f ca="1">(+M23+O23+R23+U23+V23+W23+X23+Y23+Z23+AA23+AC23+AH23+AI23+AJ23+AK23)*CUSTOS!$M$5</f>
        <v>53.179991698475135</v>
      </c>
      <c r="O23" s="19">
        <f>1 - CUSTOS!$M$26</f>
        <v>1</v>
      </c>
      <c r="P23" s="19">
        <v>0</v>
      </c>
      <c r="Q23" s="19">
        <v>0</v>
      </c>
      <c r="R23" s="19">
        <v>0</v>
      </c>
      <c r="S23" s="19">
        <f>1 - CUSTOS!$M$26</f>
        <v>1</v>
      </c>
      <c r="T23" s="19"/>
      <c r="U23" s="19">
        <f>TRANSICAO!$U$23*CUSTOS!$T$3</f>
        <v>20.9178</v>
      </c>
      <c r="V23" s="19">
        <f>TRANSICAO!$V$23*CUSTOS!$T$3</f>
        <v>3.0472999999999999</v>
      </c>
      <c r="W23" s="19">
        <f>TRANSICAO!$W$23*CUSTOS!$T$3</f>
        <v>0.93400000000000005</v>
      </c>
      <c r="X23" s="19">
        <f>TRANSICAO!$X$23*CUSTOS!$T$3</f>
        <v>0</v>
      </c>
      <c r="Y23" s="19">
        <f>TRANSICAO!$Y$23*CUSTOS!$T$3</f>
        <v>35.08</v>
      </c>
      <c r="Z23" s="19">
        <f>TRANSICAO!$Z$23*CUSTOS!$T$3</f>
        <v>0</v>
      </c>
      <c r="AA23" s="19">
        <f>TRANSICAO!$AA$23*CUSTOS!$T$3</f>
        <v>0</v>
      </c>
      <c r="AB23" s="19">
        <f>TRANSICAO!$AB$23*CUSTOS!$T$3</f>
        <v>0</v>
      </c>
      <c r="AC23" s="19">
        <f>TRANSICAO!$AC$23*CUSTOS!$T$3</f>
        <v>165.63640000000001</v>
      </c>
      <c r="AD23" s="19">
        <f>TRANSICAO!$AD$23*CUSTOS!$T$3</f>
        <v>0</v>
      </c>
      <c r="AE23" s="19">
        <v>0</v>
      </c>
      <c r="AF23" s="19">
        <v>0</v>
      </c>
      <c r="AG23" s="19"/>
      <c r="AH23" s="19">
        <f>(1 - CUSTOS!$M$26)*2541.4324</f>
        <v>2541.4324000000001</v>
      </c>
      <c r="AI23" s="19">
        <f>(1 - CUSTOS!$M$26)*2541.4324</f>
        <v>2541.4324000000001</v>
      </c>
      <c r="AJ23" s="19">
        <f ca="1">$N$64*(1-CUSTOS!$M$26)</f>
        <v>3.8941567447648797</v>
      </c>
      <c r="AK23" s="19">
        <f t="shared" ca="1" si="0"/>
        <v>3.8941567447648797</v>
      </c>
      <c r="AL23" s="19"/>
      <c r="AM23" s="19"/>
      <c r="AP23" s="19">
        <f>IF((1 - CUSTOS!$M$26)&lt;&gt;0,1/(1 - CUSTOS!$M$26),1)</f>
        <v>1</v>
      </c>
    </row>
    <row r="24" spans="1:42" ht="11.25" customHeight="1" x14ac:dyDescent="0.25">
      <c r="A24" s="119"/>
      <c r="B24" s="119"/>
      <c r="C24" s="119"/>
      <c r="D24" s="22" t="s">
        <v>32</v>
      </c>
      <c r="E24" s="22" t="s">
        <v>25</v>
      </c>
      <c r="F24" s="22" t="s">
        <v>25</v>
      </c>
      <c r="G24" s="21" t="s">
        <v>86</v>
      </c>
      <c r="H24" s="21" t="s">
        <v>80</v>
      </c>
      <c r="I24" s="21">
        <f>'MERCADO TUSD'!$U$21</f>
        <v>1878.684</v>
      </c>
      <c r="J24" s="17"/>
      <c r="L24" s="19">
        <v>0</v>
      </c>
      <c r="M24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0.73055635798360608</v>
      </c>
      <c r="N24" s="19">
        <f ca="1">(+M24+O24+R24+U24+V24+W24+X24+Y24+Z24+AA24+AC24+AH24+AI24+AJ24+AK24)*CUSTOS!$M$5</f>
        <v>53.179991698475135</v>
      </c>
      <c r="O24" s="19">
        <f>1 - CUSTOS!$M$27</f>
        <v>1</v>
      </c>
      <c r="P24" s="19">
        <v>0</v>
      </c>
      <c r="Q24" s="19">
        <v>0</v>
      </c>
      <c r="R24" s="19">
        <v>0</v>
      </c>
      <c r="S24" s="19">
        <f>1 - CUSTOS!$M$27</f>
        <v>1</v>
      </c>
      <c r="T24" s="19"/>
      <c r="U24" s="19">
        <f>TRANSICAO!$U$24*CUSTOS!$T$3</f>
        <v>20.9178</v>
      </c>
      <c r="V24" s="19">
        <f>TRANSICAO!$V$24*CUSTOS!$T$3</f>
        <v>3.0472999999999999</v>
      </c>
      <c r="W24" s="19">
        <f>TRANSICAO!$W$24*CUSTOS!$T$3</f>
        <v>0.93400000000000005</v>
      </c>
      <c r="X24" s="19">
        <f>TRANSICAO!$X$24*CUSTOS!$T$3</f>
        <v>0</v>
      </c>
      <c r="Y24" s="19">
        <f>TRANSICAO!$Y$24*CUSTOS!$T$3</f>
        <v>35.08</v>
      </c>
      <c r="Z24" s="19">
        <f>TRANSICAO!$Z$24*CUSTOS!$T$3</f>
        <v>0</v>
      </c>
      <c r="AA24" s="19">
        <f>TRANSICAO!$AA$24*CUSTOS!$T$3</f>
        <v>0</v>
      </c>
      <c r="AB24" s="19">
        <f>TRANSICAO!$AB$24*CUSTOS!$T$3</f>
        <v>0</v>
      </c>
      <c r="AC24" s="19">
        <f>TRANSICAO!$AC$24*CUSTOS!$T$3</f>
        <v>165.63640000000001</v>
      </c>
      <c r="AD24" s="19">
        <f>TRANSICAO!$AD$24*CUSTOS!$T$3</f>
        <v>0</v>
      </c>
      <c r="AE24" s="19">
        <v>0</v>
      </c>
      <c r="AF24" s="19">
        <v>0</v>
      </c>
      <c r="AG24" s="19"/>
      <c r="AH24" s="19">
        <f>(1 - CUSTOS!$M$27)*2541.4324</f>
        <v>2541.4324000000001</v>
      </c>
      <c r="AI24" s="19">
        <f>(1 - CUSTOS!$M$27)*2541.4324</f>
        <v>2541.4324000000001</v>
      </c>
      <c r="AJ24" s="19">
        <f ca="1">$N$64*(1-CUSTOS!$M$27)</f>
        <v>3.8941567447648797</v>
      </c>
      <c r="AK24" s="19">
        <f t="shared" ca="1" si="0"/>
        <v>3.8941567447648797</v>
      </c>
      <c r="AL24" s="19"/>
      <c r="AM24" s="19"/>
      <c r="AP24" s="19">
        <f>IF((1 - CUSTOS!$M$27)&lt;&gt;0,1/(1 - CUSTOS!$M$27),1)</f>
        <v>1</v>
      </c>
    </row>
    <row r="25" spans="1:42" ht="11.25" customHeight="1" x14ac:dyDescent="0.25">
      <c r="A25" s="119"/>
      <c r="B25" s="119" t="s">
        <v>94</v>
      </c>
      <c r="C25" s="119" t="s">
        <v>24</v>
      </c>
      <c r="D25" s="22" t="s">
        <v>24</v>
      </c>
      <c r="E25" s="22" t="s">
        <v>25</v>
      </c>
      <c r="F25" s="22" t="s">
        <v>25</v>
      </c>
      <c r="G25" s="21" t="s">
        <v>86</v>
      </c>
      <c r="H25" s="21" t="s">
        <v>80</v>
      </c>
      <c r="I25" s="21">
        <f>'MERCADO TUSD'!$U$22</f>
        <v>0</v>
      </c>
      <c r="J25" s="17"/>
      <c r="L25" s="19">
        <f>1</f>
        <v>1</v>
      </c>
      <c r="M25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0.73055635798360608</v>
      </c>
      <c r="N25" s="19">
        <f ca="1">(+M25+O25+R25+U25+V25+W25+X25+Y25+Z25+AA25+AC25+AH25+AI25+AJ25+AK25)*CUSTOS!$M$5</f>
        <v>53.189991698475133</v>
      </c>
      <c r="O25" s="19">
        <v>1</v>
      </c>
      <c r="P25" s="19">
        <v>1</v>
      </c>
      <c r="Q25" s="19">
        <f>1</f>
        <v>1</v>
      </c>
      <c r="R25" s="19">
        <v>1</v>
      </c>
      <c r="S25" s="19">
        <v>1</v>
      </c>
      <c r="T25" s="19"/>
      <c r="U25" s="19">
        <f>TRANSICAO!$U$25*CUSTOS!$T$3</f>
        <v>20.9178</v>
      </c>
      <c r="V25" s="19">
        <f>TRANSICAO!$V$25*CUSTOS!$T$3</f>
        <v>3.0472999999999999</v>
      </c>
      <c r="W25" s="19">
        <f>TRANSICAO!$W$25*CUSTOS!$T$3</f>
        <v>0.93400000000000005</v>
      </c>
      <c r="X25" s="19">
        <f>TRANSICAO!$X$25*CUSTOS!$T$3</f>
        <v>0</v>
      </c>
      <c r="Y25" s="19">
        <f>TRANSICAO!$Y$25*CUSTOS!$T$3</f>
        <v>35.08</v>
      </c>
      <c r="Z25" s="19">
        <f>TRANSICAO!$Z$25*CUSTOS!$T$3</f>
        <v>0</v>
      </c>
      <c r="AA25" s="19">
        <f>TRANSICAO!$AA$25*CUSTOS!$T$3</f>
        <v>0</v>
      </c>
      <c r="AB25" s="19">
        <f>TRANSICAO!$AB$25*CUSTOS!$T$3</f>
        <v>0</v>
      </c>
      <c r="AC25" s="19">
        <f>TRANSICAO!$AC$25*CUSTOS!$T$3</f>
        <v>165.63640000000001</v>
      </c>
      <c r="AD25" s="19">
        <f>TRANSICAO!$AD$25*CUSTOS!$T$3</f>
        <v>0</v>
      </c>
      <c r="AE25" s="19">
        <v>0</v>
      </c>
      <c r="AF25" s="19">
        <v>0</v>
      </c>
      <c r="AG25" s="19"/>
      <c r="AH25" s="19">
        <v>2541.4324000000001</v>
      </c>
      <c r="AI25" s="19">
        <v>2541.4324000000001</v>
      </c>
      <c r="AJ25" s="19">
        <f ca="1">$N$64</f>
        <v>3.8941567447648797</v>
      </c>
      <c r="AK25" s="19">
        <f t="shared" ca="1" si="0"/>
        <v>3.8941567447648797</v>
      </c>
      <c r="AL25" s="19"/>
      <c r="AM25" s="19"/>
      <c r="AP25" s="19">
        <v>1</v>
      </c>
    </row>
    <row r="26" spans="1:42" ht="11.25" customHeight="1" x14ac:dyDescent="0.25">
      <c r="A26" s="119"/>
      <c r="B26" s="119"/>
      <c r="C26" s="119"/>
      <c r="D26" s="22" t="s">
        <v>29</v>
      </c>
      <c r="E26" s="22" t="s">
        <v>25</v>
      </c>
      <c r="F26" s="22" t="s">
        <v>25</v>
      </c>
      <c r="G26" s="21" t="s">
        <v>86</v>
      </c>
      <c r="H26" s="21" t="s">
        <v>80</v>
      </c>
      <c r="I26" s="21">
        <f>'MERCADO TUSD'!$U$23</f>
        <v>0</v>
      </c>
      <c r="J26" s="17"/>
      <c r="L26" s="19">
        <v>0</v>
      </c>
      <c r="M26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0.73055635798360608</v>
      </c>
      <c r="N26" s="19">
        <f ca="1">(+M26+O26+R26+U26+V26+W26+X26+Y26+Z26+AA26+AC26+AH26+AI26+AJ26+AK26)*CUSTOS!$M$5</f>
        <v>53.179991698475135</v>
      </c>
      <c r="O26" s="19">
        <f>1 - CUSTOS!$M$24</f>
        <v>1</v>
      </c>
      <c r="P26" s="19">
        <v>0</v>
      </c>
      <c r="Q26" s="19">
        <v>0</v>
      </c>
      <c r="R26" s="19">
        <v>0</v>
      </c>
      <c r="S26" s="19">
        <f>1 - CUSTOS!$M$24</f>
        <v>1</v>
      </c>
      <c r="T26" s="19"/>
      <c r="U26" s="19">
        <f>TRANSICAO!$U$26*CUSTOS!$T$3</f>
        <v>20.9178</v>
      </c>
      <c r="V26" s="19">
        <f>TRANSICAO!$V$26*CUSTOS!$T$3</f>
        <v>3.0472999999999999</v>
      </c>
      <c r="W26" s="19">
        <f>TRANSICAO!$W$26*CUSTOS!$T$3</f>
        <v>0.93400000000000005</v>
      </c>
      <c r="X26" s="19">
        <f>TRANSICAO!$X$26*CUSTOS!$T$3</f>
        <v>0</v>
      </c>
      <c r="Y26" s="19">
        <f>TRANSICAO!$Y$26*CUSTOS!$T$3</f>
        <v>35.08</v>
      </c>
      <c r="Z26" s="19">
        <f>TRANSICAO!$Z$26*CUSTOS!$T$3</f>
        <v>0</v>
      </c>
      <c r="AA26" s="19">
        <f>TRANSICAO!$AA$26*CUSTOS!$T$3</f>
        <v>0</v>
      </c>
      <c r="AB26" s="19">
        <f>TRANSICAO!$AB$26*CUSTOS!$T$3</f>
        <v>0</v>
      </c>
      <c r="AC26" s="19">
        <f>TRANSICAO!$AC$26*CUSTOS!$T$3</f>
        <v>165.63640000000001</v>
      </c>
      <c r="AD26" s="19">
        <f>TRANSICAO!$AD$26*CUSTOS!$T$3</f>
        <v>0</v>
      </c>
      <c r="AE26" s="19">
        <v>0</v>
      </c>
      <c r="AF26" s="19">
        <v>0</v>
      </c>
      <c r="AG26" s="19"/>
      <c r="AH26" s="19">
        <f>(1 - CUSTOS!$M$24)*2541.4324</f>
        <v>2541.4324000000001</v>
      </c>
      <c r="AI26" s="19">
        <f>(1 - CUSTOS!$M$24)*2541.4324</f>
        <v>2541.4324000000001</v>
      </c>
      <c r="AJ26" s="19">
        <f ca="1">$N$64*(1-CUSTOS!$M$24)</f>
        <v>3.8941567447648797</v>
      </c>
      <c r="AK26" s="19">
        <f t="shared" ca="1" si="0"/>
        <v>3.8941567447648797</v>
      </c>
      <c r="AL26" s="19"/>
      <c r="AM26" s="19"/>
      <c r="AP26" s="19">
        <f>IF((1 - CUSTOS!$M$24)&lt;&gt;0,1/(1 - CUSTOS!$M$24),1)</f>
        <v>1</v>
      </c>
    </row>
    <row r="27" spans="1:42" ht="11.25" customHeight="1" x14ac:dyDescent="0.25">
      <c r="A27" s="119"/>
      <c r="B27" s="119"/>
      <c r="C27" s="119"/>
      <c r="D27" s="22" t="s">
        <v>30</v>
      </c>
      <c r="E27" s="22" t="s">
        <v>25</v>
      </c>
      <c r="F27" s="22" t="s">
        <v>25</v>
      </c>
      <c r="G27" s="21" t="s">
        <v>86</v>
      </c>
      <c r="H27" s="21" t="s">
        <v>80</v>
      </c>
      <c r="I27" s="21">
        <f>'MERCADO TUSD'!$U$24</f>
        <v>0</v>
      </c>
      <c r="J27" s="17"/>
      <c r="L27" s="19">
        <v>0</v>
      </c>
      <c r="M2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0.73055635798360608</v>
      </c>
      <c r="N27" s="19">
        <f ca="1">(+M27+O27+R27+U27+V27+W27+X27+Y27+Z27+AA27+AC27+AH27+AI27+AJ27+AK27)*CUSTOS!$M$5</f>
        <v>53.179991698475135</v>
      </c>
      <c r="O27" s="19">
        <f>1 - CUSTOS!$M$25</f>
        <v>1</v>
      </c>
      <c r="P27" s="19">
        <v>0</v>
      </c>
      <c r="Q27" s="19">
        <v>0</v>
      </c>
      <c r="R27" s="19">
        <v>0</v>
      </c>
      <c r="S27" s="19">
        <f>1 - CUSTOS!$M$25</f>
        <v>1</v>
      </c>
      <c r="T27" s="19"/>
      <c r="U27" s="19">
        <f>TRANSICAO!$U$27*CUSTOS!$T$3</f>
        <v>20.9178</v>
      </c>
      <c r="V27" s="19">
        <f>TRANSICAO!$V$27*CUSTOS!$T$3</f>
        <v>3.0472999999999999</v>
      </c>
      <c r="W27" s="19">
        <f>TRANSICAO!$W$27*CUSTOS!$T$3</f>
        <v>0.93400000000000005</v>
      </c>
      <c r="X27" s="19">
        <f>TRANSICAO!$X$27*CUSTOS!$T$3</f>
        <v>0</v>
      </c>
      <c r="Y27" s="19">
        <f>TRANSICAO!$Y$27*CUSTOS!$T$3</f>
        <v>35.08</v>
      </c>
      <c r="Z27" s="19">
        <f>TRANSICAO!$Z$27*CUSTOS!$T$3</f>
        <v>0</v>
      </c>
      <c r="AA27" s="19">
        <f>TRANSICAO!$AA$27*CUSTOS!$T$3</f>
        <v>0</v>
      </c>
      <c r="AB27" s="19">
        <f>TRANSICAO!$AB$27*CUSTOS!$T$3</f>
        <v>0</v>
      </c>
      <c r="AC27" s="19">
        <f>TRANSICAO!$AC$27*CUSTOS!$T$3</f>
        <v>165.63640000000001</v>
      </c>
      <c r="AD27" s="19">
        <f>TRANSICAO!$AD$27*CUSTOS!$T$3</f>
        <v>0</v>
      </c>
      <c r="AE27" s="19">
        <v>0</v>
      </c>
      <c r="AF27" s="19">
        <v>0</v>
      </c>
      <c r="AG27" s="19"/>
      <c r="AH27" s="19">
        <f>(1 - CUSTOS!$M$25)*2541.4324</f>
        <v>2541.4324000000001</v>
      </c>
      <c r="AI27" s="19">
        <f>(1 - CUSTOS!$M$25)*2541.4324</f>
        <v>2541.4324000000001</v>
      </c>
      <c r="AJ27" s="19">
        <f ca="1">$N$64*(1-CUSTOS!$M$25)</f>
        <v>3.8941567447648797</v>
      </c>
      <c r="AK27" s="19">
        <f t="shared" ca="1" si="0"/>
        <v>3.8941567447648797</v>
      </c>
      <c r="AL27" s="19"/>
      <c r="AM27" s="19"/>
      <c r="AP27" s="19">
        <f>IF((1 - CUSTOS!$M$25)&lt;&gt;0,1/(1 - CUSTOS!$M$25),1)</f>
        <v>1</v>
      </c>
    </row>
    <row r="28" spans="1:42" ht="11.25" customHeight="1" x14ac:dyDescent="0.25">
      <c r="A28" s="119"/>
      <c r="B28" s="119"/>
      <c r="C28" s="119"/>
      <c r="D28" s="22" t="s">
        <v>31</v>
      </c>
      <c r="E28" s="22" t="s">
        <v>25</v>
      </c>
      <c r="F28" s="22" t="s">
        <v>25</v>
      </c>
      <c r="G28" s="21" t="s">
        <v>86</v>
      </c>
      <c r="H28" s="21" t="s">
        <v>80</v>
      </c>
      <c r="I28" s="21">
        <f>'MERCADO TUSD'!$U$25</f>
        <v>0</v>
      </c>
      <c r="J28" s="17"/>
      <c r="L28" s="19">
        <v>0</v>
      </c>
      <c r="M2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0.73055635798360608</v>
      </c>
      <c r="N28" s="19">
        <f ca="1">(+M28+O28+R28+U28+V28+W28+X28+Y28+Z28+AA28+AC28+AH28+AI28+AJ28+AK28)*CUSTOS!$M$5</f>
        <v>53.179991698475135</v>
      </c>
      <c r="O28" s="19">
        <f>1 - CUSTOS!$M$26</f>
        <v>1</v>
      </c>
      <c r="P28" s="19">
        <v>0</v>
      </c>
      <c r="Q28" s="19">
        <v>0</v>
      </c>
      <c r="R28" s="19">
        <v>0</v>
      </c>
      <c r="S28" s="19">
        <f>1 - CUSTOS!$M$26</f>
        <v>1</v>
      </c>
      <c r="T28" s="19"/>
      <c r="U28" s="19">
        <f>TRANSICAO!$U$28*CUSTOS!$T$3</f>
        <v>20.9178</v>
      </c>
      <c r="V28" s="19">
        <f>TRANSICAO!$V$28*CUSTOS!$T$3</f>
        <v>3.0472999999999999</v>
      </c>
      <c r="W28" s="19">
        <f>TRANSICAO!$W$28*CUSTOS!$T$3</f>
        <v>0.93400000000000005</v>
      </c>
      <c r="X28" s="19">
        <f>TRANSICAO!$X$28*CUSTOS!$T$3</f>
        <v>0</v>
      </c>
      <c r="Y28" s="19">
        <f>TRANSICAO!$Y$28*CUSTOS!$T$3</f>
        <v>35.08</v>
      </c>
      <c r="Z28" s="19">
        <f>TRANSICAO!$Z$28*CUSTOS!$T$3</f>
        <v>0</v>
      </c>
      <c r="AA28" s="19">
        <f>TRANSICAO!$AA$28*CUSTOS!$T$3</f>
        <v>0</v>
      </c>
      <c r="AB28" s="19">
        <f>TRANSICAO!$AB$28*CUSTOS!$T$3</f>
        <v>0</v>
      </c>
      <c r="AC28" s="19">
        <f>TRANSICAO!$AC$28*CUSTOS!$T$3</f>
        <v>165.63640000000001</v>
      </c>
      <c r="AD28" s="19">
        <f>TRANSICAO!$AD$28*CUSTOS!$T$3</f>
        <v>0</v>
      </c>
      <c r="AE28" s="19">
        <v>0</v>
      </c>
      <c r="AF28" s="19">
        <v>0</v>
      </c>
      <c r="AG28" s="19"/>
      <c r="AH28" s="19">
        <f>(1 - CUSTOS!$M$26)*2541.4324</f>
        <v>2541.4324000000001</v>
      </c>
      <c r="AI28" s="19">
        <f>(1 - CUSTOS!$M$26)*2541.4324</f>
        <v>2541.4324000000001</v>
      </c>
      <c r="AJ28" s="19">
        <f ca="1">$N$64*(1-CUSTOS!$M$26)</f>
        <v>3.8941567447648797</v>
      </c>
      <c r="AK28" s="19">
        <f t="shared" ca="1" si="0"/>
        <v>3.8941567447648797</v>
      </c>
      <c r="AL28" s="19"/>
      <c r="AM28" s="19"/>
      <c r="AP28" s="19">
        <f>IF((1 - CUSTOS!$M$26)&lt;&gt;0,1/(1 - CUSTOS!$M$26),1)</f>
        <v>1</v>
      </c>
    </row>
    <row r="29" spans="1:42" ht="11.25" customHeight="1" x14ac:dyDescent="0.25">
      <c r="A29" s="119"/>
      <c r="B29" s="119"/>
      <c r="C29" s="119"/>
      <c r="D29" s="22" t="s">
        <v>32</v>
      </c>
      <c r="E29" s="22" t="s">
        <v>25</v>
      </c>
      <c r="F29" s="22" t="s">
        <v>25</v>
      </c>
      <c r="G29" s="21" t="s">
        <v>86</v>
      </c>
      <c r="H29" s="21" t="s">
        <v>80</v>
      </c>
      <c r="I29" s="21">
        <f>'MERCADO TUSD'!$U$26</f>
        <v>0</v>
      </c>
      <c r="J29" s="17"/>
      <c r="L29" s="19">
        <v>0</v>
      </c>
      <c r="M2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0.73055635798360608</v>
      </c>
      <c r="N29" s="19">
        <f ca="1">(+M29+O29+R29+U29+V29+W29+X29+Y29+Z29+AA29+AC29+AH29+AI29+AJ29+AK29)*CUSTOS!$M$5</f>
        <v>53.179991698475135</v>
      </c>
      <c r="O29" s="19">
        <f>1 - CUSTOS!$M$27</f>
        <v>1</v>
      </c>
      <c r="P29" s="19">
        <v>0</v>
      </c>
      <c r="Q29" s="19">
        <v>0</v>
      </c>
      <c r="R29" s="19">
        <v>0</v>
      </c>
      <c r="S29" s="19">
        <f>1 - CUSTOS!$M$27</f>
        <v>1</v>
      </c>
      <c r="T29" s="19"/>
      <c r="U29" s="19">
        <f>TRANSICAO!$U$29*CUSTOS!$T$3</f>
        <v>20.9178</v>
      </c>
      <c r="V29" s="19">
        <f>TRANSICAO!$V$29*CUSTOS!$T$3</f>
        <v>3.0472999999999999</v>
      </c>
      <c r="W29" s="19">
        <f>TRANSICAO!$W$29*CUSTOS!$T$3</f>
        <v>0.93400000000000005</v>
      </c>
      <c r="X29" s="19">
        <f>TRANSICAO!$X$29*CUSTOS!$T$3</f>
        <v>0</v>
      </c>
      <c r="Y29" s="19">
        <f>TRANSICAO!$Y$29*CUSTOS!$T$3</f>
        <v>35.08</v>
      </c>
      <c r="Z29" s="19">
        <f>TRANSICAO!$Z$29*CUSTOS!$T$3</f>
        <v>0</v>
      </c>
      <c r="AA29" s="19">
        <f>TRANSICAO!$AA$29*CUSTOS!$T$3</f>
        <v>0</v>
      </c>
      <c r="AB29" s="19">
        <f>TRANSICAO!$AB$29*CUSTOS!$T$3</f>
        <v>0</v>
      </c>
      <c r="AC29" s="19">
        <f>TRANSICAO!$AC$29*CUSTOS!$T$3</f>
        <v>165.63640000000001</v>
      </c>
      <c r="AD29" s="19">
        <f>TRANSICAO!$AD$29*CUSTOS!$T$3</f>
        <v>0</v>
      </c>
      <c r="AE29" s="19">
        <v>0</v>
      </c>
      <c r="AF29" s="19">
        <v>0</v>
      </c>
      <c r="AG29" s="19"/>
      <c r="AH29" s="19">
        <f>(1 - CUSTOS!$M$27)*2541.4324</f>
        <v>2541.4324000000001</v>
      </c>
      <c r="AI29" s="19">
        <f>(1 - CUSTOS!$M$27)*2541.4324</f>
        <v>2541.4324000000001</v>
      </c>
      <c r="AJ29" s="19">
        <f ca="1">$N$64*(1-CUSTOS!$M$27)</f>
        <v>3.8941567447648797</v>
      </c>
      <c r="AK29" s="19">
        <f t="shared" ca="1" si="0"/>
        <v>3.8941567447648797</v>
      </c>
      <c r="AL29" s="19"/>
      <c r="AM29" s="19"/>
      <c r="AP29" s="19">
        <f>IF((1 - CUSTOS!$M$27)&lt;&gt;0,1/(1 - CUSTOS!$M$27),1)</f>
        <v>1</v>
      </c>
    </row>
    <row r="30" spans="1:42" ht="11.25" customHeight="1" x14ac:dyDescent="0.25">
      <c r="A30" s="119" t="s">
        <v>43</v>
      </c>
      <c r="B30" s="119" t="s">
        <v>33</v>
      </c>
      <c r="C30" s="119" t="s">
        <v>44</v>
      </c>
      <c r="D30" s="119" t="s">
        <v>25</v>
      </c>
      <c r="E30" s="119" t="s">
        <v>25</v>
      </c>
      <c r="F30" s="119" t="s">
        <v>25</v>
      </c>
      <c r="G30" s="21" t="s">
        <v>81</v>
      </c>
      <c r="H30" s="21" t="s">
        <v>80</v>
      </c>
      <c r="I30" s="21">
        <f>'MERCADO TUSD'!$U$27</f>
        <v>0.27200000000000002</v>
      </c>
      <c r="J30" s="17"/>
      <c r="L30" s="19">
        <f>1*(1 - CUSTOS!$M$28)</f>
        <v>1</v>
      </c>
      <c r="M3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0.73055635798360608</v>
      </c>
      <c r="N30" s="19">
        <f ca="1">(+M30+O30+R30+U30+V30+W30+X30+Y30+Z30+AA30+AC30+AH30+AI30+AJ30+AK30)*CUSTOS!$M$5</f>
        <v>58.943185698475133</v>
      </c>
      <c r="O30" s="19">
        <f>1 - CUSTOS!$M$28</f>
        <v>1</v>
      </c>
      <c r="P30" s="19">
        <f>1 - CUSTOS!$M$28</f>
        <v>1</v>
      </c>
      <c r="Q30" s="19">
        <f>1*(1 - CUSTOS!$M$28)</f>
        <v>1</v>
      </c>
      <c r="R30" s="19">
        <f>1 - CUSTOS!$M$28</f>
        <v>1</v>
      </c>
      <c r="S30" s="19">
        <f>1 - CUSTOS!$M$28</f>
        <v>1</v>
      </c>
      <c r="T30" s="19"/>
      <c r="U30" s="19">
        <f>TRANSICAO!$U$30*CUSTOS!$T$3</f>
        <v>74.258200000000002</v>
      </c>
      <c r="V30" s="19">
        <f>TRANSICAO!$V$30*CUSTOS!$T$3</f>
        <v>10.8178</v>
      </c>
      <c r="W30" s="19">
        <f>TRANSICAO!$W$30*CUSTOS!$T$3</f>
        <v>3.3157000000000001</v>
      </c>
      <c r="X30" s="19">
        <f>TRANSICAO!$X$30*CUSTOS!$T$3</f>
        <v>0</v>
      </c>
      <c r="Y30" s="19">
        <f>TRANSICAO!$Y$30*CUSTOS!$T$3</f>
        <v>124.5339</v>
      </c>
      <c r="Z30" s="19">
        <f>TRANSICAO!$Z$30*CUSTOS!$T$3</f>
        <v>0</v>
      </c>
      <c r="AA30" s="19">
        <f>TRANSICAO!$AA$30*CUSTOS!$T$3</f>
        <v>0</v>
      </c>
      <c r="AB30" s="19">
        <f>TRANSICAO!$AB$30*CUSTOS!$T$3</f>
        <v>0</v>
      </c>
      <c r="AC30" s="19">
        <f>TRANSICAO!$AC$30*CUSTOS!$T$3</f>
        <v>588.00930000000005</v>
      </c>
      <c r="AD30" s="19">
        <f>TRANSICAO!$AD$30*CUSTOS!$T$3</f>
        <v>0</v>
      </c>
      <c r="AE30" s="19">
        <v>0</v>
      </c>
      <c r="AF30" s="19">
        <v>0</v>
      </c>
      <c r="AG30" s="19"/>
      <c r="AH30" s="19">
        <f>(1 - CUSTOS!$M$28)*2541.4324</f>
        <v>2541.4324000000001</v>
      </c>
      <c r="AI30" s="19">
        <f>(1 - CUSTOS!$M$28)*2541.4324</f>
        <v>2541.4324000000001</v>
      </c>
      <c r="AJ30" s="19">
        <f ca="1">$N$64*(1-CUSTOS!$M$28)</f>
        <v>3.8941567447648797</v>
      </c>
      <c r="AK30" s="19">
        <f t="shared" ca="1" si="0"/>
        <v>3.8941567447648797</v>
      </c>
      <c r="AL30" s="19"/>
      <c r="AM30" s="19"/>
      <c r="AP30" s="19">
        <f>IF((1 - CUSTOS!$M$28)&lt;&gt;0,1/(1 - CUSTOS!$M$28),1)</f>
        <v>1</v>
      </c>
    </row>
    <row r="31" spans="1:42" ht="11.25" customHeight="1" x14ac:dyDescent="0.25">
      <c r="A31" s="119"/>
      <c r="B31" s="119"/>
      <c r="C31" s="119"/>
      <c r="D31" s="119"/>
      <c r="E31" s="119"/>
      <c r="F31" s="119"/>
      <c r="G31" s="21" t="s">
        <v>91</v>
      </c>
      <c r="H31" s="21" t="s">
        <v>80</v>
      </c>
      <c r="I31" s="21">
        <f>'MERCADO TUSD'!$U$28</f>
        <v>0.20100000000000001</v>
      </c>
      <c r="J31" s="17"/>
      <c r="L31" s="19">
        <f>1*(1 - CUSTOS!$M$28)</f>
        <v>1</v>
      </c>
      <c r="M3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0.73055635798360608</v>
      </c>
      <c r="N31" s="19">
        <f ca="1">(+M31+O31+R31+U31+V31+W31+X31+Y31+Z31+AA31+AC31+AH31+AI31+AJ31+AK31)*CUSTOS!$M$5</f>
        <v>55.739445698475137</v>
      </c>
      <c r="O31" s="19">
        <f>1 - CUSTOS!$M$28</f>
        <v>1</v>
      </c>
      <c r="P31" s="19">
        <f>1 - CUSTOS!$M$28</f>
        <v>1</v>
      </c>
      <c r="Q31" s="19">
        <f>1*(1 - CUSTOS!$M$28)</f>
        <v>1</v>
      </c>
      <c r="R31" s="19">
        <f>1 - CUSTOS!$M$28</f>
        <v>1</v>
      </c>
      <c r="S31" s="19">
        <f>1 - CUSTOS!$M$28</f>
        <v>1</v>
      </c>
      <c r="T31" s="19"/>
      <c r="U31" s="19">
        <f>TRANSICAO!$U$31*CUSTOS!$T$3</f>
        <v>44.554900000000004</v>
      </c>
      <c r="V31" s="19">
        <f>TRANSICAO!$V$31*CUSTOS!$T$3</f>
        <v>6.4907000000000004</v>
      </c>
      <c r="W31" s="19">
        <f>TRANSICAO!$W$31*CUSTOS!$T$3</f>
        <v>1.9894000000000001</v>
      </c>
      <c r="X31" s="19">
        <f>TRANSICAO!$X$31*CUSTOS!$T$3</f>
        <v>0</v>
      </c>
      <c r="Y31" s="19">
        <f>TRANSICAO!$Y$31*CUSTOS!$T$3</f>
        <v>74.720299999999995</v>
      </c>
      <c r="Z31" s="19">
        <f>TRANSICAO!$Z$31*CUSTOS!$T$3</f>
        <v>0</v>
      </c>
      <c r="AA31" s="19">
        <f>TRANSICAO!$AA$31*CUSTOS!$T$3</f>
        <v>0</v>
      </c>
      <c r="AB31" s="19">
        <f>TRANSICAO!$AB$31*CUSTOS!$T$3</f>
        <v>0</v>
      </c>
      <c r="AC31" s="19">
        <f>TRANSICAO!$AC$31*CUSTOS!$T$3</f>
        <v>352.80560000000003</v>
      </c>
      <c r="AD31" s="19">
        <f>TRANSICAO!$AD$31*CUSTOS!$T$3</f>
        <v>0</v>
      </c>
      <c r="AE31" s="19">
        <v>0</v>
      </c>
      <c r="AF31" s="19">
        <v>0</v>
      </c>
      <c r="AG31" s="19"/>
      <c r="AH31" s="19">
        <f>(1 - CUSTOS!$M$28)*2541.4324</f>
        <v>2541.4324000000001</v>
      </c>
      <c r="AI31" s="19">
        <f>(1 - CUSTOS!$M$28)*2541.4324</f>
        <v>2541.4324000000001</v>
      </c>
      <c r="AJ31" s="19">
        <f ca="1">$N$64*(1-CUSTOS!$M$28)</f>
        <v>3.8941567447648797</v>
      </c>
      <c r="AK31" s="19">
        <f t="shared" ca="1" si="0"/>
        <v>3.8941567447648797</v>
      </c>
      <c r="AL31" s="19"/>
      <c r="AM31" s="19"/>
      <c r="AP31" s="19">
        <f>IF((1 - CUSTOS!$M$28)&lt;&gt;0,1/(1 - CUSTOS!$M$28),1)</f>
        <v>1</v>
      </c>
    </row>
    <row r="32" spans="1:42" ht="11.25" customHeight="1" x14ac:dyDescent="0.25">
      <c r="A32" s="119"/>
      <c r="B32" s="119"/>
      <c r="C32" s="119"/>
      <c r="D32" s="119"/>
      <c r="E32" s="119"/>
      <c r="F32" s="119"/>
      <c r="G32" s="21" t="s">
        <v>82</v>
      </c>
      <c r="H32" s="21" t="s">
        <v>80</v>
      </c>
      <c r="I32" s="21">
        <f>'MERCADO TUSD'!$U$29</f>
        <v>5.4039999999999999</v>
      </c>
      <c r="J32" s="17"/>
      <c r="L32" s="19">
        <f>1*(1 - CUSTOS!$M$28)</f>
        <v>1</v>
      </c>
      <c r="M32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0.73055635798360608</v>
      </c>
      <c r="N32" s="19">
        <f ca="1">(+M32+O32+R32+U32+V32+W32+X32+Y32+Z32+AA32+AC32+AH32+AI32+AJ32+AK32)*CUSTOS!$M$5</f>
        <v>52.535706698475131</v>
      </c>
      <c r="O32" s="19">
        <f>1 - CUSTOS!$M$28</f>
        <v>1</v>
      </c>
      <c r="P32" s="19">
        <f>1 - CUSTOS!$M$28</f>
        <v>1</v>
      </c>
      <c r="Q32" s="19">
        <f>1*(1 - CUSTOS!$M$28)</f>
        <v>1</v>
      </c>
      <c r="R32" s="19">
        <f>1 - CUSTOS!$M$28</f>
        <v>1</v>
      </c>
      <c r="S32" s="19">
        <f>1 - CUSTOS!$M$28</f>
        <v>1</v>
      </c>
      <c r="T32" s="19"/>
      <c r="U32" s="19">
        <f>TRANSICAO!$U$32*CUSTOS!$T$3</f>
        <v>14.851599999999999</v>
      </c>
      <c r="V32" s="19">
        <f>TRANSICAO!$V$32*CUSTOS!$T$3</f>
        <v>2.1636000000000002</v>
      </c>
      <c r="W32" s="19">
        <f>TRANSICAO!$W$32*CUSTOS!$T$3</f>
        <v>0.66310000000000002</v>
      </c>
      <c r="X32" s="19">
        <f>TRANSICAO!$X$32*CUSTOS!$T$3</f>
        <v>0</v>
      </c>
      <c r="Y32" s="19">
        <f>TRANSICAO!$Y$32*CUSTOS!$T$3</f>
        <v>24.9068</v>
      </c>
      <c r="Z32" s="19">
        <f>TRANSICAO!$Z$32*CUSTOS!$T$3</f>
        <v>0</v>
      </c>
      <c r="AA32" s="19">
        <f>TRANSICAO!$AA$32*CUSTOS!$T$3</f>
        <v>0</v>
      </c>
      <c r="AB32" s="19">
        <f>TRANSICAO!$AB$32*CUSTOS!$T$3</f>
        <v>0</v>
      </c>
      <c r="AC32" s="19">
        <f>TRANSICAO!$AC$32*CUSTOS!$T$3</f>
        <v>117.6019</v>
      </c>
      <c r="AD32" s="19">
        <f>TRANSICAO!$AD$32*CUSTOS!$T$3</f>
        <v>0</v>
      </c>
      <c r="AE32" s="19">
        <v>0</v>
      </c>
      <c r="AF32" s="19">
        <v>0</v>
      </c>
      <c r="AG32" s="19"/>
      <c r="AH32" s="19">
        <f>(1 - CUSTOS!$M$28)*2541.4324</f>
        <v>2541.4324000000001</v>
      </c>
      <c r="AI32" s="19">
        <f>(1 - CUSTOS!$M$28)*2541.4324</f>
        <v>2541.4324000000001</v>
      </c>
      <c r="AJ32" s="19">
        <f ca="1">$N$64*(1-CUSTOS!$M$28)</f>
        <v>3.8941567447648797</v>
      </c>
      <c r="AK32" s="19">
        <f t="shared" ca="1" si="0"/>
        <v>3.8941567447648797</v>
      </c>
      <c r="AL32" s="19"/>
      <c r="AM32" s="19"/>
      <c r="AP32" s="19">
        <f>IF((1 - CUSTOS!$M$28)&lt;&gt;0,1/(1 - CUSTOS!$M$28),1)</f>
        <v>1</v>
      </c>
    </row>
    <row r="33" spans="1:42" ht="11.25" customHeight="1" x14ac:dyDescent="0.25">
      <c r="A33" s="119"/>
      <c r="B33" s="22" t="s">
        <v>23</v>
      </c>
      <c r="C33" s="22" t="s">
        <v>44</v>
      </c>
      <c r="D33" s="22" t="s">
        <v>25</v>
      </c>
      <c r="E33" s="22" t="s">
        <v>25</v>
      </c>
      <c r="F33" s="22" t="s">
        <v>25</v>
      </c>
      <c r="G33" s="21" t="s">
        <v>86</v>
      </c>
      <c r="H33" s="21" t="s">
        <v>80</v>
      </c>
      <c r="I33" s="21">
        <f>'MERCADO TUSD'!$U$30</f>
        <v>183438.26899999997</v>
      </c>
      <c r="J33" s="17"/>
      <c r="L33" s="19">
        <f>1*(1 - CUSTOS!$M$28)</f>
        <v>1</v>
      </c>
      <c r="M33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0.73055635798360608</v>
      </c>
      <c r="N33" s="19">
        <f ca="1">(+M33+O33+R33+U33+V33+W33+X33+Y33+Z33+AA33+AC33+AH33+AI33+AJ33+AK33)*CUSTOS!$M$5</f>
        <v>53.189991698475133</v>
      </c>
      <c r="O33" s="19">
        <f>1 - CUSTOS!$M$28</f>
        <v>1</v>
      </c>
      <c r="P33" s="19">
        <f>1 - CUSTOS!$M$28</f>
        <v>1</v>
      </c>
      <c r="Q33" s="19">
        <f>1*(1 - CUSTOS!$M$28)</f>
        <v>1</v>
      </c>
      <c r="R33" s="19">
        <f>1 - CUSTOS!$M$28</f>
        <v>1</v>
      </c>
      <c r="S33" s="19">
        <f>1 - CUSTOS!$M$28</f>
        <v>1</v>
      </c>
      <c r="T33" s="19"/>
      <c r="U33" s="19">
        <f>TRANSICAO!$U$33*CUSTOS!$T$3</f>
        <v>20.9178</v>
      </c>
      <c r="V33" s="19">
        <f>TRANSICAO!$V$33*CUSTOS!$T$3</f>
        <v>3.0472999999999999</v>
      </c>
      <c r="W33" s="19">
        <f>TRANSICAO!$W$33*CUSTOS!$T$3</f>
        <v>0.93400000000000005</v>
      </c>
      <c r="X33" s="19">
        <f>TRANSICAO!$X$33*CUSTOS!$T$3</f>
        <v>0</v>
      </c>
      <c r="Y33" s="19">
        <f>TRANSICAO!$Y$33*CUSTOS!$T$3</f>
        <v>35.08</v>
      </c>
      <c r="Z33" s="19">
        <f>TRANSICAO!$Z$33*CUSTOS!$T$3</f>
        <v>0</v>
      </c>
      <c r="AA33" s="19">
        <f>TRANSICAO!$AA$33*CUSTOS!$T$3</f>
        <v>0</v>
      </c>
      <c r="AB33" s="19">
        <f>TRANSICAO!$AB$33*CUSTOS!$T$3</f>
        <v>0</v>
      </c>
      <c r="AC33" s="19">
        <f>TRANSICAO!$AC$33*CUSTOS!$T$3</f>
        <v>165.63640000000001</v>
      </c>
      <c r="AD33" s="19">
        <f>TRANSICAO!$AD$33*CUSTOS!$T$3</f>
        <v>0</v>
      </c>
      <c r="AE33" s="19">
        <v>0</v>
      </c>
      <c r="AF33" s="19">
        <v>0</v>
      </c>
      <c r="AG33" s="19"/>
      <c r="AH33" s="19">
        <f>(1 - CUSTOS!$M$28)*2541.4324</f>
        <v>2541.4324000000001</v>
      </c>
      <c r="AI33" s="19">
        <f>(1 - CUSTOS!$M$28)*2541.4324</f>
        <v>2541.4324000000001</v>
      </c>
      <c r="AJ33" s="19">
        <f ca="1">$N$64*(1-CUSTOS!$M$28)</f>
        <v>3.8941567447648797</v>
      </c>
      <c r="AK33" s="19">
        <f t="shared" ca="1" si="0"/>
        <v>3.8941567447648797</v>
      </c>
      <c r="AL33" s="19"/>
      <c r="AM33" s="19"/>
      <c r="AP33" s="19">
        <f>IF((1 - CUSTOS!$M$28)&lt;&gt;0,1/(1 - CUSTOS!$M$28),1)</f>
        <v>1</v>
      </c>
    </row>
    <row r="34" spans="1:42" ht="11.25" customHeight="1" x14ac:dyDescent="0.25">
      <c r="A34" s="119"/>
      <c r="B34" s="119" t="s">
        <v>33</v>
      </c>
      <c r="C34" s="119" t="s">
        <v>44</v>
      </c>
      <c r="D34" s="119" t="s">
        <v>95</v>
      </c>
      <c r="E34" s="119" t="s">
        <v>25</v>
      </c>
      <c r="F34" s="119" t="s">
        <v>25</v>
      </c>
      <c r="G34" s="21" t="s">
        <v>81</v>
      </c>
      <c r="H34" s="21" t="s">
        <v>80</v>
      </c>
      <c r="I34" s="21">
        <f>'MERCADO TUSD'!$U$31</f>
        <v>0</v>
      </c>
      <c r="J34" s="17"/>
      <c r="L34" s="19">
        <f>1*(1 - CUSTOS!$M$29)</f>
        <v>1</v>
      </c>
      <c r="M34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0.73055635798360608</v>
      </c>
      <c r="N34" s="19">
        <f ca="1">(+M34+O34+R34+U34+V34+W34+X34+Y34+Z34+AA34+AC34+AH34+AI34+AJ34+AK34)*CUSTOS!$M$5</f>
        <v>58.943185698475133</v>
      </c>
      <c r="O34" s="19">
        <f>1 - CUSTOS!$M$29</f>
        <v>1</v>
      </c>
      <c r="P34" s="19">
        <f>1 - CUSTOS!$M$29</f>
        <v>1</v>
      </c>
      <c r="Q34" s="19">
        <f>1*(1 - CUSTOS!$M$29)</f>
        <v>1</v>
      </c>
      <c r="R34" s="19">
        <f>1 - CUSTOS!$M$29</f>
        <v>1</v>
      </c>
      <c r="S34" s="19">
        <f>1 - CUSTOS!$M$29</f>
        <v>1</v>
      </c>
      <c r="T34" s="19"/>
      <c r="U34" s="19">
        <f>TRANSICAO!$U$34*CUSTOS!$T$3</f>
        <v>74.258200000000002</v>
      </c>
      <c r="V34" s="19">
        <f>TRANSICAO!$V$34*CUSTOS!$T$3</f>
        <v>10.8178</v>
      </c>
      <c r="W34" s="19">
        <f>TRANSICAO!$W$34*CUSTOS!$T$3</f>
        <v>3.3157000000000001</v>
      </c>
      <c r="X34" s="19">
        <f>TRANSICAO!$X$34*CUSTOS!$T$3</f>
        <v>0</v>
      </c>
      <c r="Y34" s="19">
        <f>TRANSICAO!$Y$34*CUSTOS!$T$3</f>
        <v>124.5339</v>
      </c>
      <c r="Z34" s="19">
        <f>TRANSICAO!$Z$34*CUSTOS!$T$3</f>
        <v>0</v>
      </c>
      <c r="AA34" s="19">
        <f>TRANSICAO!$AA$34*CUSTOS!$T$3</f>
        <v>0</v>
      </c>
      <c r="AB34" s="19">
        <f>TRANSICAO!$AB$34*CUSTOS!$T$3</f>
        <v>0</v>
      </c>
      <c r="AC34" s="19">
        <f>TRANSICAO!$AC$34*CUSTOS!$T$3</f>
        <v>588.00930000000005</v>
      </c>
      <c r="AD34" s="19">
        <f>TRANSICAO!$AD$34*CUSTOS!$T$3</f>
        <v>0</v>
      </c>
      <c r="AE34" s="19">
        <v>0</v>
      </c>
      <c r="AF34" s="19">
        <v>0</v>
      </c>
      <c r="AG34" s="19"/>
      <c r="AH34" s="19">
        <f>(1 - CUSTOS!$M$29)*2541.4324</f>
        <v>2541.4324000000001</v>
      </c>
      <c r="AI34" s="19">
        <f>(1 - CUSTOS!$M$29)*2541.4324</f>
        <v>2541.4324000000001</v>
      </c>
      <c r="AJ34" s="19">
        <f ca="1">$N$64*(1-CUSTOS!$M$29)</f>
        <v>3.8941567447648797</v>
      </c>
      <c r="AK34" s="19">
        <f t="shared" ca="1" si="0"/>
        <v>3.8941567447648797</v>
      </c>
      <c r="AL34" s="19"/>
      <c r="AM34" s="19"/>
      <c r="AP34" s="19">
        <f>IF((1 - CUSTOS!$M$29)&lt;&gt;0,1/(1 - CUSTOS!$M$29),1)</f>
        <v>1</v>
      </c>
    </row>
    <row r="35" spans="1:42" ht="11.25" customHeight="1" x14ac:dyDescent="0.25">
      <c r="A35" s="119"/>
      <c r="B35" s="119"/>
      <c r="C35" s="119"/>
      <c r="D35" s="119"/>
      <c r="E35" s="119"/>
      <c r="F35" s="119"/>
      <c r="G35" s="21" t="s">
        <v>91</v>
      </c>
      <c r="H35" s="21" t="s">
        <v>80</v>
      </c>
      <c r="I35" s="21">
        <f>'MERCADO TUSD'!$U$32</f>
        <v>0</v>
      </c>
      <c r="J35" s="17"/>
      <c r="L35" s="19">
        <f>1*(1 - CUSTOS!$M$29)</f>
        <v>1</v>
      </c>
      <c r="M35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0.73055635798360608</v>
      </c>
      <c r="N35" s="19">
        <f ca="1">(+M35+O35+R35+U35+V35+W35+X35+Y35+Z35+AA35+AC35+AH35+AI35+AJ35+AK35)*CUSTOS!$M$5</f>
        <v>55.739445698475137</v>
      </c>
      <c r="O35" s="19">
        <f>1 - CUSTOS!$M$29</f>
        <v>1</v>
      </c>
      <c r="P35" s="19">
        <f>1 - CUSTOS!$M$29</f>
        <v>1</v>
      </c>
      <c r="Q35" s="19">
        <f>1*(1 - CUSTOS!$M$29)</f>
        <v>1</v>
      </c>
      <c r="R35" s="19">
        <f>1 - CUSTOS!$M$29</f>
        <v>1</v>
      </c>
      <c r="S35" s="19">
        <f>1 - CUSTOS!$M$29</f>
        <v>1</v>
      </c>
      <c r="T35" s="19"/>
      <c r="U35" s="19">
        <f>TRANSICAO!$U$35*CUSTOS!$T$3</f>
        <v>44.554900000000004</v>
      </c>
      <c r="V35" s="19">
        <f>TRANSICAO!$V$35*CUSTOS!$T$3</f>
        <v>6.4907000000000004</v>
      </c>
      <c r="W35" s="19">
        <f>TRANSICAO!$W$35*CUSTOS!$T$3</f>
        <v>1.9894000000000001</v>
      </c>
      <c r="X35" s="19">
        <f>TRANSICAO!$X$35*CUSTOS!$T$3</f>
        <v>0</v>
      </c>
      <c r="Y35" s="19">
        <f>TRANSICAO!$Y$35*CUSTOS!$T$3</f>
        <v>74.720299999999995</v>
      </c>
      <c r="Z35" s="19">
        <f>TRANSICAO!$Z$35*CUSTOS!$T$3</f>
        <v>0</v>
      </c>
      <c r="AA35" s="19">
        <f>TRANSICAO!$AA$35*CUSTOS!$T$3</f>
        <v>0</v>
      </c>
      <c r="AB35" s="19">
        <f>TRANSICAO!$AB$35*CUSTOS!$T$3</f>
        <v>0</v>
      </c>
      <c r="AC35" s="19">
        <f>TRANSICAO!$AC$35*CUSTOS!$T$3</f>
        <v>352.80560000000003</v>
      </c>
      <c r="AD35" s="19">
        <f>TRANSICAO!$AD$35*CUSTOS!$T$3</f>
        <v>0</v>
      </c>
      <c r="AE35" s="19">
        <v>0</v>
      </c>
      <c r="AF35" s="19">
        <v>0</v>
      </c>
      <c r="AG35" s="19"/>
      <c r="AH35" s="19">
        <f>(1 - CUSTOS!$M$29)*2541.4324</f>
        <v>2541.4324000000001</v>
      </c>
      <c r="AI35" s="19">
        <f>(1 - CUSTOS!$M$29)*2541.4324</f>
        <v>2541.4324000000001</v>
      </c>
      <c r="AJ35" s="19">
        <f ca="1">$N$64*(1-CUSTOS!$M$29)</f>
        <v>3.8941567447648797</v>
      </c>
      <c r="AK35" s="19">
        <f t="shared" ca="1" si="0"/>
        <v>3.8941567447648797</v>
      </c>
      <c r="AL35" s="19"/>
      <c r="AM35" s="19"/>
      <c r="AP35" s="19">
        <f>IF((1 - CUSTOS!$M$29)&lt;&gt;0,1/(1 - CUSTOS!$M$29),1)</f>
        <v>1</v>
      </c>
    </row>
    <row r="36" spans="1:42" ht="11.25" customHeight="1" x14ac:dyDescent="0.25">
      <c r="A36" s="119"/>
      <c r="B36" s="119"/>
      <c r="C36" s="119"/>
      <c r="D36" s="119"/>
      <c r="E36" s="119"/>
      <c r="F36" s="119"/>
      <c r="G36" s="21" t="s">
        <v>82</v>
      </c>
      <c r="H36" s="21" t="s">
        <v>80</v>
      </c>
      <c r="I36" s="21">
        <f>'MERCADO TUSD'!$U$33</f>
        <v>0</v>
      </c>
      <c r="J36" s="17"/>
      <c r="L36" s="19">
        <f>1*(1 - CUSTOS!$M$29)</f>
        <v>1</v>
      </c>
      <c r="M36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0.73055635798360608</v>
      </c>
      <c r="N36" s="19">
        <f ca="1">(+M36+O36+R36+U36+V36+W36+X36+Y36+Z36+AA36+AC36+AH36+AI36+AJ36+AK36)*CUSTOS!$M$5</f>
        <v>52.535706698475131</v>
      </c>
      <c r="O36" s="19">
        <f>1 - CUSTOS!$M$29</f>
        <v>1</v>
      </c>
      <c r="P36" s="19">
        <f>1 - CUSTOS!$M$29</f>
        <v>1</v>
      </c>
      <c r="Q36" s="19">
        <f>1*(1 - CUSTOS!$M$29)</f>
        <v>1</v>
      </c>
      <c r="R36" s="19">
        <f>1 - CUSTOS!$M$29</f>
        <v>1</v>
      </c>
      <c r="S36" s="19">
        <f>1 - CUSTOS!$M$29</f>
        <v>1</v>
      </c>
      <c r="T36" s="19"/>
      <c r="U36" s="19">
        <f>TRANSICAO!$U$36*CUSTOS!$T$3</f>
        <v>14.851599999999999</v>
      </c>
      <c r="V36" s="19">
        <f>TRANSICAO!$V$36*CUSTOS!$T$3</f>
        <v>2.1636000000000002</v>
      </c>
      <c r="W36" s="19">
        <f>TRANSICAO!$W$36*CUSTOS!$T$3</f>
        <v>0.66310000000000002</v>
      </c>
      <c r="X36" s="19">
        <f>TRANSICAO!$X$36*CUSTOS!$T$3</f>
        <v>0</v>
      </c>
      <c r="Y36" s="19">
        <f>TRANSICAO!$Y$36*CUSTOS!$T$3</f>
        <v>24.9068</v>
      </c>
      <c r="Z36" s="19">
        <f>TRANSICAO!$Z$36*CUSTOS!$T$3</f>
        <v>0</v>
      </c>
      <c r="AA36" s="19">
        <f>TRANSICAO!$AA$36*CUSTOS!$T$3</f>
        <v>0</v>
      </c>
      <c r="AB36" s="19">
        <f>TRANSICAO!$AB$36*CUSTOS!$T$3</f>
        <v>0</v>
      </c>
      <c r="AC36" s="19">
        <f>TRANSICAO!$AC$36*CUSTOS!$T$3</f>
        <v>117.6019</v>
      </c>
      <c r="AD36" s="19">
        <f>TRANSICAO!$AD$36*CUSTOS!$T$3</f>
        <v>0</v>
      </c>
      <c r="AE36" s="19">
        <v>0</v>
      </c>
      <c r="AF36" s="19">
        <v>0</v>
      </c>
      <c r="AG36" s="19"/>
      <c r="AH36" s="19">
        <f>(1 - CUSTOS!$M$29)*2541.4324</f>
        <v>2541.4324000000001</v>
      </c>
      <c r="AI36" s="19">
        <f>(1 - CUSTOS!$M$29)*2541.4324</f>
        <v>2541.4324000000001</v>
      </c>
      <c r="AJ36" s="19">
        <f ca="1">$N$64*(1-CUSTOS!$M$29)</f>
        <v>3.8941567447648797</v>
      </c>
      <c r="AK36" s="19">
        <f t="shared" ca="1" si="0"/>
        <v>3.8941567447648797</v>
      </c>
      <c r="AL36" s="19"/>
      <c r="AM36" s="19"/>
      <c r="AP36" s="19">
        <f>IF((1 - CUSTOS!$M$29)&lt;&gt;0,1/(1 - CUSTOS!$M$29),1)</f>
        <v>1</v>
      </c>
    </row>
    <row r="37" spans="1:42" ht="11.25" customHeight="1" x14ac:dyDescent="0.25">
      <c r="A37" s="119"/>
      <c r="B37" s="22" t="s">
        <v>23</v>
      </c>
      <c r="C37" s="22" t="s">
        <v>44</v>
      </c>
      <c r="D37" s="22" t="s">
        <v>95</v>
      </c>
      <c r="E37" s="22" t="s">
        <v>25</v>
      </c>
      <c r="F37" s="22" t="s">
        <v>25</v>
      </c>
      <c r="G37" s="21" t="s">
        <v>86</v>
      </c>
      <c r="H37" s="21" t="s">
        <v>80</v>
      </c>
      <c r="I37" s="21">
        <f>'MERCADO TUSD'!$U$34</f>
        <v>0</v>
      </c>
      <c r="J37" s="17"/>
      <c r="L37" s="19">
        <f>1*(1 - CUSTOS!$M$29)</f>
        <v>1</v>
      </c>
      <c r="M3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0.73055635798360608</v>
      </c>
      <c r="N37" s="19">
        <f ca="1">(+M37+O37+R37+U37+V37+W37+X37+Y37+Z37+AA37+AC37+AH37+AI37+AJ37+AK37)*CUSTOS!$M$5</f>
        <v>53.189991698475133</v>
      </c>
      <c r="O37" s="19">
        <f>1 - CUSTOS!$M$29</f>
        <v>1</v>
      </c>
      <c r="P37" s="19">
        <f>1 - CUSTOS!$M$29</f>
        <v>1</v>
      </c>
      <c r="Q37" s="19">
        <f>1*(1 - CUSTOS!$M$29)</f>
        <v>1</v>
      </c>
      <c r="R37" s="19">
        <f>1 - CUSTOS!$M$29</f>
        <v>1</v>
      </c>
      <c r="S37" s="19">
        <f>1 - CUSTOS!$M$29</f>
        <v>1</v>
      </c>
      <c r="T37" s="19"/>
      <c r="U37" s="19">
        <f>TRANSICAO!$U$37*CUSTOS!$T$3</f>
        <v>20.9178</v>
      </c>
      <c r="V37" s="19">
        <f>TRANSICAO!$V$37*CUSTOS!$T$3</f>
        <v>3.0472999999999999</v>
      </c>
      <c r="W37" s="19">
        <f>TRANSICAO!$W$37*CUSTOS!$T$3</f>
        <v>0.93400000000000005</v>
      </c>
      <c r="X37" s="19">
        <f>TRANSICAO!$X$37*CUSTOS!$T$3</f>
        <v>0</v>
      </c>
      <c r="Y37" s="19">
        <f>TRANSICAO!$Y$37*CUSTOS!$T$3</f>
        <v>35.08</v>
      </c>
      <c r="Z37" s="19">
        <f>TRANSICAO!$Z$37*CUSTOS!$T$3</f>
        <v>0</v>
      </c>
      <c r="AA37" s="19">
        <f>TRANSICAO!$AA$37*CUSTOS!$T$3</f>
        <v>0</v>
      </c>
      <c r="AB37" s="19">
        <f>TRANSICAO!$AB$37*CUSTOS!$T$3</f>
        <v>0</v>
      </c>
      <c r="AC37" s="19">
        <f>TRANSICAO!$AC$37*CUSTOS!$T$3</f>
        <v>165.63640000000001</v>
      </c>
      <c r="AD37" s="19">
        <f>TRANSICAO!$AD$37*CUSTOS!$T$3</f>
        <v>0</v>
      </c>
      <c r="AE37" s="19">
        <v>0</v>
      </c>
      <c r="AF37" s="19">
        <v>0</v>
      </c>
      <c r="AG37" s="19"/>
      <c r="AH37" s="19">
        <f>(1 - CUSTOS!$M$29)*2541.4324</f>
        <v>2541.4324000000001</v>
      </c>
      <c r="AI37" s="19">
        <f>(1 - CUSTOS!$M$29)*2541.4324</f>
        <v>2541.4324000000001</v>
      </c>
      <c r="AJ37" s="19">
        <f ca="1">$N$64*(1-CUSTOS!$M$29)</f>
        <v>3.8941567447648797</v>
      </c>
      <c r="AK37" s="19">
        <f t="shared" ca="1" si="0"/>
        <v>3.8941567447648797</v>
      </c>
      <c r="AL37" s="19"/>
      <c r="AM37" s="19"/>
      <c r="AP37" s="19">
        <f>IF((1 - CUSTOS!$M$29)&lt;&gt;0,1/(1 - CUSTOS!$M$29),1)</f>
        <v>1</v>
      </c>
    </row>
    <row r="38" spans="1:42" ht="11.25" customHeight="1" x14ac:dyDescent="0.25">
      <c r="A38" s="119"/>
      <c r="B38" s="119" t="s">
        <v>33</v>
      </c>
      <c r="C38" s="119" t="s">
        <v>44</v>
      </c>
      <c r="D38" s="119" t="s">
        <v>55</v>
      </c>
      <c r="E38" s="119" t="s">
        <v>25</v>
      </c>
      <c r="F38" s="119" t="s">
        <v>25</v>
      </c>
      <c r="G38" s="21" t="s">
        <v>81</v>
      </c>
      <c r="H38" s="21" t="s">
        <v>80</v>
      </c>
      <c r="I38" s="21">
        <f>'MERCADO TUSD'!$U$35</f>
        <v>0</v>
      </c>
      <c r="J38" s="17"/>
      <c r="L38" s="19">
        <f>1*(1 - CUSTOS!$M$30)</f>
        <v>1</v>
      </c>
      <c r="M3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0.73055635798360608</v>
      </c>
      <c r="N38" s="19">
        <f ca="1">(+M38+O38+R38+U38+V38+W38+X38+Y38+Z38+AA38+AC38+AH38+AI38+AJ38+AK38)*CUSTOS!$M$5</f>
        <v>58.943185698475133</v>
      </c>
      <c r="O38" s="19">
        <f>1 - CUSTOS!$M$30</f>
        <v>1</v>
      </c>
      <c r="P38" s="19">
        <f>1 - CUSTOS!$M$30</f>
        <v>1</v>
      </c>
      <c r="Q38" s="19">
        <f>1*(1 - CUSTOS!$M$30)</f>
        <v>1</v>
      </c>
      <c r="R38" s="19">
        <f>1 - CUSTOS!$M$30</f>
        <v>1</v>
      </c>
      <c r="S38" s="19">
        <f>1 - CUSTOS!$M$30</f>
        <v>1</v>
      </c>
      <c r="T38" s="19"/>
      <c r="U38" s="19">
        <f>TRANSICAO!$U$38*CUSTOS!$T$3</f>
        <v>74.258200000000002</v>
      </c>
      <c r="V38" s="19">
        <f>TRANSICAO!$V$38*CUSTOS!$T$3</f>
        <v>10.8178</v>
      </c>
      <c r="W38" s="19">
        <f>TRANSICAO!$W$38*CUSTOS!$T$3</f>
        <v>3.3157000000000001</v>
      </c>
      <c r="X38" s="19">
        <f>TRANSICAO!$X$38*CUSTOS!$T$3</f>
        <v>0</v>
      </c>
      <c r="Y38" s="19">
        <f>TRANSICAO!$Y$38*CUSTOS!$T$3</f>
        <v>124.5339</v>
      </c>
      <c r="Z38" s="19">
        <f>TRANSICAO!$Z$38*CUSTOS!$T$3</f>
        <v>0</v>
      </c>
      <c r="AA38" s="19">
        <f>TRANSICAO!$AA$38*CUSTOS!$T$3</f>
        <v>0</v>
      </c>
      <c r="AB38" s="19">
        <f>TRANSICAO!$AB$38*CUSTOS!$T$3</f>
        <v>0</v>
      </c>
      <c r="AC38" s="19">
        <f>TRANSICAO!$AC$38*CUSTOS!$T$3</f>
        <v>588.00930000000005</v>
      </c>
      <c r="AD38" s="19">
        <f>TRANSICAO!$AD$38*CUSTOS!$T$3</f>
        <v>0</v>
      </c>
      <c r="AE38" s="19">
        <v>0</v>
      </c>
      <c r="AF38" s="19">
        <v>0</v>
      </c>
      <c r="AG38" s="19"/>
      <c r="AH38" s="19">
        <f>(1 - CUSTOS!$M$30)*2541.4324</f>
        <v>2541.4324000000001</v>
      </c>
      <c r="AI38" s="19">
        <f>(1 - CUSTOS!$M$30)*2541.4324</f>
        <v>2541.4324000000001</v>
      </c>
      <c r="AJ38" s="19">
        <f ca="1">$N$64*(1-CUSTOS!$M$30)</f>
        <v>3.8941567447648797</v>
      </c>
      <c r="AK38" s="19">
        <f t="shared" ca="1" si="0"/>
        <v>3.8941567447648797</v>
      </c>
      <c r="AL38" s="19"/>
      <c r="AM38" s="19"/>
      <c r="AP38" s="19">
        <f>IF((1 - CUSTOS!$M$30)&lt;&gt;0,1/(1 - CUSTOS!$M$30),1)</f>
        <v>1</v>
      </c>
    </row>
    <row r="39" spans="1:42" ht="11.25" customHeight="1" x14ac:dyDescent="0.25">
      <c r="A39" s="119"/>
      <c r="B39" s="119"/>
      <c r="C39" s="119"/>
      <c r="D39" s="119"/>
      <c r="E39" s="119"/>
      <c r="F39" s="119"/>
      <c r="G39" s="21" t="s">
        <v>91</v>
      </c>
      <c r="H39" s="21" t="s">
        <v>80</v>
      </c>
      <c r="I39" s="21">
        <f>'MERCADO TUSD'!$U$36</f>
        <v>0</v>
      </c>
      <c r="J39" s="17"/>
      <c r="L39" s="19">
        <f>1*(1 - CUSTOS!$M$30)</f>
        <v>1</v>
      </c>
      <c r="M3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0.73055635798360608</v>
      </c>
      <c r="N39" s="19">
        <f ca="1">(+M39+O39+R39+U39+V39+W39+X39+Y39+Z39+AA39+AC39+AH39+AI39+AJ39+AK39)*CUSTOS!$M$5</f>
        <v>55.739445698475137</v>
      </c>
      <c r="O39" s="19">
        <f>1 - CUSTOS!$M$30</f>
        <v>1</v>
      </c>
      <c r="P39" s="19">
        <f>1 - CUSTOS!$M$30</f>
        <v>1</v>
      </c>
      <c r="Q39" s="19">
        <f>1*(1 - CUSTOS!$M$30)</f>
        <v>1</v>
      </c>
      <c r="R39" s="19">
        <f>1 - CUSTOS!$M$30</f>
        <v>1</v>
      </c>
      <c r="S39" s="19">
        <f>1 - CUSTOS!$M$30</f>
        <v>1</v>
      </c>
      <c r="T39" s="19"/>
      <c r="U39" s="19">
        <f>TRANSICAO!$U$39*CUSTOS!$T$3</f>
        <v>44.554900000000004</v>
      </c>
      <c r="V39" s="19">
        <f>TRANSICAO!$V$39*CUSTOS!$T$3</f>
        <v>6.4907000000000004</v>
      </c>
      <c r="W39" s="19">
        <f>TRANSICAO!$W$39*CUSTOS!$T$3</f>
        <v>1.9894000000000001</v>
      </c>
      <c r="X39" s="19">
        <f>TRANSICAO!$X$39*CUSTOS!$T$3</f>
        <v>0</v>
      </c>
      <c r="Y39" s="19">
        <f>TRANSICAO!$Y$39*CUSTOS!$T$3</f>
        <v>74.720299999999995</v>
      </c>
      <c r="Z39" s="19">
        <f>TRANSICAO!$Z$39*CUSTOS!$T$3</f>
        <v>0</v>
      </c>
      <c r="AA39" s="19">
        <f>TRANSICAO!$AA$39*CUSTOS!$T$3</f>
        <v>0</v>
      </c>
      <c r="AB39" s="19">
        <f>TRANSICAO!$AB$39*CUSTOS!$T$3</f>
        <v>0</v>
      </c>
      <c r="AC39" s="19">
        <f>TRANSICAO!$AC$39*CUSTOS!$T$3</f>
        <v>352.80560000000003</v>
      </c>
      <c r="AD39" s="19">
        <f>TRANSICAO!$AD$39*CUSTOS!$T$3</f>
        <v>0</v>
      </c>
      <c r="AE39" s="19">
        <v>0</v>
      </c>
      <c r="AF39" s="19">
        <v>0</v>
      </c>
      <c r="AG39" s="19"/>
      <c r="AH39" s="19">
        <f>(1 - CUSTOS!$M$30)*2541.4324</f>
        <v>2541.4324000000001</v>
      </c>
      <c r="AI39" s="19">
        <f>(1 - CUSTOS!$M$30)*2541.4324</f>
        <v>2541.4324000000001</v>
      </c>
      <c r="AJ39" s="19">
        <f ca="1">$N$64*(1-CUSTOS!$M$30)</f>
        <v>3.8941567447648797</v>
      </c>
      <c r="AK39" s="19">
        <f t="shared" ca="1" si="0"/>
        <v>3.8941567447648797</v>
      </c>
      <c r="AL39" s="19"/>
      <c r="AM39" s="19"/>
      <c r="AP39" s="19">
        <f>IF((1 - CUSTOS!$M$30)&lt;&gt;0,1/(1 - CUSTOS!$M$30),1)</f>
        <v>1</v>
      </c>
    </row>
    <row r="40" spans="1:42" ht="11.25" customHeight="1" x14ac:dyDescent="0.25">
      <c r="A40" s="119"/>
      <c r="B40" s="119"/>
      <c r="C40" s="119"/>
      <c r="D40" s="119"/>
      <c r="E40" s="119"/>
      <c r="F40" s="119"/>
      <c r="G40" s="21" t="s">
        <v>82</v>
      </c>
      <c r="H40" s="21" t="s">
        <v>80</v>
      </c>
      <c r="I40" s="21">
        <f>'MERCADO TUSD'!$U$37</f>
        <v>0</v>
      </c>
      <c r="J40" s="17"/>
      <c r="L40" s="19">
        <f>1*(1 - CUSTOS!$M$30)</f>
        <v>1</v>
      </c>
      <c r="M4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0.73055635798360608</v>
      </c>
      <c r="N40" s="19">
        <f ca="1">(+M40+O40+R40+U40+V40+W40+X40+Y40+Z40+AA40+AC40+AH40+AI40+AJ40+AK40)*CUSTOS!$M$5</f>
        <v>52.535706698475131</v>
      </c>
      <c r="O40" s="19">
        <f>1 - CUSTOS!$M$30</f>
        <v>1</v>
      </c>
      <c r="P40" s="19">
        <f>1 - CUSTOS!$M$30</f>
        <v>1</v>
      </c>
      <c r="Q40" s="19">
        <f>1*(1 - CUSTOS!$M$30)</f>
        <v>1</v>
      </c>
      <c r="R40" s="19">
        <f>1 - CUSTOS!$M$30</f>
        <v>1</v>
      </c>
      <c r="S40" s="19">
        <f>1 - CUSTOS!$M$30</f>
        <v>1</v>
      </c>
      <c r="T40" s="19"/>
      <c r="U40" s="19">
        <f>TRANSICAO!$U$40*CUSTOS!$T$3</f>
        <v>14.851599999999999</v>
      </c>
      <c r="V40" s="19">
        <f>TRANSICAO!$V$40*CUSTOS!$T$3</f>
        <v>2.1636000000000002</v>
      </c>
      <c r="W40" s="19">
        <f>TRANSICAO!$W$40*CUSTOS!$T$3</f>
        <v>0.66310000000000002</v>
      </c>
      <c r="X40" s="19">
        <f>TRANSICAO!$X$40*CUSTOS!$T$3</f>
        <v>0</v>
      </c>
      <c r="Y40" s="19">
        <f>TRANSICAO!$Y$40*CUSTOS!$T$3</f>
        <v>24.9068</v>
      </c>
      <c r="Z40" s="19">
        <f>TRANSICAO!$Z$40*CUSTOS!$T$3</f>
        <v>0</v>
      </c>
      <c r="AA40" s="19">
        <f>TRANSICAO!$AA$40*CUSTOS!$T$3</f>
        <v>0</v>
      </c>
      <c r="AB40" s="19">
        <f>TRANSICAO!$AB$40*CUSTOS!$T$3</f>
        <v>0</v>
      </c>
      <c r="AC40" s="19">
        <f>TRANSICAO!$AC$40*CUSTOS!$T$3</f>
        <v>117.6019</v>
      </c>
      <c r="AD40" s="19">
        <f>TRANSICAO!$AD$40*CUSTOS!$T$3</f>
        <v>0</v>
      </c>
      <c r="AE40" s="19">
        <v>0</v>
      </c>
      <c r="AF40" s="19">
        <v>0</v>
      </c>
      <c r="AG40" s="19"/>
      <c r="AH40" s="19">
        <f>(1 - CUSTOS!$M$30)*2541.4324</f>
        <v>2541.4324000000001</v>
      </c>
      <c r="AI40" s="19">
        <f>(1 - CUSTOS!$M$30)*2541.4324</f>
        <v>2541.4324000000001</v>
      </c>
      <c r="AJ40" s="19">
        <f ca="1">$N$64*(1-CUSTOS!$M$30)</f>
        <v>3.8941567447648797</v>
      </c>
      <c r="AK40" s="19">
        <f t="shared" ca="1" si="0"/>
        <v>3.8941567447648797</v>
      </c>
      <c r="AL40" s="19"/>
      <c r="AM40" s="19"/>
      <c r="AP40" s="19">
        <f>IF((1 - CUSTOS!$M$30)&lt;&gt;0,1/(1 - CUSTOS!$M$30),1)</f>
        <v>1</v>
      </c>
    </row>
    <row r="41" spans="1:42" ht="11.25" customHeight="1" x14ac:dyDescent="0.25">
      <c r="A41" s="119"/>
      <c r="B41" s="22" t="s">
        <v>23</v>
      </c>
      <c r="C41" s="22" t="s">
        <v>44</v>
      </c>
      <c r="D41" s="22" t="s">
        <v>55</v>
      </c>
      <c r="E41" s="22" t="s">
        <v>25</v>
      </c>
      <c r="F41" s="22" t="s">
        <v>25</v>
      </c>
      <c r="G41" s="21" t="s">
        <v>86</v>
      </c>
      <c r="H41" s="21" t="s">
        <v>80</v>
      </c>
      <c r="I41" s="21">
        <f>'MERCADO TUSD'!$U$38</f>
        <v>29.929000000000002</v>
      </c>
      <c r="J41" s="17"/>
      <c r="L41" s="19">
        <f>1*(1 - CUSTOS!$M$30)</f>
        <v>1</v>
      </c>
      <c r="M4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0.73055635798360608</v>
      </c>
      <c r="N41" s="19">
        <f ca="1">(+M41+O41+R41+U41+V41+W41+X41+Y41+Z41+AA41+AC41+AH41+AI41+AJ41+AK41)*CUSTOS!$M$5</f>
        <v>53.189991698475133</v>
      </c>
      <c r="O41" s="19">
        <f>1 - CUSTOS!$M$30</f>
        <v>1</v>
      </c>
      <c r="P41" s="19">
        <f>1 - CUSTOS!$M$30</f>
        <v>1</v>
      </c>
      <c r="Q41" s="19">
        <f>1*(1 - CUSTOS!$M$30)</f>
        <v>1</v>
      </c>
      <c r="R41" s="19">
        <f>1 - CUSTOS!$M$30</f>
        <v>1</v>
      </c>
      <c r="S41" s="19">
        <f>1 - CUSTOS!$M$30</f>
        <v>1</v>
      </c>
      <c r="T41" s="19"/>
      <c r="U41" s="19">
        <f>TRANSICAO!$U$41*CUSTOS!$T$3</f>
        <v>20.9178</v>
      </c>
      <c r="V41" s="19">
        <f>TRANSICAO!$V$41*CUSTOS!$T$3</f>
        <v>3.0472999999999999</v>
      </c>
      <c r="W41" s="19">
        <f>TRANSICAO!$W$41*CUSTOS!$T$3</f>
        <v>0.93400000000000005</v>
      </c>
      <c r="X41" s="19">
        <f>TRANSICAO!$X$41*CUSTOS!$T$3</f>
        <v>0</v>
      </c>
      <c r="Y41" s="19">
        <f>TRANSICAO!$Y$41*CUSTOS!$T$3</f>
        <v>35.08</v>
      </c>
      <c r="Z41" s="19">
        <f>TRANSICAO!$Z$41*CUSTOS!$T$3</f>
        <v>0</v>
      </c>
      <c r="AA41" s="19">
        <f>TRANSICAO!$AA$41*CUSTOS!$T$3</f>
        <v>0</v>
      </c>
      <c r="AB41" s="19">
        <f>TRANSICAO!$AB$41*CUSTOS!$T$3</f>
        <v>0</v>
      </c>
      <c r="AC41" s="19">
        <f>TRANSICAO!$AC$41*CUSTOS!$T$3</f>
        <v>165.63640000000001</v>
      </c>
      <c r="AD41" s="19">
        <f>TRANSICAO!$AD$41*CUSTOS!$T$3</f>
        <v>0</v>
      </c>
      <c r="AE41" s="19">
        <v>0</v>
      </c>
      <c r="AF41" s="19">
        <v>0</v>
      </c>
      <c r="AG41" s="19"/>
      <c r="AH41" s="19">
        <f>(1 - CUSTOS!$M$30)*2541.4324</f>
        <v>2541.4324000000001</v>
      </c>
      <c r="AI41" s="19">
        <f>(1 - CUSTOS!$M$30)*2541.4324</f>
        <v>2541.4324000000001</v>
      </c>
      <c r="AJ41" s="19">
        <f ca="1">$N$64*(1-CUSTOS!$M$30)</f>
        <v>3.8941567447648797</v>
      </c>
      <c r="AK41" s="19">
        <f t="shared" ca="1" si="0"/>
        <v>3.8941567447648797</v>
      </c>
      <c r="AL41" s="19"/>
      <c r="AM41" s="19"/>
      <c r="AP41" s="19">
        <f>IF((1 - CUSTOS!$M$30)&lt;&gt;0,1/(1 - CUSTOS!$M$30),1)</f>
        <v>1</v>
      </c>
    </row>
    <row r="42" spans="1:42" ht="11.25" customHeight="1" x14ac:dyDescent="0.25">
      <c r="A42" s="119"/>
      <c r="B42" s="119" t="s">
        <v>94</v>
      </c>
      <c r="C42" s="119" t="s">
        <v>44</v>
      </c>
      <c r="D42" s="22" t="s">
        <v>25</v>
      </c>
      <c r="E42" s="22" t="s">
        <v>25</v>
      </c>
      <c r="F42" s="22" t="s">
        <v>25</v>
      </c>
      <c r="G42" s="21" t="s">
        <v>86</v>
      </c>
      <c r="H42" s="21" t="s">
        <v>80</v>
      </c>
      <c r="I42" s="21">
        <f>'MERCADO TUSD'!$U$39</f>
        <v>0</v>
      </c>
      <c r="J42" s="17"/>
      <c r="L42" s="19">
        <f>1*(1 - CUSTOS!$M$28)</f>
        <v>1</v>
      </c>
      <c r="M42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0.73055635798360608</v>
      </c>
      <c r="N42" s="19">
        <f ca="1">(+M42+O42+R42+U42+V42+W42+X42+Y42+Z42+AA42+AC42+AH42+AI42+AJ42+AK42)*CUSTOS!$M$5</f>
        <v>53.189991698475133</v>
      </c>
      <c r="O42" s="19">
        <f>1 - CUSTOS!$M$28</f>
        <v>1</v>
      </c>
      <c r="P42" s="19">
        <f>1 - CUSTOS!$M$28</f>
        <v>1</v>
      </c>
      <c r="Q42" s="19">
        <f>1*(1 - CUSTOS!$M$28)</f>
        <v>1</v>
      </c>
      <c r="R42" s="19">
        <f>1 - CUSTOS!$M$28</f>
        <v>1</v>
      </c>
      <c r="S42" s="19">
        <f>1 - CUSTOS!$M$28</f>
        <v>1</v>
      </c>
      <c r="T42" s="19"/>
      <c r="U42" s="19">
        <f>TRANSICAO!$U$42*CUSTOS!$T$3</f>
        <v>20.9178</v>
      </c>
      <c r="V42" s="19">
        <f>TRANSICAO!$V$42*CUSTOS!$T$3</f>
        <v>3.0472999999999999</v>
      </c>
      <c r="W42" s="19">
        <f>TRANSICAO!$W$42*CUSTOS!$T$3</f>
        <v>0.93400000000000005</v>
      </c>
      <c r="X42" s="19">
        <f>TRANSICAO!$X$42*CUSTOS!$T$3</f>
        <v>0</v>
      </c>
      <c r="Y42" s="19">
        <f>TRANSICAO!$Y$42*CUSTOS!$T$3</f>
        <v>35.08</v>
      </c>
      <c r="Z42" s="19">
        <f>TRANSICAO!$Z$42*CUSTOS!$T$3</f>
        <v>0</v>
      </c>
      <c r="AA42" s="19">
        <f>TRANSICAO!$AA$42*CUSTOS!$T$3</f>
        <v>0</v>
      </c>
      <c r="AB42" s="19">
        <f>TRANSICAO!$AB$42*CUSTOS!$T$3</f>
        <v>0</v>
      </c>
      <c r="AC42" s="19">
        <f>TRANSICAO!$AC$42*CUSTOS!$T$3</f>
        <v>165.63640000000001</v>
      </c>
      <c r="AD42" s="19">
        <f>TRANSICAO!$AD$42*CUSTOS!$T$3</f>
        <v>0</v>
      </c>
      <c r="AE42" s="19">
        <v>0</v>
      </c>
      <c r="AF42" s="19">
        <v>0</v>
      </c>
      <c r="AG42" s="19"/>
      <c r="AH42" s="19">
        <f>(1 - CUSTOS!$M$28)*2541.4324</f>
        <v>2541.4324000000001</v>
      </c>
      <c r="AI42" s="19">
        <f>(1 - CUSTOS!$M$28)*2541.4324</f>
        <v>2541.4324000000001</v>
      </c>
      <c r="AJ42" s="19">
        <f ca="1">$N$64*(1-CUSTOS!$M$28)</f>
        <v>3.8941567447648797</v>
      </c>
      <c r="AK42" s="19">
        <f t="shared" ca="1" si="0"/>
        <v>3.8941567447648797</v>
      </c>
      <c r="AL42" s="19"/>
      <c r="AM42" s="19"/>
      <c r="AP42" s="19">
        <f>IF((1 - CUSTOS!$M$28)&lt;&gt;0,1/(1 - CUSTOS!$M$28),1)</f>
        <v>1</v>
      </c>
    </row>
    <row r="43" spans="1:42" ht="11.25" customHeight="1" x14ac:dyDescent="0.25">
      <c r="A43" s="119"/>
      <c r="B43" s="119"/>
      <c r="C43" s="119"/>
      <c r="D43" s="22" t="s">
        <v>95</v>
      </c>
      <c r="E43" s="22" t="s">
        <v>25</v>
      </c>
      <c r="F43" s="22" t="s">
        <v>25</v>
      </c>
      <c r="G43" s="21" t="s">
        <v>86</v>
      </c>
      <c r="H43" s="21" t="s">
        <v>80</v>
      </c>
      <c r="I43" s="21">
        <f>'MERCADO TUSD'!$U$40</f>
        <v>0</v>
      </c>
      <c r="J43" s="17"/>
      <c r="L43" s="19">
        <f>1*(1 - CUSTOS!$M$29)</f>
        <v>1</v>
      </c>
      <c r="M43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0.73055635798360608</v>
      </c>
      <c r="N43" s="19">
        <f ca="1">(+M43+O43+R43+U43+V43+W43+X43+Y43+Z43+AA43+AC43+AH43+AI43+AJ43+AK43)*CUSTOS!$M$5</f>
        <v>53.189991698475133</v>
      </c>
      <c r="O43" s="19">
        <f>1 - CUSTOS!$M$29</f>
        <v>1</v>
      </c>
      <c r="P43" s="19">
        <f>1 - CUSTOS!$M$29</f>
        <v>1</v>
      </c>
      <c r="Q43" s="19">
        <f>1*(1 - CUSTOS!$M$29)</f>
        <v>1</v>
      </c>
      <c r="R43" s="19">
        <f>1 - CUSTOS!$M$29</f>
        <v>1</v>
      </c>
      <c r="S43" s="19">
        <f>1 - CUSTOS!$M$29</f>
        <v>1</v>
      </c>
      <c r="T43" s="19"/>
      <c r="U43" s="19">
        <f>TRANSICAO!$U$43*CUSTOS!$T$3</f>
        <v>20.9178</v>
      </c>
      <c r="V43" s="19">
        <f>TRANSICAO!$V$43*CUSTOS!$T$3</f>
        <v>3.0472999999999999</v>
      </c>
      <c r="W43" s="19">
        <f>TRANSICAO!$W$43*CUSTOS!$T$3</f>
        <v>0.93400000000000005</v>
      </c>
      <c r="X43" s="19">
        <f>TRANSICAO!$X$43*CUSTOS!$T$3</f>
        <v>0</v>
      </c>
      <c r="Y43" s="19">
        <f>TRANSICAO!$Y$43*CUSTOS!$T$3</f>
        <v>35.08</v>
      </c>
      <c r="Z43" s="19">
        <f>TRANSICAO!$Z$43*CUSTOS!$T$3</f>
        <v>0</v>
      </c>
      <c r="AA43" s="19">
        <f>TRANSICAO!$AA$43*CUSTOS!$T$3</f>
        <v>0</v>
      </c>
      <c r="AB43" s="19">
        <f>TRANSICAO!$AB$43*CUSTOS!$T$3</f>
        <v>0</v>
      </c>
      <c r="AC43" s="19">
        <f>TRANSICAO!$AC$43*CUSTOS!$T$3</f>
        <v>165.63640000000001</v>
      </c>
      <c r="AD43" s="19">
        <f>TRANSICAO!$AD$43*CUSTOS!$T$3</f>
        <v>0</v>
      </c>
      <c r="AE43" s="19">
        <v>0</v>
      </c>
      <c r="AF43" s="19">
        <v>0</v>
      </c>
      <c r="AG43" s="19"/>
      <c r="AH43" s="19">
        <f>(1 - CUSTOS!$M$29)*2541.4324</f>
        <v>2541.4324000000001</v>
      </c>
      <c r="AI43" s="19">
        <f>(1 - CUSTOS!$M$29)*2541.4324</f>
        <v>2541.4324000000001</v>
      </c>
      <c r="AJ43" s="19">
        <f ca="1">$N$64*(1-CUSTOS!$M$29)</f>
        <v>3.8941567447648797</v>
      </c>
      <c r="AK43" s="19">
        <f t="shared" ca="1" si="0"/>
        <v>3.8941567447648797</v>
      </c>
      <c r="AL43" s="19"/>
      <c r="AM43" s="19"/>
      <c r="AP43" s="19">
        <f>IF((1 - CUSTOS!$M$29)&lt;&gt;0,1/(1 - CUSTOS!$M$29),1)</f>
        <v>1</v>
      </c>
    </row>
    <row r="44" spans="1:42" ht="11.25" customHeight="1" x14ac:dyDescent="0.25">
      <c r="A44" s="119"/>
      <c r="B44" s="119"/>
      <c r="C44" s="119"/>
      <c r="D44" s="22" t="s">
        <v>55</v>
      </c>
      <c r="E44" s="22" t="s">
        <v>25</v>
      </c>
      <c r="F44" s="22" t="s">
        <v>25</v>
      </c>
      <c r="G44" s="21" t="s">
        <v>86</v>
      </c>
      <c r="H44" s="21" t="s">
        <v>80</v>
      </c>
      <c r="I44" s="21">
        <f>'MERCADO TUSD'!$U$41</f>
        <v>0</v>
      </c>
      <c r="J44" s="17"/>
      <c r="L44" s="19">
        <f>1*(1 - CUSTOS!$M$30)</f>
        <v>1</v>
      </c>
      <c r="M44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0.73055635798360608</v>
      </c>
      <c r="N44" s="19">
        <f ca="1">(+M44+O44+R44+U44+V44+W44+X44+Y44+Z44+AA44+AC44+AH44+AI44+AJ44+AK44)*CUSTOS!$M$5</f>
        <v>53.189991698475133</v>
      </c>
      <c r="O44" s="19">
        <f>1 - CUSTOS!$M$30</f>
        <v>1</v>
      </c>
      <c r="P44" s="19">
        <f>1 - CUSTOS!$M$30</f>
        <v>1</v>
      </c>
      <c r="Q44" s="19">
        <f>1*(1 - CUSTOS!$M$30)</f>
        <v>1</v>
      </c>
      <c r="R44" s="19">
        <f>1 - CUSTOS!$M$30</f>
        <v>1</v>
      </c>
      <c r="S44" s="19">
        <f>1 - CUSTOS!$M$30</f>
        <v>1</v>
      </c>
      <c r="T44" s="19"/>
      <c r="U44" s="19">
        <f>TRANSICAO!$U$44*CUSTOS!$T$3</f>
        <v>20.9178</v>
      </c>
      <c r="V44" s="19">
        <f>TRANSICAO!$V$44*CUSTOS!$T$3</f>
        <v>3.0472999999999999</v>
      </c>
      <c r="W44" s="19">
        <f>TRANSICAO!$W$44*CUSTOS!$T$3</f>
        <v>0.93400000000000005</v>
      </c>
      <c r="X44" s="19">
        <f>TRANSICAO!$X$44*CUSTOS!$T$3</f>
        <v>0</v>
      </c>
      <c r="Y44" s="19">
        <f>TRANSICAO!$Y$44*CUSTOS!$T$3</f>
        <v>35.08</v>
      </c>
      <c r="Z44" s="19">
        <f>TRANSICAO!$Z$44*CUSTOS!$T$3</f>
        <v>0</v>
      </c>
      <c r="AA44" s="19">
        <f>TRANSICAO!$AA$44*CUSTOS!$T$3</f>
        <v>0</v>
      </c>
      <c r="AB44" s="19">
        <f>TRANSICAO!$AB$44*CUSTOS!$T$3</f>
        <v>0</v>
      </c>
      <c r="AC44" s="19">
        <f>TRANSICAO!$AC$44*CUSTOS!$T$3</f>
        <v>165.63640000000001</v>
      </c>
      <c r="AD44" s="19">
        <f>TRANSICAO!$AD$44*CUSTOS!$T$3</f>
        <v>0</v>
      </c>
      <c r="AE44" s="19">
        <v>0</v>
      </c>
      <c r="AF44" s="19">
        <v>0</v>
      </c>
      <c r="AG44" s="19"/>
      <c r="AH44" s="19">
        <f>(1 - CUSTOS!$M$30)*2541.4324</f>
        <v>2541.4324000000001</v>
      </c>
      <c r="AI44" s="19">
        <f>(1 - CUSTOS!$M$30)*2541.4324</f>
        <v>2541.4324000000001</v>
      </c>
      <c r="AJ44" s="19">
        <f ca="1">$N$64*(1-CUSTOS!$M$30)</f>
        <v>3.8941567447648797</v>
      </c>
      <c r="AK44" s="19">
        <f t="shared" ca="1" si="0"/>
        <v>3.8941567447648797</v>
      </c>
      <c r="AL44" s="19"/>
      <c r="AM44" s="19"/>
      <c r="AP44" s="19">
        <f>IF((1 - CUSTOS!$M$30)&lt;&gt;0,1/(1 - CUSTOS!$M$30),1)</f>
        <v>1</v>
      </c>
    </row>
    <row r="45" spans="1:42" ht="11.25" customHeight="1" x14ac:dyDescent="0.25">
      <c r="A45" s="119" t="s">
        <v>37</v>
      </c>
      <c r="B45" s="119" t="s">
        <v>33</v>
      </c>
      <c r="C45" s="119" t="s">
        <v>25</v>
      </c>
      <c r="D45" s="119" t="s">
        <v>25</v>
      </c>
      <c r="E45" s="119" t="s">
        <v>25</v>
      </c>
      <c r="F45" s="119" t="s">
        <v>25</v>
      </c>
      <c r="G45" s="21" t="s">
        <v>81</v>
      </c>
      <c r="H45" s="21" t="s">
        <v>80</v>
      </c>
      <c r="I45" s="21">
        <f>'MERCADO TUSD'!$U$42</f>
        <v>57.161000000000001</v>
      </c>
      <c r="J45" s="17"/>
      <c r="L45" s="19">
        <f>1*(1 - CUSTOS!$M$31)</f>
        <v>1</v>
      </c>
      <c r="M45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0.73055635798360608</v>
      </c>
      <c r="N45" s="19">
        <f ca="1">(+M45+O45+R45+U45+V45+W45+X45+Y45+Z45+AA45+AC45+AH45+AI45+AJ45+AK45)*CUSTOS!$M$5</f>
        <v>58.943185698475133</v>
      </c>
      <c r="O45" s="19">
        <f>1 - CUSTOS!$M$31</f>
        <v>1</v>
      </c>
      <c r="P45" s="19">
        <f>1 - CUSTOS!$M$31</f>
        <v>1</v>
      </c>
      <c r="Q45" s="19">
        <f>1*(1 - CUSTOS!$M$31)</f>
        <v>1</v>
      </c>
      <c r="R45" s="19">
        <f>1 - CUSTOS!$M$31</f>
        <v>1</v>
      </c>
      <c r="S45" s="19">
        <f>1 - CUSTOS!$M$31</f>
        <v>1</v>
      </c>
      <c r="T45" s="19"/>
      <c r="U45" s="19">
        <f>TRANSICAO!$U$45*CUSTOS!$T$3</f>
        <v>74.258200000000002</v>
      </c>
      <c r="V45" s="19">
        <f>TRANSICAO!$V$45*CUSTOS!$T$3</f>
        <v>10.8178</v>
      </c>
      <c r="W45" s="19">
        <f>TRANSICAO!$W$45*CUSTOS!$T$3</f>
        <v>3.3157000000000001</v>
      </c>
      <c r="X45" s="19">
        <f>TRANSICAO!$X$45*CUSTOS!$T$3</f>
        <v>0</v>
      </c>
      <c r="Y45" s="19">
        <f>TRANSICAO!$Y$45*CUSTOS!$T$3</f>
        <v>124.5339</v>
      </c>
      <c r="Z45" s="19">
        <f>TRANSICAO!$Z$45*CUSTOS!$T$3</f>
        <v>0</v>
      </c>
      <c r="AA45" s="19">
        <f>TRANSICAO!$AA$45*CUSTOS!$T$3</f>
        <v>0</v>
      </c>
      <c r="AB45" s="19">
        <f>TRANSICAO!$AB$45*CUSTOS!$T$3</f>
        <v>0</v>
      </c>
      <c r="AC45" s="19">
        <f>TRANSICAO!$AC$45*CUSTOS!$T$3</f>
        <v>588.00930000000005</v>
      </c>
      <c r="AD45" s="19">
        <f>TRANSICAO!$AD$45*CUSTOS!$T$3</f>
        <v>0</v>
      </c>
      <c r="AE45" s="19">
        <v>0</v>
      </c>
      <c r="AF45" s="19">
        <v>0</v>
      </c>
      <c r="AG45" s="19"/>
      <c r="AH45" s="19">
        <f>(1 - CUSTOS!$M$31)*2541.4324</f>
        <v>2541.4324000000001</v>
      </c>
      <c r="AI45" s="19">
        <f>(1 - CUSTOS!$M$31)*2541.4324</f>
        <v>2541.4324000000001</v>
      </c>
      <c r="AJ45" s="19">
        <f ca="1">$N$64*(1-CUSTOS!$M$31)</f>
        <v>3.8941567447648797</v>
      </c>
      <c r="AK45" s="19">
        <f t="shared" ca="1" si="0"/>
        <v>3.8941567447648797</v>
      </c>
      <c r="AL45" s="19"/>
      <c r="AM45" s="19"/>
      <c r="AP45" s="19">
        <f>IF((1 - CUSTOS!$M$31)&lt;&gt;0,1/(1 - CUSTOS!$M$31),1)</f>
        <v>1</v>
      </c>
    </row>
    <row r="46" spans="1:42" ht="11.25" customHeight="1" x14ac:dyDescent="0.25">
      <c r="A46" s="119"/>
      <c r="B46" s="119"/>
      <c r="C46" s="119"/>
      <c r="D46" s="119"/>
      <c r="E46" s="119"/>
      <c r="F46" s="119"/>
      <c r="G46" s="21" t="s">
        <v>91</v>
      </c>
      <c r="H46" s="21" t="s">
        <v>80</v>
      </c>
      <c r="I46" s="21">
        <f>'MERCADO TUSD'!$U$43</f>
        <v>51.646000000000001</v>
      </c>
      <c r="J46" s="17"/>
      <c r="L46" s="19">
        <f>1*(1 - CUSTOS!$M$31)</f>
        <v>1</v>
      </c>
      <c r="M46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0.73055635798360608</v>
      </c>
      <c r="N46" s="19">
        <f ca="1">(+M46+O46+R46+U46+V46+W46+X46+Y46+Z46+AA46+AC46+AH46+AI46+AJ46+AK46)*CUSTOS!$M$5</f>
        <v>55.739445698475137</v>
      </c>
      <c r="O46" s="19">
        <f>1 - CUSTOS!$M$31</f>
        <v>1</v>
      </c>
      <c r="P46" s="19">
        <f>1 - CUSTOS!$M$31</f>
        <v>1</v>
      </c>
      <c r="Q46" s="19">
        <f>1*(1 - CUSTOS!$M$31)</f>
        <v>1</v>
      </c>
      <c r="R46" s="19">
        <f>1 - CUSTOS!$M$31</f>
        <v>1</v>
      </c>
      <c r="S46" s="19">
        <f>1 - CUSTOS!$M$31</f>
        <v>1</v>
      </c>
      <c r="T46" s="19"/>
      <c r="U46" s="19">
        <f>TRANSICAO!$U$46*CUSTOS!$T$3</f>
        <v>44.554900000000004</v>
      </c>
      <c r="V46" s="19">
        <f>TRANSICAO!$V$46*CUSTOS!$T$3</f>
        <v>6.4907000000000004</v>
      </c>
      <c r="W46" s="19">
        <f>TRANSICAO!$W$46*CUSTOS!$T$3</f>
        <v>1.9894000000000001</v>
      </c>
      <c r="X46" s="19">
        <f>TRANSICAO!$X$46*CUSTOS!$T$3</f>
        <v>0</v>
      </c>
      <c r="Y46" s="19">
        <f>TRANSICAO!$Y$46*CUSTOS!$T$3</f>
        <v>74.720299999999995</v>
      </c>
      <c r="Z46" s="19">
        <f>TRANSICAO!$Z$46*CUSTOS!$T$3</f>
        <v>0</v>
      </c>
      <c r="AA46" s="19">
        <f>TRANSICAO!$AA$46*CUSTOS!$T$3</f>
        <v>0</v>
      </c>
      <c r="AB46" s="19">
        <f>TRANSICAO!$AB$46*CUSTOS!$T$3</f>
        <v>0</v>
      </c>
      <c r="AC46" s="19">
        <f>TRANSICAO!$AC$46*CUSTOS!$T$3</f>
        <v>352.80560000000003</v>
      </c>
      <c r="AD46" s="19">
        <f>TRANSICAO!$AD$46*CUSTOS!$T$3</f>
        <v>0</v>
      </c>
      <c r="AE46" s="19">
        <v>0</v>
      </c>
      <c r="AF46" s="19">
        <v>0</v>
      </c>
      <c r="AG46" s="19"/>
      <c r="AH46" s="19">
        <f>(1 - CUSTOS!$M$31)*2541.4324</f>
        <v>2541.4324000000001</v>
      </c>
      <c r="AI46" s="19">
        <f>(1 - CUSTOS!$M$31)*2541.4324</f>
        <v>2541.4324000000001</v>
      </c>
      <c r="AJ46" s="19">
        <f ca="1">$N$64*(1-CUSTOS!$M$31)</f>
        <v>3.8941567447648797</v>
      </c>
      <c r="AK46" s="19">
        <f t="shared" ca="1" si="0"/>
        <v>3.8941567447648797</v>
      </c>
      <c r="AL46" s="19"/>
      <c r="AM46" s="19"/>
      <c r="AP46" s="19">
        <f>IF((1 - CUSTOS!$M$31)&lt;&gt;0,1/(1 - CUSTOS!$M$31),1)</f>
        <v>1</v>
      </c>
    </row>
    <row r="47" spans="1:42" ht="11.25" customHeight="1" x14ac:dyDescent="0.25">
      <c r="A47" s="119"/>
      <c r="B47" s="119"/>
      <c r="C47" s="119"/>
      <c r="D47" s="119"/>
      <c r="E47" s="119"/>
      <c r="F47" s="119"/>
      <c r="G47" s="21" t="s">
        <v>82</v>
      </c>
      <c r="H47" s="21" t="s">
        <v>80</v>
      </c>
      <c r="I47" s="21">
        <f>'MERCADO TUSD'!$U$44</f>
        <v>982.72000000000014</v>
      </c>
      <c r="J47" s="17"/>
      <c r="L47" s="19">
        <f>1*(1 - CUSTOS!$M$31)</f>
        <v>1</v>
      </c>
      <c r="M4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0.73055635798360608</v>
      </c>
      <c r="N47" s="19">
        <f ca="1">(+M47+O47+R47+U47+V47+W47+X47+Y47+Z47+AA47+AC47+AH47+AI47+AJ47+AK47)*CUSTOS!$M$5</f>
        <v>52.535706698475131</v>
      </c>
      <c r="O47" s="19">
        <f>1 - CUSTOS!$M$31</f>
        <v>1</v>
      </c>
      <c r="P47" s="19">
        <f>1 - CUSTOS!$M$31</f>
        <v>1</v>
      </c>
      <c r="Q47" s="19">
        <f>1*(1 - CUSTOS!$M$31)</f>
        <v>1</v>
      </c>
      <c r="R47" s="19">
        <f>1 - CUSTOS!$M$31</f>
        <v>1</v>
      </c>
      <c r="S47" s="19">
        <f>1 - CUSTOS!$M$31</f>
        <v>1</v>
      </c>
      <c r="T47" s="19"/>
      <c r="U47" s="19">
        <f>TRANSICAO!$U$47*CUSTOS!$T$3</f>
        <v>14.851599999999999</v>
      </c>
      <c r="V47" s="19">
        <f>TRANSICAO!$V$47*CUSTOS!$T$3</f>
        <v>2.1636000000000002</v>
      </c>
      <c r="W47" s="19">
        <f>TRANSICAO!$W$47*CUSTOS!$T$3</f>
        <v>0.66310000000000002</v>
      </c>
      <c r="X47" s="19">
        <f>TRANSICAO!$X$47*CUSTOS!$T$3</f>
        <v>0</v>
      </c>
      <c r="Y47" s="19">
        <f>TRANSICAO!$Y$47*CUSTOS!$T$3</f>
        <v>24.9068</v>
      </c>
      <c r="Z47" s="19">
        <f>TRANSICAO!$Z$47*CUSTOS!$T$3</f>
        <v>0</v>
      </c>
      <c r="AA47" s="19">
        <f>TRANSICAO!$AA$47*CUSTOS!$T$3</f>
        <v>0</v>
      </c>
      <c r="AB47" s="19">
        <f>TRANSICAO!$AB$47*CUSTOS!$T$3</f>
        <v>0</v>
      </c>
      <c r="AC47" s="19">
        <f>TRANSICAO!$AC$47*CUSTOS!$T$3</f>
        <v>117.6019</v>
      </c>
      <c r="AD47" s="19">
        <f>TRANSICAO!$AD$47*CUSTOS!$T$3</f>
        <v>0</v>
      </c>
      <c r="AE47" s="19">
        <v>0</v>
      </c>
      <c r="AF47" s="19">
        <v>0</v>
      </c>
      <c r="AG47" s="19"/>
      <c r="AH47" s="19">
        <f>(1 - CUSTOS!$M$31)*2541.4324</f>
        <v>2541.4324000000001</v>
      </c>
      <c r="AI47" s="19">
        <f>(1 - CUSTOS!$M$31)*2541.4324</f>
        <v>2541.4324000000001</v>
      </c>
      <c r="AJ47" s="19">
        <f ca="1">$N$64*(1-CUSTOS!$M$31)</f>
        <v>3.8941567447648797</v>
      </c>
      <c r="AK47" s="19">
        <f t="shared" ca="1" si="0"/>
        <v>3.8941567447648797</v>
      </c>
      <c r="AL47" s="19"/>
      <c r="AM47" s="19"/>
      <c r="AP47" s="19">
        <f>IF((1 - CUSTOS!$M$31)&lt;&gt;0,1/(1 - CUSTOS!$M$31),1)</f>
        <v>1</v>
      </c>
    </row>
    <row r="48" spans="1:42" ht="11.25" customHeight="1" x14ac:dyDescent="0.25">
      <c r="A48" s="119"/>
      <c r="B48" s="22" t="s">
        <v>23</v>
      </c>
      <c r="C48" s="22" t="s">
        <v>25</v>
      </c>
      <c r="D48" s="22" t="s">
        <v>25</v>
      </c>
      <c r="E48" s="22" t="s">
        <v>25</v>
      </c>
      <c r="F48" s="22" t="s">
        <v>25</v>
      </c>
      <c r="G48" s="21" t="s">
        <v>86</v>
      </c>
      <c r="H48" s="21" t="s">
        <v>80</v>
      </c>
      <c r="I48" s="21">
        <f>'MERCADO TUSD'!$U$45</f>
        <v>86690.115999999995</v>
      </c>
      <c r="J48" s="17"/>
      <c r="L48" s="19">
        <f>1*(1 - CUSTOS!$M$31)</f>
        <v>1</v>
      </c>
      <c r="M4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0.73055635798360608</v>
      </c>
      <c r="N48" s="19">
        <f ca="1">(+M48+O48+R48+U48+V48+W48+X48+Y48+Z48+AA48+AC48+AH48+AI48+AJ48+AK48)*CUSTOS!$M$5</f>
        <v>53.189991698475133</v>
      </c>
      <c r="O48" s="19">
        <f>1 - CUSTOS!$M$31</f>
        <v>1</v>
      </c>
      <c r="P48" s="19">
        <f>1 - CUSTOS!$M$31</f>
        <v>1</v>
      </c>
      <c r="Q48" s="19">
        <f>1*(1 - CUSTOS!$M$31)</f>
        <v>1</v>
      </c>
      <c r="R48" s="19">
        <f>1 - CUSTOS!$M$31</f>
        <v>1</v>
      </c>
      <c r="S48" s="19">
        <f>1 - CUSTOS!$M$31</f>
        <v>1</v>
      </c>
      <c r="T48" s="19"/>
      <c r="U48" s="19">
        <f>TRANSICAO!$U$48*CUSTOS!$T$3</f>
        <v>20.9178</v>
      </c>
      <c r="V48" s="19">
        <f>TRANSICAO!$V$48*CUSTOS!$T$3</f>
        <v>3.0472999999999999</v>
      </c>
      <c r="W48" s="19">
        <f>TRANSICAO!$W$48*CUSTOS!$T$3</f>
        <v>0.93400000000000005</v>
      </c>
      <c r="X48" s="19">
        <f>TRANSICAO!$X$48*CUSTOS!$T$3</f>
        <v>0</v>
      </c>
      <c r="Y48" s="19">
        <f>TRANSICAO!$Y$48*CUSTOS!$T$3</f>
        <v>35.08</v>
      </c>
      <c r="Z48" s="19">
        <f>TRANSICAO!$Z$48*CUSTOS!$T$3</f>
        <v>0</v>
      </c>
      <c r="AA48" s="19">
        <f>TRANSICAO!$AA$48*CUSTOS!$T$3</f>
        <v>0</v>
      </c>
      <c r="AB48" s="19">
        <f>TRANSICAO!$AB$48*CUSTOS!$T$3</f>
        <v>0</v>
      </c>
      <c r="AC48" s="19">
        <f>TRANSICAO!$AC$48*CUSTOS!$T$3</f>
        <v>165.63640000000001</v>
      </c>
      <c r="AD48" s="19">
        <f>TRANSICAO!$AD$48*CUSTOS!$T$3</f>
        <v>0</v>
      </c>
      <c r="AE48" s="19">
        <v>0</v>
      </c>
      <c r="AF48" s="19">
        <v>0</v>
      </c>
      <c r="AG48" s="19"/>
      <c r="AH48" s="19">
        <f>(1 - CUSTOS!$M$31)*2541.4324</f>
        <v>2541.4324000000001</v>
      </c>
      <c r="AI48" s="19">
        <f>(1 - CUSTOS!$M$31)*2541.4324</f>
        <v>2541.4324000000001</v>
      </c>
      <c r="AJ48" s="19">
        <f ca="1">$N$64*(1-CUSTOS!$M$31)</f>
        <v>3.8941567447648797</v>
      </c>
      <c r="AK48" s="19">
        <f t="shared" ca="1" si="0"/>
        <v>3.8941567447648797</v>
      </c>
      <c r="AL48" s="19"/>
      <c r="AM48" s="19"/>
      <c r="AP48" s="19">
        <f>IF((1 - CUSTOS!$M$31)&lt;&gt;0,1/(1 - CUSTOS!$M$31),1)</f>
        <v>1</v>
      </c>
    </row>
    <row r="49" spans="1:42" ht="11.25" customHeight="1" x14ac:dyDescent="0.25">
      <c r="A49" s="119"/>
      <c r="B49" s="22" t="s">
        <v>94</v>
      </c>
      <c r="C49" s="22" t="s">
        <v>25</v>
      </c>
      <c r="D49" s="22" t="s">
        <v>25</v>
      </c>
      <c r="E49" s="22" t="s">
        <v>25</v>
      </c>
      <c r="F49" s="22" t="s">
        <v>25</v>
      </c>
      <c r="G49" s="21" t="s">
        <v>86</v>
      </c>
      <c r="H49" s="21" t="s">
        <v>80</v>
      </c>
      <c r="I49" s="21">
        <f>'MERCADO TUSD'!$U$46</f>
        <v>0</v>
      </c>
      <c r="J49" s="17"/>
      <c r="L49" s="19">
        <f>1*(1 - CUSTOS!$M$31)</f>
        <v>1</v>
      </c>
      <c r="M4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0.73055635798360608</v>
      </c>
      <c r="N49" s="19">
        <f ca="1">(+M49+O49+R49+U49+V49+W49+X49+Y49+Z49+AA49+AC49+AH49+AI49+AJ49+AK49)*CUSTOS!$M$5</f>
        <v>53.189991698475133</v>
      </c>
      <c r="O49" s="19">
        <f>1 - CUSTOS!$M$31</f>
        <v>1</v>
      </c>
      <c r="P49" s="19">
        <f>1 - CUSTOS!$M$31</f>
        <v>1</v>
      </c>
      <c r="Q49" s="19">
        <f>1*(1 - CUSTOS!$M$31)</f>
        <v>1</v>
      </c>
      <c r="R49" s="19">
        <f>1 - CUSTOS!$M$31</f>
        <v>1</v>
      </c>
      <c r="S49" s="19">
        <f>1 - CUSTOS!$M$31</f>
        <v>1</v>
      </c>
      <c r="T49" s="19"/>
      <c r="U49" s="19">
        <f>TRANSICAO!$U$49*CUSTOS!$T$3</f>
        <v>20.9178</v>
      </c>
      <c r="V49" s="19">
        <f>TRANSICAO!$V$49*CUSTOS!$T$3</f>
        <v>3.0472999999999999</v>
      </c>
      <c r="W49" s="19">
        <f>TRANSICAO!$W$49*CUSTOS!$T$3</f>
        <v>0.93400000000000005</v>
      </c>
      <c r="X49" s="19">
        <f>TRANSICAO!$X$49*CUSTOS!$T$3</f>
        <v>0</v>
      </c>
      <c r="Y49" s="19">
        <f>TRANSICAO!$Y$49*CUSTOS!$T$3</f>
        <v>35.08</v>
      </c>
      <c r="Z49" s="19">
        <f>TRANSICAO!$Z$49*CUSTOS!$T$3</f>
        <v>0</v>
      </c>
      <c r="AA49" s="19">
        <f>TRANSICAO!$AA$49*CUSTOS!$T$3</f>
        <v>0</v>
      </c>
      <c r="AB49" s="19">
        <f>TRANSICAO!$AB$49*CUSTOS!$T$3</f>
        <v>0</v>
      </c>
      <c r="AC49" s="19">
        <f>TRANSICAO!$AC$49*CUSTOS!$T$3</f>
        <v>165.63640000000001</v>
      </c>
      <c r="AD49" s="19">
        <f>TRANSICAO!$AD$49*CUSTOS!$T$3</f>
        <v>0</v>
      </c>
      <c r="AE49" s="19">
        <v>0</v>
      </c>
      <c r="AF49" s="19">
        <v>0</v>
      </c>
      <c r="AG49" s="19"/>
      <c r="AH49" s="19">
        <f>(1 - CUSTOS!$M$31)*2541.4324</f>
        <v>2541.4324000000001</v>
      </c>
      <c r="AI49" s="19">
        <f>(1 - CUSTOS!$M$31)*2541.4324</f>
        <v>2541.4324000000001</v>
      </c>
      <c r="AJ49" s="19">
        <f ca="1">$N$64*(1-CUSTOS!$M$31)</f>
        <v>3.8941567447648797</v>
      </c>
      <c r="AK49" s="19">
        <f t="shared" ca="1" si="0"/>
        <v>3.8941567447648797</v>
      </c>
      <c r="AL49" s="19"/>
      <c r="AM49" s="19"/>
      <c r="AP49" s="19">
        <f>IF((1 - CUSTOS!$M$31)&lt;&gt;0,1/(1 - CUSTOS!$M$31),1)</f>
        <v>1</v>
      </c>
    </row>
    <row r="50" spans="1:42" ht="11.25" customHeight="1" x14ac:dyDescent="0.25">
      <c r="A50" s="119" t="s">
        <v>46</v>
      </c>
      <c r="B50" s="119" t="s">
        <v>23</v>
      </c>
      <c r="C50" s="119" t="s">
        <v>47</v>
      </c>
      <c r="D50" s="22" t="s">
        <v>48</v>
      </c>
      <c r="E50" s="22" t="s">
        <v>25</v>
      </c>
      <c r="F50" s="22" t="s">
        <v>25</v>
      </c>
      <c r="G50" s="21" t="s">
        <v>86</v>
      </c>
      <c r="H50" s="21" t="s">
        <v>80</v>
      </c>
      <c r="I50" s="21">
        <f>'MERCADO TUSD'!$U$47</f>
        <v>18976.334999999999</v>
      </c>
      <c r="J50" s="17"/>
      <c r="L50" s="19">
        <f>1*(1 - CUSTOS!$M$32)</f>
        <v>0.55000000000000004</v>
      </c>
      <c r="M5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0.4018059968909834</v>
      </c>
      <c r="N50" s="19">
        <f ca="1">(+M50+O50+R50+U50+V50+W50+X50+Y50+Z50+AA50+AC50+AH50+AI50+AJ50+AK50)*CUSTOS!$M$5</f>
        <v>29.254495434161328</v>
      </c>
      <c r="O50" s="19">
        <f>1 - CUSTOS!$M$32</f>
        <v>0.55000000000000004</v>
      </c>
      <c r="P50" s="19">
        <f>1 - CUSTOS!$M$32</f>
        <v>0.55000000000000004</v>
      </c>
      <c r="Q50" s="19">
        <f>1*(1 - CUSTOS!$M$32)</f>
        <v>0.55000000000000004</v>
      </c>
      <c r="R50" s="19">
        <f>1 - CUSTOS!$M$32</f>
        <v>0.55000000000000004</v>
      </c>
      <c r="S50" s="19">
        <f>1 - CUSTOS!$M$32</f>
        <v>0.55000000000000004</v>
      </c>
      <c r="T50" s="19"/>
      <c r="U50" s="19">
        <f>TRANSICAO!$U$50*CUSTOS!$T$3</f>
        <v>11.504790000000002</v>
      </c>
      <c r="V50" s="19">
        <f>TRANSICAO!$V$50*CUSTOS!$T$3</f>
        <v>1.676015</v>
      </c>
      <c r="W50" s="19">
        <f>TRANSICAO!$W$50*CUSTOS!$T$3</f>
        <v>0.51370000000000005</v>
      </c>
      <c r="X50" s="19">
        <f>TRANSICAO!$X$50*CUSTOS!$T$3</f>
        <v>0</v>
      </c>
      <c r="Y50" s="19">
        <f>TRANSICAO!$Y$50*CUSTOS!$T$3</f>
        <v>19.294</v>
      </c>
      <c r="Z50" s="19">
        <f>TRANSICAO!$Z$50*CUSTOS!$T$3</f>
        <v>0</v>
      </c>
      <c r="AA50" s="19">
        <f>TRANSICAO!$AA$50*CUSTOS!$T$3</f>
        <v>0</v>
      </c>
      <c r="AB50" s="19">
        <f>TRANSICAO!$AB$50*CUSTOS!$T$3</f>
        <v>0</v>
      </c>
      <c r="AC50" s="19">
        <f>TRANSICAO!$AC$50*CUSTOS!$T$3</f>
        <v>91.100020000000015</v>
      </c>
      <c r="AD50" s="19">
        <f>TRANSICAO!$AD$50*CUSTOS!$T$3</f>
        <v>0</v>
      </c>
      <c r="AE50" s="19">
        <v>0</v>
      </c>
      <c r="AF50" s="19">
        <v>0</v>
      </c>
      <c r="AG50" s="19"/>
      <c r="AH50" s="19">
        <f>(1 - CUSTOS!$M$32)*2541.4324</f>
        <v>1397.7878200000002</v>
      </c>
      <c r="AI50" s="19">
        <f>(1 - CUSTOS!$M$32)*2541.4324</f>
        <v>1397.7878200000002</v>
      </c>
      <c r="AJ50" s="19">
        <f ca="1">$N$64*(1-CUSTOS!$M$32)</f>
        <v>2.1417862096206841</v>
      </c>
      <c r="AK50" s="19">
        <f t="shared" ca="1" si="0"/>
        <v>2.1417862096206841</v>
      </c>
      <c r="AL50" s="19"/>
      <c r="AM50" s="19"/>
      <c r="AP50" s="19">
        <f>IF((1 - CUSTOS!$M$32)&lt;&gt;0,1/(1 - CUSTOS!$M$32),1)</f>
        <v>1.8181818181818181</v>
      </c>
    </row>
    <row r="51" spans="1:42" ht="11.25" customHeight="1" x14ac:dyDescent="0.25">
      <c r="A51" s="119"/>
      <c r="B51" s="119"/>
      <c r="C51" s="119"/>
      <c r="D51" s="21" t="s">
        <v>96</v>
      </c>
      <c r="E51" s="21" t="s">
        <v>25</v>
      </c>
      <c r="F51" s="21" t="s">
        <v>25</v>
      </c>
      <c r="G51" s="21" t="s">
        <v>86</v>
      </c>
      <c r="H51" s="21" t="s">
        <v>80</v>
      </c>
      <c r="I51" s="21">
        <f>'MERCADO TUSD'!$U$48</f>
        <v>0</v>
      </c>
      <c r="J51" s="17"/>
      <c r="L51" s="19">
        <f>1*(1 - CUSTOS!$M$33)</f>
        <v>0.6</v>
      </c>
      <c r="M5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0.43833381479016365</v>
      </c>
      <c r="N51" s="19">
        <f ca="1">(+M51+O51+R51+U51+V51+W51+X51+Y51+Z51+AA51+AC51+AH51+AI51+AJ51+AK51)*CUSTOS!$M$5</f>
        <v>31.913995019085082</v>
      </c>
      <c r="O51" s="19">
        <f>1 - CUSTOS!$M$33</f>
        <v>0.6</v>
      </c>
      <c r="P51" s="19">
        <f>1 - CUSTOS!$M$33</f>
        <v>0.6</v>
      </c>
      <c r="Q51" s="19">
        <f>1*(1 - CUSTOS!$M$33)</f>
        <v>0.6</v>
      </c>
      <c r="R51" s="19">
        <f>1 - CUSTOS!$M$33</f>
        <v>0.6</v>
      </c>
      <c r="S51" s="19">
        <f>1 - CUSTOS!$M$33</f>
        <v>0.6</v>
      </c>
      <c r="T51" s="19"/>
      <c r="U51" s="19">
        <f>TRANSICAO!$U$51*CUSTOS!$T$3</f>
        <v>12.55068</v>
      </c>
      <c r="V51" s="19">
        <f>TRANSICAO!$V$51*CUSTOS!$T$3</f>
        <v>1.8283799999999999</v>
      </c>
      <c r="W51" s="19">
        <f>TRANSICAO!$W$51*CUSTOS!$T$3</f>
        <v>0.56040000000000001</v>
      </c>
      <c r="X51" s="19">
        <f>TRANSICAO!$X$51*CUSTOS!$T$3</f>
        <v>0</v>
      </c>
      <c r="Y51" s="19">
        <f>TRANSICAO!$Y$51*CUSTOS!$T$3</f>
        <v>21.047999999999998</v>
      </c>
      <c r="Z51" s="19">
        <f>TRANSICAO!$Z$51*CUSTOS!$T$3</f>
        <v>0</v>
      </c>
      <c r="AA51" s="19">
        <f>TRANSICAO!$AA$51*CUSTOS!$T$3</f>
        <v>0</v>
      </c>
      <c r="AB51" s="19">
        <f>TRANSICAO!$AB$51*CUSTOS!$T$3</f>
        <v>0</v>
      </c>
      <c r="AC51" s="19">
        <f>TRANSICAO!$AC$51*CUSTOS!$T$3</f>
        <v>99.381839999999997</v>
      </c>
      <c r="AD51" s="19">
        <f>TRANSICAO!$AD$51*CUSTOS!$T$3</f>
        <v>0</v>
      </c>
      <c r="AE51" s="19">
        <v>0</v>
      </c>
      <c r="AF51" s="19">
        <v>0</v>
      </c>
      <c r="AG51" s="19"/>
      <c r="AH51" s="19">
        <f>(1 - CUSTOS!$M$33)*2541.4324</f>
        <v>1524.8594399999999</v>
      </c>
      <c r="AI51" s="19">
        <f>(1 - CUSTOS!$M$33)*2541.4324</f>
        <v>1524.8594399999999</v>
      </c>
      <c r="AJ51" s="19">
        <f ca="1">$N$64*(1-CUSTOS!$M$33)</f>
        <v>2.3364940468589279</v>
      </c>
      <c r="AK51" s="19">
        <f t="shared" ca="1" si="0"/>
        <v>2.3364940468589279</v>
      </c>
      <c r="AL51" s="19"/>
      <c r="AM51" s="19"/>
      <c r="AP51" s="19">
        <f>IF((1 - CUSTOS!$M$33)&lt;&gt;0,1/(1 - CUSTOS!$M$33),1)</f>
        <v>1.6666666666666667</v>
      </c>
    </row>
    <row r="53" spans="1:42" ht="11.25" customHeight="1" x14ac:dyDescent="0.25">
      <c r="K53" s="18" t="s">
        <v>748</v>
      </c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</row>
    <row r="54" spans="1:42" ht="11.25" customHeight="1" x14ac:dyDescent="0.25">
      <c r="K54" s="18" t="s">
        <v>749</v>
      </c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</row>
    <row r="55" spans="1:42" ht="11.25" customHeight="1" x14ac:dyDescent="0.25">
      <c r="K55" s="18" t="s">
        <v>750</v>
      </c>
      <c r="L55" s="19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525658.22649000003</v>
      </c>
      <c r="M55" s="19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381184.1049860543</v>
      </c>
      <c r="N55" s="19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26687280.494265921</v>
      </c>
      <c r="O55" s="19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569270.96324999991</v>
      </c>
      <c r="P55" s="19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548265.39624999999</v>
      </c>
      <c r="Q55" s="19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525658.22649000003</v>
      </c>
      <c r="R55" s="19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548265.39624999999</v>
      </c>
      <c r="S55" s="19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569270.96324999991</v>
      </c>
      <c r="T55" s="19"/>
      <c r="U55" s="19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11131836.808929348</v>
      </c>
      <c r="V55" s="19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1620473.0215327251</v>
      </c>
      <c r="W55" s="19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496905.20856180001</v>
      </c>
      <c r="X55" s="19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19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19355438.213762797</v>
      </c>
      <c r="Z55" s="19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19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19"/>
      <c r="AC55" s="19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86424510.474494159</v>
      </c>
      <c r="AD55" s="19"/>
      <c r="AE55" s="19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19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19"/>
      <c r="AH55" s="19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1278725667.7515423</v>
      </c>
      <c r="AI55" s="19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1278715110.8043423</v>
      </c>
      <c r="AJ55" s="19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2083944.3866206298</v>
      </c>
      <c r="AK55" s="19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2083944.3866206298</v>
      </c>
      <c r="AL55" s="19"/>
      <c r="AM55" s="19"/>
    </row>
    <row r="56" spans="1:42" ht="11.25" customHeight="1" x14ac:dyDescent="0.25">
      <c r="K56" s="18" t="s">
        <v>686</v>
      </c>
      <c r="L56" s="19">
        <f>CUSTOS!$D$2</f>
        <v>3468806.8800173793</v>
      </c>
      <c r="M56" s="19">
        <f>CUSTOS!$D$3</f>
        <v>386710.27876951877</v>
      </c>
      <c r="N56" s="19">
        <f>CUSTOS!$D$4</f>
        <v>1611276.9310492913</v>
      </c>
      <c r="O56" s="19">
        <f>CUSTOS!$D$5</f>
        <v>0</v>
      </c>
      <c r="P56" s="19">
        <f>CUSTOS!$D$6</f>
        <v>0</v>
      </c>
      <c r="Q56" s="19">
        <f>CUSTOS!$D$7</f>
        <v>49513626.114528321</v>
      </c>
      <c r="R56" s="19">
        <f>CUSTOS!$D$8</f>
        <v>8169895.7713834094</v>
      </c>
      <c r="S56" s="19">
        <f>CUSTOS!$D$9</f>
        <v>0</v>
      </c>
      <c r="T56" s="19">
        <f>CUSTOS!$D$10</f>
        <v>63150315.975747921</v>
      </c>
      <c r="U56" s="19">
        <f>CUSTOS!$D$11</f>
        <v>13501545</v>
      </c>
      <c r="V56" s="19">
        <f>IF(SUM(V53:V55)&lt;&gt;0,CUSTOS!$D$12+CUSTOS!$D$16+CUSTOS!$D$17-'TR TUSD'!$Z$54-'TR TUSD'!$AA$54,0)</f>
        <v>1779799.1999999997</v>
      </c>
      <c r="W56" s="19">
        <f>CUSTOS!$D$13</f>
        <v>590407.98278087098</v>
      </c>
      <c r="X56" s="19">
        <f>CUSTOS!$D$14</f>
        <v>0</v>
      </c>
      <c r="Y56" s="19">
        <f>IF(SUM(V53:V55)=0,CUSTOS!$D$15+CUSTOS!$D$16+CUSTOS!$D$17-'TR TUSD'!$Z$54-'TR TUSD'!$AA$54,CUSTOS!$D$15)</f>
        <v>22524332.473099999</v>
      </c>
      <c r="Z56" s="19">
        <f>Z54</f>
        <v>0</v>
      </c>
      <c r="AA56" s="19">
        <f>AA54</f>
        <v>0</v>
      </c>
      <c r="AB56" s="19">
        <f>CUSTOS!$D$18</f>
        <v>38396084.655880868</v>
      </c>
      <c r="AC56" s="19">
        <f>CUSTOS!$D$19</f>
        <v>94940059.683411762</v>
      </c>
      <c r="AD56" s="19">
        <f>CUSTOS!$D$20</f>
        <v>94940059.683411762</v>
      </c>
      <c r="AE56" s="19">
        <f>CUSTOS!$D$21</f>
        <v>0</v>
      </c>
      <c r="AF56" s="19">
        <f>CUSTOS!$D$22</f>
        <v>0</v>
      </c>
      <c r="AG56" s="19">
        <f>CUSTOS!$D$23</f>
        <v>0</v>
      </c>
      <c r="AH56" s="19">
        <f>CUSTOS!$D$24</f>
        <v>14835318.094685547</v>
      </c>
      <c r="AI56" s="19">
        <f>CUSTOS!$D$25</f>
        <v>523250.74450530589</v>
      </c>
      <c r="AJ56" s="19">
        <f>CUSTOS!$D$26</f>
        <v>2117197.9569396554</v>
      </c>
      <c r="AK56" s="19">
        <f>CUSTOS!$D$27</f>
        <v>259702.41465416804</v>
      </c>
      <c r="AL56" s="19">
        <f>CUSTOS!$D$28</f>
        <v>17735469.210784677</v>
      </c>
      <c r="AM56" s="19">
        <f>CUSTOS!$D$29</f>
        <v>214221929.5258252</v>
      </c>
    </row>
    <row r="57" spans="1:42" ht="11.25" customHeight="1" x14ac:dyDescent="0.25">
      <c r="K57" s="18" t="s">
        <v>687</v>
      </c>
      <c r="L57" s="19">
        <f>CUSTOS!$E$2</f>
        <v>61216.954029554181</v>
      </c>
      <c r="M57" s="19">
        <f>CUSTOS!$E$3</f>
        <v>-189.02293064447531</v>
      </c>
      <c r="N57" s="19">
        <f>CUSTOS!$E$4</f>
        <v>1.6924369367879528</v>
      </c>
      <c r="O57" s="19">
        <f>CUSTOS!$E$5</f>
        <v>0</v>
      </c>
      <c r="P57" s="19">
        <f>CUSTOS!$E$6</f>
        <v>0</v>
      </c>
      <c r="Q57" s="19">
        <f>CUSTOS!$E$7</f>
        <v>872697.51891916431</v>
      </c>
      <c r="R57" s="19">
        <f>CUSTOS!$E$8</f>
        <v>158922.22308649262</v>
      </c>
      <c r="S57" s="19">
        <f>CUSTOS!$E$9</f>
        <v>0</v>
      </c>
      <c r="T57" s="19">
        <f>CUSTOS!$E$10</f>
        <v>1092649.3655415033</v>
      </c>
      <c r="U57" s="19">
        <f>CUSTOS!$E$11</f>
        <v>841303.70031928609</v>
      </c>
      <c r="V57" s="19">
        <f>CUSTOS!$E$12</f>
        <v>109001.93057800652</v>
      </c>
      <c r="W57" s="19">
        <f>CUSTOS!$E$13</f>
        <v>11201.073412471691</v>
      </c>
      <c r="X57" s="19">
        <f>CUSTOS!$E$14</f>
        <v>0</v>
      </c>
      <c r="Y57" s="19">
        <f>CUSTOS!$E$15</f>
        <v>373498.95084228634</v>
      </c>
      <c r="Z57" s="19">
        <f>CUSTOS!$E$16</f>
        <v>0</v>
      </c>
      <c r="AA57" s="19">
        <f>CUSTOS!$E$17</f>
        <v>0</v>
      </c>
      <c r="AB57" s="19">
        <f>CUSTOS!$E$18</f>
        <v>1335005.6551520508</v>
      </c>
      <c r="AC57" s="19">
        <f>CUSTOS!$E$19</f>
        <v>0</v>
      </c>
      <c r="AD57" s="19">
        <f>CUSTOS!$E$20</f>
        <v>0</v>
      </c>
      <c r="AE57" s="19">
        <f>CUSTOS!$E$21</f>
        <v>-6320522.4543774305</v>
      </c>
      <c r="AF57" s="19">
        <f>CUSTOS!$E$22</f>
        <v>0</v>
      </c>
      <c r="AG57" s="19">
        <f>CUSTOS!$E$23</f>
        <v>-6320522.4543774305</v>
      </c>
      <c r="AH57" s="19">
        <f>CUSTOS!$E$24</f>
        <v>652625.67604969873</v>
      </c>
      <c r="AI57" s="19">
        <f>CUSTOS!$E$25</f>
        <v>23018.506829227623</v>
      </c>
      <c r="AJ57" s="19">
        <f>CUSTOS!$E$26</f>
        <v>93138.397111536353</v>
      </c>
      <c r="AK57" s="19">
        <f>CUSTOS!$E$27</f>
        <v>9335.0738691690512</v>
      </c>
      <c r="AL57" s="19">
        <f>CUSTOS!$E$28</f>
        <v>778117.65385963186</v>
      </c>
      <c r="AM57" s="19">
        <f>CUSTOS!$E$29</f>
        <v>-3114749.7798242448</v>
      </c>
    </row>
    <row r="58" spans="1:42" ht="11.25" customHeight="1" x14ac:dyDescent="0.25">
      <c r="K58" s="18" t="s">
        <v>688</v>
      </c>
      <c r="L58" s="19">
        <f>CUSTOS!$F$2</f>
        <v>238543.93631434083</v>
      </c>
      <c r="M58" s="19">
        <f>CUSTOS!$F$3</f>
        <v>0</v>
      </c>
      <c r="N58" s="19">
        <f>CUSTOS!$F$4</f>
        <v>0</v>
      </c>
      <c r="O58" s="19">
        <f>CUSTOS!$F$5</f>
        <v>0</v>
      </c>
      <c r="P58" s="19">
        <f>CUSTOS!$F$6</f>
        <v>0</v>
      </c>
      <c r="Q58" s="19">
        <f>CUSTOS!$F$7</f>
        <v>13731581.0275</v>
      </c>
      <c r="R58" s="19">
        <f>CUSTOS!$F$8</f>
        <v>2732711.7645999999</v>
      </c>
      <c r="S58" s="19">
        <f>CUSTOS!$F$9</f>
        <v>0</v>
      </c>
      <c r="T58" s="19">
        <f>CUSTOS!$F$10</f>
        <v>16702836.72841434</v>
      </c>
      <c r="U58" s="19">
        <f>CUSTOS!$F$11</f>
        <v>646049.07174960163</v>
      </c>
      <c r="V58" s="19">
        <f>CUSTOS!$F$12</f>
        <v>85163.410636388886</v>
      </c>
      <c r="W58" s="19">
        <f>CUSTOS!$F$13</f>
        <v>0</v>
      </c>
      <c r="X58" s="19">
        <f>CUSTOS!$F$14</f>
        <v>0</v>
      </c>
      <c r="Y58" s="19">
        <f>CUSTOS!$F$15</f>
        <v>0</v>
      </c>
      <c r="Z58" s="19">
        <f>CUSTOS!$F$16</f>
        <v>0</v>
      </c>
      <c r="AA58" s="19">
        <f>CUSTOS!$F$17</f>
        <v>0</v>
      </c>
      <c r="AB58" s="19">
        <f>CUSTOS!$F$18</f>
        <v>731212.48238599056</v>
      </c>
      <c r="AC58" s="19">
        <f>CUSTOS!$F$19</f>
        <v>0</v>
      </c>
      <c r="AD58" s="19">
        <f>CUSTOS!$F$20</f>
        <v>0</v>
      </c>
      <c r="AE58" s="19">
        <f>CUSTOS!$F$21</f>
        <v>0</v>
      </c>
      <c r="AF58" s="19">
        <f>CUSTOS!$F$22</f>
        <v>0</v>
      </c>
      <c r="AG58" s="19">
        <f>CUSTOS!$F$23</f>
        <v>0</v>
      </c>
      <c r="AH58" s="19">
        <f>CUSTOS!$F$24</f>
        <v>248868.76279945005</v>
      </c>
      <c r="AI58" s="19">
        <f>CUSTOS!$F$25</f>
        <v>8777.7535060455211</v>
      </c>
      <c r="AJ58" s="19">
        <f>CUSTOS!$F$26</f>
        <v>35516.895073105865</v>
      </c>
      <c r="AK58" s="19">
        <f>CUSTOS!$F$27</f>
        <v>0</v>
      </c>
      <c r="AL58" s="19">
        <f>CUSTOS!$F$28</f>
        <v>293163.41137860145</v>
      </c>
      <c r="AM58" s="19">
        <f>CUSTOS!$F$29</f>
        <v>17727212.622178931</v>
      </c>
    </row>
    <row r="59" spans="1:42" ht="11.25" customHeight="1" x14ac:dyDescent="0.25">
      <c r="K59" s="18" t="s">
        <v>751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/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/>
      <c r="AC59" s="19">
        <v>0</v>
      </c>
      <c r="AD59" s="19"/>
      <c r="AE59" s="19">
        <v>0</v>
      </c>
      <c r="AF59" s="19">
        <v>0</v>
      </c>
      <c r="AG59" s="19"/>
      <c r="AH59" s="19">
        <v>0</v>
      </c>
      <c r="AI59" s="19">
        <v>0</v>
      </c>
      <c r="AJ59" s="19">
        <v>0</v>
      </c>
      <c r="AK59" s="19">
        <v>0</v>
      </c>
      <c r="AL59" s="19"/>
      <c r="AM59" s="19"/>
    </row>
    <row r="60" spans="1:42" ht="11.25" customHeight="1" x14ac:dyDescent="0.25">
      <c r="K60" s="18" t="s">
        <v>752</v>
      </c>
      <c r="L60" s="19">
        <f t="shared" ref="L60:S60" si="1">IF((L55+L53)&lt;&gt;0,(L56-L54-L59)/(L55+L53),0)</f>
        <v>6.5989776345360189</v>
      </c>
      <c r="M60" s="19">
        <f t="shared" si="1"/>
        <v>1.0144973877745156</v>
      </c>
      <c r="N60" s="19">
        <f t="shared" ca="1" si="1"/>
        <v>6.0376212982641418E-2</v>
      </c>
      <c r="O60" s="19">
        <f t="shared" si="1"/>
        <v>0</v>
      </c>
      <c r="P60" s="19">
        <f t="shared" si="1"/>
        <v>0</v>
      </c>
      <c r="Q60" s="19">
        <f t="shared" si="1"/>
        <v>94.193572209737411</v>
      </c>
      <c r="R60" s="19">
        <f t="shared" si="1"/>
        <v>14.901352205088047</v>
      </c>
      <c r="S60" s="19">
        <f t="shared" si="1"/>
        <v>0</v>
      </c>
      <c r="T60" s="19"/>
      <c r="U60" s="19">
        <f>IF(U55&lt;&gt;0,(U56-U54-U53-U59)/U55,0)</f>
        <v>1.2128766556449877</v>
      </c>
      <c r="V60" s="19">
        <f>IF(V55&lt;&gt;0,(V56-V54-V53-V59)/V55,0)</f>
        <v>1.0983207843328215</v>
      </c>
      <c r="W60" s="19">
        <f>IF(W55&lt;&gt;0,(W56-W54-W53-W59)/W55,0)</f>
        <v>1.1881702437567467</v>
      </c>
      <c r="X60" s="19">
        <f>IF(X55&lt;&gt;0,(X56-X54-X53-X59)/X55,0)</f>
        <v>0</v>
      </c>
      <c r="Y60" s="19">
        <f>IF(Y55&lt;&gt;0,(Y56-Y54-Y53-Y59)/Y55,0)</f>
        <v>1.1637211322388941</v>
      </c>
      <c r="Z60" s="19"/>
      <c r="AA60" s="19"/>
      <c r="AB60" s="19"/>
      <c r="AC60" s="19">
        <f>IF(AC55&lt;&gt;0,(AC56-AC54-AC53-AC59)/AC55,0)</f>
        <v>1.0985316452724454</v>
      </c>
      <c r="AD60" s="19"/>
      <c r="AE60" s="19">
        <f>IF((AE55+AE53)&lt;&gt;0,(AE56-AE54-AE59)/(AE55+AE53),0)</f>
        <v>0</v>
      </c>
      <c r="AF60" s="19">
        <f>IF((AF55+AF53)&lt;&gt;0,(AF56-AF54-AF59)/(AF55+AF53),0)</f>
        <v>0</v>
      </c>
      <c r="AG60" s="19"/>
      <c r="AH60" s="19">
        <f>IF(AH55&lt;&gt;0,(AH56-AH54-AH53-AH59)/AH55,0)</f>
        <v>1.1601642532734444E-2</v>
      </c>
      <c r="AI60" s="19">
        <f>IF(AI55&lt;&gt;0,(AI56-AI54-AI53-AI59)/AI55,0)</f>
        <v>4.0920040756863246E-4</v>
      </c>
      <c r="AJ60" s="19">
        <f ca="1">IF((AJ55+AJ53)&lt;&gt;0,(AJ56-AJ54-AJ59)/(AJ55+AJ53),0)</f>
        <v>1.0159570334662098</v>
      </c>
      <c r="AK60" s="19">
        <f ca="1">IF((AK55+AK53)&lt;&gt;0,(AK56-AK54-AK59)/(AK55+AK53),0)</f>
        <v>0.12462060711481231</v>
      </c>
      <c r="AL60" s="19"/>
      <c r="AM60" s="19"/>
    </row>
    <row r="62" spans="1:42" ht="11.25" customHeight="1" x14ac:dyDescent="0.25">
      <c r="K62" s="29" t="s">
        <v>756</v>
      </c>
      <c r="L62" s="29" t="s">
        <v>757</v>
      </c>
      <c r="M62" s="29" t="s">
        <v>758</v>
      </c>
      <c r="N62" s="29" t="s">
        <v>759</v>
      </c>
      <c r="O62" s="29" t="s">
        <v>760</v>
      </c>
      <c r="P62" s="29" t="s">
        <v>761</v>
      </c>
    </row>
    <row r="63" spans="1:42" ht="11.25" customHeight="1" x14ac:dyDescent="0.25">
      <c r="K63" s="21" t="s">
        <v>39</v>
      </c>
      <c r="L63" s="21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41719790.161549971</v>
      </c>
      <c r="M63" s="21">
        <f>+'TUSD BE'!$I$7+'TUSD BE'!$I$8+'TUSD BE'!$I$11+'TUSD BE'!$I$12+'TUSD BE'!$I$13+'TUSD BE'!$I$14</f>
        <v>141294.81099999999</v>
      </c>
      <c r="N63" s="21">
        <f ca="1">IF(AND($L$70&lt;&gt;0,M63&lt;&gt;0),(L63/$L$70*$AJ$56)/M63,0)</f>
        <v>2.9536694503082002</v>
      </c>
      <c r="O63" s="21"/>
      <c r="P63" s="21"/>
    </row>
    <row r="64" spans="1:42" ht="11.25" customHeight="1" x14ac:dyDescent="0.25">
      <c r="K64" s="21" t="s">
        <v>88</v>
      </c>
      <c r="L64" s="21">
        <f ca="1">+$L$65+$L$66+$L$67+$L$68+$L$69</f>
        <v>169928847.64320928</v>
      </c>
      <c r="M64" s="21">
        <f>+$M$65+$M$66+$M$67+$M$68+$M$69</f>
        <v>436515.50300000003</v>
      </c>
      <c r="N64" s="21">
        <f ca="1">IF(AND($L$70&lt;&gt;0,M64&lt;&gt;0),(L64/$L$70*$AJ$56)/M64,0)</f>
        <v>3.8941567447648797</v>
      </c>
      <c r="O64" s="21"/>
      <c r="P64" s="21"/>
    </row>
    <row r="65" spans="11:16" ht="11.25" customHeight="1" x14ac:dyDescent="0.25">
      <c r="K65" s="21" t="s">
        <v>88</v>
      </c>
      <c r="L65" s="21"/>
      <c r="M65" s="21"/>
      <c r="N65" s="21">
        <f ca="1">IF(AND($L$70&lt;&gt;0,M65&lt;&gt;0),(L65/$L$70*$AJ$56)/M65,0)</f>
        <v>0</v>
      </c>
      <c r="O65" s="21"/>
      <c r="P65" s="21"/>
    </row>
    <row r="66" spans="11:16" ht="11.25" customHeight="1" x14ac:dyDescent="0.25">
      <c r="K66" s="21" t="s">
        <v>22</v>
      </c>
      <c r="L66" s="21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56489616.971062429</v>
      </c>
      <c r="M66" s="21">
        <f>+'TUSD BE'!$I$17+'TUSD BE'!$I$18+'TUSD BE'!$I$19+'TUSD BE'!$I$20+'TUSD BE'!$I$21+'TUSD BE'!$I$22+'TUSD BE'!$I$23+'TUSD BE'!$I$24+'TUSD BE'!$I$25+'TUSD BE'!$I$26+'TUSD BE'!$I$27+'TUSD BE'!$I$28+'TUSD BE'!$I$29</f>
        <v>146283.45000000001</v>
      </c>
      <c r="N66" s="21"/>
      <c r="O66" s="21"/>
      <c r="P66" s="21"/>
    </row>
    <row r="67" spans="11:16" ht="11.25" customHeight="1" x14ac:dyDescent="0.25">
      <c r="K67" s="21" t="s">
        <v>43</v>
      </c>
      <c r="L67" s="21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73899294.251004443</v>
      </c>
      <c r="M67" s="21">
        <f>+'TUSD BE'!$I$30+'TUSD BE'!$I$31+'TUSD BE'!$I$32+'TUSD BE'!$I$33+'TUSD BE'!$I$34+'TUSD BE'!$I$35+'TUSD BE'!$I$36+'TUSD BE'!$I$37+'TUSD BE'!$I$38+'TUSD BE'!$I$39+'TUSD BE'!$I$40+'TUSD BE'!$I$41+'TUSD BE'!$I$42+'TUSD BE'!$I$43+'TUSD BE'!$I$44</f>
        <v>183474.07499999998</v>
      </c>
      <c r="N67" s="21"/>
      <c r="O67" s="21"/>
      <c r="P67" s="21"/>
    </row>
    <row r="68" spans="11:16" ht="11.25" customHeight="1" x14ac:dyDescent="0.25">
      <c r="K68" s="21" t="s">
        <v>37</v>
      </c>
      <c r="L68" s="21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35336141.005404472</v>
      </c>
      <c r="M68" s="21">
        <f>+'TUSD BE'!$I$45+'TUSD BE'!$I$46+'TUSD BE'!$I$47+'TUSD BE'!$I$48+'TUSD BE'!$I$49</f>
        <v>87781.642999999996</v>
      </c>
      <c r="N68" s="21"/>
      <c r="O68" s="21"/>
      <c r="P68" s="21"/>
    </row>
    <row r="69" spans="11:16" ht="11.25" customHeight="1" x14ac:dyDescent="0.25">
      <c r="K69" s="21" t="s">
        <v>46</v>
      </c>
      <c r="L69" s="21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4203795.4157379363</v>
      </c>
      <c r="M69" s="21">
        <f>+'TUSD BE'!$I$50+'TUSD BE'!$I$51</f>
        <v>18976.334999999999</v>
      </c>
      <c r="N69" s="21"/>
      <c r="O69" s="21"/>
      <c r="P69" s="21"/>
    </row>
    <row r="70" spans="11:16" ht="11.25" customHeight="1" x14ac:dyDescent="0.25">
      <c r="K70" s="21"/>
      <c r="L70" s="21">
        <f ca="1">SUM($L$63:$L$69,-$L$64)</f>
        <v>211648637.80475926</v>
      </c>
      <c r="M70" s="21">
        <f>SUM($M$63:$M$69,-$M$64)</f>
        <v>577810.3139999999</v>
      </c>
      <c r="N70" s="21"/>
      <c r="O70" s="21"/>
      <c r="P70" s="21"/>
    </row>
  </sheetData>
  <mergeCells count="73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D24B1-AD62-4332-93E7-BC835DEE8102}">
  <dimension ref="A1:AP58"/>
  <sheetViews>
    <sheetView showGridLines="0" topLeftCell="I1" workbookViewId="0">
      <selection activeCell="V23" sqref="V2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2" width="10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8.7109375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20" t="s">
        <v>70</v>
      </c>
      <c r="B1" s="120" t="s">
        <v>71</v>
      </c>
      <c r="C1" s="120" t="s">
        <v>72</v>
      </c>
      <c r="D1" s="120" t="s">
        <v>73</v>
      </c>
      <c r="E1" s="120" t="s">
        <v>74</v>
      </c>
      <c r="F1" s="120" t="s">
        <v>15</v>
      </c>
      <c r="G1" s="120" t="s">
        <v>76</v>
      </c>
      <c r="H1" s="120" t="s">
        <v>77</v>
      </c>
      <c r="I1" s="120" t="s">
        <v>745</v>
      </c>
      <c r="J1" s="108"/>
      <c r="L1" s="121" t="s">
        <v>753</v>
      </c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K1" s="121"/>
      <c r="AL1" s="121"/>
      <c r="AM1" s="121"/>
      <c r="AP1" s="121" t="s">
        <v>747</v>
      </c>
    </row>
    <row r="2" spans="1:42" ht="11.25" customHeight="1" x14ac:dyDescent="0.25">
      <c r="A2" s="120"/>
      <c r="B2" s="120"/>
      <c r="C2" s="120"/>
      <c r="D2" s="120"/>
      <c r="E2" s="120"/>
      <c r="F2" s="120"/>
      <c r="G2" s="120"/>
      <c r="H2" s="120"/>
      <c r="I2" s="120"/>
      <c r="J2" s="108"/>
      <c r="L2" s="121" t="s">
        <v>644</v>
      </c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P2" s="122"/>
    </row>
    <row r="3" spans="1:42" ht="11.25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08"/>
      <c r="L3" s="121" t="s">
        <v>645</v>
      </c>
      <c r="M3" s="121"/>
      <c r="N3" s="121"/>
      <c r="O3" s="121"/>
      <c r="P3" s="121"/>
      <c r="Q3" s="121"/>
      <c r="R3" s="121"/>
      <c r="S3" s="121"/>
      <c r="T3" s="121"/>
      <c r="U3" s="121" t="s">
        <v>654</v>
      </c>
      <c r="V3" s="121"/>
      <c r="W3" s="121"/>
      <c r="X3" s="121"/>
      <c r="Y3" s="121"/>
      <c r="Z3" s="121"/>
      <c r="AA3" s="121"/>
      <c r="AB3" s="121"/>
      <c r="AC3" s="121" t="s">
        <v>662</v>
      </c>
      <c r="AD3" s="121"/>
      <c r="AE3" s="121" t="s">
        <v>664</v>
      </c>
      <c r="AF3" s="121"/>
      <c r="AG3" s="121"/>
      <c r="AH3" s="121" t="s">
        <v>667</v>
      </c>
      <c r="AI3" s="121"/>
      <c r="AJ3" s="121"/>
      <c r="AK3" s="121"/>
      <c r="AL3" s="121"/>
      <c r="AM3" s="121" t="s">
        <v>653</v>
      </c>
      <c r="AP3" s="122"/>
    </row>
    <row r="4" spans="1:42" ht="11.25" customHeight="1" x14ac:dyDescent="0.25">
      <c r="A4" s="120"/>
      <c r="B4" s="120"/>
      <c r="C4" s="120"/>
      <c r="D4" s="120"/>
      <c r="E4" s="120"/>
      <c r="F4" s="120"/>
      <c r="G4" s="120"/>
      <c r="H4" s="120"/>
      <c r="I4" s="120"/>
      <c r="J4" s="108"/>
      <c r="L4" s="23" t="s">
        <v>730</v>
      </c>
      <c r="M4" s="23" t="s">
        <v>646</v>
      </c>
      <c r="N4" s="23" t="s">
        <v>647</v>
      </c>
      <c r="O4" s="23" t="s">
        <v>648</v>
      </c>
      <c r="P4" s="23" t="s">
        <v>649</v>
      </c>
      <c r="Q4" s="23" t="s">
        <v>650</v>
      </c>
      <c r="R4" s="23" t="s">
        <v>651</v>
      </c>
      <c r="S4" s="23" t="s">
        <v>652</v>
      </c>
      <c r="T4" s="23" t="s">
        <v>653</v>
      </c>
      <c r="U4" s="23" t="s">
        <v>655</v>
      </c>
      <c r="V4" s="23" t="s">
        <v>656</v>
      </c>
      <c r="W4" s="23" t="s">
        <v>657</v>
      </c>
      <c r="X4" s="23" t="s">
        <v>658</v>
      </c>
      <c r="Y4" s="23" t="s">
        <v>659</v>
      </c>
      <c r="Z4" s="23" t="s">
        <v>660</v>
      </c>
      <c r="AA4" s="23" t="s">
        <v>661</v>
      </c>
      <c r="AB4" s="23" t="s">
        <v>653</v>
      </c>
      <c r="AC4" s="23" t="s">
        <v>663</v>
      </c>
      <c r="AD4" s="23" t="s">
        <v>653</v>
      </c>
      <c r="AE4" s="23" t="s">
        <v>665</v>
      </c>
      <c r="AF4" s="23" t="s">
        <v>666</v>
      </c>
      <c r="AG4" s="23" t="s">
        <v>653</v>
      </c>
      <c r="AH4" s="23" t="s">
        <v>668</v>
      </c>
      <c r="AI4" s="23" t="s">
        <v>669</v>
      </c>
      <c r="AJ4" s="23" t="s">
        <v>670</v>
      </c>
      <c r="AK4" s="23" t="s">
        <v>671</v>
      </c>
      <c r="AL4" s="23" t="s">
        <v>653</v>
      </c>
      <c r="AM4" s="123"/>
      <c r="AP4" s="122"/>
    </row>
    <row r="5" spans="1:42" ht="11.25" customHeight="1" x14ac:dyDescent="0.25">
      <c r="A5" s="119" t="s">
        <v>39</v>
      </c>
      <c r="B5" s="119" t="s">
        <v>42</v>
      </c>
      <c r="C5" s="119" t="s">
        <v>25</v>
      </c>
      <c r="D5" s="119" t="s">
        <v>25</v>
      </c>
      <c r="E5" s="119" t="s">
        <v>25</v>
      </c>
      <c r="F5" s="119" t="s">
        <v>25</v>
      </c>
      <c r="G5" s="21" t="s">
        <v>84</v>
      </c>
      <c r="H5" s="21" t="s">
        <v>83</v>
      </c>
      <c r="I5" s="21">
        <f>'MERCADO TUSD'!$U$2</f>
        <v>63135</v>
      </c>
      <c r="J5" s="17"/>
      <c r="L5" s="20">
        <f>'TR TUSD'!$L$5*'TR TUSD'!$L$60</f>
        <v>0</v>
      </c>
      <c r="M5" s="20">
        <f>'TR TUSD'!$M$5*'TR TUSD'!$M$60</f>
        <v>0</v>
      </c>
      <c r="N5" s="20">
        <f ca="1">'TR TUSD'!$N$5*'TR TUSD'!$N$60</f>
        <v>0</v>
      </c>
      <c r="O5" s="20">
        <f>'TR TUSD'!$O$5*'TR TUSD'!$O$60</f>
        <v>0</v>
      </c>
      <c r="P5" s="20">
        <f>'TR TUSD'!$P$5*'TR TUSD'!$P$60</f>
        <v>0</v>
      </c>
      <c r="Q5" s="20">
        <f>'TR TUSD'!$Q$5*'TR TUSD'!$Q$60</f>
        <v>0</v>
      </c>
      <c r="R5" s="20">
        <f>'TR TUSD'!$R$5*'TR TUSD'!$R$60</f>
        <v>0</v>
      </c>
      <c r="S5" s="20">
        <f>'TR TUSD'!$S$5*'TR TUSD'!$S$60</f>
        <v>0</v>
      </c>
      <c r="T5" s="20">
        <f ca="1">SUM($L$5:$S$5)</f>
        <v>0</v>
      </c>
      <c r="U5" s="20">
        <f>'TR TUSD'!$U$5*'TR TUSD'!$U$60</f>
        <v>5.859043260424242</v>
      </c>
      <c r="V5" s="20">
        <f>'TR TUSD'!$V$5*'TR TUSD'!$V$60</f>
        <v>0.75059242401305026</v>
      </c>
      <c r="W5" s="20">
        <f>'TR TUSD'!$W$5*'TR TUSD'!$W$60</f>
        <v>0.25319907894456273</v>
      </c>
      <c r="X5" s="20">
        <f>'TR TUSD'!$X$5*'TR TUSD'!$X$60</f>
        <v>0</v>
      </c>
      <c r="Y5" s="20">
        <f>'TR TUSD'!$Y$5*'TR TUSD'!$Y$60</f>
        <v>13.076850735081676</v>
      </c>
      <c r="Z5" s="20">
        <f>'TR TUSD'!$Z$5</f>
        <v>0</v>
      </c>
      <c r="AA5" s="20">
        <f>'TR TUSD'!$AA$5</f>
        <v>0</v>
      </c>
      <c r="AB5" s="20">
        <f>SUM($U$5:$AA$5)</f>
        <v>19.939685498463533</v>
      </c>
      <c r="AC5" s="20">
        <f>'TR TUSD'!$AC$5*'TR TUSD'!$AC$60</f>
        <v>38.347762379499578</v>
      </c>
      <c r="AD5" s="20">
        <f>SUM($AC$5:$AC$5)</f>
        <v>38.347762379499578</v>
      </c>
      <c r="AE5" s="20">
        <v>0</v>
      </c>
      <c r="AF5" s="20">
        <v>0</v>
      </c>
      <c r="AG5" s="20">
        <f>SUM($AE$5:$AF$5)</f>
        <v>0</v>
      </c>
      <c r="AH5" s="20">
        <f>'TR TUSD'!$AH$5*'TR TUSD'!$AH$60</f>
        <v>0</v>
      </c>
      <c r="AI5" s="20">
        <f>'TR TUSD'!$AI$5*'TR TUSD'!$AI$60</f>
        <v>0</v>
      </c>
      <c r="AJ5" s="20">
        <f ca="1">'TR TUSD'!$AJ$5*'TR TUSD'!$AJ$60</f>
        <v>0</v>
      </c>
      <c r="AK5" s="20">
        <f ca="1">'TR TUSD'!$AK$5*'TR TUSD'!$AK$60</f>
        <v>0</v>
      </c>
      <c r="AL5" s="20">
        <f ca="1">SUM($AH$5:$AK$5)</f>
        <v>0</v>
      </c>
      <c r="AM5" s="20">
        <f ca="1">SUMIF($L$4:$AL$4,"SUBTOTAL",$L$5:$AL$5)</f>
        <v>58.28744787796311</v>
      </c>
      <c r="AP5" s="20">
        <v>1</v>
      </c>
    </row>
    <row r="6" spans="1:42" ht="11.25" customHeight="1" x14ac:dyDescent="0.25">
      <c r="A6" s="119"/>
      <c r="B6" s="119"/>
      <c r="C6" s="119"/>
      <c r="D6" s="119"/>
      <c r="E6" s="119"/>
      <c r="F6" s="119"/>
      <c r="G6" s="21" t="s">
        <v>85</v>
      </c>
      <c r="H6" s="21" t="s">
        <v>83</v>
      </c>
      <c r="I6" s="21">
        <f>'MERCADO TUSD'!$U$3</f>
        <v>71815</v>
      </c>
      <c r="J6" s="17"/>
      <c r="L6" s="20">
        <f>'TR TUSD'!$L$6*'TR TUSD'!$L$60</f>
        <v>0</v>
      </c>
      <c r="M6" s="20">
        <f>'TR TUSD'!$M$6*'TR TUSD'!$M$60</f>
        <v>0</v>
      </c>
      <c r="N6" s="20">
        <f ca="1">'TR TUSD'!$N$6*'TR TUSD'!$N$60</f>
        <v>0</v>
      </c>
      <c r="O6" s="20">
        <f>'TR TUSD'!$O$6*'TR TUSD'!$O$60</f>
        <v>0</v>
      </c>
      <c r="P6" s="20">
        <f>'TR TUSD'!$P$6*'TR TUSD'!$P$60</f>
        <v>0</v>
      </c>
      <c r="Q6" s="20">
        <f>'TR TUSD'!$Q$6*'TR TUSD'!$Q$60</f>
        <v>0</v>
      </c>
      <c r="R6" s="20">
        <f>'TR TUSD'!$R$6*'TR TUSD'!$R$60</f>
        <v>0</v>
      </c>
      <c r="S6" s="20">
        <f>'TR TUSD'!$S$6*'TR TUSD'!$S$60</f>
        <v>0</v>
      </c>
      <c r="T6" s="20">
        <f ca="1">SUM($L$6:$S$6)</f>
        <v>0</v>
      </c>
      <c r="U6" s="20">
        <f>'TR TUSD'!$U$6*'TR TUSD'!$U$60</f>
        <v>2.0787493001099442</v>
      </c>
      <c r="V6" s="20">
        <f>'TR TUSD'!$V$6*'TR TUSD'!$V$60</f>
        <v>0.28062096039703593</v>
      </c>
      <c r="W6" s="20">
        <f>'TR TUSD'!$W$6*'TR TUSD'!$W$60</f>
        <v>9.1845559842396521E-2</v>
      </c>
      <c r="X6" s="20">
        <f>'TR TUSD'!$X$6*'TR TUSD'!$X$60</f>
        <v>0</v>
      </c>
      <c r="Y6" s="20">
        <f>'TR TUSD'!$Y$6*'TR TUSD'!$Y$60</f>
        <v>3.2509713550225747</v>
      </c>
      <c r="Z6" s="20">
        <f>'TR TUSD'!$Z$6</f>
        <v>0</v>
      </c>
      <c r="AA6" s="20">
        <f>'TR TUSD'!$AA$6</f>
        <v>0</v>
      </c>
      <c r="AB6" s="20">
        <f>SUM($U$6:$AA$6)</f>
        <v>5.702187175371952</v>
      </c>
      <c r="AC6" s="20">
        <f>'TR TUSD'!$AC$6*'TR TUSD'!$AC$60</f>
        <v>12.903352705370144</v>
      </c>
      <c r="AD6" s="20">
        <f>SUM($AC$6:$AC$6)</f>
        <v>12.903352705370144</v>
      </c>
      <c r="AE6" s="20">
        <v>0</v>
      </c>
      <c r="AF6" s="20">
        <v>0</v>
      </c>
      <c r="AG6" s="20">
        <f>SUM($AE$6:$AF$6)</f>
        <v>0</v>
      </c>
      <c r="AH6" s="20">
        <f>'TR TUSD'!$AH$6*'TR TUSD'!$AH$60</f>
        <v>0</v>
      </c>
      <c r="AI6" s="20">
        <f>'TR TUSD'!$AI$6*'TR TUSD'!$AI$60</f>
        <v>0</v>
      </c>
      <c r="AJ6" s="20">
        <f ca="1">'TR TUSD'!$AJ$6*'TR TUSD'!$AJ$60</f>
        <v>0</v>
      </c>
      <c r="AK6" s="20">
        <f ca="1">'TR TUSD'!$AK$6*'TR TUSD'!$AK$60</f>
        <v>0</v>
      </c>
      <c r="AL6" s="20">
        <f ca="1">SUM($AH$6:$AK$6)</f>
        <v>0</v>
      </c>
      <c r="AM6" s="20">
        <f ca="1">SUMIF($L$4:$AL$4,"SUBTOTAL",$L$6:$AL$6)</f>
        <v>18.605539880742096</v>
      </c>
      <c r="AP6" s="20">
        <v>1</v>
      </c>
    </row>
    <row r="7" spans="1:42" ht="11.25" customHeight="1" x14ac:dyDescent="0.25">
      <c r="A7" s="119"/>
      <c r="B7" s="119"/>
      <c r="C7" s="119"/>
      <c r="D7" s="119"/>
      <c r="E7" s="119"/>
      <c r="F7" s="119"/>
      <c r="G7" s="21" t="s">
        <v>86</v>
      </c>
      <c r="H7" s="21" t="s">
        <v>80</v>
      </c>
      <c r="I7" s="21">
        <f>'MERCADO TUSD'!$U$4</f>
        <v>30235.892999999989</v>
      </c>
      <c r="J7" s="17"/>
      <c r="L7" s="20">
        <f>'TR TUSD'!$L$7*'TR TUSD'!$L$60</f>
        <v>5.543141213010256</v>
      </c>
      <c r="M7" s="20">
        <f>'TR TUSD'!$M$7*'TR TUSD'!$M$60</f>
        <v>0.48688402680007825</v>
      </c>
      <c r="N7" s="20">
        <f ca="1">'TR TUSD'!$N$7*'TR TUSD'!$N$60</f>
        <v>1.6377398347525778</v>
      </c>
      <c r="O7" s="20">
        <f>'TR TUSD'!$O$7*'TR TUSD'!$O$60</f>
        <v>0</v>
      </c>
      <c r="P7" s="20">
        <f>'TR TUSD'!$P$7*'TR TUSD'!$P$60</f>
        <v>0</v>
      </c>
      <c r="Q7" s="20">
        <f>'TR TUSD'!$Q$7*'TR TUSD'!$Q$60</f>
        <v>79.122600656179429</v>
      </c>
      <c r="R7" s="20">
        <f>'TR TUSD'!$R$7*'TR TUSD'!$R$60</f>
        <v>14.901352205088047</v>
      </c>
      <c r="S7" s="20">
        <f>'TR TUSD'!$S$7*'TR TUSD'!$S$60</f>
        <v>0</v>
      </c>
      <c r="T7" s="20">
        <f ca="1">SUM($L$7:$S$7)</f>
        <v>101.69171793583038</v>
      </c>
      <c r="U7" s="20">
        <f>'TR TUSD'!$U$7*'TR TUSD'!$U$60</f>
        <v>0</v>
      </c>
      <c r="V7" s="20">
        <f>'TR TUSD'!$V$7*'TR TUSD'!$V$60</f>
        <v>0</v>
      </c>
      <c r="W7" s="20">
        <f>'TR TUSD'!$W$7*'TR TUSD'!$W$60</f>
        <v>0</v>
      </c>
      <c r="X7" s="20">
        <f>'TR TUSD'!$X$7*'TR TUSD'!$X$60</f>
        <v>0</v>
      </c>
      <c r="Y7" s="20">
        <f>'TR TUSD'!$Y$7*'TR TUSD'!$Y$60</f>
        <v>0</v>
      </c>
      <c r="Z7" s="20">
        <f>'TR TUSD'!$Z$7</f>
        <v>0</v>
      </c>
      <c r="AA7" s="20">
        <f>'TR TUSD'!$AA$7</f>
        <v>0</v>
      </c>
      <c r="AB7" s="20">
        <f>SUM($U$7:$AA$7)</f>
        <v>0</v>
      </c>
      <c r="AC7" s="20">
        <f>'TR TUSD'!$AC$7*'TR TUSD'!$AC$60</f>
        <v>0</v>
      </c>
      <c r="AD7" s="20">
        <f>SUM($AC$7:$AC$7)</f>
        <v>0</v>
      </c>
      <c r="AE7" s="20">
        <v>0</v>
      </c>
      <c r="AF7" s="20">
        <v>0</v>
      </c>
      <c r="AG7" s="20">
        <f>SUM($AE$7:$AF$7)</f>
        <v>0</v>
      </c>
      <c r="AH7" s="20">
        <f>'TR TUSD'!$AH$7*'TR TUSD'!$AH$60</f>
        <v>15.686411484529263</v>
      </c>
      <c r="AI7" s="20">
        <f>'TR TUSD'!$AI$7*'TR TUSD'!$AI$60</f>
        <v>0.55327389674759742</v>
      </c>
      <c r="AJ7" s="20">
        <f ca="1">'TR TUSD'!$AJ$7*'TR TUSD'!$AJ$60</f>
        <v>3.0008012525748895</v>
      </c>
      <c r="AK7" s="20">
        <f ca="1">'TR TUSD'!$AK$7*'TR TUSD'!$AK$60</f>
        <v>0.36808808011388183</v>
      </c>
      <c r="AL7" s="20">
        <f ca="1">SUM($AH$7:$AK$7)</f>
        <v>19.608574713965631</v>
      </c>
      <c r="AM7" s="20">
        <f ca="1">SUMIF($L$4:$AL$4,"SUBTOTAL",$L$7:$AL$7)</f>
        <v>121.30029264979601</v>
      </c>
      <c r="AP7" s="20">
        <v>1</v>
      </c>
    </row>
    <row r="8" spans="1:42" ht="11.25" customHeight="1" x14ac:dyDescent="0.25">
      <c r="A8" s="119"/>
      <c r="B8" s="119"/>
      <c r="C8" s="119"/>
      <c r="D8" s="119"/>
      <c r="E8" s="22" t="s">
        <v>87</v>
      </c>
      <c r="F8" s="22" t="s">
        <v>25</v>
      </c>
      <c r="G8" s="21" t="s">
        <v>86</v>
      </c>
      <c r="H8" s="21" t="s">
        <v>80</v>
      </c>
      <c r="I8" s="21">
        <f>'MERCADO TUSD'!$U$5</f>
        <v>0</v>
      </c>
      <c r="J8" s="17"/>
      <c r="L8" s="20">
        <f>'TR TUSD'!$L$8*'TR TUSD'!$L$60</f>
        <v>0</v>
      </c>
      <c r="M8" s="20">
        <f>'TR TUSD'!$M$8*'TR TUSD'!$M$60</f>
        <v>0.48688402680007825</v>
      </c>
      <c r="N8" s="20">
        <f ca="1">'TR TUSD'!$N$8*'TR TUSD'!$N$60</f>
        <v>1.6371360726227511</v>
      </c>
      <c r="O8" s="20">
        <f>'TR TUSD'!$O$8*'TR TUSD'!$O$60</f>
        <v>0</v>
      </c>
      <c r="P8" s="20">
        <f>'TR TUSD'!$P$8*'TR TUSD'!$P$60</f>
        <v>0</v>
      </c>
      <c r="Q8" s="20">
        <f>'TR TUSD'!$Q$8*'TR TUSD'!$Q$60</f>
        <v>0</v>
      </c>
      <c r="R8" s="20">
        <f>'TR TUSD'!$R$8*'TR TUSD'!$R$60</f>
        <v>0</v>
      </c>
      <c r="S8" s="20">
        <f>'TR TUSD'!$S$8*'TR TUSD'!$S$60</f>
        <v>0</v>
      </c>
      <c r="T8" s="20">
        <f ca="1">SUM($L$8:$S$8)</f>
        <v>2.1240200994228293</v>
      </c>
      <c r="U8" s="20">
        <f>'TR TUSD'!$U$8*'TR TUSD'!$U$60</f>
        <v>0</v>
      </c>
      <c r="V8" s="20">
        <f>'TR TUSD'!$V$8*'TR TUSD'!$V$60</f>
        <v>0</v>
      </c>
      <c r="W8" s="20">
        <f>'TR TUSD'!$W$8*'TR TUSD'!$W$60</f>
        <v>0</v>
      </c>
      <c r="X8" s="20">
        <f>'TR TUSD'!$X$8*'TR TUSD'!$X$60</f>
        <v>0</v>
      </c>
      <c r="Y8" s="20">
        <f>'TR TUSD'!$Y$8*'TR TUSD'!$Y$60</f>
        <v>0</v>
      </c>
      <c r="Z8" s="20">
        <f>'TR TUSD'!$Z$8</f>
        <v>0</v>
      </c>
      <c r="AA8" s="20">
        <f>'TR TUSD'!$AA$8</f>
        <v>0</v>
      </c>
      <c r="AB8" s="20">
        <f>SUM($U$8:$AA$8)</f>
        <v>0</v>
      </c>
      <c r="AC8" s="20">
        <f>'TR TUSD'!$AC$8*'TR TUSD'!$AC$60</f>
        <v>0</v>
      </c>
      <c r="AD8" s="20">
        <f>SUM($AC$8:$AC$8)</f>
        <v>0</v>
      </c>
      <c r="AE8" s="20">
        <v>0</v>
      </c>
      <c r="AF8" s="20">
        <v>0</v>
      </c>
      <c r="AG8" s="20">
        <f>SUM($AE$8:$AF$8)</f>
        <v>0</v>
      </c>
      <c r="AH8" s="20">
        <f>'TR TUSD'!$AH$8*'TR TUSD'!$AH$60</f>
        <v>15.686411484529263</v>
      </c>
      <c r="AI8" s="20">
        <f>'TR TUSD'!$AI$8*'TR TUSD'!$AI$60</f>
        <v>0.55327389674759742</v>
      </c>
      <c r="AJ8" s="20">
        <f ca="1">'TR TUSD'!$AJ$8*'TR TUSD'!$AJ$60</f>
        <v>3.0008012525748895</v>
      </c>
      <c r="AK8" s="20">
        <f ca="1">'TR TUSD'!$AK$8*'TR TUSD'!$AK$60</f>
        <v>0.36808808011388183</v>
      </c>
      <c r="AL8" s="20">
        <f ca="1">SUM($AH$8:$AK$8)</f>
        <v>19.608574713965631</v>
      </c>
      <c r="AM8" s="20">
        <f ca="1">SUMIF($L$4:$AL$4,"SUBTOTAL",$L$8:$AL$8)</f>
        <v>21.732594813388459</v>
      </c>
      <c r="AP8" s="20">
        <v>1</v>
      </c>
    </row>
    <row r="9" spans="1:42" ht="11.25" customHeight="1" x14ac:dyDescent="0.25">
      <c r="A9" s="119"/>
      <c r="B9" s="22" t="s">
        <v>59</v>
      </c>
      <c r="C9" s="22" t="s">
        <v>25</v>
      </c>
      <c r="D9" s="22" t="s">
        <v>25</v>
      </c>
      <c r="E9" s="22" t="s">
        <v>25</v>
      </c>
      <c r="F9" s="22" t="s">
        <v>25</v>
      </c>
      <c r="G9" s="21" t="s">
        <v>9</v>
      </c>
      <c r="H9" s="21" t="s">
        <v>83</v>
      </c>
      <c r="I9" s="21">
        <f>'MERCADO TUSD'!$U$6</f>
        <v>16152</v>
      </c>
      <c r="J9" s="17"/>
      <c r="L9" s="20">
        <f>'TR TUSD'!$L$9*'TR TUSD'!$L$60</f>
        <v>0</v>
      </c>
      <c r="M9" s="20">
        <f>'TR TUSD'!$M$9*'TR TUSD'!$M$60</f>
        <v>4.4739334800856137E-2</v>
      </c>
      <c r="N9" s="20">
        <f ca="1">'TR TUSD'!$N$9*'TR TUSD'!$N$60</f>
        <v>7.0700545402673102E-3</v>
      </c>
      <c r="O9" s="20">
        <f>'TR TUSD'!$O$9*'TR TUSD'!$O$60</f>
        <v>0</v>
      </c>
      <c r="P9" s="20">
        <f>'TR TUSD'!$P$9*'TR TUSD'!$P$60</f>
        <v>0</v>
      </c>
      <c r="Q9" s="20">
        <f>'TR TUSD'!$Q$9*'TR TUSD'!$Q$60</f>
        <v>0</v>
      </c>
      <c r="R9" s="20">
        <f>'TR TUSD'!$R$9*'TR TUSD'!$R$60</f>
        <v>0</v>
      </c>
      <c r="S9" s="20">
        <f>'TR TUSD'!$S$9*'TR TUSD'!$S$60</f>
        <v>0</v>
      </c>
      <c r="T9" s="20">
        <f ca="1">SUM($L$9:$S$9)</f>
        <v>5.1809389341123446E-2</v>
      </c>
      <c r="U9" s="20">
        <f>'TR TUSD'!$U$9*'TR TUSD'!$U$60</f>
        <v>0</v>
      </c>
      <c r="V9" s="20">
        <f>'TR TUSD'!$V$9*'TR TUSD'!$V$60</f>
        <v>0</v>
      </c>
      <c r="W9" s="20">
        <f>'TR TUSD'!$W$9*'TR TUSD'!$W$60</f>
        <v>0</v>
      </c>
      <c r="X9" s="20">
        <f>'TR TUSD'!$X$9*'TR TUSD'!$X$60</f>
        <v>0</v>
      </c>
      <c r="Y9" s="20">
        <f>'TR TUSD'!$Y$9*'TR TUSD'!$Y$60</f>
        <v>0</v>
      </c>
      <c r="Z9" s="20">
        <f>'TR TUSD'!$Z$9*'TR TUSD'!$Z$60</f>
        <v>0</v>
      </c>
      <c r="AA9" s="20">
        <f>'TR TUSD'!$AA$9*'TR TUSD'!$AA$60</f>
        <v>0</v>
      </c>
      <c r="AB9" s="20">
        <f>SUM($U$9:$AA$9)</f>
        <v>0</v>
      </c>
      <c r="AC9" s="20">
        <f>'TR TUSD'!$AC$9*'TR TUSD'!$AC$60</f>
        <v>12.099557100524295</v>
      </c>
      <c r="AD9" s="20">
        <f>SUM($AC$9:$AC$9)</f>
        <v>12.099557100524295</v>
      </c>
      <c r="AE9" s="20">
        <v>0</v>
      </c>
      <c r="AF9" s="20">
        <v>0</v>
      </c>
      <c r="AG9" s="20">
        <f>SUM($AE$9:$AF$9)</f>
        <v>0</v>
      </c>
      <c r="AH9" s="20">
        <f>'TR TUSD'!$AH$9*'TR TUSD'!$AH$60</f>
        <v>7.5828335593952322E-3</v>
      </c>
      <c r="AI9" s="20">
        <f>'TR TUSD'!$AI$9*'TR TUSD'!$AI$60</f>
        <v>0</v>
      </c>
      <c r="AJ9" s="20">
        <f ca="1">'TR TUSD'!$AJ$9*'TR TUSD'!$AJ$60</f>
        <v>0</v>
      </c>
      <c r="AK9" s="20">
        <f ca="1">'TR TUSD'!$AK$9*'TR TUSD'!$AK$60</f>
        <v>0</v>
      </c>
      <c r="AL9" s="20">
        <f ca="1">SUM($AH$9:$AK$9)</f>
        <v>7.5828335593952322E-3</v>
      </c>
      <c r="AM9" s="20">
        <f ca="1">SUMIF($L$4:$AL$4,"SUBTOTAL",$L$9:$AL$9)</f>
        <v>12.158949323424814</v>
      </c>
      <c r="AP9" s="20"/>
    </row>
    <row r="10" spans="1:42" ht="11.25" customHeight="1" x14ac:dyDescent="0.25">
      <c r="A10" s="119"/>
      <c r="B10" s="119" t="s">
        <v>40</v>
      </c>
      <c r="C10" s="119" t="s">
        <v>25</v>
      </c>
      <c r="D10" s="119" t="s">
        <v>25</v>
      </c>
      <c r="E10" s="119" t="s">
        <v>25</v>
      </c>
      <c r="F10" s="119" t="s">
        <v>25</v>
      </c>
      <c r="G10" s="21" t="s">
        <v>9</v>
      </c>
      <c r="H10" s="21" t="s">
        <v>83</v>
      </c>
      <c r="I10" s="21">
        <f>'MERCADO TUSD'!$U$7</f>
        <v>539141</v>
      </c>
      <c r="J10" s="17"/>
      <c r="L10" s="20">
        <f>'TR TUSD'!$L$10*'TR TUSD'!$L$60</f>
        <v>0</v>
      </c>
      <c r="M10" s="20">
        <f>'TR TUSD'!$M$10*'TR TUSD'!$M$60</f>
        <v>0</v>
      </c>
      <c r="N10" s="20">
        <f ca="1">'TR TUSD'!$N$10*'TR TUSD'!$N$60</f>
        <v>0</v>
      </c>
      <c r="O10" s="20">
        <f>'TR TUSD'!$O$10*'TR TUSD'!$O$60</f>
        <v>0</v>
      </c>
      <c r="P10" s="20">
        <f>'TR TUSD'!$P$10*'TR TUSD'!$P$60</f>
        <v>0</v>
      </c>
      <c r="Q10" s="20">
        <f>'TR TUSD'!$Q$10*'TR TUSD'!$Q$60</f>
        <v>0</v>
      </c>
      <c r="R10" s="20">
        <f>'TR TUSD'!$R$10*'TR TUSD'!$R$60</f>
        <v>0</v>
      </c>
      <c r="S10" s="20">
        <f>'TR TUSD'!$S$10*'TR TUSD'!$S$60</f>
        <v>0</v>
      </c>
      <c r="T10" s="20">
        <f ca="1">SUM($L$10:$S$10)</f>
        <v>0</v>
      </c>
      <c r="U10" s="20">
        <f>'TR TUSD'!$U$10*'TR TUSD'!$U$60</f>
        <v>2.0787493001099442</v>
      </c>
      <c r="V10" s="20">
        <f>'TR TUSD'!$V$10*'TR TUSD'!$V$60</f>
        <v>0.28062096039703593</v>
      </c>
      <c r="W10" s="20">
        <f>'TR TUSD'!$W$10*'TR TUSD'!$W$60</f>
        <v>9.1845559842396521E-2</v>
      </c>
      <c r="X10" s="20">
        <f>'TR TUSD'!$X$10*'TR TUSD'!$X$60</f>
        <v>0</v>
      </c>
      <c r="Y10" s="20">
        <f>'TR TUSD'!$Y$10*'TR TUSD'!$Y$60</f>
        <v>3.2509713550225747</v>
      </c>
      <c r="Z10" s="20">
        <f>'TR TUSD'!$Z$10</f>
        <v>0</v>
      </c>
      <c r="AA10" s="20">
        <f>'TR TUSD'!$AA$10</f>
        <v>0</v>
      </c>
      <c r="AB10" s="20">
        <f>SUM($U$10:$AA$10)</f>
        <v>5.702187175371952</v>
      </c>
      <c r="AC10" s="20">
        <f>'TR TUSD'!$AC$10*'TR TUSD'!$AC$60</f>
        <v>12.903352705370144</v>
      </c>
      <c r="AD10" s="20">
        <f>SUM($AC$10:$AC$10)</f>
        <v>12.903352705370144</v>
      </c>
      <c r="AE10" s="20">
        <v>0</v>
      </c>
      <c r="AF10" s="20">
        <v>0</v>
      </c>
      <c r="AG10" s="20">
        <f>SUM($AE$10:$AF$10)</f>
        <v>0</v>
      </c>
      <c r="AH10" s="20">
        <f>'TR TUSD'!$AH$10*'TR TUSD'!$AH$60</f>
        <v>0</v>
      </c>
      <c r="AI10" s="20">
        <f>'TR TUSD'!$AI$10*'TR TUSD'!$AI$60</f>
        <v>0</v>
      </c>
      <c r="AJ10" s="20">
        <f ca="1">'TR TUSD'!$AJ$10*'TR TUSD'!$AJ$60</f>
        <v>0</v>
      </c>
      <c r="AK10" s="20">
        <f ca="1">'TR TUSD'!$AK$10*'TR TUSD'!$AK$60</f>
        <v>0</v>
      </c>
      <c r="AL10" s="20">
        <f ca="1">SUM($AH$10:$AK$10)</f>
        <v>0</v>
      </c>
      <c r="AM10" s="20">
        <f ca="1">SUMIF($L$4:$AL$4,"SUBTOTAL",$L$10:$AL$10)</f>
        <v>18.605539880742096</v>
      </c>
      <c r="AP10" s="20">
        <v>1</v>
      </c>
    </row>
    <row r="11" spans="1:42" ht="11.25" customHeight="1" x14ac:dyDescent="0.25">
      <c r="A11" s="119"/>
      <c r="B11" s="119"/>
      <c r="C11" s="119"/>
      <c r="D11" s="119"/>
      <c r="E11" s="119"/>
      <c r="F11" s="119"/>
      <c r="G11" s="21" t="s">
        <v>81</v>
      </c>
      <c r="H11" s="21" t="s">
        <v>80</v>
      </c>
      <c r="I11" s="21">
        <f>'MERCADO TUSD'!$U$8</f>
        <v>7136.594000000001</v>
      </c>
      <c r="J11" s="17"/>
      <c r="L11" s="20">
        <f>'TR TUSD'!$L$11*'TR TUSD'!$L$60</f>
        <v>5.543141213010256</v>
      </c>
      <c r="M11" s="20">
        <f>'TR TUSD'!$M$11*'TR TUSD'!$M$60</f>
        <v>0.48688402680007825</v>
      </c>
      <c r="N11" s="20">
        <f ca="1">'TR TUSD'!$N$11*'TR TUSD'!$N$60</f>
        <v>2.3909537403758692</v>
      </c>
      <c r="O11" s="20">
        <f>'TR TUSD'!$O$11*'TR TUSD'!$O$60</f>
        <v>0</v>
      </c>
      <c r="P11" s="20">
        <f>'TR TUSD'!$P$11*'TR TUSD'!$P$60</f>
        <v>0</v>
      </c>
      <c r="Q11" s="20">
        <f>'TR TUSD'!$Q$11*'TR TUSD'!$Q$60</f>
        <v>79.122600656179429</v>
      </c>
      <c r="R11" s="20">
        <f>'TR TUSD'!$R$11*'TR TUSD'!$R$60</f>
        <v>14.901352205088047</v>
      </c>
      <c r="S11" s="20">
        <f>'TR TUSD'!$S$11*'TR TUSD'!$S$60</f>
        <v>0</v>
      </c>
      <c r="T11" s="20">
        <f ca="1">SUM($L$11:$S$11)</f>
        <v>102.44493184145368</v>
      </c>
      <c r="U11" s="20">
        <f>'TR TUSD'!$U$11*'TR TUSD'!$U$60</f>
        <v>140.91043311318234</v>
      </c>
      <c r="V11" s="20">
        <f>'TR TUSD'!$V$11*'TR TUSD'!$V$60</f>
        <v>18.053098732078588</v>
      </c>
      <c r="W11" s="20">
        <f>'TR TUSD'!$W$11*'TR TUSD'!$W$60</f>
        <v>6.0886595971070729</v>
      </c>
      <c r="X11" s="20">
        <f>'TR TUSD'!$X$11*'TR TUSD'!$X$60</f>
        <v>0</v>
      </c>
      <c r="Y11" s="20">
        <f>'TR TUSD'!$Y$11*'TR TUSD'!$Y$60</f>
        <v>314.49749794137267</v>
      </c>
      <c r="Z11" s="20">
        <f>'TR TUSD'!$Z$11</f>
        <v>0</v>
      </c>
      <c r="AA11" s="20">
        <f>'TR TUSD'!$AA$11</f>
        <v>0</v>
      </c>
      <c r="AB11" s="20">
        <f>SUM($U$11:$AA$11)</f>
        <v>479.54968938374066</v>
      </c>
      <c r="AC11" s="20">
        <f>'TR TUSD'!$AC$11*'TR TUSD'!$AC$60</f>
        <v>922.26400380114205</v>
      </c>
      <c r="AD11" s="20">
        <f>SUM($AC$11:$AC$11)</f>
        <v>922.26400380114205</v>
      </c>
      <c r="AE11" s="20">
        <v>0</v>
      </c>
      <c r="AF11" s="20">
        <v>0</v>
      </c>
      <c r="AG11" s="20">
        <f>SUM($AE$11:$AF$11)</f>
        <v>0</v>
      </c>
      <c r="AH11" s="20">
        <f>'TR TUSD'!$AH$11*'TR TUSD'!$AH$60</f>
        <v>15.686411484529263</v>
      </c>
      <c r="AI11" s="20">
        <f>'TR TUSD'!$AI$11*'TR TUSD'!$AI$60</f>
        <v>0.55327389674759742</v>
      </c>
      <c r="AJ11" s="20">
        <f ca="1">'TR TUSD'!$AJ$11*'TR TUSD'!$AJ$60</f>
        <v>3.0008012525748895</v>
      </c>
      <c r="AK11" s="20">
        <f ca="1">'TR TUSD'!$AK$11*'TR TUSD'!$AK$60</f>
        <v>0.36808808011388183</v>
      </c>
      <c r="AL11" s="20">
        <f ca="1">SUM($AH$11:$AK$11)</f>
        <v>19.608574713965631</v>
      </c>
      <c r="AM11" s="20">
        <f ca="1">SUMIF($L$4:$AL$4,"SUBTOTAL",$L$11:$AL$11)</f>
        <v>1523.8671997403021</v>
      </c>
      <c r="AP11" s="20">
        <v>1</v>
      </c>
    </row>
    <row r="12" spans="1:42" ht="11.25" customHeight="1" x14ac:dyDescent="0.25">
      <c r="A12" s="119"/>
      <c r="B12" s="119"/>
      <c r="C12" s="119"/>
      <c r="D12" s="119"/>
      <c r="E12" s="119"/>
      <c r="F12" s="119"/>
      <c r="G12" s="21" t="s">
        <v>82</v>
      </c>
      <c r="H12" s="21" t="s">
        <v>80</v>
      </c>
      <c r="I12" s="21">
        <f>'MERCADO TUSD'!$U$9</f>
        <v>103922.32400000001</v>
      </c>
      <c r="J12" s="17"/>
      <c r="L12" s="20">
        <f>'TR TUSD'!$L$12*'TR TUSD'!$L$60</f>
        <v>5.543141213010256</v>
      </c>
      <c r="M12" s="20">
        <f>'TR TUSD'!$M$12*'TR TUSD'!$M$60</f>
        <v>0.48688402680007825</v>
      </c>
      <c r="N12" s="20">
        <f ca="1">'TR TUSD'!$N$12*'TR TUSD'!$N$60</f>
        <v>1.6377398347525778</v>
      </c>
      <c r="O12" s="20">
        <f>'TR TUSD'!$O$12*'TR TUSD'!$O$60</f>
        <v>0</v>
      </c>
      <c r="P12" s="20">
        <f>'TR TUSD'!$P$12*'TR TUSD'!$P$60</f>
        <v>0</v>
      </c>
      <c r="Q12" s="20">
        <f>'TR TUSD'!$Q$12*'TR TUSD'!$Q$60</f>
        <v>79.122600656179429</v>
      </c>
      <c r="R12" s="20">
        <f>'TR TUSD'!$R$12*'TR TUSD'!$R$60</f>
        <v>14.901352205088047</v>
      </c>
      <c r="S12" s="20">
        <f>'TR TUSD'!$S$12*'TR TUSD'!$S$60</f>
        <v>0</v>
      </c>
      <c r="T12" s="20">
        <f ca="1">SUM($L$12:$S$12)</f>
        <v>101.69171793583038</v>
      </c>
      <c r="U12" s="20">
        <f>'TR TUSD'!$U$12*'TR TUSD'!$U$60</f>
        <v>0</v>
      </c>
      <c r="V12" s="20">
        <f>'TR TUSD'!$V$12*'TR TUSD'!$V$60</f>
        <v>0</v>
      </c>
      <c r="W12" s="20">
        <f>'TR TUSD'!$W$12*'TR TUSD'!$W$60</f>
        <v>0</v>
      </c>
      <c r="X12" s="20">
        <f>'TR TUSD'!$X$12*'TR TUSD'!$X$60</f>
        <v>0</v>
      </c>
      <c r="Y12" s="20">
        <f>'TR TUSD'!$Y$12*'TR TUSD'!$Y$60</f>
        <v>0</v>
      </c>
      <c r="Z12" s="20">
        <f>'TR TUSD'!$Z$12</f>
        <v>0</v>
      </c>
      <c r="AA12" s="20">
        <f>'TR TUSD'!$AA$12</f>
        <v>0</v>
      </c>
      <c r="AB12" s="20">
        <f>SUM($U$12:$AA$12)</f>
        <v>0</v>
      </c>
      <c r="AC12" s="20">
        <f>'TR TUSD'!$AC$12*'TR TUSD'!$AC$60</f>
        <v>0</v>
      </c>
      <c r="AD12" s="20">
        <f>SUM($AC$12:$AC$12)</f>
        <v>0</v>
      </c>
      <c r="AE12" s="20">
        <v>0</v>
      </c>
      <c r="AF12" s="20">
        <v>0</v>
      </c>
      <c r="AG12" s="20">
        <f>SUM($AE$12:$AF$12)</f>
        <v>0</v>
      </c>
      <c r="AH12" s="20">
        <f>'TR TUSD'!$AH$12*'TR TUSD'!$AH$60</f>
        <v>15.686411484529263</v>
      </c>
      <c r="AI12" s="20">
        <f>'TR TUSD'!$AI$12*'TR TUSD'!$AI$60</f>
        <v>0.55327389674759742</v>
      </c>
      <c r="AJ12" s="20">
        <f ca="1">'TR TUSD'!$AJ$12*'TR TUSD'!$AJ$60</f>
        <v>3.0008012525748895</v>
      </c>
      <c r="AK12" s="20">
        <f ca="1">'TR TUSD'!$AK$12*'TR TUSD'!$AK$60</f>
        <v>0.36808808011388183</v>
      </c>
      <c r="AL12" s="20">
        <f ca="1">SUM($AH$12:$AK$12)</f>
        <v>19.608574713965631</v>
      </c>
      <c r="AM12" s="20">
        <f ca="1">SUMIF($L$4:$AL$4,"SUBTOTAL",$L$12:$AL$12)</f>
        <v>121.30029264979601</v>
      </c>
      <c r="AP12" s="20">
        <v>1</v>
      </c>
    </row>
    <row r="13" spans="1:42" ht="11.25" customHeight="1" x14ac:dyDescent="0.25">
      <c r="A13" s="119"/>
      <c r="B13" s="119"/>
      <c r="C13" s="119"/>
      <c r="D13" s="119"/>
      <c r="E13" s="119" t="s">
        <v>87</v>
      </c>
      <c r="F13" s="119" t="s">
        <v>25</v>
      </c>
      <c r="G13" s="21" t="s">
        <v>81</v>
      </c>
      <c r="H13" s="21" t="s">
        <v>80</v>
      </c>
      <c r="I13" s="21">
        <f>'MERCADO TUSD'!$U$10</f>
        <v>0</v>
      </c>
      <c r="J13" s="17"/>
      <c r="L13" s="20">
        <f>'TR TUSD'!$L$13*'TR TUSD'!$L$60</f>
        <v>0</v>
      </c>
      <c r="M13" s="20">
        <f>'TR TUSD'!$M$13*'TR TUSD'!$M$60</f>
        <v>0.48688402680007825</v>
      </c>
      <c r="N13" s="20">
        <f ca="1">'TR TUSD'!$N$13*'TR TUSD'!$N$60</f>
        <v>2.3903499782460429</v>
      </c>
      <c r="O13" s="20">
        <f>'TR TUSD'!$O$13*'TR TUSD'!$O$60</f>
        <v>0</v>
      </c>
      <c r="P13" s="20">
        <f>'TR TUSD'!$P$13*'TR TUSD'!$P$60</f>
        <v>0</v>
      </c>
      <c r="Q13" s="20">
        <f>'TR TUSD'!$Q$13*'TR TUSD'!$Q$60</f>
        <v>0</v>
      </c>
      <c r="R13" s="20">
        <f>'TR TUSD'!$R$13*'TR TUSD'!$R$60</f>
        <v>0</v>
      </c>
      <c r="S13" s="20">
        <f>'TR TUSD'!$S$13*'TR TUSD'!$S$60</f>
        <v>0</v>
      </c>
      <c r="T13" s="20">
        <f ca="1">SUM($L$13:$S$13)</f>
        <v>2.8772340050461214</v>
      </c>
      <c r="U13" s="20">
        <f>'TR TUSD'!$U$13*'TR TUSD'!$U$60</f>
        <v>140.91043311318234</v>
      </c>
      <c r="V13" s="20">
        <f>'TR TUSD'!$V$13*'TR TUSD'!$V$60</f>
        <v>18.053098732078588</v>
      </c>
      <c r="W13" s="20">
        <f>'TR TUSD'!$W$13*'TR TUSD'!$W$60</f>
        <v>6.0886595971070729</v>
      </c>
      <c r="X13" s="20">
        <f>'TR TUSD'!$X$13*'TR TUSD'!$X$60</f>
        <v>0</v>
      </c>
      <c r="Y13" s="20">
        <f>'TR TUSD'!$Y$13*'TR TUSD'!$Y$60</f>
        <v>314.49749794137267</v>
      </c>
      <c r="Z13" s="20">
        <f>'TR TUSD'!$Z$13</f>
        <v>0</v>
      </c>
      <c r="AA13" s="20">
        <f>'TR TUSD'!$AA$13</f>
        <v>0</v>
      </c>
      <c r="AB13" s="20">
        <f>SUM($U$13:$AA$13)</f>
        <v>479.54968938374066</v>
      </c>
      <c r="AC13" s="20">
        <f>'TR TUSD'!$AC$13*'TR TUSD'!$AC$60</f>
        <v>922.26400380114205</v>
      </c>
      <c r="AD13" s="20">
        <f>SUM($AC$13:$AC$13)</f>
        <v>922.26400380114205</v>
      </c>
      <c r="AE13" s="20">
        <v>0</v>
      </c>
      <c r="AF13" s="20">
        <v>0</v>
      </c>
      <c r="AG13" s="20">
        <f>SUM($AE$13:$AF$13)</f>
        <v>0</v>
      </c>
      <c r="AH13" s="20">
        <f>'TR TUSD'!$AH$13*'TR TUSD'!$AH$60</f>
        <v>15.686411484529263</v>
      </c>
      <c r="AI13" s="20">
        <f>'TR TUSD'!$AI$13*'TR TUSD'!$AI$60</f>
        <v>0.55327389674759742</v>
      </c>
      <c r="AJ13" s="20">
        <f ca="1">'TR TUSD'!$AJ$13*'TR TUSD'!$AJ$60</f>
        <v>3.0008012525748895</v>
      </c>
      <c r="AK13" s="20">
        <f ca="1">'TR TUSD'!$AK$13*'TR TUSD'!$AK$60</f>
        <v>0.36808808011388183</v>
      </c>
      <c r="AL13" s="20">
        <f ca="1">SUM($AH$13:$AK$13)</f>
        <v>19.608574713965631</v>
      </c>
      <c r="AM13" s="20">
        <f ca="1">SUMIF($L$4:$AL$4,"SUBTOTAL",$L$13:$AL$13)</f>
        <v>1424.2995019038947</v>
      </c>
      <c r="AP13" s="20">
        <v>1</v>
      </c>
    </row>
    <row r="14" spans="1:42" ht="11.25" customHeight="1" x14ac:dyDescent="0.25">
      <c r="A14" s="119"/>
      <c r="B14" s="119"/>
      <c r="C14" s="119"/>
      <c r="D14" s="119"/>
      <c r="E14" s="119"/>
      <c r="F14" s="119"/>
      <c r="G14" s="21" t="s">
        <v>82</v>
      </c>
      <c r="H14" s="21" t="s">
        <v>80</v>
      </c>
      <c r="I14" s="21">
        <f>'MERCADO TUSD'!$U$11</f>
        <v>0</v>
      </c>
      <c r="J14" s="17"/>
      <c r="L14" s="20">
        <f>'TR TUSD'!$L$14*'TR TUSD'!$L$60</f>
        <v>0</v>
      </c>
      <c r="M14" s="20">
        <f>'TR TUSD'!$M$14*'TR TUSD'!$M$60</f>
        <v>0.48688402680007825</v>
      </c>
      <c r="N14" s="20">
        <f ca="1">'TR TUSD'!$N$14*'TR TUSD'!$N$60</f>
        <v>1.6371360726227511</v>
      </c>
      <c r="O14" s="20">
        <f>'TR TUSD'!$O$14*'TR TUSD'!$O$60</f>
        <v>0</v>
      </c>
      <c r="P14" s="20">
        <f>'TR TUSD'!$P$14*'TR TUSD'!$P$60</f>
        <v>0</v>
      </c>
      <c r="Q14" s="20">
        <f>'TR TUSD'!$Q$14*'TR TUSD'!$Q$60</f>
        <v>0</v>
      </c>
      <c r="R14" s="20">
        <f>'TR TUSD'!$R$14*'TR TUSD'!$R$60</f>
        <v>0</v>
      </c>
      <c r="S14" s="20">
        <f>'TR TUSD'!$S$14*'TR TUSD'!$S$60</f>
        <v>0</v>
      </c>
      <c r="T14" s="20">
        <f ca="1">SUM($L$14:$S$14)</f>
        <v>2.1240200994228293</v>
      </c>
      <c r="U14" s="20">
        <f>'TR TUSD'!$U$14*'TR TUSD'!$U$60</f>
        <v>0</v>
      </c>
      <c r="V14" s="20">
        <f>'TR TUSD'!$V$14*'TR TUSD'!$V$60</f>
        <v>0</v>
      </c>
      <c r="W14" s="20">
        <f>'TR TUSD'!$W$14*'TR TUSD'!$W$60</f>
        <v>0</v>
      </c>
      <c r="X14" s="20">
        <f>'TR TUSD'!$X$14*'TR TUSD'!$X$60</f>
        <v>0</v>
      </c>
      <c r="Y14" s="20">
        <f>'TR TUSD'!$Y$14*'TR TUSD'!$Y$60</f>
        <v>0</v>
      </c>
      <c r="Z14" s="20">
        <f>'TR TUSD'!$Z$14</f>
        <v>0</v>
      </c>
      <c r="AA14" s="20">
        <f>'TR TUSD'!$AA$14</f>
        <v>0</v>
      </c>
      <c r="AB14" s="20">
        <f>SUM($U$14:$AA$14)</f>
        <v>0</v>
      </c>
      <c r="AC14" s="20">
        <f>'TR TUSD'!$AC$14*'TR TUSD'!$AC$60</f>
        <v>0</v>
      </c>
      <c r="AD14" s="20">
        <f>SUM($AC$14:$AC$14)</f>
        <v>0</v>
      </c>
      <c r="AE14" s="20">
        <v>0</v>
      </c>
      <c r="AF14" s="20">
        <v>0</v>
      </c>
      <c r="AG14" s="20">
        <f>SUM($AE$14:$AF$14)</f>
        <v>0</v>
      </c>
      <c r="AH14" s="20">
        <f>'TR TUSD'!$AH$14*'TR TUSD'!$AH$60</f>
        <v>15.686411484529263</v>
      </c>
      <c r="AI14" s="20">
        <f>'TR TUSD'!$AI$14*'TR TUSD'!$AI$60</f>
        <v>0.55327389674759742</v>
      </c>
      <c r="AJ14" s="20">
        <f ca="1">'TR TUSD'!$AJ$14*'TR TUSD'!$AJ$60</f>
        <v>3.0008012525748895</v>
      </c>
      <c r="AK14" s="20">
        <f ca="1">'TR TUSD'!$AK$14*'TR TUSD'!$AK$60</f>
        <v>0.36808808011388183</v>
      </c>
      <c r="AL14" s="20">
        <f ca="1">SUM($AH$14:$AK$14)</f>
        <v>19.608574713965631</v>
      </c>
      <c r="AM14" s="20">
        <f ca="1">SUMIF($L$4:$AL$4,"SUBTOTAL",$L$14:$AL$14)</f>
        <v>21.732594813388459</v>
      </c>
      <c r="AP14" s="20">
        <v>1</v>
      </c>
    </row>
    <row r="15" spans="1:42" ht="11.25" customHeight="1" x14ac:dyDescent="0.25">
      <c r="A15" s="119" t="s">
        <v>88</v>
      </c>
      <c r="B15" s="119" t="s">
        <v>59</v>
      </c>
      <c r="C15" s="119" t="s">
        <v>25</v>
      </c>
      <c r="D15" s="119" t="s">
        <v>25</v>
      </c>
      <c r="E15" s="22" t="s">
        <v>89</v>
      </c>
      <c r="F15" s="22" t="s">
        <v>25</v>
      </c>
      <c r="G15" s="21" t="s">
        <v>9</v>
      </c>
      <c r="H15" s="21" t="s">
        <v>83</v>
      </c>
      <c r="I15" s="21">
        <f>'MERCADO TUSD'!$U$12+0.00000001</f>
        <v>1E-8</v>
      </c>
      <c r="J15" s="17"/>
      <c r="L15" s="20">
        <f>'TR TUSD'!$L$15*'TR TUSD'!$L$60</f>
        <v>0</v>
      </c>
      <c r="M15" s="20">
        <f>'TR TUSD'!$M$15*'TR TUSD'!$M$60</f>
        <v>6.4927832817569002E-3</v>
      </c>
      <c r="N15" s="20">
        <f ca="1">'TR TUSD'!$N$15*'TR TUSD'!$N$60</f>
        <v>9.5998178642399856E-4</v>
      </c>
      <c r="O15" s="20">
        <f>'TR TUSD'!$O$15*'TR TUSD'!$O$60</f>
        <v>0</v>
      </c>
      <c r="P15" s="20">
        <f>'TR TUSD'!$P$15*'TR TUSD'!$P$60</f>
        <v>0</v>
      </c>
      <c r="Q15" s="20">
        <f>'TR TUSD'!$Q$15*'TR TUSD'!$Q$60</f>
        <v>0</v>
      </c>
      <c r="R15" s="20">
        <f>'TR TUSD'!$R$15*'TR TUSD'!$R$60</f>
        <v>0</v>
      </c>
      <c r="S15" s="20">
        <f>'TR TUSD'!$S$15*'TR TUSD'!$S$60</f>
        <v>0</v>
      </c>
      <c r="T15" s="20">
        <f ca="1">SUM($L$15:$S$15)</f>
        <v>7.4527650681808985E-3</v>
      </c>
      <c r="U15" s="20">
        <f>'TR TUSD'!$U$15*'TR TUSD'!$U$60</f>
        <v>0</v>
      </c>
      <c r="V15" s="20">
        <f>'TR TUSD'!$V$15*'TR TUSD'!$V$60</f>
        <v>0</v>
      </c>
      <c r="W15" s="20">
        <f>'TR TUSD'!$W$15*'TR TUSD'!$W$60</f>
        <v>0</v>
      </c>
      <c r="X15" s="20">
        <f>'TR TUSD'!$X$15*'TR TUSD'!$X$60</f>
        <v>0</v>
      </c>
      <c r="Y15" s="20">
        <f>'TR TUSD'!$Y$15*'TR TUSD'!$Y$60</f>
        <v>0</v>
      </c>
      <c r="Z15" s="20">
        <f>'TR TUSD'!$Z$15*'TR TUSD'!$Z$60</f>
        <v>0</v>
      </c>
      <c r="AA15" s="20">
        <f>'TR TUSD'!$AA$15*'TR TUSD'!$AA$60</f>
        <v>0</v>
      </c>
      <c r="AB15" s="20">
        <f>SUM($U$15:$AA$15)</f>
        <v>0</v>
      </c>
      <c r="AC15" s="20">
        <f>'TR TUSD'!$AC$15*'TR TUSD'!$AC$60</f>
        <v>1.7447978121862251</v>
      </c>
      <c r="AD15" s="20">
        <f>SUM($AC$15:$AC$15)</f>
        <v>1.7447978121862251</v>
      </c>
      <c r="AE15" s="20">
        <v>0</v>
      </c>
      <c r="AF15" s="20">
        <v>0</v>
      </c>
      <c r="AG15" s="20">
        <f>SUM($AE$15:$AF$15)</f>
        <v>0</v>
      </c>
      <c r="AH15" s="20">
        <f>'TR TUSD'!$AH$15*'TR TUSD'!$AH$60</f>
        <v>0</v>
      </c>
      <c r="AI15" s="20">
        <f>'TR TUSD'!$AI$15*'TR TUSD'!$AI$60</f>
        <v>0</v>
      </c>
      <c r="AJ15" s="20">
        <f ca="1">'TR TUSD'!$AJ$15*'TR TUSD'!$AJ$60</f>
        <v>0</v>
      </c>
      <c r="AK15" s="20">
        <f ca="1">'TR TUSD'!$AK$15*'TR TUSD'!$AK$60</f>
        <v>0</v>
      </c>
      <c r="AL15" s="20">
        <f ca="1">SUM($AH$15:$AK$15)</f>
        <v>0</v>
      </c>
      <c r="AM15" s="20">
        <f ca="1">SUMIF($L$4:$AL$4,"SUBTOTAL",$L$15:$AL$15)</f>
        <v>1.7522505772544059</v>
      </c>
      <c r="AP15" s="20"/>
    </row>
    <row r="16" spans="1:42" ht="11.25" customHeight="1" x14ac:dyDescent="0.25">
      <c r="A16" s="119"/>
      <c r="B16" s="119"/>
      <c r="C16" s="119"/>
      <c r="D16" s="119"/>
      <c r="E16" s="22" t="s">
        <v>90</v>
      </c>
      <c r="F16" s="22" t="s">
        <v>25</v>
      </c>
      <c r="G16" s="21" t="s">
        <v>9</v>
      </c>
      <c r="H16" s="21" t="s">
        <v>83</v>
      </c>
      <c r="I16" s="21">
        <f>'MERCADO TUSD'!$U$13+0.00000001</f>
        <v>1E-8</v>
      </c>
      <c r="J16" s="17"/>
      <c r="L16" s="20">
        <f>'TR TUSD'!$L$16*'TR TUSD'!$L$60</f>
        <v>0</v>
      </c>
      <c r="M16" s="20">
        <f>'TR TUSD'!$M$16*'TR TUSD'!$M$60</f>
        <v>6.4927832817569002E-3</v>
      </c>
      <c r="N16" s="20">
        <f ca="1">'TR TUSD'!$N$16*'TR TUSD'!$N$60</f>
        <v>9.5998178642399856E-4</v>
      </c>
      <c r="O16" s="20">
        <f>'TR TUSD'!$O$16*'TR TUSD'!$O$60</f>
        <v>0</v>
      </c>
      <c r="P16" s="20">
        <f>'TR TUSD'!$P$16*'TR TUSD'!$P$60</f>
        <v>0</v>
      </c>
      <c r="Q16" s="20">
        <f>'TR TUSD'!$Q$16*'TR TUSD'!$Q$60</f>
        <v>0</v>
      </c>
      <c r="R16" s="20">
        <f>'TR TUSD'!$R$16*'TR TUSD'!$R$60</f>
        <v>0</v>
      </c>
      <c r="S16" s="20">
        <f>'TR TUSD'!$S$16*'TR TUSD'!$S$60</f>
        <v>0</v>
      </c>
      <c r="T16" s="20">
        <f ca="1">SUM($L$16:$S$16)</f>
        <v>7.4527650681808985E-3</v>
      </c>
      <c r="U16" s="20">
        <f>'TR TUSD'!$U$16*'TR TUSD'!$U$60</f>
        <v>0</v>
      </c>
      <c r="V16" s="20">
        <f>'TR TUSD'!$V$16*'TR TUSD'!$V$60</f>
        <v>0</v>
      </c>
      <c r="W16" s="20">
        <f>'TR TUSD'!$W$16*'TR TUSD'!$W$60</f>
        <v>0</v>
      </c>
      <c r="X16" s="20">
        <f>'TR TUSD'!$X$16*'TR TUSD'!$X$60</f>
        <v>0</v>
      </c>
      <c r="Y16" s="20">
        <f>'TR TUSD'!$Y$16*'TR TUSD'!$Y$60</f>
        <v>0</v>
      </c>
      <c r="Z16" s="20">
        <f>'TR TUSD'!$Z$16*'TR TUSD'!$Z$60</f>
        <v>0</v>
      </c>
      <c r="AA16" s="20">
        <f>'TR TUSD'!$AA$16*'TR TUSD'!$AA$60</f>
        <v>0</v>
      </c>
      <c r="AB16" s="20">
        <f>SUM($U$16:$AA$16)</f>
        <v>0</v>
      </c>
      <c r="AC16" s="20">
        <f>'TR TUSD'!$AC$16*'TR TUSD'!$AC$60</f>
        <v>15.66670905905298</v>
      </c>
      <c r="AD16" s="20">
        <f>SUM($AC$16:$AC$16)</f>
        <v>15.66670905905298</v>
      </c>
      <c r="AE16" s="20">
        <v>0</v>
      </c>
      <c r="AF16" s="20">
        <v>0</v>
      </c>
      <c r="AG16" s="20">
        <f>SUM($AE$16:$AF$16)</f>
        <v>0</v>
      </c>
      <c r="AH16" s="20">
        <f>'TR TUSD'!$AH$16*'TR TUSD'!$AH$60</f>
        <v>0</v>
      </c>
      <c r="AI16" s="20">
        <f>'TR TUSD'!$AI$16*'TR TUSD'!$AI$60</f>
        <v>0</v>
      </c>
      <c r="AJ16" s="20">
        <f ca="1">'TR TUSD'!$AJ$16*'TR TUSD'!$AJ$60</f>
        <v>0</v>
      </c>
      <c r="AK16" s="20">
        <f ca="1">'TR TUSD'!$AK$16*'TR TUSD'!$AK$60</f>
        <v>0</v>
      </c>
      <c r="AL16" s="20">
        <f ca="1">SUM($AH$16:$AK$16)</f>
        <v>0</v>
      </c>
      <c r="AM16" s="20">
        <f ca="1">SUMIF($L$4:$AL$4,"SUBTOTAL",$L$16:$AL$16)</f>
        <v>15.67416182412116</v>
      </c>
      <c r="AP16" s="20"/>
    </row>
    <row r="17" spans="1:42" ht="11.25" customHeight="1" x14ac:dyDescent="0.25">
      <c r="A17" s="119" t="s">
        <v>22</v>
      </c>
      <c r="B17" s="119" t="s">
        <v>33</v>
      </c>
      <c r="C17" s="119" t="s">
        <v>24</v>
      </c>
      <c r="D17" s="119" t="s">
        <v>24</v>
      </c>
      <c r="E17" s="119" t="s">
        <v>25</v>
      </c>
      <c r="F17" s="119" t="s">
        <v>25</v>
      </c>
      <c r="G17" s="21" t="s">
        <v>81</v>
      </c>
      <c r="H17" s="21" t="s">
        <v>80</v>
      </c>
      <c r="I17" s="21">
        <f>'MERCADO TUSD'!$U$14</f>
        <v>17.608000000000004</v>
      </c>
      <c r="J17" s="17"/>
      <c r="L17" s="20">
        <f>'TR TUSD'!$L$17*'TR TUSD'!$L$60</f>
        <v>6.5989776345360189</v>
      </c>
      <c r="M17" s="20">
        <f>'TR TUSD'!$M$17*'TR TUSD'!$M$60</f>
        <v>0.7411475167964322</v>
      </c>
      <c r="N17" s="20">
        <f ca="1">'TR TUSD'!$N$17*'TR TUSD'!$N$60</f>
        <v>3.5042790956857779</v>
      </c>
      <c r="O17" s="20">
        <f>'TR TUSD'!$O$17*'TR TUSD'!$O$60</f>
        <v>0</v>
      </c>
      <c r="P17" s="20">
        <f>'TR TUSD'!$P$17*'TR TUSD'!$P$60</f>
        <v>0</v>
      </c>
      <c r="Q17" s="20">
        <f>'TR TUSD'!$Q$17*'TR TUSD'!$Q$60</f>
        <v>94.193572209737411</v>
      </c>
      <c r="R17" s="20">
        <f>'TR TUSD'!$R$17*'TR TUSD'!$R$60</f>
        <v>14.901352205088047</v>
      </c>
      <c r="S17" s="20">
        <f>'TR TUSD'!$S$17*'TR TUSD'!$S$60</f>
        <v>0</v>
      </c>
      <c r="T17" s="20">
        <f ca="1">SUM($L$17:$S$17)</f>
        <v>119.93932866184369</v>
      </c>
      <c r="U17" s="20">
        <f>'TR TUSD'!$U$17*'TR TUSD'!$U$60</f>
        <v>79.917777004769448</v>
      </c>
      <c r="V17" s="20">
        <f>'TR TUSD'!$V$17*'TR TUSD'!$V$60</f>
        <v>10.54267137673232</v>
      </c>
      <c r="W17" s="20">
        <f>'TR TUSD'!$W$17*'TR TUSD'!$W$60</f>
        <v>3.4957156741567244</v>
      </c>
      <c r="X17" s="20">
        <f>'TR TUSD'!$X$17*'TR TUSD'!$X$60</f>
        <v>0</v>
      </c>
      <c r="Y17" s="20">
        <f>'TR TUSD'!$Y$17*'TR TUSD'!$Y$60</f>
        <v>128.59339618254904</v>
      </c>
      <c r="Z17" s="20">
        <f>'TR TUSD'!$Z$17</f>
        <v>0</v>
      </c>
      <c r="AA17" s="20">
        <f>'TR TUSD'!$AA$17</f>
        <v>0</v>
      </c>
      <c r="AB17" s="20">
        <f>SUM($U$17:$AA$17)</f>
        <v>222.54956023820753</v>
      </c>
      <c r="AC17" s="20">
        <f>'TR TUSD'!$AC$17*'TR TUSD'!$AC$60</f>
        <v>573.16404901963108</v>
      </c>
      <c r="AD17" s="20">
        <f>SUM($AC$17:$AC$17)</f>
        <v>573.16404901963108</v>
      </c>
      <c r="AE17" s="20">
        <v>0</v>
      </c>
      <c r="AF17" s="20">
        <v>0</v>
      </c>
      <c r="AG17" s="20">
        <f>SUM($AE$17:$AF$17)</f>
        <v>0</v>
      </c>
      <c r="AH17" s="20">
        <f>'TR TUSD'!$AH$17*'TR TUSD'!$AH$60</f>
        <v>29.484790225909379</v>
      </c>
      <c r="AI17" s="20">
        <f>'TR TUSD'!$AI$17*'TR TUSD'!$AI$60</f>
        <v>1.0399551738881279</v>
      </c>
      <c r="AJ17" s="20">
        <f ca="1">'TR TUSD'!$AJ$17*'TR TUSD'!$AJ$60</f>
        <v>3.9562959342637596</v>
      </c>
      <c r="AK17" s="20">
        <f ca="1">'TR TUSD'!$AK$17*'TR TUSD'!$AK$60</f>
        <v>0.4852921777328405</v>
      </c>
      <c r="AL17" s="20">
        <f ca="1">SUM($AH$17:$AK$17)</f>
        <v>34.966333511794105</v>
      </c>
      <c r="AM17" s="20">
        <f ca="1">SUMIF($L$4:$AL$4,"SUBTOTAL",$L$17:$AL$17)</f>
        <v>950.61927143147636</v>
      </c>
      <c r="AP17" s="20">
        <v>1</v>
      </c>
    </row>
    <row r="18" spans="1:42" ht="11.25" customHeight="1" x14ac:dyDescent="0.25">
      <c r="A18" s="119"/>
      <c r="B18" s="119"/>
      <c r="C18" s="119"/>
      <c r="D18" s="119"/>
      <c r="E18" s="119"/>
      <c r="F18" s="119"/>
      <c r="G18" s="21" t="s">
        <v>91</v>
      </c>
      <c r="H18" s="21" t="s">
        <v>80</v>
      </c>
      <c r="I18" s="21">
        <f>'MERCADO TUSD'!$U$15</f>
        <v>7.3439999999999994</v>
      </c>
      <c r="J18" s="17"/>
      <c r="L18" s="20">
        <f>'TR TUSD'!$L$18*'TR TUSD'!$L$60</f>
        <v>6.5989776345360189</v>
      </c>
      <c r="M18" s="20">
        <f>'TR TUSD'!$M$18*'TR TUSD'!$M$60</f>
        <v>0.7411475167964322</v>
      </c>
      <c r="N18" s="20">
        <f ca="1">'TR TUSD'!$N$18*'TR TUSD'!$N$60</f>
        <v>3.3326441935958826</v>
      </c>
      <c r="O18" s="20">
        <f>'TR TUSD'!$O$18*'TR TUSD'!$O$60</f>
        <v>0</v>
      </c>
      <c r="P18" s="20">
        <f>'TR TUSD'!$P$18*'TR TUSD'!$P$60</f>
        <v>0</v>
      </c>
      <c r="Q18" s="20">
        <f>'TR TUSD'!$Q$18*'TR TUSD'!$Q$60</f>
        <v>94.193572209737411</v>
      </c>
      <c r="R18" s="20">
        <f>'TR TUSD'!$R$18*'TR TUSD'!$R$60</f>
        <v>14.901352205088047</v>
      </c>
      <c r="S18" s="20">
        <f>'TR TUSD'!$S$18*'TR TUSD'!$S$60</f>
        <v>0</v>
      </c>
      <c r="T18" s="20">
        <f ca="1">SUM($L$18:$S$18)</f>
        <v>119.7676937597538</v>
      </c>
      <c r="U18" s="20">
        <f>'TR TUSD'!$U$18*'TR TUSD'!$U$60</f>
        <v>47.95059343026233</v>
      </c>
      <c r="V18" s="20">
        <f>'TR TUSD'!$V$18*'TR TUSD'!$V$60</f>
        <v>6.3255588932080187</v>
      </c>
      <c r="W18" s="20">
        <f>'TR TUSD'!$W$18*'TR TUSD'!$W$60</f>
        <v>2.0973581142794093</v>
      </c>
      <c r="X18" s="20">
        <f>'TR TUSD'!$X$18*'TR TUSD'!$X$60</f>
        <v>0</v>
      </c>
      <c r="Y18" s="20">
        <f>'TR TUSD'!$Y$18*'TR TUSD'!$Y$60</f>
        <v>77.155991160684138</v>
      </c>
      <c r="Z18" s="20">
        <f>'TR TUSD'!$Z$18</f>
        <v>0</v>
      </c>
      <c r="AA18" s="20">
        <f>'TR TUSD'!$AA$18</f>
        <v>0</v>
      </c>
      <c r="AB18" s="20">
        <f>SUM($U$18:$AA$18)</f>
        <v>133.52950159843391</v>
      </c>
      <c r="AC18" s="20">
        <f>'TR TUSD'!$AC$18*'TR TUSD'!$AC$60</f>
        <v>343.89840744114576</v>
      </c>
      <c r="AD18" s="20">
        <f>SUM($AC$18:$AC$18)</f>
        <v>343.89840744114576</v>
      </c>
      <c r="AE18" s="20">
        <v>0</v>
      </c>
      <c r="AF18" s="20">
        <v>0</v>
      </c>
      <c r="AG18" s="20">
        <f>SUM($AE$18:$AF$18)</f>
        <v>0</v>
      </c>
      <c r="AH18" s="20">
        <f>'TR TUSD'!$AH$18*'TR TUSD'!$AH$60</f>
        <v>29.484790225909379</v>
      </c>
      <c r="AI18" s="20">
        <f>'TR TUSD'!$AI$18*'TR TUSD'!$AI$60</f>
        <v>1.0399551738881279</v>
      </c>
      <c r="AJ18" s="20">
        <f ca="1">'TR TUSD'!$AJ$18*'TR TUSD'!$AJ$60</f>
        <v>3.9562959342637596</v>
      </c>
      <c r="AK18" s="20">
        <f ca="1">'TR TUSD'!$AK$18*'TR TUSD'!$AK$60</f>
        <v>0.4852921777328405</v>
      </c>
      <c r="AL18" s="20">
        <f ca="1">SUM($AH$18:$AK$18)</f>
        <v>34.966333511794105</v>
      </c>
      <c r="AM18" s="20">
        <f ca="1">SUMIF($L$4:$AL$4,"SUBTOTAL",$L$18:$AL$18)</f>
        <v>632.16193631112765</v>
      </c>
      <c r="AP18" s="20">
        <v>1</v>
      </c>
    </row>
    <row r="19" spans="1:42" ht="11.25" customHeight="1" x14ac:dyDescent="0.25">
      <c r="A19" s="119"/>
      <c r="B19" s="119"/>
      <c r="C19" s="119"/>
      <c r="D19" s="119"/>
      <c r="E19" s="119"/>
      <c r="F19" s="119"/>
      <c r="G19" s="21" t="s">
        <v>82</v>
      </c>
      <c r="H19" s="21" t="s">
        <v>80</v>
      </c>
      <c r="I19" s="21">
        <f>'MERCADO TUSD'!$U$16</f>
        <v>120.18199999999999</v>
      </c>
      <c r="J19" s="17"/>
      <c r="L19" s="20">
        <f>'TR TUSD'!$L$19*'TR TUSD'!$L$60</f>
        <v>6.5989776345360189</v>
      </c>
      <c r="M19" s="20">
        <f>'TR TUSD'!$M$19*'TR TUSD'!$M$60</f>
        <v>0.7411475167964322</v>
      </c>
      <c r="N19" s="20">
        <f ca="1">'TR TUSD'!$N$19*'TR TUSD'!$N$60</f>
        <v>3.1610095330108399</v>
      </c>
      <c r="O19" s="20">
        <f>'TR TUSD'!$O$19*'TR TUSD'!$O$60</f>
        <v>0</v>
      </c>
      <c r="P19" s="20">
        <f>'TR TUSD'!$P$19*'TR TUSD'!$P$60</f>
        <v>0</v>
      </c>
      <c r="Q19" s="20">
        <f>'TR TUSD'!$Q$19*'TR TUSD'!$Q$60</f>
        <v>94.193572209737411</v>
      </c>
      <c r="R19" s="20">
        <f>'TR TUSD'!$R$19*'TR TUSD'!$R$60</f>
        <v>14.901352205088047</v>
      </c>
      <c r="S19" s="20">
        <f>'TR TUSD'!$S$19*'TR TUSD'!$S$60</f>
        <v>0</v>
      </c>
      <c r="T19" s="20">
        <f ca="1">SUM($L$19:$S$19)</f>
        <v>119.59605909916874</v>
      </c>
      <c r="U19" s="20">
        <f>'TR TUSD'!$U$19*'TR TUSD'!$U$60</f>
        <v>15.983531143420777</v>
      </c>
      <c r="V19" s="20">
        <f>'TR TUSD'!$V$19*'TR TUSD'!$V$60</f>
        <v>2.1085562417621508</v>
      </c>
      <c r="W19" s="20">
        <f>'TR TUSD'!$W$19*'TR TUSD'!$W$60</f>
        <v>0.69911937142646985</v>
      </c>
      <c r="X19" s="20">
        <f>'TR TUSD'!$X$19*'TR TUSD'!$X$60</f>
        <v>0</v>
      </c>
      <c r="Y19" s="20">
        <f>'TR TUSD'!$Y$19*'TR TUSD'!$Y$60</f>
        <v>25.718702510932456</v>
      </c>
      <c r="Z19" s="20">
        <f>'TR TUSD'!$Z$19</f>
        <v>0</v>
      </c>
      <c r="AA19" s="20">
        <f>'TR TUSD'!$AA$19</f>
        <v>0</v>
      </c>
      <c r="AB19" s="20">
        <f>SUM($U$19:$AA$19)</f>
        <v>44.509909267541858</v>
      </c>
      <c r="AC19" s="20">
        <f>'TR TUSD'!$AC$19*'TR TUSD'!$AC$60</f>
        <v>114.63276586266042</v>
      </c>
      <c r="AD19" s="20">
        <f>SUM($AC$19:$AC$19)</f>
        <v>114.63276586266042</v>
      </c>
      <c r="AE19" s="20">
        <v>0</v>
      </c>
      <c r="AF19" s="20">
        <v>0</v>
      </c>
      <c r="AG19" s="20">
        <f>SUM($AE$19:$AF$19)</f>
        <v>0</v>
      </c>
      <c r="AH19" s="20">
        <f>'TR TUSD'!$AH$19*'TR TUSD'!$AH$60</f>
        <v>29.484790225909379</v>
      </c>
      <c r="AI19" s="20">
        <f>'TR TUSD'!$AI$19*'TR TUSD'!$AI$60</f>
        <v>1.0399551738881279</v>
      </c>
      <c r="AJ19" s="20">
        <f ca="1">'TR TUSD'!$AJ$19*'TR TUSD'!$AJ$60</f>
        <v>3.9562959342637596</v>
      </c>
      <c r="AK19" s="20">
        <f ca="1">'TR TUSD'!$AK$19*'TR TUSD'!$AK$60</f>
        <v>0.4852921777328405</v>
      </c>
      <c r="AL19" s="20">
        <f ca="1">SUM($AH$19:$AK$19)</f>
        <v>34.966333511794105</v>
      </c>
      <c r="AM19" s="20">
        <f ca="1">SUMIF($L$4:$AL$4,"SUBTOTAL",$L$19:$AL$19)</f>
        <v>313.70506774116518</v>
      </c>
      <c r="AP19" s="20">
        <v>1</v>
      </c>
    </row>
    <row r="20" spans="1:42" ht="11.25" customHeight="1" x14ac:dyDescent="0.25">
      <c r="A20" s="119"/>
      <c r="B20" s="119" t="s">
        <v>23</v>
      </c>
      <c r="C20" s="119" t="s">
        <v>24</v>
      </c>
      <c r="D20" s="22" t="s">
        <v>24</v>
      </c>
      <c r="E20" s="22" t="s">
        <v>25</v>
      </c>
      <c r="F20" s="22" t="s">
        <v>25</v>
      </c>
      <c r="G20" s="21" t="s">
        <v>86</v>
      </c>
      <c r="H20" s="21" t="s">
        <v>80</v>
      </c>
      <c r="I20" s="21">
        <f>'MERCADO TUSD'!$U$17</f>
        <v>125132.74900000001</v>
      </c>
      <c r="J20" s="17"/>
      <c r="L20" s="20">
        <f>'TR TUSD'!$L$20*'TR TUSD'!$L$60</f>
        <v>6.5989776345360189</v>
      </c>
      <c r="M20" s="20">
        <f>'TR TUSD'!$M$20*'TR TUSD'!$M$60</f>
        <v>0.7411475167964322</v>
      </c>
      <c r="N20" s="20">
        <f ca="1">'TR TUSD'!$N$20*'TR TUSD'!$N$60</f>
        <v>3.2114102673320635</v>
      </c>
      <c r="O20" s="20">
        <f>'TR TUSD'!$O$20*'TR TUSD'!$O$60</f>
        <v>0</v>
      </c>
      <c r="P20" s="20">
        <f>'TR TUSD'!$P$20*'TR TUSD'!$P$60</f>
        <v>0</v>
      </c>
      <c r="Q20" s="20">
        <f>'TR TUSD'!$Q$20*'TR TUSD'!$Q$60</f>
        <v>94.193572209737411</v>
      </c>
      <c r="R20" s="20">
        <f>'TR TUSD'!$R$20*'TR TUSD'!$R$60</f>
        <v>14.901352205088047</v>
      </c>
      <c r="S20" s="20">
        <f>'TR TUSD'!$S$20*'TR TUSD'!$S$60</f>
        <v>0</v>
      </c>
      <c r="T20" s="20">
        <f ca="1">SUM($L$20:$S$20)</f>
        <v>119.64645983348997</v>
      </c>
      <c r="U20" s="20">
        <f>'TR TUSD'!$U$20*'TR TUSD'!$U$60</f>
        <v>25.370711307450723</v>
      </c>
      <c r="V20" s="20">
        <f>'TR TUSD'!$V$20*'TR TUSD'!$V$60</f>
        <v>3.3469129260974069</v>
      </c>
      <c r="W20" s="20">
        <f>'TR TUSD'!$W$20*'TR TUSD'!$W$60</f>
        <v>1.1097510076688015</v>
      </c>
      <c r="X20" s="20">
        <f>'TR TUSD'!$X$20*'TR TUSD'!$X$60</f>
        <v>0</v>
      </c>
      <c r="Y20" s="20">
        <f>'TR TUSD'!$Y$20*'TR TUSD'!$Y$60</f>
        <v>40.823337318940403</v>
      </c>
      <c r="Z20" s="20">
        <f>'TR TUSD'!$Z$20</f>
        <v>0</v>
      </c>
      <c r="AA20" s="20">
        <f>'TR TUSD'!$AA$20</f>
        <v>0</v>
      </c>
      <c r="AB20" s="20">
        <f>SUM($U$20:$AA$20)</f>
        <v>70.650712560157331</v>
      </c>
      <c r="AC20" s="20">
        <f>'TR TUSD'!$AC$20*'TR TUSD'!$AC$60</f>
        <v>181.95682700900488</v>
      </c>
      <c r="AD20" s="20">
        <f>SUM($AC$20:$AC$20)</f>
        <v>181.95682700900488</v>
      </c>
      <c r="AE20" s="20">
        <v>0</v>
      </c>
      <c r="AF20" s="20">
        <v>0</v>
      </c>
      <c r="AG20" s="20">
        <f>SUM($AE$20:$AF$20)</f>
        <v>0</v>
      </c>
      <c r="AH20" s="20">
        <f>'TR TUSD'!$AH$20*'TR TUSD'!$AH$60</f>
        <v>29.484790225909379</v>
      </c>
      <c r="AI20" s="20">
        <f>'TR TUSD'!$AI$20*'TR TUSD'!$AI$60</f>
        <v>1.0399551738881279</v>
      </c>
      <c r="AJ20" s="20">
        <f ca="1">'TR TUSD'!$AJ$20*'TR TUSD'!$AJ$60</f>
        <v>3.9562959342637596</v>
      </c>
      <c r="AK20" s="20">
        <f ca="1">'TR TUSD'!$AK$20*'TR TUSD'!$AK$60</f>
        <v>0.4852921777328405</v>
      </c>
      <c r="AL20" s="20">
        <f ca="1">SUM($AH$20:$AK$20)</f>
        <v>34.966333511794105</v>
      </c>
      <c r="AM20" s="20">
        <f ca="1">SUMIF($L$4:$AL$4,"SUBTOTAL",$L$20:$AL$20)</f>
        <v>407.22033291444632</v>
      </c>
      <c r="AP20" s="20">
        <v>1</v>
      </c>
    </row>
    <row r="21" spans="1:42" ht="11.25" customHeight="1" x14ac:dyDescent="0.25">
      <c r="A21" s="119"/>
      <c r="B21" s="119"/>
      <c r="C21" s="119"/>
      <c r="D21" s="22" t="s">
        <v>29</v>
      </c>
      <c r="E21" s="22" t="s">
        <v>25</v>
      </c>
      <c r="F21" s="22" t="s">
        <v>25</v>
      </c>
      <c r="G21" s="21" t="s">
        <v>86</v>
      </c>
      <c r="H21" s="21" t="s">
        <v>80</v>
      </c>
      <c r="I21" s="21">
        <f>'MERCADO TUSD'!$U$18</f>
        <v>4179.51</v>
      </c>
      <c r="J21" s="17"/>
      <c r="L21" s="20">
        <f>'TR TUSD'!$L$21*'TR TUSD'!$L$60</f>
        <v>0</v>
      </c>
      <c r="M21" s="20">
        <f>'TR TUSD'!$M$21*'TR TUSD'!$M$60</f>
        <v>0.7411475167964322</v>
      </c>
      <c r="N21" s="20">
        <f ca="1">'TR TUSD'!$N$21*'TR TUSD'!$N$60</f>
        <v>3.2108065052022372</v>
      </c>
      <c r="O21" s="20">
        <f>'TR TUSD'!$O$21*'TR TUSD'!$O$60</f>
        <v>0</v>
      </c>
      <c r="P21" s="20">
        <f>'TR TUSD'!$P$21*'TR TUSD'!$P$60</f>
        <v>0</v>
      </c>
      <c r="Q21" s="20">
        <f>'TR TUSD'!$Q$21*'TR TUSD'!$Q$60</f>
        <v>0</v>
      </c>
      <c r="R21" s="20">
        <f>'TR TUSD'!$R$21*'TR TUSD'!$R$60</f>
        <v>0</v>
      </c>
      <c r="S21" s="20">
        <f>'TR TUSD'!$S$21*'TR TUSD'!$S$60</f>
        <v>0</v>
      </c>
      <c r="T21" s="20">
        <f ca="1">SUM($L$21:$S$21)</f>
        <v>3.9519540219986693</v>
      </c>
      <c r="U21" s="20">
        <f>'TR TUSD'!$U$21*'TR TUSD'!$U$60</f>
        <v>25.370711307450723</v>
      </c>
      <c r="V21" s="20">
        <f>'TR TUSD'!$V$21*'TR TUSD'!$V$60</f>
        <v>3.3469129260974069</v>
      </c>
      <c r="W21" s="20">
        <f>'TR TUSD'!$W$21*'TR TUSD'!$W$60</f>
        <v>1.1097510076688015</v>
      </c>
      <c r="X21" s="20">
        <f>'TR TUSD'!$X$21*'TR TUSD'!$X$60</f>
        <v>0</v>
      </c>
      <c r="Y21" s="20">
        <f>'TR TUSD'!$Y$21*'TR TUSD'!$Y$60</f>
        <v>40.823337318940403</v>
      </c>
      <c r="Z21" s="20">
        <f>'TR TUSD'!$Z$21</f>
        <v>0</v>
      </c>
      <c r="AA21" s="20">
        <f>'TR TUSD'!$AA$21</f>
        <v>0</v>
      </c>
      <c r="AB21" s="20">
        <f>SUM($U$21:$AA$21)</f>
        <v>70.650712560157331</v>
      </c>
      <c r="AC21" s="20">
        <f>'TR TUSD'!$AC$21*'TR TUSD'!$AC$60</f>
        <v>181.95682700900488</v>
      </c>
      <c r="AD21" s="20">
        <f>SUM($AC$21:$AC$21)</f>
        <v>181.95682700900488</v>
      </c>
      <c r="AE21" s="20">
        <v>0</v>
      </c>
      <c r="AF21" s="20">
        <v>0</v>
      </c>
      <c r="AG21" s="20">
        <f>SUM($AE$21:$AF$21)</f>
        <v>0</v>
      </c>
      <c r="AH21" s="20">
        <f>'TR TUSD'!$AH$21*'TR TUSD'!$AH$60</f>
        <v>29.484790225909379</v>
      </c>
      <c r="AI21" s="20">
        <f>'TR TUSD'!$AI$21*'TR TUSD'!$AI$60</f>
        <v>1.0399551738881279</v>
      </c>
      <c r="AJ21" s="20">
        <f ca="1">'TR TUSD'!$AJ$21*'TR TUSD'!$AJ$60</f>
        <v>3.9562959342637596</v>
      </c>
      <c r="AK21" s="20">
        <f ca="1">'TR TUSD'!$AK$21*'TR TUSD'!$AK$60</f>
        <v>0.4852921777328405</v>
      </c>
      <c r="AL21" s="20">
        <f ca="1">SUM($AH$21:$AK$21)</f>
        <v>34.966333511794105</v>
      </c>
      <c r="AM21" s="20">
        <f ca="1">SUMIF($L$4:$AL$4,"SUBTOTAL",$L$21:$AL$21)</f>
        <v>291.52582710295502</v>
      </c>
      <c r="AP21" s="20">
        <f>IF((1 - CUSTOS!$M$24)&lt;&gt;0,1/(1 - CUSTOS!$M$24),1)</f>
        <v>1</v>
      </c>
    </row>
    <row r="22" spans="1:42" ht="11.25" customHeight="1" x14ac:dyDescent="0.25">
      <c r="A22" s="119"/>
      <c r="B22" s="119"/>
      <c r="C22" s="119"/>
      <c r="D22" s="22" t="s">
        <v>30</v>
      </c>
      <c r="E22" s="22" t="s">
        <v>25</v>
      </c>
      <c r="F22" s="22" t="s">
        <v>25</v>
      </c>
      <c r="G22" s="21" t="s">
        <v>86</v>
      </c>
      <c r="H22" s="21" t="s">
        <v>80</v>
      </c>
      <c r="I22" s="21">
        <f>'MERCADO TUSD'!$U$19</f>
        <v>8380.1260000000002</v>
      </c>
      <c r="J22" s="17"/>
      <c r="L22" s="20">
        <f>'TR TUSD'!$L$22*'TR TUSD'!$L$60</f>
        <v>0</v>
      </c>
      <c r="M22" s="20">
        <f>'TR TUSD'!$M$22*'TR TUSD'!$M$60</f>
        <v>0.7411475167964322</v>
      </c>
      <c r="N22" s="20">
        <f ca="1">'TR TUSD'!$N$22*'TR TUSD'!$N$60</f>
        <v>3.2108065052022372</v>
      </c>
      <c r="O22" s="20">
        <f>'TR TUSD'!$O$22*'TR TUSD'!$O$60</f>
        <v>0</v>
      </c>
      <c r="P22" s="20">
        <f>'TR TUSD'!$P$22*'TR TUSD'!$P$60</f>
        <v>0</v>
      </c>
      <c r="Q22" s="20">
        <f>'TR TUSD'!$Q$22*'TR TUSD'!$Q$60</f>
        <v>0</v>
      </c>
      <c r="R22" s="20">
        <f>'TR TUSD'!$R$22*'TR TUSD'!$R$60</f>
        <v>0</v>
      </c>
      <c r="S22" s="20">
        <f>'TR TUSD'!$S$22*'TR TUSD'!$S$60</f>
        <v>0</v>
      </c>
      <c r="T22" s="20">
        <f ca="1">SUM($L$22:$S$22)</f>
        <v>3.9519540219986693</v>
      </c>
      <c r="U22" s="20">
        <f>'TR TUSD'!$U$22*'TR TUSD'!$U$60</f>
        <v>25.370711307450723</v>
      </c>
      <c r="V22" s="20">
        <f>'TR TUSD'!$V$22*'TR TUSD'!$V$60</f>
        <v>3.3469129260974069</v>
      </c>
      <c r="W22" s="20">
        <f>'TR TUSD'!$W$22*'TR TUSD'!$W$60</f>
        <v>1.1097510076688015</v>
      </c>
      <c r="X22" s="20">
        <f>'TR TUSD'!$X$22*'TR TUSD'!$X$60</f>
        <v>0</v>
      </c>
      <c r="Y22" s="20">
        <f>'TR TUSD'!$Y$22*'TR TUSD'!$Y$60</f>
        <v>40.823337318940403</v>
      </c>
      <c r="Z22" s="20">
        <f>'TR TUSD'!$Z$22</f>
        <v>0</v>
      </c>
      <c r="AA22" s="20">
        <f>'TR TUSD'!$AA$22</f>
        <v>0</v>
      </c>
      <c r="AB22" s="20">
        <f>SUM($U$22:$AA$22)</f>
        <v>70.650712560157331</v>
      </c>
      <c r="AC22" s="20">
        <f>'TR TUSD'!$AC$22*'TR TUSD'!$AC$60</f>
        <v>181.95682700900488</v>
      </c>
      <c r="AD22" s="20">
        <f>SUM($AC$22:$AC$22)</f>
        <v>181.95682700900488</v>
      </c>
      <c r="AE22" s="20">
        <v>0</v>
      </c>
      <c r="AF22" s="20">
        <v>0</v>
      </c>
      <c r="AG22" s="20">
        <f>SUM($AE$22:$AF$22)</f>
        <v>0</v>
      </c>
      <c r="AH22" s="20">
        <f>'TR TUSD'!$AH$22*'TR TUSD'!$AH$60</f>
        <v>29.484790225909379</v>
      </c>
      <c r="AI22" s="20">
        <f>'TR TUSD'!$AI$22*'TR TUSD'!$AI$60</f>
        <v>1.0399551738881279</v>
      </c>
      <c r="AJ22" s="20">
        <f ca="1">'TR TUSD'!$AJ$22*'TR TUSD'!$AJ$60</f>
        <v>3.9562959342637596</v>
      </c>
      <c r="AK22" s="20">
        <f ca="1">'TR TUSD'!$AK$22*'TR TUSD'!$AK$60</f>
        <v>0.4852921777328405</v>
      </c>
      <c r="AL22" s="20">
        <f ca="1">SUM($AH$22:$AK$22)</f>
        <v>34.966333511794105</v>
      </c>
      <c r="AM22" s="20">
        <f ca="1">SUMIF($L$4:$AL$4,"SUBTOTAL",$L$22:$AL$22)</f>
        <v>291.52582710295502</v>
      </c>
      <c r="AP22" s="20">
        <f>IF((1 - CUSTOS!$M$25)&lt;&gt;0,1/(1 - CUSTOS!$M$25),1)</f>
        <v>1</v>
      </c>
    </row>
    <row r="23" spans="1:42" ht="11.25" customHeight="1" x14ac:dyDescent="0.25">
      <c r="A23" s="119"/>
      <c r="B23" s="119"/>
      <c r="C23" s="119"/>
      <c r="D23" s="22" t="s">
        <v>31</v>
      </c>
      <c r="E23" s="22" t="s">
        <v>25</v>
      </c>
      <c r="F23" s="22" t="s">
        <v>25</v>
      </c>
      <c r="G23" s="21" t="s">
        <v>86</v>
      </c>
      <c r="H23" s="21" t="s">
        <v>80</v>
      </c>
      <c r="I23" s="21">
        <f>'MERCADO TUSD'!$U$20</f>
        <v>6567.2470000000003</v>
      </c>
      <c r="J23" s="17"/>
      <c r="L23" s="20">
        <f>'TR TUSD'!$L$23*'TR TUSD'!$L$60</f>
        <v>0</v>
      </c>
      <c r="M23" s="20">
        <f>'TR TUSD'!$M$23*'TR TUSD'!$M$60</f>
        <v>0.7411475167964322</v>
      </c>
      <c r="N23" s="20">
        <f ca="1">'TR TUSD'!$N$23*'TR TUSD'!$N$60</f>
        <v>3.2108065052022372</v>
      </c>
      <c r="O23" s="20">
        <f>'TR TUSD'!$O$23*'TR TUSD'!$O$60</f>
        <v>0</v>
      </c>
      <c r="P23" s="20">
        <f>'TR TUSD'!$P$23*'TR TUSD'!$P$60</f>
        <v>0</v>
      </c>
      <c r="Q23" s="20">
        <f>'TR TUSD'!$Q$23*'TR TUSD'!$Q$60</f>
        <v>0</v>
      </c>
      <c r="R23" s="20">
        <f>'TR TUSD'!$R$23*'TR TUSD'!$R$60</f>
        <v>0</v>
      </c>
      <c r="S23" s="20">
        <f>'TR TUSD'!$S$23*'TR TUSD'!$S$60</f>
        <v>0</v>
      </c>
      <c r="T23" s="20">
        <f ca="1">SUM($L$23:$S$23)</f>
        <v>3.9519540219986693</v>
      </c>
      <c r="U23" s="20">
        <f>'TR TUSD'!$U$23*'TR TUSD'!$U$60</f>
        <v>25.370711307450723</v>
      </c>
      <c r="V23" s="20">
        <f>'TR TUSD'!$V$23*'TR TUSD'!$V$60</f>
        <v>3.3469129260974069</v>
      </c>
      <c r="W23" s="20">
        <f>'TR TUSD'!$W$23*'TR TUSD'!$W$60</f>
        <v>1.1097510076688015</v>
      </c>
      <c r="X23" s="20">
        <f>'TR TUSD'!$X$23*'TR TUSD'!$X$60</f>
        <v>0</v>
      </c>
      <c r="Y23" s="20">
        <f>'TR TUSD'!$Y$23*'TR TUSD'!$Y$60</f>
        <v>40.823337318940403</v>
      </c>
      <c r="Z23" s="20">
        <f>'TR TUSD'!$Z$23</f>
        <v>0</v>
      </c>
      <c r="AA23" s="20">
        <f>'TR TUSD'!$AA$23</f>
        <v>0</v>
      </c>
      <c r="AB23" s="20">
        <f>SUM($U$23:$AA$23)</f>
        <v>70.650712560157331</v>
      </c>
      <c r="AC23" s="20">
        <f>'TR TUSD'!$AC$23*'TR TUSD'!$AC$60</f>
        <v>181.95682700900488</v>
      </c>
      <c r="AD23" s="20">
        <f>SUM($AC$23:$AC$23)</f>
        <v>181.95682700900488</v>
      </c>
      <c r="AE23" s="20">
        <v>0</v>
      </c>
      <c r="AF23" s="20">
        <v>0</v>
      </c>
      <c r="AG23" s="20">
        <f>SUM($AE$23:$AF$23)</f>
        <v>0</v>
      </c>
      <c r="AH23" s="20">
        <f>'TR TUSD'!$AH$23*'TR TUSD'!$AH$60</f>
        <v>29.484790225909379</v>
      </c>
      <c r="AI23" s="20">
        <f>'TR TUSD'!$AI$23*'TR TUSD'!$AI$60</f>
        <v>1.0399551738881279</v>
      </c>
      <c r="AJ23" s="20">
        <f ca="1">'TR TUSD'!$AJ$23*'TR TUSD'!$AJ$60</f>
        <v>3.9562959342637596</v>
      </c>
      <c r="AK23" s="20">
        <f ca="1">'TR TUSD'!$AK$23*'TR TUSD'!$AK$60</f>
        <v>0.4852921777328405</v>
      </c>
      <c r="AL23" s="20">
        <f ca="1">SUM($AH$23:$AK$23)</f>
        <v>34.966333511794105</v>
      </c>
      <c r="AM23" s="20">
        <f ca="1">SUMIF($L$4:$AL$4,"SUBTOTAL",$L$23:$AL$23)</f>
        <v>291.52582710295502</v>
      </c>
      <c r="AP23" s="20">
        <f>IF((1 - CUSTOS!$M$26)&lt;&gt;0,1/(1 - CUSTOS!$M$26),1)</f>
        <v>1</v>
      </c>
    </row>
    <row r="24" spans="1:42" ht="11.25" customHeight="1" x14ac:dyDescent="0.25">
      <c r="A24" s="119"/>
      <c r="B24" s="119"/>
      <c r="C24" s="119"/>
      <c r="D24" s="22" t="s">
        <v>32</v>
      </c>
      <c r="E24" s="22" t="s">
        <v>25</v>
      </c>
      <c r="F24" s="22" t="s">
        <v>25</v>
      </c>
      <c r="G24" s="21" t="s">
        <v>86</v>
      </c>
      <c r="H24" s="21" t="s">
        <v>80</v>
      </c>
      <c r="I24" s="21">
        <f>'MERCADO TUSD'!$U$21</f>
        <v>1878.684</v>
      </c>
      <c r="J24" s="17"/>
      <c r="L24" s="20">
        <f>'TR TUSD'!$L$24*'TR TUSD'!$L$60</f>
        <v>0</v>
      </c>
      <c r="M24" s="20">
        <f>'TR TUSD'!$M$24*'TR TUSD'!$M$60</f>
        <v>0.7411475167964322</v>
      </c>
      <c r="N24" s="20">
        <f ca="1">'TR TUSD'!$N$24*'TR TUSD'!$N$60</f>
        <v>3.2108065052022372</v>
      </c>
      <c r="O24" s="20">
        <f>'TR TUSD'!$O$24*'TR TUSD'!$O$60</f>
        <v>0</v>
      </c>
      <c r="P24" s="20">
        <f>'TR TUSD'!$P$24*'TR TUSD'!$P$60</f>
        <v>0</v>
      </c>
      <c r="Q24" s="20">
        <f>'TR TUSD'!$Q$24*'TR TUSD'!$Q$60</f>
        <v>0</v>
      </c>
      <c r="R24" s="20">
        <f>'TR TUSD'!$R$24*'TR TUSD'!$R$60</f>
        <v>0</v>
      </c>
      <c r="S24" s="20">
        <f>'TR TUSD'!$S$24*'TR TUSD'!$S$60</f>
        <v>0</v>
      </c>
      <c r="T24" s="20">
        <f ca="1">SUM($L$24:$S$24)</f>
        <v>3.9519540219986693</v>
      </c>
      <c r="U24" s="20">
        <f>'TR TUSD'!$U$24*'TR TUSD'!$U$60</f>
        <v>25.370711307450723</v>
      </c>
      <c r="V24" s="20">
        <f>'TR TUSD'!$V$24*'TR TUSD'!$V$60</f>
        <v>3.3469129260974069</v>
      </c>
      <c r="W24" s="20">
        <f>'TR TUSD'!$W$24*'TR TUSD'!$W$60</f>
        <v>1.1097510076688015</v>
      </c>
      <c r="X24" s="20">
        <f>'TR TUSD'!$X$24*'TR TUSD'!$X$60</f>
        <v>0</v>
      </c>
      <c r="Y24" s="20">
        <f>'TR TUSD'!$Y$24*'TR TUSD'!$Y$60</f>
        <v>40.823337318940403</v>
      </c>
      <c r="Z24" s="20">
        <f>'TR TUSD'!$Z$24</f>
        <v>0</v>
      </c>
      <c r="AA24" s="20">
        <f>'TR TUSD'!$AA$24</f>
        <v>0</v>
      </c>
      <c r="AB24" s="20">
        <f>SUM($U$24:$AA$24)</f>
        <v>70.650712560157331</v>
      </c>
      <c r="AC24" s="20">
        <f>'TR TUSD'!$AC$24*'TR TUSD'!$AC$60</f>
        <v>181.95682700900488</v>
      </c>
      <c r="AD24" s="20">
        <f>SUM($AC$24:$AC$24)</f>
        <v>181.95682700900488</v>
      </c>
      <c r="AE24" s="20">
        <v>0</v>
      </c>
      <c r="AF24" s="20">
        <v>0</v>
      </c>
      <c r="AG24" s="20">
        <f>SUM($AE$24:$AF$24)</f>
        <v>0</v>
      </c>
      <c r="AH24" s="20">
        <f>'TR TUSD'!$AH$24*'TR TUSD'!$AH$60</f>
        <v>29.484790225909379</v>
      </c>
      <c r="AI24" s="20">
        <f>'TR TUSD'!$AI$24*'TR TUSD'!$AI$60</f>
        <v>1.0399551738881279</v>
      </c>
      <c r="AJ24" s="20">
        <f ca="1">'TR TUSD'!$AJ$24*'TR TUSD'!$AJ$60</f>
        <v>3.9562959342637596</v>
      </c>
      <c r="AK24" s="20">
        <f ca="1">'TR TUSD'!$AK$24*'TR TUSD'!$AK$60</f>
        <v>0.4852921777328405</v>
      </c>
      <c r="AL24" s="20">
        <f ca="1">SUM($AH$24:$AK$24)</f>
        <v>34.966333511794105</v>
      </c>
      <c r="AM24" s="20">
        <f ca="1">SUMIF($L$4:$AL$4,"SUBTOTAL",$L$24:$AL$24)</f>
        <v>291.52582710295502</v>
      </c>
      <c r="AP24" s="20">
        <f>IF((1 - CUSTOS!$M$27)&lt;&gt;0,1/(1 - CUSTOS!$M$27),1)</f>
        <v>1</v>
      </c>
    </row>
    <row r="25" spans="1:42" ht="11.25" customHeight="1" x14ac:dyDescent="0.25">
      <c r="A25" s="119"/>
      <c r="B25" s="119" t="s">
        <v>94</v>
      </c>
      <c r="C25" s="119" t="s">
        <v>24</v>
      </c>
      <c r="D25" s="22" t="s">
        <v>24</v>
      </c>
      <c r="E25" s="22" t="s">
        <v>25</v>
      </c>
      <c r="F25" s="22" t="s">
        <v>25</v>
      </c>
      <c r="G25" s="21" t="s">
        <v>86</v>
      </c>
      <c r="H25" s="21" t="s">
        <v>80</v>
      </c>
      <c r="I25" s="21">
        <f>'MERCADO TUSD'!$U$22</f>
        <v>0</v>
      </c>
      <c r="J25" s="17"/>
      <c r="L25" s="20">
        <f>'TR TUSD'!$L$25*'TR TUSD'!$L$60</f>
        <v>6.5989776345360189</v>
      </c>
      <c r="M25" s="20">
        <f>'TR TUSD'!$M$25*'TR TUSD'!$M$60</f>
        <v>0.7411475167964322</v>
      </c>
      <c r="N25" s="20">
        <f ca="1">'TR TUSD'!$N$25*'TR TUSD'!$N$60</f>
        <v>3.2114102673320635</v>
      </c>
      <c r="O25" s="20">
        <f>'TR TUSD'!$O$25*'TR TUSD'!$O$60</f>
        <v>0</v>
      </c>
      <c r="P25" s="20">
        <f>'TR TUSD'!$P$25*'TR TUSD'!$P$60</f>
        <v>0</v>
      </c>
      <c r="Q25" s="20">
        <f>'TR TUSD'!$Q$25*'TR TUSD'!$Q$60</f>
        <v>94.193572209737411</v>
      </c>
      <c r="R25" s="20">
        <f>'TR TUSD'!$R$25*'TR TUSD'!$R$60</f>
        <v>14.901352205088047</v>
      </c>
      <c r="S25" s="20">
        <f>'TR TUSD'!$S$25*'TR TUSD'!$S$60</f>
        <v>0</v>
      </c>
      <c r="T25" s="20">
        <f ca="1">SUM($L$25:$S$25)</f>
        <v>119.64645983348997</v>
      </c>
      <c r="U25" s="20">
        <f>'TR TUSD'!$U$25*'TR TUSD'!$U$60</f>
        <v>25.370711307450723</v>
      </c>
      <c r="V25" s="20">
        <f>'TR TUSD'!$V$25*'TR TUSD'!$V$60</f>
        <v>3.3469129260974069</v>
      </c>
      <c r="W25" s="20">
        <f>'TR TUSD'!$W$25*'TR TUSD'!$W$60</f>
        <v>1.1097510076688015</v>
      </c>
      <c r="X25" s="20">
        <f>'TR TUSD'!$X$25*'TR TUSD'!$X$60</f>
        <v>0</v>
      </c>
      <c r="Y25" s="20">
        <f>'TR TUSD'!$Y$25*'TR TUSD'!$Y$60</f>
        <v>40.823337318940403</v>
      </c>
      <c r="Z25" s="20">
        <f>'TR TUSD'!$Z$25</f>
        <v>0</v>
      </c>
      <c r="AA25" s="20">
        <f>'TR TUSD'!$AA$25</f>
        <v>0</v>
      </c>
      <c r="AB25" s="20">
        <f>SUM($U$25:$AA$25)</f>
        <v>70.650712560157331</v>
      </c>
      <c r="AC25" s="20">
        <f>'TR TUSD'!$AC$25*'TR TUSD'!$AC$60</f>
        <v>181.95682700900488</v>
      </c>
      <c r="AD25" s="20">
        <f>SUM($AC$25:$AC$25)</f>
        <v>181.95682700900488</v>
      </c>
      <c r="AE25" s="20">
        <v>0</v>
      </c>
      <c r="AF25" s="20">
        <v>0</v>
      </c>
      <c r="AG25" s="20">
        <f>SUM($AE$25:$AF$25)</f>
        <v>0</v>
      </c>
      <c r="AH25" s="20">
        <f>'TR TUSD'!$AH$25*'TR TUSD'!$AH$60</f>
        <v>29.484790225909379</v>
      </c>
      <c r="AI25" s="20">
        <f>'TR TUSD'!$AI$25*'TR TUSD'!$AI$60</f>
        <v>1.0399551738881279</v>
      </c>
      <c r="AJ25" s="20">
        <f ca="1">'TR TUSD'!$AJ$25*'TR TUSD'!$AJ$60</f>
        <v>3.9562959342637596</v>
      </c>
      <c r="AK25" s="20">
        <f ca="1">'TR TUSD'!$AK$25*'TR TUSD'!$AK$60</f>
        <v>0.4852921777328405</v>
      </c>
      <c r="AL25" s="20">
        <f ca="1">SUM($AH$25:$AK$25)</f>
        <v>34.966333511794105</v>
      </c>
      <c r="AM25" s="20">
        <f ca="1">SUMIF($L$4:$AL$4,"SUBTOTAL",$L$25:$AL$25)</f>
        <v>407.22033291444632</v>
      </c>
      <c r="AP25" s="20">
        <v>1</v>
      </c>
    </row>
    <row r="26" spans="1:42" ht="11.25" customHeight="1" x14ac:dyDescent="0.25">
      <c r="A26" s="119"/>
      <c r="B26" s="119"/>
      <c r="C26" s="119"/>
      <c r="D26" s="22" t="s">
        <v>29</v>
      </c>
      <c r="E26" s="22" t="s">
        <v>25</v>
      </c>
      <c r="F26" s="22" t="s">
        <v>25</v>
      </c>
      <c r="G26" s="21" t="s">
        <v>86</v>
      </c>
      <c r="H26" s="21" t="s">
        <v>80</v>
      </c>
      <c r="I26" s="21">
        <f>'MERCADO TUSD'!$U$23</f>
        <v>0</v>
      </c>
      <c r="J26" s="17"/>
      <c r="L26" s="20">
        <f>'TR TUSD'!$L$26*'TR TUSD'!$L$60</f>
        <v>0</v>
      </c>
      <c r="M26" s="20">
        <f>'TR TUSD'!$M$26*'TR TUSD'!$M$60</f>
        <v>0.7411475167964322</v>
      </c>
      <c r="N26" s="20">
        <f ca="1">'TR TUSD'!$N$26*'TR TUSD'!$N$60</f>
        <v>3.2108065052022372</v>
      </c>
      <c r="O26" s="20">
        <f>'TR TUSD'!$O$26*'TR TUSD'!$O$60</f>
        <v>0</v>
      </c>
      <c r="P26" s="20">
        <f>'TR TUSD'!$P$26*'TR TUSD'!$P$60</f>
        <v>0</v>
      </c>
      <c r="Q26" s="20">
        <f>'TR TUSD'!$Q$26*'TR TUSD'!$Q$60</f>
        <v>0</v>
      </c>
      <c r="R26" s="20">
        <f>'TR TUSD'!$R$26*'TR TUSD'!$R$60</f>
        <v>0</v>
      </c>
      <c r="S26" s="20">
        <f>'TR TUSD'!$S$26*'TR TUSD'!$S$60</f>
        <v>0</v>
      </c>
      <c r="T26" s="20">
        <f ca="1">SUM($L$26:$S$26)</f>
        <v>3.9519540219986693</v>
      </c>
      <c r="U26" s="20">
        <f>'TR TUSD'!$U$26*'TR TUSD'!$U$60</f>
        <v>25.370711307450723</v>
      </c>
      <c r="V26" s="20">
        <f>'TR TUSD'!$V$26*'TR TUSD'!$V$60</f>
        <v>3.3469129260974069</v>
      </c>
      <c r="W26" s="20">
        <f>'TR TUSD'!$W$26*'TR TUSD'!$W$60</f>
        <v>1.1097510076688015</v>
      </c>
      <c r="X26" s="20">
        <f>'TR TUSD'!$X$26*'TR TUSD'!$X$60</f>
        <v>0</v>
      </c>
      <c r="Y26" s="20">
        <f>'TR TUSD'!$Y$26*'TR TUSD'!$Y$60</f>
        <v>40.823337318940403</v>
      </c>
      <c r="Z26" s="20">
        <f>'TR TUSD'!$Z$26</f>
        <v>0</v>
      </c>
      <c r="AA26" s="20">
        <f>'TR TUSD'!$AA$26</f>
        <v>0</v>
      </c>
      <c r="AB26" s="20">
        <f>SUM($U$26:$AA$26)</f>
        <v>70.650712560157331</v>
      </c>
      <c r="AC26" s="20">
        <f>'TR TUSD'!$AC$26*'TR TUSD'!$AC$60</f>
        <v>181.95682700900488</v>
      </c>
      <c r="AD26" s="20">
        <f>SUM($AC$26:$AC$26)</f>
        <v>181.95682700900488</v>
      </c>
      <c r="AE26" s="20">
        <v>0</v>
      </c>
      <c r="AF26" s="20">
        <v>0</v>
      </c>
      <c r="AG26" s="20">
        <f>SUM($AE$26:$AF$26)</f>
        <v>0</v>
      </c>
      <c r="AH26" s="20">
        <f>'TR TUSD'!$AH$26*'TR TUSD'!$AH$60</f>
        <v>29.484790225909379</v>
      </c>
      <c r="AI26" s="20">
        <f>'TR TUSD'!$AI$26*'TR TUSD'!$AI$60</f>
        <v>1.0399551738881279</v>
      </c>
      <c r="AJ26" s="20">
        <f ca="1">'TR TUSD'!$AJ$26*'TR TUSD'!$AJ$60</f>
        <v>3.9562959342637596</v>
      </c>
      <c r="AK26" s="20">
        <f ca="1">'TR TUSD'!$AK$26*'TR TUSD'!$AK$60</f>
        <v>0.4852921777328405</v>
      </c>
      <c r="AL26" s="20">
        <f ca="1">SUM($AH$26:$AK$26)</f>
        <v>34.966333511794105</v>
      </c>
      <c r="AM26" s="20">
        <f ca="1">SUMIF($L$4:$AL$4,"SUBTOTAL",$L$26:$AL$26)</f>
        <v>291.52582710295502</v>
      </c>
      <c r="AP26" s="20">
        <f>IF((1 - CUSTOS!$M$24)&lt;&gt;0,1/(1 - CUSTOS!$M$24),1)</f>
        <v>1</v>
      </c>
    </row>
    <row r="27" spans="1:42" ht="11.25" customHeight="1" x14ac:dyDescent="0.25">
      <c r="A27" s="119"/>
      <c r="B27" s="119"/>
      <c r="C27" s="119"/>
      <c r="D27" s="22" t="s">
        <v>30</v>
      </c>
      <c r="E27" s="22" t="s">
        <v>25</v>
      </c>
      <c r="F27" s="22" t="s">
        <v>25</v>
      </c>
      <c r="G27" s="21" t="s">
        <v>86</v>
      </c>
      <c r="H27" s="21" t="s">
        <v>80</v>
      </c>
      <c r="I27" s="21">
        <f>'MERCADO TUSD'!$U$24</f>
        <v>0</v>
      </c>
      <c r="J27" s="17"/>
      <c r="L27" s="20">
        <f>'TR TUSD'!$L$27*'TR TUSD'!$L$60</f>
        <v>0</v>
      </c>
      <c r="M27" s="20">
        <f>'TR TUSD'!$M$27*'TR TUSD'!$M$60</f>
        <v>0.7411475167964322</v>
      </c>
      <c r="N27" s="20">
        <f ca="1">'TR TUSD'!$N$27*'TR TUSD'!$N$60</f>
        <v>3.2108065052022372</v>
      </c>
      <c r="O27" s="20">
        <f>'TR TUSD'!$O$27*'TR TUSD'!$O$60</f>
        <v>0</v>
      </c>
      <c r="P27" s="20">
        <f>'TR TUSD'!$P$27*'TR TUSD'!$P$60</f>
        <v>0</v>
      </c>
      <c r="Q27" s="20">
        <f>'TR TUSD'!$Q$27*'TR TUSD'!$Q$60</f>
        <v>0</v>
      </c>
      <c r="R27" s="20">
        <f>'TR TUSD'!$R$27*'TR TUSD'!$R$60</f>
        <v>0</v>
      </c>
      <c r="S27" s="20">
        <f>'TR TUSD'!$S$27*'TR TUSD'!$S$60</f>
        <v>0</v>
      </c>
      <c r="T27" s="20">
        <f ca="1">SUM($L$27:$S$27)</f>
        <v>3.9519540219986693</v>
      </c>
      <c r="U27" s="20">
        <f>'TR TUSD'!$U$27*'TR TUSD'!$U$60</f>
        <v>25.370711307450723</v>
      </c>
      <c r="V27" s="20">
        <f>'TR TUSD'!$V$27*'TR TUSD'!$V$60</f>
        <v>3.3469129260974069</v>
      </c>
      <c r="W27" s="20">
        <f>'TR TUSD'!$W$27*'TR TUSD'!$W$60</f>
        <v>1.1097510076688015</v>
      </c>
      <c r="X27" s="20">
        <f>'TR TUSD'!$X$27*'TR TUSD'!$X$60</f>
        <v>0</v>
      </c>
      <c r="Y27" s="20">
        <f>'TR TUSD'!$Y$27*'TR TUSD'!$Y$60</f>
        <v>40.823337318940403</v>
      </c>
      <c r="Z27" s="20">
        <f>'TR TUSD'!$Z$27</f>
        <v>0</v>
      </c>
      <c r="AA27" s="20">
        <f>'TR TUSD'!$AA$27</f>
        <v>0</v>
      </c>
      <c r="AB27" s="20">
        <f>SUM($U$27:$AA$27)</f>
        <v>70.650712560157331</v>
      </c>
      <c r="AC27" s="20">
        <f>'TR TUSD'!$AC$27*'TR TUSD'!$AC$60</f>
        <v>181.95682700900488</v>
      </c>
      <c r="AD27" s="20">
        <f>SUM($AC$27:$AC$27)</f>
        <v>181.95682700900488</v>
      </c>
      <c r="AE27" s="20">
        <v>0</v>
      </c>
      <c r="AF27" s="20">
        <v>0</v>
      </c>
      <c r="AG27" s="20">
        <f>SUM($AE$27:$AF$27)</f>
        <v>0</v>
      </c>
      <c r="AH27" s="20">
        <f>'TR TUSD'!$AH$27*'TR TUSD'!$AH$60</f>
        <v>29.484790225909379</v>
      </c>
      <c r="AI27" s="20">
        <f>'TR TUSD'!$AI$27*'TR TUSD'!$AI$60</f>
        <v>1.0399551738881279</v>
      </c>
      <c r="AJ27" s="20">
        <f ca="1">'TR TUSD'!$AJ$27*'TR TUSD'!$AJ$60</f>
        <v>3.9562959342637596</v>
      </c>
      <c r="AK27" s="20">
        <f ca="1">'TR TUSD'!$AK$27*'TR TUSD'!$AK$60</f>
        <v>0.4852921777328405</v>
      </c>
      <c r="AL27" s="20">
        <f ca="1">SUM($AH$27:$AK$27)</f>
        <v>34.966333511794105</v>
      </c>
      <c r="AM27" s="20">
        <f ca="1">SUMIF($L$4:$AL$4,"SUBTOTAL",$L$27:$AL$27)</f>
        <v>291.52582710295502</v>
      </c>
      <c r="AP27" s="20">
        <f>IF((1 - CUSTOS!$M$25)&lt;&gt;0,1/(1 - CUSTOS!$M$25),1)</f>
        <v>1</v>
      </c>
    </row>
    <row r="28" spans="1:42" ht="11.25" customHeight="1" x14ac:dyDescent="0.25">
      <c r="A28" s="119"/>
      <c r="B28" s="119"/>
      <c r="C28" s="119"/>
      <c r="D28" s="22" t="s">
        <v>31</v>
      </c>
      <c r="E28" s="22" t="s">
        <v>25</v>
      </c>
      <c r="F28" s="22" t="s">
        <v>25</v>
      </c>
      <c r="G28" s="21" t="s">
        <v>86</v>
      </c>
      <c r="H28" s="21" t="s">
        <v>80</v>
      </c>
      <c r="I28" s="21">
        <f>'MERCADO TUSD'!$U$25</f>
        <v>0</v>
      </c>
      <c r="J28" s="17"/>
      <c r="L28" s="20">
        <f>'TR TUSD'!$L$28*'TR TUSD'!$L$60</f>
        <v>0</v>
      </c>
      <c r="M28" s="20">
        <f>'TR TUSD'!$M$28*'TR TUSD'!$M$60</f>
        <v>0.7411475167964322</v>
      </c>
      <c r="N28" s="20">
        <f ca="1">'TR TUSD'!$N$28*'TR TUSD'!$N$60</f>
        <v>3.2108065052022372</v>
      </c>
      <c r="O28" s="20">
        <f>'TR TUSD'!$O$28*'TR TUSD'!$O$60</f>
        <v>0</v>
      </c>
      <c r="P28" s="20">
        <f>'TR TUSD'!$P$28*'TR TUSD'!$P$60</f>
        <v>0</v>
      </c>
      <c r="Q28" s="20">
        <f>'TR TUSD'!$Q$28*'TR TUSD'!$Q$60</f>
        <v>0</v>
      </c>
      <c r="R28" s="20">
        <f>'TR TUSD'!$R$28*'TR TUSD'!$R$60</f>
        <v>0</v>
      </c>
      <c r="S28" s="20">
        <f>'TR TUSD'!$S$28*'TR TUSD'!$S$60</f>
        <v>0</v>
      </c>
      <c r="T28" s="20">
        <f ca="1">SUM($L$28:$S$28)</f>
        <v>3.9519540219986693</v>
      </c>
      <c r="U28" s="20">
        <f>'TR TUSD'!$U$28*'TR TUSD'!$U$60</f>
        <v>25.370711307450723</v>
      </c>
      <c r="V28" s="20">
        <f>'TR TUSD'!$V$28*'TR TUSD'!$V$60</f>
        <v>3.3469129260974069</v>
      </c>
      <c r="W28" s="20">
        <f>'TR TUSD'!$W$28*'TR TUSD'!$W$60</f>
        <v>1.1097510076688015</v>
      </c>
      <c r="X28" s="20">
        <f>'TR TUSD'!$X$28*'TR TUSD'!$X$60</f>
        <v>0</v>
      </c>
      <c r="Y28" s="20">
        <f>'TR TUSD'!$Y$28*'TR TUSD'!$Y$60</f>
        <v>40.823337318940403</v>
      </c>
      <c r="Z28" s="20">
        <f>'TR TUSD'!$Z$28</f>
        <v>0</v>
      </c>
      <c r="AA28" s="20">
        <f>'TR TUSD'!$AA$28</f>
        <v>0</v>
      </c>
      <c r="AB28" s="20">
        <f>SUM($U$28:$AA$28)</f>
        <v>70.650712560157331</v>
      </c>
      <c r="AC28" s="20">
        <f>'TR TUSD'!$AC$28*'TR TUSD'!$AC$60</f>
        <v>181.95682700900488</v>
      </c>
      <c r="AD28" s="20">
        <f>SUM($AC$28:$AC$28)</f>
        <v>181.95682700900488</v>
      </c>
      <c r="AE28" s="20">
        <v>0</v>
      </c>
      <c r="AF28" s="20">
        <v>0</v>
      </c>
      <c r="AG28" s="20">
        <f>SUM($AE$28:$AF$28)</f>
        <v>0</v>
      </c>
      <c r="AH28" s="20">
        <f>'TR TUSD'!$AH$28*'TR TUSD'!$AH$60</f>
        <v>29.484790225909379</v>
      </c>
      <c r="AI28" s="20">
        <f>'TR TUSD'!$AI$28*'TR TUSD'!$AI$60</f>
        <v>1.0399551738881279</v>
      </c>
      <c r="AJ28" s="20">
        <f ca="1">'TR TUSD'!$AJ$28*'TR TUSD'!$AJ$60</f>
        <v>3.9562959342637596</v>
      </c>
      <c r="AK28" s="20">
        <f ca="1">'TR TUSD'!$AK$28*'TR TUSD'!$AK$60</f>
        <v>0.4852921777328405</v>
      </c>
      <c r="AL28" s="20">
        <f ca="1">SUM($AH$28:$AK$28)</f>
        <v>34.966333511794105</v>
      </c>
      <c r="AM28" s="20">
        <f ca="1">SUMIF($L$4:$AL$4,"SUBTOTAL",$L$28:$AL$28)</f>
        <v>291.52582710295502</v>
      </c>
      <c r="AP28" s="20">
        <f>IF((1 - CUSTOS!$M$26)&lt;&gt;0,1/(1 - CUSTOS!$M$26),1)</f>
        <v>1</v>
      </c>
    </row>
    <row r="29" spans="1:42" ht="11.25" customHeight="1" x14ac:dyDescent="0.25">
      <c r="A29" s="119"/>
      <c r="B29" s="119"/>
      <c r="C29" s="119"/>
      <c r="D29" s="22" t="s">
        <v>32</v>
      </c>
      <c r="E29" s="22" t="s">
        <v>25</v>
      </c>
      <c r="F29" s="22" t="s">
        <v>25</v>
      </c>
      <c r="G29" s="21" t="s">
        <v>86</v>
      </c>
      <c r="H29" s="21" t="s">
        <v>80</v>
      </c>
      <c r="I29" s="21">
        <f>'MERCADO TUSD'!$U$26</f>
        <v>0</v>
      </c>
      <c r="J29" s="17"/>
      <c r="L29" s="20">
        <f>'TR TUSD'!$L$29*'TR TUSD'!$L$60</f>
        <v>0</v>
      </c>
      <c r="M29" s="20">
        <f>'TR TUSD'!$M$29*'TR TUSD'!$M$60</f>
        <v>0.7411475167964322</v>
      </c>
      <c r="N29" s="20">
        <f ca="1">'TR TUSD'!$N$29*'TR TUSD'!$N$60</f>
        <v>3.2108065052022372</v>
      </c>
      <c r="O29" s="20">
        <f>'TR TUSD'!$O$29*'TR TUSD'!$O$60</f>
        <v>0</v>
      </c>
      <c r="P29" s="20">
        <f>'TR TUSD'!$P$29*'TR TUSD'!$P$60</f>
        <v>0</v>
      </c>
      <c r="Q29" s="20">
        <f>'TR TUSD'!$Q$29*'TR TUSD'!$Q$60</f>
        <v>0</v>
      </c>
      <c r="R29" s="20">
        <f>'TR TUSD'!$R$29*'TR TUSD'!$R$60</f>
        <v>0</v>
      </c>
      <c r="S29" s="20">
        <f>'TR TUSD'!$S$29*'TR TUSD'!$S$60</f>
        <v>0</v>
      </c>
      <c r="T29" s="20">
        <f ca="1">SUM($L$29:$S$29)</f>
        <v>3.9519540219986693</v>
      </c>
      <c r="U29" s="20">
        <f>'TR TUSD'!$U$29*'TR TUSD'!$U$60</f>
        <v>25.370711307450723</v>
      </c>
      <c r="V29" s="20">
        <f>'TR TUSD'!$V$29*'TR TUSD'!$V$60</f>
        <v>3.3469129260974069</v>
      </c>
      <c r="W29" s="20">
        <f>'TR TUSD'!$W$29*'TR TUSD'!$W$60</f>
        <v>1.1097510076688015</v>
      </c>
      <c r="X29" s="20">
        <f>'TR TUSD'!$X$29*'TR TUSD'!$X$60</f>
        <v>0</v>
      </c>
      <c r="Y29" s="20">
        <f>'TR TUSD'!$Y$29*'TR TUSD'!$Y$60</f>
        <v>40.823337318940403</v>
      </c>
      <c r="Z29" s="20">
        <f>'TR TUSD'!$Z$29</f>
        <v>0</v>
      </c>
      <c r="AA29" s="20">
        <f>'TR TUSD'!$AA$29</f>
        <v>0</v>
      </c>
      <c r="AB29" s="20">
        <f>SUM($U$29:$AA$29)</f>
        <v>70.650712560157331</v>
      </c>
      <c r="AC29" s="20">
        <f>'TR TUSD'!$AC$29*'TR TUSD'!$AC$60</f>
        <v>181.95682700900488</v>
      </c>
      <c r="AD29" s="20">
        <f>SUM($AC$29:$AC$29)</f>
        <v>181.95682700900488</v>
      </c>
      <c r="AE29" s="20">
        <v>0</v>
      </c>
      <c r="AF29" s="20">
        <v>0</v>
      </c>
      <c r="AG29" s="20">
        <f>SUM($AE$29:$AF$29)</f>
        <v>0</v>
      </c>
      <c r="AH29" s="20">
        <f>'TR TUSD'!$AH$29*'TR TUSD'!$AH$60</f>
        <v>29.484790225909379</v>
      </c>
      <c r="AI29" s="20">
        <f>'TR TUSD'!$AI$29*'TR TUSD'!$AI$60</f>
        <v>1.0399551738881279</v>
      </c>
      <c r="AJ29" s="20">
        <f ca="1">'TR TUSD'!$AJ$29*'TR TUSD'!$AJ$60</f>
        <v>3.9562959342637596</v>
      </c>
      <c r="AK29" s="20">
        <f ca="1">'TR TUSD'!$AK$29*'TR TUSD'!$AK$60</f>
        <v>0.4852921777328405</v>
      </c>
      <c r="AL29" s="20">
        <f ca="1">SUM($AH$29:$AK$29)</f>
        <v>34.966333511794105</v>
      </c>
      <c r="AM29" s="20">
        <f ca="1">SUMIF($L$4:$AL$4,"SUBTOTAL",$L$29:$AL$29)</f>
        <v>291.52582710295502</v>
      </c>
      <c r="AP29" s="20">
        <f>IF((1 - CUSTOS!$M$27)&lt;&gt;0,1/(1 - CUSTOS!$M$27),1)</f>
        <v>1</v>
      </c>
    </row>
    <row r="30" spans="1:42" ht="11.25" customHeight="1" x14ac:dyDescent="0.25">
      <c r="A30" s="119" t="s">
        <v>43</v>
      </c>
      <c r="B30" s="119" t="s">
        <v>33</v>
      </c>
      <c r="C30" s="119" t="s">
        <v>44</v>
      </c>
      <c r="D30" s="119" t="s">
        <v>25</v>
      </c>
      <c r="E30" s="119" t="s">
        <v>25</v>
      </c>
      <c r="F30" s="119" t="s">
        <v>25</v>
      </c>
      <c r="G30" s="21" t="s">
        <v>81</v>
      </c>
      <c r="H30" s="21" t="s">
        <v>80</v>
      </c>
      <c r="I30" s="21">
        <f>'MERCADO TUSD'!$U$27</f>
        <v>0.27200000000000002</v>
      </c>
      <c r="J30" s="17"/>
      <c r="L30" s="20">
        <f>'TR TUSD'!$L$30*'TR TUSD'!$L$60</f>
        <v>6.5989776345360189</v>
      </c>
      <c r="M30" s="20">
        <f>'TR TUSD'!$M$30*'TR TUSD'!$M$60</f>
        <v>0.7411475167964322</v>
      </c>
      <c r="N30" s="20">
        <f ca="1">'TR TUSD'!$N$30*'TR TUSD'!$N$60</f>
        <v>3.5587663336065183</v>
      </c>
      <c r="O30" s="20">
        <f>'TR TUSD'!$O$30*'TR TUSD'!$O$60</f>
        <v>0</v>
      </c>
      <c r="P30" s="20">
        <f>'TR TUSD'!$P$30*'TR TUSD'!$P$60</f>
        <v>0</v>
      </c>
      <c r="Q30" s="20">
        <f>'TR TUSD'!$Q$30*'TR TUSD'!$Q$60</f>
        <v>94.193572209737411</v>
      </c>
      <c r="R30" s="20">
        <f>'TR TUSD'!$R$30*'TR TUSD'!$R$60</f>
        <v>14.901352205088047</v>
      </c>
      <c r="S30" s="20">
        <f>'TR TUSD'!$S$30*'TR TUSD'!$S$60</f>
        <v>0</v>
      </c>
      <c r="T30" s="20">
        <f ca="1">SUM($L$30:$S$30)</f>
        <v>119.99381589976443</v>
      </c>
      <c r="U30" s="20">
        <f>'TR TUSD'!$U$30*'TR TUSD'!$U$60</f>
        <v>90.066037270216626</v>
      </c>
      <c r="V30" s="20">
        <f>'TR TUSD'!$V$30*'TR TUSD'!$V$60</f>
        <v>11.881414580755598</v>
      </c>
      <c r="W30" s="20">
        <f>'TR TUSD'!$W$30*'TR TUSD'!$W$60</f>
        <v>3.9396160772242452</v>
      </c>
      <c r="X30" s="20">
        <f>'TR TUSD'!$X$30*'TR TUSD'!$X$60</f>
        <v>0</v>
      </c>
      <c r="Y30" s="20">
        <f>'TR TUSD'!$Y$30*'TR TUSD'!$Y$60</f>
        <v>144.9227311101252</v>
      </c>
      <c r="Z30" s="20">
        <f>'TR TUSD'!$Z$30</f>
        <v>0</v>
      </c>
      <c r="AA30" s="20">
        <f>'TR TUSD'!$AA$30</f>
        <v>0</v>
      </c>
      <c r="AB30" s="20">
        <f>SUM($U$30:$AA$30)</f>
        <v>250.80979903832167</v>
      </c>
      <c r="AC30" s="20">
        <f>'TR TUSD'!$AC$30*'TR TUSD'!$AC$60</f>
        <v>645.94682376449896</v>
      </c>
      <c r="AD30" s="20">
        <f>SUM($AC$30:$AC$30)</f>
        <v>645.94682376449896</v>
      </c>
      <c r="AE30" s="20">
        <v>0</v>
      </c>
      <c r="AF30" s="20">
        <v>0</v>
      </c>
      <c r="AG30" s="20">
        <f>SUM($AE$30:$AF$30)</f>
        <v>0</v>
      </c>
      <c r="AH30" s="20">
        <f>'TR TUSD'!$AH$30*'TR TUSD'!$AH$60</f>
        <v>29.484790225909379</v>
      </c>
      <c r="AI30" s="20">
        <f>'TR TUSD'!$AI$30*'TR TUSD'!$AI$60</f>
        <v>1.0399551738881279</v>
      </c>
      <c r="AJ30" s="20">
        <f ca="1">'TR TUSD'!$AJ$30*'TR TUSD'!$AJ$60</f>
        <v>3.9562959342637596</v>
      </c>
      <c r="AK30" s="20">
        <f ca="1">'TR TUSD'!$AK$30*'TR TUSD'!$AK$60</f>
        <v>0.4852921777328405</v>
      </c>
      <c r="AL30" s="20">
        <f ca="1">SUM($AH$30:$AK$30)</f>
        <v>34.966333511794105</v>
      </c>
      <c r="AM30" s="20">
        <f ca="1">SUMIF($L$4:$AL$4,"SUBTOTAL",$L$30:$AL$30)</f>
        <v>1051.716772214379</v>
      </c>
      <c r="AP30" s="20">
        <f>IF((1 - CUSTOS!$M$28)&lt;&gt;0,1/(1 - CUSTOS!$M$28),1)</f>
        <v>1</v>
      </c>
    </row>
    <row r="31" spans="1:42" ht="11.25" customHeight="1" x14ac:dyDescent="0.25">
      <c r="A31" s="119"/>
      <c r="B31" s="119"/>
      <c r="C31" s="119"/>
      <c r="D31" s="119"/>
      <c r="E31" s="119"/>
      <c r="F31" s="119"/>
      <c r="G31" s="21" t="s">
        <v>91</v>
      </c>
      <c r="H31" s="21" t="s">
        <v>80</v>
      </c>
      <c r="I31" s="21">
        <f>'MERCADO TUSD'!$U$28</f>
        <v>0.20100000000000001</v>
      </c>
      <c r="J31" s="17"/>
      <c r="L31" s="20">
        <f>'TR TUSD'!$L$31*'TR TUSD'!$L$60</f>
        <v>6.5989776345360189</v>
      </c>
      <c r="M31" s="20">
        <f>'TR TUSD'!$M$31*'TR TUSD'!$M$60</f>
        <v>0.7411475167964322</v>
      </c>
      <c r="N31" s="20">
        <f ca="1">'TR TUSD'!$N$31*'TR TUSD'!$N$60</f>
        <v>3.3653366450255109</v>
      </c>
      <c r="O31" s="20">
        <f>'TR TUSD'!$O$31*'TR TUSD'!$O$60</f>
        <v>0</v>
      </c>
      <c r="P31" s="20">
        <f>'TR TUSD'!$P$31*'TR TUSD'!$P$60</f>
        <v>0</v>
      </c>
      <c r="Q31" s="20">
        <f>'TR TUSD'!$Q$31*'TR TUSD'!$Q$60</f>
        <v>94.193572209737411</v>
      </c>
      <c r="R31" s="20">
        <f>'TR TUSD'!$R$31*'TR TUSD'!$R$60</f>
        <v>14.901352205088047</v>
      </c>
      <c r="S31" s="20">
        <f>'TR TUSD'!$S$31*'TR TUSD'!$S$60</f>
        <v>0</v>
      </c>
      <c r="T31" s="20">
        <f ca="1">SUM($L$31:$S$31)</f>
        <v>119.80038621118342</v>
      </c>
      <c r="U31" s="20">
        <f>'TR TUSD'!$U$31*'TR TUSD'!$U$60</f>
        <v>54.03959810459687</v>
      </c>
      <c r="V31" s="20">
        <f>'TR TUSD'!$V$31*'TR TUSD'!$V$60</f>
        <v>7.1288707148690449</v>
      </c>
      <c r="W31" s="20">
        <f>'TR TUSD'!$W$31*'TR TUSD'!$W$60</f>
        <v>2.3637458829296718</v>
      </c>
      <c r="X31" s="20">
        <f>'TR TUSD'!$X$31*'TR TUSD'!$X$60</f>
        <v>0</v>
      </c>
      <c r="Y31" s="20">
        <f>'TR TUSD'!$Y$31*'TR TUSD'!$Y$60</f>
        <v>86.953592117229832</v>
      </c>
      <c r="Z31" s="20">
        <f>'TR TUSD'!$Z$31</f>
        <v>0</v>
      </c>
      <c r="AA31" s="20">
        <f>'TR TUSD'!$AA$31</f>
        <v>0</v>
      </c>
      <c r="AB31" s="20">
        <f>SUM($U$31:$AA$31)</f>
        <v>150.48580681962542</v>
      </c>
      <c r="AC31" s="20">
        <f>'TR TUSD'!$AC$31*'TR TUSD'!$AC$60</f>
        <v>387.5681162293323</v>
      </c>
      <c r="AD31" s="20">
        <f>SUM($AC$31:$AC$31)</f>
        <v>387.5681162293323</v>
      </c>
      <c r="AE31" s="20">
        <v>0</v>
      </c>
      <c r="AF31" s="20">
        <v>0</v>
      </c>
      <c r="AG31" s="20">
        <f>SUM($AE$31:$AF$31)</f>
        <v>0</v>
      </c>
      <c r="AH31" s="20">
        <f>'TR TUSD'!$AH$31*'TR TUSD'!$AH$60</f>
        <v>29.484790225909379</v>
      </c>
      <c r="AI31" s="20">
        <f>'TR TUSD'!$AI$31*'TR TUSD'!$AI$60</f>
        <v>1.0399551738881279</v>
      </c>
      <c r="AJ31" s="20">
        <f ca="1">'TR TUSD'!$AJ$31*'TR TUSD'!$AJ$60</f>
        <v>3.9562959342637596</v>
      </c>
      <c r="AK31" s="20">
        <f ca="1">'TR TUSD'!$AK$31*'TR TUSD'!$AK$60</f>
        <v>0.4852921777328405</v>
      </c>
      <c r="AL31" s="20">
        <f ca="1">SUM($AH$31:$AK$31)</f>
        <v>34.966333511794105</v>
      </c>
      <c r="AM31" s="20">
        <f ca="1">SUMIF($L$4:$AL$4,"SUBTOTAL",$L$31:$AL$31)</f>
        <v>692.82064277193524</v>
      </c>
      <c r="AP31" s="20">
        <f>IF((1 - CUSTOS!$M$28)&lt;&gt;0,1/(1 - CUSTOS!$M$28),1)</f>
        <v>1</v>
      </c>
    </row>
    <row r="32" spans="1:42" ht="11.25" customHeight="1" x14ac:dyDescent="0.25">
      <c r="A32" s="119"/>
      <c r="B32" s="119"/>
      <c r="C32" s="119"/>
      <c r="D32" s="119"/>
      <c r="E32" s="119"/>
      <c r="F32" s="119"/>
      <c r="G32" s="21" t="s">
        <v>82</v>
      </c>
      <c r="H32" s="21" t="s">
        <v>80</v>
      </c>
      <c r="I32" s="21">
        <f>'MERCADO TUSD'!$U$29</f>
        <v>5.4039999999999999</v>
      </c>
      <c r="J32" s="17"/>
      <c r="L32" s="20">
        <f>'TR TUSD'!$L$32*'TR TUSD'!$L$60</f>
        <v>6.5989776345360189</v>
      </c>
      <c r="M32" s="20">
        <f>'TR TUSD'!$M$32*'TR TUSD'!$M$60</f>
        <v>0.7411475167964322</v>
      </c>
      <c r="N32" s="20">
        <f ca="1">'TR TUSD'!$N$32*'TR TUSD'!$N$60</f>
        <v>3.171907016820716</v>
      </c>
      <c r="O32" s="20">
        <f>'TR TUSD'!$O$32*'TR TUSD'!$O$60</f>
        <v>0</v>
      </c>
      <c r="P32" s="20">
        <f>'TR TUSD'!$P$32*'TR TUSD'!$P$60</f>
        <v>0</v>
      </c>
      <c r="Q32" s="20">
        <f>'TR TUSD'!$Q$32*'TR TUSD'!$Q$60</f>
        <v>94.193572209737411</v>
      </c>
      <c r="R32" s="20">
        <f>'TR TUSD'!$R$32*'TR TUSD'!$R$60</f>
        <v>14.901352205088047</v>
      </c>
      <c r="S32" s="20">
        <f>'TR TUSD'!$S$32*'TR TUSD'!$S$60</f>
        <v>0</v>
      </c>
      <c r="T32" s="20">
        <f ca="1">SUM($L$32:$S$32)</f>
        <v>119.60695658297863</v>
      </c>
      <c r="U32" s="20">
        <f>'TR TUSD'!$U$32*'TR TUSD'!$U$60</f>
        <v>18.013158938977099</v>
      </c>
      <c r="V32" s="20">
        <f>'TR TUSD'!$V$32*'TR TUSD'!$V$60</f>
        <v>2.3763268489824929</v>
      </c>
      <c r="W32" s="20">
        <f>'TR TUSD'!$W$32*'TR TUSD'!$W$60</f>
        <v>0.78787568863509883</v>
      </c>
      <c r="X32" s="20">
        <f>'TR TUSD'!$X$32*'TR TUSD'!$X$60</f>
        <v>0</v>
      </c>
      <c r="Y32" s="20">
        <f>'TR TUSD'!$Y$32*'TR TUSD'!$Y$60</f>
        <v>28.984569496447687</v>
      </c>
      <c r="Z32" s="20">
        <f>'TR TUSD'!$Z$32</f>
        <v>0</v>
      </c>
      <c r="AA32" s="20">
        <f>'TR TUSD'!$AA$32</f>
        <v>0</v>
      </c>
      <c r="AB32" s="20">
        <f>SUM($U$32:$AA$32)</f>
        <v>50.161930973042374</v>
      </c>
      <c r="AC32" s="20">
        <f>'TR TUSD'!$AC$32*'TR TUSD'!$AC$60</f>
        <v>129.18940869416559</v>
      </c>
      <c r="AD32" s="20">
        <f>SUM($AC$32:$AC$32)</f>
        <v>129.18940869416559</v>
      </c>
      <c r="AE32" s="20">
        <v>0</v>
      </c>
      <c r="AF32" s="20">
        <v>0</v>
      </c>
      <c r="AG32" s="20">
        <f>SUM($AE$32:$AF$32)</f>
        <v>0</v>
      </c>
      <c r="AH32" s="20">
        <f>'TR TUSD'!$AH$32*'TR TUSD'!$AH$60</f>
        <v>29.484790225909379</v>
      </c>
      <c r="AI32" s="20">
        <f>'TR TUSD'!$AI$32*'TR TUSD'!$AI$60</f>
        <v>1.0399551738881279</v>
      </c>
      <c r="AJ32" s="20">
        <f ca="1">'TR TUSD'!$AJ$32*'TR TUSD'!$AJ$60</f>
        <v>3.9562959342637596</v>
      </c>
      <c r="AK32" s="20">
        <f ca="1">'TR TUSD'!$AK$32*'TR TUSD'!$AK$60</f>
        <v>0.4852921777328405</v>
      </c>
      <c r="AL32" s="20">
        <f ca="1">SUM($AH$32:$AK$32)</f>
        <v>34.966333511794105</v>
      </c>
      <c r="AM32" s="20">
        <f ca="1">SUMIF($L$4:$AL$4,"SUBTOTAL",$L$32:$AL$32)</f>
        <v>333.92462976198073</v>
      </c>
      <c r="AP32" s="20">
        <f>IF((1 - CUSTOS!$M$28)&lt;&gt;0,1/(1 - CUSTOS!$M$28),1)</f>
        <v>1</v>
      </c>
    </row>
    <row r="33" spans="1:42" ht="11.25" customHeight="1" x14ac:dyDescent="0.25">
      <c r="A33" s="119"/>
      <c r="B33" s="22" t="s">
        <v>23</v>
      </c>
      <c r="C33" s="22" t="s">
        <v>44</v>
      </c>
      <c r="D33" s="22" t="s">
        <v>25</v>
      </c>
      <c r="E33" s="22" t="s">
        <v>25</v>
      </c>
      <c r="F33" s="22" t="s">
        <v>25</v>
      </c>
      <c r="G33" s="21" t="s">
        <v>86</v>
      </c>
      <c r="H33" s="21" t="s">
        <v>80</v>
      </c>
      <c r="I33" s="21">
        <f>'MERCADO TUSD'!$U$30</f>
        <v>183438.26899999997</v>
      </c>
      <c r="J33" s="17"/>
      <c r="L33" s="20">
        <f>'TR TUSD'!$L$33*'TR TUSD'!$L$60</f>
        <v>6.5989776345360189</v>
      </c>
      <c r="M33" s="20">
        <f>'TR TUSD'!$M$33*'TR TUSD'!$M$60</f>
        <v>0.7411475167964322</v>
      </c>
      <c r="N33" s="20">
        <f ca="1">'TR TUSD'!$N$33*'TR TUSD'!$N$60</f>
        <v>3.2114102673320635</v>
      </c>
      <c r="O33" s="20">
        <f>'TR TUSD'!$O$33*'TR TUSD'!$O$60</f>
        <v>0</v>
      </c>
      <c r="P33" s="20">
        <f>'TR TUSD'!$P$33*'TR TUSD'!$P$60</f>
        <v>0</v>
      </c>
      <c r="Q33" s="20">
        <f>'TR TUSD'!$Q$33*'TR TUSD'!$Q$60</f>
        <v>94.193572209737411</v>
      </c>
      <c r="R33" s="20">
        <f>'TR TUSD'!$R$33*'TR TUSD'!$R$60</f>
        <v>14.901352205088047</v>
      </c>
      <c r="S33" s="20">
        <f>'TR TUSD'!$S$33*'TR TUSD'!$S$60</f>
        <v>0</v>
      </c>
      <c r="T33" s="20">
        <f ca="1">SUM($L$33:$S$33)</f>
        <v>119.64645983348997</v>
      </c>
      <c r="U33" s="20">
        <f>'TR TUSD'!$U$33*'TR TUSD'!$U$60</f>
        <v>25.370711307450723</v>
      </c>
      <c r="V33" s="20">
        <f>'TR TUSD'!$V$33*'TR TUSD'!$V$60</f>
        <v>3.3469129260974069</v>
      </c>
      <c r="W33" s="20">
        <f>'TR TUSD'!$W$33*'TR TUSD'!$W$60</f>
        <v>1.1097510076688015</v>
      </c>
      <c r="X33" s="20">
        <f>'TR TUSD'!$X$33*'TR TUSD'!$X$60</f>
        <v>0</v>
      </c>
      <c r="Y33" s="20">
        <f>'TR TUSD'!$Y$33*'TR TUSD'!$Y$60</f>
        <v>40.823337318940403</v>
      </c>
      <c r="Z33" s="20">
        <f>'TR TUSD'!$Z$33</f>
        <v>0</v>
      </c>
      <c r="AA33" s="20">
        <f>'TR TUSD'!$AA$33</f>
        <v>0</v>
      </c>
      <c r="AB33" s="20">
        <f>SUM($U$33:$AA$33)</f>
        <v>70.650712560157331</v>
      </c>
      <c r="AC33" s="20">
        <f>'TR TUSD'!$AC$33*'TR TUSD'!$AC$60</f>
        <v>181.95682700900488</v>
      </c>
      <c r="AD33" s="20">
        <f>SUM($AC$33:$AC$33)</f>
        <v>181.95682700900488</v>
      </c>
      <c r="AE33" s="20">
        <v>0</v>
      </c>
      <c r="AF33" s="20">
        <v>0</v>
      </c>
      <c r="AG33" s="20">
        <f>SUM($AE$33:$AF$33)</f>
        <v>0</v>
      </c>
      <c r="AH33" s="20">
        <f>'TR TUSD'!$AH$33*'TR TUSD'!$AH$60</f>
        <v>29.484790225909379</v>
      </c>
      <c r="AI33" s="20">
        <f>'TR TUSD'!$AI$33*'TR TUSD'!$AI$60</f>
        <v>1.0399551738881279</v>
      </c>
      <c r="AJ33" s="20">
        <f ca="1">'TR TUSD'!$AJ$33*'TR TUSD'!$AJ$60</f>
        <v>3.9562959342637596</v>
      </c>
      <c r="AK33" s="20">
        <f ca="1">'TR TUSD'!$AK$33*'TR TUSD'!$AK$60</f>
        <v>0.4852921777328405</v>
      </c>
      <c r="AL33" s="20">
        <f ca="1">SUM($AH$33:$AK$33)</f>
        <v>34.966333511794105</v>
      </c>
      <c r="AM33" s="20">
        <f ca="1">SUMIF($L$4:$AL$4,"SUBTOTAL",$L$33:$AL$33)</f>
        <v>407.22033291444632</v>
      </c>
      <c r="AP33" s="20">
        <f>IF((1 - CUSTOS!$M$28)&lt;&gt;0,1/(1 - CUSTOS!$M$28),1)</f>
        <v>1</v>
      </c>
    </row>
    <row r="34" spans="1:42" ht="11.25" customHeight="1" x14ac:dyDescent="0.25">
      <c r="A34" s="119"/>
      <c r="B34" s="119" t="s">
        <v>33</v>
      </c>
      <c r="C34" s="119" t="s">
        <v>44</v>
      </c>
      <c r="D34" s="119" t="s">
        <v>95</v>
      </c>
      <c r="E34" s="119" t="s">
        <v>25</v>
      </c>
      <c r="F34" s="119" t="s">
        <v>25</v>
      </c>
      <c r="G34" s="21" t="s">
        <v>81</v>
      </c>
      <c r="H34" s="21" t="s">
        <v>80</v>
      </c>
      <c r="I34" s="21">
        <f>'MERCADO TUSD'!$U$31</f>
        <v>0</v>
      </c>
      <c r="J34" s="17"/>
      <c r="L34" s="20">
        <f>'TR TUSD'!$L$34*'TR TUSD'!$L$60</f>
        <v>6.5989776345360189</v>
      </c>
      <c r="M34" s="20">
        <f>'TR TUSD'!$M$34*'TR TUSD'!$M$60</f>
        <v>0.7411475167964322</v>
      </c>
      <c r="N34" s="20">
        <f ca="1">'TR TUSD'!$N$34*'TR TUSD'!$N$60</f>
        <v>3.5587663336065183</v>
      </c>
      <c r="O34" s="20">
        <f>'TR TUSD'!$O$34*'TR TUSD'!$O$60</f>
        <v>0</v>
      </c>
      <c r="P34" s="20">
        <f>'TR TUSD'!$P$34*'TR TUSD'!$P$60</f>
        <v>0</v>
      </c>
      <c r="Q34" s="20">
        <f>'TR TUSD'!$Q$34*'TR TUSD'!$Q$60</f>
        <v>94.193572209737411</v>
      </c>
      <c r="R34" s="20">
        <f>'TR TUSD'!$R$34*'TR TUSD'!$R$60</f>
        <v>14.901352205088047</v>
      </c>
      <c r="S34" s="20">
        <f>'TR TUSD'!$S$34*'TR TUSD'!$S$60</f>
        <v>0</v>
      </c>
      <c r="T34" s="20">
        <f ca="1">SUM($L$34:$S$34)</f>
        <v>119.99381589976443</v>
      </c>
      <c r="U34" s="20">
        <f>'TR TUSD'!$U$34*'TR TUSD'!$U$60</f>
        <v>90.066037270216626</v>
      </c>
      <c r="V34" s="20">
        <f>'TR TUSD'!$V$34*'TR TUSD'!$V$60</f>
        <v>11.881414580755598</v>
      </c>
      <c r="W34" s="20">
        <f>'TR TUSD'!$W$34*'TR TUSD'!$W$60</f>
        <v>3.9396160772242452</v>
      </c>
      <c r="X34" s="20">
        <f>'TR TUSD'!$X$34*'TR TUSD'!$X$60</f>
        <v>0</v>
      </c>
      <c r="Y34" s="20">
        <f>'TR TUSD'!$Y$34*'TR TUSD'!$Y$60</f>
        <v>144.9227311101252</v>
      </c>
      <c r="Z34" s="20">
        <f>'TR TUSD'!$Z$34</f>
        <v>0</v>
      </c>
      <c r="AA34" s="20">
        <f>'TR TUSD'!$AA$34</f>
        <v>0</v>
      </c>
      <c r="AB34" s="20">
        <f>SUM($U$34:$AA$34)</f>
        <v>250.80979903832167</v>
      </c>
      <c r="AC34" s="20">
        <f>'TR TUSD'!$AC$34*'TR TUSD'!$AC$60</f>
        <v>645.94682376449896</v>
      </c>
      <c r="AD34" s="20">
        <f>SUM($AC$34:$AC$34)</f>
        <v>645.94682376449896</v>
      </c>
      <c r="AE34" s="20">
        <v>0</v>
      </c>
      <c r="AF34" s="20">
        <v>0</v>
      </c>
      <c r="AG34" s="20">
        <f>SUM($AE$34:$AF$34)</f>
        <v>0</v>
      </c>
      <c r="AH34" s="20">
        <f>'TR TUSD'!$AH$34*'TR TUSD'!$AH$60</f>
        <v>29.484790225909379</v>
      </c>
      <c r="AI34" s="20">
        <f>'TR TUSD'!$AI$34*'TR TUSD'!$AI$60</f>
        <v>1.0399551738881279</v>
      </c>
      <c r="AJ34" s="20">
        <f ca="1">'TR TUSD'!$AJ$34*'TR TUSD'!$AJ$60</f>
        <v>3.9562959342637596</v>
      </c>
      <c r="AK34" s="20">
        <f ca="1">'TR TUSD'!$AK$34*'TR TUSD'!$AK$60</f>
        <v>0.4852921777328405</v>
      </c>
      <c r="AL34" s="20">
        <f ca="1">SUM($AH$34:$AK$34)</f>
        <v>34.966333511794105</v>
      </c>
      <c r="AM34" s="20">
        <f ca="1">SUMIF($L$4:$AL$4,"SUBTOTAL",$L$34:$AL$34)</f>
        <v>1051.716772214379</v>
      </c>
      <c r="AP34" s="20">
        <f>IF((1 - CUSTOS!$M$29)&lt;&gt;0,1/(1 - CUSTOS!$M$29),1)</f>
        <v>1</v>
      </c>
    </row>
    <row r="35" spans="1:42" ht="11.25" customHeight="1" x14ac:dyDescent="0.25">
      <c r="A35" s="119"/>
      <c r="B35" s="119"/>
      <c r="C35" s="119"/>
      <c r="D35" s="119"/>
      <c r="E35" s="119"/>
      <c r="F35" s="119"/>
      <c r="G35" s="21" t="s">
        <v>91</v>
      </c>
      <c r="H35" s="21" t="s">
        <v>80</v>
      </c>
      <c r="I35" s="21">
        <f>'MERCADO TUSD'!$U$32</f>
        <v>0</v>
      </c>
      <c r="J35" s="17"/>
      <c r="L35" s="20">
        <f>'TR TUSD'!$L$35*'TR TUSD'!$L$60</f>
        <v>6.5989776345360189</v>
      </c>
      <c r="M35" s="20">
        <f>'TR TUSD'!$M$35*'TR TUSD'!$M$60</f>
        <v>0.7411475167964322</v>
      </c>
      <c r="N35" s="20">
        <f ca="1">'TR TUSD'!$N$35*'TR TUSD'!$N$60</f>
        <v>3.3653366450255109</v>
      </c>
      <c r="O35" s="20">
        <f>'TR TUSD'!$O$35*'TR TUSD'!$O$60</f>
        <v>0</v>
      </c>
      <c r="P35" s="20">
        <f>'TR TUSD'!$P$35*'TR TUSD'!$P$60</f>
        <v>0</v>
      </c>
      <c r="Q35" s="20">
        <f>'TR TUSD'!$Q$35*'TR TUSD'!$Q$60</f>
        <v>94.193572209737411</v>
      </c>
      <c r="R35" s="20">
        <f>'TR TUSD'!$R$35*'TR TUSD'!$R$60</f>
        <v>14.901352205088047</v>
      </c>
      <c r="S35" s="20">
        <f>'TR TUSD'!$S$35*'TR TUSD'!$S$60</f>
        <v>0</v>
      </c>
      <c r="T35" s="20">
        <f ca="1">SUM($L$35:$S$35)</f>
        <v>119.80038621118342</v>
      </c>
      <c r="U35" s="20">
        <f>'TR TUSD'!$U$35*'TR TUSD'!$U$60</f>
        <v>54.03959810459687</v>
      </c>
      <c r="V35" s="20">
        <f>'TR TUSD'!$V$35*'TR TUSD'!$V$60</f>
        <v>7.1288707148690449</v>
      </c>
      <c r="W35" s="20">
        <f>'TR TUSD'!$W$35*'TR TUSD'!$W$60</f>
        <v>2.3637458829296718</v>
      </c>
      <c r="X35" s="20">
        <f>'TR TUSD'!$X$35*'TR TUSD'!$X$60</f>
        <v>0</v>
      </c>
      <c r="Y35" s="20">
        <f>'TR TUSD'!$Y$35*'TR TUSD'!$Y$60</f>
        <v>86.953592117229832</v>
      </c>
      <c r="Z35" s="20">
        <f>'TR TUSD'!$Z$35</f>
        <v>0</v>
      </c>
      <c r="AA35" s="20">
        <f>'TR TUSD'!$AA$35</f>
        <v>0</v>
      </c>
      <c r="AB35" s="20">
        <f>SUM($U$35:$AA$35)</f>
        <v>150.48580681962542</v>
      </c>
      <c r="AC35" s="20">
        <f>'TR TUSD'!$AC$35*'TR TUSD'!$AC$60</f>
        <v>387.5681162293323</v>
      </c>
      <c r="AD35" s="20">
        <f>SUM($AC$35:$AC$35)</f>
        <v>387.5681162293323</v>
      </c>
      <c r="AE35" s="20">
        <v>0</v>
      </c>
      <c r="AF35" s="20">
        <v>0</v>
      </c>
      <c r="AG35" s="20">
        <f>SUM($AE$35:$AF$35)</f>
        <v>0</v>
      </c>
      <c r="AH35" s="20">
        <f>'TR TUSD'!$AH$35*'TR TUSD'!$AH$60</f>
        <v>29.484790225909379</v>
      </c>
      <c r="AI35" s="20">
        <f>'TR TUSD'!$AI$35*'TR TUSD'!$AI$60</f>
        <v>1.0399551738881279</v>
      </c>
      <c r="AJ35" s="20">
        <f ca="1">'TR TUSD'!$AJ$35*'TR TUSD'!$AJ$60</f>
        <v>3.9562959342637596</v>
      </c>
      <c r="AK35" s="20">
        <f ca="1">'TR TUSD'!$AK$35*'TR TUSD'!$AK$60</f>
        <v>0.4852921777328405</v>
      </c>
      <c r="AL35" s="20">
        <f ca="1">SUM($AH$35:$AK$35)</f>
        <v>34.966333511794105</v>
      </c>
      <c r="AM35" s="20">
        <f ca="1">SUMIF($L$4:$AL$4,"SUBTOTAL",$L$35:$AL$35)</f>
        <v>692.82064277193524</v>
      </c>
      <c r="AP35" s="20">
        <f>IF((1 - CUSTOS!$M$29)&lt;&gt;0,1/(1 - CUSTOS!$M$29),1)</f>
        <v>1</v>
      </c>
    </row>
    <row r="36" spans="1:42" ht="11.25" customHeight="1" x14ac:dyDescent="0.25">
      <c r="A36" s="119"/>
      <c r="B36" s="119"/>
      <c r="C36" s="119"/>
      <c r="D36" s="119"/>
      <c r="E36" s="119"/>
      <c r="F36" s="119"/>
      <c r="G36" s="21" t="s">
        <v>82</v>
      </c>
      <c r="H36" s="21" t="s">
        <v>80</v>
      </c>
      <c r="I36" s="21">
        <f>'MERCADO TUSD'!$U$33</f>
        <v>0</v>
      </c>
      <c r="J36" s="17"/>
      <c r="L36" s="20">
        <f>'TR TUSD'!$L$36*'TR TUSD'!$L$60</f>
        <v>6.5989776345360189</v>
      </c>
      <c r="M36" s="20">
        <f>'TR TUSD'!$M$36*'TR TUSD'!$M$60</f>
        <v>0.7411475167964322</v>
      </c>
      <c r="N36" s="20">
        <f ca="1">'TR TUSD'!$N$36*'TR TUSD'!$N$60</f>
        <v>3.171907016820716</v>
      </c>
      <c r="O36" s="20">
        <f>'TR TUSD'!$O$36*'TR TUSD'!$O$60</f>
        <v>0</v>
      </c>
      <c r="P36" s="20">
        <f>'TR TUSD'!$P$36*'TR TUSD'!$P$60</f>
        <v>0</v>
      </c>
      <c r="Q36" s="20">
        <f>'TR TUSD'!$Q$36*'TR TUSD'!$Q$60</f>
        <v>94.193572209737411</v>
      </c>
      <c r="R36" s="20">
        <f>'TR TUSD'!$R$36*'TR TUSD'!$R$60</f>
        <v>14.901352205088047</v>
      </c>
      <c r="S36" s="20">
        <f>'TR TUSD'!$S$36*'TR TUSD'!$S$60</f>
        <v>0</v>
      </c>
      <c r="T36" s="20">
        <f ca="1">SUM($L$36:$S$36)</f>
        <v>119.60695658297863</v>
      </c>
      <c r="U36" s="20">
        <f>'TR TUSD'!$U$36*'TR TUSD'!$U$60</f>
        <v>18.013158938977099</v>
      </c>
      <c r="V36" s="20">
        <f>'TR TUSD'!$V$36*'TR TUSD'!$V$60</f>
        <v>2.3763268489824929</v>
      </c>
      <c r="W36" s="20">
        <f>'TR TUSD'!$W$36*'TR TUSD'!$W$60</f>
        <v>0.78787568863509883</v>
      </c>
      <c r="X36" s="20">
        <f>'TR TUSD'!$X$36*'TR TUSD'!$X$60</f>
        <v>0</v>
      </c>
      <c r="Y36" s="20">
        <f>'TR TUSD'!$Y$36*'TR TUSD'!$Y$60</f>
        <v>28.984569496447687</v>
      </c>
      <c r="Z36" s="20">
        <f>'TR TUSD'!$Z$36</f>
        <v>0</v>
      </c>
      <c r="AA36" s="20">
        <f>'TR TUSD'!$AA$36</f>
        <v>0</v>
      </c>
      <c r="AB36" s="20">
        <f>SUM($U$36:$AA$36)</f>
        <v>50.161930973042374</v>
      </c>
      <c r="AC36" s="20">
        <f>'TR TUSD'!$AC$36*'TR TUSD'!$AC$60</f>
        <v>129.18940869416559</v>
      </c>
      <c r="AD36" s="20">
        <f>SUM($AC$36:$AC$36)</f>
        <v>129.18940869416559</v>
      </c>
      <c r="AE36" s="20">
        <v>0</v>
      </c>
      <c r="AF36" s="20">
        <v>0</v>
      </c>
      <c r="AG36" s="20">
        <f>SUM($AE$36:$AF$36)</f>
        <v>0</v>
      </c>
      <c r="AH36" s="20">
        <f>'TR TUSD'!$AH$36*'TR TUSD'!$AH$60</f>
        <v>29.484790225909379</v>
      </c>
      <c r="AI36" s="20">
        <f>'TR TUSD'!$AI$36*'TR TUSD'!$AI$60</f>
        <v>1.0399551738881279</v>
      </c>
      <c r="AJ36" s="20">
        <f ca="1">'TR TUSD'!$AJ$36*'TR TUSD'!$AJ$60</f>
        <v>3.9562959342637596</v>
      </c>
      <c r="AK36" s="20">
        <f ca="1">'TR TUSD'!$AK$36*'TR TUSD'!$AK$60</f>
        <v>0.4852921777328405</v>
      </c>
      <c r="AL36" s="20">
        <f ca="1">SUM($AH$36:$AK$36)</f>
        <v>34.966333511794105</v>
      </c>
      <c r="AM36" s="20">
        <f ca="1">SUMIF($L$4:$AL$4,"SUBTOTAL",$L$36:$AL$36)</f>
        <v>333.92462976198073</v>
      </c>
      <c r="AP36" s="20">
        <f>IF((1 - CUSTOS!$M$29)&lt;&gt;0,1/(1 - CUSTOS!$M$29),1)</f>
        <v>1</v>
      </c>
    </row>
    <row r="37" spans="1:42" ht="11.25" customHeight="1" x14ac:dyDescent="0.25">
      <c r="A37" s="119"/>
      <c r="B37" s="22" t="s">
        <v>23</v>
      </c>
      <c r="C37" s="22" t="s">
        <v>44</v>
      </c>
      <c r="D37" s="22" t="s">
        <v>95</v>
      </c>
      <c r="E37" s="22" t="s">
        <v>25</v>
      </c>
      <c r="F37" s="22" t="s">
        <v>25</v>
      </c>
      <c r="G37" s="21" t="s">
        <v>86</v>
      </c>
      <c r="H37" s="21" t="s">
        <v>80</v>
      </c>
      <c r="I37" s="21">
        <f>'MERCADO TUSD'!$U$34</f>
        <v>0</v>
      </c>
      <c r="J37" s="17"/>
      <c r="L37" s="20">
        <f>'TR TUSD'!$L$37*'TR TUSD'!$L$60</f>
        <v>6.5989776345360189</v>
      </c>
      <c r="M37" s="20">
        <f>'TR TUSD'!$M$37*'TR TUSD'!$M$60</f>
        <v>0.7411475167964322</v>
      </c>
      <c r="N37" s="20">
        <f ca="1">'TR TUSD'!$N$37*'TR TUSD'!$N$60</f>
        <v>3.2114102673320635</v>
      </c>
      <c r="O37" s="20">
        <f>'TR TUSD'!$O$37*'TR TUSD'!$O$60</f>
        <v>0</v>
      </c>
      <c r="P37" s="20">
        <f>'TR TUSD'!$P$37*'TR TUSD'!$P$60</f>
        <v>0</v>
      </c>
      <c r="Q37" s="20">
        <f>'TR TUSD'!$Q$37*'TR TUSD'!$Q$60</f>
        <v>94.193572209737411</v>
      </c>
      <c r="R37" s="20">
        <f>'TR TUSD'!$R$37*'TR TUSD'!$R$60</f>
        <v>14.901352205088047</v>
      </c>
      <c r="S37" s="20">
        <f>'TR TUSD'!$S$37*'TR TUSD'!$S$60</f>
        <v>0</v>
      </c>
      <c r="T37" s="20">
        <f ca="1">SUM($L$37:$S$37)</f>
        <v>119.64645983348997</v>
      </c>
      <c r="U37" s="20">
        <f>'TR TUSD'!$U$37*'TR TUSD'!$U$60</f>
        <v>25.370711307450723</v>
      </c>
      <c r="V37" s="20">
        <f>'TR TUSD'!$V$37*'TR TUSD'!$V$60</f>
        <v>3.3469129260974069</v>
      </c>
      <c r="W37" s="20">
        <f>'TR TUSD'!$W$37*'TR TUSD'!$W$60</f>
        <v>1.1097510076688015</v>
      </c>
      <c r="X37" s="20">
        <f>'TR TUSD'!$X$37*'TR TUSD'!$X$60</f>
        <v>0</v>
      </c>
      <c r="Y37" s="20">
        <f>'TR TUSD'!$Y$37*'TR TUSD'!$Y$60</f>
        <v>40.823337318940403</v>
      </c>
      <c r="Z37" s="20">
        <f>'TR TUSD'!$Z$37</f>
        <v>0</v>
      </c>
      <c r="AA37" s="20">
        <f>'TR TUSD'!$AA$37</f>
        <v>0</v>
      </c>
      <c r="AB37" s="20">
        <f>SUM($U$37:$AA$37)</f>
        <v>70.650712560157331</v>
      </c>
      <c r="AC37" s="20">
        <f>'TR TUSD'!$AC$37*'TR TUSD'!$AC$60</f>
        <v>181.95682700900488</v>
      </c>
      <c r="AD37" s="20">
        <f>SUM($AC$37:$AC$37)</f>
        <v>181.95682700900488</v>
      </c>
      <c r="AE37" s="20">
        <v>0</v>
      </c>
      <c r="AF37" s="20">
        <v>0</v>
      </c>
      <c r="AG37" s="20">
        <f>SUM($AE$37:$AF$37)</f>
        <v>0</v>
      </c>
      <c r="AH37" s="20">
        <f>'TR TUSD'!$AH$37*'TR TUSD'!$AH$60</f>
        <v>29.484790225909379</v>
      </c>
      <c r="AI37" s="20">
        <f>'TR TUSD'!$AI$37*'TR TUSD'!$AI$60</f>
        <v>1.0399551738881279</v>
      </c>
      <c r="AJ37" s="20">
        <f ca="1">'TR TUSD'!$AJ$37*'TR TUSD'!$AJ$60</f>
        <v>3.9562959342637596</v>
      </c>
      <c r="AK37" s="20">
        <f ca="1">'TR TUSD'!$AK$37*'TR TUSD'!$AK$60</f>
        <v>0.4852921777328405</v>
      </c>
      <c r="AL37" s="20">
        <f ca="1">SUM($AH$37:$AK$37)</f>
        <v>34.966333511794105</v>
      </c>
      <c r="AM37" s="20">
        <f ca="1">SUMIF($L$4:$AL$4,"SUBTOTAL",$L$37:$AL$37)</f>
        <v>407.22033291444632</v>
      </c>
      <c r="AP37" s="20">
        <f>IF((1 - CUSTOS!$M$29)&lt;&gt;0,1/(1 - CUSTOS!$M$29),1)</f>
        <v>1</v>
      </c>
    </row>
    <row r="38" spans="1:42" ht="11.25" customHeight="1" x14ac:dyDescent="0.25">
      <c r="A38" s="119"/>
      <c r="B38" s="119" t="s">
        <v>33</v>
      </c>
      <c r="C38" s="119" t="s">
        <v>44</v>
      </c>
      <c r="D38" s="119" t="s">
        <v>55</v>
      </c>
      <c r="E38" s="119" t="s">
        <v>25</v>
      </c>
      <c r="F38" s="119" t="s">
        <v>25</v>
      </c>
      <c r="G38" s="21" t="s">
        <v>81</v>
      </c>
      <c r="H38" s="21" t="s">
        <v>80</v>
      </c>
      <c r="I38" s="21">
        <f>'MERCADO TUSD'!$U$35</f>
        <v>0</v>
      </c>
      <c r="J38" s="17"/>
      <c r="L38" s="20">
        <f>'TR TUSD'!$L$38*'TR TUSD'!$L$60</f>
        <v>6.5989776345360189</v>
      </c>
      <c r="M38" s="20">
        <f>'TR TUSD'!$M$38*'TR TUSD'!$M$60</f>
        <v>0.7411475167964322</v>
      </c>
      <c r="N38" s="20">
        <f ca="1">'TR TUSD'!$N$38*'TR TUSD'!$N$60</f>
        <v>3.5587663336065183</v>
      </c>
      <c r="O38" s="20">
        <f>'TR TUSD'!$O$38*'TR TUSD'!$O$60</f>
        <v>0</v>
      </c>
      <c r="P38" s="20">
        <f>'TR TUSD'!$P$38*'TR TUSD'!$P$60</f>
        <v>0</v>
      </c>
      <c r="Q38" s="20">
        <f>'TR TUSD'!$Q$38*'TR TUSD'!$Q$60</f>
        <v>94.193572209737411</v>
      </c>
      <c r="R38" s="20">
        <f>'TR TUSD'!$R$38*'TR TUSD'!$R$60</f>
        <v>14.901352205088047</v>
      </c>
      <c r="S38" s="20">
        <f>'TR TUSD'!$S$38*'TR TUSD'!$S$60</f>
        <v>0</v>
      </c>
      <c r="T38" s="20">
        <f ca="1">SUM($L$38:$S$38)</f>
        <v>119.99381589976443</v>
      </c>
      <c r="U38" s="20">
        <f>'TR TUSD'!$U$38*'TR TUSD'!$U$60</f>
        <v>90.066037270216626</v>
      </c>
      <c r="V38" s="20">
        <f>'TR TUSD'!$V$38*'TR TUSD'!$V$60</f>
        <v>11.881414580755598</v>
      </c>
      <c r="W38" s="20">
        <f>'TR TUSD'!$W$38*'TR TUSD'!$W$60</f>
        <v>3.9396160772242452</v>
      </c>
      <c r="X38" s="20">
        <f>'TR TUSD'!$X$38*'TR TUSD'!$X$60</f>
        <v>0</v>
      </c>
      <c r="Y38" s="20">
        <f>'TR TUSD'!$Y$38*'TR TUSD'!$Y$60</f>
        <v>144.9227311101252</v>
      </c>
      <c r="Z38" s="20">
        <f>'TR TUSD'!$Z$38</f>
        <v>0</v>
      </c>
      <c r="AA38" s="20">
        <f>'TR TUSD'!$AA$38</f>
        <v>0</v>
      </c>
      <c r="AB38" s="20">
        <f>SUM($U$38:$AA$38)</f>
        <v>250.80979903832167</v>
      </c>
      <c r="AC38" s="20">
        <f>'TR TUSD'!$AC$38*'TR TUSD'!$AC$60</f>
        <v>645.94682376449896</v>
      </c>
      <c r="AD38" s="20">
        <f>SUM($AC$38:$AC$38)</f>
        <v>645.94682376449896</v>
      </c>
      <c r="AE38" s="20">
        <v>0</v>
      </c>
      <c r="AF38" s="20">
        <v>0</v>
      </c>
      <c r="AG38" s="20">
        <f>SUM($AE$38:$AF$38)</f>
        <v>0</v>
      </c>
      <c r="AH38" s="20">
        <f>'TR TUSD'!$AH$38*'TR TUSD'!$AH$60</f>
        <v>29.484790225909379</v>
      </c>
      <c r="AI38" s="20">
        <f>'TR TUSD'!$AI$38*'TR TUSD'!$AI$60</f>
        <v>1.0399551738881279</v>
      </c>
      <c r="AJ38" s="20">
        <f ca="1">'TR TUSD'!$AJ$38*'TR TUSD'!$AJ$60</f>
        <v>3.9562959342637596</v>
      </c>
      <c r="AK38" s="20">
        <f ca="1">'TR TUSD'!$AK$38*'TR TUSD'!$AK$60</f>
        <v>0.4852921777328405</v>
      </c>
      <c r="AL38" s="20">
        <f ca="1">SUM($AH$38:$AK$38)</f>
        <v>34.966333511794105</v>
      </c>
      <c r="AM38" s="20">
        <f ca="1">SUMIF($L$4:$AL$4,"SUBTOTAL",$L$38:$AL$38)</f>
        <v>1051.716772214379</v>
      </c>
      <c r="AP38" s="20">
        <f>IF((1 - CUSTOS!$M$30)&lt;&gt;0,1/(1 - CUSTOS!$M$30),1)</f>
        <v>1</v>
      </c>
    </row>
    <row r="39" spans="1:42" ht="11.25" customHeight="1" x14ac:dyDescent="0.25">
      <c r="A39" s="119"/>
      <c r="B39" s="119"/>
      <c r="C39" s="119"/>
      <c r="D39" s="119"/>
      <c r="E39" s="119"/>
      <c r="F39" s="119"/>
      <c r="G39" s="21" t="s">
        <v>91</v>
      </c>
      <c r="H39" s="21" t="s">
        <v>80</v>
      </c>
      <c r="I39" s="21">
        <f>'MERCADO TUSD'!$U$36</f>
        <v>0</v>
      </c>
      <c r="J39" s="17"/>
      <c r="L39" s="20">
        <f>'TR TUSD'!$L$39*'TR TUSD'!$L$60</f>
        <v>6.5989776345360189</v>
      </c>
      <c r="M39" s="20">
        <f>'TR TUSD'!$M$39*'TR TUSD'!$M$60</f>
        <v>0.7411475167964322</v>
      </c>
      <c r="N39" s="20">
        <f ca="1">'TR TUSD'!$N$39*'TR TUSD'!$N$60</f>
        <v>3.3653366450255109</v>
      </c>
      <c r="O39" s="20">
        <f>'TR TUSD'!$O$39*'TR TUSD'!$O$60</f>
        <v>0</v>
      </c>
      <c r="P39" s="20">
        <f>'TR TUSD'!$P$39*'TR TUSD'!$P$60</f>
        <v>0</v>
      </c>
      <c r="Q39" s="20">
        <f>'TR TUSD'!$Q$39*'TR TUSD'!$Q$60</f>
        <v>94.193572209737411</v>
      </c>
      <c r="R39" s="20">
        <f>'TR TUSD'!$R$39*'TR TUSD'!$R$60</f>
        <v>14.901352205088047</v>
      </c>
      <c r="S39" s="20">
        <f>'TR TUSD'!$S$39*'TR TUSD'!$S$60</f>
        <v>0</v>
      </c>
      <c r="T39" s="20">
        <f ca="1">SUM($L$39:$S$39)</f>
        <v>119.80038621118342</v>
      </c>
      <c r="U39" s="20">
        <f>'TR TUSD'!$U$39*'TR TUSD'!$U$60</f>
        <v>54.03959810459687</v>
      </c>
      <c r="V39" s="20">
        <f>'TR TUSD'!$V$39*'TR TUSD'!$V$60</f>
        <v>7.1288707148690449</v>
      </c>
      <c r="W39" s="20">
        <f>'TR TUSD'!$W$39*'TR TUSD'!$W$60</f>
        <v>2.3637458829296718</v>
      </c>
      <c r="X39" s="20">
        <f>'TR TUSD'!$X$39*'TR TUSD'!$X$60</f>
        <v>0</v>
      </c>
      <c r="Y39" s="20">
        <f>'TR TUSD'!$Y$39*'TR TUSD'!$Y$60</f>
        <v>86.953592117229832</v>
      </c>
      <c r="Z39" s="20">
        <f>'TR TUSD'!$Z$39</f>
        <v>0</v>
      </c>
      <c r="AA39" s="20">
        <f>'TR TUSD'!$AA$39</f>
        <v>0</v>
      </c>
      <c r="AB39" s="20">
        <f>SUM($U$39:$AA$39)</f>
        <v>150.48580681962542</v>
      </c>
      <c r="AC39" s="20">
        <f>'TR TUSD'!$AC$39*'TR TUSD'!$AC$60</f>
        <v>387.5681162293323</v>
      </c>
      <c r="AD39" s="20">
        <f>SUM($AC$39:$AC$39)</f>
        <v>387.5681162293323</v>
      </c>
      <c r="AE39" s="20">
        <v>0</v>
      </c>
      <c r="AF39" s="20">
        <v>0</v>
      </c>
      <c r="AG39" s="20">
        <f>SUM($AE$39:$AF$39)</f>
        <v>0</v>
      </c>
      <c r="AH39" s="20">
        <f>'TR TUSD'!$AH$39*'TR TUSD'!$AH$60</f>
        <v>29.484790225909379</v>
      </c>
      <c r="AI39" s="20">
        <f>'TR TUSD'!$AI$39*'TR TUSD'!$AI$60</f>
        <v>1.0399551738881279</v>
      </c>
      <c r="AJ39" s="20">
        <f ca="1">'TR TUSD'!$AJ$39*'TR TUSD'!$AJ$60</f>
        <v>3.9562959342637596</v>
      </c>
      <c r="AK39" s="20">
        <f ca="1">'TR TUSD'!$AK$39*'TR TUSD'!$AK$60</f>
        <v>0.4852921777328405</v>
      </c>
      <c r="AL39" s="20">
        <f ca="1">SUM($AH$39:$AK$39)</f>
        <v>34.966333511794105</v>
      </c>
      <c r="AM39" s="20">
        <f ca="1">SUMIF($L$4:$AL$4,"SUBTOTAL",$L$39:$AL$39)</f>
        <v>692.82064277193524</v>
      </c>
      <c r="AP39" s="20">
        <f>IF((1 - CUSTOS!$M$30)&lt;&gt;0,1/(1 - CUSTOS!$M$30),1)</f>
        <v>1</v>
      </c>
    </row>
    <row r="40" spans="1:42" ht="11.25" customHeight="1" x14ac:dyDescent="0.25">
      <c r="A40" s="119"/>
      <c r="B40" s="119"/>
      <c r="C40" s="119"/>
      <c r="D40" s="119"/>
      <c r="E40" s="119"/>
      <c r="F40" s="119"/>
      <c r="G40" s="21" t="s">
        <v>82</v>
      </c>
      <c r="H40" s="21" t="s">
        <v>80</v>
      </c>
      <c r="I40" s="21">
        <f>'MERCADO TUSD'!$U$37</f>
        <v>0</v>
      </c>
      <c r="J40" s="17"/>
      <c r="L40" s="20">
        <f>'TR TUSD'!$L$40*'TR TUSD'!$L$60</f>
        <v>6.5989776345360189</v>
      </c>
      <c r="M40" s="20">
        <f>'TR TUSD'!$M$40*'TR TUSD'!$M$60</f>
        <v>0.7411475167964322</v>
      </c>
      <c r="N40" s="20">
        <f ca="1">'TR TUSD'!$N$40*'TR TUSD'!$N$60</f>
        <v>3.171907016820716</v>
      </c>
      <c r="O40" s="20">
        <f>'TR TUSD'!$O$40*'TR TUSD'!$O$60</f>
        <v>0</v>
      </c>
      <c r="P40" s="20">
        <f>'TR TUSD'!$P$40*'TR TUSD'!$P$60</f>
        <v>0</v>
      </c>
      <c r="Q40" s="20">
        <f>'TR TUSD'!$Q$40*'TR TUSD'!$Q$60</f>
        <v>94.193572209737411</v>
      </c>
      <c r="R40" s="20">
        <f>'TR TUSD'!$R$40*'TR TUSD'!$R$60</f>
        <v>14.901352205088047</v>
      </c>
      <c r="S40" s="20">
        <f>'TR TUSD'!$S$40*'TR TUSD'!$S$60</f>
        <v>0</v>
      </c>
      <c r="T40" s="20">
        <f ca="1">SUM($L$40:$S$40)</f>
        <v>119.60695658297863</v>
      </c>
      <c r="U40" s="20">
        <f>'TR TUSD'!$U$40*'TR TUSD'!$U$60</f>
        <v>18.013158938977099</v>
      </c>
      <c r="V40" s="20">
        <f>'TR TUSD'!$V$40*'TR TUSD'!$V$60</f>
        <v>2.3763268489824929</v>
      </c>
      <c r="W40" s="20">
        <f>'TR TUSD'!$W$40*'TR TUSD'!$W$60</f>
        <v>0.78787568863509883</v>
      </c>
      <c r="X40" s="20">
        <f>'TR TUSD'!$X$40*'TR TUSD'!$X$60</f>
        <v>0</v>
      </c>
      <c r="Y40" s="20">
        <f>'TR TUSD'!$Y$40*'TR TUSD'!$Y$60</f>
        <v>28.984569496447687</v>
      </c>
      <c r="Z40" s="20">
        <f>'TR TUSD'!$Z$40</f>
        <v>0</v>
      </c>
      <c r="AA40" s="20">
        <f>'TR TUSD'!$AA$40</f>
        <v>0</v>
      </c>
      <c r="AB40" s="20">
        <f>SUM($U$40:$AA$40)</f>
        <v>50.161930973042374</v>
      </c>
      <c r="AC40" s="20">
        <f>'TR TUSD'!$AC$40*'TR TUSD'!$AC$60</f>
        <v>129.18940869416559</v>
      </c>
      <c r="AD40" s="20">
        <f>SUM($AC$40:$AC$40)</f>
        <v>129.18940869416559</v>
      </c>
      <c r="AE40" s="20">
        <v>0</v>
      </c>
      <c r="AF40" s="20">
        <v>0</v>
      </c>
      <c r="AG40" s="20">
        <f>SUM($AE$40:$AF$40)</f>
        <v>0</v>
      </c>
      <c r="AH40" s="20">
        <f>'TR TUSD'!$AH$40*'TR TUSD'!$AH$60</f>
        <v>29.484790225909379</v>
      </c>
      <c r="AI40" s="20">
        <f>'TR TUSD'!$AI$40*'TR TUSD'!$AI$60</f>
        <v>1.0399551738881279</v>
      </c>
      <c r="AJ40" s="20">
        <f ca="1">'TR TUSD'!$AJ$40*'TR TUSD'!$AJ$60</f>
        <v>3.9562959342637596</v>
      </c>
      <c r="AK40" s="20">
        <f ca="1">'TR TUSD'!$AK$40*'TR TUSD'!$AK$60</f>
        <v>0.4852921777328405</v>
      </c>
      <c r="AL40" s="20">
        <f ca="1">SUM($AH$40:$AK$40)</f>
        <v>34.966333511794105</v>
      </c>
      <c r="AM40" s="20">
        <f ca="1">SUMIF($L$4:$AL$4,"SUBTOTAL",$L$40:$AL$40)</f>
        <v>333.92462976198073</v>
      </c>
      <c r="AP40" s="20">
        <f>IF((1 - CUSTOS!$M$30)&lt;&gt;0,1/(1 - CUSTOS!$M$30),1)</f>
        <v>1</v>
      </c>
    </row>
    <row r="41" spans="1:42" ht="11.25" customHeight="1" x14ac:dyDescent="0.25">
      <c r="A41" s="119"/>
      <c r="B41" s="22" t="s">
        <v>23</v>
      </c>
      <c r="C41" s="22" t="s">
        <v>44</v>
      </c>
      <c r="D41" s="22" t="s">
        <v>55</v>
      </c>
      <c r="E41" s="22" t="s">
        <v>25</v>
      </c>
      <c r="F41" s="22" t="s">
        <v>25</v>
      </c>
      <c r="G41" s="21" t="s">
        <v>86</v>
      </c>
      <c r="H41" s="21" t="s">
        <v>80</v>
      </c>
      <c r="I41" s="21">
        <f>'MERCADO TUSD'!$U$38</f>
        <v>29.929000000000002</v>
      </c>
      <c r="J41" s="17"/>
      <c r="L41" s="20">
        <f>'TR TUSD'!$L$41*'TR TUSD'!$L$60</f>
        <v>6.5989776345360189</v>
      </c>
      <c r="M41" s="20">
        <f>'TR TUSD'!$M$41*'TR TUSD'!$M$60</f>
        <v>0.7411475167964322</v>
      </c>
      <c r="N41" s="20">
        <f ca="1">'TR TUSD'!$N$41*'TR TUSD'!$N$60</f>
        <v>3.2114102673320635</v>
      </c>
      <c r="O41" s="20">
        <f>'TR TUSD'!$O$41*'TR TUSD'!$O$60</f>
        <v>0</v>
      </c>
      <c r="P41" s="20">
        <f>'TR TUSD'!$P$41*'TR TUSD'!$P$60</f>
        <v>0</v>
      </c>
      <c r="Q41" s="20">
        <f>'TR TUSD'!$Q$41*'TR TUSD'!$Q$60</f>
        <v>94.193572209737411</v>
      </c>
      <c r="R41" s="20">
        <f>'TR TUSD'!$R$41*'TR TUSD'!$R$60</f>
        <v>14.901352205088047</v>
      </c>
      <c r="S41" s="20">
        <f>'TR TUSD'!$S$41*'TR TUSD'!$S$60</f>
        <v>0</v>
      </c>
      <c r="T41" s="20">
        <f ca="1">SUM($L$41:$S$41)</f>
        <v>119.64645983348997</v>
      </c>
      <c r="U41" s="20">
        <f>'TR TUSD'!$U$41*'TR TUSD'!$U$60</f>
        <v>25.370711307450723</v>
      </c>
      <c r="V41" s="20">
        <f>'TR TUSD'!$V$41*'TR TUSD'!$V$60</f>
        <v>3.3469129260974069</v>
      </c>
      <c r="W41" s="20">
        <f>'TR TUSD'!$W$41*'TR TUSD'!$W$60</f>
        <v>1.1097510076688015</v>
      </c>
      <c r="X41" s="20">
        <f>'TR TUSD'!$X$41*'TR TUSD'!$X$60</f>
        <v>0</v>
      </c>
      <c r="Y41" s="20">
        <f>'TR TUSD'!$Y$41*'TR TUSD'!$Y$60</f>
        <v>40.823337318940403</v>
      </c>
      <c r="Z41" s="20">
        <f>'TR TUSD'!$Z$41</f>
        <v>0</v>
      </c>
      <c r="AA41" s="20">
        <f>'TR TUSD'!$AA$41</f>
        <v>0</v>
      </c>
      <c r="AB41" s="20">
        <f>SUM($U$41:$AA$41)</f>
        <v>70.650712560157331</v>
      </c>
      <c r="AC41" s="20">
        <f>'TR TUSD'!$AC$41*'TR TUSD'!$AC$60</f>
        <v>181.95682700900488</v>
      </c>
      <c r="AD41" s="20">
        <f>SUM($AC$41:$AC$41)</f>
        <v>181.95682700900488</v>
      </c>
      <c r="AE41" s="20">
        <v>0</v>
      </c>
      <c r="AF41" s="20">
        <v>0</v>
      </c>
      <c r="AG41" s="20">
        <f>SUM($AE$41:$AF$41)</f>
        <v>0</v>
      </c>
      <c r="AH41" s="20">
        <f>'TR TUSD'!$AH$41*'TR TUSD'!$AH$60</f>
        <v>29.484790225909379</v>
      </c>
      <c r="AI41" s="20">
        <f>'TR TUSD'!$AI$41*'TR TUSD'!$AI$60</f>
        <v>1.0399551738881279</v>
      </c>
      <c r="AJ41" s="20">
        <f ca="1">'TR TUSD'!$AJ$41*'TR TUSD'!$AJ$60</f>
        <v>3.9562959342637596</v>
      </c>
      <c r="AK41" s="20">
        <f ca="1">'TR TUSD'!$AK$41*'TR TUSD'!$AK$60</f>
        <v>0.4852921777328405</v>
      </c>
      <c r="AL41" s="20">
        <f ca="1">SUM($AH$41:$AK$41)</f>
        <v>34.966333511794105</v>
      </c>
      <c r="AM41" s="20">
        <f ca="1">SUMIF($L$4:$AL$4,"SUBTOTAL",$L$41:$AL$41)</f>
        <v>407.22033291444632</v>
      </c>
      <c r="AP41" s="20">
        <f>IF((1 - CUSTOS!$M$30)&lt;&gt;0,1/(1 - CUSTOS!$M$30),1)</f>
        <v>1</v>
      </c>
    </row>
    <row r="42" spans="1:42" ht="11.25" customHeight="1" x14ac:dyDescent="0.25">
      <c r="A42" s="119"/>
      <c r="B42" s="119" t="s">
        <v>94</v>
      </c>
      <c r="C42" s="119" t="s">
        <v>44</v>
      </c>
      <c r="D42" s="22" t="s">
        <v>25</v>
      </c>
      <c r="E42" s="22" t="s">
        <v>25</v>
      </c>
      <c r="F42" s="22" t="s">
        <v>25</v>
      </c>
      <c r="G42" s="21" t="s">
        <v>86</v>
      </c>
      <c r="H42" s="21" t="s">
        <v>80</v>
      </c>
      <c r="I42" s="21">
        <f>'MERCADO TUSD'!$U$39</f>
        <v>0</v>
      </c>
      <c r="J42" s="17"/>
      <c r="L42" s="20">
        <f>'TR TUSD'!$L$42*'TR TUSD'!$L$60</f>
        <v>6.5989776345360189</v>
      </c>
      <c r="M42" s="20">
        <f>'TR TUSD'!$M$42*'TR TUSD'!$M$60</f>
        <v>0.7411475167964322</v>
      </c>
      <c r="N42" s="20">
        <f ca="1">'TR TUSD'!$N$42*'TR TUSD'!$N$60</f>
        <v>3.2114102673320635</v>
      </c>
      <c r="O42" s="20">
        <f>'TR TUSD'!$O$42*'TR TUSD'!$O$60</f>
        <v>0</v>
      </c>
      <c r="P42" s="20">
        <f>'TR TUSD'!$P$42*'TR TUSD'!$P$60</f>
        <v>0</v>
      </c>
      <c r="Q42" s="20">
        <f>'TR TUSD'!$Q$42*'TR TUSD'!$Q$60</f>
        <v>94.193572209737411</v>
      </c>
      <c r="R42" s="20">
        <f>'TR TUSD'!$R$42*'TR TUSD'!$R$60</f>
        <v>14.901352205088047</v>
      </c>
      <c r="S42" s="20">
        <f>'TR TUSD'!$S$42*'TR TUSD'!$S$60</f>
        <v>0</v>
      </c>
      <c r="T42" s="20">
        <f ca="1">SUM($L$42:$S$42)</f>
        <v>119.64645983348997</v>
      </c>
      <c r="U42" s="20">
        <f>'TR TUSD'!$U$42*'TR TUSD'!$U$60</f>
        <v>25.370711307450723</v>
      </c>
      <c r="V42" s="20">
        <f>'TR TUSD'!$V$42*'TR TUSD'!$V$60</f>
        <v>3.3469129260974069</v>
      </c>
      <c r="W42" s="20">
        <f>'TR TUSD'!$W$42*'TR TUSD'!$W$60</f>
        <v>1.1097510076688015</v>
      </c>
      <c r="X42" s="20">
        <f>'TR TUSD'!$X$42*'TR TUSD'!$X$60</f>
        <v>0</v>
      </c>
      <c r="Y42" s="20">
        <f>'TR TUSD'!$Y$42*'TR TUSD'!$Y$60</f>
        <v>40.823337318940403</v>
      </c>
      <c r="Z42" s="20">
        <f>'TR TUSD'!$Z$42</f>
        <v>0</v>
      </c>
      <c r="AA42" s="20">
        <f>'TR TUSD'!$AA$42</f>
        <v>0</v>
      </c>
      <c r="AB42" s="20">
        <f>SUM($U$42:$AA$42)</f>
        <v>70.650712560157331</v>
      </c>
      <c r="AC42" s="20">
        <f>'TR TUSD'!$AC$42*'TR TUSD'!$AC$60</f>
        <v>181.95682700900488</v>
      </c>
      <c r="AD42" s="20">
        <f>SUM($AC$42:$AC$42)</f>
        <v>181.95682700900488</v>
      </c>
      <c r="AE42" s="20">
        <v>0</v>
      </c>
      <c r="AF42" s="20">
        <v>0</v>
      </c>
      <c r="AG42" s="20">
        <f>SUM($AE$42:$AF$42)</f>
        <v>0</v>
      </c>
      <c r="AH42" s="20">
        <f>'TR TUSD'!$AH$42*'TR TUSD'!$AH$60</f>
        <v>29.484790225909379</v>
      </c>
      <c r="AI42" s="20">
        <f>'TR TUSD'!$AI$42*'TR TUSD'!$AI$60</f>
        <v>1.0399551738881279</v>
      </c>
      <c r="AJ42" s="20">
        <f ca="1">'TR TUSD'!$AJ$42*'TR TUSD'!$AJ$60</f>
        <v>3.9562959342637596</v>
      </c>
      <c r="AK42" s="20">
        <f ca="1">'TR TUSD'!$AK$42*'TR TUSD'!$AK$60</f>
        <v>0.4852921777328405</v>
      </c>
      <c r="AL42" s="20">
        <f ca="1">SUM($AH$42:$AK$42)</f>
        <v>34.966333511794105</v>
      </c>
      <c r="AM42" s="20">
        <f ca="1">SUMIF($L$4:$AL$4,"SUBTOTAL",$L$42:$AL$42)</f>
        <v>407.22033291444632</v>
      </c>
      <c r="AP42" s="20">
        <f>IF((1 - CUSTOS!$M$28)&lt;&gt;0,1/(1 - CUSTOS!$M$28),1)</f>
        <v>1</v>
      </c>
    </row>
    <row r="43" spans="1:42" ht="11.25" customHeight="1" x14ac:dyDescent="0.25">
      <c r="A43" s="119"/>
      <c r="B43" s="119"/>
      <c r="C43" s="119"/>
      <c r="D43" s="22" t="s">
        <v>95</v>
      </c>
      <c r="E43" s="22" t="s">
        <v>25</v>
      </c>
      <c r="F43" s="22" t="s">
        <v>25</v>
      </c>
      <c r="G43" s="21" t="s">
        <v>86</v>
      </c>
      <c r="H43" s="21" t="s">
        <v>80</v>
      </c>
      <c r="I43" s="21">
        <f>'MERCADO TUSD'!$U$40</f>
        <v>0</v>
      </c>
      <c r="J43" s="17"/>
      <c r="L43" s="20">
        <f>'TR TUSD'!$L$43*'TR TUSD'!$L$60</f>
        <v>6.5989776345360189</v>
      </c>
      <c r="M43" s="20">
        <f>'TR TUSD'!$M$43*'TR TUSD'!$M$60</f>
        <v>0.7411475167964322</v>
      </c>
      <c r="N43" s="20">
        <f ca="1">'TR TUSD'!$N$43*'TR TUSD'!$N$60</f>
        <v>3.2114102673320635</v>
      </c>
      <c r="O43" s="20">
        <f>'TR TUSD'!$O$43*'TR TUSD'!$O$60</f>
        <v>0</v>
      </c>
      <c r="P43" s="20">
        <f>'TR TUSD'!$P$43*'TR TUSD'!$P$60</f>
        <v>0</v>
      </c>
      <c r="Q43" s="20">
        <f>'TR TUSD'!$Q$43*'TR TUSD'!$Q$60</f>
        <v>94.193572209737411</v>
      </c>
      <c r="R43" s="20">
        <f>'TR TUSD'!$R$43*'TR TUSD'!$R$60</f>
        <v>14.901352205088047</v>
      </c>
      <c r="S43" s="20">
        <f>'TR TUSD'!$S$43*'TR TUSD'!$S$60</f>
        <v>0</v>
      </c>
      <c r="T43" s="20">
        <f ca="1">SUM($L$43:$S$43)</f>
        <v>119.64645983348997</v>
      </c>
      <c r="U43" s="20">
        <f>'TR TUSD'!$U$43*'TR TUSD'!$U$60</f>
        <v>25.370711307450723</v>
      </c>
      <c r="V43" s="20">
        <f>'TR TUSD'!$V$43*'TR TUSD'!$V$60</f>
        <v>3.3469129260974069</v>
      </c>
      <c r="W43" s="20">
        <f>'TR TUSD'!$W$43*'TR TUSD'!$W$60</f>
        <v>1.1097510076688015</v>
      </c>
      <c r="X43" s="20">
        <f>'TR TUSD'!$X$43*'TR TUSD'!$X$60</f>
        <v>0</v>
      </c>
      <c r="Y43" s="20">
        <f>'TR TUSD'!$Y$43*'TR TUSD'!$Y$60</f>
        <v>40.823337318940403</v>
      </c>
      <c r="Z43" s="20">
        <f>'TR TUSD'!$Z$43</f>
        <v>0</v>
      </c>
      <c r="AA43" s="20">
        <f>'TR TUSD'!$AA$43</f>
        <v>0</v>
      </c>
      <c r="AB43" s="20">
        <f>SUM($U$43:$AA$43)</f>
        <v>70.650712560157331</v>
      </c>
      <c r="AC43" s="20">
        <f>'TR TUSD'!$AC$43*'TR TUSD'!$AC$60</f>
        <v>181.95682700900488</v>
      </c>
      <c r="AD43" s="20">
        <f>SUM($AC$43:$AC$43)</f>
        <v>181.95682700900488</v>
      </c>
      <c r="AE43" s="20">
        <v>0</v>
      </c>
      <c r="AF43" s="20">
        <v>0</v>
      </c>
      <c r="AG43" s="20">
        <f>SUM($AE$43:$AF$43)</f>
        <v>0</v>
      </c>
      <c r="AH43" s="20">
        <f>'TR TUSD'!$AH$43*'TR TUSD'!$AH$60</f>
        <v>29.484790225909379</v>
      </c>
      <c r="AI43" s="20">
        <f>'TR TUSD'!$AI$43*'TR TUSD'!$AI$60</f>
        <v>1.0399551738881279</v>
      </c>
      <c r="AJ43" s="20">
        <f ca="1">'TR TUSD'!$AJ$43*'TR TUSD'!$AJ$60</f>
        <v>3.9562959342637596</v>
      </c>
      <c r="AK43" s="20">
        <f ca="1">'TR TUSD'!$AK$43*'TR TUSD'!$AK$60</f>
        <v>0.4852921777328405</v>
      </c>
      <c r="AL43" s="20">
        <f ca="1">SUM($AH$43:$AK$43)</f>
        <v>34.966333511794105</v>
      </c>
      <c r="AM43" s="20">
        <f ca="1">SUMIF($L$4:$AL$4,"SUBTOTAL",$L$43:$AL$43)</f>
        <v>407.22033291444632</v>
      </c>
      <c r="AP43" s="20">
        <f>IF((1 - CUSTOS!$M$29)&lt;&gt;0,1/(1 - CUSTOS!$M$29),1)</f>
        <v>1</v>
      </c>
    </row>
    <row r="44" spans="1:42" ht="11.25" customHeight="1" x14ac:dyDescent="0.25">
      <c r="A44" s="119"/>
      <c r="B44" s="119"/>
      <c r="C44" s="119"/>
      <c r="D44" s="22" t="s">
        <v>55</v>
      </c>
      <c r="E44" s="22" t="s">
        <v>25</v>
      </c>
      <c r="F44" s="22" t="s">
        <v>25</v>
      </c>
      <c r="G44" s="21" t="s">
        <v>86</v>
      </c>
      <c r="H44" s="21" t="s">
        <v>80</v>
      </c>
      <c r="I44" s="21">
        <f>'MERCADO TUSD'!$U$41</f>
        <v>0</v>
      </c>
      <c r="J44" s="17"/>
      <c r="L44" s="20">
        <f>'TR TUSD'!$L$44*'TR TUSD'!$L$60</f>
        <v>6.5989776345360189</v>
      </c>
      <c r="M44" s="20">
        <f>'TR TUSD'!$M$44*'TR TUSD'!$M$60</f>
        <v>0.7411475167964322</v>
      </c>
      <c r="N44" s="20">
        <f ca="1">'TR TUSD'!$N$44*'TR TUSD'!$N$60</f>
        <v>3.2114102673320635</v>
      </c>
      <c r="O44" s="20">
        <f>'TR TUSD'!$O$44*'TR TUSD'!$O$60</f>
        <v>0</v>
      </c>
      <c r="P44" s="20">
        <f>'TR TUSD'!$P$44*'TR TUSD'!$P$60</f>
        <v>0</v>
      </c>
      <c r="Q44" s="20">
        <f>'TR TUSD'!$Q$44*'TR TUSD'!$Q$60</f>
        <v>94.193572209737411</v>
      </c>
      <c r="R44" s="20">
        <f>'TR TUSD'!$R$44*'TR TUSD'!$R$60</f>
        <v>14.901352205088047</v>
      </c>
      <c r="S44" s="20">
        <f>'TR TUSD'!$S$44*'TR TUSD'!$S$60</f>
        <v>0</v>
      </c>
      <c r="T44" s="20">
        <f ca="1">SUM($L$44:$S$44)</f>
        <v>119.64645983348997</v>
      </c>
      <c r="U44" s="20">
        <f>'TR TUSD'!$U$44*'TR TUSD'!$U$60</f>
        <v>25.370711307450723</v>
      </c>
      <c r="V44" s="20">
        <f>'TR TUSD'!$V$44*'TR TUSD'!$V$60</f>
        <v>3.3469129260974069</v>
      </c>
      <c r="W44" s="20">
        <f>'TR TUSD'!$W$44*'TR TUSD'!$W$60</f>
        <v>1.1097510076688015</v>
      </c>
      <c r="X44" s="20">
        <f>'TR TUSD'!$X$44*'TR TUSD'!$X$60</f>
        <v>0</v>
      </c>
      <c r="Y44" s="20">
        <f>'TR TUSD'!$Y$44*'TR TUSD'!$Y$60</f>
        <v>40.823337318940403</v>
      </c>
      <c r="Z44" s="20">
        <f>'TR TUSD'!$Z$44</f>
        <v>0</v>
      </c>
      <c r="AA44" s="20">
        <f>'TR TUSD'!$AA$44</f>
        <v>0</v>
      </c>
      <c r="AB44" s="20">
        <f>SUM($U$44:$AA$44)</f>
        <v>70.650712560157331</v>
      </c>
      <c r="AC44" s="20">
        <f>'TR TUSD'!$AC$44*'TR TUSD'!$AC$60</f>
        <v>181.95682700900488</v>
      </c>
      <c r="AD44" s="20">
        <f>SUM($AC$44:$AC$44)</f>
        <v>181.95682700900488</v>
      </c>
      <c r="AE44" s="20">
        <v>0</v>
      </c>
      <c r="AF44" s="20">
        <v>0</v>
      </c>
      <c r="AG44" s="20">
        <f>SUM($AE$44:$AF$44)</f>
        <v>0</v>
      </c>
      <c r="AH44" s="20">
        <f>'TR TUSD'!$AH$44*'TR TUSD'!$AH$60</f>
        <v>29.484790225909379</v>
      </c>
      <c r="AI44" s="20">
        <f>'TR TUSD'!$AI$44*'TR TUSD'!$AI$60</f>
        <v>1.0399551738881279</v>
      </c>
      <c r="AJ44" s="20">
        <f ca="1">'TR TUSD'!$AJ$44*'TR TUSD'!$AJ$60</f>
        <v>3.9562959342637596</v>
      </c>
      <c r="AK44" s="20">
        <f ca="1">'TR TUSD'!$AK$44*'TR TUSD'!$AK$60</f>
        <v>0.4852921777328405</v>
      </c>
      <c r="AL44" s="20">
        <f ca="1">SUM($AH$44:$AK$44)</f>
        <v>34.966333511794105</v>
      </c>
      <c r="AM44" s="20">
        <f ca="1">SUMIF($L$4:$AL$4,"SUBTOTAL",$L$44:$AL$44)</f>
        <v>407.22033291444632</v>
      </c>
      <c r="AP44" s="20">
        <f>IF((1 - CUSTOS!$M$30)&lt;&gt;0,1/(1 - CUSTOS!$M$30),1)</f>
        <v>1</v>
      </c>
    </row>
    <row r="45" spans="1:42" ht="11.25" customHeight="1" x14ac:dyDescent="0.25">
      <c r="A45" s="119" t="s">
        <v>37</v>
      </c>
      <c r="B45" s="119" t="s">
        <v>33</v>
      </c>
      <c r="C45" s="119" t="s">
        <v>25</v>
      </c>
      <c r="D45" s="119" t="s">
        <v>25</v>
      </c>
      <c r="E45" s="119" t="s">
        <v>25</v>
      </c>
      <c r="F45" s="119" t="s">
        <v>25</v>
      </c>
      <c r="G45" s="21" t="s">
        <v>81</v>
      </c>
      <c r="H45" s="21" t="s">
        <v>80</v>
      </c>
      <c r="I45" s="21">
        <f>'MERCADO TUSD'!$U$42</f>
        <v>57.161000000000001</v>
      </c>
      <c r="J45" s="17"/>
      <c r="L45" s="20">
        <f>'TR TUSD'!$L$45*'TR TUSD'!$L$60</f>
        <v>6.5989776345360189</v>
      </c>
      <c r="M45" s="20">
        <f>'TR TUSD'!$M$45*'TR TUSD'!$M$60</f>
        <v>0.7411475167964322</v>
      </c>
      <c r="N45" s="20">
        <f ca="1">'TR TUSD'!$N$45*'TR TUSD'!$N$60</f>
        <v>3.5587663336065183</v>
      </c>
      <c r="O45" s="20">
        <f>'TR TUSD'!$O$45*'TR TUSD'!$O$60</f>
        <v>0</v>
      </c>
      <c r="P45" s="20">
        <f>'TR TUSD'!$P$45*'TR TUSD'!$P$60</f>
        <v>0</v>
      </c>
      <c r="Q45" s="20">
        <f>'TR TUSD'!$Q$45*'TR TUSD'!$Q$60</f>
        <v>94.193572209737411</v>
      </c>
      <c r="R45" s="20">
        <f>'TR TUSD'!$R$45*'TR TUSD'!$R$60</f>
        <v>14.901352205088047</v>
      </c>
      <c r="S45" s="20">
        <f>'TR TUSD'!$S$45*'TR TUSD'!$S$60</f>
        <v>0</v>
      </c>
      <c r="T45" s="20">
        <f ca="1">SUM($L$45:$S$45)</f>
        <v>119.99381589976443</v>
      </c>
      <c r="U45" s="20">
        <f>'TR TUSD'!$U$45*'TR TUSD'!$U$60</f>
        <v>90.066037270216626</v>
      </c>
      <c r="V45" s="20">
        <f>'TR TUSD'!$V$45*'TR TUSD'!$V$60</f>
        <v>11.881414580755598</v>
      </c>
      <c r="W45" s="20">
        <f>'TR TUSD'!$W$45*'TR TUSD'!$W$60</f>
        <v>3.9396160772242452</v>
      </c>
      <c r="X45" s="20">
        <f>'TR TUSD'!$X$45*'TR TUSD'!$X$60</f>
        <v>0</v>
      </c>
      <c r="Y45" s="20">
        <f>'TR TUSD'!$Y$45*'TR TUSD'!$Y$60</f>
        <v>144.9227311101252</v>
      </c>
      <c r="Z45" s="20">
        <f>'TR TUSD'!$Z$45</f>
        <v>0</v>
      </c>
      <c r="AA45" s="20">
        <f>'TR TUSD'!$AA$45</f>
        <v>0</v>
      </c>
      <c r="AB45" s="20">
        <f>SUM($U$45:$AA$45)</f>
        <v>250.80979903832167</v>
      </c>
      <c r="AC45" s="20">
        <f>'TR TUSD'!$AC$45*'TR TUSD'!$AC$60</f>
        <v>645.94682376449896</v>
      </c>
      <c r="AD45" s="20">
        <f>SUM($AC$45:$AC$45)</f>
        <v>645.94682376449896</v>
      </c>
      <c r="AE45" s="20">
        <v>0</v>
      </c>
      <c r="AF45" s="20">
        <v>0</v>
      </c>
      <c r="AG45" s="20">
        <f>SUM($AE$45:$AF$45)</f>
        <v>0</v>
      </c>
      <c r="AH45" s="20">
        <f>'TR TUSD'!$AH$45*'TR TUSD'!$AH$60</f>
        <v>29.484790225909379</v>
      </c>
      <c r="AI45" s="20">
        <f>'TR TUSD'!$AI$45*'TR TUSD'!$AI$60</f>
        <v>1.0399551738881279</v>
      </c>
      <c r="AJ45" s="20">
        <f ca="1">'TR TUSD'!$AJ$45*'TR TUSD'!$AJ$60</f>
        <v>3.9562959342637596</v>
      </c>
      <c r="AK45" s="20">
        <f ca="1">'TR TUSD'!$AK$45*'TR TUSD'!$AK$60</f>
        <v>0.4852921777328405</v>
      </c>
      <c r="AL45" s="20">
        <f ca="1">SUM($AH$45:$AK$45)</f>
        <v>34.966333511794105</v>
      </c>
      <c r="AM45" s="20">
        <f ca="1">SUMIF($L$4:$AL$4,"SUBTOTAL",$L$45:$AL$45)</f>
        <v>1051.716772214379</v>
      </c>
      <c r="AP45" s="20">
        <f>IF((1 - CUSTOS!$M$31)&lt;&gt;0,1/(1 - CUSTOS!$M$31),1)</f>
        <v>1</v>
      </c>
    </row>
    <row r="46" spans="1:42" ht="11.25" customHeight="1" x14ac:dyDescent="0.25">
      <c r="A46" s="119"/>
      <c r="B46" s="119"/>
      <c r="C46" s="119"/>
      <c r="D46" s="119"/>
      <c r="E46" s="119"/>
      <c r="F46" s="119"/>
      <c r="G46" s="21" t="s">
        <v>91</v>
      </c>
      <c r="H46" s="21" t="s">
        <v>80</v>
      </c>
      <c r="I46" s="21">
        <f>'MERCADO TUSD'!$U$43</f>
        <v>51.646000000000001</v>
      </c>
      <c r="J46" s="17"/>
      <c r="L46" s="20">
        <f>'TR TUSD'!$L$46*'TR TUSD'!$L$60</f>
        <v>6.5989776345360189</v>
      </c>
      <c r="M46" s="20">
        <f>'TR TUSD'!$M$46*'TR TUSD'!$M$60</f>
        <v>0.7411475167964322</v>
      </c>
      <c r="N46" s="20">
        <f ca="1">'TR TUSD'!$N$46*'TR TUSD'!$N$60</f>
        <v>3.3653366450255109</v>
      </c>
      <c r="O46" s="20">
        <f>'TR TUSD'!$O$46*'TR TUSD'!$O$60</f>
        <v>0</v>
      </c>
      <c r="P46" s="20">
        <f>'TR TUSD'!$P$46*'TR TUSD'!$P$60</f>
        <v>0</v>
      </c>
      <c r="Q46" s="20">
        <f>'TR TUSD'!$Q$46*'TR TUSD'!$Q$60</f>
        <v>94.193572209737411</v>
      </c>
      <c r="R46" s="20">
        <f>'TR TUSD'!$R$46*'TR TUSD'!$R$60</f>
        <v>14.901352205088047</v>
      </c>
      <c r="S46" s="20">
        <f>'TR TUSD'!$S$46*'TR TUSD'!$S$60</f>
        <v>0</v>
      </c>
      <c r="T46" s="20">
        <f ca="1">SUM($L$46:$S$46)</f>
        <v>119.80038621118342</v>
      </c>
      <c r="U46" s="20">
        <f>'TR TUSD'!$U$46*'TR TUSD'!$U$60</f>
        <v>54.03959810459687</v>
      </c>
      <c r="V46" s="20">
        <f>'TR TUSD'!$V$46*'TR TUSD'!$V$60</f>
        <v>7.1288707148690449</v>
      </c>
      <c r="W46" s="20">
        <f>'TR TUSD'!$W$46*'TR TUSD'!$W$60</f>
        <v>2.3637458829296718</v>
      </c>
      <c r="X46" s="20">
        <f>'TR TUSD'!$X$46*'TR TUSD'!$X$60</f>
        <v>0</v>
      </c>
      <c r="Y46" s="20">
        <f>'TR TUSD'!$Y$46*'TR TUSD'!$Y$60</f>
        <v>86.953592117229832</v>
      </c>
      <c r="Z46" s="20">
        <f>'TR TUSD'!$Z$46</f>
        <v>0</v>
      </c>
      <c r="AA46" s="20">
        <f>'TR TUSD'!$AA$46</f>
        <v>0</v>
      </c>
      <c r="AB46" s="20">
        <f>SUM($U$46:$AA$46)</f>
        <v>150.48580681962542</v>
      </c>
      <c r="AC46" s="20">
        <f>'TR TUSD'!$AC$46*'TR TUSD'!$AC$60</f>
        <v>387.5681162293323</v>
      </c>
      <c r="AD46" s="20">
        <f>SUM($AC$46:$AC$46)</f>
        <v>387.5681162293323</v>
      </c>
      <c r="AE46" s="20">
        <v>0</v>
      </c>
      <c r="AF46" s="20">
        <v>0</v>
      </c>
      <c r="AG46" s="20">
        <f>SUM($AE$46:$AF$46)</f>
        <v>0</v>
      </c>
      <c r="AH46" s="20">
        <f>'TR TUSD'!$AH$46*'TR TUSD'!$AH$60</f>
        <v>29.484790225909379</v>
      </c>
      <c r="AI46" s="20">
        <f>'TR TUSD'!$AI$46*'TR TUSD'!$AI$60</f>
        <v>1.0399551738881279</v>
      </c>
      <c r="AJ46" s="20">
        <f ca="1">'TR TUSD'!$AJ$46*'TR TUSD'!$AJ$60</f>
        <v>3.9562959342637596</v>
      </c>
      <c r="AK46" s="20">
        <f ca="1">'TR TUSD'!$AK$46*'TR TUSD'!$AK$60</f>
        <v>0.4852921777328405</v>
      </c>
      <c r="AL46" s="20">
        <f ca="1">SUM($AH$46:$AK$46)</f>
        <v>34.966333511794105</v>
      </c>
      <c r="AM46" s="20">
        <f ca="1">SUMIF($L$4:$AL$4,"SUBTOTAL",$L$46:$AL$46)</f>
        <v>692.82064277193524</v>
      </c>
      <c r="AP46" s="20">
        <f>IF((1 - CUSTOS!$M$31)&lt;&gt;0,1/(1 - CUSTOS!$M$31),1)</f>
        <v>1</v>
      </c>
    </row>
    <row r="47" spans="1:42" ht="11.25" customHeight="1" x14ac:dyDescent="0.25">
      <c r="A47" s="119"/>
      <c r="B47" s="119"/>
      <c r="C47" s="119"/>
      <c r="D47" s="119"/>
      <c r="E47" s="119"/>
      <c r="F47" s="119"/>
      <c r="G47" s="21" t="s">
        <v>82</v>
      </c>
      <c r="H47" s="21" t="s">
        <v>80</v>
      </c>
      <c r="I47" s="21">
        <f>'MERCADO TUSD'!$U$44</f>
        <v>982.72000000000014</v>
      </c>
      <c r="J47" s="17"/>
      <c r="L47" s="20">
        <f>'TR TUSD'!$L$47*'TR TUSD'!$L$60</f>
        <v>6.5989776345360189</v>
      </c>
      <c r="M47" s="20">
        <f>'TR TUSD'!$M$47*'TR TUSD'!$M$60</f>
        <v>0.7411475167964322</v>
      </c>
      <c r="N47" s="20">
        <f ca="1">'TR TUSD'!$N$47*'TR TUSD'!$N$60</f>
        <v>3.171907016820716</v>
      </c>
      <c r="O47" s="20">
        <f>'TR TUSD'!$O$47*'TR TUSD'!$O$60</f>
        <v>0</v>
      </c>
      <c r="P47" s="20">
        <f>'TR TUSD'!$P$47*'TR TUSD'!$P$60</f>
        <v>0</v>
      </c>
      <c r="Q47" s="20">
        <f>'TR TUSD'!$Q$47*'TR TUSD'!$Q$60</f>
        <v>94.193572209737411</v>
      </c>
      <c r="R47" s="20">
        <f>'TR TUSD'!$R$47*'TR TUSD'!$R$60</f>
        <v>14.901352205088047</v>
      </c>
      <c r="S47" s="20">
        <f>'TR TUSD'!$S$47*'TR TUSD'!$S$60</f>
        <v>0</v>
      </c>
      <c r="T47" s="20">
        <f ca="1">SUM($L$47:$S$47)</f>
        <v>119.60695658297863</v>
      </c>
      <c r="U47" s="20">
        <f>'TR TUSD'!$U$47*'TR TUSD'!$U$60</f>
        <v>18.013158938977099</v>
      </c>
      <c r="V47" s="20">
        <f>'TR TUSD'!$V$47*'TR TUSD'!$V$60</f>
        <v>2.3763268489824929</v>
      </c>
      <c r="W47" s="20">
        <f>'TR TUSD'!$W$47*'TR TUSD'!$W$60</f>
        <v>0.78787568863509883</v>
      </c>
      <c r="X47" s="20">
        <f>'TR TUSD'!$X$47*'TR TUSD'!$X$60</f>
        <v>0</v>
      </c>
      <c r="Y47" s="20">
        <f>'TR TUSD'!$Y$47*'TR TUSD'!$Y$60</f>
        <v>28.984569496447687</v>
      </c>
      <c r="Z47" s="20">
        <f>'TR TUSD'!$Z$47</f>
        <v>0</v>
      </c>
      <c r="AA47" s="20">
        <f>'TR TUSD'!$AA$47</f>
        <v>0</v>
      </c>
      <c r="AB47" s="20">
        <f>SUM($U$47:$AA$47)</f>
        <v>50.161930973042374</v>
      </c>
      <c r="AC47" s="20">
        <f>'TR TUSD'!$AC$47*'TR TUSD'!$AC$60</f>
        <v>129.18940869416559</v>
      </c>
      <c r="AD47" s="20">
        <f>SUM($AC$47:$AC$47)</f>
        <v>129.18940869416559</v>
      </c>
      <c r="AE47" s="20">
        <v>0</v>
      </c>
      <c r="AF47" s="20">
        <v>0</v>
      </c>
      <c r="AG47" s="20">
        <f>SUM($AE$47:$AF$47)</f>
        <v>0</v>
      </c>
      <c r="AH47" s="20">
        <f>'TR TUSD'!$AH$47*'TR TUSD'!$AH$60</f>
        <v>29.484790225909379</v>
      </c>
      <c r="AI47" s="20">
        <f>'TR TUSD'!$AI$47*'TR TUSD'!$AI$60</f>
        <v>1.0399551738881279</v>
      </c>
      <c r="AJ47" s="20">
        <f ca="1">'TR TUSD'!$AJ$47*'TR TUSD'!$AJ$60</f>
        <v>3.9562959342637596</v>
      </c>
      <c r="AK47" s="20">
        <f ca="1">'TR TUSD'!$AK$47*'TR TUSD'!$AK$60</f>
        <v>0.4852921777328405</v>
      </c>
      <c r="AL47" s="20">
        <f ca="1">SUM($AH$47:$AK$47)</f>
        <v>34.966333511794105</v>
      </c>
      <c r="AM47" s="20">
        <f ca="1">SUMIF($L$4:$AL$4,"SUBTOTAL",$L$47:$AL$47)</f>
        <v>333.92462976198073</v>
      </c>
      <c r="AP47" s="20">
        <f>IF((1 - CUSTOS!$M$31)&lt;&gt;0,1/(1 - CUSTOS!$M$31),1)</f>
        <v>1</v>
      </c>
    </row>
    <row r="48" spans="1:42" ht="11.25" customHeight="1" x14ac:dyDescent="0.25">
      <c r="A48" s="119"/>
      <c r="B48" s="22" t="s">
        <v>23</v>
      </c>
      <c r="C48" s="22" t="s">
        <v>25</v>
      </c>
      <c r="D48" s="22" t="s">
        <v>25</v>
      </c>
      <c r="E48" s="22" t="s">
        <v>25</v>
      </c>
      <c r="F48" s="22" t="s">
        <v>25</v>
      </c>
      <c r="G48" s="21" t="s">
        <v>86</v>
      </c>
      <c r="H48" s="21" t="s">
        <v>80</v>
      </c>
      <c r="I48" s="21">
        <f>'MERCADO TUSD'!$U$45</f>
        <v>86690.115999999995</v>
      </c>
      <c r="J48" s="17"/>
      <c r="L48" s="20">
        <f>'TR TUSD'!$L$48*'TR TUSD'!$L$60</f>
        <v>6.5989776345360189</v>
      </c>
      <c r="M48" s="20">
        <f>'TR TUSD'!$M$48*'TR TUSD'!$M$60</f>
        <v>0.7411475167964322</v>
      </c>
      <c r="N48" s="20">
        <f ca="1">'TR TUSD'!$N$48*'TR TUSD'!$N$60</f>
        <v>3.2114102673320635</v>
      </c>
      <c r="O48" s="20">
        <f>'TR TUSD'!$O$48*'TR TUSD'!$O$60</f>
        <v>0</v>
      </c>
      <c r="P48" s="20">
        <f>'TR TUSD'!$P$48*'TR TUSD'!$P$60</f>
        <v>0</v>
      </c>
      <c r="Q48" s="20">
        <f>'TR TUSD'!$Q$48*'TR TUSD'!$Q$60</f>
        <v>94.193572209737411</v>
      </c>
      <c r="R48" s="20">
        <f>'TR TUSD'!$R$48*'TR TUSD'!$R$60</f>
        <v>14.901352205088047</v>
      </c>
      <c r="S48" s="20">
        <f>'TR TUSD'!$S$48*'TR TUSD'!$S$60</f>
        <v>0</v>
      </c>
      <c r="T48" s="20">
        <f ca="1">SUM($L$48:$S$48)</f>
        <v>119.64645983348997</v>
      </c>
      <c r="U48" s="20">
        <f>'TR TUSD'!$U$48*'TR TUSD'!$U$60</f>
        <v>25.370711307450723</v>
      </c>
      <c r="V48" s="20">
        <f>'TR TUSD'!$V$48*'TR TUSD'!$V$60</f>
        <v>3.3469129260974069</v>
      </c>
      <c r="W48" s="20">
        <f>'TR TUSD'!$W$48*'TR TUSD'!$W$60</f>
        <v>1.1097510076688015</v>
      </c>
      <c r="X48" s="20">
        <f>'TR TUSD'!$X$48*'TR TUSD'!$X$60</f>
        <v>0</v>
      </c>
      <c r="Y48" s="20">
        <f>'TR TUSD'!$Y$48*'TR TUSD'!$Y$60</f>
        <v>40.823337318940403</v>
      </c>
      <c r="Z48" s="20">
        <f>'TR TUSD'!$Z$48</f>
        <v>0</v>
      </c>
      <c r="AA48" s="20">
        <f>'TR TUSD'!$AA$48</f>
        <v>0</v>
      </c>
      <c r="AB48" s="20">
        <f>SUM($U$48:$AA$48)</f>
        <v>70.650712560157331</v>
      </c>
      <c r="AC48" s="20">
        <f>'TR TUSD'!$AC$48*'TR TUSD'!$AC$60</f>
        <v>181.95682700900488</v>
      </c>
      <c r="AD48" s="20">
        <f>SUM($AC$48:$AC$48)</f>
        <v>181.95682700900488</v>
      </c>
      <c r="AE48" s="20">
        <v>0</v>
      </c>
      <c r="AF48" s="20">
        <v>0</v>
      </c>
      <c r="AG48" s="20">
        <f>SUM($AE$48:$AF$48)</f>
        <v>0</v>
      </c>
      <c r="AH48" s="20">
        <f>'TR TUSD'!$AH$48*'TR TUSD'!$AH$60</f>
        <v>29.484790225909379</v>
      </c>
      <c r="AI48" s="20">
        <f>'TR TUSD'!$AI$48*'TR TUSD'!$AI$60</f>
        <v>1.0399551738881279</v>
      </c>
      <c r="AJ48" s="20">
        <f ca="1">'TR TUSD'!$AJ$48*'TR TUSD'!$AJ$60</f>
        <v>3.9562959342637596</v>
      </c>
      <c r="AK48" s="20">
        <f ca="1">'TR TUSD'!$AK$48*'TR TUSD'!$AK$60</f>
        <v>0.4852921777328405</v>
      </c>
      <c r="AL48" s="20">
        <f ca="1">SUM($AH$48:$AK$48)</f>
        <v>34.966333511794105</v>
      </c>
      <c r="AM48" s="20">
        <f ca="1">SUMIF($L$4:$AL$4,"SUBTOTAL",$L$48:$AL$48)</f>
        <v>407.22033291444632</v>
      </c>
      <c r="AP48" s="20">
        <f>IF((1 - CUSTOS!$M$31)&lt;&gt;0,1/(1 - CUSTOS!$M$31),1)</f>
        <v>1</v>
      </c>
    </row>
    <row r="49" spans="1:42" ht="11.25" customHeight="1" x14ac:dyDescent="0.25">
      <c r="A49" s="119"/>
      <c r="B49" s="22" t="s">
        <v>94</v>
      </c>
      <c r="C49" s="22" t="s">
        <v>25</v>
      </c>
      <c r="D49" s="22" t="s">
        <v>25</v>
      </c>
      <c r="E49" s="22" t="s">
        <v>25</v>
      </c>
      <c r="F49" s="22" t="s">
        <v>25</v>
      </c>
      <c r="G49" s="21" t="s">
        <v>86</v>
      </c>
      <c r="H49" s="21" t="s">
        <v>80</v>
      </c>
      <c r="I49" s="21">
        <f>'MERCADO TUSD'!$U$46</f>
        <v>0</v>
      </c>
      <c r="J49" s="17"/>
      <c r="L49" s="20">
        <f>'TR TUSD'!$L$49*'TR TUSD'!$L$60</f>
        <v>6.5989776345360189</v>
      </c>
      <c r="M49" s="20">
        <f>'TR TUSD'!$M$49*'TR TUSD'!$M$60</f>
        <v>0.7411475167964322</v>
      </c>
      <c r="N49" s="20">
        <f ca="1">'TR TUSD'!$N$49*'TR TUSD'!$N$60</f>
        <v>3.2114102673320635</v>
      </c>
      <c r="O49" s="20">
        <f>'TR TUSD'!$O$49*'TR TUSD'!$O$60</f>
        <v>0</v>
      </c>
      <c r="P49" s="20">
        <f>'TR TUSD'!$P$49*'TR TUSD'!$P$60</f>
        <v>0</v>
      </c>
      <c r="Q49" s="20">
        <f>'TR TUSD'!$Q$49*'TR TUSD'!$Q$60</f>
        <v>94.193572209737411</v>
      </c>
      <c r="R49" s="20">
        <f>'TR TUSD'!$R$49*'TR TUSD'!$R$60</f>
        <v>14.901352205088047</v>
      </c>
      <c r="S49" s="20">
        <f>'TR TUSD'!$S$49*'TR TUSD'!$S$60</f>
        <v>0</v>
      </c>
      <c r="T49" s="20">
        <f ca="1">SUM($L$49:$S$49)</f>
        <v>119.64645983348997</v>
      </c>
      <c r="U49" s="20">
        <f>'TR TUSD'!$U$49*'TR TUSD'!$U$60</f>
        <v>25.370711307450723</v>
      </c>
      <c r="V49" s="20">
        <f>'TR TUSD'!$V$49*'TR TUSD'!$V$60</f>
        <v>3.3469129260974069</v>
      </c>
      <c r="W49" s="20">
        <f>'TR TUSD'!$W$49*'TR TUSD'!$W$60</f>
        <v>1.1097510076688015</v>
      </c>
      <c r="X49" s="20">
        <f>'TR TUSD'!$X$49*'TR TUSD'!$X$60</f>
        <v>0</v>
      </c>
      <c r="Y49" s="20">
        <f>'TR TUSD'!$Y$49*'TR TUSD'!$Y$60</f>
        <v>40.823337318940403</v>
      </c>
      <c r="Z49" s="20">
        <f>'TR TUSD'!$Z$49</f>
        <v>0</v>
      </c>
      <c r="AA49" s="20">
        <f>'TR TUSD'!$AA$49</f>
        <v>0</v>
      </c>
      <c r="AB49" s="20">
        <f>SUM($U$49:$AA$49)</f>
        <v>70.650712560157331</v>
      </c>
      <c r="AC49" s="20">
        <f>'TR TUSD'!$AC$49*'TR TUSD'!$AC$60</f>
        <v>181.95682700900488</v>
      </c>
      <c r="AD49" s="20">
        <f>SUM($AC$49:$AC$49)</f>
        <v>181.95682700900488</v>
      </c>
      <c r="AE49" s="20">
        <v>0</v>
      </c>
      <c r="AF49" s="20">
        <v>0</v>
      </c>
      <c r="AG49" s="20">
        <f>SUM($AE$49:$AF$49)</f>
        <v>0</v>
      </c>
      <c r="AH49" s="20">
        <f>'TR TUSD'!$AH$49*'TR TUSD'!$AH$60</f>
        <v>29.484790225909379</v>
      </c>
      <c r="AI49" s="20">
        <f>'TR TUSD'!$AI$49*'TR TUSD'!$AI$60</f>
        <v>1.0399551738881279</v>
      </c>
      <c r="AJ49" s="20">
        <f ca="1">'TR TUSD'!$AJ$49*'TR TUSD'!$AJ$60</f>
        <v>3.9562959342637596</v>
      </c>
      <c r="AK49" s="20">
        <f ca="1">'TR TUSD'!$AK$49*'TR TUSD'!$AK$60</f>
        <v>0.4852921777328405</v>
      </c>
      <c r="AL49" s="20">
        <f ca="1">SUM($AH$49:$AK$49)</f>
        <v>34.966333511794105</v>
      </c>
      <c r="AM49" s="20">
        <f ca="1">SUMIF($L$4:$AL$4,"SUBTOTAL",$L$49:$AL$49)</f>
        <v>407.22033291444632</v>
      </c>
      <c r="AP49" s="20">
        <f>IF((1 - CUSTOS!$M$31)&lt;&gt;0,1/(1 - CUSTOS!$M$31),1)</f>
        <v>1</v>
      </c>
    </row>
    <row r="50" spans="1:42" ht="11.25" customHeight="1" x14ac:dyDescent="0.25">
      <c r="A50" s="119" t="s">
        <v>46</v>
      </c>
      <c r="B50" s="119" t="s">
        <v>23</v>
      </c>
      <c r="C50" s="119" t="s">
        <v>47</v>
      </c>
      <c r="D50" s="22" t="s">
        <v>48</v>
      </c>
      <c r="E50" s="22" t="s">
        <v>25</v>
      </c>
      <c r="F50" s="22" t="s">
        <v>25</v>
      </c>
      <c r="G50" s="21" t="s">
        <v>86</v>
      </c>
      <c r="H50" s="21" t="s">
        <v>80</v>
      </c>
      <c r="I50" s="21">
        <f>'MERCADO TUSD'!$U$47</f>
        <v>18976.334999999999</v>
      </c>
      <c r="J50" s="17"/>
      <c r="L50" s="20">
        <f>'TR TUSD'!$L$50*'TR TUSD'!$L$60</f>
        <v>3.6294376989948107</v>
      </c>
      <c r="M50" s="20">
        <f>'TR TUSD'!$M$50*'TR TUSD'!$M$60</f>
        <v>0.40763113423803776</v>
      </c>
      <c r="N50" s="20">
        <f ca="1">'TR TUSD'!$N$50*'TR TUSD'!$N$60</f>
        <v>1.7662756470326353</v>
      </c>
      <c r="O50" s="20">
        <f>'TR TUSD'!$O$50*'TR TUSD'!$O$60</f>
        <v>0</v>
      </c>
      <c r="P50" s="20">
        <f>'TR TUSD'!$P$50*'TR TUSD'!$P$60</f>
        <v>0</v>
      </c>
      <c r="Q50" s="20">
        <f>'TR TUSD'!$Q$50*'TR TUSD'!$Q$60</f>
        <v>51.806464715355581</v>
      </c>
      <c r="R50" s="20">
        <f>'TR TUSD'!$R$50*'TR TUSD'!$R$60</f>
        <v>8.1957437127984267</v>
      </c>
      <c r="S50" s="20">
        <f>'TR TUSD'!$S$50*'TR TUSD'!$S$60</f>
        <v>0</v>
      </c>
      <c r="T50" s="20">
        <f ca="1">SUM($L$50:$S$50)</f>
        <v>65.8055529084195</v>
      </c>
      <c r="U50" s="20">
        <f>'TR TUSD'!$U$50*'TR TUSD'!$U$60</f>
        <v>13.953891219097899</v>
      </c>
      <c r="V50" s="20">
        <f>'TR TUSD'!$V$50*'TR TUSD'!$V$60</f>
        <v>1.840802109353574</v>
      </c>
      <c r="W50" s="20">
        <f>'TR TUSD'!$W$50*'TR TUSD'!$W$60</f>
        <v>0.61036305421784087</v>
      </c>
      <c r="X50" s="20">
        <f>'TR TUSD'!$X$50*'TR TUSD'!$X$60</f>
        <v>0</v>
      </c>
      <c r="Y50" s="20">
        <f>'TR TUSD'!$Y$50*'TR TUSD'!$Y$60</f>
        <v>22.452835525417221</v>
      </c>
      <c r="Z50" s="20">
        <f>'TR TUSD'!$Z$50</f>
        <v>0</v>
      </c>
      <c r="AA50" s="20">
        <f>'TR TUSD'!$AA$50</f>
        <v>0</v>
      </c>
      <c r="AB50" s="20">
        <f>SUM($U$50:$AA$50)</f>
        <v>38.857891908086536</v>
      </c>
      <c r="AC50" s="20">
        <f>'TR TUSD'!$AC$50*'TR TUSD'!$AC$60</f>
        <v>100.07625485495269</v>
      </c>
      <c r="AD50" s="20">
        <f>SUM($AC$50:$AC$50)</f>
        <v>100.07625485495269</v>
      </c>
      <c r="AE50" s="20">
        <v>0</v>
      </c>
      <c r="AF50" s="20">
        <v>0</v>
      </c>
      <c r="AG50" s="20">
        <f>SUM($AE$50:$AF$50)</f>
        <v>0</v>
      </c>
      <c r="AH50" s="20">
        <f>'TR TUSD'!$AH$50*'TR TUSD'!$AH$60</f>
        <v>16.216634624250158</v>
      </c>
      <c r="AI50" s="20">
        <f>'TR TUSD'!$AI$50*'TR TUSD'!$AI$60</f>
        <v>0.57197534563847041</v>
      </c>
      <c r="AJ50" s="20">
        <f ca="1">'TR TUSD'!$AJ$50*'TR TUSD'!$AJ$60</f>
        <v>2.1759627638450678</v>
      </c>
      <c r="AK50" s="20">
        <f ca="1">'TR TUSD'!$AK$50*'TR TUSD'!$AK$60</f>
        <v>0.26691069775306231</v>
      </c>
      <c r="AL50" s="20">
        <f ca="1">SUM($AH$50:$AK$50)</f>
        <v>19.231483431486758</v>
      </c>
      <c r="AM50" s="20">
        <f ca="1">SUMIF($L$4:$AL$4,"SUBTOTAL",$L$50:$AL$50)</f>
        <v>223.97118310294547</v>
      </c>
      <c r="AP50" s="20">
        <f>IF((1 - CUSTOS!$M$32)&lt;&gt;0,1/(1 - CUSTOS!$M$32),1)</f>
        <v>1.8181818181818181</v>
      </c>
    </row>
    <row r="51" spans="1:42" ht="11.25" customHeight="1" x14ac:dyDescent="0.25">
      <c r="A51" s="119"/>
      <c r="B51" s="119"/>
      <c r="C51" s="119"/>
      <c r="D51" s="21" t="s">
        <v>96</v>
      </c>
      <c r="E51" s="21" t="s">
        <v>25</v>
      </c>
      <c r="F51" s="21" t="s">
        <v>25</v>
      </c>
      <c r="G51" s="21" t="s">
        <v>86</v>
      </c>
      <c r="H51" s="21" t="s">
        <v>80</v>
      </c>
      <c r="I51" s="21">
        <f>'MERCADO TUSD'!$U$48</f>
        <v>0</v>
      </c>
      <c r="J51" s="17"/>
      <c r="L51" s="20">
        <f>'TR TUSD'!$L$51*'TR TUSD'!$L$60</f>
        <v>3.9593865807216111</v>
      </c>
      <c r="M51" s="20">
        <f>'TR TUSD'!$M$51*'TR TUSD'!$M$60</f>
        <v>0.44468851007785937</v>
      </c>
      <c r="N51" s="20">
        <f ca="1">'TR TUSD'!$N$51*'TR TUSD'!$N$60</f>
        <v>1.9268461603992382</v>
      </c>
      <c r="O51" s="20">
        <f>'TR TUSD'!$O$51*'TR TUSD'!$O$60</f>
        <v>0</v>
      </c>
      <c r="P51" s="20">
        <f>'TR TUSD'!$P$51*'TR TUSD'!$P$60</f>
        <v>0</v>
      </c>
      <c r="Q51" s="20">
        <f>'TR TUSD'!$Q$51*'TR TUSD'!$Q$60</f>
        <v>56.516143325842442</v>
      </c>
      <c r="R51" s="20">
        <f>'TR TUSD'!$R$51*'TR TUSD'!$R$60</f>
        <v>8.9408113230528272</v>
      </c>
      <c r="S51" s="20">
        <f>'TR TUSD'!$S$51*'TR TUSD'!$S$60</f>
        <v>0</v>
      </c>
      <c r="T51" s="20">
        <f ca="1">SUM($L$51:$S$51)</f>
        <v>71.787875900093979</v>
      </c>
      <c r="U51" s="20">
        <f>'TR TUSD'!$U$51*'TR TUSD'!$U$60</f>
        <v>15.222426784470434</v>
      </c>
      <c r="V51" s="20">
        <f>'TR TUSD'!$V$51*'TR TUSD'!$V$60</f>
        <v>2.0081477556584439</v>
      </c>
      <c r="W51" s="20">
        <f>'TR TUSD'!$W$51*'TR TUSD'!$W$60</f>
        <v>0.66585060460128087</v>
      </c>
      <c r="X51" s="20">
        <f>'TR TUSD'!$X$51*'TR TUSD'!$X$60</f>
        <v>0</v>
      </c>
      <c r="Y51" s="20">
        <f>'TR TUSD'!$Y$51*'TR TUSD'!$Y$60</f>
        <v>24.494002391364241</v>
      </c>
      <c r="Z51" s="20">
        <f>'TR TUSD'!$Z$51</f>
        <v>0</v>
      </c>
      <c r="AA51" s="20">
        <f>'TR TUSD'!$AA$51</f>
        <v>0</v>
      </c>
      <c r="AB51" s="20">
        <f>SUM($U$51:$AA$51)</f>
        <v>42.3904275360944</v>
      </c>
      <c r="AC51" s="20">
        <f>'TR TUSD'!$AC$51*'TR TUSD'!$AC$60</f>
        <v>109.17409620540292</v>
      </c>
      <c r="AD51" s="20">
        <f>SUM($AC$51:$AC$51)</f>
        <v>109.17409620540292</v>
      </c>
      <c r="AE51" s="20">
        <v>0</v>
      </c>
      <c r="AF51" s="20">
        <v>0</v>
      </c>
      <c r="AG51" s="20">
        <f>SUM($AE$51:$AF$51)</f>
        <v>0</v>
      </c>
      <c r="AH51" s="20">
        <f>'TR TUSD'!$AH$51*'TR TUSD'!$AH$60</f>
        <v>17.690874135545624</v>
      </c>
      <c r="AI51" s="20">
        <f>'TR TUSD'!$AI$51*'TR TUSD'!$AI$60</f>
        <v>0.62397310433287667</v>
      </c>
      <c r="AJ51" s="20">
        <f ca="1">'TR TUSD'!$AJ$51*'TR TUSD'!$AJ$60</f>
        <v>2.3737775605582558</v>
      </c>
      <c r="AK51" s="20">
        <f ca="1">'TR TUSD'!$AK$51*'TR TUSD'!$AK$60</f>
        <v>0.29117530663970431</v>
      </c>
      <c r="AL51" s="20">
        <f ca="1">SUM($AH$51:$AK$51)</f>
        <v>20.979800107076461</v>
      </c>
      <c r="AM51" s="20">
        <f ca="1">SUMIF($L$4:$AL$4,"SUBTOTAL",$L$51:$AL$51)</f>
        <v>244.33219974866776</v>
      </c>
      <c r="AP51" s="20">
        <f>IF((1 - CUSTOS!$M$33)&lt;&gt;0,1/(1 - CUSTOS!$M$33),1)</f>
        <v>1.6666666666666667</v>
      </c>
    </row>
    <row r="53" spans="1:42" ht="11.25" customHeight="1" x14ac:dyDescent="0.25">
      <c r="K53" s="24" t="s">
        <v>754</v>
      </c>
      <c r="L53" s="20">
        <f>SUMPRODUCT($I$5:$I51,$L$5:$L51)</f>
        <v>3468806.8800173788</v>
      </c>
      <c r="M53" s="20">
        <f>SUMPRODUCT($I$5:$I51,$M$5:$M51)</f>
        <v>386710.27876951889</v>
      </c>
      <c r="N53" s="20">
        <f ca="1">SUMPRODUCT($I$5:$I51,$N$5:$N51)</f>
        <v>1611276.9310492915</v>
      </c>
      <c r="O53" s="20">
        <f>SUMPRODUCT($I$5:$I51,$O$5:$O51)</f>
        <v>0</v>
      </c>
      <c r="P53" s="20">
        <f>SUMPRODUCT($I$5:$I51,$P$5:$P51)</f>
        <v>0</v>
      </c>
      <c r="Q53" s="20">
        <f>SUMPRODUCT($I$5:$I51,$Q$5:$Q51)</f>
        <v>49513626.114528306</v>
      </c>
      <c r="R53" s="20">
        <f>SUMPRODUCT($I$5:$I51,$R$5:$R51)</f>
        <v>8169895.7713834094</v>
      </c>
      <c r="S53" s="20">
        <f>SUMPRODUCT($I$5:$I51,$S$5:$S51)</f>
        <v>0</v>
      </c>
      <c r="T53" s="20">
        <f ca="1">SUMPRODUCT($I$5:$I51,$T$5:$T51)</f>
        <v>63150315.975747921</v>
      </c>
      <c r="U53" s="20">
        <f>SUMPRODUCT($I$5:$I51,$U$5:$U51)</f>
        <v>13501545</v>
      </c>
      <c r="V53" s="20">
        <f>SUMPRODUCT($I$5:$I51,$V$5:$V51)</f>
        <v>1779799.1999999997</v>
      </c>
      <c r="W53" s="20">
        <f>SUMPRODUCT($I$5:$I51,$W$5:$W51)</f>
        <v>590407.9827808711</v>
      </c>
      <c r="X53" s="20">
        <f>SUMPRODUCT($I$5:$I51,$X$5:$X51)</f>
        <v>0</v>
      </c>
      <c r="Y53" s="20">
        <f>SUMPRODUCT($I$5:$I51,$Y$5:$Y51)</f>
        <v>22524332.473100007</v>
      </c>
      <c r="Z53" s="20">
        <f>SUMPRODUCT($I$5:$I51,$Z$5:$Z51)</f>
        <v>0</v>
      </c>
      <c r="AA53" s="20">
        <f>SUMPRODUCT($I$5:$I51,$AA$5:$AA51)</f>
        <v>0</v>
      </c>
      <c r="AB53" s="20">
        <f>SUMPRODUCT($I$5:$I51,$AB$5:$AB51)</f>
        <v>38396084.655880876</v>
      </c>
      <c r="AC53" s="20">
        <f>SUMPRODUCT($I$5:$I51,$AC$5:$AC51)</f>
        <v>94940059.683411762</v>
      </c>
      <c r="AD53" s="20">
        <f>SUMPRODUCT($I$5:$I51,$AD$5:$AD51)</f>
        <v>94940059.683411762</v>
      </c>
      <c r="AE53" s="20">
        <f>SUMPRODUCT($I$5:$I51,$AE$5:$AE51)</f>
        <v>0</v>
      </c>
      <c r="AF53" s="20">
        <f>SUMPRODUCT($I$5:$I51,$AF$5:$AF51)</f>
        <v>0</v>
      </c>
      <c r="AG53" s="20">
        <f>SUMPRODUCT($I$5:$I51,$AG$5:$AG51)</f>
        <v>0</v>
      </c>
      <c r="AH53" s="20">
        <f>SUMPRODUCT($I$5:$I51,$AH$5:$AH51)</f>
        <v>14835318.094685547</v>
      </c>
      <c r="AI53" s="20">
        <f>SUMPRODUCT($I$5:$I51,$AI$5:$AI51)</f>
        <v>523250.74450530589</v>
      </c>
      <c r="AJ53" s="20">
        <f ca="1">SUMPRODUCT($I$5:$I51,$AJ$5:$AJ51)</f>
        <v>2117197.9569396554</v>
      </c>
      <c r="AK53" s="20">
        <f ca="1">SUMPRODUCT($I$5:$I51,$AK$5:$AK51)</f>
        <v>259702.41465416798</v>
      </c>
      <c r="AL53" s="20">
        <f ca="1">SUMPRODUCT($I$5:$I51,$AL$5:$AL51)</f>
        <v>17735469.210784674</v>
      </c>
      <c r="AM53" s="20">
        <f ca="1">SUMPRODUCT($I$5:$I51,$AM$5:$AM51)</f>
        <v>214221929.52582523</v>
      </c>
    </row>
    <row r="54" spans="1:42" ht="11.25" customHeight="1" x14ac:dyDescent="0.25">
      <c r="K54" s="24" t="s">
        <v>686</v>
      </c>
      <c r="L54" s="20">
        <f>'TR TUSD'!$L$56</f>
        <v>3468806.8800173793</v>
      </c>
      <c r="M54" s="20">
        <f>'TR TUSD'!$M$56</f>
        <v>386710.27876951877</v>
      </c>
      <c r="N54" s="20">
        <f>'TR TUSD'!$N$56</f>
        <v>1611276.9310492913</v>
      </c>
      <c r="O54" s="20">
        <f>'TR TUSD'!$O$56</f>
        <v>0</v>
      </c>
      <c r="P54" s="20">
        <f>'TR TUSD'!$P$56</f>
        <v>0</v>
      </c>
      <c r="Q54" s="20">
        <f>'TR TUSD'!$Q$56</f>
        <v>49513626.114528321</v>
      </c>
      <c r="R54" s="20">
        <f>'TR TUSD'!$R$56</f>
        <v>8169895.7713834094</v>
      </c>
      <c r="S54" s="20">
        <f>'TR TUSD'!$S$56</f>
        <v>0</v>
      </c>
      <c r="T54" s="20">
        <f>'TR TUSD'!$T$56</f>
        <v>63150315.975747921</v>
      </c>
      <c r="U54" s="20">
        <f>'TR TUSD'!$U$56</f>
        <v>13501545</v>
      </c>
      <c r="V54" s="20">
        <f>'TR TUSD'!$V$56</f>
        <v>1779799.1999999997</v>
      </c>
      <c r="W54" s="20">
        <f>'TR TUSD'!$W$56</f>
        <v>590407.98278087098</v>
      </c>
      <c r="X54" s="20">
        <f>'TR TUSD'!$X$56</f>
        <v>0</v>
      </c>
      <c r="Y54" s="20">
        <f>'TR TUSD'!$Y$56</f>
        <v>22524332.473099999</v>
      </c>
      <c r="Z54" s="20">
        <f>'TR TUSD'!$Z$56</f>
        <v>0</v>
      </c>
      <c r="AA54" s="20">
        <f>'TR TUSD'!$AA$56</f>
        <v>0</v>
      </c>
      <c r="AB54" s="20">
        <f>'TR TUSD'!$AB$56</f>
        <v>38396084.655880868</v>
      </c>
      <c r="AC54" s="20">
        <f>'TR TUSD'!$AC$56</f>
        <v>94940059.683411762</v>
      </c>
      <c r="AD54" s="20">
        <f>'TR TUSD'!$AD$56</f>
        <v>94940059.683411762</v>
      </c>
      <c r="AE54" s="20">
        <f>'TR TUSD'!$AE$56</f>
        <v>0</v>
      </c>
      <c r="AF54" s="20">
        <f>'TR TUSD'!$AF$56</f>
        <v>0</v>
      </c>
      <c r="AG54" s="20">
        <f>'TR TUSD'!$AG$56</f>
        <v>0</v>
      </c>
      <c r="AH54" s="20">
        <f>'TR TUSD'!$AH$56</f>
        <v>14835318.094685547</v>
      </c>
      <c r="AI54" s="20">
        <f>'TR TUSD'!$AI$56</f>
        <v>523250.74450530589</v>
      </c>
      <c r="AJ54" s="20">
        <f>'TR TUSD'!$AJ$56</f>
        <v>2117197.9569396554</v>
      </c>
      <c r="AK54" s="20">
        <f>'TR TUSD'!$AK$56</f>
        <v>259702.41465416804</v>
      </c>
      <c r="AL54" s="20">
        <f>'TR TUSD'!$AL$56</f>
        <v>17735469.210784677</v>
      </c>
      <c r="AM54" s="20">
        <f>CUSTOS!$D$29</f>
        <v>214221929.5258252</v>
      </c>
    </row>
    <row r="55" spans="1:42" ht="11.25" customHeight="1" x14ac:dyDescent="0.25">
      <c r="K55" s="24" t="s">
        <v>687</v>
      </c>
      <c r="L55" s="20">
        <f>CUSTOS!$E$2</f>
        <v>61216.954029554181</v>
      </c>
      <c r="M55" s="20">
        <f>CUSTOS!$E$3</f>
        <v>-189.02293064447531</v>
      </c>
      <c r="N55" s="20">
        <f>CUSTOS!$E$4</f>
        <v>1.6924369367879528</v>
      </c>
      <c r="O55" s="20">
        <f>CUSTOS!$E$5</f>
        <v>0</v>
      </c>
      <c r="P55" s="20">
        <f>CUSTOS!$E$6</f>
        <v>0</v>
      </c>
      <c r="Q55" s="20">
        <f>CUSTOS!$E$7</f>
        <v>872697.51891916431</v>
      </c>
      <c r="R55" s="20">
        <f>CUSTOS!$E$8</f>
        <v>158922.22308649262</v>
      </c>
      <c r="S55" s="20">
        <f>CUSTOS!$E$9</f>
        <v>0</v>
      </c>
      <c r="T55" s="20">
        <f>CUSTOS!$E$10</f>
        <v>1092649.3655415033</v>
      </c>
      <c r="U55" s="20">
        <f>CUSTOS!$E$11</f>
        <v>841303.70031928609</v>
      </c>
      <c r="V55" s="20">
        <f>CUSTOS!$E$12</f>
        <v>109001.93057800652</v>
      </c>
      <c r="W55" s="20">
        <f>CUSTOS!$E$13</f>
        <v>11201.073412471691</v>
      </c>
      <c r="X55" s="20">
        <f>CUSTOS!$E$14</f>
        <v>0</v>
      </c>
      <c r="Y55" s="20">
        <f>CUSTOS!$E$15</f>
        <v>373498.95084228634</v>
      </c>
      <c r="Z55" s="20">
        <f>CUSTOS!$E$16</f>
        <v>0</v>
      </c>
      <c r="AA55" s="20">
        <f>CUSTOS!$E$17</f>
        <v>0</v>
      </c>
      <c r="AB55" s="20">
        <f>CUSTOS!$E$18</f>
        <v>1335005.6551520508</v>
      </c>
      <c r="AC55" s="20">
        <f>CUSTOS!$E$19</f>
        <v>0</v>
      </c>
      <c r="AD55" s="20">
        <f>CUSTOS!$E$20</f>
        <v>0</v>
      </c>
      <c r="AE55" s="20">
        <f>CUSTOS!$E$21</f>
        <v>-6320522.4543774305</v>
      </c>
      <c r="AF55" s="20">
        <f>CUSTOS!$E$22</f>
        <v>0</v>
      </c>
      <c r="AG55" s="20">
        <f>CUSTOS!$E$23</f>
        <v>-6320522.4543774305</v>
      </c>
      <c r="AH55" s="20">
        <f>CUSTOS!$E$24</f>
        <v>652625.67604969873</v>
      </c>
      <c r="AI55" s="20">
        <f>CUSTOS!$E$25</f>
        <v>23018.506829227623</v>
      </c>
      <c r="AJ55" s="20">
        <f>CUSTOS!$E$26</f>
        <v>93138.397111536353</v>
      </c>
      <c r="AK55" s="20">
        <f>CUSTOS!$E$27</f>
        <v>9335.0738691690512</v>
      </c>
      <c r="AL55" s="20">
        <f>CUSTOS!$E$28</f>
        <v>778117.65385963186</v>
      </c>
      <c r="AM55" s="20">
        <f>CUSTOS!$E$29</f>
        <v>-3114749.7798242448</v>
      </c>
    </row>
    <row r="56" spans="1:42" ht="11.25" customHeight="1" x14ac:dyDescent="0.25">
      <c r="K56" s="24" t="s">
        <v>688</v>
      </c>
      <c r="L56" s="20">
        <f>CUSTOS!$F$2</f>
        <v>238543.93631434083</v>
      </c>
      <c r="M56" s="20">
        <f>CUSTOS!$F$3</f>
        <v>0</v>
      </c>
      <c r="N56" s="20">
        <f>CUSTOS!$F$4</f>
        <v>0</v>
      </c>
      <c r="O56" s="20">
        <f>CUSTOS!$F$5</f>
        <v>0</v>
      </c>
      <c r="P56" s="20">
        <f>CUSTOS!$F$6</f>
        <v>0</v>
      </c>
      <c r="Q56" s="20">
        <f>CUSTOS!$F$7</f>
        <v>13731581.0275</v>
      </c>
      <c r="R56" s="20">
        <f>CUSTOS!$F$8</f>
        <v>2732711.7645999999</v>
      </c>
      <c r="S56" s="20">
        <f>CUSTOS!$F$9</f>
        <v>0</v>
      </c>
      <c r="T56" s="20">
        <f>CUSTOS!$F$10</f>
        <v>16702836.72841434</v>
      </c>
      <c r="U56" s="20">
        <f>CUSTOS!$F$11</f>
        <v>646049.07174960163</v>
      </c>
      <c r="V56" s="20">
        <f>CUSTOS!$F$12</f>
        <v>85163.410636388886</v>
      </c>
      <c r="W56" s="20">
        <f>CUSTOS!$F$13</f>
        <v>0</v>
      </c>
      <c r="X56" s="20">
        <f>CUSTOS!$F$14</f>
        <v>0</v>
      </c>
      <c r="Y56" s="20">
        <f>CUSTOS!$F$15</f>
        <v>0</v>
      </c>
      <c r="Z56" s="20">
        <f>CUSTOS!$F$16</f>
        <v>0</v>
      </c>
      <c r="AA56" s="20">
        <f>CUSTOS!$F$17</f>
        <v>0</v>
      </c>
      <c r="AB56" s="20">
        <f>CUSTOS!$F$18</f>
        <v>731212.48238599056</v>
      </c>
      <c r="AC56" s="20">
        <f>CUSTOS!$F$19</f>
        <v>0</v>
      </c>
      <c r="AD56" s="20">
        <f>CUSTOS!$F$20</f>
        <v>0</v>
      </c>
      <c r="AE56" s="20">
        <f>CUSTOS!$F$21</f>
        <v>0</v>
      </c>
      <c r="AF56" s="20">
        <f>CUSTOS!$F$22</f>
        <v>0</v>
      </c>
      <c r="AG56" s="20">
        <f>CUSTOS!$F$23</f>
        <v>0</v>
      </c>
      <c r="AH56" s="20">
        <f>CUSTOS!$F$24</f>
        <v>248868.76279945005</v>
      </c>
      <c r="AI56" s="20">
        <f>CUSTOS!$F$25</f>
        <v>8777.7535060455211</v>
      </c>
      <c r="AJ56" s="20">
        <f>CUSTOS!$F$26</f>
        <v>35516.895073105865</v>
      </c>
      <c r="AK56" s="20">
        <f>CUSTOS!$F$27</f>
        <v>0</v>
      </c>
      <c r="AL56" s="20">
        <f>CUSTOS!$F$28</f>
        <v>293163.41137860145</v>
      </c>
      <c r="AM56" s="20">
        <f>CUSTOS!$F$29</f>
        <v>17727212.622178931</v>
      </c>
    </row>
    <row r="57" spans="1:42" ht="11.25" customHeight="1" x14ac:dyDescent="0.25">
      <c r="K57" s="24" t="s">
        <v>751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f>SUM($L$57:$S$57)</f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f>SUM($U$57:$AA$57)</f>
        <v>0</v>
      </c>
      <c r="AC57" s="20">
        <v>0</v>
      </c>
      <c r="AD57" s="20">
        <f>SUM($AC$57:$AC$57)</f>
        <v>0</v>
      </c>
      <c r="AE57" s="20">
        <v>0</v>
      </c>
      <c r="AF57" s="20">
        <v>0</v>
      </c>
      <c r="AG57" s="20">
        <f>SUM($AE$57:$AF$57)</f>
        <v>0</v>
      </c>
      <c r="AH57" s="20">
        <v>0</v>
      </c>
      <c r="AI57" s="20">
        <v>0</v>
      </c>
      <c r="AJ57" s="20">
        <v>0</v>
      </c>
      <c r="AK57" s="20">
        <v>0</v>
      </c>
      <c r="AL57" s="20">
        <f>SUM($AH$57:$AK$57)</f>
        <v>0</v>
      </c>
      <c r="AM57" s="20">
        <f>SUMIF($L$4:$AL$4,"SUBTOTAL",$L$57:$AL$57)</f>
        <v>0</v>
      </c>
    </row>
    <row r="58" spans="1:42" ht="11.25" customHeight="1" x14ac:dyDescent="0.25">
      <c r="K58" s="24" t="s">
        <v>755</v>
      </c>
      <c r="L58" s="20">
        <f t="shared" ref="L58:R58" si="0">IF((L53-(0))&lt;&gt;0,(L55)/(L53-(0)),0)</f>
        <v>1.7647841504871406E-2</v>
      </c>
      <c r="M58" s="20">
        <f t="shared" si="0"/>
        <v>-4.8879727543299631E-4</v>
      </c>
      <c r="N58" s="20">
        <f t="shared" ca="1" si="0"/>
        <v>1.0503699917591499E-6</v>
      </c>
      <c r="O58" s="20">
        <f t="shared" si="0"/>
        <v>0</v>
      </c>
      <c r="P58" s="20">
        <f t="shared" si="0"/>
        <v>0</v>
      </c>
      <c r="Q58" s="20">
        <f t="shared" si="0"/>
        <v>1.7625401074454879E-2</v>
      </c>
      <c r="R58" s="20">
        <f t="shared" si="0"/>
        <v>1.9452172651106211E-2</v>
      </c>
      <c r="S58" s="20">
        <f>IF((R53-(0)&lt;&gt;0),(S55)/(R53-(0)),0)</f>
        <v>0</v>
      </c>
      <c r="T58" s="20"/>
      <c r="U58" s="20">
        <f t="shared" ref="U58:AA58" si="1">IF((U53-(0))&lt;&gt;0,(U55)/(U53-(0)),0)</f>
        <v>6.2311661392772909E-2</v>
      </c>
      <c r="V58" s="20">
        <f t="shared" si="1"/>
        <v>6.1243948518465756E-2</v>
      </c>
      <c r="W58" s="20">
        <f t="shared" si="1"/>
        <v>1.8971751295966049E-2</v>
      </c>
      <c r="X58" s="20">
        <f t="shared" si="1"/>
        <v>0</v>
      </c>
      <c r="Y58" s="20">
        <f t="shared" si="1"/>
        <v>1.658202085626034E-2</v>
      </c>
      <c r="Z58" s="20">
        <f t="shared" si="1"/>
        <v>0</v>
      </c>
      <c r="AA58" s="20">
        <f t="shared" si="1"/>
        <v>0</v>
      </c>
      <c r="AB58" s="20"/>
      <c r="AC58" s="20">
        <f>IF((AC53-(0))&lt;&gt;0,(AC55)/(AC53-(0)),0)</f>
        <v>0</v>
      </c>
      <c r="AD58" s="20"/>
      <c r="AE58" s="20">
        <f ca="1">IF(($AM53-(0))&lt;&gt;0,(AE55)/($AM53-(0)),0)</f>
        <v>-2.9504553844546845E-2</v>
      </c>
      <c r="AF58" s="20">
        <f ca="1">IF(($AM53-(0))&lt;&gt;0,(AF55)/($AM53-(0)),0)</f>
        <v>0</v>
      </c>
      <c r="AG58" s="20"/>
      <c r="AH58" s="20">
        <f>IF((AH53-(0))&lt;&gt;0,(AH55)/(AH53-(0)),0)</f>
        <v>4.3991350362988756E-2</v>
      </c>
      <c r="AI58" s="20">
        <f>IF((AI53-(0))&lt;&gt;0,(AI55)/(AI53-(0)),0)</f>
        <v>4.3991350362988749E-2</v>
      </c>
      <c r="AJ58" s="20">
        <f ca="1">IF((AJ53-(0))&lt;&gt;0,(AJ55)/(AJ53-(0)),0)</f>
        <v>4.3991350362988756E-2</v>
      </c>
      <c r="AK58" s="20">
        <f ca="1">IF((AK53-(0))&lt;&gt;0,(AK55)/(AK53-(0)),0)</f>
        <v>3.5945271751131297E-2</v>
      </c>
      <c r="AL58" s="20"/>
      <c r="AM58" s="20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1176" priority="55" operator="notEqual">
      <formula>$L$54-$L$57</formula>
    </cfRule>
    <cfRule type="cellIs" dxfId="1175" priority="56" operator="equal">
      <formula>$L$54-$L$57</formula>
    </cfRule>
  </conditionalFormatting>
  <conditionalFormatting sqref="M53">
    <cfRule type="cellIs" dxfId="1174" priority="53" operator="notEqual">
      <formula>$M$54-$M$57</formula>
    </cfRule>
    <cfRule type="cellIs" dxfId="1173" priority="54" operator="equal">
      <formula>$M$54-$M$57</formula>
    </cfRule>
  </conditionalFormatting>
  <conditionalFormatting sqref="N53">
    <cfRule type="cellIs" dxfId="1172" priority="51" operator="notEqual">
      <formula>$N$54-$N$57</formula>
    </cfRule>
    <cfRule type="cellIs" dxfId="1171" priority="52" operator="equal">
      <formula>$N$54-$N$57</formula>
    </cfRule>
  </conditionalFormatting>
  <conditionalFormatting sqref="O53">
    <cfRule type="cellIs" dxfId="1170" priority="49" operator="notEqual">
      <formula>$O$54-$O$57</formula>
    </cfRule>
    <cfRule type="cellIs" dxfId="1169" priority="50" operator="equal">
      <formula>$O$54-$O$57</formula>
    </cfRule>
  </conditionalFormatting>
  <conditionalFormatting sqref="P53">
    <cfRule type="cellIs" dxfId="1168" priority="47" operator="notEqual">
      <formula>$P$54-$P$57</formula>
    </cfRule>
    <cfRule type="cellIs" dxfId="1167" priority="48" operator="equal">
      <formula>$P$54-$P$57</formula>
    </cfRule>
  </conditionalFormatting>
  <conditionalFormatting sqref="Q53">
    <cfRule type="cellIs" dxfId="1166" priority="45" operator="notEqual">
      <formula>$Q$54-$Q$57</formula>
    </cfRule>
    <cfRule type="cellIs" dxfId="1165" priority="46" operator="equal">
      <formula>$Q$54-$Q$57</formula>
    </cfRule>
  </conditionalFormatting>
  <conditionalFormatting sqref="R53">
    <cfRule type="cellIs" dxfId="1164" priority="43" operator="notEqual">
      <formula>$R$54-$R$57</formula>
    </cfRule>
    <cfRule type="cellIs" dxfId="1163" priority="44" operator="equal">
      <formula>$R$54-$R$57</formula>
    </cfRule>
  </conditionalFormatting>
  <conditionalFormatting sqref="S53">
    <cfRule type="cellIs" dxfId="1162" priority="41" operator="notEqual">
      <formula>$S$54-$S$57</formula>
    </cfRule>
    <cfRule type="cellIs" dxfId="1161" priority="42" operator="equal">
      <formula>$S$54-$S$57</formula>
    </cfRule>
  </conditionalFormatting>
  <conditionalFormatting sqref="T53">
    <cfRule type="cellIs" dxfId="1160" priority="39" operator="notEqual">
      <formula>$T$54-$T$57</formula>
    </cfRule>
    <cfRule type="cellIs" dxfId="1159" priority="40" operator="equal">
      <formula>$T$54-$T$57</formula>
    </cfRule>
  </conditionalFormatting>
  <conditionalFormatting sqref="U53">
    <cfRule type="cellIs" dxfId="1158" priority="37" operator="notEqual">
      <formula>$U$54-$U$57</formula>
    </cfRule>
    <cfRule type="cellIs" dxfId="1157" priority="38" operator="equal">
      <formula>$U$54-$U$57</formula>
    </cfRule>
  </conditionalFormatting>
  <conditionalFormatting sqref="V53">
    <cfRule type="cellIs" dxfId="1156" priority="35" operator="notEqual">
      <formula>$V$54-$V$57</formula>
    </cfRule>
    <cfRule type="cellIs" dxfId="1155" priority="36" operator="equal">
      <formula>$V$54-$V$57</formula>
    </cfRule>
  </conditionalFormatting>
  <conditionalFormatting sqref="W53">
    <cfRule type="cellIs" dxfId="1154" priority="33" operator="notEqual">
      <formula>$W$54-$W$57</formula>
    </cfRule>
    <cfRule type="cellIs" dxfId="1153" priority="34" operator="equal">
      <formula>$W$54-$W$57</formula>
    </cfRule>
  </conditionalFormatting>
  <conditionalFormatting sqref="X53">
    <cfRule type="cellIs" dxfId="1152" priority="31" operator="notEqual">
      <formula>$X$54-$X$57</formula>
    </cfRule>
    <cfRule type="cellIs" dxfId="1151" priority="32" operator="equal">
      <formula>$X$54-$X$57</formula>
    </cfRule>
  </conditionalFormatting>
  <conditionalFormatting sqref="Y53">
    <cfRule type="cellIs" dxfId="1150" priority="29" operator="notEqual">
      <formula>$Y$54-$Y$57</formula>
    </cfRule>
    <cfRule type="cellIs" dxfId="1149" priority="30" operator="equal">
      <formula>$Y$54-$Y$57</formula>
    </cfRule>
  </conditionalFormatting>
  <conditionalFormatting sqref="Z53">
    <cfRule type="cellIs" dxfId="1148" priority="27" operator="notEqual">
      <formula>$Z$54-$Z$57</formula>
    </cfRule>
    <cfRule type="cellIs" dxfId="1147" priority="28" operator="equal">
      <formula>$Z$54-$Z$57</formula>
    </cfRule>
  </conditionalFormatting>
  <conditionalFormatting sqref="AA53">
    <cfRule type="cellIs" dxfId="1146" priority="25" operator="notEqual">
      <formula>$AA$54-$AA$57</formula>
    </cfRule>
    <cfRule type="cellIs" dxfId="1145" priority="26" operator="equal">
      <formula>$AA$54-$AA$57</formula>
    </cfRule>
  </conditionalFormatting>
  <conditionalFormatting sqref="AB53">
    <cfRule type="cellIs" dxfId="1144" priority="23" operator="notEqual">
      <formula>$AB$54-$AB$57</formula>
    </cfRule>
    <cfRule type="cellIs" dxfId="1143" priority="24" operator="equal">
      <formula>$AB$54-$AB$57</formula>
    </cfRule>
  </conditionalFormatting>
  <conditionalFormatting sqref="AC53">
    <cfRule type="cellIs" dxfId="1142" priority="21" operator="notEqual">
      <formula>$AC$54-$AC$57</formula>
    </cfRule>
    <cfRule type="cellIs" dxfId="1141" priority="22" operator="equal">
      <formula>$AC$54-$AC$57</formula>
    </cfRule>
  </conditionalFormatting>
  <conditionalFormatting sqref="AD53">
    <cfRule type="cellIs" dxfId="1140" priority="19" operator="notEqual">
      <formula>$AD$54-$AD$57</formula>
    </cfRule>
    <cfRule type="cellIs" dxfId="1139" priority="20" operator="equal">
      <formula>$AD$54-$AD$57</formula>
    </cfRule>
  </conditionalFormatting>
  <conditionalFormatting sqref="AE53">
    <cfRule type="cellIs" dxfId="1138" priority="17" operator="notEqual">
      <formula>$AE$54-$AE$57</formula>
    </cfRule>
    <cfRule type="cellIs" dxfId="1137" priority="18" operator="equal">
      <formula>$AE$54-$AE$57</formula>
    </cfRule>
  </conditionalFormatting>
  <conditionalFormatting sqref="AF53">
    <cfRule type="cellIs" dxfId="1136" priority="16" operator="equal">
      <formula>$AF$54-$AF$57</formula>
    </cfRule>
  </conditionalFormatting>
  <conditionalFormatting sqref="AF53">
    <cfRule type="cellIs" dxfId="1135" priority="15" operator="notEqual">
      <formula>$AF$54-$AF$57</formula>
    </cfRule>
  </conditionalFormatting>
  <conditionalFormatting sqref="AG53">
    <cfRule type="cellIs" dxfId="1134" priority="14" operator="equal">
      <formula>$AG$54-$AG$57</formula>
    </cfRule>
  </conditionalFormatting>
  <conditionalFormatting sqref="AG53">
    <cfRule type="cellIs" dxfId="1133" priority="13" operator="notEqual">
      <formula>$AG$54-$AG$57</formula>
    </cfRule>
  </conditionalFormatting>
  <conditionalFormatting sqref="AH53">
    <cfRule type="cellIs" dxfId="1132" priority="12" operator="equal">
      <formula>$AH$54-$AH$57</formula>
    </cfRule>
  </conditionalFormatting>
  <conditionalFormatting sqref="AH53">
    <cfRule type="cellIs" dxfId="1131" priority="11" operator="notEqual">
      <formula>$AH$54-$AH$57</formula>
    </cfRule>
  </conditionalFormatting>
  <conditionalFormatting sqref="AI53">
    <cfRule type="cellIs" dxfId="1130" priority="10" operator="equal">
      <formula>$AI$54-$AI$57</formula>
    </cfRule>
  </conditionalFormatting>
  <conditionalFormatting sqref="AI53">
    <cfRule type="cellIs" dxfId="1129" priority="9" operator="notEqual">
      <formula>$AI$54-$AI$57</formula>
    </cfRule>
  </conditionalFormatting>
  <conditionalFormatting sqref="AJ53">
    <cfRule type="cellIs" dxfId="1128" priority="8" operator="equal">
      <formula>$AJ$54-$AJ$57</formula>
    </cfRule>
  </conditionalFormatting>
  <conditionalFormatting sqref="AJ53">
    <cfRule type="cellIs" dxfId="1127" priority="7" operator="notEqual">
      <formula>$AJ$54-$AJ$57</formula>
    </cfRule>
  </conditionalFormatting>
  <conditionalFormatting sqref="AK53">
    <cfRule type="cellIs" dxfId="1126" priority="6" operator="equal">
      <formula>$AK$54-$AK$57</formula>
    </cfRule>
  </conditionalFormatting>
  <conditionalFormatting sqref="AK53">
    <cfRule type="cellIs" dxfId="1125" priority="5" operator="notEqual">
      <formula>$AK$54-$AK$57</formula>
    </cfRule>
  </conditionalFormatting>
  <conditionalFormatting sqref="AL53">
    <cfRule type="cellIs" dxfId="1124" priority="4" operator="equal">
      <formula>$AL$54-$AL$57</formula>
    </cfRule>
  </conditionalFormatting>
  <conditionalFormatting sqref="AL53">
    <cfRule type="cellIs" dxfId="1123" priority="3" operator="notEqual">
      <formula>$AL$54-$AL$57</formula>
    </cfRule>
  </conditionalFormatting>
  <conditionalFormatting sqref="AM53">
    <cfRule type="cellIs" dxfId="1122" priority="2" operator="equal">
      <formula>$AM$54-$AM$57</formula>
    </cfRule>
  </conditionalFormatting>
  <conditionalFormatting sqref="AM53">
    <cfRule type="cellIs" dxfId="1121" priority="1" operator="notEqual">
      <formula>$AM$54-$AM$57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5B679-9BE8-41DF-AB90-C99E9B7B227F}">
  <dimension ref="A1:AP58"/>
  <sheetViews>
    <sheetView showGridLines="0" topLeftCell="A2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2" width="10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8.7109375" style="9" bestFit="1" customWidth="1"/>
    <col min="38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20" t="s">
        <v>70</v>
      </c>
      <c r="B1" s="120" t="s">
        <v>71</v>
      </c>
      <c r="C1" s="120" t="s">
        <v>72</v>
      </c>
      <c r="D1" s="120" t="s">
        <v>73</v>
      </c>
      <c r="E1" s="120" t="s">
        <v>74</v>
      </c>
      <c r="F1" s="120" t="s">
        <v>15</v>
      </c>
      <c r="G1" s="120" t="s">
        <v>76</v>
      </c>
      <c r="H1" s="120" t="s">
        <v>77</v>
      </c>
      <c r="I1" s="120" t="s">
        <v>745</v>
      </c>
      <c r="J1" s="108"/>
      <c r="L1" s="121" t="s">
        <v>762</v>
      </c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K1" s="121"/>
      <c r="AL1" s="121"/>
      <c r="AM1" s="121"/>
      <c r="AO1" s="30"/>
      <c r="AP1" s="124" t="s">
        <v>747</v>
      </c>
    </row>
    <row r="2" spans="1:42" ht="11.25" customHeight="1" x14ac:dyDescent="0.25">
      <c r="A2" s="120"/>
      <c r="B2" s="120"/>
      <c r="C2" s="120"/>
      <c r="D2" s="120"/>
      <c r="E2" s="120"/>
      <c r="F2" s="120"/>
      <c r="G2" s="120"/>
      <c r="H2" s="120"/>
      <c r="I2" s="120"/>
      <c r="J2" s="108"/>
      <c r="L2" s="121" t="s">
        <v>644</v>
      </c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O2" s="30"/>
      <c r="AP2" s="125"/>
    </row>
    <row r="3" spans="1:42" ht="11.25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08"/>
      <c r="L3" s="121" t="s">
        <v>645</v>
      </c>
      <c r="M3" s="121"/>
      <c r="N3" s="121"/>
      <c r="O3" s="121"/>
      <c r="P3" s="121"/>
      <c r="Q3" s="121"/>
      <c r="R3" s="121"/>
      <c r="S3" s="121"/>
      <c r="T3" s="121"/>
      <c r="U3" s="121" t="s">
        <v>654</v>
      </c>
      <c r="V3" s="121"/>
      <c r="W3" s="121"/>
      <c r="X3" s="121"/>
      <c r="Y3" s="121"/>
      <c r="Z3" s="121"/>
      <c r="AA3" s="121"/>
      <c r="AB3" s="121"/>
      <c r="AC3" s="121" t="s">
        <v>662</v>
      </c>
      <c r="AD3" s="121"/>
      <c r="AE3" s="121" t="s">
        <v>664</v>
      </c>
      <c r="AF3" s="121"/>
      <c r="AG3" s="121"/>
      <c r="AH3" s="121" t="s">
        <v>667</v>
      </c>
      <c r="AI3" s="121"/>
      <c r="AJ3" s="121"/>
      <c r="AK3" s="121"/>
      <c r="AL3" s="121"/>
      <c r="AM3" s="121" t="s">
        <v>653</v>
      </c>
      <c r="AO3" s="30"/>
      <c r="AP3" s="125"/>
    </row>
    <row r="4" spans="1:42" ht="11.25" customHeight="1" x14ac:dyDescent="0.25">
      <c r="A4" s="120"/>
      <c r="B4" s="120"/>
      <c r="C4" s="120"/>
      <c r="D4" s="120"/>
      <c r="E4" s="120"/>
      <c r="F4" s="120"/>
      <c r="G4" s="120"/>
      <c r="H4" s="120"/>
      <c r="I4" s="120"/>
      <c r="J4" s="108"/>
      <c r="L4" s="26" t="s">
        <v>730</v>
      </c>
      <c r="M4" s="26" t="s">
        <v>646</v>
      </c>
      <c r="N4" s="26" t="s">
        <v>647</v>
      </c>
      <c r="O4" s="26" t="s">
        <v>648</v>
      </c>
      <c r="P4" s="26" t="s">
        <v>649</v>
      </c>
      <c r="Q4" s="26" t="s">
        <v>650</v>
      </c>
      <c r="R4" s="26" t="s">
        <v>651</v>
      </c>
      <c r="S4" s="26" t="s">
        <v>652</v>
      </c>
      <c r="T4" s="26" t="s">
        <v>653</v>
      </c>
      <c r="U4" s="26" t="s">
        <v>655</v>
      </c>
      <c r="V4" s="26" t="s">
        <v>656</v>
      </c>
      <c r="W4" s="26" t="s">
        <v>657</v>
      </c>
      <c r="X4" s="26" t="s">
        <v>658</v>
      </c>
      <c r="Y4" s="26" t="s">
        <v>659</v>
      </c>
      <c r="Z4" s="26" t="s">
        <v>660</v>
      </c>
      <c r="AA4" s="26" t="s">
        <v>661</v>
      </c>
      <c r="AB4" s="26" t="s">
        <v>653</v>
      </c>
      <c r="AC4" s="26" t="s">
        <v>663</v>
      </c>
      <c r="AD4" s="26" t="s">
        <v>653</v>
      </c>
      <c r="AE4" s="26" t="s">
        <v>665</v>
      </c>
      <c r="AF4" s="26" t="s">
        <v>666</v>
      </c>
      <c r="AG4" s="26" t="s">
        <v>653</v>
      </c>
      <c r="AH4" s="26" t="s">
        <v>668</v>
      </c>
      <c r="AI4" s="26" t="s">
        <v>669</v>
      </c>
      <c r="AJ4" s="26" t="s">
        <v>670</v>
      </c>
      <c r="AK4" s="26" t="s">
        <v>671</v>
      </c>
      <c r="AL4" s="26" t="s">
        <v>653</v>
      </c>
      <c r="AM4" s="123"/>
      <c r="AO4" s="31" t="s">
        <v>764</v>
      </c>
      <c r="AP4" s="126"/>
    </row>
    <row r="5" spans="1:42" ht="11.25" customHeight="1" x14ac:dyDescent="0.25">
      <c r="A5" s="119" t="s">
        <v>39</v>
      </c>
      <c r="B5" s="119" t="s">
        <v>42</v>
      </c>
      <c r="C5" s="119" t="s">
        <v>25</v>
      </c>
      <c r="D5" s="119" t="s">
        <v>25</v>
      </c>
      <c r="E5" s="119" t="s">
        <v>25</v>
      </c>
      <c r="F5" s="119" t="s">
        <v>25</v>
      </c>
      <c r="G5" s="21" t="s">
        <v>84</v>
      </c>
      <c r="H5" s="21" t="s">
        <v>83</v>
      </c>
      <c r="I5" s="21">
        <f>'MERCADO TUSD'!$U$2</f>
        <v>63135</v>
      </c>
      <c r="J5" s="17"/>
      <c r="L5" s="25">
        <f>'TUSD BE'!$L$5*'TUSD BE'!$L$58</f>
        <v>0</v>
      </c>
      <c r="M5" s="25">
        <f>'TUSD BE'!$M$5*'TUSD BE'!$M$58</f>
        <v>0</v>
      </c>
      <c r="N5" s="25">
        <f ca="1">'TUSD BE'!$N$5*'TUSD BE'!$N$58</f>
        <v>0</v>
      </c>
      <c r="O5" s="25">
        <f>'TUSD BE'!$O$5*'TUSD BE'!$O$58</f>
        <v>0</v>
      </c>
      <c r="P5" s="25">
        <f>'TUSD BE'!$P$5*'TUSD BE'!$P$58</f>
        <v>0</v>
      </c>
      <c r="Q5" s="25">
        <f>'TUSD BE'!$Q$5*'TUSD BE'!$Q$58</f>
        <v>0</v>
      </c>
      <c r="R5" s="25">
        <f>'TUSD BE'!$R$5*'TUSD BE'!$R$58</f>
        <v>0</v>
      </c>
      <c r="S5" s="25">
        <f>'TUSD BE'!$R$5*'TUSD BE'!$S$58</f>
        <v>0</v>
      </c>
      <c r="T5" s="25">
        <f ca="1">SUM($L$5:$S$5)</f>
        <v>0</v>
      </c>
      <c r="U5" s="25">
        <f>'TUSD BE'!$U$5*'TUSD BE'!$U$58</f>
        <v>0.36508671972916357</v>
      </c>
      <c r="V5" s="25">
        <f>'TUSD BE'!$V$5*'TUSD BE'!$V$58</f>
        <v>4.5969243774605671E-2</v>
      </c>
      <c r="W5" s="25">
        <f>'TUSD BE'!$W$5*'TUSD BE'!$W$58</f>
        <v>4.8036299541039176E-3</v>
      </c>
      <c r="X5" s="25">
        <f>'TUSD BE'!$X$5*'TUSD BE'!$X$58</f>
        <v>0</v>
      </c>
      <c r="Y5" s="25">
        <f>'TUSD BE'!$Y$5*'TUSD BE'!$Y$58</f>
        <v>0.21684061162332771</v>
      </c>
      <c r="Z5" s="25">
        <f>'TUSD BE'!$Z$5*'TUSD BE'!$Z$58</f>
        <v>0</v>
      </c>
      <c r="AA5" s="25">
        <f>'TUSD BE'!$AA$5*'TUSD BE'!$AA$58</f>
        <v>0</v>
      </c>
      <c r="AB5" s="25">
        <f>SUM($U$5:$AA$5)</f>
        <v>0.63270020508120084</v>
      </c>
      <c r="AC5" s="25">
        <f>'TUSD BE'!$AC$5*'TUSD BE'!$AC$58</f>
        <v>0</v>
      </c>
      <c r="AD5" s="25">
        <f>SUM($AC$5:$AC$5)</f>
        <v>0</v>
      </c>
      <c r="AE5" s="25">
        <f ca="1">$AO$5*$AO$55</f>
        <v>-1.7197451443765803</v>
      </c>
      <c r="AF5" s="25">
        <f ca="1">$AP$5*$AP$55</f>
        <v>0</v>
      </c>
      <c r="AG5" s="25">
        <f ca="1">SUM($AE$5:$AF$5)</f>
        <v>-1.7197451443765803</v>
      </c>
      <c r="AH5" s="25">
        <f>'TUSD BE'!$AH$5*'TUSD BE'!$AH$58</f>
        <v>0</v>
      </c>
      <c r="AI5" s="25">
        <f>'TUSD BE'!$AI$5*'TUSD BE'!$AI$58</f>
        <v>0</v>
      </c>
      <c r="AJ5" s="25">
        <f ca="1">'TUSD BE'!$AJ$5*'TUSD BE'!$AJ$58</f>
        <v>0</v>
      </c>
      <c r="AK5" s="25">
        <f ca="1">'TUSD BE'!$AK$5*'TUSD BE'!$AK$58</f>
        <v>0</v>
      </c>
      <c r="AL5" s="25">
        <f ca="1">SUM($AH$5:$AK$5)</f>
        <v>0</v>
      </c>
      <c r="AM5" s="25">
        <f ca="1">SUMIF($L$4:$AL$4,"SUBTOTAL",$L$5:$AL$5)</f>
        <v>-1.0870449392953794</v>
      </c>
      <c r="AO5" s="30">
        <f ca="1">+'TUSD BE'!$T$5+'TUSD BE'!$AB$5+'TUSD BE'!$AD$5+'TUSD BE'!$AL$5</f>
        <v>58.28744787796311</v>
      </c>
      <c r="AP5" s="30">
        <f ca="1">+'TUSD BE'!$T$5+'TUSD BE'!$AB$5+'TUSD BE'!$AD$5+'TUSD BE'!$AL$5</f>
        <v>58.28744787796311</v>
      </c>
    </row>
    <row r="6" spans="1:42" ht="11.25" customHeight="1" x14ac:dyDescent="0.25">
      <c r="A6" s="119"/>
      <c r="B6" s="119"/>
      <c r="C6" s="119"/>
      <c r="D6" s="119"/>
      <c r="E6" s="119"/>
      <c r="F6" s="119"/>
      <c r="G6" s="21" t="s">
        <v>85</v>
      </c>
      <c r="H6" s="21" t="s">
        <v>83</v>
      </c>
      <c r="I6" s="21">
        <f>'MERCADO TUSD'!$U$3</f>
        <v>71815</v>
      </c>
      <c r="J6" s="17"/>
      <c r="L6" s="25">
        <f>'TUSD BE'!$L$6*'TUSD BE'!$L$58</f>
        <v>0</v>
      </c>
      <c r="M6" s="25">
        <f>'TUSD BE'!$M$6*'TUSD BE'!$M$58</f>
        <v>0</v>
      </c>
      <c r="N6" s="25">
        <f ca="1">'TUSD BE'!$N$6*'TUSD BE'!$N$58</f>
        <v>0</v>
      </c>
      <c r="O6" s="25">
        <f>'TUSD BE'!$O$6*'TUSD BE'!$O$58</f>
        <v>0</v>
      </c>
      <c r="P6" s="25">
        <f>'TUSD BE'!$P$6*'TUSD BE'!$P$58</f>
        <v>0</v>
      </c>
      <c r="Q6" s="25">
        <f>'TUSD BE'!$Q$6*'TUSD BE'!$Q$58</f>
        <v>0</v>
      </c>
      <c r="R6" s="25">
        <f>'TUSD BE'!$R$6*'TUSD BE'!$R$58</f>
        <v>0</v>
      </c>
      <c r="S6" s="25">
        <f>'TUSD BE'!$R$6*'TUSD BE'!$S$58</f>
        <v>0</v>
      </c>
      <c r="T6" s="25">
        <f ca="1">SUM($L$6:$S$6)</f>
        <v>0</v>
      </c>
      <c r="U6" s="25">
        <f>'TUSD BE'!$U$6*'TUSD BE'!$U$58</f>
        <v>0.12953032250891452</v>
      </c>
      <c r="V6" s="25">
        <f>'TUSD BE'!$V$6*'TUSD BE'!$V$58</f>
        <v>1.7186335651758488E-2</v>
      </c>
      <c r="W6" s="25">
        <f>'TUSD BE'!$W$6*'TUSD BE'!$W$58</f>
        <v>1.7424711189687136E-3</v>
      </c>
      <c r="X6" s="25">
        <f>'TUSD BE'!$X$6*'TUSD BE'!$X$58</f>
        <v>0</v>
      </c>
      <c r="Y6" s="25">
        <f>'TUSD BE'!$Y$6*'TUSD BE'!$Y$58</f>
        <v>5.3907674812089273E-2</v>
      </c>
      <c r="Z6" s="25">
        <f>'TUSD BE'!$Z$6*'TUSD BE'!$Z$58</f>
        <v>0</v>
      </c>
      <c r="AA6" s="25">
        <f>'TUSD BE'!$AA$6*'TUSD BE'!$AA$58</f>
        <v>0</v>
      </c>
      <c r="AB6" s="25">
        <f>SUM($U$6:$AA$6)</f>
        <v>0.202366804091731</v>
      </c>
      <c r="AC6" s="25">
        <f>'TUSD BE'!$AC$6*'TUSD BE'!$AC$58</f>
        <v>0</v>
      </c>
      <c r="AD6" s="25">
        <f>SUM($AC$6:$AC$6)</f>
        <v>0</v>
      </c>
      <c r="AE6" s="25">
        <f ca="1">$AO$6*$AO$55</f>
        <v>-0.54894815321821888</v>
      </c>
      <c r="AF6" s="25">
        <f ca="1">$AP$6*$AP$55</f>
        <v>0</v>
      </c>
      <c r="AG6" s="25">
        <f ca="1">SUM($AE$6:$AF$6)</f>
        <v>-0.54894815321821888</v>
      </c>
      <c r="AH6" s="25">
        <f>'TUSD BE'!$AH$6*'TUSD BE'!$AH$58</f>
        <v>0</v>
      </c>
      <c r="AI6" s="25">
        <f>'TUSD BE'!$AI$6*'TUSD BE'!$AI$58</f>
        <v>0</v>
      </c>
      <c r="AJ6" s="25">
        <f ca="1">'TUSD BE'!$AJ$6*'TUSD BE'!$AJ$58</f>
        <v>0</v>
      </c>
      <c r="AK6" s="25">
        <f ca="1">'TUSD BE'!$AK$6*'TUSD BE'!$AK$58</f>
        <v>0</v>
      </c>
      <c r="AL6" s="25">
        <f ca="1">SUM($AH$6:$AK$6)</f>
        <v>0</v>
      </c>
      <c r="AM6" s="25">
        <f ca="1">SUMIF($L$4:$AL$4,"SUBTOTAL",$L$6:$AL$6)</f>
        <v>-0.34658134912648786</v>
      </c>
      <c r="AO6" s="30">
        <f ca="1">+'TUSD BE'!$T$6+'TUSD BE'!$AB$6+'TUSD BE'!$AD$6+'TUSD BE'!$AL$6</f>
        <v>18.605539880742096</v>
      </c>
      <c r="AP6" s="30">
        <f ca="1">+'TUSD BE'!$T$6+'TUSD BE'!$AB$6+'TUSD BE'!$AD$6+'TUSD BE'!$AL$6</f>
        <v>18.605539880742096</v>
      </c>
    </row>
    <row r="7" spans="1:42" ht="11.25" customHeight="1" x14ac:dyDescent="0.25">
      <c r="A7" s="119"/>
      <c r="B7" s="119"/>
      <c r="C7" s="119"/>
      <c r="D7" s="119"/>
      <c r="E7" s="119"/>
      <c r="F7" s="119"/>
      <c r="G7" s="21" t="s">
        <v>86</v>
      </c>
      <c r="H7" s="21" t="s">
        <v>80</v>
      </c>
      <c r="I7" s="21">
        <f>'MERCADO TUSD'!$U$4</f>
        <v>30235.892999999989</v>
      </c>
      <c r="J7" s="17"/>
      <c r="L7" s="25">
        <f>'TUSD BE'!$L$7*'TUSD BE'!$L$58</f>
        <v>9.7824477566325632E-2</v>
      </c>
      <c r="M7" s="25">
        <f>'TUSD BE'!$M$7*'TUSD BE'!$M$58</f>
        <v>-2.3798758575172419E-4</v>
      </c>
      <c r="N7" s="25">
        <f ca="1">'TUSD BE'!$N$7*'TUSD BE'!$N$58</f>
        <v>1.7202327767326966E-6</v>
      </c>
      <c r="O7" s="25">
        <f>'TUSD BE'!$O$7*'TUSD BE'!$O$58</f>
        <v>0</v>
      </c>
      <c r="P7" s="25">
        <f>'TUSD BE'!$P$7*'TUSD BE'!$P$58</f>
        <v>0</v>
      </c>
      <c r="Q7" s="25">
        <f>'TUSD BE'!$Q$7*'TUSD BE'!$Q$58</f>
        <v>1.3945675706190892</v>
      </c>
      <c r="R7" s="25">
        <f>'TUSD BE'!$R$7*'TUSD BE'!$R$58</f>
        <v>0.28986367582831496</v>
      </c>
      <c r="S7" s="25">
        <f>'TUSD BE'!$R$7*'TUSD BE'!$S$58</f>
        <v>0</v>
      </c>
      <c r="T7" s="25">
        <f ca="1">SUM($L$7:$S$7)</f>
        <v>1.782019456660755</v>
      </c>
      <c r="U7" s="25">
        <f>'TUSD BE'!$U$7*'TUSD BE'!$U$58</f>
        <v>0</v>
      </c>
      <c r="V7" s="25">
        <f>'TUSD BE'!$V$7*'TUSD BE'!$V$58</f>
        <v>0</v>
      </c>
      <c r="W7" s="25">
        <f>'TUSD BE'!$W$7*'TUSD BE'!$W$58</f>
        <v>0</v>
      </c>
      <c r="X7" s="25">
        <f>'TUSD BE'!$X$7*'TUSD BE'!$X$58</f>
        <v>0</v>
      </c>
      <c r="Y7" s="25">
        <f>'TUSD BE'!$Y$7*'TUSD BE'!$Y$58</f>
        <v>0</v>
      </c>
      <c r="Z7" s="25">
        <f>'TUSD BE'!$Z$7*'TUSD BE'!$Z$58</f>
        <v>0</v>
      </c>
      <c r="AA7" s="25">
        <f>'TUSD BE'!$AA$7*'TUSD BE'!$AA$58</f>
        <v>0</v>
      </c>
      <c r="AB7" s="25">
        <f>SUM($U$7:$AA$7)</f>
        <v>0</v>
      </c>
      <c r="AC7" s="25">
        <f>'TUSD BE'!$AC$7*'TUSD BE'!$AC$58</f>
        <v>0</v>
      </c>
      <c r="AD7" s="25">
        <f>SUM($AC$7:$AC$7)</f>
        <v>0</v>
      </c>
      <c r="AE7" s="25">
        <f ca="1">$AO$7*$AO$55</f>
        <v>-3.578911015845196</v>
      </c>
      <c r="AF7" s="25">
        <f ca="1">$AP$7*$AP$55</f>
        <v>0</v>
      </c>
      <c r="AG7" s="25">
        <f ca="1">SUM($AE$7:$AF$7)</f>
        <v>-3.578911015845196</v>
      </c>
      <c r="AH7" s="25">
        <f>'TUSD BE'!$AH$7*'TUSD BE'!$AH$58</f>
        <v>0.69006642355393732</v>
      </c>
      <c r="AI7" s="25">
        <f>'TUSD BE'!$AI$7*'TUSD BE'!$AI$58</f>
        <v>2.4339265838519621E-2</v>
      </c>
      <c r="AJ7" s="25">
        <f ca="1">'TUSD BE'!$AJ$7*'TUSD BE'!$AJ$58</f>
        <v>0.13200929927171748</v>
      </c>
      <c r="AK7" s="25">
        <f ca="1">'TUSD BE'!$AK$7*'TUSD BE'!$AK$58</f>
        <v>1.323102606804567E-2</v>
      </c>
      <c r="AL7" s="25">
        <f ca="1">SUM($AH$7:$AK$7)</f>
        <v>0.85964601473222013</v>
      </c>
      <c r="AM7" s="25">
        <f ca="1">SUMIF($L$4:$AL$4,"SUBTOTAL",$L$7:$AL$7)</f>
        <v>-0.93724554445222086</v>
      </c>
      <c r="AO7" s="30">
        <f ca="1">+'TUSD BE'!$T$7+'TUSD BE'!$AB$7+'TUSD BE'!$AD$7+'TUSD BE'!$AL$7</f>
        <v>121.30029264979601</v>
      </c>
      <c r="AP7" s="30">
        <f ca="1">+'TUSD BE'!$T$7+'TUSD BE'!$AB$7+'TUSD BE'!$AD$7+'TUSD BE'!$AL$7</f>
        <v>121.30029264979601</v>
      </c>
    </row>
    <row r="8" spans="1:42" ht="11.25" customHeight="1" x14ac:dyDescent="0.25">
      <c r="A8" s="119"/>
      <c r="B8" s="119"/>
      <c r="C8" s="119"/>
      <c r="D8" s="119"/>
      <c r="E8" s="28" t="s">
        <v>87</v>
      </c>
      <c r="F8" s="28" t="s">
        <v>25</v>
      </c>
      <c r="G8" s="21" t="s">
        <v>86</v>
      </c>
      <c r="H8" s="21" t="s">
        <v>80</v>
      </c>
      <c r="I8" s="21">
        <f>'MERCADO TUSD'!$U$5</f>
        <v>0</v>
      </c>
      <c r="J8" s="17"/>
      <c r="L8" s="25">
        <f>'TUSD BE'!$L$8*'TUSD BE'!$L$58</f>
        <v>0</v>
      </c>
      <c r="M8" s="25">
        <f>'TUSD BE'!$M$8*'TUSD BE'!$M$58</f>
        <v>-2.3798758575172419E-4</v>
      </c>
      <c r="N8" s="25">
        <f ca="1">'TUSD BE'!$N$8*'TUSD BE'!$N$58</f>
        <v>1.7195986031093661E-6</v>
      </c>
      <c r="O8" s="25">
        <f>'TUSD BE'!$O$8*'TUSD BE'!$O$58</f>
        <v>0</v>
      </c>
      <c r="P8" s="25">
        <f>'TUSD BE'!$P$8*'TUSD BE'!$P$58</f>
        <v>0</v>
      </c>
      <c r="Q8" s="25">
        <f>'TUSD BE'!$Q$8*'TUSD BE'!$Q$58</f>
        <v>0</v>
      </c>
      <c r="R8" s="25">
        <f>'TUSD BE'!$R$8*'TUSD BE'!$R$58</f>
        <v>0</v>
      </c>
      <c r="S8" s="25">
        <f>'TUSD BE'!$R$8*'TUSD BE'!$S$58</f>
        <v>0</v>
      </c>
      <c r="T8" s="25">
        <f ca="1">SUM($L$8:$S$8)</f>
        <v>-2.3626798714861482E-4</v>
      </c>
      <c r="U8" s="25">
        <f>'TUSD BE'!$U$8*'TUSD BE'!$U$58</f>
        <v>0</v>
      </c>
      <c r="V8" s="25">
        <f>'TUSD BE'!$V$8*'TUSD BE'!$V$58</f>
        <v>0</v>
      </c>
      <c r="W8" s="25">
        <f>'TUSD BE'!$W$8*'TUSD BE'!$W$58</f>
        <v>0</v>
      </c>
      <c r="X8" s="25">
        <f>'TUSD BE'!$X$8*'TUSD BE'!$X$58</f>
        <v>0</v>
      </c>
      <c r="Y8" s="25">
        <f>'TUSD BE'!$Y$8*'TUSD BE'!$Y$58</f>
        <v>0</v>
      </c>
      <c r="Z8" s="25">
        <f>'TUSD BE'!$Z$8*'TUSD BE'!$Z$58</f>
        <v>0</v>
      </c>
      <c r="AA8" s="25">
        <f>'TUSD BE'!$AA$8*'TUSD BE'!$AA$58</f>
        <v>0</v>
      </c>
      <c r="AB8" s="25">
        <f>SUM($U$8:$AA$8)</f>
        <v>0</v>
      </c>
      <c r="AC8" s="25">
        <f>'TUSD BE'!$AC$8*'TUSD BE'!$AC$58</f>
        <v>0</v>
      </c>
      <c r="AD8" s="25">
        <f>SUM($AC$8:$AC$8)</f>
        <v>0</v>
      </c>
      <c r="AE8" s="25">
        <f ca="1">$AO$8*$AO$55</f>
        <v>-0.64121051385333927</v>
      </c>
      <c r="AF8" s="25">
        <f ca="1">$AP$8*$AP$55</f>
        <v>0</v>
      </c>
      <c r="AG8" s="25">
        <f ca="1">SUM($AE$8:$AF$8)</f>
        <v>-0.64121051385333927</v>
      </c>
      <c r="AH8" s="25">
        <f>'TUSD BE'!$AH$8*'TUSD BE'!$AH$58</f>
        <v>0.69006642355393732</v>
      </c>
      <c r="AI8" s="25">
        <f>'TUSD BE'!$AI$8*'TUSD BE'!$AI$58</f>
        <v>2.4339265838519621E-2</v>
      </c>
      <c r="AJ8" s="25">
        <f ca="1">'TUSD BE'!$AJ$8*'TUSD BE'!$AJ$58</f>
        <v>0.13200929927171748</v>
      </c>
      <c r="AK8" s="25">
        <f ca="1">'TUSD BE'!$AK$8*'TUSD BE'!$AK$58</f>
        <v>1.323102606804567E-2</v>
      </c>
      <c r="AL8" s="25">
        <f ca="1">SUM($AH$8:$AK$8)</f>
        <v>0.85964601473222013</v>
      </c>
      <c r="AM8" s="25">
        <f ca="1">SUMIF($L$4:$AL$4,"SUBTOTAL",$L$8:$AL$8)</f>
        <v>0.21819923289173226</v>
      </c>
      <c r="AO8" s="30">
        <f ca="1">+'TUSD BE'!$T$8+'TUSD BE'!$AB$8+'TUSD BE'!$AD$8+'TUSD BE'!$AL$8</f>
        <v>21.732594813388459</v>
      </c>
      <c r="AP8" s="30">
        <f ca="1">+'TUSD BE'!$T$8+'TUSD BE'!$AB$8+'TUSD BE'!$AD$8+'TUSD BE'!$AL$8</f>
        <v>21.732594813388459</v>
      </c>
    </row>
    <row r="9" spans="1:42" ht="11.25" customHeight="1" x14ac:dyDescent="0.25">
      <c r="A9" s="119"/>
      <c r="B9" s="28" t="s">
        <v>59</v>
      </c>
      <c r="C9" s="28" t="s">
        <v>25</v>
      </c>
      <c r="D9" s="28" t="s">
        <v>25</v>
      </c>
      <c r="E9" s="28" t="s">
        <v>25</v>
      </c>
      <c r="F9" s="28" t="s">
        <v>25</v>
      </c>
      <c r="G9" s="21" t="s">
        <v>9</v>
      </c>
      <c r="H9" s="21" t="s">
        <v>83</v>
      </c>
      <c r="I9" s="21">
        <f>'MERCADO TUSD'!$U$6</f>
        <v>16152</v>
      </c>
      <c r="J9" s="17"/>
      <c r="L9" s="25">
        <f>'TUSD BE'!$L$9*'TUSD BE'!$L$58</f>
        <v>0</v>
      </c>
      <c r="M9" s="25">
        <f>'TUSD BE'!$M$9*'TUSD BE'!$M$58</f>
        <v>-2.1868464955343115E-5</v>
      </c>
      <c r="N9" s="25">
        <f ca="1">'TUSD BE'!$N$9*'TUSD BE'!$N$58</f>
        <v>7.4261731291973146E-9</v>
      </c>
      <c r="O9" s="25">
        <f>'TUSD BE'!$O$9*'TUSD BE'!$O$58</f>
        <v>0</v>
      </c>
      <c r="P9" s="25">
        <f>'TUSD BE'!$P$9*'TUSD BE'!$P$58</f>
        <v>0</v>
      </c>
      <c r="Q9" s="25">
        <f>'TUSD BE'!$Q$9*'TUSD BE'!$Q$58</f>
        <v>0</v>
      </c>
      <c r="R9" s="25">
        <f>'TUSD BE'!$R$9*'TUSD BE'!$R$58</f>
        <v>0</v>
      </c>
      <c r="S9" s="25">
        <f>'TUSD BE'!$R$9*'TUSD BE'!$S$58</f>
        <v>0</v>
      </c>
      <c r="T9" s="25">
        <f ca="1">SUM($L$9:$S$9)</f>
        <v>-2.1861038782213917E-5</v>
      </c>
      <c r="U9" s="25">
        <f>'TUSD BE'!$U$9*'TUSD BE'!$U$58</f>
        <v>0</v>
      </c>
      <c r="V9" s="25">
        <f>'TUSD BE'!$V$9*'TUSD BE'!$V$58</f>
        <v>0</v>
      </c>
      <c r="W9" s="25">
        <f>'TUSD BE'!$W$9*'TUSD BE'!$W$58</f>
        <v>0</v>
      </c>
      <c r="X9" s="25">
        <f>'TUSD BE'!$X$9*'TUSD BE'!$X$58</f>
        <v>0</v>
      </c>
      <c r="Y9" s="25">
        <f>'TUSD BE'!$Y$9*'TUSD BE'!$Y$58</f>
        <v>0</v>
      </c>
      <c r="Z9" s="25">
        <f>'TUSD BE'!$Z$9*'TUSD BE'!$Z$58</f>
        <v>0</v>
      </c>
      <c r="AA9" s="25">
        <f>'TUSD BE'!$AA$9*'TUSD BE'!$AA$58</f>
        <v>0</v>
      </c>
      <c r="AB9" s="25">
        <f>SUM($U$9:$AA$9)</f>
        <v>0</v>
      </c>
      <c r="AC9" s="25">
        <f>'TUSD BE'!$AC$9*'TUSD BE'!$AC$58</f>
        <v>0</v>
      </c>
      <c r="AD9" s="25">
        <f>SUM($AC$9:$AC$9)</f>
        <v>0</v>
      </c>
      <c r="AE9" s="25">
        <f ca="1">$AO$9*$AO$55</f>
        <v>-0.35874437500610384</v>
      </c>
      <c r="AF9" s="25">
        <f ca="1">$AP$9*$AP$55</f>
        <v>0</v>
      </c>
      <c r="AG9" s="25">
        <f ca="1">SUM($AE$9:$AF$9)</f>
        <v>-0.35874437500610384</v>
      </c>
      <c r="AH9" s="25">
        <f>'TUSD BE'!$AH$9*'TUSD BE'!$AH$58</f>
        <v>3.3357908785558476E-4</v>
      </c>
      <c r="AI9" s="25">
        <f>'TUSD BE'!$AI$9*'TUSD BE'!$AI$58</f>
        <v>0</v>
      </c>
      <c r="AJ9" s="25">
        <f ca="1">'TUSD BE'!$AJ$9*'TUSD BE'!$AJ$58</f>
        <v>0</v>
      </c>
      <c r="AK9" s="25">
        <f ca="1">'TUSD BE'!$AK$9*'TUSD BE'!$AK$58</f>
        <v>0</v>
      </c>
      <c r="AL9" s="25">
        <f ca="1">SUM($AH$9:$AK$9)</f>
        <v>3.3357908785558476E-4</v>
      </c>
      <c r="AM9" s="25">
        <f ca="1">SUMIF($L$4:$AL$4,"SUBTOTAL",$L$9:$AL$9)</f>
        <v>-0.35843265695703047</v>
      </c>
      <c r="AO9" s="30">
        <f ca="1">+'TUSD BE'!$T$9+'TUSD BE'!$AB$9+'TUSD BE'!$AD$9+'TUSD BE'!$AL$9</f>
        <v>12.158949323424814</v>
      </c>
      <c r="AP9" s="30">
        <f ca="1">+'TUSD BE'!$T$9+'TUSD BE'!$AB$9+'TUSD BE'!$AD$9+'TUSD BE'!$AL$9</f>
        <v>12.158949323424814</v>
      </c>
    </row>
    <row r="10" spans="1:42" ht="11.25" customHeight="1" x14ac:dyDescent="0.25">
      <c r="A10" s="119"/>
      <c r="B10" s="119" t="s">
        <v>40</v>
      </c>
      <c r="C10" s="119" t="s">
        <v>25</v>
      </c>
      <c r="D10" s="119" t="s">
        <v>25</v>
      </c>
      <c r="E10" s="119" t="s">
        <v>25</v>
      </c>
      <c r="F10" s="119" t="s">
        <v>25</v>
      </c>
      <c r="G10" s="21" t="s">
        <v>9</v>
      </c>
      <c r="H10" s="21" t="s">
        <v>83</v>
      </c>
      <c r="I10" s="21">
        <f>'MERCADO TUSD'!$U$7</f>
        <v>539141</v>
      </c>
      <c r="J10" s="17"/>
      <c r="L10" s="25">
        <f>'TUSD BE'!$L$10*'TUSD BE'!$L$58</f>
        <v>0</v>
      </c>
      <c r="M10" s="25">
        <f>'TUSD BE'!$M$10*'TUSD BE'!$M$58</f>
        <v>0</v>
      </c>
      <c r="N10" s="25">
        <f ca="1">'TUSD BE'!$N$10*'TUSD BE'!$N$58</f>
        <v>0</v>
      </c>
      <c r="O10" s="25">
        <f>'TUSD BE'!$O$10*'TUSD BE'!$O$58</f>
        <v>0</v>
      </c>
      <c r="P10" s="25">
        <f>'TUSD BE'!$P$10*'TUSD BE'!$P$58</f>
        <v>0</v>
      </c>
      <c r="Q10" s="25">
        <f>'TUSD BE'!$Q$10*'TUSD BE'!$Q$58</f>
        <v>0</v>
      </c>
      <c r="R10" s="25">
        <f>'TUSD BE'!$R$10*'TUSD BE'!$R$58</f>
        <v>0</v>
      </c>
      <c r="S10" s="25">
        <f>'TUSD BE'!$R$10*'TUSD BE'!$S$58</f>
        <v>0</v>
      </c>
      <c r="T10" s="25">
        <f ca="1">SUM($L$10:$S$10)</f>
        <v>0</v>
      </c>
      <c r="U10" s="25">
        <f>'TUSD BE'!$U$10*'TUSD BE'!$U$58</f>
        <v>0.12953032250891452</v>
      </c>
      <c r="V10" s="25">
        <f>'TUSD BE'!$V$10*'TUSD BE'!$V$58</f>
        <v>1.7186335651758488E-2</v>
      </c>
      <c r="W10" s="25">
        <f>'TUSD BE'!$W$10*'TUSD BE'!$W$58</f>
        <v>1.7424711189687136E-3</v>
      </c>
      <c r="X10" s="25">
        <f>'TUSD BE'!$X$10*'TUSD BE'!$X$58</f>
        <v>0</v>
      </c>
      <c r="Y10" s="25">
        <f>'TUSD BE'!$Y$10*'TUSD BE'!$Y$58</f>
        <v>5.3907674812089273E-2</v>
      </c>
      <c r="Z10" s="25">
        <f>'TUSD BE'!$Z$10*'TUSD BE'!$Z$58</f>
        <v>0</v>
      </c>
      <c r="AA10" s="25">
        <f>'TUSD BE'!$AA$10*'TUSD BE'!$AA$58</f>
        <v>0</v>
      </c>
      <c r="AB10" s="25">
        <f>SUM($U$10:$AA$10)</f>
        <v>0.202366804091731</v>
      </c>
      <c r="AC10" s="25">
        <f>'TUSD BE'!$AC$10*'TUSD BE'!$AC$58</f>
        <v>0</v>
      </c>
      <c r="AD10" s="25">
        <f>SUM($AC$10:$AC$10)</f>
        <v>0</v>
      </c>
      <c r="AE10" s="25">
        <f ca="1">$AO$10*$AO$55</f>
        <v>-0.54894815321821888</v>
      </c>
      <c r="AF10" s="25">
        <f ca="1">$AP$10*$AP$55</f>
        <v>0</v>
      </c>
      <c r="AG10" s="25">
        <f ca="1">SUM($AE$10:$AF$10)</f>
        <v>-0.54894815321821888</v>
      </c>
      <c r="AH10" s="25">
        <f>'TUSD BE'!$AH$10*'TUSD BE'!$AH$58</f>
        <v>0</v>
      </c>
      <c r="AI10" s="25">
        <f>'TUSD BE'!$AI$10*'TUSD BE'!$AI$58</f>
        <v>0</v>
      </c>
      <c r="AJ10" s="25">
        <f ca="1">'TUSD BE'!$AJ$10*'TUSD BE'!$AJ$58</f>
        <v>0</v>
      </c>
      <c r="AK10" s="25">
        <f ca="1">'TUSD BE'!$AK$10*'TUSD BE'!$AK$58</f>
        <v>0</v>
      </c>
      <c r="AL10" s="25">
        <f ca="1">SUM($AH$10:$AK$10)</f>
        <v>0</v>
      </c>
      <c r="AM10" s="25">
        <f ca="1">SUMIF($L$4:$AL$4,"SUBTOTAL",$L$10:$AL$10)</f>
        <v>-0.34658134912648786</v>
      </c>
      <c r="AO10" s="30">
        <f ca="1">+'TUSD BE'!$T$10+'TUSD BE'!$AB$10+'TUSD BE'!$AD$10+'TUSD BE'!$AL$10</f>
        <v>18.605539880742096</v>
      </c>
      <c r="AP10" s="30">
        <f ca="1">+'TUSD BE'!$T$10+'TUSD BE'!$AB$10+'TUSD BE'!$AD$10+'TUSD BE'!$AL$10</f>
        <v>18.605539880742096</v>
      </c>
    </row>
    <row r="11" spans="1:42" ht="11.25" customHeight="1" x14ac:dyDescent="0.25">
      <c r="A11" s="119"/>
      <c r="B11" s="119"/>
      <c r="C11" s="119"/>
      <c r="D11" s="119"/>
      <c r="E11" s="119"/>
      <c r="F11" s="119"/>
      <c r="G11" s="21" t="s">
        <v>81</v>
      </c>
      <c r="H11" s="21" t="s">
        <v>80</v>
      </c>
      <c r="I11" s="21">
        <f>'MERCADO TUSD'!$U$8</f>
        <v>7136.594000000001</v>
      </c>
      <c r="J11" s="17"/>
      <c r="L11" s="25">
        <f>'TUSD BE'!$L$11*'TUSD BE'!$L$58</f>
        <v>9.7824477566325632E-2</v>
      </c>
      <c r="M11" s="25">
        <f>'TUSD BE'!$M$11*'TUSD BE'!$M$58</f>
        <v>-2.3798758575172419E-4</v>
      </c>
      <c r="N11" s="25">
        <f ca="1">'TUSD BE'!$N$11*'TUSD BE'!$N$58</f>
        <v>2.5113860605751104E-6</v>
      </c>
      <c r="O11" s="25">
        <f>'TUSD BE'!$O$11*'TUSD BE'!$O$58</f>
        <v>0</v>
      </c>
      <c r="P11" s="25">
        <f>'TUSD BE'!$P$11*'TUSD BE'!$P$58</f>
        <v>0</v>
      </c>
      <c r="Q11" s="25">
        <f>'TUSD BE'!$Q$11*'TUSD BE'!$Q$58</f>
        <v>1.3945675706190892</v>
      </c>
      <c r="R11" s="25">
        <f>'TUSD BE'!$R$11*'TUSD BE'!$R$58</f>
        <v>0.28986367582831496</v>
      </c>
      <c r="S11" s="25">
        <f>'TUSD BE'!$R$11*'TUSD BE'!$S$58</f>
        <v>0</v>
      </c>
      <c r="T11" s="25">
        <f ca="1">SUM($L$11:$S$11)</f>
        <v>1.7820202478140388</v>
      </c>
      <c r="U11" s="25">
        <f>'TUSD BE'!$U$11*'TUSD BE'!$U$58</f>
        <v>8.7803631948575926</v>
      </c>
      <c r="V11" s="25">
        <f>'TUSD BE'!$V$11*'TUSD BE'!$V$58</f>
        <v>1.1056430493462004</v>
      </c>
      <c r="W11" s="25">
        <f>'TUSD BE'!$W$11*'TUSD BE'!$W$58</f>
        <v>0.11551253560211223</v>
      </c>
      <c r="X11" s="25">
        <f>'TUSD BE'!$X$11*'TUSD BE'!$X$58</f>
        <v>0</v>
      </c>
      <c r="Y11" s="25">
        <f>'TUSD BE'!$Y$11*'TUSD BE'!$Y$58</f>
        <v>5.2150040701055351</v>
      </c>
      <c r="Z11" s="25">
        <f>'TUSD BE'!$Z$11*'TUSD BE'!$Z$58</f>
        <v>0</v>
      </c>
      <c r="AA11" s="25">
        <f>'TUSD BE'!$AA$11*'TUSD BE'!$AA$58</f>
        <v>0</v>
      </c>
      <c r="AB11" s="25">
        <f>SUM($U$11:$AA$11)</f>
        <v>15.216522849911442</v>
      </c>
      <c r="AC11" s="25">
        <f>'TUSD BE'!$AC$11*'TUSD BE'!$AC$58</f>
        <v>0</v>
      </c>
      <c r="AD11" s="25">
        <f>SUM($AC$11:$AC$11)</f>
        <v>0</v>
      </c>
      <c r="AE11" s="25">
        <f ca="1">$AO$11*$AO$55</f>
        <v>-44.961021846676566</v>
      </c>
      <c r="AF11" s="25">
        <f ca="1">$AP$11*$AP$55</f>
        <v>0</v>
      </c>
      <c r="AG11" s="25">
        <f ca="1">SUM($AE$11:$AF$11)</f>
        <v>-44.961021846676566</v>
      </c>
      <c r="AH11" s="25">
        <f>'TUSD BE'!$AH$11*'TUSD BE'!$AH$58</f>
        <v>0.69006642355393732</v>
      </c>
      <c r="AI11" s="25">
        <f>'TUSD BE'!$AI$11*'TUSD BE'!$AI$58</f>
        <v>2.4339265838519621E-2</v>
      </c>
      <c r="AJ11" s="25">
        <f ca="1">'TUSD BE'!$AJ$11*'TUSD BE'!$AJ$58</f>
        <v>0.13200929927171748</v>
      </c>
      <c r="AK11" s="25">
        <f ca="1">'TUSD BE'!$AK$11*'TUSD BE'!$AK$58</f>
        <v>1.323102606804567E-2</v>
      </c>
      <c r="AL11" s="25">
        <f ca="1">SUM($AH$11:$AK$11)</f>
        <v>0.85964601473222013</v>
      </c>
      <c r="AM11" s="25">
        <f ca="1">SUMIF($L$4:$AL$4,"SUBTOTAL",$L$11:$AL$11)</f>
        <v>-27.102832734218865</v>
      </c>
      <c r="AO11" s="30">
        <f ca="1">+'TUSD BE'!$T$11+'TUSD BE'!$AB$11+'TUSD BE'!$AD$11+'TUSD BE'!$AL$11</f>
        <v>1523.8671997403021</v>
      </c>
      <c r="AP11" s="30">
        <f ca="1">+'TUSD BE'!$T$11+'TUSD BE'!$AB$11+'TUSD BE'!$AD$11+'TUSD BE'!$AL$11</f>
        <v>1523.8671997403021</v>
      </c>
    </row>
    <row r="12" spans="1:42" ht="11.25" customHeight="1" x14ac:dyDescent="0.25">
      <c r="A12" s="119"/>
      <c r="B12" s="119"/>
      <c r="C12" s="119"/>
      <c r="D12" s="119"/>
      <c r="E12" s="119"/>
      <c r="F12" s="119"/>
      <c r="G12" s="21" t="s">
        <v>82</v>
      </c>
      <c r="H12" s="21" t="s">
        <v>80</v>
      </c>
      <c r="I12" s="21">
        <f>'MERCADO TUSD'!$U$9</f>
        <v>103922.32400000001</v>
      </c>
      <c r="J12" s="17"/>
      <c r="L12" s="25">
        <f>'TUSD BE'!$L$12*'TUSD BE'!$L$58</f>
        <v>9.7824477566325632E-2</v>
      </c>
      <c r="M12" s="25">
        <f>'TUSD BE'!$M$12*'TUSD BE'!$M$58</f>
        <v>-2.3798758575172419E-4</v>
      </c>
      <c r="N12" s="25">
        <f ca="1">'TUSD BE'!$N$12*'TUSD BE'!$N$58</f>
        <v>1.7202327767326966E-6</v>
      </c>
      <c r="O12" s="25">
        <f>'TUSD BE'!$O$12*'TUSD BE'!$O$58</f>
        <v>0</v>
      </c>
      <c r="P12" s="25">
        <f>'TUSD BE'!$P$12*'TUSD BE'!$P$58</f>
        <v>0</v>
      </c>
      <c r="Q12" s="25">
        <f>'TUSD BE'!$Q$12*'TUSD BE'!$Q$58</f>
        <v>1.3945675706190892</v>
      </c>
      <c r="R12" s="25">
        <f>'TUSD BE'!$R$12*'TUSD BE'!$R$58</f>
        <v>0.28986367582831496</v>
      </c>
      <c r="S12" s="25">
        <f>'TUSD BE'!$R$12*'TUSD BE'!$S$58</f>
        <v>0</v>
      </c>
      <c r="T12" s="25">
        <f ca="1">SUM($L$12:$S$12)</f>
        <v>1.782019456660755</v>
      </c>
      <c r="U12" s="25">
        <f>'TUSD BE'!$U$12*'TUSD BE'!$U$58</f>
        <v>0</v>
      </c>
      <c r="V12" s="25">
        <f>'TUSD BE'!$V$12*'TUSD BE'!$V$58</f>
        <v>0</v>
      </c>
      <c r="W12" s="25">
        <f>'TUSD BE'!$W$12*'TUSD BE'!$W$58</f>
        <v>0</v>
      </c>
      <c r="X12" s="25">
        <f>'TUSD BE'!$X$12*'TUSD BE'!$X$58</f>
        <v>0</v>
      </c>
      <c r="Y12" s="25">
        <f>'TUSD BE'!$Y$12*'TUSD BE'!$Y$58</f>
        <v>0</v>
      </c>
      <c r="Z12" s="25">
        <f>'TUSD BE'!$Z$12*'TUSD BE'!$Z$58</f>
        <v>0</v>
      </c>
      <c r="AA12" s="25">
        <f>'TUSD BE'!$AA$12*'TUSD BE'!$AA$58</f>
        <v>0</v>
      </c>
      <c r="AB12" s="25">
        <f>SUM($U$12:$AA$12)</f>
        <v>0</v>
      </c>
      <c r="AC12" s="25">
        <f>'TUSD BE'!$AC$12*'TUSD BE'!$AC$58</f>
        <v>0</v>
      </c>
      <c r="AD12" s="25">
        <f>SUM($AC$12:$AC$12)</f>
        <v>0</v>
      </c>
      <c r="AE12" s="25">
        <f ca="1">$AO$12*$AO$55</f>
        <v>-3.578911015845196</v>
      </c>
      <c r="AF12" s="25">
        <f ca="1">$AP$12*$AP$55</f>
        <v>0</v>
      </c>
      <c r="AG12" s="25">
        <f ca="1">SUM($AE$12:$AF$12)</f>
        <v>-3.578911015845196</v>
      </c>
      <c r="AH12" s="25">
        <f>'TUSD BE'!$AH$12*'TUSD BE'!$AH$58</f>
        <v>0.69006642355393732</v>
      </c>
      <c r="AI12" s="25">
        <f>'TUSD BE'!$AI$12*'TUSD BE'!$AI$58</f>
        <v>2.4339265838519621E-2</v>
      </c>
      <c r="AJ12" s="25">
        <f ca="1">'TUSD BE'!$AJ$12*'TUSD BE'!$AJ$58</f>
        <v>0.13200929927171748</v>
      </c>
      <c r="AK12" s="25">
        <f ca="1">'TUSD BE'!$AK$12*'TUSD BE'!$AK$58</f>
        <v>1.323102606804567E-2</v>
      </c>
      <c r="AL12" s="25">
        <f ca="1">SUM($AH$12:$AK$12)</f>
        <v>0.85964601473222013</v>
      </c>
      <c r="AM12" s="25">
        <f ca="1">SUMIF($L$4:$AL$4,"SUBTOTAL",$L$12:$AL$12)</f>
        <v>-0.93724554445222086</v>
      </c>
      <c r="AO12" s="30">
        <f ca="1">+'TUSD BE'!$T$12+'TUSD BE'!$AB$12+'TUSD BE'!$AD$12+'TUSD BE'!$AL$12</f>
        <v>121.30029264979601</v>
      </c>
      <c r="AP12" s="30">
        <f ca="1">+'TUSD BE'!$T$12+'TUSD BE'!$AB$12+'TUSD BE'!$AD$12+'TUSD BE'!$AL$12</f>
        <v>121.30029264979601</v>
      </c>
    </row>
    <row r="13" spans="1:42" ht="11.25" customHeight="1" x14ac:dyDescent="0.25">
      <c r="A13" s="119"/>
      <c r="B13" s="119"/>
      <c r="C13" s="119"/>
      <c r="D13" s="119"/>
      <c r="E13" s="119" t="s">
        <v>87</v>
      </c>
      <c r="F13" s="119" t="s">
        <v>25</v>
      </c>
      <c r="G13" s="21" t="s">
        <v>81</v>
      </c>
      <c r="H13" s="21" t="s">
        <v>80</v>
      </c>
      <c r="I13" s="21">
        <f>'MERCADO TUSD'!$U$10</f>
        <v>0</v>
      </c>
      <c r="J13" s="17"/>
      <c r="L13" s="25">
        <f>'TUSD BE'!$L$13*'TUSD BE'!$L$58</f>
        <v>0</v>
      </c>
      <c r="M13" s="25">
        <f>'TUSD BE'!$M$13*'TUSD BE'!$M$58</f>
        <v>-2.3798758575172419E-4</v>
      </c>
      <c r="N13" s="25">
        <f ca="1">'TUSD BE'!$N$13*'TUSD BE'!$N$58</f>
        <v>2.5107518869517803E-6</v>
      </c>
      <c r="O13" s="25">
        <f>'TUSD BE'!$O$13*'TUSD BE'!$O$58</f>
        <v>0</v>
      </c>
      <c r="P13" s="25">
        <f>'TUSD BE'!$P$13*'TUSD BE'!$P$58</f>
        <v>0</v>
      </c>
      <c r="Q13" s="25">
        <f>'TUSD BE'!$Q$13*'TUSD BE'!$Q$58</f>
        <v>0</v>
      </c>
      <c r="R13" s="25">
        <f>'TUSD BE'!$R$13*'TUSD BE'!$R$58</f>
        <v>0</v>
      </c>
      <c r="S13" s="25">
        <f>'TUSD BE'!$R$13*'TUSD BE'!$S$58</f>
        <v>0</v>
      </c>
      <c r="T13" s="25">
        <f ca="1">SUM($L$13:$S$13)</f>
        <v>-2.354768338647724E-4</v>
      </c>
      <c r="U13" s="25">
        <f>'TUSD BE'!$U$13*'TUSD BE'!$U$58</f>
        <v>8.7803631948575926</v>
      </c>
      <c r="V13" s="25">
        <f>'TUSD BE'!$V$13*'TUSD BE'!$V$58</f>
        <v>1.1056430493462004</v>
      </c>
      <c r="W13" s="25">
        <f>'TUSD BE'!$W$13*'TUSD BE'!$W$58</f>
        <v>0.11551253560211223</v>
      </c>
      <c r="X13" s="25">
        <f>'TUSD BE'!$X$13*'TUSD BE'!$X$58</f>
        <v>0</v>
      </c>
      <c r="Y13" s="25">
        <f>'TUSD BE'!$Y$13*'TUSD BE'!$Y$58</f>
        <v>5.2150040701055351</v>
      </c>
      <c r="Z13" s="25">
        <f>'TUSD BE'!$Z$13*'TUSD BE'!$Z$58</f>
        <v>0</v>
      </c>
      <c r="AA13" s="25">
        <f>'TUSD BE'!$AA$13*'TUSD BE'!$AA$58</f>
        <v>0</v>
      </c>
      <c r="AB13" s="25">
        <f>SUM($U$13:$AA$13)</f>
        <v>15.216522849911442</v>
      </c>
      <c r="AC13" s="25">
        <f>'TUSD BE'!$AC$13*'TUSD BE'!$AC$58</f>
        <v>0</v>
      </c>
      <c r="AD13" s="25">
        <f>SUM($AC$13:$AC$13)</f>
        <v>0</v>
      </c>
      <c r="AE13" s="25">
        <f ca="1">$AO$13*$AO$55</f>
        <v>-42.02332134468471</v>
      </c>
      <c r="AF13" s="25">
        <f ca="1">$AP$13*$AP$55</f>
        <v>0</v>
      </c>
      <c r="AG13" s="25">
        <f ca="1">SUM($AE$13:$AF$13)</f>
        <v>-42.02332134468471</v>
      </c>
      <c r="AH13" s="25">
        <f>'TUSD BE'!$AH$13*'TUSD BE'!$AH$58</f>
        <v>0.69006642355393732</v>
      </c>
      <c r="AI13" s="25">
        <f>'TUSD BE'!$AI$13*'TUSD BE'!$AI$58</f>
        <v>2.4339265838519621E-2</v>
      </c>
      <c r="AJ13" s="25">
        <f ca="1">'TUSD BE'!$AJ$13*'TUSD BE'!$AJ$58</f>
        <v>0.13200929927171748</v>
      </c>
      <c r="AK13" s="25">
        <f ca="1">'TUSD BE'!$AK$13*'TUSD BE'!$AK$58</f>
        <v>1.323102606804567E-2</v>
      </c>
      <c r="AL13" s="25">
        <f ca="1">SUM($AH$13:$AK$13)</f>
        <v>0.85964601473222013</v>
      </c>
      <c r="AM13" s="25">
        <f ca="1">SUMIF($L$4:$AL$4,"SUBTOTAL",$L$13:$AL$13)</f>
        <v>-25.947387956874913</v>
      </c>
      <c r="AO13" s="30">
        <f ca="1">+'TUSD BE'!$T$13+'TUSD BE'!$AB$13+'TUSD BE'!$AD$13+'TUSD BE'!$AL$13</f>
        <v>1424.2995019038947</v>
      </c>
      <c r="AP13" s="30">
        <f ca="1">+'TUSD BE'!$T$13+'TUSD BE'!$AB$13+'TUSD BE'!$AD$13+'TUSD BE'!$AL$13</f>
        <v>1424.2995019038947</v>
      </c>
    </row>
    <row r="14" spans="1:42" ht="11.25" customHeight="1" x14ac:dyDescent="0.25">
      <c r="A14" s="119"/>
      <c r="B14" s="119"/>
      <c r="C14" s="119"/>
      <c r="D14" s="119"/>
      <c r="E14" s="119"/>
      <c r="F14" s="119"/>
      <c r="G14" s="21" t="s">
        <v>82</v>
      </c>
      <c r="H14" s="21" t="s">
        <v>80</v>
      </c>
      <c r="I14" s="21">
        <f>'MERCADO TUSD'!$U$11</f>
        <v>0</v>
      </c>
      <c r="J14" s="17"/>
      <c r="L14" s="25">
        <f>'TUSD BE'!$L$14*'TUSD BE'!$L$58</f>
        <v>0</v>
      </c>
      <c r="M14" s="25">
        <f>'TUSD BE'!$M$14*'TUSD BE'!$M$58</f>
        <v>-2.3798758575172419E-4</v>
      </c>
      <c r="N14" s="25">
        <f ca="1">'TUSD BE'!$N$14*'TUSD BE'!$N$58</f>
        <v>1.7195986031093661E-6</v>
      </c>
      <c r="O14" s="25">
        <f>'TUSD BE'!$O$14*'TUSD BE'!$O$58</f>
        <v>0</v>
      </c>
      <c r="P14" s="25">
        <f>'TUSD BE'!$P$14*'TUSD BE'!$P$58</f>
        <v>0</v>
      </c>
      <c r="Q14" s="25">
        <f>'TUSD BE'!$Q$14*'TUSD BE'!$Q$58</f>
        <v>0</v>
      </c>
      <c r="R14" s="25">
        <f>'TUSD BE'!$R$14*'TUSD BE'!$R$58</f>
        <v>0</v>
      </c>
      <c r="S14" s="25">
        <f>'TUSD BE'!$R$14*'TUSD BE'!$S$58</f>
        <v>0</v>
      </c>
      <c r="T14" s="25">
        <f ca="1">SUM($L$14:$S$14)</f>
        <v>-2.3626798714861482E-4</v>
      </c>
      <c r="U14" s="25">
        <f>'TUSD BE'!$U$14*'TUSD BE'!$U$58</f>
        <v>0</v>
      </c>
      <c r="V14" s="25">
        <f>'TUSD BE'!$V$14*'TUSD BE'!$V$58</f>
        <v>0</v>
      </c>
      <c r="W14" s="25">
        <f>'TUSD BE'!$W$14*'TUSD BE'!$W$58</f>
        <v>0</v>
      </c>
      <c r="X14" s="25">
        <f>'TUSD BE'!$X$14*'TUSD BE'!$X$58</f>
        <v>0</v>
      </c>
      <c r="Y14" s="25">
        <f>'TUSD BE'!$Y$14*'TUSD BE'!$Y$58</f>
        <v>0</v>
      </c>
      <c r="Z14" s="25">
        <f>'TUSD BE'!$Z$14*'TUSD BE'!$Z$58</f>
        <v>0</v>
      </c>
      <c r="AA14" s="25">
        <f>'TUSD BE'!$AA$14*'TUSD BE'!$AA$58</f>
        <v>0</v>
      </c>
      <c r="AB14" s="25">
        <f>SUM($U$14:$AA$14)</f>
        <v>0</v>
      </c>
      <c r="AC14" s="25">
        <f>'TUSD BE'!$AC$14*'TUSD BE'!$AC$58</f>
        <v>0</v>
      </c>
      <c r="AD14" s="25">
        <f>SUM($AC$14:$AC$14)</f>
        <v>0</v>
      </c>
      <c r="AE14" s="25">
        <f ca="1">$AO$14*$AO$55</f>
        <v>-0.64121051385333927</v>
      </c>
      <c r="AF14" s="25">
        <f ca="1">$AP$14*$AP$55</f>
        <v>0</v>
      </c>
      <c r="AG14" s="25">
        <f ca="1">SUM($AE$14:$AF$14)</f>
        <v>-0.64121051385333927</v>
      </c>
      <c r="AH14" s="25">
        <f>'TUSD BE'!$AH$14*'TUSD BE'!$AH$58</f>
        <v>0.69006642355393732</v>
      </c>
      <c r="AI14" s="25">
        <f>'TUSD BE'!$AI$14*'TUSD BE'!$AI$58</f>
        <v>2.4339265838519621E-2</v>
      </c>
      <c r="AJ14" s="25">
        <f ca="1">'TUSD BE'!$AJ$14*'TUSD BE'!$AJ$58</f>
        <v>0.13200929927171748</v>
      </c>
      <c r="AK14" s="25">
        <f ca="1">'TUSD BE'!$AK$14*'TUSD BE'!$AK$58</f>
        <v>1.323102606804567E-2</v>
      </c>
      <c r="AL14" s="25">
        <f ca="1">SUM($AH$14:$AK$14)</f>
        <v>0.85964601473222013</v>
      </c>
      <c r="AM14" s="25">
        <f ca="1">SUMIF($L$4:$AL$4,"SUBTOTAL",$L$14:$AL$14)</f>
        <v>0.21819923289173226</v>
      </c>
      <c r="AO14" s="30">
        <f ca="1">+'TUSD BE'!$T$14+'TUSD BE'!$AB$14+'TUSD BE'!$AD$14+'TUSD BE'!$AL$14</f>
        <v>21.732594813388459</v>
      </c>
      <c r="AP14" s="30">
        <f ca="1">+'TUSD BE'!$T$14+'TUSD BE'!$AB$14+'TUSD BE'!$AD$14+'TUSD BE'!$AL$14</f>
        <v>21.732594813388459</v>
      </c>
    </row>
    <row r="15" spans="1:42" ht="11.25" customHeight="1" x14ac:dyDescent="0.25">
      <c r="A15" s="119" t="s">
        <v>88</v>
      </c>
      <c r="B15" s="119" t="s">
        <v>59</v>
      </c>
      <c r="C15" s="119" t="s">
        <v>25</v>
      </c>
      <c r="D15" s="119" t="s">
        <v>25</v>
      </c>
      <c r="E15" s="28" t="s">
        <v>89</v>
      </c>
      <c r="F15" s="28" t="s">
        <v>25</v>
      </c>
      <c r="G15" s="21" t="s">
        <v>9</v>
      </c>
      <c r="H15" s="21" t="s">
        <v>83</v>
      </c>
      <c r="I15" s="21">
        <f>'MERCADO TUSD'!$U$12+0.00000001</f>
        <v>1E-8</v>
      </c>
      <c r="J15" s="17"/>
      <c r="L15" s="25">
        <f>'TUSD BE'!$L$15*'TUSD BE'!$L$58</f>
        <v>0</v>
      </c>
      <c r="M15" s="25">
        <f>'TUSD BE'!$M$15*'TUSD BE'!$M$58</f>
        <v>-3.1736547780996812E-6</v>
      </c>
      <c r="N15" s="25">
        <f ca="1">'TUSD BE'!$N$15*'TUSD BE'!$N$58</f>
        <v>1.0083360610951095E-9</v>
      </c>
      <c r="O15" s="25">
        <f>'TUSD BE'!$O$15*'TUSD BE'!$O$58</f>
        <v>0</v>
      </c>
      <c r="P15" s="25">
        <f>'TUSD BE'!$P$15*'TUSD BE'!$P$58</f>
        <v>0</v>
      </c>
      <c r="Q15" s="25">
        <f>'TUSD BE'!$Q$15*'TUSD BE'!$Q$58</f>
        <v>0</v>
      </c>
      <c r="R15" s="25">
        <f>'TUSD BE'!$R$15*'TUSD BE'!$R$58</f>
        <v>0</v>
      </c>
      <c r="S15" s="25">
        <f>'TUSD BE'!$R$15*'TUSD BE'!$S$58</f>
        <v>0</v>
      </c>
      <c r="T15" s="25">
        <f ca="1">SUM($L$15:$S$15)</f>
        <v>-3.1726464420385862E-6</v>
      </c>
      <c r="U15" s="25">
        <f>'TUSD BE'!$U$15*'TUSD BE'!$U$58</f>
        <v>0</v>
      </c>
      <c r="V15" s="25">
        <f>'TUSD BE'!$V$15*'TUSD BE'!$V$58</f>
        <v>0</v>
      </c>
      <c r="W15" s="25">
        <f>'TUSD BE'!$W$15*'TUSD BE'!$W$58</f>
        <v>0</v>
      </c>
      <c r="X15" s="25">
        <f>'TUSD BE'!$X$15*'TUSD BE'!$X$58</f>
        <v>0</v>
      </c>
      <c r="Y15" s="25">
        <f>'TUSD BE'!$Y$15*'TUSD BE'!$Y$58</f>
        <v>0</v>
      </c>
      <c r="Z15" s="25">
        <f>'TUSD BE'!$Z$15*'TUSD BE'!$Z$58</f>
        <v>0</v>
      </c>
      <c r="AA15" s="25">
        <f>'TUSD BE'!$AA$15*'TUSD BE'!$AA$58</f>
        <v>0</v>
      </c>
      <c r="AB15" s="25">
        <f>SUM($U$15:$AA$15)</f>
        <v>0</v>
      </c>
      <c r="AC15" s="25">
        <f>'TUSD BE'!$AC$15*'TUSD BE'!$AC$58</f>
        <v>0</v>
      </c>
      <c r="AD15" s="25">
        <f>SUM($AC$15:$AC$15)</f>
        <v>0</v>
      </c>
      <c r="AE15" s="25">
        <f ca="1">$AO$15*$AO$55</f>
        <v>-5.1699371505740908E-2</v>
      </c>
      <c r="AF15" s="25">
        <f ca="1">$AP$15*$AP$55</f>
        <v>0</v>
      </c>
      <c r="AG15" s="25">
        <f ca="1">SUM($AE$15:$AF$15)</f>
        <v>-5.1699371505740908E-2</v>
      </c>
      <c r="AH15" s="25">
        <f>'TUSD BE'!$AH$15*'TUSD BE'!$AH$58</f>
        <v>0</v>
      </c>
      <c r="AI15" s="25">
        <f>'TUSD BE'!$AI$15*'TUSD BE'!$AI$58</f>
        <v>0</v>
      </c>
      <c r="AJ15" s="25">
        <f ca="1">'TUSD BE'!$AJ$15*'TUSD BE'!$AJ$58</f>
        <v>0</v>
      </c>
      <c r="AK15" s="25">
        <f ca="1">'TUSD BE'!$AK$15*'TUSD BE'!$AK$58</f>
        <v>0</v>
      </c>
      <c r="AL15" s="25">
        <f ca="1">SUM($AH$15:$AK$15)</f>
        <v>0</v>
      </c>
      <c r="AM15" s="25">
        <f ca="1">SUMIF($L$4:$AL$4,"SUBTOTAL",$L$15:$AL$15)</f>
        <v>-5.170254415218295E-2</v>
      </c>
      <c r="AO15" s="30">
        <f ca="1">+'TUSD BE'!$T$15+'TUSD BE'!$AB$15+'TUSD BE'!$AD$15+'TUSD BE'!$AL$15</f>
        <v>1.7522505772544059</v>
      </c>
      <c r="AP15" s="30">
        <f ca="1">+'TUSD BE'!$T$15+'TUSD BE'!$AB$15+'TUSD BE'!$AD$15+'TUSD BE'!$AL$15</f>
        <v>1.7522505772544059</v>
      </c>
    </row>
    <row r="16" spans="1:42" ht="11.25" customHeight="1" x14ac:dyDescent="0.25">
      <c r="A16" s="119"/>
      <c r="B16" s="119"/>
      <c r="C16" s="119"/>
      <c r="D16" s="119"/>
      <c r="E16" s="28" t="s">
        <v>90</v>
      </c>
      <c r="F16" s="28" t="s">
        <v>25</v>
      </c>
      <c r="G16" s="21" t="s">
        <v>9</v>
      </c>
      <c r="H16" s="21" t="s">
        <v>83</v>
      </c>
      <c r="I16" s="21">
        <f>'MERCADO TUSD'!$U$13+0.00000001</f>
        <v>1E-8</v>
      </c>
      <c r="J16" s="17"/>
      <c r="L16" s="25">
        <f>'TUSD BE'!$L$16*'TUSD BE'!$L$58</f>
        <v>0</v>
      </c>
      <c r="M16" s="25">
        <f>'TUSD BE'!$M$16*'TUSD BE'!$M$58</f>
        <v>-3.1736547780996812E-6</v>
      </c>
      <c r="N16" s="25">
        <f ca="1">'TUSD BE'!$N$16*'TUSD BE'!$N$58</f>
        <v>1.0083360610951095E-9</v>
      </c>
      <c r="O16" s="25">
        <f>'TUSD BE'!$O$16*'TUSD BE'!$O$58</f>
        <v>0</v>
      </c>
      <c r="P16" s="25">
        <f>'TUSD BE'!$P$16*'TUSD BE'!$P$58</f>
        <v>0</v>
      </c>
      <c r="Q16" s="25">
        <f>'TUSD BE'!$Q$16*'TUSD BE'!$Q$58</f>
        <v>0</v>
      </c>
      <c r="R16" s="25">
        <f>'TUSD BE'!$R$16*'TUSD BE'!$R$58</f>
        <v>0</v>
      </c>
      <c r="S16" s="25">
        <f>'TUSD BE'!$R$16*'TUSD BE'!$S$58</f>
        <v>0</v>
      </c>
      <c r="T16" s="25">
        <f ca="1">SUM($L$16:$S$16)</f>
        <v>-3.1726464420385862E-6</v>
      </c>
      <c r="U16" s="25">
        <f>'TUSD BE'!$U$16*'TUSD BE'!$U$58</f>
        <v>0</v>
      </c>
      <c r="V16" s="25">
        <f>'TUSD BE'!$V$16*'TUSD BE'!$V$58</f>
        <v>0</v>
      </c>
      <c r="W16" s="25">
        <f>'TUSD BE'!$W$16*'TUSD BE'!$W$58</f>
        <v>0</v>
      </c>
      <c r="X16" s="25">
        <f>'TUSD BE'!$X$16*'TUSD BE'!$X$58</f>
        <v>0</v>
      </c>
      <c r="Y16" s="25">
        <f>'TUSD BE'!$Y$16*'TUSD BE'!$Y$58</f>
        <v>0</v>
      </c>
      <c r="Z16" s="25">
        <f>'TUSD BE'!$Z$16*'TUSD BE'!$Z$58</f>
        <v>0</v>
      </c>
      <c r="AA16" s="25">
        <f>'TUSD BE'!$AA$16*'TUSD BE'!$AA$58</f>
        <v>0</v>
      </c>
      <c r="AB16" s="25">
        <f>SUM($U$16:$AA$16)</f>
        <v>0</v>
      </c>
      <c r="AC16" s="25">
        <f>'TUSD BE'!$AC$16*'TUSD BE'!$AC$58</f>
        <v>0</v>
      </c>
      <c r="AD16" s="25">
        <f>SUM($AC$16:$AC$16)</f>
        <v>0</v>
      </c>
      <c r="AE16" s="25">
        <f ca="1">$AO$16*$AO$55</f>
        <v>-0.46245915150792338</v>
      </c>
      <c r="AF16" s="25">
        <f ca="1">$AP$16*$AP$55</f>
        <v>0</v>
      </c>
      <c r="AG16" s="25">
        <f ca="1">SUM($AE$16:$AF$16)</f>
        <v>-0.46245915150792338</v>
      </c>
      <c r="AH16" s="25">
        <f>'TUSD BE'!$AH$16*'TUSD BE'!$AH$58</f>
        <v>0</v>
      </c>
      <c r="AI16" s="25">
        <f>'TUSD BE'!$AI$16*'TUSD BE'!$AI$58</f>
        <v>0</v>
      </c>
      <c r="AJ16" s="25">
        <f ca="1">'TUSD BE'!$AJ$16*'TUSD BE'!$AJ$58</f>
        <v>0</v>
      </c>
      <c r="AK16" s="25">
        <f ca="1">'TUSD BE'!$AK$16*'TUSD BE'!$AK$58</f>
        <v>0</v>
      </c>
      <c r="AL16" s="25">
        <f ca="1">SUM($AH$16:$AK$16)</f>
        <v>0</v>
      </c>
      <c r="AM16" s="25">
        <f ca="1">SUMIF($L$4:$AL$4,"SUBTOTAL",$L$16:$AL$16)</f>
        <v>-0.46246232415436545</v>
      </c>
      <c r="AO16" s="30">
        <f ca="1">+'TUSD BE'!$T$16+'TUSD BE'!$AB$16+'TUSD BE'!$AD$16+'TUSD BE'!$AL$16</f>
        <v>15.67416182412116</v>
      </c>
      <c r="AP16" s="30">
        <f ca="1">+'TUSD BE'!$T$16+'TUSD BE'!$AB$16+'TUSD BE'!$AD$16+'TUSD BE'!$AL$16</f>
        <v>15.67416182412116</v>
      </c>
    </row>
    <row r="17" spans="1:42" ht="11.25" customHeight="1" x14ac:dyDescent="0.25">
      <c r="A17" s="119" t="s">
        <v>22</v>
      </c>
      <c r="B17" s="119" t="s">
        <v>33</v>
      </c>
      <c r="C17" s="119" t="s">
        <v>24</v>
      </c>
      <c r="D17" s="119" t="s">
        <v>24</v>
      </c>
      <c r="E17" s="119" t="s">
        <v>25</v>
      </c>
      <c r="F17" s="119" t="s">
        <v>25</v>
      </c>
      <c r="G17" s="21" t="s">
        <v>81</v>
      </c>
      <c r="H17" s="21" t="s">
        <v>80</v>
      </c>
      <c r="I17" s="21">
        <f>'MERCADO TUSD'!$U$14</f>
        <v>17.608000000000004</v>
      </c>
      <c r="J17" s="17"/>
      <c r="L17" s="25">
        <f>'TUSD BE'!$L$17*'TUSD BE'!$L$58</f>
        <v>0.11645771138848289</v>
      </c>
      <c r="M17" s="25">
        <f>'TUSD BE'!$M$17*'TUSD BE'!$M$58</f>
        <v>-3.6227088690402693E-4</v>
      </c>
      <c r="N17" s="25">
        <f ca="1">'TUSD BE'!$N$17*'TUSD BE'!$N$58</f>
        <v>3.680789604857232E-6</v>
      </c>
      <c r="O17" s="25">
        <f>'TUSD BE'!$O$17*'TUSD BE'!$O$58</f>
        <v>0</v>
      </c>
      <c r="P17" s="25">
        <f>'TUSD BE'!$P$17*'TUSD BE'!$P$58</f>
        <v>0</v>
      </c>
      <c r="Q17" s="25">
        <f>'TUSD BE'!$Q$17*'TUSD BE'!$Q$58</f>
        <v>1.6601994888322489</v>
      </c>
      <c r="R17" s="25">
        <f>'TUSD BE'!$R$17*'TUSD BE'!$R$58</f>
        <v>0.28986367582831496</v>
      </c>
      <c r="S17" s="25">
        <f>'TUSD BE'!$R$17*'TUSD BE'!$S$58</f>
        <v>0</v>
      </c>
      <c r="T17" s="25">
        <f ca="1">SUM($L$17:$S$17)</f>
        <v>2.0661622859517474</v>
      </c>
      <c r="U17" s="25">
        <f>'TUSD BE'!$U$17*'TUSD BE'!$U$58</f>
        <v>4.9798094599843266</v>
      </c>
      <c r="V17" s="25">
        <f>'TUSD BE'!$V$17*'TUSD BE'!$V$58</f>
        <v>0.64567482304369672</v>
      </c>
      <c r="W17" s="25">
        <f>'TUSD BE'!$W$17*'TUSD BE'!$W$58</f>
        <v>6.6319848371511669E-2</v>
      </c>
      <c r="X17" s="25">
        <f>'TUSD BE'!$X$17*'TUSD BE'!$X$58</f>
        <v>0</v>
      </c>
      <c r="Y17" s="25">
        <f>'TUSD BE'!$Y$17*'TUSD BE'!$Y$58</f>
        <v>2.1323383774763771</v>
      </c>
      <c r="Z17" s="25">
        <f>'TUSD BE'!$Z$17*'TUSD BE'!$Z$58</f>
        <v>0</v>
      </c>
      <c r="AA17" s="25">
        <f>'TUSD BE'!$AA$17*'TUSD BE'!$AA$58</f>
        <v>0</v>
      </c>
      <c r="AB17" s="25">
        <f>SUM($U$17:$AA$17)</f>
        <v>7.8241425088759122</v>
      </c>
      <c r="AC17" s="25">
        <f>'TUSD BE'!$AC$17*'TUSD BE'!$AC$58</f>
        <v>0</v>
      </c>
      <c r="AD17" s="25">
        <f>SUM($AC$17:$AC$17)</f>
        <v>0</v>
      </c>
      <c r="AE17" s="25">
        <f ca="1">$AO$17*$AO$55</f>
        <v>-28.047597479613888</v>
      </c>
      <c r="AF17" s="25">
        <f ca="1">$AP$17*$AP$55</f>
        <v>0</v>
      </c>
      <c r="AG17" s="25">
        <f ca="1">SUM($AE$17:$AF$17)</f>
        <v>-28.047597479613888</v>
      </c>
      <c r="AH17" s="25">
        <f>'TUSD BE'!$AH$17*'TUSD BE'!$AH$58</f>
        <v>1.2970757372072059</v>
      </c>
      <c r="AI17" s="25">
        <f>'TUSD BE'!$AI$17*'TUSD BE'!$AI$58</f>
        <v>4.5749032416315519E-2</v>
      </c>
      <c r="AJ17" s="25">
        <f ca="1">'TUSD BE'!$AJ$17*'TUSD BE'!$AJ$58</f>
        <v>0.17404280058386498</v>
      </c>
      <c r="AK17" s="25">
        <f ca="1">'TUSD BE'!$AK$17*'TUSD BE'!$AK$58</f>
        <v>1.7443959207305262E-2</v>
      </c>
      <c r="AL17" s="25">
        <f ca="1">SUM($AH$17:$AK$17)</f>
        <v>1.5343115294146916</v>
      </c>
      <c r="AM17" s="25">
        <f ca="1">SUMIF($L$4:$AL$4,"SUBTOTAL",$L$17:$AL$17)</f>
        <v>-16.622981155371537</v>
      </c>
      <c r="AO17" s="30">
        <f ca="1">+'TUSD BE'!$T$17+'TUSD BE'!$AB$17+'TUSD BE'!$AD$17+'TUSD BE'!$AL$17</f>
        <v>950.61927143147636</v>
      </c>
      <c r="AP17" s="30">
        <f ca="1">+'TUSD BE'!$T$17+'TUSD BE'!$AB$17+'TUSD BE'!$AD$17+'TUSD BE'!$AL$17</f>
        <v>950.61927143147636</v>
      </c>
    </row>
    <row r="18" spans="1:42" ht="11.25" customHeight="1" x14ac:dyDescent="0.25">
      <c r="A18" s="119"/>
      <c r="B18" s="119"/>
      <c r="C18" s="119"/>
      <c r="D18" s="119"/>
      <c r="E18" s="119"/>
      <c r="F18" s="119"/>
      <c r="G18" s="21" t="s">
        <v>91</v>
      </c>
      <c r="H18" s="21" t="s">
        <v>80</v>
      </c>
      <c r="I18" s="21">
        <f>'MERCADO TUSD'!$U$15</f>
        <v>7.3439999999999994</v>
      </c>
      <c r="J18" s="17"/>
      <c r="L18" s="25">
        <f>'TUSD BE'!$L$18*'TUSD BE'!$L$58</f>
        <v>0.11645771138848289</v>
      </c>
      <c r="M18" s="25">
        <f>'TUSD BE'!$M$18*'TUSD BE'!$M$58</f>
        <v>-3.6227088690402693E-4</v>
      </c>
      <c r="N18" s="25">
        <f ca="1">'TUSD BE'!$N$18*'TUSD BE'!$N$58</f>
        <v>3.5005094541634858E-6</v>
      </c>
      <c r="O18" s="25">
        <f>'TUSD BE'!$O$18*'TUSD BE'!$O$58</f>
        <v>0</v>
      </c>
      <c r="P18" s="25">
        <f>'TUSD BE'!$P$18*'TUSD BE'!$P$58</f>
        <v>0</v>
      </c>
      <c r="Q18" s="25">
        <f>'TUSD BE'!$Q$18*'TUSD BE'!$Q$58</f>
        <v>1.6601994888322489</v>
      </c>
      <c r="R18" s="25">
        <f>'TUSD BE'!$R$18*'TUSD BE'!$R$58</f>
        <v>0.28986367582831496</v>
      </c>
      <c r="S18" s="25">
        <f>'TUSD BE'!$R$18*'TUSD BE'!$S$58</f>
        <v>0</v>
      </c>
      <c r="T18" s="25">
        <f ca="1">SUM($L$18:$S$18)</f>
        <v>2.0661621056715971</v>
      </c>
      <c r="U18" s="25">
        <f>'TUSD BE'!$U$18*'TUSD BE'!$U$58</f>
        <v>2.9878811414090274</v>
      </c>
      <c r="V18" s="25">
        <f>'TUSD BE'!$V$18*'TUSD BE'!$V$58</f>
        <v>0.38740220320615515</v>
      </c>
      <c r="W18" s="25">
        <f>'TUSD BE'!$W$18*'TUSD BE'!$W$58</f>
        <v>3.9790556522685289E-2</v>
      </c>
      <c r="X18" s="25">
        <f>'TUSD BE'!$X$18*'TUSD BE'!$X$58</f>
        <v>0</v>
      </c>
      <c r="Y18" s="25">
        <f>'TUSD BE'!$Y$18*'TUSD BE'!$Y$58</f>
        <v>1.2794022546119028</v>
      </c>
      <c r="Z18" s="25">
        <f>'TUSD BE'!$Z$18*'TUSD BE'!$Z$58</f>
        <v>0</v>
      </c>
      <c r="AA18" s="25">
        <f>'TUSD BE'!$AA$18*'TUSD BE'!$AA$58</f>
        <v>0</v>
      </c>
      <c r="AB18" s="25">
        <f>SUM($U$18:$AA$18)</f>
        <v>4.6944761557497703</v>
      </c>
      <c r="AC18" s="25">
        <f>'TUSD BE'!$AC$18*'TUSD BE'!$AC$58</f>
        <v>0</v>
      </c>
      <c r="AD18" s="25">
        <f>SUM($AC$18:$AC$18)</f>
        <v>0</v>
      </c>
      <c r="AE18" s="25">
        <f ca="1">$AO$18*$AO$55</f>
        <v>-18.651655888364658</v>
      </c>
      <c r="AF18" s="25">
        <f ca="1">$AP$18*$AP$55</f>
        <v>0</v>
      </c>
      <c r="AG18" s="25">
        <f ca="1">SUM($AE$18:$AF$18)</f>
        <v>-18.651655888364658</v>
      </c>
      <c r="AH18" s="25">
        <f>'TUSD BE'!$AH$18*'TUSD BE'!$AH$58</f>
        <v>1.2970757372072059</v>
      </c>
      <c r="AI18" s="25">
        <f>'TUSD BE'!$AI$18*'TUSD BE'!$AI$58</f>
        <v>4.5749032416315519E-2</v>
      </c>
      <c r="AJ18" s="25">
        <f ca="1">'TUSD BE'!$AJ$18*'TUSD BE'!$AJ$58</f>
        <v>0.17404280058386498</v>
      </c>
      <c r="AK18" s="25">
        <f ca="1">'TUSD BE'!$AK$18*'TUSD BE'!$AK$58</f>
        <v>1.7443959207305262E-2</v>
      </c>
      <c r="AL18" s="25">
        <f ca="1">SUM($AH$18:$AK$18)</f>
        <v>1.5343115294146916</v>
      </c>
      <c r="AM18" s="25">
        <f ca="1">SUMIF($L$4:$AL$4,"SUBTOTAL",$L$18:$AL$18)</f>
        <v>-10.356706097528599</v>
      </c>
      <c r="AO18" s="30">
        <f ca="1">+'TUSD BE'!$T$18+'TUSD BE'!$AB$18+'TUSD BE'!$AD$18+'TUSD BE'!$AL$18</f>
        <v>632.16193631112765</v>
      </c>
      <c r="AP18" s="30">
        <f ca="1">+'TUSD BE'!$T$18+'TUSD BE'!$AB$18+'TUSD BE'!$AD$18+'TUSD BE'!$AL$18</f>
        <v>632.16193631112765</v>
      </c>
    </row>
    <row r="19" spans="1:42" ht="11.25" customHeight="1" x14ac:dyDescent="0.25">
      <c r="A19" s="119"/>
      <c r="B19" s="119"/>
      <c r="C19" s="119"/>
      <c r="D19" s="119"/>
      <c r="E19" s="119"/>
      <c r="F19" s="119"/>
      <c r="G19" s="21" t="s">
        <v>82</v>
      </c>
      <c r="H19" s="21" t="s">
        <v>80</v>
      </c>
      <c r="I19" s="21">
        <f>'MERCADO TUSD'!$U$16</f>
        <v>120.18199999999999</v>
      </c>
      <c r="J19" s="17"/>
      <c r="L19" s="25">
        <f>'TUSD BE'!$L$19*'TUSD BE'!$L$58</f>
        <v>0.11645771138848289</v>
      </c>
      <c r="M19" s="25">
        <f>'TUSD BE'!$M$19*'TUSD BE'!$M$58</f>
        <v>-3.6227088690402693E-4</v>
      </c>
      <c r="N19" s="25">
        <f ca="1">'TUSD BE'!$N$19*'TUSD BE'!$N$58</f>
        <v>3.3202295571391903E-6</v>
      </c>
      <c r="O19" s="25">
        <f>'TUSD BE'!$O$19*'TUSD BE'!$O$58</f>
        <v>0</v>
      </c>
      <c r="P19" s="25">
        <f>'TUSD BE'!$P$19*'TUSD BE'!$P$58</f>
        <v>0</v>
      </c>
      <c r="Q19" s="25">
        <f>'TUSD BE'!$Q$19*'TUSD BE'!$Q$58</f>
        <v>1.6601994888322489</v>
      </c>
      <c r="R19" s="25">
        <f>'TUSD BE'!$R$19*'TUSD BE'!$R$58</f>
        <v>0.28986367582831496</v>
      </c>
      <c r="S19" s="25">
        <f>'TUSD BE'!$R$19*'TUSD BE'!$S$58</f>
        <v>0</v>
      </c>
      <c r="T19" s="25">
        <f ca="1">SUM($L$19:$S$19)</f>
        <v>2.0661619253916998</v>
      </c>
      <c r="U19" s="25">
        <f>'TUSD BE'!$U$19*'TUSD BE'!$U$58</f>
        <v>0.99596038046967583</v>
      </c>
      <c r="V19" s="25">
        <f>'TUSD BE'!$V$19*'TUSD BE'!$V$58</f>
        <v>0.12913630991877079</v>
      </c>
      <c r="W19" s="25">
        <f>'TUSD BE'!$W$19*'TUSD BE'!$W$58</f>
        <v>1.3263518840895099E-2</v>
      </c>
      <c r="X19" s="25">
        <f>'TUSD BE'!$X$19*'TUSD BE'!$X$58</f>
        <v>0</v>
      </c>
      <c r="Y19" s="25">
        <f>'TUSD BE'!$Y$19*'TUSD BE'!$Y$58</f>
        <v>0.42646806143223714</v>
      </c>
      <c r="Z19" s="25">
        <f>'TUSD BE'!$Z$19*'TUSD BE'!$Z$58</f>
        <v>0</v>
      </c>
      <c r="AA19" s="25">
        <f>'TUSD BE'!$AA$19*'TUSD BE'!$AA$58</f>
        <v>0</v>
      </c>
      <c r="AB19" s="25">
        <f>SUM($U$19:$AA$19)</f>
        <v>1.5648282706615788</v>
      </c>
      <c r="AC19" s="25">
        <f>'TUSD BE'!$AC$19*'TUSD BE'!$AC$58</f>
        <v>0</v>
      </c>
      <c r="AD19" s="25">
        <f>SUM($AC$19:$AC$19)</f>
        <v>0</v>
      </c>
      <c r="AE19" s="25">
        <f ca="1">$AO$19*$AO$55</f>
        <v>-9.2557280624764235</v>
      </c>
      <c r="AF19" s="25">
        <f ca="1">$AP$19*$AP$55</f>
        <v>0</v>
      </c>
      <c r="AG19" s="25">
        <f ca="1">SUM($AE$19:$AF$19)</f>
        <v>-9.2557280624764235</v>
      </c>
      <c r="AH19" s="25">
        <f>'TUSD BE'!$AH$19*'TUSD BE'!$AH$58</f>
        <v>1.2970757372072059</v>
      </c>
      <c r="AI19" s="25">
        <f>'TUSD BE'!$AI$19*'TUSD BE'!$AI$58</f>
        <v>4.5749032416315519E-2</v>
      </c>
      <c r="AJ19" s="25">
        <f ca="1">'TUSD BE'!$AJ$19*'TUSD BE'!$AJ$58</f>
        <v>0.17404280058386498</v>
      </c>
      <c r="AK19" s="25">
        <f ca="1">'TUSD BE'!$AK$19*'TUSD BE'!$AK$58</f>
        <v>1.7443959207305262E-2</v>
      </c>
      <c r="AL19" s="25">
        <f ca="1">SUM($AH$19:$AK$19)</f>
        <v>1.5343115294146916</v>
      </c>
      <c r="AM19" s="25">
        <f ca="1">SUMIF($L$4:$AL$4,"SUBTOTAL",$L$19:$AL$19)</f>
        <v>-4.090426337008453</v>
      </c>
      <c r="AO19" s="30">
        <f ca="1">+'TUSD BE'!$T$19+'TUSD BE'!$AB$19+'TUSD BE'!$AD$19+'TUSD BE'!$AL$19</f>
        <v>313.70506774116518</v>
      </c>
      <c r="AP19" s="30">
        <f ca="1">+'TUSD BE'!$T$19+'TUSD BE'!$AB$19+'TUSD BE'!$AD$19+'TUSD BE'!$AL$19</f>
        <v>313.70506774116518</v>
      </c>
    </row>
    <row r="20" spans="1:42" ht="11.25" customHeight="1" x14ac:dyDescent="0.25">
      <c r="A20" s="119"/>
      <c r="B20" s="119" t="s">
        <v>23</v>
      </c>
      <c r="C20" s="119" t="s">
        <v>24</v>
      </c>
      <c r="D20" s="28" t="s">
        <v>24</v>
      </c>
      <c r="E20" s="28" t="s">
        <v>25</v>
      </c>
      <c r="F20" s="28" t="s">
        <v>25</v>
      </c>
      <c r="G20" s="21" t="s">
        <v>86</v>
      </c>
      <c r="H20" s="21" t="s">
        <v>80</v>
      </c>
      <c r="I20" s="21">
        <f>'MERCADO TUSD'!$U$17</f>
        <v>125132.74900000001</v>
      </c>
      <c r="J20" s="17"/>
      <c r="L20" s="25">
        <f>'TUSD BE'!$L$20*'TUSD BE'!$L$58</f>
        <v>0.11645771138848289</v>
      </c>
      <c r="M20" s="25">
        <f>'TUSD BE'!$M$20*'TUSD BE'!$M$58</f>
        <v>-3.6227088690402693E-4</v>
      </c>
      <c r="N20" s="25">
        <f ca="1">'TUSD BE'!$N$20*'TUSD BE'!$N$58</f>
        <v>3.3731689760328287E-6</v>
      </c>
      <c r="O20" s="25">
        <f>'TUSD BE'!$O$20*'TUSD BE'!$O$58</f>
        <v>0</v>
      </c>
      <c r="P20" s="25">
        <f>'TUSD BE'!$P$20*'TUSD BE'!$P$58</f>
        <v>0</v>
      </c>
      <c r="Q20" s="25">
        <f>'TUSD BE'!$Q$20*'TUSD BE'!$Q$58</f>
        <v>1.6601994888322489</v>
      </c>
      <c r="R20" s="25">
        <f>'TUSD BE'!$R$20*'TUSD BE'!$R$58</f>
        <v>0.28986367582831496</v>
      </c>
      <c r="S20" s="25">
        <f>'TUSD BE'!$R$20*'TUSD BE'!$S$58</f>
        <v>0</v>
      </c>
      <c r="T20" s="25">
        <f ca="1">SUM($L$20:$S$20)</f>
        <v>2.0661619783311189</v>
      </c>
      <c r="U20" s="25">
        <f>'TUSD BE'!$U$20*'TUSD BE'!$U$58</f>
        <v>1.5808911722836643</v>
      </c>
      <c r="V20" s="25">
        <f>'TUSD BE'!$V$20*'TUSD BE'!$V$58</f>
        <v>0.20497816294169716</v>
      </c>
      <c r="W20" s="25">
        <f>'TUSD BE'!$W$20*'TUSD BE'!$W$58</f>
        <v>2.1053920117940213E-2</v>
      </c>
      <c r="X20" s="25">
        <f>'TUSD BE'!$X$20*'TUSD BE'!$X$58</f>
        <v>0</v>
      </c>
      <c r="Y20" s="25">
        <f>'TUSD BE'!$Y$20*'TUSD BE'!$Y$58</f>
        <v>0.67693343084482083</v>
      </c>
      <c r="Z20" s="25">
        <f>'TUSD BE'!$Z$20*'TUSD BE'!$Z$58</f>
        <v>0</v>
      </c>
      <c r="AA20" s="25">
        <f>'TUSD BE'!$AA$20*'TUSD BE'!$AA$58</f>
        <v>0</v>
      </c>
      <c r="AB20" s="25">
        <f>SUM($U$20:$AA$20)</f>
        <v>2.4838566861881226</v>
      </c>
      <c r="AC20" s="25">
        <f>'TUSD BE'!$AC$20*'TUSD BE'!$AC$58</f>
        <v>0</v>
      </c>
      <c r="AD20" s="25">
        <f>SUM($AC$20:$AC$20)</f>
        <v>0</v>
      </c>
      <c r="AE20" s="25">
        <f ca="1">$AO$20*$AO$55</f>
        <v>-12.014854239068573</v>
      </c>
      <c r="AF20" s="25">
        <f ca="1">$AP$20*$AP$55</f>
        <v>0</v>
      </c>
      <c r="AG20" s="25">
        <f ca="1">SUM($AE$20:$AF$20)</f>
        <v>-12.014854239068573</v>
      </c>
      <c r="AH20" s="25">
        <f>'TUSD BE'!$AH$20*'TUSD BE'!$AH$58</f>
        <v>1.2970757372072059</v>
      </c>
      <c r="AI20" s="25">
        <f>'TUSD BE'!$AI$20*'TUSD BE'!$AI$58</f>
        <v>4.5749032416315519E-2</v>
      </c>
      <c r="AJ20" s="25">
        <f ca="1">'TUSD BE'!$AJ$20*'TUSD BE'!$AJ$58</f>
        <v>0.17404280058386498</v>
      </c>
      <c r="AK20" s="25">
        <f ca="1">'TUSD BE'!$AK$20*'TUSD BE'!$AK$58</f>
        <v>1.7443959207305262E-2</v>
      </c>
      <c r="AL20" s="25">
        <f ca="1">SUM($AH$20:$AK$20)</f>
        <v>1.5343115294146916</v>
      </c>
      <c r="AM20" s="25">
        <f ca="1">SUMIF($L$4:$AL$4,"SUBTOTAL",$L$20:$AL$20)</f>
        <v>-5.9305240451346402</v>
      </c>
      <c r="AO20" s="30">
        <f ca="1">+'TUSD BE'!$T$20+'TUSD BE'!$AB$20+'TUSD BE'!$AD$20+'TUSD BE'!$AL$20</f>
        <v>407.22033291444632</v>
      </c>
      <c r="AP20" s="30">
        <f ca="1">+'TUSD BE'!$T$20+'TUSD BE'!$AB$20+'TUSD BE'!$AD$20+'TUSD BE'!$AL$20</f>
        <v>407.22033291444632</v>
      </c>
    </row>
    <row r="21" spans="1:42" ht="11.25" customHeight="1" x14ac:dyDescent="0.25">
      <c r="A21" s="119"/>
      <c r="B21" s="119"/>
      <c r="C21" s="119"/>
      <c r="D21" s="28" t="s">
        <v>29</v>
      </c>
      <c r="E21" s="28" t="s">
        <v>25</v>
      </c>
      <c r="F21" s="28" t="s">
        <v>25</v>
      </c>
      <c r="G21" s="21" t="s">
        <v>86</v>
      </c>
      <c r="H21" s="21" t="s">
        <v>80</v>
      </c>
      <c r="I21" s="21">
        <f>'MERCADO TUSD'!$U$18</f>
        <v>4179.51</v>
      </c>
      <c r="J21" s="17"/>
      <c r="L21" s="25">
        <f>'TUSD BE'!$L$21*'TUSD BE'!$L$58</f>
        <v>0</v>
      </c>
      <c r="M21" s="25">
        <f>'TUSD BE'!$M$21*'TUSD BE'!$M$58</f>
        <v>-3.6227088690402693E-4</v>
      </c>
      <c r="N21" s="25">
        <f ca="1">'TUSD BE'!$N$21*'TUSD BE'!$N$58</f>
        <v>3.3725348024094986E-6</v>
      </c>
      <c r="O21" s="25">
        <f>'TUSD BE'!$O$21*'TUSD BE'!$O$58</f>
        <v>0</v>
      </c>
      <c r="P21" s="25">
        <f>'TUSD BE'!$P$21*'TUSD BE'!$P$58</f>
        <v>0</v>
      </c>
      <c r="Q21" s="25">
        <f>'TUSD BE'!$Q$21*'TUSD BE'!$Q$58</f>
        <v>0</v>
      </c>
      <c r="R21" s="25">
        <f>'TUSD BE'!$R$21*'TUSD BE'!$R$58</f>
        <v>0</v>
      </c>
      <c r="S21" s="25">
        <f>'TUSD BE'!$R$21*'TUSD BE'!$S$58</f>
        <v>0</v>
      </c>
      <c r="T21" s="25">
        <f ca="1">SUM($L$21:$S$21)</f>
        <v>-3.5889835210161741E-4</v>
      </c>
      <c r="U21" s="25">
        <f>'TUSD BE'!$U$21*'TUSD BE'!$U$58</f>
        <v>1.5808911722836643</v>
      </c>
      <c r="V21" s="25">
        <f>'TUSD BE'!$V$21*'TUSD BE'!$V$58</f>
        <v>0.20497816294169716</v>
      </c>
      <c r="W21" s="25">
        <f>'TUSD BE'!$W$21*'TUSD BE'!$W$58</f>
        <v>2.1053920117940213E-2</v>
      </c>
      <c r="X21" s="25">
        <f>'TUSD BE'!$X$21*'TUSD BE'!$X$58</f>
        <v>0</v>
      </c>
      <c r="Y21" s="25">
        <f>'TUSD BE'!$Y$21*'TUSD BE'!$Y$58</f>
        <v>0.67693343084482083</v>
      </c>
      <c r="Z21" s="25">
        <f>'TUSD BE'!$Z$21*'TUSD BE'!$Z$58</f>
        <v>0</v>
      </c>
      <c r="AA21" s="25">
        <f>'TUSD BE'!$AA$21*'TUSD BE'!$AA$58</f>
        <v>0</v>
      </c>
      <c r="AB21" s="25">
        <f>SUM($U$21:$AA$21)</f>
        <v>2.4838566861881226</v>
      </c>
      <c r="AC21" s="25">
        <f>'TUSD BE'!$AC$21*'TUSD BE'!$AC$58</f>
        <v>0</v>
      </c>
      <c r="AD21" s="25">
        <f>SUM($AC$21:$AC$21)</f>
        <v>0</v>
      </c>
      <c r="AE21" s="25">
        <f ca="1">$AO$21*$AO$55</f>
        <v>-8.60133946283519</v>
      </c>
      <c r="AF21" s="25">
        <f ca="1">$AP$21*$AP$55</f>
        <v>0</v>
      </c>
      <c r="AG21" s="25">
        <f ca="1">SUM($AE$21:$AF$21)</f>
        <v>-8.60133946283519</v>
      </c>
      <c r="AH21" s="25">
        <f>'TUSD BE'!$AH$21*'TUSD BE'!$AH$58</f>
        <v>1.2970757372072059</v>
      </c>
      <c r="AI21" s="25">
        <f>'TUSD BE'!$AI$21*'TUSD BE'!$AI$58</f>
        <v>4.5749032416315519E-2</v>
      </c>
      <c r="AJ21" s="25">
        <f ca="1">'TUSD BE'!$AJ$21*'TUSD BE'!$AJ$58</f>
        <v>0.17404280058386498</v>
      </c>
      <c r="AK21" s="25">
        <f ca="1">'TUSD BE'!$AK$21*'TUSD BE'!$AK$58</f>
        <v>1.7443959207305262E-2</v>
      </c>
      <c r="AL21" s="25">
        <f ca="1">SUM($AH$21:$AK$21)</f>
        <v>1.5343115294146916</v>
      </c>
      <c r="AM21" s="25">
        <f ca="1">SUMIF($L$4:$AL$4,"SUBTOTAL",$L$21:$AL$21)</f>
        <v>-4.5835301455844775</v>
      </c>
      <c r="AO21" s="30">
        <f ca="1">+'TUSD BE'!$T$21+'TUSD BE'!$AB$21+'TUSD BE'!$AD$21+'TUSD BE'!$AL$21</f>
        <v>291.52582710295502</v>
      </c>
      <c r="AP21" s="30">
        <f ca="1">+'TUSD BE'!$T$21+'TUSD BE'!$AB$21+'TUSD BE'!$AD$21+'TUSD BE'!$AL$21</f>
        <v>291.52582710295502</v>
      </c>
    </row>
    <row r="22" spans="1:42" ht="11.25" customHeight="1" x14ac:dyDescent="0.25">
      <c r="A22" s="119"/>
      <c r="B22" s="119"/>
      <c r="C22" s="119"/>
      <c r="D22" s="28" t="s">
        <v>30</v>
      </c>
      <c r="E22" s="28" t="s">
        <v>25</v>
      </c>
      <c r="F22" s="28" t="s">
        <v>25</v>
      </c>
      <c r="G22" s="21" t="s">
        <v>86</v>
      </c>
      <c r="H22" s="21" t="s">
        <v>80</v>
      </c>
      <c r="I22" s="21">
        <f>'MERCADO TUSD'!$U$19</f>
        <v>8380.1260000000002</v>
      </c>
      <c r="J22" s="17"/>
      <c r="L22" s="25">
        <f>'TUSD BE'!$L$22*'TUSD BE'!$L$58</f>
        <v>0</v>
      </c>
      <c r="M22" s="25">
        <f>'TUSD BE'!$M$22*'TUSD BE'!$M$58</f>
        <v>-3.6227088690402693E-4</v>
      </c>
      <c r="N22" s="25">
        <f ca="1">'TUSD BE'!$N$22*'TUSD BE'!$N$58</f>
        <v>3.3725348024094986E-6</v>
      </c>
      <c r="O22" s="25">
        <f>'TUSD BE'!$O$22*'TUSD BE'!$O$58</f>
        <v>0</v>
      </c>
      <c r="P22" s="25">
        <f>'TUSD BE'!$P$22*'TUSD BE'!$P$58</f>
        <v>0</v>
      </c>
      <c r="Q22" s="25">
        <f>'TUSD BE'!$Q$22*'TUSD BE'!$Q$58</f>
        <v>0</v>
      </c>
      <c r="R22" s="25">
        <f>'TUSD BE'!$R$22*'TUSD BE'!$R$58</f>
        <v>0</v>
      </c>
      <c r="S22" s="25">
        <f>'TUSD BE'!$R$22*'TUSD BE'!$S$58</f>
        <v>0</v>
      </c>
      <c r="T22" s="25">
        <f ca="1">SUM($L$22:$S$22)</f>
        <v>-3.5889835210161741E-4</v>
      </c>
      <c r="U22" s="25">
        <f>'TUSD BE'!$U$22*'TUSD BE'!$U$58</f>
        <v>1.5808911722836643</v>
      </c>
      <c r="V22" s="25">
        <f>'TUSD BE'!$V$22*'TUSD BE'!$V$58</f>
        <v>0.20497816294169716</v>
      </c>
      <c r="W22" s="25">
        <f>'TUSD BE'!$W$22*'TUSD BE'!$W$58</f>
        <v>2.1053920117940213E-2</v>
      </c>
      <c r="X22" s="25">
        <f>'TUSD BE'!$X$22*'TUSD BE'!$X$58</f>
        <v>0</v>
      </c>
      <c r="Y22" s="25">
        <f>'TUSD BE'!$Y$22*'TUSD BE'!$Y$58</f>
        <v>0.67693343084482083</v>
      </c>
      <c r="Z22" s="25">
        <f>'TUSD BE'!$Z$22*'TUSD BE'!$Z$58</f>
        <v>0</v>
      </c>
      <c r="AA22" s="25">
        <f>'TUSD BE'!$AA$22*'TUSD BE'!$AA$58</f>
        <v>0</v>
      </c>
      <c r="AB22" s="25">
        <f>SUM($U$22:$AA$22)</f>
        <v>2.4838566861881226</v>
      </c>
      <c r="AC22" s="25">
        <f>'TUSD BE'!$AC$22*'TUSD BE'!$AC$58</f>
        <v>0</v>
      </c>
      <c r="AD22" s="25">
        <f>SUM($AC$22:$AC$22)</f>
        <v>0</v>
      </c>
      <c r="AE22" s="25">
        <f ca="1">$AO$22*$AO$55</f>
        <v>-8.60133946283519</v>
      </c>
      <c r="AF22" s="25">
        <f ca="1">$AP$22*$AP$55</f>
        <v>0</v>
      </c>
      <c r="AG22" s="25">
        <f ca="1">SUM($AE$22:$AF$22)</f>
        <v>-8.60133946283519</v>
      </c>
      <c r="AH22" s="25">
        <f>'TUSD BE'!$AH$22*'TUSD BE'!$AH$58</f>
        <v>1.2970757372072059</v>
      </c>
      <c r="AI22" s="25">
        <f>'TUSD BE'!$AI$22*'TUSD BE'!$AI$58</f>
        <v>4.5749032416315519E-2</v>
      </c>
      <c r="AJ22" s="25">
        <f ca="1">'TUSD BE'!$AJ$22*'TUSD BE'!$AJ$58</f>
        <v>0.17404280058386498</v>
      </c>
      <c r="AK22" s="25">
        <f ca="1">'TUSD BE'!$AK$22*'TUSD BE'!$AK$58</f>
        <v>1.7443959207305262E-2</v>
      </c>
      <c r="AL22" s="25">
        <f ca="1">SUM($AH$22:$AK$22)</f>
        <v>1.5343115294146916</v>
      </c>
      <c r="AM22" s="25">
        <f ca="1">SUMIF($L$4:$AL$4,"SUBTOTAL",$L$22:$AL$22)</f>
        <v>-4.5835301455844775</v>
      </c>
      <c r="AO22" s="30">
        <f ca="1">+'TUSD BE'!$T$22+'TUSD BE'!$AB$22+'TUSD BE'!$AD$22+'TUSD BE'!$AL$22</f>
        <v>291.52582710295502</v>
      </c>
      <c r="AP22" s="30">
        <f ca="1">+'TUSD BE'!$T$22+'TUSD BE'!$AB$22+'TUSD BE'!$AD$22+'TUSD BE'!$AL$22</f>
        <v>291.52582710295502</v>
      </c>
    </row>
    <row r="23" spans="1:42" ht="11.25" customHeight="1" x14ac:dyDescent="0.25">
      <c r="A23" s="119"/>
      <c r="B23" s="119"/>
      <c r="C23" s="119"/>
      <c r="D23" s="28" t="s">
        <v>31</v>
      </c>
      <c r="E23" s="28" t="s">
        <v>25</v>
      </c>
      <c r="F23" s="28" t="s">
        <v>25</v>
      </c>
      <c r="G23" s="21" t="s">
        <v>86</v>
      </c>
      <c r="H23" s="21" t="s">
        <v>80</v>
      </c>
      <c r="I23" s="21">
        <f>'MERCADO TUSD'!$U$20</f>
        <v>6567.2470000000003</v>
      </c>
      <c r="J23" s="17"/>
      <c r="L23" s="25">
        <f>'TUSD BE'!$L$23*'TUSD BE'!$L$58</f>
        <v>0</v>
      </c>
      <c r="M23" s="25">
        <f>'TUSD BE'!$M$23*'TUSD BE'!$M$58</f>
        <v>-3.6227088690402693E-4</v>
      </c>
      <c r="N23" s="25">
        <f ca="1">'TUSD BE'!$N$23*'TUSD BE'!$N$58</f>
        <v>3.3725348024094986E-6</v>
      </c>
      <c r="O23" s="25">
        <f>'TUSD BE'!$O$23*'TUSD BE'!$O$58</f>
        <v>0</v>
      </c>
      <c r="P23" s="25">
        <f>'TUSD BE'!$P$23*'TUSD BE'!$P$58</f>
        <v>0</v>
      </c>
      <c r="Q23" s="25">
        <f>'TUSD BE'!$Q$23*'TUSD BE'!$Q$58</f>
        <v>0</v>
      </c>
      <c r="R23" s="25">
        <f>'TUSD BE'!$R$23*'TUSD BE'!$R$58</f>
        <v>0</v>
      </c>
      <c r="S23" s="25">
        <f>'TUSD BE'!$R$23*'TUSD BE'!$S$58</f>
        <v>0</v>
      </c>
      <c r="T23" s="25">
        <f ca="1">SUM($L$23:$S$23)</f>
        <v>-3.5889835210161741E-4</v>
      </c>
      <c r="U23" s="25">
        <f>'TUSD BE'!$U$23*'TUSD BE'!$U$58</f>
        <v>1.5808911722836643</v>
      </c>
      <c r="V23" s="25">
        <f>'TUSD BE'!$V$23*'TUSD BE'!$V$58</f>
        <v>0.20497816294169716</v>
      </c>
      <c r="W23" s="25">
        <f>'TUSD BE'!$W$23*'TUSD BE'!$W$58</f>
        <v>2.1053920117940213E-2</v>
      </c>
      <c r="X23" s="25">
        <f>'TUSD BE'!$X$23*'TUSD BE'!$X$58</f>
        <v>0</v>
      </c>
      <c r="Y23" s="25">
        <f>'TUSD BE'!$Y$23*'TUSD BE'!$Y$58</f>
        <v>0.67693343084482083</v>
      </c>
      <c r="Z23" s="25">
        <f>'TUSD BE'!$Z$23*'TUSD BE'!$Z$58</f>
        <v>0</v>
      </c>
      <c r="AA23" s="25">
        <f>'TUSD BE'!$AA$23*'TUSD BE'!$AA$58</f>
        <v>0</v>
      </c>
      <c r="AB23" s="25">
        <f>SUM($U$23:$AA$23)</f>
        <v>2.4838566861881226</v>
      </c>
      <c r="AC23" s="25">
        <f>'TUSD BE'!$AC$23*'TUSD BE'!$AC$58</f>
        <v>0</v>
      </c>
      <c r="AD23" s="25">
        <f>SUM($AC$23:$AC$23)</f>
        <v>0</v>
      </c>
      <c r="AE23" s="25">
        <f ca="1">$AO$23*$AO$55</f>
        <v>-8.60133946283519</v>
      </c>
      <c r="AF23" s="25">
        <f ca="1">$AP$23*$AP$55</f>
        <v>0</v>
      </c>
      <c r="AG23" s="25">
        <f ca="1">SUM($AE$23:$AF$23)</f>
        <v>-8.60133946283519</v>
      </c>
      <c r="AH23" s="25">
        <f>'TUSD BE'!$AH$23*'TUSD BE'!$AH$58</f>
        <v>1.2970757372072059</v>
      </c>
      <c r="AI23" s="25">
        <f>'TUSD BE'!$AI$23*'TUSD BE'!$AI$58</f>
        <v>4.5749032416315519E-2</v>
      </c>
      <c r="AJ23" s="25">
        <f ca="1">'TUSD BE'!$AJ$23*'TUSD BE'!$AJ$58</f>
        <v>0.17404280058386498</v>
      </c>
      <c r="AK23" s="25">
        <f ca="1">'TUSD BE'!$AK$23*'TUSD BE'!$AK$58</f>
        <v>1.7443959207305262E-2</v>
      </c>
      <c r="AL23" s="25">
        <f ca="1">SUM($AH$23:$AK$23)</f>
        <v>1.5343115294146916</v>
      </c>
      <c r="AM23" s="25">
        <f ca="1">SUMIF($L$4:$AL$4,"SUBTOTAL",$L$23:$AL$23)</f>
        <v>-4.5835301455844775</v>
      </c>
      <c r="AO23" s="30">
        <f ca="1">+'TUSD BE'!$T$23+'TUSD BE'!$AB$23+'TUSD BE'!$AD$23+'TUSD BE'!$AL$23</f>
        <v>291.52582710295502</v>
      </c>
      <c r="AP23" s="30">
        <f ca="1">+'TUSD BE'!$T$23+'TUSD BE'!$AB$23+'TUSD BE'!$AD$23+'TUSD BE'!$AL$23</f>
        <v>291.52582710295502</v>
      </c>
    </row>
    <row r="24" spans="1:42" ht="11.25" customHeight="1" x14ac:dyDescent="0.25">
      <c r="A24" s="119"/>
      <c r="B24" s="119"/>
      <c r="C24" s="119"/>
      <c r="D24" s="28" t="s">
        <v>32</v>
      </c>
      <c r="E24" s="28" t="s">
        <v>25</v>
      </c>
      <c r="F24" s="28" t="s">
        <v>25</v>
      </c>
      <c r="G24" s="21" t="s">
        <v>86</v>
      </c>
      <c r="H24" s="21" t="s">
        <v>80</v>
      </c>
      <c r="I24" s="21">
        <f>'MERCADO TUSD'!$U$21</f>
        <v>1878.684</v>
      </c>
      <c r="J24" s="17"/>
      <c r="L24" s="25">
        <f>'TUSD BE'!$L$24*'TUSD BE'!$L$58</f>
        <v>0</v>
      </c>
      <c r="M24" s="25">
        <f>'TUSD BE'!$M$24*'TUSD BE'!$M$58</f>
        <v>-3.6227088690402693E-4</v>
      </c>
      <c r="N24" s="25">
        <f ca="1">'TUSD BE'!$N$24*'TUSD BE'!$N$58</f>
        <v>3.3725348024094986E-6</v>
      </c>
      <c r="O24" s="25">
        <f>'TUSD BE'!$O$24*'TUSD BE'!$O$58</f>
        <v>0</v>
      </c>
      <c r="P24" s="25">
        <f>'TUSD BE'!$P$24*'TUSD BE'!$P$58</f>
        <v>0</v>
      </c>
      <c r="Q24" s="25">
        <f>'TUSD BE'!$Q$24*'TUSD BE'!$Q$58</f>
        <v>0</v>
      </c>
      <c r="R24" s="25">
        <f>'TUSD BE'!$R$24*'TUSD BE'!$R$58</f>
        <v>0</v>
      </c>
      <c r="S24" s="25">
        <f>'TUSD BE'!$R$24*'TUSD BE'!$S$58</f>
        <v>0</v>
      </c>
      <c r="T24" s="25">
        <f ca="1">SUM($L$24:$S$24)</f>
        <v>-3.5889835210161741E-4</v>
      </c>
      <c r="U24" s="25">
        <f>'TUSD BE'!$U$24*'TUSD BE'!$U$58</f>
        <v>1.5808911722836643</v>
      </c>
      <c r="V24" s="25">
        <f>'TUSD BE'!$V$24*'TUSD BE'!$V$58</f>
        <v>0.20497816294169716</v>
      </c>
      <c r="W24" s="25">
        <f>'TUSD BE'!$W$24*'TUSD BE'!$W$58</f>
        <v>2.1053920117940213E-2</v>
      </c>
      <c r="X24" s="25">
        <f>'TUSD BE'!$X$24*'TUSD BE'!$X$58</f>
        <v>0</v>
      </c>
      <c r="Y24" s="25">
        <f>'TUSD BE'!$Y$24*'TUSD BE'!$Y$58</f>
        <v>0.67693343084482083</v>
      </c>
      <c r="Z24" s="25">
        <f>'TUSD BE'!$Z$24*'TUSD BE'!$Z$58</f>
        <v>0</v>
      </c>
      <c r="AA24" s="25">
        <f>'TUSD BE'!$AA$24*'TUSD BE'!$AA$58</f>
        <v>0</v>
      </c>
      <c r="AB24" s="25">
        <f>SUM($U$24:$AA$24)</f>
        <v>2.4838566861881226</v>
      </c>
      <c r="AC24" s="25">
        <f>'TUSD BE'!$AC$24*'TUSD BE'!$AC$58</f>
        <v>0</v>
      </c>
      <c r="AD24" s="25">
        <f>SUM($AC$24:$AC$24)</f>
        <v>0</v>
      </c>
      <c r="AE24" s="25">
        <f ca="1">$AO$24*$AO$55</f>
        <v>-8.60133946283519</v>
      </c>
      <c r="AF24" s="25">
        <f ca="1">$AP$24*$AP$55</f>
        <v>0</v>
      </c>
      <c r="AG24" s="25">
        <f ca="1">SUM($AE$24:$AF$24)</f>
        <v>-8.60133946283519</v>
      </c>
      <c r="AH24" s="25">
        <f>'TUSD BE'!$AH$24*'TUSD BE'!$AH$58</f>
        <v>1.2970757372072059</v>
      </c>
      <c r="AI24" s="25">
        <f>'TUSD BE'!$AI$24*'TUSD BE'!$AI$58</f>
        <v>4.5749032416315519E-2</v>
      </c>
      <c r="AJ24" s="25">
        <f ca="1">'TUSD BE'!$AJ$24*'TUSD BE'!$AJ$58</f>
        <v>0.17404280058386498</v>
      </c>
      <c r="AK24" s="25">
        <f ca="1">'TUSD BE'!$AK$24*'TUSD BE'!$AK$58</f>
        <v>1.7443959207305262E-2</v>
      </c>
      <c r="AL24" s="25">
        <f ca="1">SUM($AH$24:$AK$24)</f>
        <v>1.5343115294146916</v>
      </c>
      <c r="AM24" s="25">
        <f ca="1">SUMIF($L$4:$AL$4,"SUBTOTAL",$L$24:$AL$24)</f>
        <v>-4.5835301455844775</v>
      </c>
      <c r="AO24" s="30">
        <f ca="1">+'TUSD BE'!$T$24+'TUSD BE'!$AB$24+'TUSD BE'!$AD$24+'TUSD BE'!$AL$24</f>
        <v>291.52582710295502</v>
      </c>
      <c r="AP24" s="30">
        <f ca="1">+'TUSD BE'!$T$24+'TUSD BE'!$AB$24+'TUSD BE'!$AD$24+'TUSD BE'!$AL$24</f>
        <v>291.52582710295502</v>
      </c>
    </row>
    <row r="25" spans="1:42" ht="11.25" customHeight="1" x14ac:dyDescent="0.25">
      <c r="A25" s="119"/>
      <c r="B25" s="119" t="s">
        <v>94</v>
      </c>
      <c r="C25" s="119" t="s">
        <v>24</v>
      </c>
      <c r="D25" s="28" t="s">
        <v>24</v>
      </c>
      <c r="E25" s="28" t="s">
        <v>25</v>
      </c>
      <c r="F25" s="28" t="s">
        <v>25</v>
      </c>
      <c r="G25" s="21" t="s">
        <v>86</v>
      </c>
      <c r="H25" s="21" t="s">
        <v>80</v>
      </c>
      <c r="I25" s="21">
        <f>'MERCADO TUSD'!$U$22</f>
        <v>0</v>
      </c>
      <c r="J25" s="17"/>
      <c r="L25" s="25">
        <f>'TUSD BE'!$L$25*'TUSD BE'!$L$58</f>
        <v>0.11645771138848289</v>
      </c>
      <c r="M25" s="25">
        <f>'TUSD BE'!$M$25*'TUSD BE'!$M$58</f>
        <v>-3.6227088690402693E-4</v>
      </c>
      <c r="N25" s="25">
        <f ca="1">'TUSD BE'!$N$25*'TUSD BE'!$N$58</f>
        <v>3.3731689760328287E-6</v>
      </c>
      <c r="O25" s="25">
        <f>'TUSD BE'!$O$25*'TUSD BE'!$O$58</f>
        <v>0</v>
      </c>
      <c r="P25" s="25">
        <f>'TUSD BE'!$P$25*'TUSD BE'!$P$58</f>
        <v>0</v>
      </c>
      <c r="Q25" s="25">
        <f>'TUSD BE'!$Q$25*'TUSD BE'!$Q$58</f>
        <v>1.6601994888322489</v>
      </c>
      <c r="R25" s="25">
        <f>'TUSD BE'!$R$25*'TUSD BE'!$R$58</f>
        <v>0.28986367582831496</v>
      </c>
      <c r="S25" s="25">
        <f>'TUSD BE'!$R$25*'TUSD BE'!$S$58</f>
        <v>0</v>
      </c>
      <c r="T25" s="25">
        <f ca="1">SUM($L$25:$S$25)</f>
        <v>2.0661619783311189</v>
      </c>
      <c r="U25" s="25">
        <f>'TUSD BE'!$U$25*'TUSD BE'!$U$58</f>
        <v>1.5808911722836643</v>
      </c>
      <c r="V25" s="25">
        <f>'TUSD BE'!$V$25*'TUSD BE'!$V$58</f>
        <v>0.20497816294169716</v>
      </c>
      <c r="W25" s="25">
        <f>'TUSD BE'!$W$25*'TUSD BE'!$W$58</f>
        <v>2.1053920117940213E-2</v>
      </c>
      <c r="X25" s="25">
        <f>'TUSD BE'!$X$25*'TUSD BE'!$X$58</f>
        <v>0</v>
      </c>
      <c r="Y25" s="25">
        <f>'TUSD BE'!$Y$25*'TUSD BE'!$Y$58</f>
        <v>0.67693343084482083</v>
      </c>
      <c r="Z25" s="25">
        <f>'TUSD BE'!$Z$25*'TUSD BE'!$Z$58</f>
        <v>0</v>
      </c>
      <c r="AA25" s="25">
        <f>'TUSD BE'!$AA$25*'TUSD BE'!$AA$58</f>
        <v>0</v>
      </c>
      <c r="AB25" s="25">
        <f>SUM($U$25:$AA$25)</f>
        <v>2.4838566861881226</v>
      </c>
      <c r="AC25" s="25">
        <f>'TUSD BE'!$AC$25*'TUSD BE'!$AC$58</f>
        <v>0</v>
      </c>
      <c r="AD25" s="25">
        <f>SUM($AC$25:$AC$25)</f>
        <v>0</v>
      </c>
      <c r="AE25" s="25">
        <f ca="1">$AO$25*$AO$55</f>
        <v>-12.014854239068573</v>
      </c>
      <c r="AF25" s="25">
        <f ca="1">$AP$25*$AP$55</f>
        <v>0</v>
      </c>
      <c r="AG25" s="25">
        <f ca="1">SUM($AE$25:$AF$25)</f>
        <v>-12.014854239068573</v>
      </c>
      <c r="AH25" s="25">
        <f>'TUSD BE'!$AH$25*'TUSD BE'!$AH$58</f>
        <v>1.2970757372072059</v>
      </c>
      <c r="AI25" s="25">
        <f>'TUSD BE'!$AI$25*'TUSD BE'!$AI$58</f>
        <v>4.5749032416315519E-2</v>
      </c>
      <c r="AJ25" s="25">
        <f ca="1">'TUSD BE'!$AJ$25*'TUSD BE'!$AJ$58</f>
        <v>0.17404280058386498</v>
      </c>
      <c r="AK25" s="25">
        <f ca="1">'TUSD BE'!$AK$25*'TUSD BE'!$AK$58</f>
        <v>1.7443959207305262E-2</v>
      </c>
      <c r="AL25" s="25">
        <f ca="1">SUM($AH$25:$AK$25)</f>
        <v>1.5343115294146916</v>
      </c>
      <c r="AM25" s="25">
        <f ca="1">SUMIF($L$4:$AL$4,"SUBTOTAL",$L$25:$AL$25)</f>
        <v>-5.9305240451346402</v>
      </c>
      <c r="AO25" s="30">
        <f ca="1">+'TUSD BE'!$T$25+'TUSD BE'!$AB$25+'TUSD BE'!$AD$25+'TUSD BE'!$AL$25</f>
        <v>407.22033291444632</v>
      </c>
      <c r="AP25" s="30">
        <f ca="1">+'TUSD BE'!$T$25+'TUSD BE'!$AB$25+'TUSD BE'!$AD$25+'TUSD BE'!$AL$25</f>
        <v>407.22033291444632</v>
      </c>
    </row>
    <row r="26" spans="1:42" ht="11.25" customHeight="1" x14ac:dyDescent="0.25">
      <c r="A26" s="119"/>
      <c r="B26" s="119"/>
      <c r="C26" s="119"/>
      <c r="D26" s="28" t="s">
        <v>29</v>
      </c>
      <c r="E26" s="28" t="s">
        <v>25</v>
      </c>
      <c r="F26" s="28" t="s">
        <v>25</v>
      </c>
      <c r="G26" s="21" t="s">
        <v>86</v>
      </c>
      <c r="H26" s="21" t="s">
        <v>80</v>
      </c>
      <c r="I26" s="21">
        <f>'MERCADO TUSD'!$U$23</f>
        <v>0</v>
      </c>
      <c r="J26" s="17"/>
      <c r="L26" s="25">
        <f>'TUSD BE'!$L$26*'TUSD BE'!$L$58</f>
        <v>0</v>
      </c>
      <c r="M26" s="25">
        <f>'TUSD BE'!$M$26*'TUSD BE'!$M$58</f>
        <v>-3.6227088690402693E-4</v>
      </c>
      <c r="N26" s="25">
        <f ca="1">'TUSD BE'!$N$26*'TUSD BE'!$N$58</f>
        <v>3.3725348024094986E-6</v>
      </c>
      <c r="O26" s="25">
        <f>'TUSD BE'!$O$26*'TUSD BE'!$O$58</f>
        <v>0</v>
      </c>
      <c r="P26" s="25">
        <f>'TUSD BE'!$P$26*'TUSD BE'!$P$58</f>
        <v>0</v>
      </c>
      <c r="Q26" s="25">
        <f>'TUSD BE'!$Q$26*'TUSD BE'!$Q$58</f>
        <v>0</v>
      </c>
      <c r="R26" s="25">
        <f>'TUSD BE'!$R$26*'TUSD BE'!$R$58</f>
        <v>0</v>
      </c>
      <c r="S26" s="25">
        <f>'TUSD BE'!$R$26*'TUSD BE'!$S$58</f>
        <v>0</v>
      </c>
      <c r="T26" s="25">
        <f ca="1">SUM($L$26:$S$26)</f>
        <v>-3.5889835210161741E-4</v>
      </c>
      <c r="U26" s="25">
        <f>'TUSD BE'!$U$26*'TUSD BE'!$U$58</f>
        <v>1.5808911722836643</v>
      </c>
      <c r="V26" s="25">
        <f>'TUSD BE'!$V$26*'TUSD BE'!$V$58</f>
        <v>0.20497816294169716</v>
      </c>
      <c r="W26" s="25">
        <f>'TUSD BE'!$W$26*'TUSD BE'!$W$58</f>
        <v>2.1053920117940213E-2</v>
      </c>
      <c r="X26" s="25">
        <f>'TUSD BE'!$X$26*'TUSD BE'!$X$58</f>
        <v>0</v>
      </c>
      <c r="Y26" s="25">
        <f>'TUSD BE'!$Y$26*'TUSD BE'!$Y$58</f>
        <v>0.67693343084482083</v>
      </c>
      <c r="Z26" s="25">
        <f>'TUSD BE'!$Z$26*'TUSD BE'!$Z$58</f>
        <v>0</v>
      </c>
      <c r="AA26" s="25">
        <f>'TUSD BE'!$AA$26*'TUSD BE'!$AA$58</f>
        <v>0</v>
      </c>
      <c r="AB26" s="25">
        <f>SUM($U$26:$AA$26)</f>
        <v>2.4838566861881226</v>
      </c>
      <c r="AC26" s="25">
        <f>'TUSD BE'!$AC$26*'TUSD BE'!$AC$58</f>
        <v>0</v>
      </c>
      <c r="AD26" s="25">
        <f>SUM($AC$26:$AC$26)</f>
        <v>0</v>
      </c>
      <c r="AE26" s="25">
        <f ca="1">$AO$26*$AO$55</f>
        <v>-8.60133946283519</v>
      </c>
      <c r="AF26" s="25">
        <f ca="1">$AP$26*$AP$55</f>
        <v>0</v>
      </c>
      <c r="AG26" s="25">
        <f ca="1">SUM($AE$26:$AF$26)</f>
        <v>-8.60133946283519</v>
      </c>
      <c r="AH26" s="25">
        <f>'TUSD BE'!$AH$26*'TUSD BE'!$AH$58</f>
        <v>1.2970757372072059</v>
      </c>
      <c r="AI26" s="25">
        <f>'TUSD BE'!$AI$26*'TUSD BE'!$AI$58</f>
        <v>4.5749032416315519E-2</v>
      </c>
      <c r="AJ26" s="25">
        <f ca="1">'TUSD BE'!$AJ$26*'TUSD BE'!$AJ$58</f>
        <v>0.17404280058386498</v>
      </c>
      <c r="AK26" s="25">
        <f ca="1">'TUSD BE'!$AK$26*'TUSD BE'!$AK$58</f>
        <v>1.7443959207305262E-2</v>
      </c>
      <c r="AL26" s="25">
        <f ca="1">SUM($AH$26:$AK$26)</f>
        <v>1.5343115294146916</v>
      </c>
      <c r="AM26" s="25">
        <f ca="1">SUMIF($L$4:$AL$4,"SUBTOTAL",$L$26:$AL$26)</f>
        <v>-4.5835301455844775</v>
      </c>
      <c r="AO26" s="30">
        <f ca="1">+'TUSD BE'!$T$26+'TUSD BE'!$AB$26+'TUSD BE'!$AD$26+'TUSD BE'!$AL$26</f>
        <v>291.52582710295502</v>
      </c>
      <c r="AP26" s="30">
        <f ca="1">+'TUSD BE'!$T$26+'TUSD BE'!$AB$26+'TUSD BE'!$AD$26+'TUSD BE'!$AL$26</f>
        <v>291.52582710295502</v>
      </c>
    </row>
    <row r="27" spans="1:42" ht="11.25" customHeight="1" x14ac:dyDescent="0.25">
      <c r="A27" s="119"/>
      <c r="B27" s="119"/>
      <c r="C27" s="119"/>
      <c r="D27" s="28" t="s">
        <v>30</v>
      </c>
      <c r="E27" s="28" t="s">
        <v>25</v>
      </c>
      <c r="F27" s="28" t="s">
        <v>25</v>
      </c>
      <c r="G27" s="21" t="s">
        <v>86</v>
      </c>
      <c r="H27" s="21" t="s">
        <v>80</v>
      </c>
      <c r="I27" s="21">
        <f>'MERCADO TUSD'!$U$24</f>
        <v>0</v>
      </c>
      <c r="J27" s="17"/>
      <c r="L27" s="25">
        <f>'TUSD BE'!$L$27*'TUSD BE'!$L$58</f>
        <v>0</v>
      </c>
      <c r="M27" s="25">
        <f>'TUSD BE'!$M$27*'TUSD BE'!$M$58</f>
        <v>-3.6227088690402693E-4</v>
      </c>
      <c r="N27" s="25">
        <f ca="1">'TUSD BE'!$N$27*'TUSD BE'!$N$58</f>
        <v>3.3725348024094986E-6</v>
      </c>
      <c r="O27" s="25">
        <f>'TUSD BE'!$O$27*'TUSD BE'!$O$58</f>
        <v>0</v>
      </c>
      <c r="P27" s="25">
        <f>'TUSD BE'!$P$27*'TUSD BE'!$P$58</f>
        <v>0</v>
      </c>
      <c r="Q27" s="25">
        <f>'TUSD BE'!$Q$27*'TUSD BE'!$Q$58</f>
        <v>0</v>
      </c>
      <c r="R27" s="25">
        <f>'TUSD BE'!$R$27*'TUSD BE'!$R$58</f>
        <v>0</v>
      </c>
      <c r="S27" s="25">
        <f>'TUSD BE'!$R$27*'TUSD BE'!$S$58</f>
        <v>0</v>
      </c>
      <c r="T27" s="25">
        <f ca="1">SUM($L$27:$S$27)</f>
        <v>-3.5889835210161741E-4</v>
      </c>
      <c r="U27" s="25">
        <f>'TUSD BE'!$U$27*'TUSD BE'!$U$58</f>
        <v>1.5808911722836643</v>
      </c>
      <c r="V27" s="25">
        <f>'TUSD BE'!$V$27*'TUSD BE'!$V$58</f>
        <v>0.20497816294169716</v>
      </c>
      <c r="W27" s="25">
        <f>'TUSD BE'!$W$27*'TUSD BE'!$W$58</f>
        <v>2.1053920117940213E-2</v>
      </c>
      <c r="X27" s="25">
        <f>'TUSD BE'!$X$27*'TUSD BE'!$X$58</f>
        <v>0</v>
      </c>
      <c r="Y27" s="25">
        <f>'TUSD BE'!$Y$27*'TUSD BE'!$Y$58</f>
        <v>0.67693343084482083</v>
      </c>
      <c r="Z27" s="25">
        <f>'TUSD BE'!$Z$27*'TUSD BE'!$Z$58</f>
        <v>0</v>
      </c>
      <c r="AA27" s="25">
        <f>'TUSD BE'!$AA$27*'TUSD BE'!$AA$58</f>
        <v>0</v>
      </c>
      <c r="AB27" s="25">
        <f>SUM($U$27:$AA$27)</f>
        <v>2.4838566861881226</v>
      </c>
      <c r="AC27" s="25">
        <f>'TUSD BE'!$AC$27*'TUSD BE'!$AC$58</f>
        <v>0</v>
      </c>
      <c r="AD27" s="25">
        <f>SUM($AC$27:$AC$27)</f>
        <v>0</v>
      </c>
      <c r="AE27" s="25">
        <f ca="1">$AO$27*$AO$55</f>
        <v>-8.60133946283519</v>
      </c>
      <c r="AF27" s="25">
        <f ca="1">$AP$27*$AP$55</f>
        <v>0</v>
      </c>
      <c r="AG27" s="25">
        <f ca="1">SUM($AE$27:$AF$27)</f>
        <v>-8.60133946283519</v>
      </c>
      <c r="AH27" s="25">
        <f>'TUSD BE'!$AH$27*'TUSD BE'!$AH$58</f>
        <v>1.2970757372072059</v>
      </c>
      <c r="AI27" s="25">
        <f>'TUSD BE'!$AI$27*'TUSD BE'!$AI$58</f>
        <v>4.5749032416315519E-2</v>
      </c>
      <c r="AJ27" s="25">
        <f ca="1">'TUSD BE'!$AJ$27*'TUSD BE'!$AJ$58</f>
        <v>0.17404280058386498</v>
      </c>
      <c r="AK27" s="25">
        <f ca="1">'TUSD BE'!$AK$27*'TUSD BE'!$AK$58</f>
        <v>1.7443959207305262E-2</v>
      </c>
      <c r="AL27" s="25">
        <f ca="1">SUM($AH$27:$AK$27)</f>
        <v>1.5343115294146916</v>
      </c>
      <c r="AM27" s="25">
        <f ca="1">SUMIF($L$4:$AL$4,"SUBTOTAL",$L$27:$AL$27)</f>
        <v>-4.5835301455844775</v>
      </c>
      <c r="AO27" s="30">
        <f ca="1">+'TUSD BE'!$T$27+'TUSD BE'!$AB$27+'TUSD BE'!$AD$27+'TUSD BE'!$AL$27</f>
        <v>291.52582710295502</v>
      </c>
      <c r="AP27" s="30">
        <f ca="1">+'TUSD BE'!$T$27+'TUSD BE'!$AB$27+'TUSD BE'!$AD$27+'TUSD BE'!$AL$27</f>
        <v>291.52582710295502</v>
      </c>
    </row>
    <row r="28" spans="1:42" ht="11.25" customHeight="1" x14ac:dyDescent="0.25">
      <c r="A28" s="119"/>
      <c r="B28" s="119"/>
      <c r="C28" s="119"/>
      <c r="D28" s="28" t="s">
        <v>31</v>
      </c>
      <c r="E28" s="28" t="s">
        <v>25</v>
      </c>
      <c r="F28" s="28" t="s">
        <v>25</v>
      </c>
      <c r="G28" s="21" t="s">
        <v>86</v>
      </c>
      <c r="H28" s="21" t="s">
        <v>80</v>
      </c>
      <c r="I28" s="21">
        <f>'MERCADO TUSD'!$U$25</f>
        <v>0</v>
      </c>
      <c r="J28" s="17"/>
      <c r="L28" s="25">
        <f>'TUSD BE'!$L$28*'TUSD BE'!$L$58</f>
        <v>0</v>
      </c>
      <c r="M28" s="25">
        <f>'TUSD BE'!$M$28*'TUSD BE'!$M$58</f>
        <v>-3.6227088690402693E-4</v>
      </c>
      <c r="N28" s="25">
        <f ca="1">'TUSD BE'!$N$28*'TUSD BE'!$N$58</f>
        <v>3.3725348024094986E-6</v>
      </c>
      <c r="O28" s="25">
        <f>'TUSD BE'!$O$28*'TUSD BE'!$O$58</f>
        <v>0</v>
      </c>
      <c r="P28" s="25">
        <f>'TUSD BE'!$P$28*'TUSD BE'!$P$58</f>
        <v>0</v>
      </c>
      <c r="Q28" s="25">
        <f>'TUSD BE'!$Q$28*'TUSD BE'!$Q$58</f>
        <v>0</v>
      </c>
      <c r="R28" s="25">
        <f>'TUSD BE'!$R$28*'TUSD BE'!$R$58</f>
        <v>0</v>
      </c>
      <c r="S28" s="25">
        <f>'TUSD BE'!$R$28*'TUSD BE'!$S$58</f>
        <v>0</v>
      </c>
      <c r="T28" s="25">
        <f ca="1">SUM($L$28:$S$28)</f>
        <v>-3.5889835210161741E-4</v>
      </c>
      <c r="U28" s="25">
        <f>'TUSD BE'!$U$28*'TUSD BE'!$U$58</f>
        <v>1.5808911722836643</v>
      </c>
      <c r="V28" s="25">
        <f>'TUSD BE'!$V$28*'TUSD BE'!$V$58</f>
        <v>0.20497816294169716</v>
      </c>
      <c r="W28" s="25">
        <f>'TUSD BE'!$W$28*'TUSD BE'!$W$58</f>
        <v>2.1053920117940213E-2</v>
      </c>
      <c r="X28" s="25">
        <f>'TUSD BE'!$X$28*'TUSD BE'!$X$58</f>
        <v>0</v>
      </c>
      <c r="Y28" s="25">
        <f>'TUSD BE'!$Y$28*'TUSD BE'!$Y$58</f>
        <v>0.67693343084482083</v>
      </c>
      <c r="Z28" s="25">
        <f>'TUSD BE'!$Z$28*'TUSD BE'!$Z$58</f>
        <v>0</v>
      </c>
      <c r="AA28" s="25">
        <f>'TUSD BE'!$AA$28*'TUSD BE'!$AA$58</f>
        <v>0</v>
      </c>
      <c r="AB28" s="25">
        <f>SUM($U$28:$AA$28)</f>
        <v>2.4838566861881226</v>
      </c>
      <c r="AC28" s="25">
        <f>'TUSD BE'!$AC$28*'TUSD BE'!$AC$58</f>
        <v>0</v>
      </c>
      <c r="AD28" s="25">
        <f>SUM($AC$28:$AC$28)</f>
        <v>0</v>
      </c>
      <c r="AE28" s="25">
        <f ca="1">$AO$28*$AO$55</f>
        <v>-8.60133946283519</v>
      </c>
      <c r="AF28" s="25">
        <f ca="1">$AP$28*$AP$55</f>
        <v>0</v>
      </c>
      <c r="AG28" s="25">
        <f ca="1">SUM($AE$28:$AF$28)</f>
        <v>-8.60133946283519</v>
      </c>
      <c r="AH28" s="25">
        <f>'TUSD BE'!$AH$28*'TUSD BE'!$AH$58</f>
        <v>1.2970757372072059</v>
      </c>
      <c r="AI28" s="25">
        <f>'TUSD BE'!$AI$28*'TUSD BE'!$AI$58</f>
        <v>4.5749032416315519E-2</v>
      </c>
      <c r="AJ28" s="25">
        <f ca="1">'TUSD BE'!$AJ$28*'TUSD BE'!$AJ$58</f>
        <v>0.17404280058386498</v>
      </c>
      <c r="AK28" s="25">
        <f ca="1">'TUSD BE'!$AK$28*'TUSD BE'!$AK$58</f>
        <v>1.7443959207305262E-2</v>
      </c>
      <c r="AL28" s="25">
        <f ca="1">SUM($AH$28:$AK$28)</f>
        <v>1.5343115294146916</v>
      </c>
      <c r="AM28" s="25">
        <f ca="1">SUMIF($L$4:$AL$4,"SUBTOTAL",$L$28:$AL$28)</f>
        <v>-4.5835301455844775</v>
      </c>
      <c r="AO28" s="30">
        <f ca="1">+'TUSD BE'!$T$28+'TUSD BE'!$AB$28+'TUSD BE'!$AD$28+'TUSD BE'!$AL$28</f>
        <v>291.52582710295502</v>
      </c>
      <c r="AP28" s="30">
        <f ca="1">+'TUSD BE'!$T$28+'TUSD BE'!$AB$28+'TUSD BE'!$AD$28+'TUSD BE'!$AL$28</f>
        <v>291.52582710295502</v>
      </c>
    </row>
    <row r="29" spans="1:42" ht="11.25" customHeight="1" x14ac:dyDescent="0.25">
      <c r="A29" s="119"/>
      <c r="B29" s="119"/>
      <c r="C29" s="119"/>
      <c r="D29" s="28" t="s">
        <v>32</v>
      </c>
      <c r="E29" s="28" t="s">
        <v>25</v>
      </c>
      <c r="F29" s="28" t="s">
        <v>25</v>
      </c>
      <c r="G29" s="21" t="s">
        <v>86</v>
      </c>
      <c r="H29" s="21" t="s">
        <v>80</v>
      </c>
      <c r="I29" s="21">
        <f>'MERCADO TUSD'!$U$26</f>
        <v>0</v>
      </c>
      <c r="J29" s="17"/>
      <c r="L29" s="25">
        <f>'TUSD BE'!$L$29*'TUSD BE'!$L$58</f>
        <v>0</v>
      </c>
      <c r="M29" s="25">
        <f>'TUSD BE'!$M$29*'TUSD BE'!$M$58</f>
        <v>-3.6227088690402693E-4</v>
      </c>
      <c r="N29" s="25">
        <f ca="1">'TUSD BE'!$N$29*'TUSD BE'!$N$58</f>
        <v>3.3725348024094986E-6</v>
      </c>
      <c r="O29" s="25">
        <f>'TUSD BE'!$O$29*'TUSD BE'!$O$58</f>
        <v>0</v>
      </c>
      <c r="P29" s="25">
        <f>'TUSD BE'!$P$29*'TUSD BE'!$P$58</f>
        <v>0</v>
      </c>
      <c r="Q29" s="25">
        <f>'TUSD BE'!$Q$29*'TUSD BE'!$Q$58</f>
        <v>0</v>
      </c>
      <c r="R29" s="25">
        <f>'TUSD BE'!$R$29*'TUSD BE'!$R$58</f>
        <v>0</v>
      </c>
      <c r="S29" s="25">
        <f>'TUSD BE'!$R$29*'TUSD BE'!$S$58</f>
        <v>0</v>
      </c>
      <c r="T29" s="25">
        <f ca="1">SUM($L$29:$S$29)</f>
        <v>-3.5889835210161741E-4</v>
      </c>
      <c r="U29" s="25">
        <f>'TUSD BE'!$U$29*'TUSD BE'!$U$58</f>
        <v>1.5808911722836643</v>
      </c>
      <c r="V29" s="25">
        <f>'TUSD BE'!$V$29*'TUSD BE'!$V$58</f>
        <v>0.20497816294169716</v>
      </c>
      <c r="W29" s="25">
        <f>'TUSD BE'!$W$29*'TUSD BE'!$W$58</f>
        <v>2.1053920117940213E-2</v>
      </c>
      <c r="X29" s="25">
        <f>'TUSD BE'!$X$29*'TUSD BE'!$X$58</f>
        <v>0</v>
      </c>
      <c r="Y29" s="25">
        <f>'TUSD BE'!$Y$29*'TUSD BE'!$Y$58</f>
        <v>0.67693343084482083</v>
      </c>
      <c r="Z29" s="25">
        <f>'TUSD BE'!$Z$29*'TUSD BE'!$Z$58</f>
        <v>0</v>
      </c>
      <c r="AA29" s="25">
        <f>'TUSD BE'!$AA$29*'TUSD BE'!$AA$58</f>
        <v>0</v>
      </c>
      <c r="AB29" s="25">
        <f>SUM($U$29:$AA$29)</f>
        <v>2.4838566861881226</v>
      </c>
      <c r="AC29" s="25">
        <f>'TUSD BE'!$AC$29*'TUSD BE'!$AC$58</f>
        <v>0</v>
      </c>
      <c r="AD29" s="25">
        <f>SUM($AC$29:$AC$29)</f>
        <v>0</v>
      </c>
      <c r="AE29" s="25">
        <f ca="1">$AO$29*$AO$55</f>
        <v>-8.60133946283519</v>
      </c>
      <c r="AF29" s="25">
        <f ca="1">$AP$29*$AP$55</f>
        <v>0</v>
      </c>
      <c r="AG29" s="25">
        <f ca="1">SUM($AE$29:$AF$29)</f>
        <v>-8.60133946283519</v>
      </c>
      <c r="AH29" s="25">
        <f>'TUSD BE'!$AH$29*'TUSD BE'!$AH$58</f>
        <v>1.2970757372072059</v>
      </c>
      <c r="AI29" s="25">
        <f>'TUSD BE'!$AI$29*'TUSD BE'!$AI$58</f>
        <v>4.5749032416315519E-2</v>
      </c>
      <c r="AJ29" s="25">
        <f ca="1">'TUSD BE'!$AJ$29*'TUSD BE'!$AJ$58</f>
        <v>0.17404280058386498</v>
      </c>
      <c r="AK29" s="25">
        <f ca="1">'TUSD BE'!$AK$29*'TUSD BE'!$AK$58</f>
        <v>1.7443959207305262E-2</v>
      </c>
      <c r="AL29" s="25">
        <f ca="1">SUM($AH$29:$AK$29)</f>
        <v>1.5343115294146916</v>
      </c>
      <c r="AM29" s="25">
        <f ca="1">SUMIF($L$4:$AL$4,"SUBTOTAL",$L$29:$AL$29)</f>
        <v>-4.5835301455844775</v>
      </c>
      <c r="AO29" s="30">
        <f ca="1">+'TUSD BE'!$T$29+'TUSD BE'!$AB$29+'TUSD BE'!$AD$29+'TUSD BE'!$AL$29</f>
        <v>291.52582710295502</v>
      </c>
      <c r="AP29" s="30">
        <f ca="1">+'TUSD BE'!$T$29+'TUSD BE'!$AB$29+'TUSD BE'!$AD$29+'TUSD BE'!$AL$29</f>
        <v>291.52582710295502</v>
      </c>
    </row>
    <row r="30" spans="1:42" ht="11.25" customHeight="1" x14ac:dyDescent="0.25">
      <c r="A30" s="119" t="s">
        <v>43</v>
      </c>
      <c r="B30" s="119" t="s">
        <v>33</v>
      </c>
      <c r="C30" s="119" t="s">
        <v>44</v>
      </c>
      <c r="D30" s="119" t="s">
        <v>25</v>
      </c>
      <c r="E30" s="119" t="s">
        <v>25</v>
      </c>
      <c r="F30" s="119" t="s">
        <v>25</v>
      </c>
      <c r="G30" s="21" t="s">
        <v>81</v>
      </c>
      <c r="H30" s="21" t="s">
        <v>80</v>
      </c>
      <c r="I30" s="21">
        <f>'MERCADO TUSD'!$U$27</f>
        <v>0.27200000000000002</v>
      </c>
      <c r="J30" s="17"/>
      <c r="L30" s="25">
        <f>'TUSD BE'!$L$30*'TUSD BE'!$L$58</f>
        <v>0.11645771138848289</v>
      </c>
      <c r="M30" s="25">
        <f>'TUSD BE'!$M$30*'TUSD BE'!$M$58</f>
        <v>-3.6227088690402693E-4</v>
      </c>
      <c r="N30" s="25">
        <f ca="1">'TUSD BE'!$N$30*'TUSD BE'!$N$58</f>
        <v>3.7380213645030186E-6</v>
      </c>
      <c r="O30" s="25">
        <f>'TUSD BE'!$O$30*'TUSD BE'!$O$58</f>
        <v>0</v>
      </c>
      <c r="P30" s="25">
        <f>'TUSD BE'!$P$30*'TUSD BE'!$P$58</f>
        <v>0</v>
      </c>
      <c r="Q30" s="25">
        <f>'TUSD BE'!$Q$30*'TUSD BE'!$Q$58</f>
        <v>1.6601994888322489</v>
      </c>
      <c r="R30" s="25">
        <f>'TUSD BE'!$R$30*'TUSD BE'!$R$58</f>
        <v>0.28986367582831496</v>
      </c>
      <c r="S30" s="25">
        <f>'TUSD BE'!$R$30*'TUSD BE'!$S$58</f>
        <v>0</v>
      </c>
      <c r="T30" s="25">
        <f ca="1">SUM($L$30:$S$30)</f>
        <v>2.0661623431835072</v>
      </c>
      <c r="U30" s="25">
        <f>'TUSD BE'!$U$30*'TUSD BE'!$U$58</f>
        <v>5.6121644173706029</v>
      </c>
      <c r="V30" s="25">
        <f>'TUSD BE'!$V$30*'TUSD BE'!$V$58</f>
        <v>0.72766474291034422</v>
      </c>
      <c r="W30" s="25">
        <f>'TUSD BE'!$W$30*'TUSD BE'!$W$58</f>
        <v>7.4741416418687756E-2</v>
      </c>
      <c r="X30" s="25">
        <f>'TUSD BE'!$X$30*'TUSD BE'!$X$58</f>
        <v>0</v>
      </c>
      <c r="Y30" s="25">
        <f>'TUSD BE'!$Y$30*'TUSD BE'!$Y$58</f>
        <v>2.4031117498143053</v>
      </c>
      <c r="Z30" s="25">
        <f>'TUSD BE'!$Z$30*'TUSD BE'!$Z$58</f>
        <v>0</v>
      </c>
      <c r="AA30" s="25">
        <f>'TUSD BE'!$AA$30*'TUSD BE'!$AA$58</f>
        <v>0</v>
      </c>
      <c r="AB30" s="25">
        <f>SUM($U$30:$AA$30)</f>
        <v>8.8176823265139408</v>
      </c>
      <c r="AC30" s="25">
        <f>'TUSD BE'!$AC$30*'TUSD BE'!$AC$58</f>
        <v>0</v>
      </c>
      <c r="AD30" s="25">
        <f>SUM($AC$30:$AC$30)</f>
        <v>0</v>
      </c>
      <c r="AE30" s="25">
        <f ca="1">$AO$30*$AO$55</f>
        <v>-31.030434135012154</v>
      </c>
      <c r="AF30" s="25">
        <f ca="1">$AP$30*$AP$55</f>
        <v>0</v>
      </c>
      <c r="AG30" s="25">
        <f ca="1">SUM($AE$30:$AF$30)</f>
        <v>-31.030434135012154</v>
      </c>
      <c r="AH30" s="25">
        <f>'TUSD BE'!$AH$30*'TUSD BE'!$AH$58</f>
        <v>1.2970757372072059</v>
      </c>
      <c r="AI30" s="25">
        <f>'TUSD BE'!$AI$30*'TUSD BE'!$AI$58</f>
        <v>4.5749032416315519E-2</v>
      </c>
      <c r="AJ30" s="25">
        <f ca="1">'TUSD BE'!$AJ$30*'TUSD BE'!$AJ$58</f>
        <v>0.17404280058386498</v>
      </c>
      <c r="AK30" s="25">
        <f ca="1">'TUSD BE'!$AK$30*'TUSD BE'!$AK$58</f>
        <v>1.7443959207305262E-2</v>
      </c>
      <c r="AL30" s="25">
        <f ca="1">SUM($AH$30:$AK$30)</f>
        <v>1.5343115294146916</v>
      </c>
      <c r="AM30" s="25">
        <f ca="1">SUMIF($L$4:$AL$4,"SUBTOTAL",$L$30:$AL$30)</f>
        <v>-18.612277935900014</v>
      </c>
      <c r="AO30" s="30">
        <f ca="1">+'TUSD BE'!$T$30+'TUSD BE'!$AB$30+'TUSD BE'!$AD$30+'TUSD BE'!$AL$30</f>
        <v>1051.716772214379</v>
      </c>
      <c r="AP30" s="30">
        <f ca="1">+'TUSD BE'!$T$30+'TUSD BE'!$AB$30+'TUSD BE'!$AD$30+'TUSD BE'!$AL$30</f>
        <v>1051.716772214379</v>
      </c>
    </row>
    <row r="31" spans="1:42" ht="11.25" customHeight="1" x14ac:dyDescent="0.25">
      <c r="A31" s="119"/>
      <c r="B31" s="119"/>
      <c r="C31" s="119"/>
      <c r="D31" s="119"/>
      <c r="E31" s="119"/>
      <c r="F31" s="119"/>
      <c r="G31" s="21" t="s">
        <v>91</v>
      </c>
      <c r="H31" s="21" t="s">
        <v>80</v>
      </c>
      <c r="I31" s="21">
        <f>'MERCADO TUSD'!$U$28</f>
        <v>0.20100000000000001</v>
      </c>
      <c r="J31" s="17"/>
      <c r="L31" s="25">
        <f>'TUSD BE'!$L$31*'TUSD BE'!$L$58</f>
        <v>0.11645771138848289</v>
      </c>
      <c r="M31" s="25">
        <f>'TUSD BE'!$M$31*'TUSD BE'!$M$58</f>
        <v>-3.6227088690402693E-4</v>
      </c>
      <c r="N31" s="25">
        <f ca="1">'TUSD BE'!$N$31*'TUSD BE'!$N$58</f>
        <v>3.5348486241022113E-6</v>
      </c>
      <c r="O31" s="25">
        <f>'TUSD BE'!$O$31*'TUSD BE'!$O$58</f>
        <v>0</v>
      </c>
      <c r="P31" s="25">
        <f>'TUSD BE'!$P$31*'TUSD BE'!$P$58</f>
        <v>0</v>
      </c>
      <c r="Q31" s="25">
        <f>'TUSD BE'!$Q$31*'TUSD BE'!$Q$58</f>
        <v>1.6601994888322489</v>
      </c>
      <c r="R31" s="25">
        <f>'TUSD BE'!$R$31*'TUSD BE'!$R$58</f>
        <v>0.28986367582831496</v>
      </c>
      <c r="S31" s="25">
        <f>'TUSD BE'!$R$31*'TUSD BE'!$S$58</f>
        <v>0</v>
      </c>
      <c r="T31" s="25">
        <f ca="1">SUM($L$31:$S$31)</f>
        <v>2.0661621400107668</v>
      </c>
      <c r="U31" s="25">
        <f>'TUSD BE'!$U$31*'TUSD BE'!$U$58</f>
        <v>3.3672971388951729</v>
      </c>
      <c r="V31" s="25">
        <f>'TUSD BE'!$V$31*'TUSD BE'!$V$58</f>
        <v>0.43660019105623793</v>
      </c>
      <c r="W31" s="25">
        <f>'TUSD BE'!$W$31*'TUSD BE'!$W$58</f>
        <v>4.484439901780541E-2</v>
      </c>
      <c r="X31" s="25">
        <f>'TUSD BE'!$X$31*'TUSD BE'!$X$58</f>
        <v>0</v>
      </c>
      <c r="Y31" s="25">
        <f>'TUSD BE'!$Y$31*'TUSD BE'!$Y$58</f>
        <v>1.4418662780146598</v>
      </c>
      <c r="Z31" s="25">
        <f>'TUSD BE'!$Z$31*'TUSD BE'!$Z$58</f>
        <v>0</v>
      </c>
      <c r="AA31" s="25">
        <f>'TUSD BE'!$AA$31*'TUSD BE'!$AA$58</f>
        <v>0</v>
      </c>
      <c r="AB31" s="25">
        <f>SUM($U$31:$AA$31)</f>
        <v>5.2906080069838755</v>
      </c>
      <c r="AC31" s="25">
        <f>'TUSD BE'!$AC$31*'TUSD BE'!$AC$58</f>
        <v>0</v>
      </c>
      <c r="AD31" s="25">
        <f>SUM($AC$31:$AC$31)</f>
        <v>0</v>
      </c>
      <c r="AE31" s="25">
        <f ca="1">$AO$31*$AO$55</f>
        <v>-20.441363959278117</v>
      </c>
      <c r="AF31" s="25">
        <f ca="1">$AP$31*$AP$55</f>
        <v>0</v>
      </c>
      <c r="AG31" s="25">
        <f ca="1">SUM($AE$31:$AF$31)</f>
        <v>-20.441363959278117</v>
      </c>
      <c r="AH31" s="25">
        <f>'TUSD BE'!$AH$31*'TUSD BE'!$AH$58</f>
        <v>1.2970757372072059</v>
      </c>
      <c r="AI31" s="25">
        <f>'TUSD BE'!$AI$31*'TUSD BE'!$AI$58</f>
        <v>4.5749032416315519E-2</v>
      </c>
      <c r="AJ31" s="25">
        <f ca="1">'TUSD BE'!$AJ$31*'TUSD BE'!$AJ$58</f>
        <v>0.17404280058386498</v>
      </c>
      <c r="AK31" s="25">
        <f ca="1">'TUSD BE'!$AK$31*'TUSD BE'!$AK$58</f>
        <v>1.7443959207305262E-2</v>
      </c>
      <c r="AL31" s="25">
        <f ca="1">SUM($AH$31:$AK$31)</f>
        <v>1.5343115294146916</v>
      </c>
      <c r="AM31" s="25">
        <f ca="1">SUMIF($L$4:$AL$4,"SUBTOTAL",$L$31:$AL$31)</f>
        <v>-11.550282282868784</v>
      </c>
      <c r="AO31" s="30">
        <f ca="1">+'TUSD BE'!$T$31+'TUSD BE'!$AB$31+'TUSD BE'!$AD$31+'TUSD BE'!$AL$31</f>
        <v>692.82064277193524</v>
      </c>
      <c r="AP31" s="30">
        <f ca="1">+'TUSD BE'!$T$31+'TUSD BE'!$AB$31+'TUSD BE'!$AD$31+'TUSD BE'!$AL$31</f>
        <v>692.82064277193524</v>
      </c>
    </row>
    <row r="32" spans="1:42" ht="11.25" customHeight="1" x14ac:dyDescent="0.25">
      <c r="A32" s="119"/>
      <c r="B32" s="119"/>
      <c r="C32" s="119"/>
      <c r="D32" s="119"/>
      <c r="E32" s="119"/>
      <c r="F32" s="119"/>
      <c r="G32" s="21" t="s">
        <v>82</v>
      </c>
      <c r="H32" s="21" t="s">
        <v>80</v>
      </c>
      <c r="I32" s="21">
        <f>'MERCADO TUSD'!$U$29</f>
        <v>5.4039999999999999</v>
      </c>
      <c r="J32" s="17"/>
      <c r="L32" s="25">
        <f>'TUSD BE'!$L$32*'TUSD BE'!$L$58</f>
        <v>0.11645771138848289</v>
      </c>
      <c r="M32" s="25">
        <f>'TUSD BE'!$M$32*'TUSD BE'!$M$58</f>
        <v>-3.6227088690402693E-4</v>
      </c>
      <c r="N32" s="25">
        <f ca="1">'TUSD BE'!$N$32*'TUSD BE'!$N$58</f>
        <v>3.3316759471187653E-6</v>
      </c>
      <c r="O32" s="25">
        <f>'TUSD BE'!$O$32*'TUSD BE'!$O$58</f>
        <v>0</v>
      </c>
      <c r="P32" s="25">
        <f>'TUSD BE'!$P$32*'TUSD BE'!$P$58</f>
        <v>0</v>
      </c>
      <c r="Q32" s="25">
        <f>'TUSD BE'!$Q$32*'TUSD BE'!$Q$58</f>
        <v>1.6601994888322489</v>
      </c>
      <c r="R32" s="25">
        <f>'TUSD BE'!$R$32*'TUSD BE'!$R$58</f>
        <v>0.28986367582831496</v>
      </c>
      <c r="S32" s="25">
        <f>'TUSD BE'!$R$32*'TUSD BE'!$S$58</f>
        <v>0</v>
      </c>
      <c r="T32" s="25">
        <f ca="1">SUM($L$32:$S$32)</f>
        <v>2.0661619368380899</v>
      </c>
      <c r="U32" s="25">
        <f>'TUSD BE'!$U$32*'TUSD BE'!$U$58</f>
        <v>1.1224298604197416</v>
      </c>
      <c r="V32" s="25">
        <f>'TUSD BE'!$V$32*'TUSD BE'!$V$58</f>
        <v>0.14553563920213175</v>
      </c>
      <c r="W32" s="25">
        <f>'TUSD BE'!$W$32*'TUSD BE'!$W$58</f>
        <v>1.4947381616923079E-2</v>
      </c>
      <c r="X32" s="25">
        <f>'TUSD BE'!$X$32*'TUSD BE'!$X$58</f>
        <v>0</v>
      </c>
      <c r="Y32" s="25">
        <f>'TUSD BE'!$Y$32*'TUSD BE'!$Y$58</f>
        <v>0.48062273589982279</v>
      </c>
      <c r="Z32" s="25">
        <f>'TUSD BE'!$Z$32*'TUSD BE'!$Z$58</f>
        <v>0</v>
      </c>
      <c r="AA32" s="25">
        <f>'TUSD BE'!$AA$32*'TUSD BE'!$AA$58</f>
        <v>0</v>
      </c>
      <c r="AB32" s="25">
        <f>SUM($U$32:$AA$32)</f>
        <v>1.7635356171386192</v>
      </c>
      <c r="AC32" s="25">
        <f>'TUSD BE'!$AC$32*'TUSD BE'!$AC$58</f>
        <v>0</v>
      </c>
      <c r="AD32" s="25">
        <f>SUM($AC$32:$AC$32)</f>
        <v>0</v>
      </c>
      <c r="AE32" s="25">
        <f ca="1">$AO$32*$AO$55</f>
        <v>-9.8522972188327298</v>
      </c>
      <c r="AF32" s="25">
        <f ca="1">$AP$32*$AP$55</f>
        <v>0</v>
      </c>
      <c r="AG32" s="25">
        <f ca="1">SUM($AE$32:$AF$32)</f>
        <v>-9.8522972188327298</v>
      </c>
      <c r="AH32" s="25">
        <f>'TUSD BE'!$AH$32*'TUSD BE'!$AH$58</f>
        <v>1.2970757372072059</v>
      </c>
      <c r="AI32" s="25">
        <f>'TUSD BE'!$AI$32*'TUSD BE'!$AI$58</f>
        <v>4.5749032416315519E-2</v>
      </c>
      <c r="AJ32" s="25">
        <f ca="1">'TUSD BE'!$AJ$32*'TUSD BE'!$AJ$58</f>
        <v>0.17404280058386498</v>
      </c>
      <c r="AK32" s="25">
        <f ca="1">'TUSD BE'!$AK$32*'TUSD BE'!$AK$58</f>
        <v>1.7443959207305262E-2</v>
      </c>
      <c r="AL32" s="25">
        <f ca="1">SUM($AH$32:$AK$32)</f>
        <v>1.5343115294146916</v>
      </c>
      <c r="AM32" s="25">
        <f ca="1">SUMIF($L$4:$AL$4,"SUBTOTAL",$L$32:$AL$32)</f>
        <v>-4.4882881354413291</v>
      </c>
      <c r="AO32" s="30">
        <f ca="1">+'TUSD BE'!$T$32+'TUSD BE'!$AB$32+'TUSD BE'!$AD$32+'TUSD BE'!$AL$32</f>
        <v>333.92462976198073</v>
      </c>
      <c r="AP32" s="30">
        <f ca="1">+'TUSD BE'!$T$32+'TUSD BE'!$AB$32+'TUSD BE'!$AD$32+'TUSD BE'!$AL$32</f>
        <v>333.92462976198073</v>
      </c>
    </row>
    <row r="33" spans="1:42" ht="11.25" customHeight="1" x14ac:dyDescent="0.25">
      <c r="A33" s="119"/>
      <c r="B33" s="28" t="s">
        <v>23</v>
      </c>
      <c r="C33" s="28" t="s">
        <v>44</v>
      </c>
      <c r="D33" s="28" t="s">
        <v>25</v>
      </c>
      <c r="E33" s="28" t="s">
        <v>25</v>
      </c>
      <c r="F33" s="28" t="s">
        <v>25</v>
      </c>
      <c r="G33" s="21" t="s">
        <v>86</v>
      </c>
      <c r="H33" s="21" t="s">
        <v>80</v>
      </c>
      <c r="I33" s="21">
        <f>'MERCADO TUSD'!$U$30</f>
        <v>183438.26899999997</v>
      </c>
      <c r="J33" s="17"/>
      <c r="L33" s="25">
        <f>'TUSD BE'!$L$33*'TUSD BE'!$L$58</f>
        <v>0.11645771138848289</v>
      </c>
      <c r="M33" s="25">
        <f>'TUSD BE'!$M$33*'TUSD BE'!$M$58</f>
        <v>-3.6227088690402693E-4</v>
      </c>
      <c r="N33" s="25">
        <f ca="1">'TUSD BE'!$N$33*'TUSD BE'!$N$58</f>
        <v>3.3731689760328287E-6</v>
      </c>
      <c r="O33" s="25">
        <f>'TUSD BE'!$O$33*'TUSD BE'!$O$58</f>
        <v>0</v>
      </c>
      <c r="P33" s="25">
        <f>'TUSD BE'!$P$33*'TUSD BE'!$P$58</f>
        <v>0</v>
      </c>
      <c r="Q33" s="25">
        <f>'TUSD BE'!$Q$33*'TUSD BE'!$Q$58</f>
        <v>1.6601994888322489</v>
      </c>
      <c r="R33" s="25">
        <f>'TUSD BE'!$R$33*'TUSD BE'!$R$58</f>
        <v>0.28986367582831496</v>
      </c>
      <c r="S33" s="25">
        <f>'TUSD BE'!$R$33*'TUSD BE'!$S$58</f>
        <v>0</v>
      </c>
      <c r="T33" s="25">
        <f ca="1">SUM($L$33:$S$33)</f>
        <v>2.0661619783311189</v>
      </c>
      <c r="U33" s="25">
        <f>'TUSD BE'!$U$33*'TUSD BE'!$U$58</f>
        <v>1.5808911722836643</v>
      </c>
      <c r="V33" s="25">
        <f>'TUSD BE'!$V$33*'TUSD BE'!$V$58</f>
        <v>0.20497816294169716</v>
      </c>
      <c r="W33" s="25">
        <f>'TUSD BE'!$W$33*'TUSD BE'!$W$58</f>
        <v>2.1053920117940213E-2</v>
      </c>
      <c r="X33" s="25">
        <f>'TUSD BE'!$X$33*'TUSD BE'!$X$58</f>
        <v>0</v>
      </c>
      <c r="Y33" s="25">
        <f>'TUSD BE'!$Y$33*'TUSD BE'!$Y$58</f>
        <v>0.67693343084482083</v>
      </c>
      <c r="Z33" s="25">
        <f>'TUSD BE'!$Z$33*'TUSD BE'!$Z$58</f>
        <v>0</v>
      </c>
      <c r="AA33" s="25">
        <f>'TUSD BE'!$AA$33*'TUSD BE'!$AA$58</f>
        <v>0</v>
      </c>
      <c r="AB33" s="25">
        <f>SUM($U$33:$AA$33)</f>
        <v>2.4838566861881226</v>
      </c>
      <c r="AC33" s="25">
        <f>'TUSD BE'!$AC$33*'TUSD BE'!$AC$58</f>
        <v>0</v>
      </c>
      <c r="AD33" s="25">
        <f>SUM($AC$33:$AC$33)</f>
        <v>0</v>
      </c>
      <c r="AE33" s="25">
        <f ca="1">$AO$33*$AO$55</f>
        <v>-12.014854239068573</v>
      </c>
      <c r="AF33" s="25">
        <f ca="1">$AP$33*$AP$55</f>
        <v>0</v>
      </c>
      <c r="AG33" s="25">
        <f ca="1">SUM($AE$33:$AF$33)</f>
        <v>-12.014854239068573</v>
      </c>
      <c r="AH33" s="25">
        <f>'TUSD BE'!$AH$33*'TUSD BE'!$AH$58</f>
        <v>1.2970757372072059</v>
      </c>
      <c r="AI33" s="25">
        <f>'TUSD BE'!$AI$33*'TUSD BE'!$AI$58</f>
        <v>4.5749032416315519E-2</v>
      </c>
      <c r="AJ33" s="25">
        <f ca="1">'TUSD BE'!$AJ$33*'TUSD BE'!$AJ$58</f>
        <v>0.17404280058386498</v>
      </c>
      <c r="AK33" s="25">
        <f ca="1">'TUSD BE'!$AK$33*'TUSD BE'!$AK$58</f>
        <v>1.7443959207305262E-2</v>
      </c>
      <c r="AL33" s="25">
        <f ca="1">SUM($AH$33:$AK$33)</f>
        <v>1.5343115294146916</v>
      </c>
      <c r="AM33" s="25">
        <f ca="1">SUMIF($L$4:$AL$4,"SUBTOTAL",$L$33:$AL$33)</f>
        <v>-5.9305240451346402</v>
      </c>
      <c r="AO33" s="30">
        <f ca="1">+'TUSD BE'!$T$33+'TUSD BE'!$AB$33+'TUSD BE'!$AD$33+'TUSD BE'!$AL$33</f>
        <v>407.22033291444632</v>
      </c>
      <c r="AP33" s="30">
        <f ca="1">+'TUSD BE'!$T$33+'TUSD BE'!$AB$33+'TUSD BE'!$AD$33+'TUSD BE'!$AL$33</f>
        <v>407.22033291444632</v>
      </c>
    </row>
    <row r="34" spans="1:42" ht="11.25" customHeight="1" x14ac:dyDescent="0.25">
      <c r="A34" s="119"/>
      <c r="B34" s="119" t="s">
        <v>33</v>
      </c>
      <c r="C34" s="119" t="s">
        <v>44</v>
      </c>
      <c r="D34" s="119" t="s">
        <v>95</v>
      </c>
      <c r="E34" s="119" t="s">
        <v>25</v>
      </c>
      <c r="F34" s="119" t="s">
        <v>25</v>
      </c>
      <c r="G34" s="21" t="s">
        <v>81</v>
      </c>
      <c r="H34" s="21" t="s">
        <v>80</v>
      </c>
      <c r="I34" s="21">
        <f>'MERCADO TUSD'!$U$31</f>
        <v>0</v>
      </c>
      <c r="J34" s="17"/>
      <c r="L34" s="25">
        <f>'TUSD BE'!$L$34*'TUSD BE'!$L$58</f>
        <v>0.11645771138848289</v>
      </c>
      <c r="M34" s="25">
        <f>'TUSD BE'!$M$34*'TUSD BE'!$M$58</f>
        <v>-3.6227088690402693E-4</v>
      </c>
      <c r="N34" s="25">
        <f ca="1">'TUSD BE'!$N$34*'TUSD BE'!$N$58</f>
        <v>3.7380213645030186E-6</v>
      </c>
      <c r="O34" s="25">
        <f>'TUSD BE'!$O$34*'TUSD BE'!$O$58</f>
        <v>0</v>
      </c>
      <c r="P34" s="25">
        <f>'TUSD BE'!$P$34*'TUSD BE'!$P$58</f>
        <v>0</v>
      </c>
      <c r="Q34" s="25">
        <f>'TUSD BE'!$Q$34*'TUSD BE'!$Q$58</f>
        <v>1.6601994888322489</v>
      </c>
      <c r="R34" s="25">
        <f>'TUSD BE'!$R$34*'TUSD BE'!$R$58</f>
        <v>0.28986367582831496</v>
      </c>
      <c r="S34" s="25">
        <f>'TUSD BE'!$R$34*'TUSD BE'!$S$58</f>
        <v>0</v>
      </c>
      <c r="T34" s="25">
        <f ca="1">SUM($L$34:$S$34)</f>
        <v>2.0661623431835072</v>
      </c>
      <c r="U34" s="25">
        <f>'TUSD BE'!$U$34*'TUSD BE'!$U$58</f>
        <v>5.6121644173706029</v>
      </c>
      <c r="V34" s="25">
        <f>'TUSD BE'!$V$34*'TUSD BE'!$V$58</f>
        <v>0.72766474291034422</v>
      </c>
      <c r="W34" s="25">
        <f>'TUSD BE'!$W$34*'TUSD BE'!$W$58</f>
        <v>7.4741416418687756E-2</v>
      </c>
      <c r="X34" s="25">
        <f>'TUSD BE'!$X$34*'TUSD BE'!$X$58</f>
        <v>0</v>
      </c>
      <c r="Y34" s="25">
        <f>'TUSD BE'!$Y$34*'TUSD BE'!$Y$58</f>
        <v>2.4031117498143053</v>
      </c>
      <c r="Z34" s="25">
        <f>'TUSD BE'!$Z$34*'TUSD BE'!$Z$58</f>
        <v>0</v>
      </c>
      <c r="AA34" s="25">
        <f>'TUSD BE'!$AA$34*'TUSD BE'!$AA$58</f>
        <v>0</v>
      </c>
      <c r="AB34" s="25">
        <f>SUM($U$34:$AA$34)</f>
        <v>8.8176823265139408</v>
      </c>
      <c r="AC34" s="25">
        <f>'TUSD BE'!$AC$34*'TUSD BE'!$AC$58</f>
        <v>0</v>
      </c>
      <c r="AD34" s="25">
        <f>SUM($AC$34:$AC$34)</f>
        <v>0</v>
      </c>
      <c r="AE34" s="25">
        <f ca="1">$AO$34*$AO$55</f>
        <v>-31.030434135012154</v>
      </c>
      <c r="AF34" s="25">
        <f ca="1">$AP$34*$AP$55</f>
        <v>0</v>
      </c>
      <c r="AG34" s="25">
        <f ca="1">SUM($AE$34:$AF$34)</f>
        <v>-31.030434135012154</v>
      </c>
      <c r="AH34" s="25">
        <f>'TUSD BE'!$AH$34*'TUSD BE'!$AH$58</f>
        <v>1.2970757372072059</v>
      </c>
      <c r="AI34" s="25">
        <f>'TUSD BE'!$AI$34*'TUSD BE'!$AI$58</f>
        <v>4.5749032416315519E-2</v>
      </c>
      <c r="AJ34" s="25">
        <f ca="1">'TUSD BE'!$AJ$34*'TUSD BE'!$AJ$58</f>
        <v>0.17404280058386498</v>
      </c>
      <c r="AK34" s="25">
        <f ca="1">'TUSD BE'!$AK$34*'TUSD BE'!$AK$58</f>
        <v>1.7443959207305262E-2</v>
      </c>
      <c r="AL34" s="25">
        <f ca="1">SUM($AH$34:$AK$34)</f>
        <v>1.5343115294146916</v>
      </c>
      <c r="AM34" s="25">
        <f ca="1">SUMIF($L$4:$AL$4,"SUBTOTAL",$L$34:$AL$34)</f>
        <v>-18.612277935900014</v>
      </c>
      <c r="AO34" s="30">
        <f ca="1">+'TUSD BE'!$T$34+'TUSD BE'!$AB$34+'TUSD BE'!$AD$34+'TUSD BE'!$AL$34</f>
        <v>1051.716772214379</v>
      </c>
      <c r="AP34" s="30">
        <f ca="1">+'TUSD BE'!$T$34+'TUSD BE'!$AB$34+'TUSD BE'!$AD$34+'TUSD BE'!$AL$34</f>
        <v>1051.716772214379</v>
      </c>
    </row>
    <row r="35" spans="1:42" ht="11.25" customHeight="1" x14ac:dyDescent="0.25">
      <c r="A35" s="119"/>
      <c r="B35" s="119"/>
      <c r="C35" s="119"/>
      <c r="D35" s="119"/>
      <c r="E35" s="119"/>
      <c r="F35" s="119"/>
      <c r="G35" s="21" t="s">
        <v>91</v>
      </c>
      <c r="H35" s="21" t="s">
        <v>80</v>
      </c>
      <c r="I35" s="21">
        <f>'MERCADO TUSD'!$U$32</f>
        <v>0</v>
      </c>
      <c r="J35" s="17"/>
      <c r="L35" s="25">
        <f>'TUSD BE'!$L$35*'TUSD BE'!$L$58</f>
        <v>0.11645771138848289</v>
      </c>
      <c r="M35" s="25">
        <f>'TUSD BE'!$M$35*'TUSD BE'!$M$58</f>
        <v>-3.6227088690402693E-4</v>
      </c>
      <c r="N35" s="25">
        <f ca="1">'TUSD BE'!$N$35*'TUSD BE'!$N$58</f>
        <v>3.5348486241022113E-6</v>
      </c>
      <c r="O35" s="25">
        <f>'TUSD BE'!$O$35*'TUSD BE'!$O$58</f>
        <v>0</v>
      </c>
      <c r="P35" s="25">
        <f>'TUSD BE'!$P$35*'TUSD BE'!$P$58</f>
        <v>0</v>
      </c>
      <c r="Q35" s="25">
        <f>'TUSD BE'!$Q$35*'TUSD BE'!$Q$58</f>
        <v>1.6601994888322489</v>
      </c>
      <c r="R35" s="25">
        <f>'TUSD BE'!$R$35*'TUSD BE'!$R$58</f>
        <v>0.28986367582831496</v>
      </c>
      <c r="S35" s="25">
        <f>'TUSD BE'!$R$35*'TUSD BE'!$S$58</f>
        <v>0</v>
      </c>
      <c r="T35" s="25">
        <f ca="1">SUM($L$35:$S$35)</f>
        <v>2.0661621400107668</v>
      </c>
      <c r="U35" s="25">
        <f>'TUSD BE'!$U$35*'TUSD BE'!$U$58</f>
        <v>3.3672971388951729</v>
      </c>
      <c r="V35" s="25">
        <f>'TUSD BE'!$V$35*'TUSD BE'!$V$58</f>
        <v>0.43660019105623793</v>
      </c>
      <c r="W35" s="25">
        <f>'TUSD BE'!$W$35*'TUSD BE'!$W$58</f>
        <v>4.484439901780541E-2</v>
      </c>
      <c r="X35" s="25">
        <f>'TUSD BE'!$X$35*'TUSD BE'!$X$58</f>
        <v>0</v>
      </c>
      <c r="Y35" s="25">
        <f>'TUSD BE'!$Y$35*'TUSD BE'!$Y$58</f>
        <v>1.4418662780146598</v>
      </c>
      <c r="Z35" s="25">
        <f>'TUSD BE'!$Z$35*'TUSD BE'!$Z$58</f>
        <v>0</v>
      </c>
      <c r="AA35" s="25">
        <f>'TUSD BE'!$AA$35*'TUSD BE'!$AA$58</f>
        <v>0</v>
      </c>
      <c r="AB35" s="25">
        <f>SUM($U$35:$AA$35)</f>
        <v>5.2906080069838755</v>
      </c>
      <c r="AC35" s="25">
        <f>'TUSD BE'!$AC$35*'TUSD BE'!$AC$58</f>
        <v>0</v>
      </c>
      <c r="AD35" s="25">
        <f>SUM($AC$35:$AC$35)</f>
        <v>0</v>
      </c>
      <c r="AE35" s="25">
        <f ca="1">$AO$35*$AO$55</f>
        <v>-20.441363959278117</v>
      </c>
      <c r="AF35" s="25">
        <f ca="1">$AP$35*$AP$55</f>
        <v>0</v>
      </c>
      <c r="AG35" s="25">
        <f ca="1">SUM($AE$35:$AF$35)</f>
        <v>-20.441363959278117</v>
      </c>
      <c r="AH35" s="25">
        <f>'TUSD BE'!$AH$35*'TUSD BE'!$AH$58</f>
        <v>1.2970757372072059</v>
      </c>
      <c r="AI35" s="25">
        <f>'TUSD BE'!$AI$35*'TUSD BE'!$AI$58</f>
        <v>4.5749032416315519E-2</v>
      </c>
      <c r="AJ35" s="25">
        <f ca="1">'TUSD BE'!$AJ$35*'TUSD BE'!$AJ$58</f>
        <v>0.17404280058386498</v>
      </c>
      <c r="AK35" s="25">
        <f ca="1">'TUSD BE'!$AK$35*'TUSD BE'!$AK$58</f>
        <v>1.7443959207305262E-2</v>
      </c>
      <c r="AL35" s="25">
        <f ca="1">SUM($AH$35:$AK$35)</f>
        <v>1.5343115294146916</v>
      </c>
      <c r="AM35" s="25">
        <f ca="1">SUMIF($L$4:$AL$4,"SUBTOTAL",$L$35:$AL$35)</f>
        <v>-11.550282282868784</v>
      </c>
      <c r="AO35" s="30">
        <f ca="1">+'TUSD BE'!$T$35+'TUSD BE'!$AB$35+'TUSD BE'!$AD$35+'TUSD BE'!$AL$35</f>
        <v>692.82064277193524</v>
      </c>
      <c r="AP35" s="30">
        <f ca="1">+'TUSD BE'!$T$35+'TUSD BE'!$AB$35+'TUSD BE'!$AD$35+'TUSD BE'!$AL$35</f>
        <v>692.82064277193524</v>
      </c>
    </row>
    <row r="36" spans="1:42" ht="11.25" customHeight="1" x14ac:dyDescent="0.25">
      <c r="A36" s="119"/>
      <c r="B36" s="119"/>
      <c r="C36" s="119"/>
      <c r="D36" s="119"/>
      <c r="E36" s="119"/>
      <c r="F36" s="119"/>
      <c r="G36" s="21" t="s">
        <v>82</v>
      </c>
      <c r="H36" s="21" t="s">
        <v>80</v>
      </c>
      <c r="I36" s="21">
        <f>'MERCADO TUSD'!$U$33</f>
        <v>0</v>
      </c>
      <c r="J36" s="17"/>
      <c r="L36" s="25">
        <f>'TUSD BE'!$L$36*'TUSD BE'!$L$58</f>
        <v>0.11645771138848289</v>
      </c>
      <c r="M36" s="25">
        <f>'TUSD BE'!$M$36*'TUSD BE'!$M$58</f>
        <v>-3.6227088690402693E-4</v>
      </c>
      <c r="N36" s="25">
        <f ca="1">'TUSD BE'!$N$36*'TUSD BE'!$N$58</f>
        <v>3.3316759471187653E-6</v>
      </c>
      <c r="O36" s="25">
        <f>'TUSD BE'!$O$36*'TUSD BE'!$O$58</f>
        <v>0</v>
      </c>
      <c r="P36" s="25">
        <f>'TUSD BE'!$P$36*'TUSD BE'!$P$58</f>
        <v>0</v>
      </c>
      <c r="Q36" s="25">
        <f>'TUSD BE'!$Q$36*'TUSD BE'!$Q$58</f>
        <v>1.6601994888322489</v>
      </c>
      <c r="R36" s="25">
        <f>'TUSD BE'!$R$36*'TUSD BE'!$R$58</f>
        <v>0.28986367582831496</v>
      </c>
      <c r="S36" s="25">
        <f>'TUSD BE'!$R$36*'TUSD BE'!$S$58</f>
        <v>0</v>
      </c>
      <c r="T36" s="25">
        <f ca="1">SUM($L$36:$S$36)</f>
        <v>2.0661619368380899</v>
      </c>
      <c r="U36" s="25">
        <f>'TUSD BE'!$U$36*'TUSD BE'!$U$58</f>
        <v>1.1224298604197416</v>
      </c>
      <c r="V36" s="25">
        <f>'TUSD BE'!$V$36*'TUSD BE'!$V$58</f>
        <v>0.14553563920213175</v>
      </c>
      <c r="W36" s="25">
        <f>'TUSD BE'!$W$36*'TUSD BE'!$W$58</f>
        <v>1.4947381616923079E-2</v>
      </c>
      <c r="X36" s="25">
        <f>'TUSD BE'!$X$36*'TUSD BE'!$X$58</f>
        <v>0</v>
      </c>
      <c r="Y36" s="25">
        <f>'TUSD BE'!$Y$36*'TUSD BE'!$Y$58</f>
        <v>0.48062273589982279</v>
      </c>
      <c r="Z36" s="25">
        <f>'TUSD BE'!$Z$36*'TUSD BE'!$Z$58</f>
        <v>0</v>
      </c>
      <c r="AA36" s="25">
        <f>'TUSD BE'!$AA$36*'TUSD BE'!$AA$58</f>
        <v>0</v>
      </c>
      <c r="AB36" s="25">
        <f>SUM($U$36:$AA$36)</f>
        <v>1.7635356171386192</v>
      </c>
      <c r="AC36" s="25">
        <f>'TUSD BE'!$AC$36*'TUSD BE'!$AC$58</f>
        <v>0</v>
      </c>
      <c r="AD36" s="25">
        <f>SUM($AC$36:$AC$36)</f>
        <v>0</v>
      </c>
      <c r="AE36" s="25">
        <f ca="1">$AO$36*$AO$55</f>
        <v>-9.8522972188327298</v>
      </c>
      <c r="AF36" s="25">
        <f ca="1">$AP$36*$AP$55</f>
        <v>0</v>
      </c>
      <c r="AG36" s="25">
        <f ca="1">SUM($AE$36:$AF$36)</f>
        <v>-9.8522972188327298</v>
      </c>
      <c r="AH36" s="25">
        <f>'TUSD BE'!$AH$36*'TUSD BE'!$AH$58</f>
        <v>1.2970757372072059</v>
      </c>
      <c r="AI36" s="25">
        <f>'TUSD BE'!$AI$36*'TUSD BE'!$AI$58</f>
        <v>4.5749032416315519E-2</v>
      </c>
      <c r="AJ36" s="25">
        <f ca="1">'TUSD BE'!$AJ$36*'TUSD BE'!$AJ$58</f>
        <v>0.17404280058386498</v>
      </c>
      <c r="AK36" s="25">
        <f ca="1">'TUSD BE'!$AK$36*'TUSD BE'!$AK$58</f>
        <v>1.7443959207305262E-2</v>
      </c>
      <c r="AL36" s="25">
        <f ca="1">SUM($AH$36:$AK$36)</f>
        <v>1.5343115294146916</v>
      </c>
      <c r="AM36" s="25">
        <f ca="1">SUMIF($L$4:$AL$4,"SUBTOTAL",$L$36:$AL$36)</f>
        <v>-4.4882881354413291</v>
      </c>
      <c r="AO36" s="30">
        <f ca="1">+'TUSD BE'!$T$36+'TUSD BE'!$AB$36+'TUSD BE'!$AD$36+'TUSD BE'!$AL$36</f>
        <v>333.92462976198073</v>
      </c>
      <c r="AP36" s="30">
        <f ca="1">+'TUSD BE'!$T$36+'TUSD BE'!$AB$36+'TUSD BE'!$AD$36+'TUSD BE'!$AL$36</f>
        <v>333.92462976198073</v>
      </c>
    </row>
    <row r="37" spans="1:42" ht="11.25" customHeight="1" x14ac:dyDescent="0.25">
      <c r="A37" s="119"/>
      <c r="B37" s="28" t="s">
        <v>23</v>
      </c>
      <c r="C37" s="28" t="s">
        <v>44</v>
      </c>
      <c r="D37" s="28" t="s">
        <v>95</v>
      </c>
      <c r="E37" s="28" t="s">
        <v>25</v>
      </c>
      <c r="F37" s="28" t="s">
        <v>25</v>
      </c>
      <c r="G37" s="21" t="s">
        <v>86</v>
      </c>
      <c r="H37" s="21" t="s">
        <v>80</v>
      </c>
      <c r="I37" s="21">
        <f>'MERCADO TUSD'!$U$34</f>
        <v>0</v>
      </c>
      <c r="J37" s="17"/>
      <c r="L37" s="25">
        <f>'TUSD BE'!$L$37*'TUSD BE'!$L$58</f>
        <v>0.11645771138848289</v>
      </c>
      <c r="M37" s="25">
        <f>'TUSD BE'!$M$37*'TUSD BE'!$M$58</f>
        <v>-3.6227088690402693E-4</v>
      </c>
      <c r="N37" s="25">
        <f ca="1">'TUSD BE'!$N$37*'TUSD BE'!$N$58</f>
        <v>3.3731689760328287E-6</v>
      </c>
      <c r="O37" s="25">
        <f>'TUSD BE'!$O$37*'TUSD BE'!$O$58</f>
        <v>0</v>
      </c>
      <c r="P37" s="25">
        <f>'TUSD BE'!$P$37*'TUSD BE'!$P$58</f>
        <v>0</v>
      </c>
      <c r="Q37" s="25">
        <f>'TUSD BE'!$Q$37*'TUSD BE'!$Q$58</f>
        <v>1.6601994888322489</v>
      </c>
      <c r="R37" s="25">
        <f>'TUSD BE'!$R$37*'TUSD BE'!$R$58</f>
        <v>0.28986367582831496</v>
      </c>
      <c r="S37" s="25">
        <f>'TUSD BE'!$R$37*'TUSD BE'!$S$58</f>
        <v>0</v>
      </c>
      <c r="T37" s="25">
        <f ca="1">SUM($L$37:$S$37)</f>
        <v>2.0661619783311189</v>
      </c>
      <c r="U37" s="25">
        <f>'TUSD BE'!$U$37*'TUSD BE'!$U$58</f>
        <v>1.5808911722836643</v>
      </c>
      <c r="V37" s="25">
        <f>'TUSD BE'!$V$37*'TUSD BE'!$V$58</f>
        <v>0.20497816294169716</v>
      </c>
      <c r="W37" s="25">
        <f>'TUSD BE'!$W$37*'TUSD BE'!$W$58</f>
        <v>2.1053920117940213E-2</v>
      </c>
      <c r="X37" s="25">
        <f>'TUSD BE'!$X$37*'TUSD BE'!$X$58</f>
        <v>0</v>
      </c>
      <c r="Y37" s="25">
        <f>'TUSD BE'!$Y$37*'TUSD BE'!$Y$58</f>
        <v>0.67693343084482083</v>
      </c>
      <c r="Z37" s="25">
        <f>'TUSD BE'!$Z$37*'TUSD BE'!$Z$58</f>
        <v>0</v>
      </c>
      <c r="AA37" s="25">
        <f>'TUSD BE'!$AA$37*'TUSD BE'!$AA$58</f>
        <v>0</v>
      </c>
      <c r="AB37" s="25">
        <f>SUM($U$37:$AA$37)</f>
        <v>2.4838566861881226</v>
      </c>
      <c r="AC37" s="25">
        <f>'TUSD BE'!$AC$37*'TUSD BE'!$AC$58</f>
        <v>0</v>
      </c>
      <c r="AD37" s="25">
        <f>SUM($AC$37:$AC$37)</f>
        <v>0</v>
      </c>
      <c r="AE37" s="25">
        <f ca="1">$AO$37*$AO$55</f>
        <v>-12.014854239068573</v>
      </c>
      <c r="AF37" s="25">
        <f ca="1">$AP$37*$AP$55</f>
        <v>0</v>
      </c>
      <c r="AG37" s="25">
        <f ca="1">SUM($AE$37:$AF$37)</f>
        <v>-12.014854239068573</v>
      </c>
      <c r="AH37" s="25">
        <f>'TUSD BE'!$AH$37*'TUSD BE'!$AH$58</f>
        <v>1.2970757372072059</v>
      </c>
      <c r="AI37" s="25">
        <f>'TUSD BE'!$AI$37*'TUSD BE'!$AI$58</f>
        <v>4.5749032416315519E-2</v>
      </c>
      <c r="AJ37" s="25">
        <f ca="1">'TUSD BE'!$AJ$37*'TUSD BE'!$AJ$58</f>
        <v>0.17404280058386498</v>
      </c>
      <c r="AK37" s="25">
        <f ca="1">'TUSD BE'!$AK$37*'TUSD BE'!$AK$58</f>
        <v>1.7443959207305262E-2</v>
      </c>
      <c r="AL37" s="25">
        <f ca="1">SUM($AH$37:$AK$37)</f>
        <v>1.5343115294146916</v>
      </c>
      <c r="AM37" s="25">
        <f ca="1">SUMIF($L$4:$AL$4,"SUBTOTAL",$L$37:$AL$37)</f>
        <v>-5.9305240451346402</v>
      </c>
      <c r="AO37" s="30">
        <f ca="1">+'TUSD BE'!$T$37+'TUSD BE'!$AB$37+'TUSD BE'!$AD$37+'TUSD BE'!$AL$37</f>
        <v>407.22033291444632</v>
      </c>
      <c r="AP37" s="30">
        <f ca="1">+'TUSD BE'!$T$37+'TUSD BE'!$AB$37+'TUSD BE'!$AD$37+'TUSD BE'!$AL$37</f>
        <v>407.22033291444632</v>
      </c>
    </row>
    <row r="38" spans="1:42" ht="11.25" customHeight="1" x14ac:dyDescent="0.25">
      <c r="A38" s="119"/>
      <c r="B38" s="119" t="s">
        <v>33</v>
      </c>
      <c r="C38" s="119" t="s">
        <v>44</v>
      </c>
      <c r="D38" s="119" t="s">
        <v>55</v>
      </c>
      <c r="E38" s="119" t="s">
        <v>25</v>
      </c>
      <c r="F38" s="119" t="s">
        <v>25</v>
      </c>
      <c r="G38" s="21" t="s">
        <v>81</v>
      </c>
      <c r="H38" s="21" t="s">
        <v>80</v>
      </c>
      <c r="I38" s="21">
        <f>'MERCADO TUSD'!$U$35</f>
        <v>0</v>
      </c>
      <c r="J38" s="17"/>
      <c r="L38" s="25">
        <f>'TUSD BE'!$L$38*'TUSD BE'!$L$58</f>
        <v>0.11645771138848289</v>
      </c>
      <c r="M38" s="25">
        <f>'TUSD BE'!$M$38*'TUSD BE'!$M$58</f>
        <v>-3.6227088690402693E-4</v>
      </c>
      <c r="N38" s="25">
        <f ca="1">'TUSD BE'!$N$38*'TUSD BE'!$N$58</f>
        <v>3.7380213645030186E-6</v>
      </c>
      <c r="O38" s="25">
        <f>'TUSD BE'!$O$38*'TUSD BE'!$O$58</f>
        <v>0</v>
      </c>
      <c r="P38" s="25">
        <f>'TUSD BE'!$P$38*'TUSD BE'!$P$58</f>
        <v>0</v>
      </c>
      <c r="Q38" s="25">
        <f>'TUSD BE'!$Q$38*'TUSD BE'!$Q$58</f>
        <v>1.6601994888322489</v>
      </c>
      <c r="R38" s="25">
        <f>'TUSD BE'!$R$38*'TUSD BE'!$R$58</f>
        <v>0.28986367582831496</v>
      </c>
      <c r="S38" s="25">
        <f>'TUSD BE'!$R$38*'TUSD BE'!$S$58</f>
        <v>0</v>
      </c>
      <c r="T38" s="25">
        <f ca="1">SUM($L$38:$S$38)</f>
        <v>2.0661623431835072</v>
      </c>
      <c r="U38" s="25">
        <f>'TUSD BE'!$U$38*'TUSD BE'!$U$58</f>
        <v>5.6121644173706029</v>
      </c>
      <c r="V38" s="25">
        <f>'TUSD BE'!$V$38*'TUSD BE'!$V$58</f>
        <v>0.72766474291034422</v>
      </c>
      <c r="W38" s="25">
        <f>'TUSD BE'!$W$38*'TUSD BE'!$W$58</f>
        <v>7.4741416418687756E-2</v>
      </c>
      <c r="X38" s="25">
        <f>'TUSD BE'!$X$38*'TUSD BE'!$X$58</f>
        <v>0</v>
      </c>
      <c r="Y38" s="25">
        <f>'TUSD BE'!$Y$38*'TUSD BE'!$Y$58</f>
        <v>2.4031117498143053</v>
      </c>
      <c r="Z38" s="25">
        <f>'TUSD BE'!$Z$38*'TUSD BE'!$Z$58</f>
        <v>0</v>
      </c>
      <c r="AA38" s="25">
        <f>'TUSD BE'!$AA$38*'TUSD BE'!$AA$58</f>
        <v>0</v>
      </c>
      <c r="AB38" s="25">
        <f>SUM($U$38:$AA$38)</f>
        <v>8.8176823265139408</v>
      </c>
      <c r="AC38" s="25">
        <f>'TUSD BE'!$AC$38*'TUSD BE'!$AC$58</f>
        <v>0</v>
      </c>
      <c r="AD38" s="25">
        <f>SUM($AC$38:$AC$38)</f>
        <v>0</v>
      </c>
      <c r="AE38" s="25">
        <f ca="1">$AO$38*$AO$55</f>
        <v>-31.030434135012154</v>
      </c>
      <c r="AF38" s="25">
        <f ca="1">$AP$38*$AP$55</f>
        <v>0</v>
      </c>
      <c r="AG38" s="25">
        <f ca="1">SUM($AE$38:$AF$38)</f>
        <v>-31.030434135012154</v>
      </c>
      <c r="AH38" s="25">
        <f>'TUSD BE'!$AH$38*'TUSD BE'!$AH$58</f>
        <v>1.2970757372072059</v>
      </c>
      <c r="AI38" s="25">
        <f>'TUSD BE'!$AI$38*'TUSD BE'!$AI$58</f>
        <v>4.5749032416315519E-2</v>
      </c>
      <c r="AJ38" s="25">
        <f ca="1">'TUSD BE'!$AJ$38*'TUSD BE'!$AJ$58</f>
        <v>0.17404280058386498</v>
      </c>
      <c r="AK38" s="25">
        <f ca="1">'TUSD BE'!$AK$38*'TUSD BE'!$AK$58</f>
        <v>1.7443959207305262E-2</v>
      </c>
      <c r="AL38" s="25">
        <f ca="1">SUM($AH$38:$AK$38)</f>
        <v>1.5343115294146916</v>
      </c>
      <c r="AM38" s="25">
        <f ca="1">SUMIF($L$4:$AL$4,"SUBTOTAL",$L$38:$AL$38)</f>
        <v>-18.612277935900014</v>
      </c>
      <c r="AO38" s="30">
        <f ca="1">+'TUSD BE'!$T$38+'TUSD BE'!$AB$38+'TUSD BE'!$AD$38+'TUSD BE'!$AL$38</f>
        <v>1051.716772214379</v>
      </c>
      <c r="AP38" s="30">
        <f ca="1">+'TUSD BE'!$T$38+'TUSD BE'!$AB$38+'TUSD BE'!$AD$38+'TUSD BE'!$AL$38</f>
        <v>1051.716772214379</v>
      </c>
    </row>
    <row r="39" spans="1:42" ht="11.25" customHeight="1" x14ac:dyDescent="0.25">
      <c r="A39" s="119"/>
      <c r="B39" s="119"/>
      <c r="C39" s="119"/>
      <c r="D39" s="119"/>
      <c r="E39" s="119"/>
      <c r="F39" s="119"/>
      <c r="G39" s="21" t="s">
        <v>91</v>
      </c>
      <c r="H39" s="21" t="s">
        <v>80</v>
      </c>
      <c r="I39" s="21">
        <f>'MERCADO TUSD'!$U$36</f>
        <v>0</v>
      </c>
      <c r="J39" s="17"/>
      <c r="L39" s="25">
        <f>'TUSD BE'!$L$39*'TUSD BE'!$L$58</f>
        <v>0.11645771138848289</v>
      </c>
      <c r="M39" s="25">
        <f>'TUSD BE'!$M$39*'TUSD BE'!$M$58</f>
        <v>-3.6227088690402693E-4</v>
      </c>
      <c r="N39" s="25">
        <f ca="1">'TUSD BE'!$N$39*'TUSD BE'!$N$58</f>
        <v>3.5348486241022113E-6</v>
      </c>
      <c r="O39" s="25">
        <f>'TUSD BE'!$O$39*'TUSD BE'!$O$58</f>
        <v>0</v>
      </c>
      <c r="P39" s="25">
        <f>'TUSD BE'!$P$39*'TUSD BE'!$P$58</f>
        <v>0</v>
      </c>
      <c r="Q39" s="25">
        <f>'TUSD BE'!$Q$39*'TUSD BE'!$Q$58</f>
        <v>1.6601994888322489</v>
      </c>
      <c r="R39" s="25">
        <f>'TUSD BE'!$R$39*'TUSD BE'!$R$58</f>
        <v>0.28986367582831496</v>
      </c>
      <c r="S39" s="25">
        <f>'TUSD BE'!$R$39*'TUSD BE'!$S$58</f>
        <v>0</v>
      </c>
      <c r="T39" s="25">
        <f ca="1">SUM($L$39:$S$39)</f>
        <v>2.0661621400107668</v>
      </c>
      <c r="U39" s="25">
        <f>'TUSD BE'!$U$39*'TUSD BE'!$U$58</f>
        <v>3.3672971388951729</v>
      </c>
      <c r="V39" s="25">
        <f>'TUSD BE'!$V$39*'TUSD BE'!$V$58</f>
        <v>0.43660019105623793</v>
      </c>
      <c r="W39" s="25">
        <f>'TUSD BE'!$W$39*'TUSD BE'!$W$58</f>
        <v>4.484439901780541E-2</v>
      </c>
      <c r="X39" s="25">
        <f>'TUSD BE'!$X$39*'TUSD BE'!$X$58</f>
        <v>0</v>
      </c>
      <c r="Y39" s="25">
        <f>'TUSD BE'!$Y$39*'TUSD BE'!$Y$58</f>
        <v>1.4418662780146598</v>
      </c>
      <c r="Z39" s="25">
        <f>'TUSD BE'!$Z$39*'TUSD BE'!$Z$58</f>
        <v>0</v>
      </c>
      <c r="AA39" s="25">
        <f>'TUSD BE'!$AA$39*'TUSD BE'!$AA$58</f>
        <v>0</v>
      </c>
      <c r="AB39" s="25">
        <f>SUM($U$39:$AA$39)</f>
        <v>5.2906080069838755</v>
      </c>
      <c r="AC39" s="25">
        <f>'TUSD BE'!$AC$39*'TUSD BE'!$AC$58</f>
        <v>0</v>
      </c>
      <c r="AD39" s="25">
        <f>SUM($AC$39:$AC$39)</f>
        <v>0</v>
      </c>
      <c r="AE39" s="25">
        <f ca="1">$AO$39*$AO$55</f>
        <v>-20.441363959278117</v>
      </c>
      <c r="AF39" s="25">
        <f ca="1">$AP$39*$AP$55</f>
        <v>0</v>
      </c>
      <c r="AG39" s="25">
        <f ca="1">SUM($AE$39:$AF$39)</f>
        <v>-20.441363959278117</v>
      </c>
      <c r="AH39" s="25">
        <f>'TUSD BE'!$AH$39*'TUSD BE'!$AH$58</f>
        <v>1.2970757372072059</v>
      </c>
      <c r="AI39" s="25">
        <f>'TUSD BE'!$AI$39*'TUSD BE'!$AI$58</f>
        <v>4.5749032416315519E-2</v>
      </c>
      <c r="AJ39" s="25">
        <f ca="1">'TUSD BE'!$AJ$39*'TUSD BE'!$AJ$58</f>
        <v>0.17404280058386498</v>
      </c>
      <c r="AK39" s="25">
        <f ca="1">'TUSD BE'!$AK$39*'TUSD BE'!$AK$58</f>
        <v>1.7443959207305262E-2</v>
      </c>
      <c r="AL39" s="25">
        <f ca="1">SUM($AH$39:$AK$39)</f>
        <v>1.5343115294146916</v>
      </c>
      <c r="AM39" s="25">
        <f ca="1">SUMIF($L$4:$AL$4,"SUBTOTAL",$L$39:$AL$39)</f>
        <v>-11.550282282868784</v>
      </c>
      <c r="AO39" s="30">
        <f ca="1">+'TUSD BE'!$T$39+'TUSD BE'!$AB$39+'TUSD BE'!$AD$39+'TUSD BE'!$AL$39</f>
        <v>692.82064277193524</v>
      </c>
      <c r="AP39" s="30">
        <f ca="1">+'TUSD BE'!$T$39+'TUSD BE'!$AB$39+'TUSD BE'!$AD$39+'TUSD BE'!$AL$39</f>
        <v>692.82064277193524</v>
      </c>
    </row>
    <row r="40" spans="1:42" ht="11.25" customHeight="1" x14ac:dyDescent="0.25">
      <c r="A40" s="119"/>
      <c r="B40" s="119"/>
      <c r="C40" s="119"/>
      <c r="D40" s="119"/>
      <c r="E40" s="119"/>
      <c r="F40" s="119"/>
      <c r="G40" s="21" t="s">
        <v>82</v>
      </c>
      <c r="H40" s="21" t="s">
        <v>80</v>
      </c>
      <c r="I40" s="21">
        <f>'MERCADO TUSD'!$U$37</f>
        <v>0</v>
      </c>
      <c r="J40" s="17"/>
      <c r="L40" s="25">
        <f>'TUSD BE'!$L$40*'TUSD BE'!$L$58</f>
        <v>0.11645771138848289</v>
      </c>
      <c r="M40" s="25">
        <f>'TUSD BE'!$M$40*'TUSD BE'!$M$58</f>
        <v>-3.6227088690402693E-4</v>
      </c>
      <c r="N40" s="25">
        <f ca="1">'TUSD BE'!$N$40*'TUSD BE'!$N$58</f>
        <v>3.3316759471187653E-6</v>
      </c>
      <c r="O40" s="25">
        <f>'TUSD BE'!$O$40*'TUSD BE'!$O$58</f>
        <v>0</v>
      </c>
      <c r="P40" s="25">
        <f>'TUSD BE'!$P$40*'TUSD BE'!$P$58</f>
        <v>0</v>
      </c>
      <c r="Q40" s="25">
        <f>'TUSD BE'!$Q$40*'TUSD BE'!$Q$58</f>
        <v>1.6601994888322489</v>
      </c>
      <c r="R40" s="25">
        <f>'TUSD BE'!$R$40*'TUSD BE'!$R$58</f>
        <v>0.28986367582831496</v>
      </c>
      <c r="S40" s="25">
        <f>'TUSD BE'!$R$40*'TUSD BE'!$S$58</f>
        <v>0</v>
      </c>
      <c r="T40" s="25">
        <f ca="1">SUM($L$40:$S$40)</f>
        <v>2.0661619368380899</v>
      </c>
      <c r="U40" s="25">
        <f>'TUSD BE'!$U$40*'TUSD BE'!$U$58</f>
        <v>1.1224298604197416</v>
      </c>
      <c r="V40" s="25">
        <f>'TUSD BE'!$V$40*'TUSD BE'!$V$58</f>
        <v>0.14553563920213175</v>
      </c>
      <c r="W40" s="25">
        <f>'TUSD BE'!$W$40*'TUSD BE'!$W$58</f>
        <v>1.4947381616923079E-2</v>
      </c>
      <c r="X40" s="25">
        <f>'TUSD BE'!$X$40*'TUSD BE'!$X$58</f>
        <v>0</v>
      </c>
      <c r="Y40" s="25">
        <f>'TUSD BE'!$Y$40*'TUSD BE'!$Y$58</f>
        <v>0.48062273589982279</v>
      </c>
      <c r="Z40" s="25">
        <f>'TUSD BE'!$Z$40*'TUSD BE'!$Z$58</f>
        <v>0</v>
      </c>
      <c r="AA40" s="25">
        <f>'TUSD BE'!$AA$40*'TUSD BE'!$AA$58</f>
        <v>0</v>
      </c>
      <c r="AB40" s="25">
        <f>SUM($U$40:$AA$40)</f>
        <v>1.7635356171386192</v>
      </c>
      <c r="AC40" s="25">
        <f>'TUSD BE'!$AC$40*'TUSD BE'!$AC$58</f>
        <v>0</v>
      </c>
      <c r="AD40" s="25">
        <f>SUM($AC$40:$AC$40)</f>
        <v>0</v>
      </c>
      <c r="AE40" s="25">
        <f ca="1">$AO$40*$AO$55</f>
        <v>-9.8522972188327298</v>
      </c>
      <c r="AF40" s="25">
        <f ca="1">$AP$40*$AP$55</f>
        <v>0</v>
      </c>
      <c r="AG40" s="25">
        <f ca="1">SUM($AE$40:$AF$40)</f>
        <v>-9.8522972188327298</v>
      </c>
      <c r="AH40" s="25">
        <f>'TUSD BE'!$AH$40*'TUSD BE'!$AH$58</f>
        <v>1.2970757372072059</v>
      </c>
      <c r="AI40" s="25">
        <f>'TUSD BE'!$AI$40*'TUSD BE'!$AI$58</f>
        <v>4.5749032416315519E-2</v>
      </c>
      <c r="AJ40" s="25">
        <f ca="1">'TUSD BE'!$AJ$40*'TUSD BE'!$AJ$58</f>
        <v>0.17404280058386498</v>
      </c>
      <c r="AK40" s="25">
        <f ca="1">'TUSD BE'!$AK$40*'TUSD BE'!$AK$58</f>
        <v>1.7443959207305262E-2</v>
      </c>
      <c r="AL40" s="25">
        <f ca="1">SUM($AH$40:$AK$40)</f>
        <v>1.5343115294146916</v>
      </c>
      <c r="AM40" s="25">
        <f ca="1">SUMIF($L$4:$AL$4,"SUBTOTAL",$L$40:$AL$40)</f>
        <v>-4.4882881354413291</v>
      </c>
      <c r="AO40" s="30">
        <f ca="1">+'TUSD BE'!$T$40+'TUSD BE'!$AB$40+'TUSD BE'!$AD$40+'TUSD BE'!$AL$40</f>
        <v>333.92462976198073</v>
      </c>
      <c r="AP40" s="30">
        <f ca="1">+'TUSD BE'!$T$40+'TUSD BE'!$AB$40+'TUSD BE'!$AD$40+'TUSD BE'!$AL$40</f>
        <v>333.92462976198073</v>
      </c>
    </row>
    <row r="41" spans="1:42" ht="11.25" customHeight="1" x14ac:dyDescent="0.25">
      <c r="A41" s="119"/>
      <c r="B41" s="28" t="s">
        <v>23</v>
      </c>
      <c r="C41" s="28" t="s">
        <v>44</v>
      </c>
      <c r="D41" s="28" t="s">
        <v>55</v>
      </c>
      <c r="E41" s="28" t="s">
        <v>25</v>
      </c>
      <c r="F41" s="28" t="s">
        <v>25</v>
      </c>
      <c r="G41" s="21" t="s">
        <v>86</v>
      </c>
      <c r="H41" s="21" t="s">
        <v>80</v>
      </c>
      <c r="I41" s="21">
        <f>'MERCADO TUSD'!$U$38</f>
        <v>29.929000000000002</v>
      </c>
      <c r="J41" s="17"/>
      <c r="L41" s="25">
        <f>'TUSD BE'!$L$41*'TUSD BE'!$L$58</f>
        <v>0.11645771138848289</v>
      </c>
      <c r="M41" s="25">
        <f>'TUSD BE'!$M$41*'TUSD BE'!$M$58</f>
        <v>-3.6227088690402693E-4</v>
      </c>
      <c r="N41" s="25">
        <f ca="1">'TUSD BE'!$N$41*'TUSD BE'!$N$58</f>
        <v>3.3731689760328287E-6</v>
      </c>
      <c r="O41" s="25">
        <f>'TUSD BE'!$O$41*'TUSD BE'!$O$58</f>
        <v>0</v>
      </c>
      <c r="P41" s="25">
        <f>'TUSD BE'!$P$41*'TUSD BE'!$P$58</f>
        <v>0</v>
      </c>
      <c r="Q41" s="25">
        <f>'TUSD BE'!$Q$41*'TUSD BE'!$Q$58</f>
        <v>1.6601994888322489</v>
      </c>
      <c r="R41" s="25">
        <f>'TUSD BE'!$R$41*'TUSD BE'!$R$58</f>
        <v>0.28986367582831496</v>
      </c>
      <c r="S41" s="25">
        <f>'TUSD BE'!$R$41*'TUSD BE'!$S$58</f>
        <v>0</v>
      </c>
      <c r="T41" s="25">
        <f ca="1">SUM($L$41:$S$41)</f>
        <v>2.0661619783311189</v>
      </c>
      <c r="U41" s="25">
        <f>'TUSD BE'!$U$41*'TUSD BE'!$U$58</f>
        <v>1.5808911722836643</v>
      </c>
      <c r="V41" s="25">
        <f>'TUSD BE'!$V$41*'TUSD BE'!$V$58</f>
        <v>0.20497816294169716</v>
      </c>
      <c r="W41" s="25">
        <f>'TUSD BE'!$W$41*'TUSD BE'!$W$58</f>
        <v>2.1053920117940213E-2</v>
      </c>
      <c r="X41" s="25">
        <f>'TUSD BE'!$X$41*'TUSD BE'!$X$58</f>
        <v>0</v>
      </c>
      <c r="Y41" s="25">
        <f>'TUSD BE'!$Y$41*'TUSD BE'!$Y$58</f>
        <v>0.67693343084482083</v>
      </c>
      <c r="Z41" s="25">
        <f>'TUSD BE'!$Z$41*'TUSD BE'!$Z$58</f>
        <v>0</v>
      </c>
      <c r="AA41" s="25">
        <f>'TUSD BE'!$AA$41*'TUSD BE'!$AA$58</f>
        <v>0</v>
      </c>
      <c r="AB41" s="25">
        <f>SUM($U$41:$AA$41)</f>
        <v>2.4838566861881226</v>
      </c>
      <c r="AC41" s="25">
        <f>'TUSD BE'!$AC$41*'TUSD BE'!$AC$58</f>
        <v>0</v>
      </c>
      <c r="AD41" s="25">
        <f>SUM($AC$41:$AC$41)</f>
        <v>0</v>
      </c>
      <c r="AE41" s="25">
        <f ca="1">$AO$41*$AO$55</f>
        <v>-12.014854239068573</v>
      </c>
      <c r="AF41" s="25">
        <f ca="1">$AP$41*$AP$55</f>
        <v>0</v>
      </c>
      <c r="AG41" s="25">
        <f ca="1">SUM($AE$41:$AF$41)</f>
        <v>-12.014854239068573</v>
      </c>
      <c r="AH41" s="25">
        <f>'TUSD BE'!$AH$41*'TUSD BE'!$AH$58</f>
        <v>1.2970757372072059</v>
      </c>
      <c r="AI41" s="25">
        <f>'TUSD BE'!$AI$41*'TUSD BE'!$AI$58</f>
        <v>4.5749032416315519E-2</v>
      </c>
      <c r="AJ41" s="25">
        <f ca="1">'TUSD BE'!$AJ$41*'TUSD BE'!$AJ$58</f>
        <v>0.17404280058386498</v>
      </c>
      <c r="AK41" s="25">
        <f ca="1">'TUSD BE'!$AK$41*'TUSD BE'!$AK$58</f>
        <v>1.7443959207305262E-2</v>
      </c>
      <c r="AL41" s="25">
        <f ca="1">SUM($AH$41:$AK$41)</f>
        <v>1.5343115294146916</v>
      </c>
      <c r="AM41" s="25">
        <f ca="1">SUMIF($L$4:$AL$4,"SUBTOTAL",$L$41:$AL$41)</f>
        <v>-5.9305240451346402</v>
      </c>
      <c r="AO41" s="30">
        <f ca="1">+'TUSD BE'!$T$41+'TUSD BE'!$AB$41+'TUSD BE'!$AD$41+'TUSD BE'!$AL$41</f>
        <v>407.22033291444632</v>
      </c>
      <c r="AP41" s="30">
        <f ca="1">+'TUSD BE'!$T$41+'TUSD BE'!$AB$41+'TUSD BE'!$AD$41+'TUSD BE'!$AL$41</f>
        <v>407.22033291444632</v>
      </c>
    </row>
    <row r="42" spans="1:42" ht="11.25" customHeight="1" x14ac:dyDescent="0.25">
      <c r="A42" s="119"/>
      <c r="B42" s="119" t="s">
        <v>94</v>
      </c>
      <c r="C42" s="119" t="s">
        <v>44</v>
      </c>
      <c r="D42" s="28" t="s">
        <v>25</v>
      </c>
      <c r="E42" s="28" t="s">
        <v>25</v>
      </c>
      <c r="F42" s="28" t="s">
        <v>25</v>
      </c>
      <c r="G42" s="21" t="s">
        <v>86</v>
      </c>
      <c r="H42" s="21" t="s">
        <v>80</v>
      </c>
      <c r="I42" s="21">
        <f>'MERCADO TUSD'!$U$39</f>
        <v>0</v>
      </c>
      <c r="J42" s="17"/>
      <c r="L42" s="25">
        <f>'TUSD BE'!$L$42*'TUSD BE'!$L$58</f>
        <v>0.11645771138848289</v>
      </c>
      <c r="M42" s="25">
        <f>'TUSD BE'!$M$42*'TUSD BE'!$M$58</f>
        <v>-3.6227088690402693E-4</v>
      </c>
      <c r="N42" s="25">
        <f ca="1">'TUSD BE'!$N$42*'TUSD BE'!$N$58</f>
        <v>3.3731689760328287E-6</v>
      </c>
      <c r="O42" s="25">
        <f>'TUSD BE'!$O$42*'TUSD BE'!$O$58</f>
        <v>0</v>
      </c>
      <c r="P42" s="25">
        <f>'TUSD BE'!$P$42*'TUSD BE'!$P$58</f>
        <v>0</v>
      </c>
      <c r="Q42" s="25">
        <f>'TUSD BE'!$Q$42*'TUSD BE'!$Q$58</f>
        <v>1.6601994888322489</v>
      </c>
      <c r="R42" s="25">
        <f>'TUSD BE'!$R$42*'TUSD BE'!$R$58</f>
        <v>0.28986367582831496</v>
      </c>
      <c r="S42" s="25">
        <f>'TUSD BE'!$R$42*'TUSD BE'!$S$58</f>
        <v>0</v>
      </c>
      <c r="T42" s="25">
        <f ca="1">SUM($L$42:$S$42)</f>
        <v>2.0661619783311189</v>
      </c>
      <c r="U42" s="25">
        <f>'TUSD BE'!$U$42*'TUSD BE'!$U$58</f>
        <v>1.5808911722836643</v>
      </c>
      <c r="V42" s="25">
        <f>'TUSD BE'!$V$42*'TUSD BE'!$V$58</f>
        <v>0.20497816294169716</v>
      </c>
      <c r="W42" s="25">
        <f>'TUSD BE'!$W$42*'TUSD BE'!$W$58</f>
        <v>2.1053920117940213E-2</v>
      </c>
      <c r="X42" s="25">
        <f>'TUSD BE'!$X$42*'TUSD BE'!$X$58</f>
        <v>0</v>
      </c>
      <c r="Y42" s="25">
        <f>'TUSD BE'!$Y$42*'TUSD BE'!$Y$58</f>
        <v>0.67693343084482083</v>
      </c>
      <c r="Z42" s="25">
        <f>'TUSD BE'!$Z$42*'TUSD BE'!$Z$58</f>
        <v>0</v>
      </c>
      <c r="AA42" s="25">
        <f>'TUSD BE'!$AA$42*'TUSD BE'!$AA$58</f>
        <v>0</v>
      </c>
      <c r="AB42" s="25">
        <f>SUM($U$42:$AA$42)</f>
        <v>2.4838566861881226</v>
      </c>
      <c r="AC42" s="25">
        <f>'TUSD BE'!$AC$42*'TUSD BE'!$AC$58</f>
        <v>0</v>
      </c>
      <c r="AD42" s="25">
        <f>SUM($AC$42:$AC$42)</f>
        <v>0</v>
      </c>
      <c r="AE42" s="25">
        <f ca="1">$AO$42*$AO$55</f>
        <v>-12.014854239068573</v>
      </c>
      <c r="AF42" s="25">
        <f ca="1">$AP$42*$AP$55</f>
        <v>0</v>
      </c>
      <c r="AG42" s="25">
        <f ca="1">SUM($AE$42:$AF$42)</f>
        <v>-12.014854239068573</v>
      </c>
      <c r="AH42" s="25">
        <f>'TUSD BE'!$AH$42*'TUSD BE'!$AH$58</f>
        <v>1.2970757372072059</v>
      </c>
      <c r="AI42" s="25">
        <f>'TUSD BE'!$AI$42*'TUSD BE'!$AI$58</f>
        <v>4.5749032416315519E-2</v>
      </c>
      <c r="AJ42" s="25">
        <f ca="1">'TUSD BE'!$AJ$42*'TUSD BE'!$AJ$58</f>
        <v>0.17404280058386498</v>
      </c>
      <c r="AK42" s="25">
        <f ca="1">'TUSD BE'!$AK$42*'TUSD BE'!$AK$58</f>
        <v>1.7443959207305262E-2</v>
      </c>
      <c r="AL42" s="25">
        <f ca="1">SUM($AH$42:$AK$42)</f>
        <v>1.5343115294146916</v>
      </c>
      <c r="AM42" s="25">
        <f ca="1">SUMIF($L$4:$AL$4,"SUBTOTAL",$L$42:$AL$42)</f>
        <v>-5.9305240451346402</v>
      </c>
      <c r="AO42" s="30">
        <f ca="1">+'TUSD BE'!$T$42+'TUSD BE'!$AB$42+'TUSD BE'!$AD$42+'TUSD BE'!$AL$42</f>
        <v>407.22033291444632</v>
      </c>
      <c r="AP42" s="30">
        <f ca="1">+'TUSD BE'!$T$42+'TUSD BE'!$AB$42+'TUSD BE'!$AD$42+'TUSD BE'!$AL$42</f>
        <v>407.22033291444632</v>
      </c>
    </row>
    <row r="43" spans="1:42" ht="11.25" customHeight="1" x14ac:dyDescent="0.25">
      <c r="A43" s="119"/>
      <c r="B43" s="119"/>
      <c r="C43" s="119"/>
      <c r="D43" s="28" t="s">
        <v>95</v>
      </c>
      <c r="E43" s="28" t="s">
        <v>25</v>
      </c>
      <c r="F43" s="28" t="s">
        <v>25</v>
      </c>
      <c r="G43" s="21" t="s">
        <v>86</v>
      </c>
      <c r="H43" s="21" t="s">
        <v>80</v>
      </c>
      <c r="I43" s="21">
        <f>'MERCADO TUSD'!$U$40</f>
        <v>0</v>
      </c>
      <c r="J43" s="17"/>
      <c r="L43" s="25">
        <f>'TUSD BE'!$L$43*'TUSD BE'!$L$58</f>
        <v>0.11645771138848289</v>
      </c>
      <c r="M43" s="25">
        <f>'TUSD BE'!$M$43*'TUSD BE'!$M$58</f>
        <v>-3.6227088690402693E-4</v>
      </c>
      <c r="N43" s="25">
        <f ca="1">'TUSD BE'!$N$43*'TUSD BE'!$N$58</f>
        <v>3.3731689760328287E-6</v>
      </c>
      <c r="O43" s="25">
        <f>'TUSD BE'!$O$43*'TUSD BE'!$O$58</f>
        <v>0</v>
      </c>
      <c r="P43" s="25">
        <f>'TUSD BE'!$P$43*'TUSD BE'!$P$58</f>
        <v>0</v>
      </c>
      <c r="Q43" s="25">
        <f>'TUSD BE'!$Q$43*'TUSD BE'!$Q$58</f>
        <v>1.6601994888322489</v>
      </c>
      <c r="R43" s="25">
        <f>'TUSD BE'!$R$43*'TUSD BE'!$R$58</f>
        <v>0.28986367582831496</v>
      </c>
      <c r="S43" s="25">
        <f>'TUSD BE'!$R$43*'TUSD BE'!$S$58</f>
        <v>0</v>
      </c>
      <c r="T43" s="25">
        <f ca="1">SUM($L$43:$S$43)</f>
        <v>2.0661619783311189</v>
      </c>
      <c r="U43" s="25">
        <f>'TUSD BE'!$U$43*'TUSD BE'!$U$58</f>
        <v>1.5808911722836643</v>
      </c>
      <c r="V43" s="25">
        <f>'TUSD BE'!$V$43*'TUSD BE'!$V$58</f>
        <v>0.20497816294169716</v>
      </c>
      <c r="W43" s="25">
        <f>'TUSD BE'!$W$43*'TUSD BE'!$W$58</f>
        <v>2.1053920117940213E-2</v>
      </c>
      <c r="X43" s="25">
        <f>'TUSD BE'!$X$43*'TUSD BE'!$X$58</f>
        <v>0</v>
      </c>
      <c r="Y43" s="25">
        <f>'TUSD BE'!$Y$43*'TUSD BE'!$Y$58</f>
        <v>0.67693343084482083</v>
      </c>
      <c r="Z43" s="25">
        <f>'TUSD BE'!$Z$43*'TUSD BE'!$Z$58</f>
        <v>0</v>
      </c>
      <c r="AA43" s="25">
        <f>'TUSD BE'!$AA$43*'TUSD BE'!$AA$58</f>
        <v>0</v>
      </c>
      <c r="AB43" s="25">
        <f>SUM($U$43:$AA$43)</f>
        <v>2.4838566861881226</v>
      </c>
      <c r="AC43" s="25">
        <f>'TUSD BE'!$AC$43*'TUSD BE'!$AC$58</f>
        <v>0</v>
      </c>
      <c r="AD43" s="25">
        <f>SUM($AC$43:$AC$43)</f>
        <v>0</v>
      </c>
      <c r="AE43" s="25">
        <f ca="1">$AO$43*$AO$55</f>
        <v>-12.014854239068573</v>
      </c>
      <c r="AF43" s="25">
        <f ca="1">$AP$43*$AP$55</f>
        <v>0</v>
      </c>
      <c r="AG43" s="25">
        <f ca="1">SUM($AE$43:$AF$43)</f>
        <v>-12.014854239068573</v>
      </c>
      <c r="AH43" s="25">
        <f>'TUSD BE'!$AH$43*'TUSD BE'!$AH$58</f>
        <v>1.2970757372072059</v>
      </c>
      <c r="AI43" s="25">
        <f>'TUSD BE'!$AI$43*'TUSD BE'!$AI$58</f>
        <v>4.5749032416315519E-2</v>
      </c>
      <c r="AJ43" s="25">
        <f ca="1">'TUSD BE'!$AJ$43*'TUSD BE'!$AJ$58</f>
        <v>0.17404280058386498</v>
      </c>
      <c r="AK43" s="25">
        <f ca="1">'TUSD BE'!$AK$43*'TUSD BE'!$AK$58</f>
        <v>1.7443959207305262E-2</v>
      </c>
      <c r="AL43" s="25">
        <f ca="1">SUM($AH$43:$AK$43)</f>
        <v>1.5343115294146916</v>
      </c>
      <c r="AM43" s="25">
        <f ca="1">SUMIF($L$4:$AL$4,"SUBTOTAL",$L$43:$AL$43)</f>
        <v>-5.9305240451346402</v>
      </c>
      <c r="AO43" s="30">
        <f ca="1">+'TUSD BE'!$T$43+'TUSD BE'!$AB$43+'TUSD BE'!$AD$43+'TUSD BE'!$AL$43</f>
        <v>407.22033291444632</v>
      </c>
      <c r="AP43" s="30">
        <f ca="1">+'TUSD BE'!$T$43+'TUSD BE'!$AB$43+'TUSD BE'!$AD$43+'TUSD BE'!$AL$43</f>
        <v>407.22033291444632</v>
      </c>
    </row>
    <row r="44" spans="1:42" ht="11.25" customHeight="1" x14ac:dyDescent="0.25">
      <c r="A44" s="119"/>
      <c r="B44" s="119"/>
      <c r="C44" s="119"/>
      <c r="D44" s="28" t="s">
        <v>55</v>
      </c>
      <c r="E44" s="28" t="s">
        <v>25</v>
      </c>
      <c r="F44" s="28" t="s">
        <v>25</v>
      </c>
      <c r="G44" s="21" t="s">
        <v>86</v>
      </c>
      <c r="H44" s="21" t="s">
        <v>80</v>
      </c>
      <c r="I44" s="21">
        <f>'MERCADO TUSD'!$U$41</f>
        <v>0</v>
      </c>
      <c r="J44" s="17"/>
      <c r="L44" s="25">
        <f>'TUSD BE'!$L$44*'TUSD BE'!$L$58</f>
        <v>0.11645771138848289</v>
      </c>
      <c r="M44" s="25">
        <f>'TUSD BE'!$M$44*'TUSD BE'!$M$58</f>
        <v>-3.6227088690402693E-4</v>
      </c>
      <c r="N44" s="25">
        <f ca="1">'TUSD BE'!$N$44*'TUSD BE'!$N$58</f>
        <v>3.3731689760328287E-6</v>
      </c>
      <c r="O44" s="25">
        <f>'TUSD BE'!$O$44*'TUSD BE'!$O$58</f>
        <v>0</v>
      </c>
      <c r="P44" s="25">
        <f>'TUSD BE'!$P$44*'TUSD BE'!$P$58</f>
        <v>0</v>
      </c>
      <c r="Q44" s="25">
        <f>'TUSD BE'!$Q$44*'TUSD BE'!$Q$58</f>
        <v>1.6601994888322489</v>
      </c>
      <c r="R44" s="25">
        <f>'TUSD BE'!$R$44*'TUSD BE'!$R$58</f>
        <v>0.28986367582831496</v>
      </c>
      <c r="S44" s="25">
        <f>'TUSD BE'!$R$44*'TUSD BE'!$S$58</f>
        <v>0</v>
      </c>
      <c r="T44" s="25">
        <f ca="1">SUM($L$44:$S$44)</f>
        <v>2.0661619783311189</v>
      </c>
      <c r="U44" s="25">
        <f>'TUSD BE'!$U$44*'TUSD BE'!$U$58</f>
        <v>1.5808911722836643</v>
      </c>
      <c r="V44" s="25">
        <f>'TUSD BE'!$V$44*'TUSD BE'!$V$58</f>
        <v>0.20497816294169716</v>
      </c>
      <c r="W44" s="25">
        <f>'TUSD BE'!$W$44*'TUSD BE'!$W$58</f>
        <v>2.1053920117940213E-2</v>
      </c>
      <c r="X44" s="25">
        <f>'TUSD BE'!$X$44*'TUSD BE'!$X$58</f>
        <v>0</v>
      </c>
      <c r="Y44" s="25">
        <f>'TUSD BE'!$Y$44*'TUSD BE'!$Y$58</f>
        <v>0.67693343084482083</v>
      </c>
      <c r="Z44" s="25">
        <f>'TUSD BE'!$Z$44*'TUSD BE'!$Z$58</f>
        <v>0</v>
      </c>
      <c r="AA44" s="25">
        <f>'TUSD BE'!$AA$44*'TUSD BE'!$AA$58</f>
        <v>0</v>
      </c>
      <c r="AB44" s="25">
        <f>SUM($U$44:$AA$44)</f>
        <v>2.4838566861881226</v>
      </c>
      <c r="AC44" s="25">
        <f>'TUSD BE'!$AC$44*'TUSD BE'!$AC$58</f>
        <v>0</v>
      </c>
      <c r="AD44" s="25">
        <f>SUM($AC$44:$AC$44)</f>
        <v>0</v>
      </c>
      <c r="AE44" s="25">
        <f ca="1">$AO$44*$AO$55</f>
        <v>-12.014854239068573</v>
      </c>
      <c r="AF44" s="25">
        <f ca="1">$AP$44*$AP$55</f>
        <v>0</v>
      </c>
      <c r="AG44" s="25">
        <f ca="1">SUM($AE$44:$AF$44)</f>
        <v>-12.014854239068573</v>
      </c>
      <c r="AH44" s="25">
        <f>'TUSD BE'!$AH$44*'TUSD BE'!$AH$58</f>
        <v>1.2970757372072059</v>
      </c>
      <c r="AI44" s="25">
        <f>'TUSD BE'!$AI$44*'TUSD BE'!$AI$58</f>
        <v>4.5749032416315519E-2</v>
      </c>
      <c r="AJ44" s="25">
        <f ca="1">'TUSD BE'!$AJ$44*'TUSD BE'!$AJ$58</f>
        <v>0.17404280058386498</v>
      </c>
      <c r="AK44" s="25">
        <f ca="1">'TUSD BE'!$AK$44*'TUSD BE'!$AK$58</f>
        <v>1.7443959207305262E-2</v>
      </c>
      <c r="AL44" s="25">
        <f ca="1">SUM($AH$44:$AK$44)</f>
        <v>1.5343115294146916</v>
      </c>
      <c r="AM44" s="25">
        <f ca="1">SUMIF($L$4:$AL$4,"SUBTOTAL",$L$44:$AL$44)</f>
        <v>-5.9305240451346402</v>
      </c>
      <c r="AO44" s="30">
        <f ca="1">+'TUSD BE'!$T$44+'TUSD BE'!$AB$44+'TUSD BE'!$AD$44+'TUSD BE'!$AL$44</f>
        <v>407.22033291444632</v>
      </c>
      <c r="AP44" s="30">
        <f ca="1">+'TUSD BE'!$T$44+'TUSD BE'!$AB$44+'TUSD BE'!$AD$44+'TUSD BE'!$AL$44</f>
        <v>407.22033291444632</v>
      </c>
    </row>
    <row r="45" spans="1:42" ht="11.25" customHeight="1" x14ac:dyDescent="0.25">
      <c r="A45" s="119" t="s">
        <v>37</v>
      </c>
      <c r="B45" s="119" t="s">
        <v>33</v>
      </c>
      <c r="C45" s="119" t="s">
        <v>25</v>
      </c>
      <c r="D45" s="119" t="s">
        <v>25</v>
      </c>
      <c r="E45" s="119" t="s">
        <v>25</v>
      </c>
      <c r="F45" s="119" t="s">
        <v>25</v>
      </c>
      <c r="G45" s="21" t="s">
        <v>81</v>
      </c>
      <c r="H45" s="21" t="s">
        <v>80</v>
      </c>
      <c r="I45" s="21">
        <f>'MERCADO TUSD'!$U$42</f>
        <v>57.161000000000001</v>
      </c>
      <c r="J45" s="17"/>
      <c r="L45" s="25">
        <f>'TUSD BE'!$L$45*'TUSD BE'!$L$58</f>
        <v>0.11645771138848289</v>
      </c>
      <c r="M45" s="25">
        <f>'TUSD BE'!$M$45*'TUSD BE'!$M$58</f>
        <v>-3.6227088690402693E-4</v>
      </c>
      <c r="N45" s="25">
        <f ca="1">'TUSD BE'!$N$45*'TUSD BE'!$N$58</f>
        <v>3.7380213645030186E-6</v>
      </c>
      <c r="O45" s="25">
        <f>'TUSD BE'!$O$45*'TUSD BE'!$O$58</f>
        <v>0</v>
      </c>
      <c r="P45" s="25">
        <f>'TUSD BE'!$P$45*'TUSD BE'!$P$58</f>
        <v>0</v>
      </c>
      <c r="Q45" s="25">
        <f>'TUSD BE'!$Q$45*'TUSD BE'!$Q$58</f>
        <v>1.6601994888322489</v>
      </c>
      <c r="R45" s="25">
        <f>'TUSD BE'!$R$45*'TUSD BE'!$R$58</f>
        <v>0.28986367582831496</v>
      </c>
      <c r="S45" s="25">
        <f>'TUSD BE'!$R$45*'TUSD BE'!$S$58</f>
        <v>0</v>
      </c>
      <c r="T45" s="25">
        <f ca="1">SUM($L$45:$S$45)</f>
        <v>2.0661623431835072</v>
      </c>
      <c r="U45" s="25">
        <f>'TUSD BE'!$U$45*'TUSD BE'!$U$58</f>
        <v>5.6121644173706029</v>
      </c>
      <c r="V45" s="25">
        <f>'TUSD BE'!$V$45*'TUSD BE'!$V$58</f>
        <v>0.72766474291034422</v>
      </c>
      <c r="W45" s="25">
        <f>'TUSD BE'!$W$45*'TUSD BE'!$W$58</f>
        <v>7.4741416418687756E-2</v>
      </c>
      <c r="X45" s="25">
        <f>'TUSD BE'!$X$45*'TUSD BE'!$X$58</f>
        <v>0</v>
      </c>
      <c r="Y45" s="25">
        <f>'TUSD BE'!$Y$45*'TUSD BE'!$Y$58</f>
        <v>2.4031117498143053</v>
      </c>
      <c r="Z45" s="25">
        <f>'TUSD BE'!$Z$45*'TUSD BE'!$Z$58</f>
        <v>0</v>
      </c>
      <c r="AA45" s="25">
        <f>'TUSD BE'!$AA$45*'TUSD BE'!$AA$58</f>
        <v>0</v>
      </c>
      <c r="AB45" s="25">
        <f>SUM($U$45:$AA$45)</f>
        <v>8.8176823265139408</v>
      </c>
      <c r="AC45" s="25">
        <f>'TUSD BE'!$AC$45*'TUSD BE'!$AC$58</f>
        <v>0</v>
      </c>
      <c r="AD45" s="25">
        <f>SUM($AC$45:$AC$45)</f>
        <v>0</v>
      </c>
      <c r="AE45" s="25">
        <f ca="1">$AO$45*$AO$55</f>
        <v>-31.030434135012154</v>
      </c>
      <c r="AF45" s="25">
        <f ca="1">$AP$45*$AP$55</f>
        <v>0</v>
      </c>
      <c r="AG45" s="25">
        <f ca="1">SUM($AE$45:$AF$45)</f>
        <v>-31.030434135012154</v>
      </c>
      <c r="AH45" s="25">
        <f>'TUSD BE'!$AH$45*'TUSD BE'!$AH$58</f>
        <v>1.2970757372072059</v>
      </c>
      <c r="AI45" s="25">
        <f>'TUSD BE'!$AI$45*'TUSD BE'!$AI$58</f>
        <v>4.5749032416315519E-2</v>
      </c>
      <c r="AJ45" s="25">
        <f ca="1">'TUSD BE'!$AJ$45*'TUSD BE'!$AJ$58</f>
        <v>0.17404280058386498</v>
      </c>
      <c r="AK45" s="25">
        <f ca="1">'TUSD BE'!$AK$45*'TUSD BE'!$AK$58</f>
        <v>1.7443959207305262E-2</v>
      </c>
      <c r="AL45" s="25">
        <f ca="1">SUM($AH$45:$AK$45)</f>
        <v>1.5343115294146916</v>
      </c>
      <c r="AM45" s="25">
        <f ca="1">SUMIF($L$4:$AL$4,"SUBTOTAL",$L$45:$AL$45)</f>
        <v>-18.612277935900014</v>
      </c>
      <c r="AO45" s="30">
        <f ca="1">+'TUSD BE'!$T$45+'TUSD BE'!$AB$45+'TUSD BE'!$AD$45+'TUSD BE'!$AL$45</f>
        <v>1051.716772214379</v>
      </c>
      <c r="AP45" s="30">
        <f ca="1">+'TUSD BE'!$T$45+'TUSD BE'!$AB$45+'TUSD BE'!$AD$45+'TUSD BE'!$AL$45</f>
        <v>1051.716772214379</v>
      </c>
    </row>
    <row r="46" spans="1:42" ht="11.25" customHeight="1" x14ac:dyDescent="0.25">
      <c r="A46" s="119"/>
      <c r="B46" s="119"/>
      <c r="C46" s="119"/>
      <c r="D46" s="119"/>
      <c r="E46" s="119"/>
      <c r="F46" s="119"/>
      <c r="G46" s="21" t="s">
        <v>91</v>
      </c>
      <c r="H46" s="21" t="s">
        <v>80</v>
      </c>
      <c r="I46" s="21">
        <f>'MERCADO TUSD'!$U$43</f>
        <v>51.646000000000001</v>
      </c>
      <c r="J46" s="17"/>
      <c r="L46" s="25">
        <f>'TUSD BE'!$L$46*'TUSD BE'!$L$58</f>
        <v>0.11645771138848289</v>
      </c>
      <c r="M46" s="25">
        <f>'TUSD BE'!$M$46*'TUSD BE'!$M$58</f>
        <v>-3.6227088690402693E-4</v>
      </c>
      <c r="N46" s="25">
        <f ca="1">'TUSD BE'!$N$46*'TUSD BE'!$N$58</f>
        <v>3.5348486241022113E-6</v>
      </c>
      <c r="O46" s="25">
        <f>'TUSD BE'!$O$46*'TUSD BE'!$O$58</f>
        <v>0</v>
      </c>
      <c r="P46" s="25">
        <f>'TUSD BE'!$P$46*'TUSD BE'!$P$58</f>
        <v>0</v>
      </c>
      <c r="Q46" s="25">
        <f>'TUSD BE'!$Q$46*'TUSD BE'!$Q$58</f>
        <v>1.6601994888322489</v>
      </c>
      <c r="R46" s="25">
        <f>'TUSD BE'!$R$46*'TUSD BE'!$R$58</f>
        <v>0.28986367582831496</v>
      </c>
      <c r="S46" s="25">
        <f>'TUSD BE'!$R$46*'TUSD BE'!$S$58</f>
        <v>0</v>
      </c>
      <c r="T46" s="25">
        <f ca="1">SUM($L$46:$S$46)</f>
        <v>2.0661621400107668</v>
      </c>
      <c r="U46" s="25">
        <f>'TUSD BE'!$U$46*'TUSD BE'!$U$58</f>
        <v>3.3672971388951729</v>
      </c>
      <c r="V46" s="25">
        <f>'TUSD BE'!$V$46*'TUSD BE'!$V$58</f>
        <v>0.43660019105623793</v>
      </c>
      <c r="W46" s="25">
        <f>'TUSD BE'!$W$46*'TUSD BE'!$W$58</f>
        <v>4.484439901780541E-2</v>
      </c>
      <c r="X46" s="25">
        <f>'TUSD BE'!$X$46*'TUSD BE'!$X$58</f>
        <v>0</v>
      </c>
      <c r="Y46" s="25">
        <f>'TUSD BE'!$Y$46*'TUSD BE'!$Y$58</f>
        <v>1.4418662780146598</v>
      </c>
      <c r="Z46" s="25">
        <f>'TUSD BE'!$Z$46*'TUSD BE'!$Z$58</f>
        <v>0</v>
      </c>
      <c r="AA46" s="25">
        <f>'TUSD BE'!$AA$46*'TUSD BE'!$AA$58</f>
        <v>0</v>
      </c>
      <c r="AB46" s="25">
        <f>SUM($U$46:$AA$46)</f>
        <v>5.2906080069838755</v>
      </c>
      <c r="AC46" s="25">
        <f>'TUSD BE'!$AC$46*'TUSD BE'!$AC$58</f>
        <v>0</v>
      </c>
      <c r="AD46" s="25">
        <f>SUM($AC$46:$AC$46)</f>
        <v>0</v>
      </c>
      <c r="AE46" s="25">
        <f ca="1">$AO$46*$AO$55</f>
        <v>-20.441363959278117</v>
      </c>
      <c r="AF46" s="25">
        <f ca="1">$AP$46*$AP$55</f>
        <v>0</v>
      </c>
      <c r="AG46" s="25">
        <f ca="1">SUM($AE$46:$AF$46)</f>
        <v>-20.441363959278117</v>
      </c>
      <c r="AH46" s="25">
        <f>'TUSD BE'!$AH$46*'TUSD BE'!$AH$58</f>
        <v>1.2970757372072059</v>
      </c>
      <c r="AI46" s="25">
        <f>'TUSD BE'!$AI$46*'TUSD BE'!$AI$58</f>
        <v>4.5749032416315519E-2</v>
      </c>
      <c r="AJ46" s="25">
        <f ca="1">'TUSD BE'!$AJ$46*'TUSD BE'!$AJ$58</f>
        <v>0.17404280058386498</v>
      </c>
      <c r="AK46" s="25">
        <f ca="1">'TUSD BE'!$AK$46*'TUSD BE'!$AK$58</f>
        <v>1.7443959207305262E-2</v>
      </c>
      <c r="AL46" s="25">
        <f ca="1">SUM($AH$46:$AK$46)</f>
        <v>1.5343115294146916</v>
      </c>
      <c r="AM46" s="25">
        <f ca="1">SUMIF($L$4:$AL$4,"SUBTOTAL",$L$46:$AL$46)</f>
        <v>-11.550282282868784</v>
      </c>
      <c r="AO46" s="30">
        <f ca="1">+'TUSD BE'!$T$46+'TUSD BE'!$AB$46+'TUSD BE'!$AD$46+'TUSD BE'!$AL$46</f>
        <v>692.82064277193524</v>
      </c>
      <c r="AP46" s="30">
        <f ca="1">+'TUSD BE'!$T$46+'TUSD BE'!$AB$46+'TUSD BE'!$AD$46+'TUSD BE'!$AL$46</f>
        <v>692.82064277193524</v>
      </c>
    </row>
    <row r="47" spans="1:42" ht="11.25" customHeight="1" x14ac:dyDescent="0.25">
      <c r="A47" s="119"/>
      <c r="B47" s="119"/>
      <c r="C47" s="119"/>
      <c r="D47" s="119"/>
      <c r="E47" s="119"/>
      <c r="F47" s="119"/>
      <c r="G47" s="21" t="s">
        <v>82</v>
      </c>
      <c r="H47" s="21" t="s">
        <v>80</v>
      </c>
      <c r="I47" s="21">
        <f>'MERCADO TUSD'!$U$44</f>
        <v>982.72000000000014</v>
      </c>
      <c r="J47" s="17"/>
      <c r="L47" s="25">
        <f>'TUSD BE'!$L$47*'TUSD BE'!$L$58</f>
        <v>0.11645771138848289</v>
      </c>
      <c r="M47" s="25">
        <f>'TUSD BE'!$M$47*'TUSD BE'!$M$58</f>
        <v>-3.6227088690402693E-4</v>
      </c>
      <c r="N47" s="25">
        <f ca="1">'TUSD BE'!$N$47*'TUSD BE'!$N$58</f>
        <v>3.3316759471187653E-6</v>
      </c>
      <c r="O47" s="25">
        <f>'TUSD BE'!$O$47*'TUSD BE'!$O$58</f>
        <v>0</v>
      </c>
      <c r="P47" s="25">
        <f>'TUSD BE'!$P$47*'TUSD BE'!$P$58</f>
        <v>0</v>
      </c>
      <c r="Q47" s="25">
        <f>'TUSD BE'!$Q$47*'TUSD BE'!$Q$58</f>
        <v>1.6601994888322489</v>
      </c>
      <c r="R47" s="25">
        <f>'TUSD BE'!$R$47*'TUSD BE'!$R$58</f>
        <v>0.28986367582831496</v>
      </c>
      <c r="S47" s="25">
        <f>'TUSD BE'!$R$47*'TUSD BE'!$S$58</f>
        <v>0</v>
      </c>
      <c r="T47" s="25">
        <f ca="1">SUM($L$47:$S$47)</f>
        <v>2.0661619368380899</v>
      </c>
      <c r="U47" s="25">
        <f>'TUSD BE'!$U$47*'TUSD BE'!$U$58</f>
        <v>1.1224298604197416</v>
      </c>
      <c r="V47" s="25">
        <f>'TUSD BE'!$V$47*'TUSD BE'!$V$58</f>
        <v>0.14553563920213175</v>
      </c>
      <c r="W47" s="25">
        <f>'TUSD BE'!$W$47*'TUSD BE'!$W$58</f>
        <v>1.4947381616923079E-2</v>
      </c>
      <c r="X47" s="25">
        <f>'TUSD BE'!$X$47*'TUSD BE'!$X$58</f>
        <v>0</v>
      </c>
      <c r="Y47" s="25">
        <f>'TUSD BE'!$Y$47*'TUSD BE'!$Y$58</f>
        <v>0.48062273589982279</v>
      </c>
      <c r="Z47" s="25">
        <f>'TUSD BE'!$Z$47*'TUSD BE'!$Z$58</f>
        <v>0</v>
      </c>
      <c r="AA47" s="25">
        <f>'TUSD BE'!$AA$47*'TUSD BE'!$AA$58</f>
        <v>0</v>
      </c>
      <c r="AB47" s="25">
        <f>SUM($U$47:$AA$47)</f>
        <v>1.7635356171386192</v>
      </c>
      <c r="AC47" s="25">
        <f>'TUSD BE'!$AC$47*'TUSD BE'!$AC$58</f>
        <v>0</v>
      </c>
      <c r="AD47" s="25">
        <f>SUM($AC$47:$AC$47)</f>
        <v>0</v>
      </c>
      <c r="AE47" s="25">
        <f ca="1">$AO$47*$AO$55</f>
        <v>-9.8522972188327298</v>
      </c>
      <c r="AF47" s="25">
        <f ca="1">$AP$47*$AP$55</f>
        <v>0</v>
      </c>
      <c r="AG47" s="25">
        <f ca="1">SUM($AE$47:$AF$47)</f>
        <v>-9.8522972188327298</v>
      </c>
      <c r="AH47" s="25">
        <f>'TUSD BE'!$AH$47*'TUSD BE'!$AH$58</f>
        <v>1.2970757372072059</v>
      </c>
      <c r="AI47" s="25">
        <f>'TUSD BE'!$AI$47*'TUSD BE'!$AI$58</f>
        <v>4.5749032416315519E-2</v>
      </c>
      <c r="AJ47" s="25">
        <f ca="1">'TUSD BE'!$AJ$47*'TUSD BE'!$AJ$58</f>
        <v>0.17404280058386498</v>
      </c>
      <c r="AK47" s="25">
        <f ca="1">'TUSD BE'!$AK$47*'TUSD BE'!$AK$58</f>
        <v>1.7443959207305262E-2</v>
      </c>
      <c r="AL47" s="25">
        <f ca="1">SUM($AH$47:$AK$47)</f>
        <v>1.5343115294146916</v>
      </c>
      <c r="AM47" s="25">
        <f ca="1">SUMIF($L$4:$AL$4,"SUBTOTAL",$L$47:$AL$47)</f>
        <v>-4.4882881354413291</v>
      </c>
      <c r="AO47" s="30">
        <f ca="1">+'TUSD BE'!$T$47+'TUSD BE'!$AB$47+'TUSD BE'!$AD$47+'TUSD BE'!$AL$47</f>
        <v>333.92462976198073</v>
      </c>
      <c r="AP47" s="30">
        <f ca="1">+'TUSD BE'!$T$47+'TUSD BE'!$AB$47+'TUSD BE'!$AD$47+'TUSD BE'!$AL$47</f>
        <v>333.92462976198073</v>
      </c>
    </row>
    <row r="48" spans="1:42" ht="11.25" customHeight="1" x14ac:dyDescent="0.25">
      <c r="A48" s="119"/>
      <c r="B48" s="28" t="s">
        <v>23</v>
      </c>
      <c r="C48" s="28" t="s">
        <v>25</v>
      </c>
      <c r="D48" s="28" t="s">
        <v>25</v>
      </c>
      <c r="E48" s="28" t="s">
        <v>25</v>
      </c>
      <c r="F48" s="28" t="s">
        <v>25</v>
      </c>
      <c r="G48" s="21" t="s">
        <v>86</v>
      </c>
      <c r="H48" s="21" t="s">
        <v>80</v>
      </c>
      <c r="I48" s="21">
        <f>'MERCADO TUSD'!$U$45</f>
        <v>86690.115999999995</v>
      </c>
      <c r="J48" s="17"/>
      <c r="L48" s="25">
        <f>'TUSD BE'!$L$48*'TUSD BE'!$L$58</f>
        <v>0.11645771138848289</v>
      </c>
      <c r="M48" s="25">
        <f>'TUSD BE'!$M$48*'TUSD BE'!$M$58</f>
        <v>-3.6227088690402693E-4</v>
      </c>
      <c r="N48" s="25">
        <f ca="1">'TUSD BE'!$N$48*'TUSD BE'!$N$58</f>
        <v>3.3731689760328287E-6</v>
      </c>
      <c r="O48" s="25">
        <f>'TUSD BE'!$O$48*'TUSD BE'!$O$58</f>
        <v>0</v>
      </c>
      <c r="P48" s="25">
        <f>'TUSD BE'!$P$48*'TUSD BE'!$P$58</f>
        <v>0</v>
      </c>
      <c r="Q48" s="25">
        <f>'TUSD BE'!$Q$48*'TUSD BE'!$Q$58</f>
        <v>1.6601994888322489</v>
      </c>
      <c r="R48" s="25">
        <f>'TUSD BE'!$R$48*'TUSD BE'!$R$58</f>
        <v>0.28986367582831496</v>
      </c>
      <c r="S48" s="25">
        <f>'TUSD BE'!$R$48*'TUSD BE'!$S$58</f>
        <v>0</v>
      </c>
      <c r="T48" s="25">
        <f ca="1">SUM($L$48:$S$48)</f>
        <v>2.0661619783311189</v>
      </c>
      <c r="U48" s="25">
        <f>'TUSD BE'!$U$48*'TUSD BE'!$U$58</f>
        <v>1.5808911722836643</v>
      </c>
      <c r="V48" s="25">
        <f>'TUSD BE'!$V$48*'TUSD BE'!$V$58</f>
        <v>0.20497816294169716</v>
      </c>
      <c r="W48" s="25">
        <f>'TUSD BE'!$W$48*'TUSD BE'!$W$58</f>
        <v>2.1053920117940213E-2</v>
      </c>
      <c r="X48" s="25">
        <f>'TUSD BE'!$X$48*'TUSD BE'!$X$58</f>
        <v>0</v>
      </c>
      <c r="Y48" s="25">
        <f>'TUSD BE'!$Y$48*'TUSD BE'!$Y$58</f>
        <v>0.67693343084482083</v>
      </c>
      <c r="Z48" s="25">
        <f>'TUSD BE'!$Z$48*'TUSD BE'!$Z$58</f>
        <v>0</v>
      </c>
      <c r="AA48" s="25">
        <f>'TUSD BE'!$AA$48*'TUSD BE'!$AA$58</f>
        <v>0</v>
      </c>
      <c r="AB48" s="25">
        <f>SUM($U$48:$AA$48)</f>
        <v>2.4838566861881226</v>
      </c>
      <c r="AC48" s="25">
        <f>'TUSD BE'!$AC$48*'TUSD BE'!$AC$58</f>
        <v>0</v>
      </c>
      <c r="AD48" s="25">
        <f>SUM($AC$48:$AC$48)</f>
        <v>0</v>
      </c>
      <c r="AE48" s="25">
        <f ca="1">$AO$48*$AO$55</f>
        <v>-12.014854239068573</v>
      </c>
      <c r="AF48" s="25">
        <f ca="1">$AP$48*$AP$55</f>
        <v>0</v>
      </c>
      <c r="AG48" s="25">
        <f ca="1">SUM($AE$48:$AF$48)</f>
        <v>-12.014854239068573</v>
      </c>
      <c r="AH48" s="25">
        <f>'TUSD BE'!$AH$48*'TUSD BE'!$AH$58</f>
        <v>1.2970757372072059</v>
      </c>
      <c r="AI48" s="25">
        <f>'TUSD BE'!$AI$48*'TUSD BE'!$AI$58</f>
        <v>4.5749032416315519E-2</v>
      </c>
      <c r="AJ48" s="25">
        <f ca="1">'TUSD BE'!$AJ$48*'TUSD BE'!$AJ$58</f>
        <v>0.17404280058386498</v>
      </c>
      <c r="AK48" s="25">
        <f ca="1">'TUSD BE'!$AK$48*'TUSD BE'!$AK$58</f>
        <v>1.7443959207305262E-2</v>
      </c>
      <c r="AL48" s="25">
        <f ca="1">SUM($AH$48:$AK$48)</f>
        <v>1.5343115294146916</v>
      </c>
      <c r="AM48" s="25">
        <f ca="1">SUMIF($L$4:$AL$4,"SUBTOTAL",$L$48:$AL$48)</f>
        <v>-5.9305240451346402</v>
      </c>
      <c r="AO48" s="30">
        <f ca="1">+'TUSD BE'!$T$48+'TUSD BE'!$AB$48+'TUSD BE'!$AD$48+'TUSD BE'!$AL$48</f>
        <v>407.22033291444632</v>
      </c>
      <c r="AP48" s="30">
        <f ca="1">+'TUSD BE'!$T$48+'TUSD BE'!$AB$48+'TUSD BE'!$AD$48+'TUSD BE'!$AL$48</f>
        <v>407.22033291444632</v>
      </c>
    </row>
    <row r="49" spans="1:42" ht="11.25" customHeight="1" x14ac:dyDescent="0.25">
      <c r="A49" s="119"/>
      <c r="B49" s="28" t="s">
        <v>94</v>
      </c>
      <c r="C49" s="28" t="s">
        <v>25</v>
      </c>
      <c r="D49" s="28" t="s">
        <v>25</v>
      </c>
      <c r="E49" s="28" t="s">
        <v>25</v>
      </c>
      <c r="F49" s="28" t="s">
        <v>25</v>
      </c>
      <c r="G49" s="21" t="s">
        <v>86</v>
      </c>
      <c r="H49" s="21" t="s">
        <v>80</v>
      </c>
      <c r="I49" s="21">
        <f>'MERCADO TUSD'!$U$46</f>
        <v>0</v>
      </c>
      <c r="J49" s="17"/>
      <c r="L49" s="25">
        <f>'TUSD BE'!$L$49*'TUSD BE'!$L$58</f>
        <v>0.11645771138848289</v>
      </c>
      <c r="M49" s="25">
        <f>'TUSD BE'!$M$49*'TUSD BE'!$M$58</f>
        <v>-3.6227088690402693E-4</v>
      </c>
      <c r="N49" s="25">
        <f ca="1">'TUSD BE'!$N$49*'TUSD BE'!$N$58</f>
        <v>3.3731689760328287E-6</v>
      </c>
      <c r="O49" s="25">
        <f>'TUSD BE'!$O$49*'TUSD BE'!$O$58</f>
        <v>0</v>
      </c>
      <c r="P49" s="25">
        <f>'TUSD BE'!$P$49*'TUSD BE'!$P$58</f>
        <v>0</v>
      </c>
      <c r="Q49" s="25">
        <f>'TUSD BE'!$Q$49*'TUSD BE'!$Q$58</f>
        <v>1.6601994888322489</v>
      </c>
      <c r="R49" s="25">
        <f>'TUSD BE'!$R$49*'TUSD BE'!$R$58</f>
        <v>0.28986367582831496</v>
      </c>
      <c r="S49" s="25">
        <f>'TUSD BE'!$R$49*'TUSD BE'!$S$58</f>
        <v>0</v>
      </c>
      <c r="T49" s="25">
        <f ca="1">SUM($L$49:$S$49)</f>
        <v>2.0661619783311189</v>
      </c>
      <c r="U49" s="25">
        <f>'TUSD BE'!$U$49*'TUSD BE'!$U$58</f>
        <v>1.5808911722836643</v>
      </c>
      <c r="V49" s="25">
        <f>'TUSD BE'!$V$49*'TUSD BE'!$V$58</f>
        <v>0.20497816294169716</v>
      </c>
      <c r="W49" s="25">
        <f>'TUSD BE'!$W$49*'TUSD BE'!$W$58</f>
        <v>2.1053920117940213E-2</v>
      </c>
      <c r="X49" s="25">
        <f>'TUSD BE'!$X$49*'TUSD BE'!$X$58</f>
        <v>0</v>
      </c>
      <c r="Y49" s="25">
        <f>'TUSD BE'!$Y$49*'TUSD BE'!$Y$58</f>
        <v>0.67693343084482083</v>
      </c>
      <c r="Z49" s="25">
        <f>'TUSD BE'!$Z$49*'TUSD BE'!$Z$58</f>
        <v>0</v>
      </c>
      <c r="AA49" s="25">
        <f>'TUSD BE'!$AA$49*'TUSD BE'!$AA$58</f>
        <v>0</v>
      </c>
      <c r="AB49" s="25">
        <f>SUM($U$49:$AA$49)</f>
        <v>2.4838566861881226</v>
      </c>
      <c r="AC49" s="25">
        <f>'TUSD BE'!$AC$49*'TUSD BE'!$AC$58</f>
        <v>0</v>
      </c>
      <c r="AD49" s="25">
        <f>SUM($AC$49:$AC$49)</f>
        <v>0</v>
      </c>
      <c r="AE49" s="25">
        <f ca="1">$AO$49*$AO$55</f>
        <v>-12.014854239068573</v>
      </c>
      <c r="AF49" s="25">
        <f ca="1">$AP$49*$AP$55</f>
        <v>0</v>
      </c>
      <c r="AG49" s="25">
        <f ca="1">SUM($AE$49:$AF$49)</f>
        <v>-12.014854239068573</v>
      </c>
      <c r="AH49" s="25">
        <f>'TUSD BE'!$AH$49*'TUSD BE'!$AH$58</f>
        <v>1.2970757372072059</v>
      </c>
      <c r="AI49" s="25">
        <f>'TUSD BE'!$AI$49*'TUSD BE'!$AI$58</f>
        <v>4.5749032416315519E-2</v>
      </c>
      <c r="AJ49" s="25">
        <f ca="1">'TUSD BE'!$AJ$49*'TUSD BE'!$AJ$58</f>
        <v>0.17404280058386498</v>
      </c>
      <c r="AK49" s="25">
        <f ca="1">'TUSD BE'!$AK$49*'TUSD BE'!$AK$58</f>
        <v>1.7443959207305262E-2</v>
      </c>
      <c r="AL49" s="25">
        <f ca="1">SUM($AH$49:$AK$49)</f>
        <v>1.5343115294146916</v>
      </c>
      <c r="AM49" s="25">
        <f ca="1">SUMIF($L$4:$AL$4,"SUBTOTAL",$L$49:$AL$49)</f>
        <v>-5.9305240451346402</v>
      </c>
      <c r="AO49" s="30">
        <f ca="1">+'TUSD BE'!$T$49+'TUSD BE'!$AB$49+'TUSD BE'!$AD$49+'TUSD BE'!$AL$49</f>
        <v>407.22033291444632</v>
      </c>
      <c r="AP49" s="30">
        <f ca="1">+'TUSD BE'!$T$49+'TUSD BE'!$AB$49+'TUSD BE'!$AD$49+'TUSD BE'!$AL$49</f>
        <v>407.22033291444632</v>
      </c>
    </row>
    <row r="50" spans="1:42" ht="11.25" customHeight="1" x14ac:dyDescent="0.25">
      <c r="A50" s="119" t="s">
        <v>46</v>
      </c>
      <c r="B50" s="119" t="s">
        <v>23</v>
      </c>
      <c r="C50" s="119" t="s">
        <v>47</v>
      </c>
      <c r="D50" s="28" t="s">
        <v>48</v>
      </c>
      <c r="E50" s="28" t="s">
        <v>25</v>
      </c>
      <c r="F50" s="28" t="s">
        <v>25</v>
      </c>
      <c r="G50" s="21" t="s">
        <v>86</v>
      </c>
      <c r="H50" s="21" t="s">
        <v>80</v>
      </c>
      <c r="I50" s="21">
        <f>'MERCADO TUSD'!$U$47</f>
        <v>18976.334999999999</v>
      </c>
      <c r="J50" s="17"/>
      <c r="L50" s="25">
        <f>'TUSD BE'!$L$50*'TUSD BE'!$L$58</f>
        <v>6.4051741263665599E-2</v>
      </c>
      <c r="M50" s="25">
        <f>'TUSD BE'!$M$50*'TUSD BE'!$M$58</f>
        <v>-1.9924898779721483E-4</v>
      </c>
      <c r="N50" s="25">
        <f ca="1">'TUSD BE'!$N$50*'TUSD BE'!$N$58</f>
        <v>1.8552429368180563E-6</v>
      </c>
      <c r="O50" s="25">
        <f>'TUSD BE'!$O$50*'TUSD BE'!$O$58</f>
        <v>0</v>
      </c>
      <c r="P50" s="25">
        <f>'TUSD BE'!$P$50*'TUSD BE'!$P$58</f>
        <v>0</v>
      </c>
      <c r="Q50" s="25">
        <f>'TUSD BE'!$Q$50*'TUSD BE'!$Q$58</f>
        <v>0.91310971885773706</v>
      </c>
      <c r="R50" s="25">
        <f>'TUSD BE'!$R$50*'TUSD BE'!$R$58</f>
        <v>0.15942502170557324</v>
      </c>
      <c r="S50" s="25">
        <f>'TUSD BE'!$R$50*'TUSD BE'!$S$58</f>
        <v>0</v>
      </c>
      <c r="T50" s="25">
        <f ca="1">SUM($L$50:$S$50)</f>
        <v>1.1363890880821155</v>
      </c>
      <c r="U50" s="25">
        <f>'TUSD BE'!$U$50*'TUSD BE'!$U$58</f>
        <v>0.86949014475601549</v>
      </c>
      <c r="V50" s="25">
        <f>'TUSD BE'!$V$50*'TUSD BE'!$V$58</f>
        <v>0.11273798961793347</v>
      </c>
      <c r="W50" s="25">
        <f>'TUSD BE'!$W$50*'TUSD BE'!$W$58</f>
        <v>1.1579656064867118E-2</v>
      </c>
      <c r="X50" s="25">
        <f>'TUSD BE'!$X$50*'TUSD BE'!$X$58</f>
        <v>0</v>
      </c>
      <c r="Y50" s="25">
        <f>'TUSD BE'!$Y$50*'TUSD BE'!$Y$58</f>
        <v>0.37231338696465144</v>
      </c>
      <c r="Z50" s="25">
        <f>'TUSD BE'!$Z$50*'TUSD BE'!$Z$58</f>
        <v>0</v>
      </c>
      <c r="AA50" s="25">
        <f>'TUSD BE'!$AA$50*'TUSD BE'!$AA$58</f>
        <v>0</v>
      </c>
      <c r="AB50" s="25">
        <f>SUM($U$50:$AA$50)</f>
        <v>1.3661211774034676</v>
      </c>
      <c r="AC50" s="25">
        <f>'TUSD BE'!$AC$50*'TUSD BE'!$AC$58</f>
        <v>0</v>
      </c>
      <c r="AD50" s="25">
        <f>SUM($AC$50:$AC$50)</f>
        <v>0</v>
      </c>
      <c r="AE50" s="25">
        <f ca="1">$AO$50*$AO$55</f>
        <v>-6.6081698314877153</v>
      </c>
      <c r="AF50" s="25">
        <f ca="1">$AP$50*$AP$55</f>
        <v>0</v>
      </c>
      <c r="AG50" s="25">
        <f ca="1">SUM($AE$50:$AF$50)</f>
        <v>-6.6081698314877153</v>
      </c>
      <c r="AH50" s="25">
        <f>'TUSD BE'!$AH$50*'TUSD BE'!$AH$58</f>
        <v>0.71339165546396321</v>
      </c>
      <c r="AI50" s="25">
        <f>'TUSD BE'!$AI$50*'TUSD BE'!$AI$58</f>
        <v>2.5161967828973539E-2</v>
      </c>
      <c r="AJ50" s="25">
        <f ca="1">'TUSD BE'!$AJ$50*'TUSD BE'!$AJ$58</f>
        <v>9.5723540321125747E-2</v>
      </c>
      <c r="AK50" s="25">
        <f ca="1">'TUSD BE'!$AK$50*'TUSD BE'!$AK$58</f>
        <v>9.5941775640178938E-3</v>
      </c>
      <c r="AL50" s="25">
        <f ca="1">SUM($AH$50:$AK$50)</f>
        <v>0.84387134117808038</v>
      </c>
      <c r="AM50" s="25">
        <f ca="1">SUMIF($L$4:$AL$4,"SUBTOTAL",$L$50:$AL$50)</f>
        <v>-3.261788224824052</v>
      </c>
      <c r="AO50" s="30">
        <f ca="1">+'TUSD BE'!$T$50+'TUSD BE'!$AB$50+'TUSD BE'!$AD$50+'TUSD BE'!$AL$50</f>
        <v>223.97118310294547</v>
      </c>
      <c r="AP50" s="30">
        <f ca="1">+'TUSD BE'!$T$50+'TUSD BE'!$AB$50+'TUSD BE'!$AD$50+'TUSD BE'!$AL$50</f>
        <v>223.97118310294547</v>
      </c>
    </row>
    <row r="51" spans="1:42" ht="11.25" customHeight="1" x14ac:dyDescent="0.25">
      <c r="A51" s="119"/>
      <c r="B51" s="119"/>
      <c r="C51" s="119"/>
      <c r="D51" s="21" t="s">
        <v>96</v>
      </c>
      <c r="E51" s="21" t="s">
        <v>25</v>
      </c>
      <c r="F51" s="21" t="s">
        <v>25</v>
      </c>
      <c r="G51" s="21" t="s">
        <v>86</v>
      </c>
      <c r="H51" s="21" t="s">
        <v>80</v>
      </c>
      <c r="I51" s="21">
        <f>'MERCADO TUSD'!$U$48</f>
        <v>0</v>
      </c>
      <c r="J51" s="17"/>
      <c r="L51" s="25">
        <f>'TUSD BE'!$L$51*'TUSD BE'!$L$58</f>
        <v>6.9874626833089731E-2</v>
      </c>
      <c r="M51" s="25">
        <f>'TUSD BE'!$M$51*'TUSD BE'!$M$58</f>
        <v>-2.1736253214241617E-4</v>
      </c>
      <c r="N51" s="25">
        <f ca="1">'TUSD BE'!$N$51*'TUSD BE'!$N$58</f>
        <v>2.0239013856196974E-6</v>
      </c>
      <c r="O51" s="25">
        <f>'TUSD BE'!$O$51*'TUSD BE'!$O$58</f>
        <v>0</v>
      </c>
      <c r="P51" s="25">
        <f>'TUSD BE'!$P$51*'TUSD BE'!$P$58</f>
        <v>0</v>
      </c>
      <c r="Q51" s="25">
        <f>'TUSD BE'!$Q$51*'TUSD BE'!$Q$58</f>
        <v>0.99611969329934935</v>
      </c>
      <c r="R51" s="25">
        <f>'TUSD BE'!$R$51*'TUSD BE'!$R$58</f>
        <v>0.17391820549698894</v>
      </c>
      <c r="S51" s="25">
        <f>'TUSD BE'!$R$51*'TUSD BE'!$S$58</f>
        <v>0</v>
      </c>
      <c r="T51" s="25">
        <f ca="1">SUM($L$51:$S$51)</f>
        <v>1.2396971869986713</v>
      </c>
      <c r="U51" s="25">
        <f>'TUSD BE'!$U$51*'TUSD BE'!$U$58</f>
        <v>0.94853470337019863</v>
      </c>
      <c r="V51" s="25">
        <f>'TUSD BE'!$V$51*'TUSD BE'!$V$58</f>
        <v>0.1229868977650183</v>
      </c>
      <c r="W51" s="25">
        <f>'TUSD BE'!$W$51*'TUSD BE'!$W$58</f>
        <v>1.2632352070764127E-2</v>
      </c>
      <c r="X51" s="25">
        <f>'TUSD BE'!$X$51*'TUSD BE'!$X$58</f>
        <v>0</v>
      </c>
      <c r="Y51" s="25">
        <f>'TUSD BE'!$Y$51*'TUSD BE'!$Y$58</f>
        <v>0.40616005850689246</v>
      </c>
      <c r="Z51" s="25">
        <f>'TUSD BE'!$Z$51*'TUSD BE'!$Z$58</f>
        <v>0</v>
      </c>
      <c r="AA51" s="25">
        <f>'TUSD BE'!$AA$51*'TUSD BE'!$AA$58</f>
        <v>0</v>
      </c>
      <c r="AB51" s="25">
        <f>SUM($U$51:$AA$51)</f>
        <v>1.4903140117128735</v>
      </c>
      <c r="AC51" s="25">
        <f>'TUSD BE'!$AC$51*'TUSD BE'!$AC$58</f>
        <v>0</v>
      </c>
      <c r="AD51" s="25">
        <f>SUM($AC$51:$AC$51)</f>
        <v>0</v>
      </c>
      <c r="AE51" s="25">
        <f ca="1">$AO$51*$AO$55</f>
        <v>-7.2089125434411434</v>
      </c>
      <c r="AF51" s="25">
        <f ca="1">$AP$51*$AP$55</f>
        <v>0</v>
      </c>
      <c r="AG51" s="25">
        <f ca="1">SUM($AE$51:$AF$51)</f>
        <v>-7.2089125434411434</v>
      </c>
      <c r="AH51" s="25">
        <f>'TUSD BE'!$AH$51*'TUSD BE'!$AH$58</f>
        <v>0.77824544232432336</v>
      </c>
      <c r="AI51" s="25">
        <f>'TUSD BE'!$AI$51*'TUSD BE'!$AI$58</f>
        <v>2.7449419449789309E-2</v>
      </c>
      <c r="AJ51" s="25">
        <f ca="1">'TUSD BE'!$AJ$51*'TUSD BE'!$AJ$58</f>
        <v>0.10442568035031899</v>
      </c>
      <c r="AK51" s="25">
        <f ca="1">'TUSD BE'!$AK$51*'TUSD BE'!$AK$58</f>
        <v>1.0466375524383157E-2</v>
      </c>
      <c r="AL51" s="25">
        <f ca="1">SUM($AH$51:$AK$51)</f>
        <v>0.92058691764881473</v>
      </c>
      <c r="AM51" s="25">
        <f ca="1">SUMIF($L$4:$AL$4,"SUBTOTAL",$L$51:$AL$51)</f>
        <v>-3.5583144270807834</v>
      </c>
      <c r="AO51" s="30">
        <f ca="1">+'TUSD BE'!$T$51+'TUSD BE'!$AB$51+'TUSD BE'!$AD$51+'TUSD BE'!$AL$51</f>
        <v>244.33219974866776</v>
      </c>
      <c r="AP51" s="30">
        <f ca="1">+'TUSD BE'!$T$51+'TUSD BE'!$AB$51+'TUSD BE'!$AD$51+'TUSD BE'!$AL$51</f>
        <v>244.33219974866776</v>
      </c>
    </row>
    <row r="53" spans="1:42" ht="11.25" customHeight="1" x14ac:dyDescent="0.25">
      <c r="K53" s="27" t="s">
        <v>754</v>
      </c>
      <c r="L53" s="25">
        <f>SUMPRODUCT($I$5:$I51,$L$5:$L51)</f>
        <v>61216.954029554181</v>
      </c>
      <c r="M53" s="25">
        <f>SUMPRODUCT($I$5:$I51,$M$5:$M51)</f>
        <v>-189.02293064447525</v>
      </c>
      <c r="N53" s="25">
        <f ca="1">SUMPRODUCT($I$5:$I51,$N$5:$N51)</f>
        <v>1.6924369367879524</v>
      </c>
      <c r="O53" s="25">
        <f>SUMPRODUCT($I$5:$I51,$O$5:$O51)</f>
        <v>0</v>
      </c>
      <c r="P53" s="25">
        <f>SUMPRODUCT($I$5:$I51,$P$5:$P51)</f>
        <v>0</v>
      </c>
      <c r="Q53" s="25">
        <f>SUMPRODUCT($I$5:$I51,$Q$5:$Q51)</f>
        <v>872697.51891916443</v>
      </c>
      <c r="R53" s="25">
        <f>SUMPRODUCT($I$5:$I51,$R$5:$R51)</f>
        <v>158922.22308649265</v>
      </c>
      <c r="S53" s="25">
        <f>SUMPRODUCT($I$5:$I51,$S$5:$S51)</f>
        <v>0</v>
      </c>
      <c r="T53" s="25">
        <f ca="1">SUMPRODUCT($I$5:$I51,$T$5:$T51)</f>
        <v>1092649.3655415038</v>
      </c>
      <c r="U53" s="25">
        <f>SUMPRODUCT($I$5:$I51,$U$5:$U51)</f>
        <v>841303.7003192862</v>
      </c>
      <c r="V53" s="25">
        <f>SUMPRODUCT($I$5:$I51,$V$5:$V51)</f>
        <v>109001.93057800653</v>
      </c>
      <c r="W53" s="25">
        <f>SUMPRODUCT($I$5:$I51,$W$5:$W51)</f>
        <v>11201.073412471691</v>
      </c>
      <c r="X53" s="25">
        <f>SUMPRODUCT($I$5:$I51,$X$5:$X51)</f>
        <v>0</v>
      </c>
      <c r="Y53" s="25">
        <f>SUMPRODUCT($I$5:$I51,$Y$5:$Y51)</f>
        <v>373498.95084228629</v>
      </c>
      <c r="Z53" s="25">
        <f>SUMPRODUCT($I$5:$I51,$Z$5:$Z51)</f>
        <v>0</v>
      </c>
      <c r="AA53" s="25">
        <f>SUMPRODUCT($I$5:$I51,$AA$5:$AA51)</f>
        <v>0</v>
      </c>
      <c r="AB53" s="25">
        <f>SUMPRODUCT($I$5:$I51,$AB$5:$AB51)</f>
        <v>1335005.6551520505</v>
      </c>
      <c r="AC53" s="25">
        <f>SUMPRODUCT($I$5:$I51,$AC$5:$AC51)</f>
        <v>0</v>
      </c>
      <c r="AD53" s="25">
        <f>SUMPRODUCT($I$5:$I51,$AD$5:$AD51)</f>
        <v>0</v>
      </c>
      <c r="AE53" s="25">
        <f ca="1">SUMPRODUCT($I$5:$I51,$AE$5:$AE51)</f>
        <v>-6320522.4543774305</v>
      </c>
      <c r="AF53" s="25">
        <f ca="1">SUMPRODUCT($I$5:$I51,$AF$5:$AF51)</f>
        <v>0</v>
      </c>
      <c r="AG53" s="25">
        <f ca="1">SUMPRODUCT($I$5:$I51,$AG$5:$AG51)</f>
        <v>-6320522.4543774305</v>
      </c>
      <c r="AH53" s="25">
        <f>SUMPRODUCT($I$5:$I51,$AH$5:$AH51)</f>
        <v>652625.67604969884</v>
      </c>
      <c r="AI53" s="25">
        <f>SUMPRODUCT($I$5:$I51,$AI$5:$AI51)</f>
        <v>23018.506829227626</v>
      </c>
      <c r="AJ53" s="25">
        <f ca="1">SUMPRODUCT($I$5:$I51,$AJ$5:$AJ51)</f>
        <v>93138.397111536338</v>
      </c>
      <c r="AK53" s="25">
        <f ca="1">SUMPRODUCT($I$5:$I51,$AK$5:$AK51)</f>
        <v>9335.0738691690512</v>
      </c>
      <c r="AL53" s="25">
        <f ca="1">SUMPRODUCT($I$5:$I51,$AL$5:$AL51)</f>
        <v>778117.65385963174</v>
      </c>
      <c r="AM53" s="25">
        <f ca="1">SUMPRODUCT($I$5:$I51,$AM$5:$AM51)</f>
        <v>-3114749.7798242443</v>
      </c>
      <c r="AO53" s="21">
        <f ca="1">SUMPRODUCT($I$5:$I51,$AO$5:$AO51)</f>
        <v>214221929.52582523</v>
      </c>
      <c r="AP53" s="21">
        <f ca="1">SUMPRODUCT($I$5:$I51,$AP$5:$AP51)</f>
        <v>214221929.52582523</v>
      </c>
    </row>
    <row r="54" spans="1:42" ht="11.25" customHeight="1" x14ac:dyDescent="0.25">
      <c r="K54" s="27" t="s">
        <v>686</v>
      </c>
      <c r="L54" s="25">
        <f>'TR TUSD'!$L$56</f>
        <v>3468806.8800173793</v>
      </c>
      <c r="M54" s="25">
        <f>'TR TUSD'!$M$56</f>
        <v>386710.27876951877</v>
      </c>
      <c r="N54" s="25">
        <f>'TR TUSD'!$N$56</f>
        <v>1611276.9310492913</v>
      </c>
      <c r="O54" s="25">
        <f>'TR TUSD'!$O$56</f>
        <v>0</v>
      </c>
      <c r="P54" s="25">
        <f>'TR TUSD'!$P$56</f>
        <v>0</v>
      </c>
      <c r="Q54" s="25">
        <f>'TR TUSD'!$Q$56</f>
        <v>49513626.114528321</v>
      </c>
      <c r="R54" s="25">
        <f>'TR TUSD'!$R$56</f>
        <v>8169895.7713834094</v>
      </c>
      <c r="S54" s="25">
        <f>'TR TUSD'!$S$56</f>
        <v>0</v>
      </c>
      <c r="T54" s="25">
        <f>'TR TUSD'!$T$56</f>
        <v>63150315.975747921</v>
      </c>
      <c r="U54" s="25">
        <f>'TR TUSD'!$U$56</f>
        <v>13501545</v>
      </c>
      <c r="V54" s="25">
        <f>'TR TUSD'!$V$56</f>
        <v>1779799.1999999997</v>
      </c>
      <c r="W54" s="25">
        <f>'TR TUSD'!$W$56</f>
        <v>590407.98278087098</v>
      </c>
      <c r="X54" s="25">
        <f>'TR TUSD'!$X$56</f>
        <v>0</v>
      </c>
      <c r="Y54" s="25">
        <f>'TR TUSD'!$Y$56</f>
        <v>22524332.473099999</v>
      </c>
      <c r="Z54" s="25">
        <f>'TR TUSD'!$Z$56</f>
        <v>0</v>
      </c>
      <c r="AA54" s="25">
        <f>'TR TUSD'!$AA$56</f>
        <v>0</v>
      </c>
      <c r="AB54" s="25">
        <f>'TR TUSD'!$AB$56</f>
        <v>38396084.655880868</v>
      </c>
      <c r="AC54" s="25">
        <f>'TR TUSD'!$AC$56</f>
        <v>94940059.683411762</v>
      </c>
      <c r="AD54" s="25">
        <f>'TR TUSD'!$AD$56</f>
        <v>94940059.683411762</v>
      </c>
      <c r="AE54" s="25">
        <f>'TR TUSD'!$AE$56</f>
        <v>0</v>
      </c>
      <c r="AF54" s="25">
        <f>'TR TUSD'!$AF$56</f>
        <v>0</v>
      </c>
      <c r="AG54" s="25">
        <f>'TR TUSD'!$AG$56</f>
        <v>0</v>
      </c>
      <c r="AH54" s="25">
        <f>'TR TUSD'!$AH$56</f>
        <v>14835318.094685547</v>
      </c>
      <c r="AI54" s="25">
        <f>'TR TUSD'!$AI$56</f>
        <v>523250.74450530589</v>
      </c>
      <c r="AJ54" s="25">
        <f>'TR TUSD'!$AJ$56</f>
        <v>2117197.9569396554</v>
      </c>
      <c r="AK54" s="25">
        <f>'TR TUSD'!$AK$56</f>
        <v>259702.41465416804</v>
      </c>
      <c r="AL54" s="25">
        <f>'TR TUSD'!$AL$56</f>
        <v>17735469.210784677</v>
      </c>
      <c r="AM54" s="25">
        <f>'TUSD BE'!$AM$54</f>
        <v>214221929.5258252</v>
      </c>
      <c r="AO54" s="21">
        <f>$AE$55</f>
        <v>-6320522.4543774305</v>
      </c>
      <c r="AP54" s="21">
        <f>$AF$55</f>
        <v>0</v>
      </c>
    </row>
    <row r="55" spans="1:42" ht="11.25" customHeight="1" x14ac:dyDescent="0.25">
      <c r="K55" s="27" t="s">
        <v>687</v>
      </c>
      <c r="L55" s="25">
        <f>CUSTOS!$E$2</f>
        <v>61216.954029554181</v>
      </c>
      <c r="M55" s="25">
        <f>CUSTOS!$E$3</f>
        <v>-189.02293064447531</v>
      </c>
      <c r="N55" s="25">
        <f>CUSTOS!$E$4</f>
        <v>1.6924369367879528</v>
      </c>
      <c r="O55" s="25">
        <f>CUSTOS!$E$5</f>
        <v>0</v>
      </c>
      <c r="P55" s="25">
        <f>CUSTOS!$E$6</f>
        <v>0</v>
      </c>
      <c r="Q55" s="25">
        <f>CUSTOS!$E$7</f>
        <v>872697.51891916431</v>
      </c>
      <c r="R55" s="25">
        <f>CUSTOS!$E$8</f>
        <v>158922.22308649262</v>
      </c>
      <c r="S55" s="25">
        <f>CUSTOS!$E$9</f>
        <v>0</v>
      </c>
      <c r="T55" s="25">
        <f>CUSTOS!$E$10</f>
        <v>1092649.3655415033</v>
      </c>
      <c r="U55" s="25">
        <f>CUSTOS!$E$11</f>
        <v>841303.70031928609</v>
      </c>
      <c r="V55" s="25">
        <f>CUSTOS!$E$12</f>
        <v>109001.93057800652</v>
      </c>
      <c r="W55" s="25">
        <f>CUSTOS!$E$13</f>
        <v>11201.073412471691</v>
      </c>
      <c r="X55" s="25">
        <f>CUSTOS!$E$14</f>
        <v>0</v>
      </c>
      <c r="Y55" s="25">
        <f>CUSTOS!$E$15</f>
        <v>373498.95084228634</v>
      </c>
      <c r="Z55" s="25">
        <f>CUSTOS!$E$16</f>
        <v>0</v>
      </c>
      <c r="AA55" s="25">
        <f>CUSTOS!$E$17</f>
        <v>0</v>
      </c>
      <c r="AB55" s="25">
        <f>CUSTOS!$E$18</f>
        <v>1335005.6551520508</v>
      </c>
      <c r="AC55" s="25">
        <f>CUSTOS!$E$19</f>
        <v>0</v>
      </c>
      <c r="AD55" s="25">
        <f>CUSTOS!$E$20</f>
        <v>0</v>
      </c>
      <c r="AE55" s="25">
        <f>CUSTOS!$E$21</f>
        <v>-6320522.4543774305</v>
      </c>
      <c r="AF55" s="25">
        <f>CUSTOS!$E$22</f>
        <v>0</v>
      </c>
      <c r="AG55" s="25">
        <f>CUSTOS!$E$23</f>
        <v>-6320522.4543774305</v>
      </c>
      <c r="AH55" s="25">
        <f>CUSTOS!$E$24</f>
        <v>652625.67604969873</v>
      </c>
      <c r="AI55" s="25">
        <f>CUSTOS!$E$25</f>
        <v>23018.506829227623</v>
      </c>
      <c r="AJ55" s="25">
        <f>CUSTOS!$E$26</f>
        <v>93138.397111536353</v>
      </c>
      <c r="AK55" s="25">
        <f>CUSTOS!$E$27</f>
        <v>9335.0738691690512</v>
      </c>
      <c r="AL55" s="25">
        <f>CUSTOS!$E$28</f>
        <v>778117.65385963186</v>
      </c>
      <c r="AM55" s="25">
        <f>CUSTOS!$E$29</f>
        <v>-3114749.7798242448</v>
      </c>
      <c r="AO55" s="21">
        <f ca="1">IF(AO53&lt;&gt;0,AO54/AO53,0)</f>
        <v>-2.9504553844546845E-2</v>
      </c>
      <c r="AP55" s="21">
        <f ca="1">IF(AP53&lt;&gt;0,AP54/AP53,0)</f>
        <v>0</v>
      </c>
    </row>
    <row r="56" spans="1:42" ht="11.25" customHeight="1" x14ac:dyDescent="0.25">
      <c r="K56" s="27" t="s">
        <v>688</v>
      </c>
      <c r="L56" s="25">
        <f>CUSTOS!$F$2</f>
        <v>238543.93631434083</v>
      </c>
      <c r="M56" s="25">
        <f>CUSTOS!$F$3</f>
        <v>0</v>
      </c>
      <c r="N56" s="25">
        <f>CUSTOS!$F$4</f>
        <v>0</v>
      </c>
      <c r="O56" s="25">
        <f>CUSTOS!$F$5</f>
        <v>0</v>
      </c>
      <c r="P56" s="25">
        <f>CUSTOS!$F$6</f>
        <v>0</v>
      </c>
      <c r="Q56" s="25">
        <f>CUSTOS!$F$7</f>
        <v>13731581.0275</v>
      </c>
      <c r="R56" s="25">
        <f>CUSTOS!$F$8</f>
        <v>2732711.7645999999</v>
      </c>
      <c r="S56" s="25">
        <f>CUSTOS!$F$9</f>
        <v>0</v>
      </c>
      <c r="T56" s="25">
        <f>CUSTOS!$F$10</f>
        <v>16702836.72841434</v>
      </c>
      <c r="U56" s="25">
        <f>CUSTOS!$F$11</f>
        <v>646049.07174960163</v>
      </c>
      <c r="V56" s="25">
        <f>CUSTOS!$F$12</f>
        <v>85163.410636388886</v>
      </c>
      <c r="W56" s="25">
        <f>CUSTOS!$F$13</f>
        <v>0</v>
      </c>
      <c r="X56" s="25">
        <f>CUSTOS!$F$14</f>
        <v>0</v>
      </c>
      <c r="Y56" s="25">
        <f>CUSTOS!$F$15</f>
        <v>0</v>
      </c>
      <c r="Z56" s="25">
        <f>CUSTOS!$F$16</f>
        <v>0</v>
      </c>
      <c r="AA56" s="25">
        <f>CUSTOS!$F$17</f>
        <v>0</v>
      </c>
      <c r="AB56" s="25">
        <f>CUSTOS!$F$18</f>
        <v>731212.48238599056</v>
      </c>
      <c r="AC56" s="25">
        <f>CUSTOS!$F$19</f>
        <v>0</v>
      </c>
      <c r="AD56" s="25">
        <f>CUSTOS!$F$20</f>
        <v>0</v>
      </c>
      <c r="AE56" s="25">
        <f>CUSTOS!$F$21</f>
        <v>0</v>
      </c>
      <c r="AF56" s="25">
        <f>CUSTOS!$F$22</f>
        <v>0</v>
      </c>
      <c r="AG56" s="25">
        <f>CUSTOS!$F$23</f>
        <v>0</v>
      </c>
      <c r="AH56" s="25">
        <f>CUSTOS!$F$24</f>
        <v>248868.76279945005</v>
      </c>
      <c r="AI56" s="25">
        <f>CUSTOS!$F$25</f>
        <v>8777.7535060455211</v>
      </c>
      <c r="AJ56" s="25">
        <f>CUSTOS!$F$26</f>
        <v>35516.895073105865</v>
      </c>
      <c r="AK56" s="25">
        <f>CUSTOS!$F$27</f>
        <v>0</v>
      </c>
      <c r="AL56" s="25">
        <f>CUSTOS!$F$28</f>
        <v>293163.41137860145</v>
      </c>
      <c r="AM56" s="25">
        <f>CUSTOS!$F$29</f>
        <v>17727212.622178931</v>
      </c>
    </row>
    <row r="57" spans="1:42" ht="11.25" customHeight="1" x14ac:dyDescent="0.25">
      <c r="K57" s="27" t="s">
        <v>751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  <c r="T57" s="25">
        <f>SUM($L$57:$S$57)</f>
        <v>0</v>
      </c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5">
        <v>0</v>
      </c>
      <c r="AB57" s="25">
        <f>SUM($U$57:$AA$57)</f>
        <v>0</v>
      </c>
      <c r="AC57" s="25">
        <v>0</v>
      </c>
      <c r="AD57" s="25">
        <f>SUM($AC$57:$AC$57)</f>
        <v>0</v>
      </c>
      <c r="AE57" s="25">
        <v>0</v>
      </c>
      <c r="AF57" s="25">
        <v>0</v>
      </c>
      <c r="AG57" s="25">
        <f>SUM($AE$57:$AF$57)</f>
        <v>0</v>
      </c>
      <c r="AH57" s="25">
        <v>0</v>
      </c>
      <c r="AI57" s="25">
        <v>0</v>
      </c>
      <c r="AJ57" s="25">
        <v>0</v>
      </c>
      <c r="AK57" s="25">
        <v>0</v>
      </c>
      <c r="AL57" s="25">
        <f>SUM($AH$57:$AK$57)</f>
        <v>0</v>
      </c>
      <c r="AM57" s="25"/>
    </row>
    <row r="58" spans="1:42" ht="11.25" customHeight="1" x14ac:dyDescent="0.25">
      <c r="K58" s="27" t="s">
        <v>763</v>
      </c>
      <c r="L58" s="25">
        <f t="shared" ref="L58:R58" si="0">IF((L54-(0))&lt;&gt;0,(L56)/(L54-(0)),0)</f>
        <v>6.8768295429910378E-2</v>
      </c>
      <c r="M58" s="25">
        <f t="shared" si="0"/>
        <v>0</v>
      </c>
      <c r="N58" s="25">
        <f t="shared" si="0"/>
        <v>0</v>
      </c>
      <c r="O58" s="25">
        <f t="shared" si="0"/>
        <v>0</v>
      </c>
      <c r="P58" s="25">
        <f t="shared" si="0"/>
        <v>0</v>
      </c>
      <c r="Q58" s="25">
        <f t="shared" si="0"/>
        <v>0.27732933547904443</v>
      </c>
      <c r="R58" s="25">
        <f t="shared" si="0"/>
        <v>0.33448551132951226</v>
      </c>
      <c r="S58" s="25">
        <f>IF((R53-(0)&lt;&gt;0),(S55)/(R53-(0)),0)</f>
        <v>0</v>
      </c>
      <c r="T58" s="25"/>
      <c r="U58" s="25">
        <f t="shared" ref="U58:AA58" si="1">IF((U54-(0))&lt;&gt;0,(U56)/(U54-(0)),0)</f>
        <v>4.785001062838376E-2</v>
      </c>
      <c r="V58" s="25">
        <f t="shared" si="1"/>
        <v>4.7850010628383753E-2</v>
      </c>
      <c r="W58" s="25">
        <f t="shared" si="1"/>
        <v>0</v>
      </c>
      <c r="X58" s="25">
        <f t="shared" si="1"/>
        <v>0</v>
      </c>
      <c r="Y58" s="25">
        <f t="shared" si="1"/>
        <v>0</v>
      </c>
      <c r="Z58" s="25">
        <f t="shared" si="1"/>
        <v>0</v>
      </c>
      <c r="AA58" s="25">
        <f t="shared" si="1"/>
        <v>0</v>
      </c>
      <c r="AB58" s="25"/>
      <c r="AC58" s="25">
        <f>IF((AC54-(0))&lt;&gt;0,(AC56)/(AC54-(0)),0)</f>
        <v>0</v>
      </c>
      <c r="AD58" s="25"/>
      <c r="AE58" s="25">
        <f ca="1">IF(($AM53-(0))&lt;&gt;0,(AE55)/($AM53-(0)),0)</f>
        <v>2.0292231804039416</v>
      </c>
      <c r="AF58" s="25">
        <f ca="1">IF(($AM53-(0))&lt;&gt;0,(AF55)/($AM53-(0)),0)</f>
        <v>0</v>
      </c>
      <c r="AG58" s="25"/>
      <c r="AH58" s="25">
        <f>IF((AH54-(0))&lt;&gt;0,(AH56)/(AH54-(0)),0)</f>
        <v>1.6775424780989513E-2</v>
      </c>
      <c r="AI58" s="25">
        <f>IF((AI54-(0))&lt;&gt;0,(AI56)/(AI54-(0)),0)</f>
        <v>1.6775424780989513E-2</v>
      </c>
      <c r="AJ58" s="25">
        <f>IF((AJ54-(0))&lt;&gt;0,(AJ56)/(AJ54-(0)),0)</f>
        <v>1.6775424780989513E-2</v>
      </c>
      <c r="AK58" s="25">
        <f>IF((AK54-(0))&lt;&gt;0,(AK56)/(AK54-(0)),0)</f>
        <v>0</v>
      </c>
      <c r="AL58" s="25"/>
      <c r="AM58" s="25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120" priority="55" operator="notEqual">
      <formula>$L$55</formula>
    </cfRule>
    <cfRule type="cellIs" dxfId="1119" priority="56" operator="equal">
      <formula>$L$55</formula>
    </cfRule>
  </conditionalFormatting>
  <conditionalFormatting sqref="M53">
    <cfRule type="cellIs" dxfId="1118" priority="53" operator="notEqual">
      <formula>$M$55</formula>
    </cfRule>
    <cfRule type="cellIs" dxfId="1117" priority="54" operator="equal">
      <formula>$M$55</formula>
    </cfRule>
  </conditionalFormatting>
  <conditionalFormatting sqref="N53">
    <cfRule type="cellIs" dxfId="1116" priority="51" operator="notEqual">
      <formula>$N$55</formula>
    </cfRule>
    <cfRule type="cellIs" dxfId="1115" priority="52" operator="equal">
      <formula>$N$55</formula>
    </cfRule>
  </conditionalFormatting>
  <conditionalFormatting sqref="O53">
    <cfRule type="cellIs" dxfId="1114" priority="49" operator="notEqual">
      <formula>$O$55</formula>
    </cfRule>
    <cfRule type="cellIs" dxfId="1113" priority="50" operator="equal">
      <formula>$O$55</formula>
    </cfRule>
  </conditionalFormatting>
  <conditionalFormatting sqref="P53">
    <cfRule type="cellIs" dxfId="1112" priority="47" operator="notEqual">
      <formula>$P$55</formula>
    </cfRule>
    <cfRule type="cellIs" dxfId="1111" priority="48" operator="equal">
      <formula>$P$55</formula>
    </cfRule>
  </conditionalFormatting>
  <conditionalFormatting sqref="Q53">
    <cfRule type="cellIs" dxfId="1110" priority="45" operator="notEqual">
      <formula>$Q$55</formula>
    </cfRule>
    <cfRule type="cellIs" dxfId="1109" priority="46" operator="equal">
      <formula>$Q$55</formula>
    </cfRule>
  </conditionalFormatting>
  <conditionalFormatting sqref="R53">
    <cfRule type="cellIs" dxfId="1108" priority="43" operator="notEqual">
      <formula>$R$55</formula>
    </cfRule>
    <cfRule type="cellIs" dxfId="1107" priority="44" operator="equal">
      <formula>$R$55</formula>
    </cfRule>
  </conditionalFormatting>
  <conditionalFormatting sqref="S53">
    <cfRule type="cellIs" dxfId="1106" priority="41" operator="notEqual">
      <formula>$S$55</formula>
    </cfRule>
    <cfRule type="cellIs" dxfId="1105" priority="42" operator="equal">
      <formula>$S$55</formula>
    </cfRule>
  </conditionalFormatting>
  <conditionalFormatting sqref="T53">
    <cfRule type="cellIs" dxfId="1104" priority="39" operator="notEqual">
      <formula>$T$55</formula>
    </cfRule>
    <cfRule type="cellIs" dxfId="1103" priority="40" operator="equal">
      <formula>$T$55</formula>
    </cfRule>
  </conditionalFormatting>
  <conditionalFormatting sqref="U53">
    <cfRule type="cellIs" dxfId="1102" priority="37" operator="notEqual">
      <formula>$U$55</formula>
    </cfRule>
    <cfRule type="cellIs" dxfId="1101" priority="38" operator="equal">
      <formula>$U$55</formula>
    </cfRule>
  </conditionalFormatting>
  <conditionalFormatting sqref="V53">
    <cfRule type="cellIs" dxfId="1100" priority="35" operator="notEqual">
      <formula>$V$55</formula>
    </cfRule>
    <cfRule type="cellIs" dxfId="1099" priority="36" operator="equal">
      <formula>$V$55</formula>
    </cfRule>
  </conditionalFormatting>
  <conditionalFormatting sqref="W53">
    <cfRule type="cellIs" dxfId="1098" priority="33" operator="notEqual">
      <formula>$W$55</formula>
    </cfRule>
    <cfRule type="cellIs" dxfId="1097" priority="34" operator="equal">
      <formula>$W$55</formula>
    </cfRule>
  </conditionalFormatting>
  <conditionalFormatting sqref="X53">
    <cfRule type="cellIs" dxfId="1096" priority="31" operator="notEqual">
      <formula>$X$55</formula>
    </cfRule>
    <cfRule type="cellIs" dxfId="1095" priority="32" operator="equal">
      <formula>$X$55</formula>
    </cfRule>
  </conditionalFormatting>
  <conditionalFormatting sqref="Y53">
    <cfRule type="cellIs" dxfId="1094" priority="29" operator="notEqual">
      <formula>$Y$55</formula>
    </cfRule>
    <cfRule type="cellIs" dxfId="1093" priority="30" operator="equal">
      <formula>$Y$55</formula>
    </cfRule>
  </conditionalFormatting>
  <conditionalFormatting sqref="Z53">
    <cfRule type="cellIs" dxfId="1092" priority="27" operator="notEqual">
      <formula>$Z$55</formula>
    </cfRule>
    <cfRule type="cellIs" dxfId="1091" priority="28" operator="equal">
      <formula>$Z$55</formula>
    </cfRule>
  </conditionalFormatting>
  <conditionalFormatting sqref="AA53">
    <cfRule type="cellIs" dxfId="1090" priority="25" operator="notEqual">
      <formula>$AA$55</formula>
    </cfRule>
    <cfRule type="cellIs" dxfId="1089" priority="26" operator="equal">
      <formula>$AA$55</formula>
    </cfRule>
  </conditionalFormatting>
  <conditionalFormatting sqref="AB53">
    <cfRule type="cellIs" dxfId="1088" priority="23" operator="notEqual">
      <formula>$AB$55</formula>
    </cfRule>
    <cfRule type="cellIs" dxfId="1087" priority="24" operator="equal">
      <formula>$AB$55</formula>
    </cfRule>
  </conditionalFormatting>
  <conditionalFormatting sqref="AC53">
    <cfRule type="cellIs" dxfId="1086" priority="21" operator="notEqual">
      <formula>$AC$55</formula>
    </cfRule>
    <cfRule type="cellIs" dxfId="1085" priority="22" operator="equal">
      <formula>$AC$55</formula>
    </cfRule>
  </conditionalFormatting>
  <conditionalFormatting sqref="AD53">
    <cfRule type="cellIs" dxfId="1084" priority="19" operator="notEqual">
      <formula>$AD$55</formula>
    </cfRule>
    <cfRule type="cellIs" dxfId="1083" priority="20" operator="equal">
      <formula>$AD$55</formula>
    </cfRule>
  </conditionalFormatting>
  <conditionalFormatting sqref="AE53">
    <cfRule type="cellIs" dxfId="1082" priority="17" operator="notEqual">
      <formula>$AE$55</formula>
    </cfRule>
    <cfRule type="cellIs" dxfId="1081" priority="18" operator="equal">
      <formula>$AE$55</formula>
    </cfRule>
  </conditionalFormatting>
  <conditionalFormatting sqref="AF53">
    <cfRule type="cellIs" dxfId="1080" priority="16" operator="equal">
      <formula>$AF$55</formula>
    </cfRule>
  </conditionalFormatting>
  <conditionalFormatting sqref="AF53">
    <cfRule type="cellIs" dxfId="1079" priority="15" operator="notEqual">
      <formula>$AF$55</formula>
    </cfRule>
  </conditionalFormatting>
  <conditionalFormatting sqref="AG53">
    <cfRule type="cellIs" dxfId="1078" priority="14" operator="equal">
      <formula>$AG$55</formula>
    </cfRule>
  </conditionalFormatting>
  <conditionalFormatting sqref="AG53">
    <cfRule type="cellIs" dxfId="1077" priority="13" operator="notEqual">
      <formula>$AG$55</formula>
    </cfRule>
  </conditionalFormatting>
  <conditionalFormatting sqref="AH53">
    <cfRule type="cellIs" dxfId="1076" priority="12" operator="equal">
      <formula>$AH$55</formula>
    </cfRule>
  </conditionalFormatting>
  <conditionalFormatting sqref="AH53">
    <cfRule type="cellIs" dxfId="1075" priority="11" operator="notEqual">
      <formula>$AH$55</formula>
    </cfRule>
  </conditionalFormatting>
  <conditionalFormatting sqref="AI53">
    <cfRule type="cellIs" dxfId="1074" priority="10" operator="equal">
      <formula>$AI$55</formula>
    </cfRule>
  </conditionalFormatting>
  <conditionalFormatting sqref="AI53">
    <cfRule type="cellIs" dxfId="1073" priority="9" operator="notEqual">
      <formula>$AI$55</formula>
    </cfRule>
  </conditionalFormatting>
  <conditionalFormatting sqref="AJ53">
    <cfRule type="cellIs" dxfId="1072" priority="8" operator="equal">
      <formula>$AJ$55</formula>
    </cfRule>
  </conditionalFormatting>
  <conditionalFormatting sqref="AJ53">
    <cfRule type="cellIs" dxfId="1071" priority="7" operator="notEqual">
      <formula>$AJ$55</formula>
    </cfRule>
  </conditionalFormatting>
  <conditionalFormatting sqref="AK53">
    <cfRule type="cellIs" dxfId="1070" priority="6" operator="equal">
      <formula>$AK$55</formula>
    </cfRule>
  </conditionalFormatting>
  <conditionalFormatting sqref="AK53">
    <cfRule type="cellIs" dxfId="1069" priority="5" operator="notEqual">
      <formula>$AK$55</formula>
    </cfRule>
  </conditionalFormatting>
  <conditionalFormatting sqref="AL53">
    <cfRule type="cellIs" dxfId="1068" priority="4" operator="equal">
      <formula>$AL$55</formula>
    </cfRule>
  </conditionalFormatting>
  <conditionalFormatting sqref="AL53">
    <cfRule type="cellIs" dxfId="1067" priority="3" operator="notEqual">
      <formula>$AL$55</formula>
    </cfRule>
  </conditionalFormatting>
  <conditionalFormatting sqref="AM53">
    <cfRule type="cellIs" dxfId="1066" priority="2" operator="equal">
      <formula>$AM$55</formula>
    </cfRule>
  </conditionalFormatting>
  <conditionalFormatting sqref="AM53">
    <cfRule type="cellIs" dxfId="1065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1AB6A-DE3B-4B08-A502-B74ABF55DB90}">
  <dimension ref="A1:AP57"/>
  <sheetViews>
    <sheetView showGridLines="0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6" width="4.8554687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2" width="8.710937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8.7109375" style="9" bestFit="1" customWidth="1"/>
    <col min="38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20" t="s">
        <v>70</v>
      </c>
      <c r="B1" s="120" t="s">
        <v>71</v>
      </c>
      <c r="C1" s="120" t="s">
        <v>72</v>
      </c>
      <c r="D1" s="120" t="s">
        <v>73</v>
      </c>
      <c r="E1" s="120" t="s">
        <v>74</v>
      </c>
      <c r="F1" s="120" t="s">
        <v>15</v>
      </c>
      <c r="G1" s="120" t="s">
        <v>76</v>
      </c>
      <c r="H1" s="120" t="s">
        <v>77</v>
      </c>
      <c r="I1" s="120" t="s">
        <v>745</v>
      </c>
      <c r="J1" s="108"/>
      <c r="L1" s="121" t="s">
        <v>765</v>
      </c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K1" s="121"/>
      <c r="AL1" s="121"/>
      <c r="AM1" s="121"/>
      <c r="AO1" s="30"/>
      <c r="AP1" s="124" t="s">
        <v>747</v>
      </c>
    </row>
    <row r="2" spans="1:42" ht="11.25" customHeight="1" x14ac:dyDescent="0.25">
      <c r="A2" s="120"/>
      <c r="B2" s="120"/>
      <c r="C2" s="120"/>
      <c r="D2" s="120"/>
      <c r="E2" s="120"/>
      <c r="F2" s="120"/>
      <c r="G2" s="120"/>
      <c r="H2" s="120"/>
      <c r="I2" s="120"/>
      <c r="J2" s="108"/>
      <c r="L2" s="121" t="s">
        <v>644</v>
      </c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O2" s="30"/>
      <c r="AP2" s="125"/>
    </row>
    <row r="3" spans="1:42" ht="11.25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08"/>
      <c r="L3" s="121" t="s">
        <v>645</v>
      </c>
      <c r="M3" s="121"/>
      <c r="N3" s="121"/>
      <c r="O3" s="121"/>
      <c r="P3" s="121"/>
      <c r="Q3" s="121"/>
      <c r="R3" s="121"/>
      <c r="S3" s="121"/>
      <c r="T3" s="121"/>
      <c r="U3" s="121" t="s">
        <v>654</v>
      </c>
      <c r="V3" s="121"/>
      <c r="W3" s="121"/>
      <c r="X3" s="121"/>
      <c r="Y3" s="121"/>
      <c r="Z3" s="121"/>
      <c r="AA3" s="121"/>
      <c r="AB3" s="121"/>
      <c r="AC3" s="121" t="s">
        <v>662</v>
      </c>
      <c r="AD3" s="121"/>
      <c r="AE3" s="121" t="s">
        <v>664</v>
      </c>
      <c r="AF3" s="121"/>
      <c r="AG3" s="121"/>
      <c r="AH3" s="121" t="s">
        <v>667</v>
      </c>
      <c r="AI3" s="121"/>
      <c r="AJ3" s="121"/>
      <c r="AK3" s="121"/>
      <c r="AL3" s="121"/>
      <c r="AM3" s="121" t="s">
        <v>653</v>
      </c>
      <c r="AO3" s="30"/>
      <c r="AP3" s="125"/>
    </row>
    <row r="4" spans="1:42" ht="11.25" customHeight="1" x14ac:dyDescent="0.25">
      <c r="A4" s="120"/>
      <c r="B4" s="120"/>
      <c r="C4" s="120"/>
      <c r="D4" s="120"/>
      <c r="E4" s="120"/>
      <c r="F4" s="120"/>
      <c r="G4" s="120"/>
      <c r="H4" s="120"/>
      <c r="I4" s="120"/>
      <c r="J4" s="108"/>
      <c r="L4" s="26" t="s">
        <v>730</v>
      </c>
      <c r="M4" s="26" t="s">
        <v>646</v>
      </c>
      <c r="N4" s="26" t="s">
        <v>647</v>
      </c>
      <c r="O4" s="26" t="s">
        <v>648</v>
      </c>
      <c r="P4" s="26" t="s">
        <v>649</v>
      </c>
      <c r="Q4" s="26" t="s">
        <v>650</v>
      </c>
      <c r="R4" s="26" t="s">
        <v>651</v>
      </c>
      <c r="S4" s="26" t="s">
        <v>652</v>
      </c>
      <c r="T4" s="26" t="s">
        <v>653</v>
      </c>
      <c r="U4" s="26" t="s">
        <v>655</v>
      </c>
      <c r="V4" s="26" t="s">
        <v>656</v>
      </c>
      <c r="W4" s="26" t="s">
        <v>657</v>
      </c>
      <c r="X4" s="26" t="s">
        <v>658</v>
      </c>
      <c r="Y4" s="26" t="s">
        <v>659</v>
      </c>
      <c r="Z4" s="26" t="s">
        <v>660</v>
      </c>
      <c r="AA4" s="26" t="s">
        <v>661</v>
      </c>
      <c r="AB4" s="26" t="s">
        <v>653</v>
      </c>
      <c r="AC4" s="26" t="s">
        <v>663</v>
      </c>
      <c r="AD4" s="26" t="s">
        <v>653</v>
      </c>
      <c r="AE4" s="26" t="s">
        <v>665</v>
      </c>
      <c r="AF4" s="26" t="s">
        <v>666</v>
      </c>
      <c r="AG4" s="26" t="s">
        <v>653</v>
      </c>
      <c r="AH4" s="26" t="s">
        <v>668</v>
      </c>
      <c r="AI4" s="26" t="s">
        <v>669</v>
      </c>
      <c r="AJ4" s="26" t="s">
        <v>670</v>
      </c>
      <c r="AK4" s="26" t="s">
        <v>671</v>
      </c>
      <c r="AL4" s="26" t="s">
        <v>653</v>
      </c>
      <c r="AM4" s="123"/>
      <c r="AO4" s="31" t="s">
        <v>764</v>
      </c>
      <c r="AP4" s="126"/>
    </row>
    <row r="5" spans="1:42" ht="11.25" customHeight="1" x14ac:dyDescent="0.25">
      <c r="A5" s="119" t="s">
        <v>39</v>
      </c>
      <c r="B5" s="119" t="s">
        <v>42</v>
      </c>
      <c r="C5" s="119" t="s">
        <v>25</v>
      </c>
      <c r="D5" s="119" t="s">
        <v>25</v>
      </c>
      <c r="E5" s="119" t="s">
        <v>25</v>
      </c>
      <c r="F5" s="119" t="s">
        <v>25</v>
      </c>
      <c r="G5" s="21" t="s">
        <v>84</v>
      </c>
      <c r="H5" s="21" t="s">
        <v>83</v>
      </c>
      <c r="I5" s="21">
        <f>'MERCADO TUSD'!$U$2</f>
        <v>63135</v>
      </c>
      <c r="J5" s="17"/>
      <c r="L5" s="25">
        <f>'TUSD BE'!$L$5*'TUSD BF'!$L$58</f>
        <v>0</v>
      </c>
      <c r="M5" s="25">
        <f>'TUSD BE'!$M$5*'TUSD BF'!$M$58</f>
        <v>0</v>
      </c>
      <c r="N5" s="25">
        <f ca="1">'TUSD BE'!$N$5*'TUSD BF'!$N$58</f>
        <v>0</v>
      </c>
      <c r="O5" s="25">
        <f>'TUSD BE'!$O$5*'TUSD BF'!$O$58</f>
        <v>0</v>
      </c>
      <c r="P5" s="25">
        <f>'TUSD BE'!$P$5*'TUSD BF'!$P$58</f>
        <v>0</v>
      </c>
      <c r="Q5" s="25">
        <f>'TUSD BE'!$Q$5*'TUSD BF'!$Q$58</f>
        <v>0</v>
      </c>
      <c r="R5" s="25">
        <f>'TUSD BE'!$R$5*'TUSD BF'!$R$58</f>
        <v>0</v>
      </c>
      <c r="S5" s="25">
        <f>'TUSD BE'!$R$5*'TUSD BF'!$S$58</f>
        <v>0</v>
      </c>
      <c r="T5" s="25">
        <f ca="1">SUM($L$5:$S$5)</f>
        <v>0</v>
      </c>
      <c r="U5" s="25">
        <f>'TUSD BE'!$U$5*'TUSD BF'!$U$58</f>
        <v>0.28035528228346024</v>
      </c>
      <c r="V5" s="25">
        <f>'TUSD BE'!$V$5*'TUSD BF'!$V$58</f>
        <v>3.5915855466608783E-2</v>
      </c>
      <c r="W5" s="25">
        <f>'TUSD BE'!$W$5*'TUSD BF'!$W$58</f>
        <v>0</v>
      </c>
      <c r="X5" s="25">
        <f>'TUSD BE'!$X$5*'TUSD BF'!$X$58</f>
        <v>0</v>
      </c>
      <c r="Y5" s="25">
        <f>'TUSD BE'!$Y$5*'TUSD BF'!$Y$58</f>
        <v>0</v>
      </c>
      <c r="Z5" s="25">
        <f>'TUSD BE'!$Z$5*'TUSD BF'!$Z$58</f>
        <v>0</v>
      </c>
      <c r="AA5" s="25">
        <f>'TUSD BE'!$AA$5*'TUSD BF'!$AA$58</f>
        <v>0</v>
      </c>
      <c r="AB5" s="25">
        <f>SUM($U$5:$AA$5)</f>
        <v>0.31627113775006904</v>
      </c>
      <c r="AC5" s="25">
        <f>'TUSD BE'!$AC$5*'TUSD BF'!$AC$58</f>
        <v>0</v>
      </c>
      <c r="AD5" s="25">
        <f>SUM($AC$5:$AC$5)</f>
        <v>0</v>
      </c>
      <c r="AE5" s="25">
        <f ca="1">$AO$5*$AO$55</f>
        <v>0</v>
      </c>
      <c r="AF5" s="25">
        <f ca="1">$AP$5*$AP$55</f>
        <v>0</v>
      </c>
      <c r="AG5" s="25">
        <f ca="1">SUM($AE$5:$AF$5)</f>
        <v>0</v>
      </c>
      <c r="AH5" s="25">
        <f>'TUSD BE'!$AH$5*'TUSD BF'!$AH$58</f>
        <v>0</v>
      </c>
      <c r="AI5" s="25">
        <f>'TUSD BE'!$AI$5*'TUSD BF'!$AI$58</f>
        <v>0</v>
      </c>
      <c r="AJ5" s="25">
        <f ca="1">'TUSD BE'!$AJ$5*'TUSD BF'!$AJ$58</f>
        <v>0</v>
      </c>
      <c r="AK5" s="25">
        <f ca="1">'TUSD BE'!$AK$5*'TUSD BF'!$AK$58</f>
        <v>0</v>
      </c>
      <c r="AL5" s="25">
        <f ca="1">SUM($AH$5:$AK$5)</f>
        <v>0</v>
      </c>
      <c r="AM5" s="25">
        <f ca="1">SUMIF($L$4:$AL$4,"SUBTOTAL",$L$5:$AL$5)</f>
        <v>0.31627113775006904</v>
      </c>
      <c r="AO5" s="30">
        <f ca="1">+'TUSD BE'!$T$5+'TUSD BE'!$AB$5+'TUSD BE'!$AD$5+'TUSD BE'!$AL$5</f>
        <v>58.28744787796311</v>
      </c>
      <c r="AP5" s="30">
        <f ca="1">+'TUSD BE'!$T$5+'TUSD BE'!$AB$5+'TUSD BE'!$AD$5+'TUSD BE'!$AL$5</f>
        <v>58.28744787796311</v>
      </c>
    </row>
    <row r="6" spans="1:42" ht="11.25" customHeight="1" x14ac:dyDescent="0.25">
      <c r="A6" s="119"/>
      <c r="B6" s="119"/>
      <c r="C6" s="119"/>
      <c r="D6" s="119"/>
      <c r="E6" s="119"/>
      <c r="F6" s="119"/>
      <c r="G6" s="21" t="s">
        <v>85</v>
      </c>
      <c r="H6" s="21" t="s">
        <v>83</v>
      </c>
      <c r="I6" s="21">
        <f>'MERCADO TUSD'!$U$3</f>
        <v>71815</v>
      </c>
      <c r="J6" s="17"/>
      <c r="L6" s="25">
        <f>'TUSD BE'!$L$6*'TUSD BF'!$L$58</f>
        <v>0</v>
      </c>
      <c r="M6" s="25">
        <f>'TUSD BE'!$M$6*'TUSD BF'!$M$58</f>
        <v>0</v>
      </c>
      <c r="N6" s="25">
        <f ca="1">'TUSD BE'!$N$6*'TUSD BF'!$N$58</f>
        <v>0</v>
      </c>
      <c r="O6" s="25">
        <f>'TUSD BE'!$O$6*'TUSD BF'!$O$58</f>
        <v>0</v>
      </c>
      <c r="P6" s="25">
        <f>'TUSD BE'!$P$6*'TUSD BF'!$P$58</f>
        <v>0</v>
      </c>
      <c r="Q6" s="25">
        <f>'TUSD BE'!$Q$6*'TUSD BF'!$Q$58</f>
        <v>0</v>
      </c>
      <c r="R6" s="25">
        <f>'TUSD BE'!$R$6*'TUSD BF'!$R$58</f>
        <v>0</v>
      </c>
      <c r="S6" s="25">
        <f>'TUSD BE'!$R$6*'TUSD BF'!$S$58</f>
        <v>0</v>
      </c>
      <c r="T6" s="25">
        <f ca="1">SUM($L$6:$S$6)</f>
        <v>0</v>
      </c>
      <c r="U6" s="25">
        <f>'TUSD BE'!$U$6*'TUSD BF'!$U$58</f>
        <v>9.9468176104006129E-2</v>
      </c>
      <c r="V6" s="25">
        <f>'TUSD BE'!$V$6*'TUSD BF'!$V$58</f>
        <v>1.3427715937545427E-2</v>
      </c>
      <c r="W6" s="25">
        <f>'TUSD BE'!$W$6*'TUSD BF'!$W$58</f>
        <v>0</v>
      </c>
      <c r="X6" s="25">
        <f>'TUSD BE'!$X$6*'TUSD BF'!$X$58</f>
        <v>0</v>
      </c>
      <c r="Y6" s="25">
        <f>'TUSD BE'!$Y$6*'TUSD BF'!$Y$58</f>
        <v>0</v>
      </c>
      <c r="Z6" s="25">
        <f>'TUSD BE'!$Z$6*'TUSD BF'!$Z$58</f>
        <v>0</v>
      </c>
      <c r="AA6" s="25">
        <f>'TUSD BE'!$AA$6*'TUSD BF'!$AA$58</f>
        <v>0</v>
      </c>
      <c r="AB6" s="25">
        <f>SUM($U$6:$AA$6)</f>
        <v>0.11289589204155155</v>
      </c>
      <c r="AC6" s="25">
        <f>'TUSD BE'!$AC$6*'TUSD BF'!$AC$58</f>
        <v>0</v>
      </c>
      <c r="AD6" s="25">
        <f>SUM($AC$6:$AC$6)</f>
        <v>0</v>
      </c>
      <c r="AE6" s="25">
        <f ca="1">$AO$6*$AO$55</f>
        <v>0</v>
      </c>
      <c r="AF6" s="25">
        <f ca="1">$AP$6*$AP$55</f>
        <v>0</v>
      </c>
      <c r="AG6" s="25">
        <f ca="1">SUM($AE$6:$AF$6)</f>
        <v>0</v>
      </c>
      <c r="AH6" s="25">
        <f>'TUSD BE'!$AH$6*'TUSD BF'!$AH$58</f>
        <v>0</v>
      </c>
      <c r="AI6" s="25">
        <f>'TUSD BE'!$AI$6*'TUSD BF'!$AI$58</f>
        <v>0</v>
      </c>
      <c r="AJ6" s="25">
        <f ca="1">'TUSD BE'!$AJ$6*'TUSD BF'!$AJ$58</f>
        <v>0</v>
      </c>
      <c r="AK6" s="25">
        <f ca="1">'TUSD BE'!$AK$6*'TUSD BF'!$AK$58</f>
        <v>0</v>
      </c>
      <c r="AL6" s="25">
        <f ca="1">SUM($AH$6:$AK$6)</f>
        <v>0</v>
      </c>
      <c r="AM6" s="25">
        <f ca="1">SUMIF($L$4:$AL$4,"SUBTOTAL",$L$6:$AL$6)</f>
        <v>0.11289589204155155</v>
      </c>
      <c r="AO6" s="30">
        <f ca="1">+'TUSD BE'!$T$6+'TUSD BE'!$AB$6+'TUSD BE'!$AD$6+'TUSD BE'!$AL$6</f>
        <v>18.605539880742096</v>
      </c>
      <c r="AP6" s="30">
        <f ca="1">+'TUSD BE'!$T$6+'TUSD BE'!$AB$6+'TUSD BE'!$AD$6+'TUSD BE'!$AL$6</f>
        <v>18.605539880742096</v>
      </c>
    </row>
    <row r="7" spans="1:42" ht="11.25" customHeight="1" x14ac:dyDescent="0.25">
      <c r="A7" s="119"/>
      <c r="B7" s="119"/>
      <c r="C7" s="119"/>
      <c r="D7" s="119"/>
      <c r="E7" s="119"/>
      <c r="F7" s="119"/>
      <c r="G7" s="21" t="s">
        <v>86</v>
      </c>
      <c r="H7" s="21" t="s">
        <v>80</v>
      </c>
      <c r="I7" s="21">
        <f>'MERCADO TUSD'!$U$4</f>
        <v>30235.892999999989</v>
      </c>
      <c r="J7" s="17"/>
      <c r="L7" s="25">
        <f>'TUSD BE'!$L$7*'TUSD BF'!$L$58</f>
        <v>0.38119237254600108</v>
      </c>
      <c r="M7" s="25">
        <f>'TUSD BE'!$M$7*'TUSD BF'!$M$58</f>
        <v>0</v>
      </c>
      <c r="N7" s="25">
        <f ca="1">'TUSD BE'!$N$7*'TUSD BF'!$N$58</f>
        <v>0</v>
      </c>
      <c r="O7" s="25">
        <f>'TUSD BE'!$O$7*'TUSD BF'!$O$58</f>
        <v>0</v>
      </c>
      <c r="P7" s="25">
        <f>'TUSD BE'!$P$7*'TUSD BF'!$P$58</f>
        <v>0</v>
      </c>
      <c r="Q7" s="25">
        <f>'TUSD BE'!$Q$7*'TUSD BF'!$Q$58</f>
        <v>21.943018261352044</v>
      </c>
      <c r="R7" s="25">
        <f>'TUSD BE'!$R$7*'TUSD BF'!$R$58</f>
        <v>4.9842864118200305</v>
      </c>
      <c r="S7" s="25">
        <f>'TUSD BE'!$R$7*'TUSD BF'!$S$58</f>
        <v>0</v>
      </c>
      <c r="T7" s="25">
        <f ca="1">SUM($L$7:$S$7)</f>
        <v>27.308497045718074</v>
      </c>
      <c r="U7" s="25">
        <f>'TUSD BE'!$U$7*'TUSD BF'!$U$58</f>
        <v>0</v>
      </c>
      <c r="V7" s="25">
        <f>'TUSD BE'!$V$7*'TUSD BF'!$V$58</f>
        <v>0</v>
      </c>
      <c r="W7" s="25">
        <f>'TUSD BE'!$W$7*'TUSD BF'!$W$58</f>
        <v>0</v>
      </c>
      <c r="X7" s="25">
        <f>'TUSD BE'!$X$7*'TUSD BF'!$X$58</f>
        <v>0</v>
      </c>
      <c r="Y7" s="25">
        <f>'TUSD BE'!$Y$7*'TUSD BF'!$Y$58</f>
        <v>0</v>
      </c>
      <c r="Z7" s="25">
        <f>'TUSD BE'!$Z$7*'TUSD BF'!$Z$58</f>
        <v>0</v>
      </c>
      <c r="AA7" s="25">
        <f>'TUSD BE'!$AA$7*'TUSD BF'!$AA$58</f>
        <v>0</v>
      </c>
      <c r="AB7" s="25">
        <f>SUM($U$7:$AA$7)</f>
        <v>0</v>
      </c>
      <c r="AC7" s="25">
        <f>'TUSD BE'!$AC$7*'TUSD BF'!$AC$58</f>
        <v>0</v>
      </c>
      <c r="AD7" s="25">
        <f>SUM($AC$7:$AC$7)</f>
        <v>0</v>
      </c>
      <c r="AE7" s="25">
        <f ca="1">$AO$7*$AO$55</f>
        <v>0</v>
      </c>
      <c r="AF7" s="25">
        <f ca="1">$AP$7*$AP$55</f>
        <v>0</v>
      </c>
      <c r="AG7" s="25">
        <f ca="1">SUM($AE$7:$AF$7)</f>
        <v>0</v>
      </c>
      <c r="AH7" s="25">
        <f>'TUSD BE'!$AH$7*'TUSD BF'!$AH$58</f>
        <v>0.2631462159423707</v>
      </c>
      <c r="AI7" s="25">
        <f>'TUSD BE'!$AI$7*'TUSD BF'!$AI$58</f>
        <v>9.2814046381742791E-3</v>
      </c>
      <c r="AJ7" s="25">
        <f ca="1">'TUSD BE'!$AJ$7*'TUSD BF'!$AJ$58</f>
        <v>5.0339715695269176E-2</v>
      </c>
      <c r="AK7" s="25">
        <f ca="1">'TUSD BE'!$AK$7*'TUSD BF'!$AK$58</f>
        <v>0</v>
      </c>
      <c r="AL7" s="25">
        <f ca="1">SUM($AH$7:$AK$7)</f>
        <v>0.32276733627581417</v>
      </c>
      <c r="AM7" s="25">
        <f ca="1">SUMIF($L$4:$AL$4,"SUBTOTAL",$L$7:$AL$7)</f>
        <v>27.631264381993887</v>
      </c>
      <c r="AO7" s="30">
        <f ca="1">+'TUSD BE'!$T$7+'TUSD BE'!$AB$7+'TUSD BE'!$AD$7+'TUSD BE'!$AL$7</f>
        <v>121.30029264979601</v>
      </c>
      <c r="AP7" s="30">
        <f ca="1">+'TUSD BE'!$T$7+'TUSD BE'!$AB$7+'TUSD BE'!$AD$7+'TUSD BE'!$AL$7</f>
        <v>121.30029264979601</v>
      </c>
    </row>
    <row r="8" spans="1:42" ht="11.25" customHeight="1" x14ac:dyDescent="0.25">
      <c r="A8" s="119"/>
      <c r="B8" s="119"/>
      <c r="C8" s="119"/>
      <c r="D8" s="119"/>
      <c r="E8" s="28" t="s">
        <v>87</v>
      </c>
      <c r="F8" s="28" t="s">
        <v>25</v>
      </c>
      <c r="G8" s="21" t="s">
        <v>86</v>
      </c>
      <c r="H8" s="21" t="s">
        <v>80</v>
      </c>
      <c r="I8" s="21">
        <f>'MERCADO TUSD'!$U$5</f>
        <v>0</v>
      </c>
      <c r="J8" s="17"/>
      <c r="L8" s="25">
        <f>'TUSD BE'!$L$8*'TUSD BF'!$L$58</f>
        <v>0</v>
      </c>
      <c r="M8" s="25">
        <f>'TUSD BE'!$M$8*'TUSD BF'!$M$58</f>
        <v>0</v>
      </c>
      <c r="N8" s="25">
        <f ca="1">'TUSD BE'!$N$8*'TUSD BF'!$N$58</f>
        <v>0</v>
      </c>
      <c r="O8" s="25">
        <f>'TUSD BE'!$O$8*'TUSD BF'!$O$58</f>
        <v>0</v>
      </c>
      <c r="P8" s="25">
        <f>'TUSD BE'!$P$8*'TUSD BF'!$P$58</f>
        <v>0</v>
      </c>
      <c r="Q8" s="25">
        <f>'TUSD BE'!$Q$8*'TUSD BF'!$Q$58</f>
        <v>0</v>
      </c>
      <c r="R8" s="25">
        <f>'TUSD BE'!$R$8*'TUSD BF'!$R$58</f>
        <v>0</v>
      </c>
      <c r="S8" s="25">
        <f>'TUSD BE'!$R$8*'TUSD BF'!$S$58</f>
        <v>0</v>
      </c>
      <c r="T8" s="25">
        <f ca="1">SUM($L$8:$S$8)</f>
        <v>0</v>
      </c>
      <c r="U8" s="25">
        <f>'TUSD BE'!$U$8*'TUSD BF'!$U$58</f>
        <v>0</v>
      </c>
      <c r="V8" s="25">
        <f>'TUSD BE'!$V$8*'TUSD BF'!$V$58</f>
        <v>0</v>
      </c>
      <c r="W8" s="25">
        <f>'TUSD BE'!$W$8*'TUSD BF'!$W$58</f>
        <v>0</v>
      </c>
      <c r="X8" s="25">
        <f>'TUSD BE'!$X$8*'TUSD BF'!$X$58</f>
        <v>0</v>
      </c>
      <c r="Y8" s="25">
        <f>'TUSD BE'!$Y$8*'TUSD BF'!$Y$58</f>
        <v>0</v>
      </c>
      <c r="Z8" s="25">
        <f>'TUSD BE'!$Z$8*'TUSD BF'!$Z$58</f>
        <v>0</v>
      </c>
      <c r="AA8" s="25">
        <f>'TUSD BE'!$AA$8*'TUSD BF'!$AA$58</f>
        <v>0</v>
      </c>
      <c r="AB8" s="25">
        <f>SUM($U$8:$AA$8)</f>
        <v>0</v>
      </c>
      <c r="AC8" s="25">
        <f>'TUSD BE'!$AC$8*'TUSD BF'!$AC$58</f>
        <v>0</v>
      </c>
      <c r="AD8" s="25">
        <f>SUM($AC$8:$AC$8)</f>
        <v>0</v>
      </c>
      <c r="AE8" s="25">
        <f ca="1">$AO$8*$AO$55</f>
        <v>0</v>
      </c>
      <c r="AF8" s="25">
        <f ca="1">$AP$8*$AP$55</f>
        <v>0</v>
      </c>
      <c r="AG8" s="25">
        <f ca="1">SUM($AE$8:$AF$8)</f>
        <v>0</v>
      </c>
      <c r="AH8" s="25">
        <f>'TUSD BE'!$AH$8*'TUSD BF'!$AH$58</f>
        <v>0.2631462159423707</v>
      </c>
      <c r="AI8" s="25">
        <f>'TUSD BE'!$AI$8*'TUSD BF'!$AI$58</f>
        <v>9.2814046381742791E-3</v>
      </c>
      <c r="AJ8" s="25">
        <f ca="1">'TUSD BE'!$AJ$8*'TUSD BF'!$AJ$58</f>
        <v>5.0339715695269176E-2</v>
      </c>
      <c r="AK8" s="25">
        <f ca="1">'TUSD BE'!$AK$8*'TUSD BF'!$AK$58</f>
        <v>0</v>
      </c>
      <c r="AL8" s="25">
        <f ca="1">SUM($AH$8:$AK$8)</f>
        <v>0.32276733627581417</v>
      </c>
      <c r="AM8" s="25">
        <f ca="1">SUMIF($L$4:$AL$4,"SUBTOTAL",$L$8:$AL$8)</f>
        <v>0.32276733627581417</v>
      </c>
      <c r="AO8" s="30">
        <f ca="1">+'TUSD BE'!$T$8+'TUSD BE'!$AB$8+'TUSD BE'!$AD$8+'TUSD BE'!$AL$8</f>
        <v>21.732594813388459</v>
      </c>
      <c r="AP8" s="30">
        <f ca="1">+'TUSD BE'!$T$8+'TUSD BE'!$AB$8+'TUSD BE'!$AD$8+'TUSD BE'!$AL$8</f>
        <v>21.732594813388459</v>
      </c>
    </row>
    <row r="9" spans="1:42" ht="11.25" customHeight="1" x14ac:dyDescent="0.25">
      <c r="A9" s="119"/>
      <c r="B9" s="28" t="s">
        <v>59</v>
      </c>
      <c r="C9" s="28" t="s">
        <v>25</v>
      </c>
      <c r="D9" s="28" t="s">
        <v>25</v>
      </c>
      <c r="E9" s="28" t="s">
        <v>25</v>
      </c>
      <c r="F9" s="28" t="s">
        <v>25</v>
      </c>
      <c r="G9" s="21" t="s">
        <v>9</v>
      </c>
      <c r="H9" s="21" t="s">
        <v>83</v>
      </c>
      <c r="I9" s="21">
        <f>'MERCADO TUSD'!$U$6</f>
        <v>16152</v>
      </c>
      <c r="J9" s="17"/>
      <c r="L9" s="25">
        <f>'TUSD BE'!$L$9*'TUSD BF'!$L$58</f>
        <v>0</v>
      </c>
      <c r="M9" s="25">
        <f>'TUSD BE'!$M$9*'TUSD BF'!$M$58</f>
        <v>0</v>
      </c>
      <c r="N9" s="25">
        <f ca="1">'TUSD BE'!$N$9*'TUSD BF'!$N$58</f>
        <v>0</v>
      </c>
      <c r="O9" s="25">
        <f>'TUSD BE'!$O$9*'TUSD BF'!$O$58</f>
        <v>0</v>
      </c>
      <c r="P9" s="25">
        <f>'TUSD BE'!$P$9*'TUSD BF'!$P$58</f>
        <v>0</v>
      </c>
      <c r="Q9" s="25">
        <f>'TUSD BE'!$Q$9*'TUSD BF'!$Q$58</f>
        <v>0</v>
      </c>
      <c r="R9" s="25">
        <f>'TUSD BE'!$R$9*'TUSD BF'!$R$58</f>
        <v>0</v>
      </c>
      <c r="S9" s="25">
        <f>'TUSD BE'!$R$9*'TUSD BF'!$S$58</f>
        <v>0</v>
      </c>
      <c r="T9" s="25">
        <f ca="1">SUM($L$9:$S$9)</f>
        <v>0</v>
      </c>
      <c r="U9" s="25">
        <f>'TUSD BE'!$U$9*'TUSD BF'!$U$58</f>
        <v>0</v>
      </c>
      <c r="V9" s="25">
        <f>'TUSD BE'!$V$9*'TUSD BF'!$V$58</f>
        <v>0</v>
      </c>
      <c r="W9" s="25">
        <f>'TUSD BE'!$W$9*'TUSD BF'!$W$58</f>
        <v>0</v>
      </c>
      <c r="X9" s="25">
        <f>'TUSD BE'!$X$9*'TUSD BF'!$X$58</f>
        <v>0</v>
      </c>
      <c r="Y9" s="25">
        <f>'TUSD BE'!$Y$9*'TUSD BF'!$Y$58</f>
        <v>0</v>
      </c>
      <c r="Z9" s="25">
        <f>'TUSD BE'!$Z$9*'TUSD BF'!$Z$58</f>
        <v>0</v>
      </c>
      <c r="AA9" s="25">
        <f>'TUSD BE'!$AA$9*'TUSD BF'!$AA$58</f>
        <v>0</v>
      </c>
      <c r="AB9" s="25">
        <f>SUM($U$9:$AA$9)</f>
        <v>0</v>
      </c>
      <c r="AC9" s="25">
        <f>'TUSD BE'!$AC$9*'TUSD BF'!$AC$58</f>
        <v>0</v>
      </c>
      <c r="AD9" s="25">
        <f>SUM($AC$9:$AC$9)</f>
        <v>0</v>
      </c>
      <c r="AE9" s="25">
        <f ca="1">$AO$9*$AO$55</f>
        <v>0</v>
      </c>
      <c r="AF9" s="25">
        <f ca="1">$AP$9*$AP$55</f>
        <v>0</v>
      </c>
      <c r="AG9" s="25">
        <f ca="1">SUM($AE$9:$AF$9)</f>
        <v>0</v>
      </c>
      <c r="AH9" s="25">
        <f>'TUSD BE'!$AH$9*'TUSD BF'!$AH$58</f>
        <v>1.272052540023977E-4</v>
      </c>
      <c r="AI9" s="25">
        <f>'TUSD BE'!$AI$9*'TUSD BF'!$AI$58</f>
        <v>0</v>
      </c>
      <c r="AJ9" s="25">
        <f ca="1">'TUSD BE'!$AJ$9*'TUSD BF'!$AJ$58</f>
        <v>0</v>
      </c>
      <c r="AK9" s="25">
        <f ca="1">'TUSD BE'!$AK$9*'TUSD BF'!$AK$58</f>
        <v>0</v>
      </c>
      <c r="AL9" s="25">
        <f ca="1">SUM($AH$9:$AK$9)</f>
        <v>1.272052540023977E-4</v>
      </c>
      <c r="AM9" s="25">
        <f ca="1">SUMIF($L$4:$AL$4,"SUBTOTAL",$L$9:$AL$9)</f>
        <v>1.272052540023977E-4</v>
      </c>
      <c r="AO9" s="30">
        <f ca="1">+'TUSD BE'!$T$9+'TUSD BE'!$AB$9+'TUSD BE'!$AD$9+'TUSD BE'!$AL$9</f>
        <v>12.158949323424814</v>
      </c>
      <c r="AP9" s="30">
        <f ca="1">+'TUSD BE'!$T$9+'TUSD BE'!$AB$9+'TUSD BE'!$AD$9+'TUSD BE'!$AL$9</f>
        <v>12.158949323424814</v>
      </c>
    </row>
    <row r="10" spans="1:42" ht="11.25" customHeight="1" x14ac:dyDescent="0.25">
      <c r="A10" s="119"/>
      <c r="B10" s="119" t="s">
        <v>40</v>
      </c>
      <c r="C10" s="119" t="s">
        <v>25</v>
      </c>
      <c r="D10" s="119" t="s">
        <v>25</v>
      </c>
      <c r="E10" s="119" t="s">
        <v>25</v>
      </c>
      <c r="F10" s="119" t="s">
        <v>25</v>
      </c>
      <c r="G10" s="21" t="s">
        <v>9</v>
      </c>
      <c r="H10" s="21" t="s">
        <v>83</v>
      </c>
      <c r="I10" s="21">
        <f>'MERCADO TUSD'!$U$7</f>
        <v>539141</v>
      </c>
      <c r="J10" s="17"/>
      <c r="L10" s="25">
        <f>'TUSD BE'!$L$10*'TUSD BF'!$L$58</f>
        <v>0</v>
      </c>
      <c r="M10" s="25">
        <f>'TUSD BE'!$M$10*'TUSD BF'!$M$58</f>
        <v>0</v>
      </c>
      <c r="N10" s="25">
        <f ca="1">'TUSD BE'!$N$10*'TUSD BF'!$N$58</f>
        <v>0</v>
      </c>
      <c r="O10" s="25">
        <f>'TUSD BE'!$O$10*'TUSD BF'!$O$58</f>
        <v>0</v>
      </c>
      <c r="P10" s="25">
        <f>'TUSD BE'!$P$10*'TUSD BF'!$P$58</f>
        <v>0</v>
      </c>
      <c r="Q10" s="25">
        <f>'TUSD BE'!$Q$10*'TUSD BF'!$Q$58</f>
        <v>0</v>
      </c>
      <c r="R10" s="25">
        <f>'TUSD BE'!$R$10*'TUSD BF'!$R$58</f>
        <v>0</v>
      </c>
      <c r="S10" s="25">
        <f>'TUSD BE'!$R$10*'TUSD BF'!$S$58</f>
        <v>0</v>
      </c>
      <c r="T10" s="25">
        <f ca="1">SUM($L$10:$S$10)</f>
        <v>0</v>
      </c>
      <c r="U10" s="25">
        <f>'TUSD BE'!$U$10*'TUSD BF'!$U$58</f>
        <v>9.9468176104006129E-2</v>
      </c>
      <c r="V10" s="25">
        <f>'TUSD BE'!$V$10*'TUSD BF'!$V$58</f>
        <v>1.3427715937545427E-2</v>
      </c>
      <c r="W10" s="25">
        <f>'TUSD BE'!$W$10*'TUSD BF'!$W$58</f>
        <v>0</v>
      </c>
      <c r="X10" s="25">
        <f>'TUSD BE'!$X$10*'TUSD BF'!$X$58</f>
        <v>0</v>
      </c>
      <c r="Y10" s="25">
        <f>'TUSD BE'!$Y$10*'TUSD BF'!$Y$58</f>
        <v>0</v>
      </c>
      <c r="Z10" s="25">
        <f>'TUSD BE'!$Z$10*'TUSD BF'!$Z$58</f>
        <v>0</v>
      </c>
      <c r="AA10" s="25">
        <f>'TUSD BE'!$AA$10*'TUSD BF'!$AA$58</f>
        <v>0</v>
      </c>
      <c r="AB10" s="25">
        <f>SUM($U$10:$AA$10)</f>
        <v>0.11289589204155155</v>
      </c>
      <c r="AC10" s="25">
        <f>'TUSD BE'!$AC$10*'TUSD BF'!$AC$58</f>
        <v>0</v>
      </c>
      <c r="AD10" s="25">
        <f>SUM($AC$10:$AC$10)</f>
        <v>0</v>
      </c>
      <c r="AE10" s="25">
        <f ca="1">$AO$10*$AO$55</f>
        <v>0</v>
      </c>
      <c r="AF10" s="25">
        <f ca="1">$AP$10*$AP$55</f>
        <v>0</v>
      </c>
      <c r="AG10" s="25">
        <f ca="1">SUM($AE$10:$AF$10)</f>
        <v>0</v>
      </c>
      <c r="AH10" s="25">
        <f>'TUSD BE'!$AH$10*'TUSD BF'!$AH$58</f>
        <v>0</v>
      </c>
      <c r="AI10" s="25">
        <f>'TUSD BE'!$AI$10*'TUSD BF'!$AI$58</f>
        <v>0</v>
      </c>
      <c r="AJ10" s="25">
        <f ca="1">'TUSD BE'!$AJ$10*'TUSD BF'!$AJ$58</f>
        <v>0</v>
      </c>
      <c r="AK10" s="25">
        <f ca="1">'TUSD BE'!$AK$10*'TUSD BF'!$AK$58</f>
        <v>0</v>
      </c>
      <c r="AL10" s="25">
        <f ca="1">SUM($AH$10:$AK$10)</f>
        <v>0</v>
      </c>
      <c r="AM10" s="25">
        <f ca="1">SUMIF($L$4:$AL$4,"SUBTOTAL",$L$10:$AL$10)</f>
        <v>0.11289589204155155</v>
      </c>
      <c r="AO10" s="30">
        <f ca="1">+'TUSD BE'!$T$10+'TUSD BE'!$AB$10+'TUSD BE'!$AD$10+'TUSD BE'!$AL$10</f>
        <v>18.605539880742096</v>
      </c>
      <c r="AP10" s="30">
        <f ca="1">+'TUSD BE'!$T$10+'TUSD BE'!$AB$10+'TUSD BE'!$AD$10+'TUSD BE'!$AL$10</f>
        <v>18.605539880742096</v>
      </c>
    </row>
    <row r="11" spans="1:42" ht="11.25" customHeight="1" x14ac:dyDescent="0.25">
      <c r="A11" s="119"/>
      <c r="B11" s="119"/>
      <c r="C11" s="119"/>
      <c r="D11" s="119"/>
      <c r="E11" s="119"/>
      <c r="F11" s="119"/>
      <c r="G11" s="21" t="s">
        <v>81</v>
      </c>
      <c r="H11" s="21" t="s">
        <v>80</v>
      </c>
      <c r="I11" s="21">
        <f>'MERCADO TUSD'!$U$8</f>
        <v>7136.594000000001</v>
      </c>
      <c r="J11" s="17"/>
      <c r="L11" s="25">
        <f>'TUSD BE'!$L$11*'TUSD BF'!$L$58</f>
        <v>0.38119237254600108</v>
      </c>
      <c r="M11" s="25">
        <f>'TUSD BE'!$M$11*'TUSD BF'!$M$58</f>
        <v>0</v>
      </c>
      <c r="N11" s="25">
        <f ca="1">'TUSD BE'!$N$11*'TUSD BF'!$N$58</f>
        <v>0</v>
      </c>
      <c r="O11" s="25">
        <f>'TUSD BE'!$O$11*'TUSD BF'!$O$58</f>
        <v>0</v>
      </c>
      <c r="P11" s="25">
        <f>'TUSD BE'!$P$11*'TUSD BF'!$P$58</f>
        <v>0</v>
      </c>
      <c r="Q11" s="25">
        <f>'TUSD BE'!$Q$11*'TUSD BF'!$Q$58</f>
        <v>21.943018261352044</v>
      </c>
      <c r="R11" s="25">
        <f>'TUSD BE'!$R$11*'TUSD BF'!$R$58</f>
        <v>4.9842864118200305</v>
      </c>
      <c r="S11" s="25">
        <f>'TUSD BE'!$R$11*'TUSD BF'!$S$58</f>
        <v>0</v>
      </c>
      <c r="T11" s="25">
        <f ca="1">SUM($L$11:$S$11)</f>
        <v>27.308497045718074</v>
      </c>
      <c r="U11" s="25">
        <f>'TUSD BE'!$U$11*'TUSD BF'!$U$58</f>
        <v>6.7425657221159341</v>
      </c>
      <c r="V11" s="25">
        <f>'TUSD BE'!$V$11*'TUSD BF'!$V$58</f>
        <v>0.86384096620522166</v>
      </c>
      <c r="W11" s="25">
        <f>'TUSD BE'!$W$11*'TUSD BF'!$W$58</f>
        <v>0</v>
      </c>
      <c r="X11" s="25">
        <f>'TUSD BE'!$X$11*'TUSD BF'!$X$58</f>
        <v>0</v>
      </c>
      <c r="Y11" s="25">
        <f>'TUSD BE'!$Y$11*'TUSD BF'!$Y$58</f>
        <v>0</v>
      </c>
      <c r="Z11" s="25">
        <f>'TUSD BE'!$Z$11*'TUSD BF'!$Z$58</f>
        <v>0</v>
      </c>
      <c r="AA11" s="25">
        <f>'TUSD BE'!$AA$11*'TUSD BF'!$AA$58</f>
        <v>0</v>
      </c>
      <c r="AB11" s="25">
        <f>SUM($U$11:$AA$11)</f>
        <v>7.6064066883211554</v>
      </c>
      <c r="AC11" s="25">
        <f>'TUSD BE'!$AC$11*'TUSD BF'!$AC$58</f>
        <v>0</v>
      </c>
      <c r="AD11" s="25">
        <f>SUM($AC$11:$AC$11)</f>
        <v>0</v>
      </c>
      <c r="AE11" s="25">
        <f ca="1">$AO$11*$AO$55</f>
        <v>0</v>
      </c>
      <c r="AF11" s="25">
        <f ca="1">$AP$11*$AP$55</f>
        <v>0</v>
      </c>
      <c r="AG11" s="25">
        <f ca="1">SUM($AE$11:$AF$11)</f>
        <v>0</v>
      </c>
      <c r="AH11" s="25">
        <f>'TUSD BE'!$AH$11*'TUSD BF'!$AH$58</f>
        <v>0.2631462159423707</v>
      </c>
      <c r="AI11" s="25">
        <f>'TUSD BE'!$AI$11*'TUSD BF'!$AI$58</f>
        <v>9.2814046381742791E-3</v>
      </c>
      <c r="AJ11" s="25">
        <f ca="1">'TUSD BE'!$AJ$11*'TUSD BF'!$AJ$58</f>
        <v>5.0339715695269176E-2</v>
      </c>
      <c r="AK11" s="25">
        <f ca="1">'TUSD BE'!$AK$11*'TUSD BF'!$AK$58</f>
        <v>0</v>
      </c>
      <c r="AL11" s="25">
        <f ca="1">SUM($AH$11:$AK$11)</f>
        <v>0.32276733627581417</v>
      </c>
      <c r="AM11" s="25">
        <f ca="1">SUMIF($L$4:$AL$4,"SUBTOTAL",$L$11:$AL$11)</f>
        <v>35.237671070315045</v>
      </c>
      <c r="AO11" s="30">
        <f ca="1">+'TUSD BE'!$T$11+'TUSD BE'!$AB$11+'TUSD BE'!$AD$11+'TUSD BE'!$AL$11</f>
        <v>1523.8671997403021</v>
      </c>
      <c r="AP11" s="30">
        <f ca="1">+'TUSD BE'!$T$11+'TUSD BE'!$AB$11+'TUSD BE'!$AD$11+'TUSD BE'!$AL$11</f>
        <v>1523.8671997403021</v>
      </c>
    </row>
    <row r="12" spans="1:42" ht="11.25" customHeight="1" x14ac:dyDescent="0.25">
      <c r="A12" s="119"/>
      <c r="B12" s="119"/>
      <c r="C12" s="119"/>
      <c r="D12" s="119"/>
      <c r="E12" s="119"/>
      <c r="F12" s="119"/>
      <c r="G12" s="21" t="s">
        <v>82</v>
      </c>
      <c r="H12" s="21" t="s">
        <v>80</v>
      </c>
      <c r="I12" s="21">
        <f>'MERCADO TUSD'!$U$9</f>
        <v>103922.32400000001</v>
      </c>
      <c r="J12" s="17"/>
      <c r="L12" s="25">
        <f>'TUSD BE'!$L$12*'TUSD BF'!$L$58</f>
        <v>0.38119237254600108</v>
      </c>
      <c r="M12" s="25">
        <f>'TUSD BE'!$M$12*'TUSD BF'!$M$58</f>
        <v>0</v>
      </c>
      <c r="N12" s="25">
        <f ca="1">'TUSD BE'!$N$12*'TUSD BF'!$N$58</f>
        <v>0</v>
      </c>
      <c r="O12" s="25">
        <f>'TUSD BE'!$O$12*'TUSD BF'!$O$58</f>
        <v>0</v>
      </c>
      <c r="P12" s="25">
        <f>'TUSD BE'!$P$12*'TUSD BF'!$P$58</f>
        <v>0</v>
      </c>
      <c r="Q12" s="25">
        <f>'TUSD BE'!$Q$12*'TUSD BF'!$Q$58</f>
        <v>21.943018261352044</v>
      </c>
      <c r="R12" s="25">
        <f>'TUSD BE'!$R$12*'TUSD BF'!$R$58</f>
        <v>4.9842864118200305</v>
      </c>
      <c r="S12" s="25">
        <f>'TUSD BE'!$R$12*'TUSD BF'!$S$58</f>
        <v>0</v>
      </c>
      <c r="T12" s="25">
        <f ca="1">SUM($L$12:$S$12)</f>
        <v>27.308497045718074</v>
      </c>
      <c r="U12" s="25">
        <f>'TUSD BE'!$U$12*'TUSD BF'!$U$58</f>
        <v>0</v>
      </c>
      <c r="V12" s="25">
        <f>'TUSD BE'!$V$12*'TUSD BF'!$V$58</f>
        <v>0</v>
      </c>
      <c r="W12" s="25">
        <f>'TUSD BE'!$W$12*'TUSD BF'!$W$58</f>
        <v>0</v>
      </c>
      <c r="X12" s="25">
        <f>'TUSD BE'!$X$12*'TUSD BF'!$X$58</f>
        <v>0</v>
      </c>
      <c r="Y12" s="25">
        <f>'TUSD BE'!$Y$12*'TUSD BF'!$Y$58</f>
        <v>0</v>
      </c>
      <c r="Z12" s="25">
        <f>'TUSD BE'!$Z$12*'TUSD BF'!$Z$58</f>
        <v>0</v>
      </c>
      <c r="AA12" s="25">
        <f>'TUSD BE'!$AA$12*'TUSD BF'!$AA$58</f>
        <v>0</v>
      </c>
      <c r="AB12" s="25">
        <f>SUM($U$12:$AA$12)</f>
        <v>0</v>
      </c>
      <c r="AC12" s="25">
        <f>'TUSD BE'!$AC$12*'TUSD BF'!$AC$58</f>
        <v>0</v>
      </c>
      <c r="AD12" s="25">
        <f>SUM($AC$12:$AC$12)</f>
        <v>0</v>
      </c>
      <c r="AE12" s="25">
        <f ca="1">$AO$12*$AO$55</f>
        <v>0</v>
      </c>
      <c r="AF12" s="25">
        <f ca="1">$AP$12*$AP$55</f>
        <v>0</v>
      </c>
      <c r="AG12" s="25">
        <f ca="1">SUM($AE$12:$AF$12)</f>
        <v>0</v>
      </c>
      <c r="AH12" s="25">
        <f>'TUSD BE'!$AH$12*'TUSD BF'!$AH$58</f>
        <v>0.2631462159423707</v>
      </c>
      <c r="AI12" s="25">
        <f>'TUSD BE'!$AI$12*'TUSD BF'!$AI$58</f>
        <v>9.2814046381742791E-3</v>
      </c>
      <c r="AJ12" s="25">
        <f ca="1">'TUSD BE'!$AJ$12*'TUSD BF'!$AJ$58</f>
        <v>5.0339715695269176E-2</v>
      </c>
      <c r="AK12" s="25">
        <f ca="1">'TUSD BE'!$AK$12*'TUSD BF'!$AK$58</f>
        <v>0</v>
      </c>
      <c r="AL12" s="25">
        <f ca="1">SUM($AH$12:$AK$12)</f>
        <v>0.32276733627581417</v>
      </c>
      <c r="AM12" s="25">
        <f ca="1">SUMIF($L$4:$AL$4,"SUBTOTAL",$L$12:$AL$12)</f>
        <v>27.631264381993887</v>
      </c>
      <c r="AO12" s="30">
        <f ca="1">+'TUSD BE'!$T$12+'TUSD BE'!$AB$12+'TUSD BE'!$AD$12+'TUSD BE'!$AL$12</f>
        <v>121.30029264979601</v>
      </c>
      <c r="AP12" s="30">
        <f ca="1">+'TUSD BE'!$T$12+'TUSD BE'!$AB$12+'TUSD BE'!$AD$12+'TUSD BE'!$AL$12</f>
        <v>121.30029264979601</v>
      </c>
    </row>
    <row r="13" spans="1:42" ht="11.25" customHeight="1" x14ac:dyDescent="0.25">
      <c r="A13" s="119"/>
      <c r="B13" s="119"/>
      <c r="C13" s="119"/>
      <c r="D13" s="119"/>
      <c r="E13" s="119" t="s">
        <v>87</v>
      </c>
      <c r="F13" s="119" t="s">
        <v>25</v>
      </c>
      <c r="G13" s="21" t="s">
        <v>81</v>
      </c>
      <c r="H13" s="21" t="s">
        <v>80</v>
      </c>
      <c r="I13" s="21">
        <f>'MERCADO TUSD'!$U$10</f>
        <v>0</v>
      </c>
      <c r="J13" s="17"/>
      <c r="L13" s="25">
        <f>'TUSD BE'!$L$13*'TUSD BF'!$L$58</f>
        <v>0</v>
      </c>
      <c r="M13" s="25">
        <f>'TUSD BE'!$M$13*'TUSD BF'!$M$58</f>
        <v>0</v>
      </c>
      <c r="N13" s="25">
        <f ca="1">'TUSD BE'!$N$13*'TUSD BF'!$N$58</f>
        <v>0</v>
      </c>
      <c r="O13" s="25">
        <f>'TUSD BE'!$O$13*'TUSD BF'!$O$58</f>
        <v>0</v>
      </c>
      <c r="P13" s="25">
        <f>'TUSD BE'!$P$13*'TUSD BF'!$P$58</f>
        <v>0</v>
      </c>
      <c r="Q13" s="25">
        <f>'TUSD BE'!$Q$13*'TUSD BF'!$Q$58</f>
        <v>0</v>
      </c>
      <c r="R13" s="25">
        <f>'TUSD BE'!$R$13*'TUSD BF'!$R$58</f>
        <v>0</v>
      </c>
      <c r="S13" s="25">
        <f>'TUSD BE'!$R$13*'TUSD BF'!$S$58</f>
        <v>0</v>
      </c>
      <c r="T13" s="25">
        <f ca="1">SUM($L$13:$S$13)</f>
        <v>0</v>
      </c>
      <c r="U13" s="25">
        <f>'TUSD BE'!$U$13*'TUSD BF'!$U$58</f>
        <v>6.7425657221159341</v>
      </c>
      <c r="V13" s="25">
        <f>'TUSD BE'!$V$13*'TUSD BF'!$V$58</f>
        <v>0.86384096620522166</v>
      </c>
      <c r="W13" s="25">
        <f>'TUSD BE'!$W$13*'TUSD BF'!$W$58</f>
        <v>0</v>
      </c>
      <c r="X13" s="25">
        <f>'TUSD BE'!$X$13*'TUSD BF'!$X$58</f>
        <v>0</v>
      </c>
      <c r="Y13" s="25">
        <f>'TUSD BE'!$Y$13*'TUSD BF'!$Y$58</f>
        <v>0</v>
      </c>
      <c r="Z13" s="25">
        <f>'TUSD BE'!$Z$13*'TUSD BF'!$Z$58</f>
        <v>0</v>
      </c>
      <c r="AA13" s="25">
        <f>'TUSD BE'!$AA$13*'TUSD BF'!$AA$58</f>
        <v>0</v>
      </c>
      <c r="AB13" s="25">
        <f>SUM($U$13:$AA$13)</f>
        <v>7.6064066883211554</v>
      </c>
      <c r="AC13" s="25">
        <f>'TUSD BE'!$AC$13*'TUSD BF'!$AC$58</f>
        <v>0</v>
      </c>
      <c r="AD13" s="25">
        <f>SUM($AC$13:$AC$13)</f>
        <v>0</v>
      </c>
      <c r="AE13" s="25">
        <f ca="1">$AO$13*$AO$55</f>
        <v>0</v>
      </c>
      <c r="AF13" s="25">
        <f ca="1">$AP$13*$AP$55</f>
        <v>0</v>
      </c>
      <c r="AG13" s="25">
        <f ca="1">SUM($AE$13:$AF$13)</f>
        <v>0</v>
      </c>
      <c r="AH13" s="25">
        <f>'TUSD BE'!$AH$13*'TUSD BF'!$AH$58</f>
        <v>0.2631462159423707</v>
      </c>
      <c r="AI13" s="25">
        <f>'TUSD BE'!$AI$13*'TUSD BF'!$AI$58</f>
        <v>9.2814046381742791E-3</v>
      </c>
      <c r="AJ13" s="25">
        <f ca="1">'TUSD BE'!$AJ$13*'TUSD BF'!$AJ$58</f>
        <v>5.0339715695269176E-2</v>
      </c>
      <c r="AK13" s="25">
        <f ca="1">'TUSD BE'!$AK$13*'TUSD BF'!$AK$58</f>
        <v>0</v>
      </c>
      <c r="AL13" s="25">
        <f ca="1">SUM($AH$13:$AK$13)</f>
        <v>0.32276733627581417</v>
      </c>
      <c r="AM13" s="25">
        <f ca="1">SUMIF($L$4:$AL$4,"SUBTOTAL",$L$13:$AL$13)</f>
        <v>7.9291740245969695</v>
      </c>
      <c r="AO13" s="30">
        <f ca="1">+'TUSD BE'!$T$13+'TUSD BE'!$AB$13+'TUSD BE'!$AD$13+'TUSD BE'!$AL$13</f>
        <v>1424.2995019038947</v>
      </c>
      <c r="AP13" s="30">
        <f ca="1">+'TUSD BE'!$T$13+'TUSD BE'!$AB$13+'TUSD BE'!$AD$13+'TUSD BE'!$AL$13</f>
        <v>1424.2995019038947</v>
      </c>
    </row>
    <row r="14" spans="1:42" ht="11.25" customHeight="1" x14ac:dyDescent="0.25">
      <c r="A14" s="119"/>
      <c r="B14" s="119"/>
      <c r="C14" s="119"/>
      <c r="D14" s="119"/>
      <c r="E14" s="119"/>
      <c r="F14" s="119"/>
      <c r="G14" s="21" t="s">
        <v>82</v>
      </c>
      <c r="H14" s="21" t="s">
        <v>80</v>
      </c>
      <c r="I14" s="21">
        <f>'MERCADO TUSD'!$U$11</f>
        <v>0</v>
      </c>
      <c r="J14" s="17"/>
      <c r="L14" s="25">
        <f>'TUSD BE'!$L$14*'TUSD BF'!$L$58</f>
        <v>0</v>
      </c>
      <c r="M14" s="25">
        <f>'TUSD BE'!$M$14*'TUSD BF'!$M$58</f>
        <v>0</v>
      </c>
      <c r="N14" s="25">
        <f ca="1">'TUSD BE'!$N$14*'TUSD BF'!$N$58</f>
        <v>0</v>
      </c>
      <c r="O14" s="25">
        <f>'TUSD BE'!$O$14*'TUSD BF'!$O$58</f>
        <v>0</v>
      </c>
      <c r="P14" s="25">
        <f>'TUSD BE'!$P$14*'TUSD BF'!$P$58</f>
        <v>0</v>
      </c>
      <c r="Q14" s="25">
        <f>'TUSD BE'!$Q$14*'TUSD BF'!$Q$58</f>
        <v>0</v>
      </c>
      <c r="R14" s="25">
        <f>'TUSD BE'!$R$14*'TUSD BF'!$R$58</f>
        <v>0</v>
      </c>
      <c r="S14" s="25">
        <f>'TUSD BE'!$R$14*'TUSD BF'!$S$58</f>
        <v>0</v>
      </c>
      <c r="T14" s="25">
        <f ca="1">SUM($L$14:$S$14)</f>
        <v>0</v>
      </c>
      <c r="U14" s="25">
        <f>'TUSD BE'!$U$14*'TUSD BF'!$U$58</f>
        <v>0</v>
      </c>
      <c r="V14" s="25">
        <f>'TUSD BE'!$V$14*'TUSD BF'!$V$58</f>
        <v>0</v>
      </c>
      <c r="W14" s="25">
        <f>'TUSD BE'!$W$14*'TUSD BF'!$W$58</f>
        <v>0</v>
      </c>
      <c r="X14" s="25">
        <f>'TUSD BE'!$X$14*'TUSD BF'!$X$58</f>
        <v>0</v>
      </c>
      <c r="Y14" s="25">
        <f>'TUSD BE'!$Y$14*'TUSD BF'!$Y$58</f>
        <v>0</v>
      </c>
      <c r="Z14" s="25">
        <f>'TUSD BE'!$Z$14*'TUSD BF'!$Z$58</f>
        <v>0</v>
      </c>
      <c r="AA14" s="25">
        <f>'TUSD BE'!$AA$14*'TUSD BF'!$AA$58</f>
        <v>0</v>
      </c>
      <c r="AB14" s="25">
        <f>SUM($U$14:$AA$14)</f>
        <v>0</v>
      </c>
      <c r="AC14" s="25">
        <f>'TUSD BE'!$AC$14*'TUSD BF'!$AC$58</f>
        <v>0</v>
      </c>
      <c r="AD14" s="25">
        <f>SUM($AC$14:$AC$14)</f>
        <v>0</v>
      </c>
      <c r="AE14" s="25">
        <f ca="1">$AO$14*$AO$55</f>
        <v>0</v>
      </c>
      <c r="AF14" s="25">
        <f ca="1">$AP$14*$AP$55</f>
        <v>0</v>
      </c>
      <c r="AG14" s="25">
        <f ca="1">SUM($AE$14:$AF$14)</f>
        <v>0</v>
      </c>
      <c r="AH14" s="25">
        <f>'TUSD BE'!$AH$14*'TUSD BF'!$AH$58</f>
        <v>0.2631462159423707</v>
      </c>
      <c r="AI14" s="25">
        <f>'TUSD BE'!$AI$14*'TUSD BF'!$AI$58</f>
        <v>9.2814046381742791E-3</v>
      </c>
      <c r="AJ14" s="25">
        <f ca="1">'TUSD BE'!$AJ$14*'TUSD BF'!$AJ$58</f>
        <v>5.0339715695269176E-2</v>
      </c>
      <c r="AK14" s="25">
        <f ca="1">'TUSD BE'!$AK$14*'TUSD BF'!$AK$58</f>
        <v>0</v>
      </c>
      <c r="AL14" s="25">
        <f ca="1">SUM($AH$14:$AK$14)</f>
        <v>0.32276733627581417</v>
      </c>
      <c r="AM14" s="25">
        <f ca="1">SUMIF($L$4:$AL$4,"SUBTOTAL",$L$14:$AL$14)</f>
        <v>0.32276733627581417</v>
      </c>
      <c r="AO14" s="30">
        <f ca="1">+'TUSD BE'!$T$14+'TUSD BE'!$AB$14+'TUSD BE'!$AD$14+'TUSD BE'!$AL$14</f>
        <v>21.732594813388459</v>
      </c>
      <c r="AP14" s="30">
        <f ca="1">+'TUSD BE'!$T$14+'TUSD BE'!$AB$14+'TUSD BE'!$AD$14+'TUSD BE'!$AL$14</f>
        <v>21.732594813388459</v>
      </c>
    </row>
    <row r="15" spans="1:42" ht="11.25" customHeight="1" x14ac:dyDescent="0.25">
      <c r="A15" s="119" t="s">
        <v>88</v>
      </c>
      <c r="B15" s="119" t="s">
        <v>59</v>
      </c>
      <c r="C15" s="119" t="s">
        <v>25</v>
      </c>
      <c r="D15" s="119" t="s">
        <v>25</v>
      </c>
      <c r="E15" s="28" t="s">
        <v>89</v>
      </c>
      <c r="F15" s="28" t="s">
        <v>25</v>
      </c>
      <c r="G15" s="21" t="s">
        <v>9</v>
      </c>
      <c r="H15" s="21" t="s">
        <v>83</v>
      </c>
      <c r="I15" s="21">
        <f>'MERCADO TUSD'!$U$12+0.00000001</f>
        <v>1E-8</v>
      </c>
      <c r="J15" s="17"/>
      <c r="L15" s="25">
        <f>'TUSD BE'!$L$15*'TUSD BF'!$L$58</f>
        <v>0</v>
      </c>
      <c r="M15" s="25">
        <f>'TUSD BE'!$M$15*'TUSD BF'!$M$58</f>
        <v>0</v>
      </c>
      <c r="N15" s="25">
        <f ca="1">'TUSD BE'!$N$15*'TUSD BF'!$N$58</f>
        <v>0</v>
      </c>
      <c r="O15" s="25">
        <f>'TUSD BE'!$O$15*'TUSD BF'!$O$58</f>
        <v>0</v>
      </c>
      <c r="P15" s="25">
        <f>'TUSD BE'!$P$15*'TUSD BF'!$P$58</f>
        <v>0</v>
      </c>
      <c r="Q15" s="25">
        <f>'TUSD BE'!$Q$15*'TUSD BF'!$Q$58</f>
        <v>0</v>
      </c>
      <c r="R15" s="25">
        <f>'TUSD BE'!$R$15*'TUSD BF'!$R$58</f>
        <v>0</v>
      </c>
      <c r="S15" s="25">
        <f>'TUSD BE'!$R$15*'TUSD BF'!$S$58</f>
        <v>0</v>
      </c>
      <c r="T15" s="25">
        <f ca="1">SUM($L$15:$S$15)</f>
        <v>0</v>
      </c>
      <c r="U15" s="25">
        <f>'TUSD BE'!$U$15*'TUSD BF'!$U$58</f>
        <v>0</v>
      </c>
      <c r="V15" s="25">
        <f>'TUSD BE'!$V$15*'TUSD BF'!$V$58</f>
        <v>0</v>
      </c>
      <c r="W15" s="25">
        <f>'TUSD BE'!$W$15*'TUSD BF'!$W$58</f>
        <v>0</v>
      </c>
      <c r="X15" s="25">
        <f>'TUSD BE'!$X$15*'TUSD BF'!$X$58</f>
        <v>0</v>
      </c>
      <c r="Y15" s="25">
        <f>'TUSD BE'!$Y$15*'TUSD BF'!$Y$58</f>
        <v>0</v>
      </c>
      <c r="Z15" s="25">
        <f>'TUSD BE'!$Z$15*'TUSD BF'!$Z$58</f>
        <v>0</v>
      </c>
      <c r="AA15" s="25">
        <f>'TUSD BE'!$AA$15*'TUSD BF'!$AA$58</f>
        <v>0</v>
      </c>
      <c r="AB15" s="25">
        <f>SUM($U$15:$AA$15)</f>
        <v>0</v>
      </c>
      <c r="AC15" s="25">
        <f>'TUSD BE'!$AC$15*'TUSD BF'!$AC$58</f>
        <v>0</v>
      </c>
      <c r="AD15" s="25">
        <f>SUM($AC$15:$AC$15)</f>
        <v>0</v>
      </c>
      <c r="AE15" s="25">
        <f ca="1">$AO$15*$AO$55</f>
        <v>0</v>
      </c>
      <c r="AF15" s="25">
        <f ca="1">$AP$15*$AP$55</f>
        <v>0</v>
      </c>
      <c r="AG15" s="25">
        <f ca="1">SUM($AE$15:$AF$15)</f>
        <v>0</v>
      </c>
      <c r="AH15" s="25">
        <f>'TUSD BE'!$AH$15*'TUSD BF'!$AH$58</f>
        <v>0</v>
      </c>
      <c r="AI15" s="25">
        <f>'TUSD BE'!$AI$15*'TUSD BF'!$AI$58</f>
        <v>0</v>
      </c>
      <c r="AJ15" s="25">
        <f ca="1">'TUSD BE'!$AJ$15*'TUSD BF'!$AJ$58</f>
        <v>0</v>
      </c>
      <c r="AK15" s="25">
        <f ca="1">'TUSD BE'!$AK$15*'TUSD BF'!$AK$58</f>
        <v>0</v>
      </c>
      <c r="AL15" s="25">
        <f ca="1">SUM($AH$15:$AK$15)</f>
        <v>0</v>
      </c>
      <c r="AM15" s="25">
        <f ca="1">SUMIF($L$4:$AL$4,"SUBTOTAL",$L$15:$AL$15)</f>
        <v>0</v>
      </c>
      <c r="AO15" s="30">
        <f ca="1">+'TUSD BE'!$T$15+'TUSD BE'!$AB$15+'TUSD BE'!$AD$15+'TUSD BE'!$AL$15</f>
        <v>1.7522505772544059</v>
      </c>
      <c r="AP15" s="30">
        <f ca="1">+'TUSD BE'!$T$15+'TUSD BE'!$AB$15+'TUSD BE'!$AD$15+'TUSD BE'!$AL$15</f>
        <v>1.7522505772544059</v>
      </c>
    </row>
    <row r="16" spans="1:42" ht="11.25" customHeight="1" x14ac:dyDescent="0.25">
      <c r="A16" s="119"/>
      <c r="B16" s="119"/>
      <c r="C16" s="119"/>
      <c r="D16" s="119"/>
      <c r="E16" s="28" t="s">
        <v>90</v>
      </c>
      <c r="F16" s="28" t="s">
        <v>25</v>
      </c>
      <c r="G16" s="21" t="s">
        <v>9</v>
      </c>
      <c r="H16" s="21" t="s">
        <v>83</v>
      </c>
      <c r="I16" s="21">
        <f>'MERCADO TUSD'!$U$13+0.00000001</f>
        <v>1E-8</v>
      </c>
      <c r="J16" s="17"/>
      <c r="L16" s="25">
        <f>'TUSD BE'!$L$16*'TUSD BF'!$L$58</f>
        <v>0</v>
      </c>
      <c r="M16" s="25">
        <f>'TUSD BE'!$M$16*'TUSD BF'!$M$58</f>
        <v>0</v>
      </c>
      <c r="N16" s="25">
        <f ca="1">'TUSD BE'!$N$16*'TUSD BF'!$N$58</f>
        <v>0</v>
      </c>
      <c r="O16" s="25">
        <f>'TUSD BE'!$O$16*'TUSD BF'!$O$58</f>
        <v>0</v>
      </c>
      <c r="P16" s="25">
        <f>'TUSD BE'!$P$16*'TUSD BF'!$P$58</f>
        <v>0</v>
      </c>
      <c r="Q16" s="25">
        <f>'TUSD BE'!$Q$16*'TUSD BF'!$Q$58</f>
        <v>0</v>
      </c>
      <c r="R16" s="25">
        <f>'TUSD BE'!$R$16*'TUSD BF'!$R$58</f>
        <v>0</v>
      </c>
      <c r="S16" s="25">
        <f>'TUSD BE'!$R$16*'TUSD BF'!$S$58</f>
        <v>0</v>
      </c>
      <c r="T16" s="25">
        <f ca="1">SUM($L$16:$S$16)</f>
        <v>0</v>
      </c>
      <c r="U16" s="25">
        <f>'TUSD BE'!$U$16*'TUSD BF'!$U$58</f>
        <v>0</v>
      </c>
      <c r="V16" s="25">
        <f>'TUSD BE'!$V$16*'TUSD BF'!$V$58</f>
        <v>0</v>
      </c>
      <c r="W16" s="25">
        <f>'TUSD BE'!$W$16*'TUSD BF'!$W$58</f>
        <v>0</v>
      </c>
      <c r="X16" s="25">
        <f>'TUSD BE'!$X$16*'TUSD BF'!$X$58</f>
        <v>0</v>
      </c>
      <c r="Y16" s="25">
        <f>'TUSD BE'!$Y$16*'TUSD BF'!$Y$58</f>
        <v>0</v>
      </c>
      <c r="Z16" s="25">
        <f>'TUSD BE'!$Z$16*'TUSD BF'!$Z$58</f>
        <v>0</v>
      </c>
      <c r="AA16" s="25">
        <f>'TUSD BE'!$AA$16*'TUSD BF'!$AA$58</f>
        <v>0</v>
      </c>
      <c r="AB16" s="25">
        <f>SUM($U$16:$AA$16)</f>
        <v>0</v>
      </c>
      <c r="AC16" s="25">
        <f>'TUSD BE'!$AC$16*'TUSD BF'!$AC$58</f>
        <v>0</v>
      </c>
      <c r="AD16" s="25">
        <f>SUM($AC$16:$AC$16)</f>
        <v>0</v>
      </c>
      <c r="AE16" s="25">
        <f ca="1">$AO$16*$AO$55</f>
        <v>0</v>
      </c>
      <c r="AF16" s="25">
        <f ca="1">$AP$16*$AP$55</f>
        <v>0</v>
      </c>
      <c r="AG16" s="25">
        <f ca="1">SUM($AE$16:$AF$16)</f>
        <v>0</v>
      </c>
      <c r="AH16" s="25">
        <f>'TUSD BE'!$AH$16*'TUSD BF'!$AH$58</f>
        <v>0</v>
      </c>
      <c r="AI16" s="25">
        <f>'TUSD BE'!$AI$16*'TUSD BF'!$AI$58</f>
        <v>0</v>
      </c>
      <c r="AJ16" s="25">
        <f ca="1">'TUSD BE'!$AJ$16*'TUSD BF'!$AJ$58</f>
        <v>0</v>
      </c>
      <c r="AK16" s="25">
        <f ca="1">'TUSD BE'!$AK$16*'TUSD BF'!$AK$58</f>
        <v>0</v>
      </c>
      <c r="AL16" s="25">
        <f ca="1">SUM($AH$16:$AK$16)</f>
        <v>0</v>
      </c>
      <c r="AM16" s="25">
        <f ca="1">SUMIF($L$4:$AL$4,"SUBTOTAL",$L$16:$AL$16)</f>
        <v>0</v>
      </c>
      <c r="AO16" s="30">
        <f ca="1">+'TUSD BE'!$T$16+'TUSD BE'!$AB$16+'TUSD BE'!$AD$16+'TUSD BE'!$AL$16</f>
        <v>15.67416182412116</v>
      </c>
      <c r="AP16" s="30">
        <f ca="1">+'TUSD BE'!$T$16+'TUSD BE'!$AB$16+'TUSD BE'!$AD$16+'TUSD BE'!$AL$16</f>
        <v>15.67416182412116</v>
      </c>
    </row>
    <row r="17" spans="1:42" ht="11.25" customHeight="1" x14ac:dyDescent="0.25">
      <c r="A17" s="119" t="s">
        <v>22</v>
      </c>
      <c r="B17" s="119" t="s">
        <v>33</v>
      </c>
      <c r="C17" s="119" t="s">
        <v>24</v>
      </c>
      <c r="D17" s="119" t="s">
        <v>24</v>
      </c>
      <c r="E17" s="119" t="s">
        <v>25</v>
      </c>
      <c r="F17" s="119" t="s">
        <v>25</v>
      </c>
      <c r="G17" s="21" t="s">
        <v>81</v>
      </c>
      <c r="H17" s="21" t="s">
        <v>80</v>
      </c>
      <c r="I17" s="21">
        <f>'MERCADO TUSD'!$U$14</f>
        <v>17.608000000000004</v>
      </c>
      <c r="J17" s="17"/>
      <c r="L17" s="25">
        <f>'TUSD BE'!$L$17*'TUSD BF'!$L$58</f>
        <v>0.4538004435071441</v>
      </c>
      <c r="M17" s="25">
        <f>'TUSD BE'!$M$17*'TUSD BF'!$M$58</f>
        <v>0</v>
      </c>
      <c r="N17" s="25">
        <f ca="1">'TUSD BE'!$N$17*'TUSD BF'!$N$58</f>
        <v>0</v>
      </c>
      <c r="O17" s="25">
        <f>'TUSD BE'!$O$17*'TUSD BF'!$O$58</f>
        <v>0</v>
      </c>
      <c r="P17" s="25">
        <f>'TUSD BE'!$P$17*'TUSD BF'!$P$58</f>
        <v>0</v>
      </c>
      <c r="Q17" s="25">
        <f>'TUSD BE'!$Q$17*'TUSD BF'!$Q$58</f>
        <v>26.122640787323864</v>
      </c>
      <c r="R17" s="25">
        <f>'TUSD BE'!$R$17*'TUSD BF'!$R$58</f>
        <v>4.9842864118200305</v>
      </c>
      <c r="S17" s="25">
        <f>'TUSD BE'!$R$17*'TUSD BF'!$S$58</f>
        <v>0</v>
      </c>
      <c r="T17" s="25">
        <f ca="1">SUM($L$17:$S$17)</f>
        <v>31.560727642651038</v>
      </c>
      <c r="U17" s="25">
        <f>'TUSD BE'!$U$17*'TUSD BF'!$U$58</f>
        <v>3.8240664790750212</v>
      </c>
      <c r="V17" s="25">
        <f>'TUSD BE'!$V$17*'TUSD BF'!$V$58</f>
        <v>0.5044669374281987</v>
      </c>
      <c r="W17" s="25">
        <f>'TUSD BE'!$W$17*'TUSD BF'!$W$58</f>
        <v>0</v>
      </c>
      <c r="X17" s="25">
        <f>'TUSD BE'!$X$17*'TUSD BF'!$X$58</f>
        <v>0</v>
      </c>
      <c r="Y17" s="25">
        <f>'TUSD BE'!$Y$17*'TUSD BF'!$Y$58</f>
        <v>0</v>
      </c>
      <c r="Z17" s="25">
        <f>'TUSD BE'!$Z$17*'TUSD BF'!$Z$58</f>
        <v>0</v>
      </c>
      <c r="AA17" s="25">
        <f>'TUSD BE'!$AA$17*'TUSD BF'!$AA$58</f>
        <v>0</v>
      </c>
      <c r="AB17" s="25">
        <f>SUM($U$17:$AA$17)</f>
        <v>4.3285334165032197</v>
      </c>
      <c r="AC17" s="25">
        <f>'TUSD BE'!$AC$17*'TUSD BF'!$AC$58</f>
        <v>0</v>
      </c>
      <c r="AD17" s="25">
        <f>SUM($AC$17:$AC$17)</f>
        <v>0</v>
      </c>
      <c r="AE17" s="25">
        <f ca="1">$AO$17*$AO$55</f>
        <v>0</v>
      </c>
      <c r="AF17" s="25">
        <f ca="1">$AP$17*$AP$55</f>
        <v>0</v>
      </c>
      <c r="AG17" s="25">
        <f ca="1">SUM($AE$17:$AF$17)</f>
        <v>0</v>
      </c>
      <c r="AH17" s="25">
        <f>'TUSD BE'!$AH$17*'TUSD BF'!$AH$58</f>
        <v>0.49461988061799755</v>
      </c>
      <c r="AI17" s="25">
        <f>'TUSD BE'!$AI$17*'TUSD BF'!$AI$58</f>
        <v>1.7445689795161159E-2</v>
      </c>
      <c r="AJ17" s="25">
        <f ca="1">'TUSD BE'!$AJ$17*'TUSD BF'!$AJ$58</f>
        <v>6.6368544856576325E-2</v>
      </c>
      <c r="AK17" s="25">
        <f ca="1">'TUSD BE'!$AK$17*'TUSD BF'!$AK$58</f>
        <v>0</v>
      </c>
      <c r="AL17" s="25">
        <f ca="1">SUM($AH$17:$AK$17)</f>
        <v>0.57843411526973498</v>
      </c>
      <c r="AM17" s="25">
        <f ca="1">SUMIF($L$4:$AL$4,"SUBTOTAL",$L$17:$AL$17)</f>
        <v>36.467695174423994</v>
      </c>
      <c r="AO17" s="30">
        <f ca="1">+'TUSD BE'!$T$17+'TUSD BE'!$AB$17+'TUSD BE'!$AD$17+'TUSD BE'!$AL$17</f>
        <v>950.61927143147636</v>
      </c>
      <c r="AP17" s="30">
        <f ca="1">+'TUSD BE'!$T$17+'TUSD BE'!$AB$17+'TUSD BE'!$AD$17+'TUSD BE'!$AL$17</f>
        <v>950.61927143147636</v>
      </c>
    </row>
    <row r="18" spans="1:42" ht="11.25" customHeight="1" x14ac:dyDescent="0.25">
      <c r="A18" s="119"/>
      <c r="B18" s="119"/>
      <c r="C18" s="119"/>
      <c r="D18" s="119"/>
      <c r="E18" s="119"/>
      <c r="F18" s="119"/>
      <c r="G18" s="21" t="s">
        <v>91</v>
      </c>
      <c r="H18" s="21" t="s">
        <v>80</v>
      </c>
      <c r="I18" s="21">
        <f>'MERCADO TUSD'!$U$15</f>
        <v>7.3439999999999994</v>
      </c>
      <c r="J18" s="17"/>
      <c r="L18" s="25">
        <f>'TUSD BE'!$L$18*'TUSD BF'!$L$58</f>
        <v>0.4538004435071441</v>
      </c>
      <c r="M18" s="25">
        <f>'TUSD BE'!$M$18*'TUSD BF'!$M$58</f>
        <v>0</v>
      </c>
      <c r="N18" s="25">
        <f ca="1">'TUSD BE'!$N$18*'TUSD BF'!$N$58</f>
        <v>0</v>
      </c>
      <c r="O18" s="25">
        <f>'TUSD BE'!$O$18*'TUSD BF'!$O$58</f>
        <v>0</v>
      </c>
      <c r="P18" s="25">
        <f>'TUSD BE'!$P$18*'TUSD BF'!$P$58</f>
        <v>0</v>
      </c>
      <c r="Q18" s="25">
        <f>'TUSD BE'!$Q$18*'TUSD BF'!$Q$58</f>
        <v>26.122640787323864</v>
      </c>
      <c r="R18" s="25">
        <f>'TUSD BE'!$R$18*'TUSD BF'!$R$58</f>
        <v>4.9842864118200305</v>
      </c>
      <c r="S18" s="25">
        <f>'TUSD BE'!$R$18*'TUSD BF'!$S$58</f>
        <v>0</v>
      </c>
      <c r="T18" s="25">
        <f ca="1">SUM($L$18:$S$18)</f>
        <v>31.560727642651038</v>
      </c>
      <c r="U18" s="25">
        <f>'TUSD BE'!$U$18*'TUSD BF'!$U$58</f>
        <v>2.294436405275361</v>
      </c>
      <c r="V18" s="25">
        <f>'TUSD BE'!$V$18*'TUSD BF'!$V$58</f>
        <v>0.30267806027047106</v>
      </c>
      <c r="W18" s="25">
        <f>'TUSD BE'!$W$18*'TUSD BF'!$W$58</f>
        <v>0</v>
      </c>
      <c r="X18" s="25">
        <f>'TUSD BE'!$X$18*'TUSD BF'!$X$58</f>
        <v>0</v>
      </c>
      <c r="Y18" s="25">
        <f>'TUSD BE'!$Y$18*'TUSD BF'!$Y$58</f>
        <v>0</v>
      </c>
      <c r="Z18" s="25">
        <f>'TUSD BE'!$Z$18*'TUSD BF'!$Z$58</f>
        <v>0</v>
      </c>
      <c r="AA18" s="25">
        <f>'TUSD BE'!$AA$18*'TUSD BF'!$AA$58</f>
        <v>0</v>
      </c>
      <c r="AB18" s="25">
        <f>SUM($U$18:$AA$18)</f>
        <v>2.597114465545832</v>
      </c>
      <c r="AC18" s="25">
        <f>'TUSD BE'!$AC$18*'TUSD BF'!$AC$58</f>
        <v>0</v>
      </c>
      <c r="AD18" s="25">
        <f>SUM($AC$18:$AC$18)</f>
        <v>0</v>
      </c>
      <c r="AE18" s="25">
        <f ca="1">$AO$18*$AO$55</f>
        <v>0</v>
      </c>
      <c r="AF18" s="25">
        <f ca="1">$AP$18*$AP$55</f>
        <v>0</v>
      </c>
      <c r="AG18" s="25">
        <f ca="1">SUM($AE$18:$AF$18)</f>
        <v>0</v>
      </c>
      <c r="AH18" s="25">
        <f>'TUSD BE'!$AH$18*'TUSD BF'!$AH$58</f>
        <v>0.49461988061799755</v>
      </c>
      <c r="AI18" s="25">
        <f>'TUSD BE'!$AI$18*'TUSD BF'!$AI$58</f>
        <v>1.7445689795161159E-2</v>
      </c>
      <c r="AJ18" s="25">
        <f ca="1">'TUSD BE'!$AJ$18*'TUSD BF'!$AJ$58</f>
        <v>6.6368544856576325E-2</v>
      </c>
      <c r="AK18" s="25">
        <f ca="1">'TUSD BE'!$AK$18*'TUSD BF'!$AK$58</f>
        <v>0</v>
      </c>
      <c r="AL18" s="25">
        <f ca="1">SUM($AH$18:$AK$18)</f>
        <v>0.57843411526973498</v>
      </c>
      <c r="AM18" s="25">
        <f ca="1">SUMIF($L$4:$AL$4,"SUBTOTAL",$L$18:$AL$18)</f>
        <v>34.736276223466604</v>
      </c>
      <c r="AO18" s="30">
        <f ca="1">+'TUSD BE'!$T$18+'TUSD BE'!$AB$18+'TUSD BE'!$AD$18+'TUSD BE'!$AL$18</f>
        <v>632.16193631112765</v>
      </c>
      <c r="AP18" s="30">
        <f ca="1">+'TUSD BE'!$T$18+'TUSD BE'!$AB$18+'TUSD BE'!$AD$18+'TUSD BE'!$AL$18</f>
        <v>632.16193631112765</v>
      </c>
    </row>
    <row r="19" spans="1:42" ht="11.25" customHeight="1" x14ac:dyDescent="0.25">
      <c r="A19" s="119"/>
      <c r="B19" s="119"/>
      <c r="C19" s="119"/>
      <c r="D19" s="119"/>
      <c r="E19" s="119"/>
      <c r="F19" s="119"/>
      <c r="G19" s="21" t="s">
        <v>82</v>
      </c>
      <c r="H19" s="21" t="s">
        <v>80</v>
      </c>
      <c r="I19" s="21">
        <f>'MERCADO TUSD'!$U$16</f>
        <v>120.18199999999999</v>
      </c>
      <c r="J19" s="17"/>
      <c r="L19" s="25">
        <f>'TUSD BE'!$L$19*'TUSD BF'!$L$58</f>
        <v>0.4538004435071441</v>
      </c>
      <c r="M19" s="25">
        <f>'TUSD BE'!$M$19*'TUSD BF'!$M$58</f>
        <v>0</v>
      </c>
      <c r="N19" s="25">
        <f ca="1">'TUSD BE'!$N$19*'TUSD BF'!$N$58</f>
        <v>0</v>
      </c>
      <c r="O19" s="25">
        <f>'TUSD BE'!$O$19*'TUSD BF'!$O$58</f>
        <v>0</v>
      </c>
      <c r="P19" s="25">
        <f>'TUSD BE'!$P$19*'TUSD BF'!$P$58</f>
        <v>0</v>
      </c>
      <c r="Q19" s="25">
        <f>'TUSD BE'!$Q$19*'TUSD BF'!$Q$58</f>
        <v>26.122640787323864</v>
      </c>
      <c r="R19" s="25">
        <f>'TUSD BE'!$R$19*'TUSD BF'!$R$58</f>
        <v>4.9842864118200305</v>
      </c>
      <c r="S19" s="25">
        <f>'TUSD BE'!$R$19*'TUSD BF'!$S$58</f>
        <v>0</v>
      </c>
      <c r="T19" s="25">
        <f ca="1">SUM($L$19:$S$19)</f>
        <v>31.560727642651038</v>
      </c>
      <c r="U19" s="25">
        <f>'TUSD BE'!$U$19*'TUSD BF'!$U$58</f>
        <v>0.76481213509178703</v>
      </c>
      <c r="V19" s="25">
        <f>'TUSD BE'!$V$19*'TUSD BF'!$V$58</f>
        <v>0.10089443857886382</v>
      </c>
      <c r="W19" s="25">
        <f>'TUSD BE'!$W$19*'TUSD BF'!$W$58</f>
        <v>0</v>
      </c>
      <c r="X19" s="25">
        <f>'TUSD BE'!$X$19*'TUSD BF'!$X$58</f>
        <v>0</v>
      </c>
      <c r="Y19" s="25">
        <f>'TUSD BE'!$Y$19*'TUSD BF'!$Y$58</f>
        <v>0</v>
      </c>
      <c r="Z19" s="25">
        <f>'TUSD BE'!$Z$19*'TUSD BF'!$Z$58</f>
        <v>0</v>
      </c>
      <c r="AA19" s="25">
        <f>'TUSD BE'!$AA$19*'TUSD BF'!$AA$58</f>
        <v>0</v>
      </c>
      <c r="AB19" s="25">
        <f>SUM($U$19:$AA$19)</f>
        <v>0.86570657367065085</v>
      </c>
      <c r="AC19" s="25">
        <f>'TUSD BE'!$AC$19*'TUSD BF'!$AC$58</f>
        <v>0</v>
      </c>
      <c r="AD19" s="25">
        <f>SUM($AC$19:$AC$19)</f>
        <v>0</v>
      </c>
      <c r="AE19" s="25">
        <f ca="1">$AO$19*$AO$55</f>
        <v>0</v>
      </c>
      <c r="AF19" s="25">
        <f ca="1">$AP$19*$AP$55</f>
        <v>0</v>
      </c>
      <c r="AG19" s="25">
        <f ca="1">SUM($AE$19:$AF$19)</f>
        <v>0</v>
      </c>
      <c r="AH19" s="25">
        <f>'TUSD BE'!$AH$19*'TUSD BF'!$AH$58</f>
        <v>0.49461988061799755</v>
      </c>
      <c r="AI19" s="25">
        <f>'TUSD BE'!$AI$19*'TUSD BF'!$AI$58</f>
        <v>1.7445689795161159E-2</v>
      </c>
      <c r="AJ19" s="25">
        <f ca="1">'TUSD BE'!$AJ$19*'TUSD BF'!$AJ$58</f>
        <v>6.6368544856576325E-2</v>
      </c>
      <c r="AK19" s="25">
        <f ca="1">'TUSD BE'!$AK$19*'TUSD BF'!$AK$58</f>
        <v>0</v>
      </c>
      <c r="AL19" s="25">
        <f ca="1">SUM($AH$19:$AK$19)</f>
        <v>0.57843411526973498</v>
      </c>
      <c r="AM19" s="25">
        <f ca="1">SUMIF($L$4:$AL$4,"SUBTOTAL",$L$19:$AL$19)</f>
        <v>33.004868331591425</v>
      </c>
      <c r="AO19" s="30">
        <f ca="1">+'TUSD BE'!$T$19+'TUSD BE'!$AB$19+'TUSD BE'!$AD$19+'TUSD BE'!$AL$19</f>
        <v>313.70506774116518</v>
      </c>
      <c r="AP19" s="30">
        <f ca="1">+'TUSD BE'!$T$19+'TUSD BE'!$AB$19+'TUSD BE'!$AD$19+'TUSD BE'!$AL$19</f>
        <v>313.70506774116518</v>
      </c>
    </row>
    <row r="20" spans="1:42" ht="11.25" customHeight="1" x14ac:dyDescent="0.25">
      <c r="A20" s="119"/>
      <c r="B20" s="119" t="s">
        <v>23</v>
      </c>
      <c r="C20" s="119" t="s">
        <v>24</v>
      </c>
      <c r="D20" s="28" t="s">
        <v>24</v>
      </c>
      <c r="E20" s="28" t="s">
        <v>25</v>
      </c>
      <c r="F20" s="28" t="s">
        <v>25</v>
      </c>
      <c r="G20" s="21" t="s">
        <v>86</v>
      </c>
      <c r="H20" s="21" t="s">
        <v>80</v>
      </c>
      <c r="I20" s="21">
        <f>'MERCADO TUSD'!$U$17</f>
        <v>125132.74900000001</v>
      </c>
      <c r="J20" s="17"/>
      <c r="L20" s="25">
        <f>'TUSD BE'!$L$20*'TUSD BF'!$L$58</f>
        <v>0.4538004435071441</v>
      </c>
      <c r="M20" s="25">
        <f>'TUSD BE'!$M$20*'TUSD BF'!$M$58</f>
        <v>0</v>
      </c>
      <c r="N20" s="25">
        <f ca="1">'TUSD BE'!$N$20*'TUSD BF'!$N$58</f>
        <v>0</v>
      </c>
      <c r="O20" s="25">
        <f>'TUSD BE'!$O$20*'TUSD BF'!$O$58</f>
        <v>0</v>
      </c>
      <c r="P20" s="25">
        <f>'TUSD BE'!$P$20*'TUSD BF'!$P$58</f>
        <v>0</v>
      </c>
      <c r="Q20" s="25">
        <f>'TUSD BE'!$Q$20*'TUSD BF'!$Q$58</f>
        <v>26.122640787323864</v>
      </c>
      <c r="R20" s="25">
        <f>'TUSD BE'!$R$20*'TUSD BF'!$R$58</f>
        <v>4.9842864118200305</v>
      </c>
      <c r="S20" s="25">
        <f>'TUSD BE'!$R$20*'TUSD BF'!$S$58</f>
        <v>0</v>
      </c>
      <c r="T20" s="25">
        <f ca="1">SUM($L$20:$S$20)</f>
        <v>31.560727642651038</v>
      </c>
      <c r="U20" s="25">
        <f>'TUSD BE'!$U$20*'TUSD BF'!$U$58</f>
        <v>1.2139888057111732</v>
      </c>
      <c r="V20" s="25">
        <f>'TUSD BE'!$V$20*'TUSD BF'!$V$58</f>
        <v>0.1601498190860359</v>
      </c>
      <c r="W20" s="25">
        <f>'TUSD BE'!$W$20*'TUSD BF'!$W$58</f>
        <v>0</v>
      </c>
      <c r="X20" s="25">
        <f>'TUSD BE'!$X$20*'TUSD BF'!$X$58</f>
        <v>0</v>
      </c>
      <c r="Y20" s="25">
        <f>'TUSD BE'!$Y$20*'TUSD BF'!$Y$58</f>
        <v>0</v>
      </c>
      <c r="Z20" s="25">
        <f>'TUSD BE'!$Z$20*'TUSD BF'!$Z$58</f>
        <v>0</v>
      </c>
      <c r="AA20" s="25">
        <f>'TUSD BE'!$AA$20*'TUSD BF'!$AA$58</f>
        <v>0</v>
      </c>
      <c r="AB20" s="25">
        <f>SUM($U$20:$AA$20)</f>
        <v>1.3741386247972092</v>
      </c>
      <c r="AC20" s="25">
        <f>'TUSD BE'!$AC$20*'TUSD BF'!$AC$58</f>
        <v>0</v>
      </c>
      <c r="AD20" s="25">
        <f>SUM($AC$20:$AC$20)</f>
        <v>0</v>
      </c>
      <c r="AE20" s="25">
        <f ca="1">$AO$20*$AO$55</f>
        <v>0</v>
      </c>
      <c r="AF20" s="25">
        <f ca="1">$AP$20*$AP$55</f>
        <v>0</v>
      </c>
      <c r="AG20" s="25">
        <f ca="1">SUM($AE$20:$AF$20)</f>
        <v>0</v>
      </c>
      <c r="AH20" s="25">
        <f>'TUSD BE'!$AH$20*'TUSD BF'!$AH$58</f>
        <v>0.49461988061799755</v>
      </c>
      <c r="AI20" s="25">
        <f>'TUSD BE'!$AI$20*'TUSD BF'!$AI$58</f>
        <v>1.7445689795161159E-2</v>
      </c>
      <c r="AJ20" s="25">
        <f ca="1">'TUSD BE'!$AJ$20*'TUSD BF'!$AJ$58</f>
        <v>6.6368544856576325E-2</v>
      </c>
      <c r="AK20" s="25">
        <f ca="1">'TUSD BE'!$AK$20*'TUSD BF'!$AK$58</f>
        <v>0</v>
      </c>
      <c r="AL20" s="25">
        <f ca="1">SUM($AH$20:$AK$20)</f>
        <v>0.57843411526973498</v>
      </c>
      <c r="AM20" s="25">
        <f ca="1">SUMIF($L$4:$AL$4,"SUBTOTAL",$L$20:$AL$20)</f>
        <v>33.513300382717986</v>
      </c>
      <c r="AO20" s="30">
        <f ca="1">+'TUSD BE'!$T$20+'TUSD BE'!$AB$20+'TUSD BE'!$AD$20+'TUSD BE'!$AL$20</f>
        <v>407.22033291444632</v>
      </c>
      <c r="AP20" s="30">
        <f ca="1">+'TUSD BE'!$T$20+'TUSD BE'!$AB$20+'TUSD BE'!$AD$20+'TUSD BE'!$AL$20</f>
        <v>407.22033291444632</v>
      </c>
    </row>
    <row r="21" spans="1:42" ht="11.25" customHeight="1" x14ac:dyDescent="0.25">
      <c r="A21" s="119"/>
      <c r="B21" s="119"/>
      <c r="C21" s="119"/>
      <c r="D21" s="28" t="s">
        <v>29</v>
      </c>
      <c r="E21" s="28" t="s">
        <v>25</v>
      </c>
      <c r="F21" s="28" t="s">
        <v>25</v>
      </c>
      <c r="G21" s="21" t="s">
        <v>86</v>
      </c>
      <c r="H21" s="21" t="s">
        <v>80</v>
      </c>
      <c r="I21" s="21">
        <f>'MERCADO TUSD'!$U$18</f>
        <v>4179.51</v>
      </c>
      <c r="J21" s="17"/>
      <c r="L21" s="25">
        <f>'TUSD BE'!$L$21*'TUSD BF'!$L$58</f>
        <v>0</v>
      </c>
      <c r="M21" s="25">
        <f>'TUSD BE'!$M$21*'TUSD BF'!$M$58</f>
        <v>0</v>
      </c>
      <c r="N21" s="25">
        <f ca="1">'TUSD BE'!$N$21*'TUSD BF'!$N$58</f>
        <v>0</v>
      </c>
      <c r="O21" s="25">
        <f>'TUSD BE'!$O$21*'TUSD BF'!$O$58</f>
        <v>0</v>
      </c>
      <c r="P21" s="25">
        <f>'TUSD BE'!$P$21*'TUSD BF'!$P$58</f>
        <v>0</v>
      </c>
      <c r="Q21" s="25">
        <f>'TUSD BE'!$Q$21*'TUSD BF'!$Q$58</f>
        <v>0</v>
      </c>
      <c r="R21" s="25">
        <f>'TUSD BE'!$R$21*'TUSD BF'!$R$58</f>
        <v>0</v>
      </c>
      <c r="S21" s="25">
        <f>'TUSD BE'!$R$21*'TUSD BF'!$S$58</f>
        <v>0</v>
      </c>
      <c r="T21" s="25">
        <f ca="1">SUM($L$21:$S$21)</f>
        <v>0</v>
      </c>
      <c r="U21" s="25">
        <f>'TUSD BE'!$U$21*'TUSD BF'!$U$58</f>
        <v>1.2139888057111732</v>
      </c>
      <c r="V21" s="25">
        <f>'TUSD BE'!$V$21*'TUSD BF'!$V$58</f>
        <v>0.1601498190860359</v>
      </c>
      <c r="W21" s="25">
        <f>'TUSD BE'!$W$21*'TUSD BF'!$W$58</f>
        <v>0</v>
      </c>
      <c r="X21" s="25">
        <f>'TUSD BE'!$X$21*'TUSD BF'!$X$58</f>
        <v>0</v>
      </c>
      <c r="Y21" s="25">
        <f>'TUSD BE'!$Y$21*'TUSD BF'!$Y$58</f>
        <v>0</v>
      </c>
      <c r="Z21" s="25">
        <f>'TUSD BE'!$Z$21*'TUSD BF'!$Z$58</f>
        <v>0</v>
      </c>
      <c r="AA21" s="25">
        <f>'TUSD BE'!$AA$21*'TUSD BF'!$AA$58</f>
        <v>0</v>
      </c>
      <c r="AB21" s="25">
        <f>SUM($U$21:$AA$21)</f>
        <v>1.3741386247972092</v>
      </c>
      <c r="AC21" s="25">
        <f>'TUSD BE'!$AC$21*'TUSD BF'!$AC$58</f>
        <v>0</v>
      </c>
      <c r="AD21" s="25">
        <f>SUM($AC$21:$AC$21)</f>
        <v>0</v>
      </c>
      <c r="AE21" s="25">
        <f ca="1">$AO$21*$AO$55</f>
        <v>0</v>
      </c>
      <c r="AF21" s="25">
        <f ca="1">$AP$21*$AP$55</f>
        <v>0</v>
      </c>
      <c r="AG21" s="25">
        <f ca="1">SUM($AE$21:$AF$21)</f>
        <v>0</v>
      </c>
      <c r="AH21" s="25">
        <f>'TUSD BE'!$AH$21*'TUSD BF'!$AH$58</f>
        <v>0.49461988061799755</v>
      </c>
      <c r="AI21" s="25">
        <f>'TUSD BE'!$AI$21*'TUSD BF'!$AI$58</f>
        <v>1.7445689795161159E-2</v>
      </c>
      <c r="AJ21" s="25">
        <f ca="1">'TUSD BE'!$AJ$21*'TUSD BF'!$AJ$58</f>
        <v>6.6368544856576325E-2</v>
      </c>
      <c r="AK21" s="25">
        <f ca="1">'TUSD BE'!$AK$21*'TUSD BF'!$AK$58</f>
        <v>0</v>
      </c>
      <c r="AL21" s="25">
        <f ca="1">SUM($AH$21:$AK$21)</f>
        <v>0.57843411526973498</v>
      </c>
      <c r="AM21" s="25">
        <f ca="1">SUMIF($L$4:$AL$4,"SUBTOTAL",$L$21:$AL$21)</f>
        <v>1.9525727400669441</v>
      </c>
      <c r="AO21" s="30">
        <f ca="1">+'TUSD BE'!$T$21+'TUSD BE'!$AB$21+'TUSD BE'!$AD$21+'TUSD BE'!$AL$21</f>
        <v>291.52582710295502</v>
      </c>
      <c r="AP21" s="30">
        <f ca="1">+'TUSD BE'!$T$21+'TUSD BE'!$AB$21+'TUSD BE'!$AD$21+'TUSD BE'!$AL$21</f>
        <v>291.52582710295502</v>
      </c>
    </row>
    <row r="22" spans="1:42" ht="11.25" customHeight="1" x14ac:dyDescent="0.25">
      <c r="A22" s="119"/>
      <c r="B22" s="119"/>
      <c r="C22" s="119"/>
      <c r="D22" s="28" t="s">
        <v>30</v>
      </c>
      <c r="E22" s="28" t="s">
        <v>25</v>
      </c>
      <c r="F22" s="28" t="s">
        <v>25</v>
      </c>
      <c r="G22" s="21" t="s">
        <v>86</v>
      </c>
      <c r="H22" s="21" t="s">
        <v>80</v>
      </c>
      <c r="I22" s="21">
        <f>'MERCADO TUSD'!$U$19</f>
        <v>8380.1260000000002</v>
      </c>
      <c r="J22" s="17"/>
      <c r="L22" s="25">
        <f>'TUSD BE'!$L$22*'TUSD BF'!$L$58</f>
        <v>0</v>
      </c>
      <c r="M22" s="25">
        <f>'TUSD BE'!$M$22*'TUSD BF'!$M$58</f>
        <v>0</v>
      </c>
      <c r="N22" s="25">
        <f ca="1">'TUSD BE'!$N$22*'TUSD BF'!$N$58</f>
        <v>0</v>
      </c>
      <c r="O22" s="25">
        <f>'TUSD BE'!$O$22*'TUSD BF'!$O$58</f>
        <v>0</v>
      </c>
      <c r="P22" s="25">
        <f>'TUSD BE'!$P$22*'TUSD BF'!$P$58</f>
        <v>0</v>
      </c>
      <c r="Q22" s="25">
        <f>'TUSD BE'!$Q$22*'TUSD BF'!$Q$58</f>
        <v>0</v>
      </c>
      <c r="R22" s="25">
        <f>'TUSD BE'!$R$22*'TUSD BF'!$R$58</f>
        <v>0</v>
      </c>
      <c r="S22" s="25">
        <f>'TUSD BE'!$R$22*'TUSD BF'!$S$58</f>
        <v>0</v>
      </c>
      <c r="T22" s="25">
        <f ca="1">SUM($L$22:$S$22)</f>
        <v>0</v>
      </c>
      <c r="U22" s="25">
        <f>'TUSD BE'!$U$22*'TUSD BF'!$U$58</f>
        <v>1.2139888057111732</v>
      </c>
      <c r="V22" s="25">
        <f>'TUSD BE'!$V$22*'TUSD BF'!$V$58</f>
        <v>0.1601498190860359</v>
      </c>
      <c r="W22" s="25">
        <f>'TUSD BE'!$W$22*'TUSD BF'!$W$58</f>
        <v>0</v>
      </c>
      <c r="X22" s="25">
        <f>'TUSD BE'!$X$22*'TUSD BF'!$X$58</f>
        <v>0</v>
      </c>
      <c r="Y22" s="25">
        <f>'TUSD BE'!$Y$22*'TUSD BF'!$Y$58</f>
        <v>0</v>
      </c>
      <c r="Z22" s="25">
        <f>'TUSD BE'!$Z$22*'TUSD BF'!$Z$58</f>
        <v>0</v>
      </c>
      <c r="AA22" s="25">
        <f>'TUSD BE'!$AA$22*'TUSD BF'!$AA$58</f>
        <v>0</v>
      </c>
      <c r="AB22" s="25">
        <f>SUM($U$22:$AA$22)</f>
        <v>1.3741386247972092</v>
      </c>
      <c r="AC22" s="25">
        <f>'TUSD BE'!$AC$22*'TUSD BF'!$AC$58</f>
        <v>0</v>
      </c>
      <c r="AD22" s="25">
        <f>SUM($AC$22:$AC$22)</f>
        <v>0</v>
      </c>
      <c r="AE22" s="25">
        <f ca="1">$AO$22*$AO$55</f>
        <v>0</v>
      </c>
      <c r="AF22" s="25">
        <f ca="1">$AP$22*$AP$55</f>
        <v>0</v>
      </c>
      <c r="AG22" s="25">
        <f ca="1">SUM($AE$22:$AF$22)</f>
        <v>0</v>
      </c>
      <c r="AH22" s="25">
        <f>'TUSD BE'!$AH$22*'TUSD BF'!$AH$58</f>
        <v>0.49461988061799755</v>
      </c>
      <c r="AI22" s="25">
        <f>'TUSD BE'!$AI$22*'TUSD BF'!$AI$58</f>
        <v>1.7445689795161159E-2</v>
      </c>
      <c r="AJ22" s="25">
        <f ca="1">'TUSD BE'!$AJ$22*'TUSD BF'!$AJ$58</f>
        <v>6.6368544856576325E-2</v>
      </c>
      <c r="AK22" s="25">
        <f ca="1">'TUSD BE'!$AK$22*'TUSD BF'!$AK$58</f>
        <v>0</v>
      </c>
      <c r="AL22" s="25">
        <f ca="1">SUM($AH$22:$AK$22)</f>
        <v>0.57843411526973498</v>
      </c>
      <c r="AM22" s="25">
        <f ca="1">SUMIF($L$4:$AL$4,"SUBTOTAL",$L$22:$AL$22)</f>
        <v>1.9525727400669441</v>
      </c>
      <c r="AO22" s="30">
        <f ca="1">+'TUSD BE'!$T$22+'TUSD BE'!$AB$22+'TUSD BE'!$AD$22+'TUSD BE'!$AL$22</f>
        <v>291.52582710295502</v>
      </c>
      <c r="AP22" s="30">
        <f ca="1">+'TUSD BE'!$T$22+'TUSD BE'!$AB$22+'TUSD BE'!$AD$22+'TUSD BE'!$AL$22</f>
        <v>291.52582710295502</v>
      </c>
    </row>
    <row r="23" spans="1:42" ht="11.25" customHeight="1" x14ac:dyDescent="0.25">
      <c r="A23" s="119"/>
      <c r="B23" s="119"/>
      <c r="C23" s="119"/>
      <c r="D23" s="28" t="s">
        <v>31</v>
      </c>
      <c r="E23" s="28" t="s">
        <v>25</v>
      </c>
      <c r="F23" s="28" t="s">
        <v>25</v>
      </c>
      <c r="G23" s="21" t="s">
        <v>86</v>
      </c>
      <c r="H23" s="21" t="s">
        <v>80</v>
      </c>
      <c r="I23" s="21">
        <f>'MERCADO TUSD'!$U$20</f>
        <v>6567.2470000000003</v>
      </c>
      <c r="J23" s="17"/>
      <c r="L23" s="25">
        <f>'TUSD BE'!$L$23*'TUSD BF'!$L$58</f>
        <v>0</v>
      </c>
      <c r="M23" s="25">
        <f>'TUSD BE'!$M$23*'TUSD BF'!$M$58</f>
        <v>0</v>
      </c>
      <c r="N23" s="25">
        <f ca="1">'TUSD BE'!$N$23*'TUSD BF'!$N$58</f>
        <v>0</v>
      </c>
      <c r="O23" s="25">
        <f>'TUSD BE'!$O$23*'TUSD BF'!$O$58</f>
        <v>0</v>
      </c>
      <c r="P23" s="25">
        <f>'TUSD BE'!$P$23*'TUSD BF'!$P$58</f>
        <v>0</v>
      </c>
      <c r="Q23" s="25">
        <f>'TUSD BE'!$Q$23*'TUSD BF'!$Q$58</f>
        <v>0</v>
      </c>
      <c r="R23" s="25">
        <f>'TUSD BE'!$R$23*'TUSD BF'!$R$58</f>
        <v>0</v>
      </c>
      <c r="S23" s="25">
        <f>'TUSD BE'!$R$23*'TUSD BF'!$S$58</f>
        <v>0</v>
      </c>
      <c r="T23" s="25">
        <f ca="1">SUM($L$23:$S$23)</f>
        <v>0</v>
      </c>
      <c r="U23" s="25">
        <f>'TUSD BE'!$U$23*'TUSD BF'!$U$58</f>
        <v>1.2139888057111732</v>
      </c>
      <c r="V23" s="25">
        <f>'TUSD BE'!$V$23*'TUSD BF'!$V$58</f>
        <v>0.1601498190860359</v>
      </c>
      <c r="W23" s="25">
        <f>'TUSD BE'!$W$23*'TUSD BF'!$W$58</f>
        <v>0</v>
      </c>
      <c r="X23" s="25">
        <f>'TUSD BE'!$X$23*'TUSD BF'!$X$58</f>
        <v>0</v>
      </c>
      <c r="Y23" s="25">
        <f>'TUSD BE'!$Y$23*'TUSD BF'!$Y$58</f>
        <v>0</v>
      </c>
      <c r="Z23" s="25">
        <f>'TUSD BE'!$Z$23*'TUSD BF'!$Z$58</f>
        <v>0</v>
      </c>
      <c r="AA23" s="25">
        <f>'TUSD BE'!$AA$23*'TUSD BF'!$AA$58</f>
        <v>0</v>
      </c>
      <c r="AB23" s="25">
        <f>SUM($U$23:$AA$23)</f>
        <v>1.3741386247972092</v>
      </c>
      <c r="AC23" s="25">
        <f>'TUSD BE'!$AC$23*'TUSD BF'!$AC$58</f>
        <v>0</v>
      </c>
      <c r="AD23" s="25">
        <f>SUM($AC$23:$AC$23)</f>
        <v>0</v>
      </c>
      <c r="AE23" s="25">
        <f ca="1">$AO$23*$AO$55</f>
        <v>0</v>
      </c>
      <c r="AF23" s="25">
        <f ca="1">$AP$23*$AP$55</f>
        <v>0</v>
      </c>
      <c r="AG23" s="25">
        <f ca="1">SUM($AE$23:$AF$23)</f>
        <v>0</v>
      </c>
      <c r="AH23" s="25">
        <f>'TUSD BE'!$AH$23*'TUSD BF'!$AH$58</f>
        <v>0.49461988061799755</v>
      </c>
      <c r="AI23" s="25">
        <f>'TUSD BE'!$AI$23*'TUSD BF'!$AI$58</f>
        <v>1.7445689795161159E-2</v>
      </c>
      <c r="AJ23" s="25">
        <f ca="1">'TUSD BE'!$AJ$23*'TUSD BF'!$AJ$58</f>
        <v>6.6368544856576325E-2</v>
      </c>
      <c r="AK23" s="25">
        <f ca="1">'TUSD BE'!$AK$23*'TUSD BF'!$AK$58</f>
        <v>0</v>
      </c>
      <c r="AL23" s="25">
        <f ca="1">SUM($AH$23:$AK$23)</f>
        <v>0.57843411526973498</v>
      </c>
      <c r="AM23" s="25">
        <f ca="1">SUMIF($L$4:$AL$4,"SUBTOTAL",$L$23:$AL$23)</f>
        <v>1.9525727400669441</v>
      </c>
      <c r="AO23" s="30">
        <f ca="1">+'TUSD BE'!$T$23+'TUSD BE'!$AB$23+'TUSD BE'!$AD$23+'TUSD BE'!$AL$23</f>
        <v>291.52582710295502</v>
      </c>
      <c r="AP23" s="30">
        <f ca="1">+'TUSD BE'!$T$23+'TUSD BE'!$AB$23+'TUSD BE'!$AD$23+'TUSD BE'!$AL$23</f>
        <v>291.52582710295502</v>
      </c>
    </row>
    <row r="24" spans="1:42" ht="11.25" customHeight="1" x14ac:dyDescent="0.25">
      <c r="A24" s="119"/>
      <c r="B24" s="119"/>
      <c r="C24" s="119"/>
      <c r="D24" s="28" t="s">
        <v>32</v>
      </c>
      <c r="E24" s="28" t="s">
        <v>25</v>
      </c>
      <c r="F24" s="28" t="s">
        <v>25</v>
      </c>
      <c r="G24" s="21" t="s">
        <v>86</v>
      </c>
      <c r="H24" s="21" t="s">
        <v>80</v>
      </c>
      <c r="I24" s="21">
        <f>'MERCADO TUSD'!$U$21</f>
        <v>1878.684</v>
      </c>
      <c r="J24" s="17"/>
      <c r="L24" s="25">
        <f>'TUSD BE'!$L$24*'TUSD BF'!$L$58</f>
        <v>0</v>
      </c>
      <c r="M24" s="25">
        <f>'TUSD BE'!$M$24*'TUSD BF'!$M$58</f>
        <v>0</v>
      </c>
      <c r="N24" s="25">
        <f ca="1">'TUSD BE'!$N$24*'TUSD BF'!$N$58</f>
        <v>0</v>
      </c>
      <c r="O24" s="25">
        <f>'TUSD BE'!$O$24*'TUSD BF'!$O$58</f>
        <v>0</v>
      </c>
      <c r="P24" s="25">
        <f>'TUSD BE'!$P$24*'TUSD BF'!$P$58</f>
        <v>0</v>
      </c>
      <c r="Q24" s="25">
        <f>'TUSD BE'!$Q$24*'TUSD BF'!$Q$58</f>
        <v>0</v>
      </c>
      <c r="R24" s="25">
        <f>'TUSD BE'!$R$24*'TUSD BF'!$R$58</f>
        <v>0</v>
      </c>
      <c r="S24" s="25">
        <f>'TUSD BE'!$R$24*'TUSD BF'!$S$58</f>
        <v>0</v>
      </c>
      <c r="T24" s="25">
        <f ca="1">SUM($L$24:$S$24)</f>
        <v>0</v>
      </c>
      <c r="U24" s="25">
        <f>'TUSD BE'!$U$24*'TUSD BF'!$U$58</f>
        <v>1.2139888057111732</v>
      </c>
      <c r="V24" s="25">
        <f>'TUSD BE'!$V$24*'TUSD BF'!$V$58</f>
        <v>0.1601498190860359</v>
      </c>
      <c r="W24" s="25">
        <f>'TUSD BE'!$W$24*'TUSD BF'!$W$58</f>
        <v>0</v>
      </c>
      <c r="X24" s="25">
        <f>'TUSD BE'!$X$24*'TUSD BF'!$X$58</f>
        <v>0</v>
      </c>
      <c r="Y24" s="25">
        <f>'TUSD BE'!$Y$24*'TUSD BF'!$Y$58</f>
        <v>0</v>
      </c>
      <c r="Z24" s="25">
        <f>'TUSD BE'!$Z$24*'TUSD BF'!$Z$58</f>
        <v>0</v>
      </c>
      <c r="AA24" s="25">
        <f>'TUSD BE'!$AA$24*'TUSD BF'!$AA$58</f>
        <v>0</v>
      </c>
      <c r="AB24" s="25">
        <f>SUM($U$24:$AA$24)</f>
        <v>1.3741386247972092</v>
      </c>
      <c r="AC24" s="25">
        <f>'TUSD BE'!$AC$24*'TUSD BF'!$AC$58</f>
        <v>0</v>
      </c>
      <c r="AD24" s="25">
        <f>SUM($AC$24:$AC$24)</f>
        <v>0</v>
      </c>
      <c r="AE24" s="25">
        <f ca="1">$AO$24*$AO$55</f>
        <v>0</v>
      </c>
      <c r="AF24" s="25">
        <f ca="1">$AP$24*$AP$55</f>
        <v>0</v>
      </c>
      <c r="AG24" s="25">
        <f ca="1">SUM($AE$24:$AF$24)</f>
        <v>0</v>
      </c>
      <c r="AH24" s="25">
        <f>'TUSD BE'!$AH$24*'TUSD BF'!$AH$58</f>
        <v>0.49461988061799755</v>
      </c>
      <c r="AI24" s="25">
        <f>'TUSD BE'!$AI$24*'TUSD BF'!$AI$58</f>
        <v>1.7445689795161159E-2</v>
      </c>
      <c r="AJ24" s="25">
        <f ca="1">'TUSD BE'!$AJ$24*'TUSD BF'!$AJ$58</f>
        <v>6.6368544856576325E-2</v>
      </c>
      <c r="AK24" s="25">
        <f ca="1">'TUSD BE'!$AK$24*'TUSD BF'!$AK$58</f>
        <v>0</v>
      </c>
      <c r="AL24" s="25">
        <f ca="1">SUM($AH$24:$AK$24)</f>
        <v>0.57843411526973498</v>
      </c>
      <c r="AM24" s="25">
        <f ca="1">SUMIF($L$4:$AL$4,"SUBTOTAL",$L$24:$AL$24)</f>
        <v>1.9525727400669441</v>
      </c>
      <c r="AO24" s="30">
        <f ca="1">+'TUSD BE'!$T$24+'TUSD BE'!$AB$24+'TUSD BE'!$AD$24+'TUSD BE'!$AL$24</f>
        <v>291.52582710295502</v>
      </c>
      <c r="AP24" s="30">
        <f ca="1">+'TUSD BE'!$T$24+'TUSD BE'!$AB$24+'TUSD BE'!$AD$24+'TUSD BE'!$AL$24</f>
        <v>291.52582710295502</v>
      </c>
    </row>
    <row r="25" spans="1:42" ht="11.25" customHeight="1" x14ac:dyDescent="0.25">
      <c r="A25" s="119"/>
      <c r="B25" s="119" t="s">
        <v>94</v>
      </c>
      <c r="C25" s="119" t="s">
        <v>24</v>
      </c>
      <c r="D25" s="28" t="s">
        <v>24</v>
      </c>
      <c r="E25" s="28" t="s">
        <v>25</v>
      </c>
      <c r="F25" s="28" t="s">
        <v>25</v>
      </c>
      <c r="G25" s="21" t="s">
        <v>86</v>
      </c>
      <c r="H25" s="21" t="s">
        <v>80</v>
      </c>
      <c r="I25" s="21">
        <f>'MERCADO TUSD'!$U$22</f>
        <v>0</v>
      </c>
      <c r="J25" s="17"/>
      <c r="L25" s="25">
        <f>'TUSD BE'!$L$25*'TUSD BF'!$L$58</f>
        <v>0.4538004435071441</v>
      </c>
      <c r="M25" s="25">
        <f>'TUSD BE'!$M$25*'TUSD BF'!$M$58</f>
        <v>0</v>
      </c>
      <c r="N25" s="25">
        <f ca="1">'TUSD BE'!$N$25*'TUSD BF'!$N$58</f>
        <v>0</v>
      </c>
      <c r="O25" s="25">
        <f>'TUSD BE'!$O$25*'TUSD BF'!$O$58</f>
        <v>0</v>
      </c>
      <c r="P25" s="25">
        <f>'TUSD BE'!$P$25*'TUSD BF'!$P$58</f>
        <v>0</v>
      </c>
      <c r="Q25" s="25">
        <f>'TUSD BE'!$Q$25*'TUSD BF'!$Q$58</f>
        <v>26.122640787323864</v>
      </c>
      <c r="R25" s="25">
        <f>'TUSD BE'!$R$25*'TUSD BF'!$R$58</f>
        <v>4.9842864118200305</v>
      </c>
      <c r="S25" s="25">
        <f>'TUSD BE'!$R$25*'TUSD BF'!$S$58</f>
        <v>0</v>
      </c>
      <c r="T25" s="25">
        <f ca="1">SUM($L$25:$S$25)</f>
        <v>31.560727642651038</v>
      </c>
      <c r="U25" s="25">
        <f>'TUSD BE'!$U$25*'TUSD BF'!$U$58</f>
        <v>1.2139888057111732</v>
      </c>
      <c r="V25" s="25">
        <f>'TUSD BE'!$V$25*'TUSD BF'!$V$58</f>
        <v>0.1601498190860359</v>
      </c>
      <c r="W25" s="25">
        <f>'TUSD BE'!$W$25*'TUSD BF'!$W$58</f>
        <v>0</v>
      </c>
      <c r="X25" s="25">
        <f>'TUSD BE'!$X$25*'TUSD BF'!$X$58</f>
        <v>0</v>
      </c>
      <c r="Y25" s="25">
        <f>'TUSD BE'!$Y$25*'TUSD BF'!$Y$58</f>
        <v>0</v>
      </c>
      <c r="Z25" s="25">
        <f>'TUSD BE'!$Z$25*'TUSD BF'!$Z$58</f>
        <v>0</v>
      </c>
      <c r="AA25" s="25">
        <f>'TUSD BE'!$AA$25*'TUSD BF'!$AA$58</f>
        <v>0</v>
      </c>
      <c r="AB25" s="25">
        <f>SUM($U$25:$AA$25)</f>
        <v>1.3741386247972092</v>
      </c>
      <c r="AC25" s="25">
        <f>'TUSD BE'!$AC$25*'TUSD BF'!$AC$58</f>
        <v>0</v>
      </c>
      <c r="AD25" s="25">
        <f>SUM($AC$25:$AC$25)</f>
        <v>0</v>
      </c>
      <c r="AE25" s="25">
        <f ca="1">$AO$25*$AO$55</f>
        <v>0</v>
      </c>
      <c r="AF25" s="25">
        <f ca="1">$AP$25*$AP$55</f>
        <v>0</v>
      </c>
      <c r="AG25" s="25">
        <f ca="1">SUM($AE$25:$AF$25)</f>
        <v>0</v>
      </c>
      <c r="AH25" s="25">
        <f>'TUSD BE'!$AH$25*'TUSD BF'!$AH$58</f>
        <v>0.49461988061799755</v>
      </c>
      <c r="AI25" s="25">
        <f>'TUSD BE'!$AI$25*'TUSD BF'!$AI$58</f>
        <v>1.7445689795161159E-2</v>
      </c>
      <c r="AJ25" s="25">
        <f ca="1">'TUSD BE'!$AJ$25*'TUSD BF'!$AJ$58</f>
        <v>6.6368544856576325E-2</v>
      </c>
      <c r="AK25" s="25">
        <f ca="1">'TUSD BE'!$AK$25*'TUSD BF'!$AK$58</f>
        <v>0</v>
      </c>
      <c r="AL25" s="25">
        <f ca="1">SUM($AH$25:$AK$25)</f>
        <v>0.57843411526973498</v>
      </c>
      <c r="AM25" s="25">
        <f ca="1">SUMIF($L$4:$AL$4,"SUBTOTAL",$L$25:$AL$25)</f>
        <v>33.513300382717986</v>
      </c>
      <c r="AO25" s="30">
        <f ca="1">+'TUSD BE'!$T$25+'TUSD BE'!$AB$25+'TUSD BE'!$AD$25+'TUSD BE'!$AL$25</f>
        <v>407.22033291444632</v>
      </c>
      <c r="AP25" s="30">
        <f ca="1">+'TUSD BE'!$T$25+'TUSD BE'!$AB$25+'TUSD BE'!$AD$25+'TUSD BE'!$AL$25</f>
        <v>407.22033291444632</v>
      </c>
    </row>
    <row r="26" spans="1:42" ht="11.25" customHeight="1" x14ac:dyDescent="0.25">
      <c r="A26" s="119"/>
      <c r="B26" s="119"/>
      <c r="C26" s="119"/>
      <c r="D26" s="28" t="s">
        <v>29</v>
      </c>
      <c r="E26" s="28" t="s">
        <v>25</v>
      </c>
      <c r="F26" s="28" t="s">
        <v>25</v>
      </c>
      <c r="G26" s="21" t="s">
        <v>86</v>
      </c>
      <c r="H26" s="21" t="s">
        <v>80</v>
      </c>
      <c r="I26" s="21">
        <f>'MERCADO TUSD'!$U$23</f>
        <v>0</v>
      </c>
      <c r="J26" s="17"/>
      <c r="L26" s="25">
        <f>'TUSD BE'!$L$26*'TUSD BF'!$L$58</f>
        <v>0</v>
      </c>
      <c r="M26" s="25">
        <f>'TUSD BE'!$M$26*'TUSD BF'!$M$58</f>
        <v>0</v>
      </c>
      <c r="N26" s="25">
        <f ca="1">'TUSD BE'!$N$26*'TUSD BF'!$N$58</f>
        <v>0</v>
      </c>
      <c r="O26" s="25">
        <f>'TUSD BE'!$O$26*'TUSD BF'!$O$58</f>
        <v>0</v>
      </c>
      <c r="P26" s="25">
        <f>'TUSD BE'!$P$26*'TUSD BF'!$P$58</f>
        <v>0</v>
      </c>
      <c r="Q26" s="25">
        <f>'TUSD BE'!$Q$26*'TUSD BF'!$Q$58</f>
        <v>0</v>
      </c>
      <c r="R26" s="25">
        <f>'TUSD BE'!$R$26*'TUSD BF'!$R$58</f>
        <v>0</v>
      </c>
      <c r="S26" s="25">
        <f>'TUSD BE'!$R$26*'TUSD BF'!$S$58</f>
        <v>0</v>
      </c>
      <c r="T26" s="25">
        <f ca="1">SUM($L$26:$S$26)</f>
        <v>0</v>
      </c>
      <c r="U26" s="25">
        <f>'TUSD BE'!$U$26*'TUSD BF'!$U$58</f>
        <v>1.2139888057111732</v>
      </c>
      <c r="V26" s="25">
        <f>'TUSD BE'!$V$26*'TUSD BF'!$V$58</f>
        <v>0.1601498190860359</v>
      </c>
      <c r="W26" s="25">
        <f>'TUSD BE'!$W$26*'TUSD BF'!$W$58</f>
        <v>0</v>
      </c>
      <c r="X26" s="25">
        <f>'TUSD BE'!$X$26*'TUSD BF'!$X$58</f>
        <v>0</v>
      </c>
      <c r="Y26" s="25">
        <f>'TUSD BE'!$Y$26*'TUSD BF'!$Y$58</f>
        <v>0</v>
      </c>
      <c r="Z26" s="25">
        <f>'TUSD BE'!$Z$26*'TUSD BF'!$Z$58</f>
        <v>0</v>
      </c>
      <c r="AA26" s="25">
        <f>'TUSD BE'!$AA$26*'TUSD BF'!$AA$58</f>
        <v>0</v>
      </c>
      <c r="AB26" s="25">
        <f>SUM($U$26:$AA$26)</f>
        <v>1.3741386247972092</v>
      </c>
      <c r="AC26" s="25">
        <f>'TUSD BE'!$AC$26*'TUSD BF'!$AC$58</f>
        <v>0</v>
      </c>
      <c r="AD26" s="25">
        <f>SUM($AC$26:$AC$26)</f>
        <v>0</v>
      </c>
      <c r="AE26" s="25">
        <f ca="1">$AO$26*$AO$55</f>
        <v>0</v>
      </c>
      <c r="AF26" s="25">
        <f ca="1">$AP$26*$AP$55</f>
        <v>0</v>
      </c>
      <c r="AG26" s="25">
        <f ca="1">SUM($AE$26:$AF$26)</f>
        <v>0</v>
      </c>
      <c r="AH26" s="25">
        <f>'TUSD BE'!$AH$26*'TUSD BF'!$AH$58</f>
        <v>0.49461988061799755</v>
      </c>
      <c r="AI26" s="25">
        <f>'TUSD BE'!$AI$26*'TUSD BF'!$AI$58</f>
        <v>1.7445689795161159E-2</v>
      </c>
      <c r="AJ26" s="25">
        <f ca="1">'TUSD BE'!$AJ$26*'TUSD BF'!$AJ$58</f>
        <v>6.6368544856576325E-2</v>
      </c>
      <c r="AK26" s="25">
        <f ca="1">'TUSD BE'!$AK$26*'TUSD BF'!$AK$58</f>
        <v>0</v>
      </c>
      <c r="AL26" s="25">
        <f ca="1">SUM($AH$26:$AK$26)</f>
        <v>0.57843411526973498</v>
      </c>
      <c r="AM26" s="25">
        <f ca="1">SUMIF($L$4:$AL$4,"SUBTOTAL",$L$26:$AL$26)</f>
        <v>1.9525727400669441</v>
      </c>
      <c r="AO26" s="30">
        <f ca="1">+'TUSD BE'!$T$26+'TUSD BE'!$AB$26+'TUSD BE'!$AD$26+'TUSD BE'!$AL$26</f>
        <v>291.52582710295502</v>
      </c>
      <c r="AP26" s="30">
        <f ca="1">+'TUSD BE'!$T$26+'TUSD BE'!$AB$26+'TUSD BE'!$AD$26+'TUSD BE'!$AL$26</f>
        <v>291.52582710295502</v>
      </c>
    </row>
    <row r="27" spans="1:42" ht="11.25" customHeight="1" x14ac:dyDescent="0.25">
      <c r="A27" s="119"/>
      <c r="B27" s="119"/>
      <c r="C27" s="119"/>
      <c r="D27" s="28" t="s">
        <v>30</v>
      </c>
      <c r="E27" s="28" t="s">
        <v>25</v>
      </c>
      <c r="F27" s="28" t="s">
        <v>25</v>
      </c>
      <c r="G27" s="21" t="s">
        <v>86</v>
      </c>
      <c r="H27" s="21" t="s">
        <v>80</v>
      </c>
      <c r="I27" s="21">
        <f>'MERCADO TUSD'!$U$24</f>
        <v>0</v>
      </c>
      <c r="J27" s="17"/>
      <c r="L27" s="25">
        <f>'TUSD BE'!$L$27*'TUSD BF'!$L$58</f>
        <v>0</v>
      </c>
      <c r="M27" s="25">
        <f>'TUSD BE'!$M$27*'TUSD BF'!$M$58</f>
        <v>0</v>
      </c>
      <c r="N27" s="25">
        <f ca="1">'TUSD BE'!$N$27*'TUSD BF'!$N$58</f>
        <v>0</v>
      </c>
      <c r="O27" s="25">
        <f>'TUSD BE'!$O$27*'TUSD BF'!$O$58</f>
        <v>0</v>
      </c>
      <c r="P27" s="25">
        <f>'TUSD BE'!$P$27*'TUSD BF'!$P$58</f>
        <v>0</v>
      </c>
      <c r="Q27" s="25">
        <f>'TUSD BE'!$Q$27*'TUSD BF'!$Q$58</f>
        <v>0</v>
      </c>
      <c r="R27" s="25">
        <f>'TUSD BE'!$R$27*'TUSD BF'!$R$58</f>
        <v>0</v>
      </c>
      <c r="S27" s="25">
        <f>'TUSD BE'!$R$27*'TUSD BF'!$S$58</f>
        <v>0</v>
      </c>
      <c r="T27" s="25">
        <f ca="1">SUM($L$27:$S$27)</f>
        <v>0</v>
      </c>
      <c r="U27" s="25">
        <f>'TUSD BE'!$U$27*'TUSD BF'!$U$58</f>
        <v>1.2139888057111732</v>
      </c>
      <c r="V27" s="25">
        <f>'TUSD BE'!$V$27*'TUSD BF'!$V$58</f>
        <v>0.1601498190860359</v>
      </c>
      <c r="W27" s="25">
        <f>'TUSD BE'!$W$27*'TUSD BF'!$W$58</f>
        <v>0</v>
      </c>
      <c r="X27" s="25">
        <f>'TUSD BE'!$X$27*'TUSD BF'!$X$58</f>
        <v>0</v>
      </c>
      <c r="Y27" s="25">
        <f>'TUSD BE'!$Y$27*'TUSD BF'!$Y$58</f>
        <v>0</v>
      </c>
      <c r="Z27" s="25">
        <f>'TUSD BE'!$Z$27*'TUSD BF'!$Z$58</f>
        <v>0</v>
      </c>
      <c r="AA27" s="25">
        <f>'TUSD BE'!$AA$27*'TUSD BF'!$AA$58</f>
        <v>0</v>
      </c>
      <c r="AB27" s="25">
        <f>SUM($U$27:$AA$27)</f>
        <v>1.3741386247972092</v>
      </c>
      <c r="AC27" s="25">
        <f>'TUSD BE'!$AC$27*'TUSD BF'!$AC$58</f>
        <v>0</v>
      </c>
      <c r="AD27" s="25">
        <f>SUM($AC$27:$AC$27)</f>
        <v>0</v>
      </c>
      <c r="AE27" s="25">
        <f ca="1">$AO$27*$AO$55</f>
        <v>0</v>
      </c>
      <c r="AF27" s="25">
        <f ca="1">$AP$27*$AP$55</f>
        <v>0</v>
      </c>
      <c r="AG27" s="25">
        <f ca="1">SUM($AE$27:$AF$27)</f>
        <v>0</v>
      </c>
      <c r="AH27" s="25">
        <f>'TUSD BE'!$AH$27*'TUSD BF'!$AH$58</f>
        <v>0.49461988061799755</v>
      </c>
      <c r="AI27" s="25">
        <f>'TUSD BE'!$AI$27*'TUSD BF'!$AI$58</f>
        <v>1.7445689795161159E-2</v>
      </c>
      <c r="AJ27" s="25">
        <f ca="1">'TUSD BE'!$AJ$27*'TUSD BF'!$AJ$58</f>
        <v>6.6368544856576325E-2</v>
      </c>
      <c r="AK27" s="25">
        <f ca="1">'TUSD BE'!$AK$27*'TUSD BF'!$AK$58</f>
        <v>0</v>
      </c>
      <c r="AL27" s="25">
        <f ca="1">SUM($AH$27:$AK$27)</f>
        <v>0.57843411526973498</v>
      </c>
      <c r="AM27" s="25">
        <f ca="1">SUMIF($L$4:$AL$4,"SUBTOTAL",$L$27:$AL$27)</f>
        <v>1.9525727400669441</v>
      </c>
      <c r="AO27" s="30">
        <f ca="1">+'TUSD BE'!$T$27+'TUSD BE'!$AB$27+'TUSD BE'!$AD$27+'TUSD BE'!$AL$27</f>
        <v>291.52582710295502</v>
      </c>
      <c r="AP27" s="30">
        <f ca="1">+'TUSD BE'!$T$27+'TUSD BE'!$AB$27+'TUSD BE'!$AD$27+'TUSD BE'!$AL$27</f>
        <v>291.52582710295502</v>
      </c>
    </row>
    <row r="28" spans="1:42" ht="11.25" customHeight="1" x14ac:dyDescent="0.25">
      <c r="A28" s="119"/>
      <c r="B28" s="119"/>
      <c r="C28" s="119"/>
      <c r="D28" s="28" t="s">
        <v>31</v>
      </c>
      <c r="E28" s="28" t="s">
        <v>25</v>
      </c>
      <c r="F28" s="28" t="s">
        <v>25</v>
      </c>
      <c r="G28" s="21" t="s">
        <v>86</v>
      </c>
      <c r="H28" s="21" t="s">
        <v>80</v>
      </c>
      <c r="I28" s="21">
        <f>'MERCADO TUSD'!$U$25</f>
        <v>0</v>
      </c>
      <c r="J28" s="17"/>
      <c r="L28" s="25">
        <f>'TUSD BE'!$L$28*'TUSD BF'!$L$58</f>
        <v>0</v>
      </c>
      <c r="M28" s="25">
        <f>'TUSD BE'!$M$28*'TUSD BF'!$M$58</f>
        <v>0</v>
      </c>
      <c r="N28" s="25">
        <f ca="1">'TUSD BE'!$N$28*'TUSD BF'!$N$58</f>
        <v>0</v>
      </c>
      <c r="O28" s="25">
        <f>'TUSD BE'!$O$28*'TUSD BF'!$O$58</f>
        <v>0</v>
      </c>
      <c r="P28" s="25">
        <f>'TUSD BE'!$P$28*'TUSD BF'!$P$58</f>
        <v>0</v>
      </c>
      <c r="Q28" s="25">
        <f>'TUSD BE'!$Q$28*'TUSD BF'!$Q$58</f>
        <v>0</v>
      </c>
      <c r="R28" s="25">
        <f>'TUSD BE'!$R$28*'TUSD BF'!$R$58</f>
        <v>0</v>
      </c>
      <c r="S28" s="25">
        <f>'TUSD BE'!$R$28*'TUSD BF'!$S$58</f>
        <v>0</v>
      </c>
      <c r="T28" s="25">
        <f ca="1">SUM($L$28:$S$28)</f>
        <v>0</v>
      </c>
      <c r="U28" s="25">
        <f>'TUSD BE'!$U$28*'TUSD BF'!$U$58</f>
        <v>1.2139888057111732</v>
      </c>
      <c r="V28" s="25">
        <f>'TUSD BE'!$V$28*'TUSD BF'!$V$58</f>
        <v>0.1601498190860359</v>
      </c>
      <c r="W28" s="25">
        <f>'TUSD BE'!$W$28*'TUSD BF'!$W$58</f>
        <v>0</v>
      </c>
      <c r="X28" s="25">
        <f>'TUSD BE'!$X$28*'TUSD BF'!$X$58</f>
        <v>0</v>
      </c>
      <c r="Y28" s="25">
        <f>'TUSD BE'!$Y$28*'TUSD BF'!$Y$58</f>
        <v>0</v>
      </c>
      <c r="Z28" s="25">
        <f>'TUSD BE'!$Z$28*'TUSD BF'!$Z$58</f>
        <v>0</v>
      </c>
      <c r="AA28" s="25">
        <f>'TUSD BE'!$AA$28*'TUSD BF'!$AA$58</f>
        <v>0</v>
      </c>
      <c r="AB28" s="25">
        <f>SUM($U$28:$AA$28)</f>
        <v>1.3741386247972092</v>
      </c>
      <c r="AC28" s="25">
        <f>'TUSD BE'!$AC$28*'TUSD BF'!$AC$58</f>
        <v>0</v>
      </c>
      <c r="AD28" s="25">
        <f>SUM($AC$28:$AC$28)</f>
        <v>0</v>
      </c>
      <c r="AE28" s="25">
        <f ca="1">$AO$28*$AO$55</f>
        <v>0</v>
      </c>
      <c r="AF28" s="25">
        <f ca="1">$AP$28*$AP$55</f>
        <v>0</v>
      </c>
      <c r="AG28" s="25">
        <f ca="1">SUM($AE$28:$AF$28)</f>
        <v>0</v>
      </c>
      <c r="AH28" s="25">
        <f>'TUSD BE'!$AH$28*'TUSD BF'!$AH$58</f>
        <v>0.49461988061799755</v>
      </c>
      <c r="AI28" s="25">
        <f>'TUSD BE'!$AI$28*'TUSD BF'!$AI$58</f>
        <v>1.7445689795161159E-2</v>
      </c>
      <c r="AJ28" s="25">
        <f ca="1">'TUSD BE'!$AJ$28*'TUSD BF'!$AJ$58</f>
        <v>6.6368544856576325E-2</v>
      </c>
      <c r="AK28" s="25">
        <f ca="1">'TUSD BE'!$AK$28*'TUSD BF'!$AK$58</f>
        <v>0</v>
      </c>
      <c r="AL28" s="25">
        <f ca="1">SUM($AH$28:$AK$28)</f>
        <v>0.57843411526973498</v>
      </c>
      <c r="AM28" s="25">
        <f ca="1">SUMIF($L$4:$AL$4,"SUBTOTAL",$L$28:$AL$28)</f>
        <v>1.9525727400669441</v>
      </c>
      <c r="AO28" s="30">
        <f ca="1">+'TUSD BE'!$T$28+'TUSD BE'!$AB$28+'TUSD BE'!$AD$28+'TUSD BE'!$AL$28</f>
        <v>291.52582710295502</v>
      </c>
      <c r="AP28" s="30">
        <f ca="1">+'TUSD BE'!$T$28+'TUSD BE'!$AB$28+'TUSD BE'!$AD$28+'TUSD BE'!$AL$28</f>
        <v>291.52582710295502</v>
      </c>
    </row>
    <row r="29" spans="1:42" ht="11.25" customHeight="1" x14ac:dyDescent="0.25">
      <c r="A29" s="119"/>
      <c r="B29" s="119"/>
      <c r="C29" s="119"/>
      <c r="D29" s="28" t="s">
        <v>32</v>
      </c>
      <c r="E29" s="28" t="s">
        <v>25</v>
      </c>
      <c r="F29" s="28" t="s">
        <v>25</v>
      </c>
      <c r="G29" s="21" t="s">
        <v>86</v>
      </c>
      <c r="H29" s="21" t="s">
        <v>80</v>
      </c>
      <c r="I29" s="21">
        <f>'MERCADO TUSD'!$U$26</f>
        <v>0</v>
      </c>
      <c r="J29" s="17"/>
      <c r="L29" s="25">
        <f>'TUSD BE'!$L$29*'TUSD BF'!$L$58</f>
        <v>0</v>
      </c>
      <c r="M29" s="25">
        <f>'TUSD BE'!$M$29*'TUSD BF'!$M$58</f>
        <v>0</v>
      </c>
      <c r="N29" s="25">
        <f ca="1">'TUSD BE'!$N$29*'TUSD BF'!$N$58</f>
        <v>0</v>
      </c>
      <c r="O29" s="25">
        <f>'TUSD BE'!$O$29*'TUSD BF'!$O$58</f>
        <v>0</v>
      </c>
      <c r="P29" s="25">
        <f>'TUSD BE'!$P$29*'TUSD BF'!$P$58</f>
        <v>0</v>
      </c>
      <c r="Q29" s="25">
        <f>'TUSD BE'!$Q$29*'TUSD BF'!$Q$58</f>
        <v>0</v>
      </c>
      <c r="R29" s="25">
        <f>'TUSD BE'!$R$29*'TUSD BF'!$R$58</f>
        <v>0</v>
      </c>
      <c r="S29" s="25">
        <f>'TUSD BE'!$R$29*'TUSD BF'!$S$58</f>
        <v>0</v>
      </c>
      <c r="T29" s="25">
        <f ca="1">SUM($L$29:$S$29)</f>
        <v>0</v>
      </c>
      <c r="U29" s="25">
        <f>'TUSD BE'!$U$29*'TUSD BF'!$U$58</f>
        <v>1.2139888057111732</v>
      </c>
      <c r="V29" s="25">
        <f>'TUSD BE'!$V$29*'TUSD BF'!$V$58</f>
        <v>0.1601498190860359</v>
      </c>
      <c r="W29" s="25">
        <f>'TUSD BE'!$W$29*'TUSD BF'!$W$58</f>
        <v>0</v>
      </c>
      <c r="X29" s="25">
        <f>'TUSD BE'!$X$29*'TUSD BF'!$X$58</f>
        <v>0</v>
      </c>
      <c r="Y29" s="25">
        <f>'TUSD BE'!$Y$29*'TUSD BF'!$Y$58</f>
        <v>0</v>
      </c>
      <c r="Z29" s="25">
        <f>'TUSD BE'!$Z$29*'TUSD BF'!$Z$58</f>
        <v>0</v>
      </c>
      <c r="AA29" s="25">
        <f>'TUSD BE'!$AA$29*'TUSD BF'!$AA$58</f>
        <v>0</v>
      </c>
      <c r="AB29" s="25">
        <f>SUM($U$29:$AA$29)</f>
        <v>1.3741386247972092</v>
      </c>
      <c r="AC29" s="25">
        <f>'TUSD BE'!$AC$29*'TUSD BF'!$AC$58</f>
        <v>0</v>
      </c>
      <c r="AD29" s="25">
        <f>SUM($AC$29:$AC$29)</f>
        <v>0</v>
      </c>
      <c r="AE29" s="25">
        <f ca="1">$AO$29*$AO$55</f>
        <v>0</v>
      </c>
      <c r="AF29" s="25">
        <f ca="1">$AP$29*$AP$55</f>
        <v>0</v>
      </c>
      <c r="AG29" s="25">
        <f ca="1">SUM($AE$29:$AF$29)</f>
        <v>0</v>
      </c>
      <c r="AH29" s="25">
        <f>'TUSD BE'!$AH$29*'TUSD BF'!$AH$58</f>
        <v>0.49461988061799755</v>
      </c>
      <c r="AI29" s="25">
        <f>'TUSD BE'!$AI$29*'TUSD BF'!$AI$58</f>
        <v>1.7445689795161159E-2</v>
      </c>
      <c r="AJ29" s="25">
        <f ca="1">'TUSD BE'!$AJ$29*'TUSD BF'!$AJ$58</f>
        <v>6.6368544856576325E-2</v>
      </c>
      <c r="AK29" s="25">
        <f ca="1">'TUSD BE'!$AK$29*'TUSD BF'!$AK$58</f>
        <v>0</v>
      </c>
      <c r="AL29" s="25">
        <f ca="1">SUM($AH$29:$AK$29)</f>
        <v>0.57843411526973498</v>
      </c>
      <c r="AM29" s="25">
        <f ca="1">SUMIF($L$4:$AL$4,"SUBTOTAL",$L$29:$AL$29)</f>
        <v>1.9525727400669441</v>
      </c>
      <c r="AO29" s="30">
        <f ca="1">+'TUSD BE'!$T$29+'TUSD BE'!$AB$29+'TUSD BE'!$AD$29+'TUSD BE'!$AL$29</f>
        <v>291.52582710295502</v>
      </c>
      <c r="AP29" s="30">
        <f ca="1">+'TUSD BE'!$T$29+'TUSD BE'!$AB$29+'TUSD BE'!$AD$29+'TUSD BE'!$AL$29</f>
        <v>291.52582710295502</v>
      </c>
    </row>
    <row r="30" spans="1:42" ht="11.25" customHeight="1" x14ac:dyDescent="0.25">
      <c r="A30" s="119" t="s">
        <v>43</v>
      </c>
      <c r="B30" s="119" t="s">
        <v>33</v>
      </c>
      <c r="C30" s="119" t="s">
        <v>44</v>
      </c>
      <c r="D30" s="119" t="s">
        <v>25</v>
      </c>
      <c r="E30" s="119" t="s">
        <v>25</v>
      </c>
      <c r="F30" s="119" t="s">
        <v>25</v>
      </c>
      <c r="G30" s="21" t="s">
        <v>81</v>
      </c>
      <c r="H30" s="21" t="s">
        <v>80</v>
      </c>
      <c r="I30" s="21">
        <f>'MERCADO TUSD'!$U$27</f>
        <v>0.27200000000000002</v>
      </c>
      <c r="J30" s="17"/>
      <c r="L30" s="25">
        <f>'TUSD BE'!$L$30*'TUSD BF'!$L$58</f>
        <v>0.4538004435071441</v>
      </c>
      <c r="M30" s="25">
        <f>'TUSD BE'!$M$30*'TUSD BF'!$M$58</f>
        <v>0</v>
      </c>
      <c r="N30" s="25">
        <f ca="1">'TUSD BE'!$N$30*'TUSD BF'!$N$58</f>
        <v>0</v>
      </c>
      <c r="O30" s="25">
        <f>'TUSD BE'!$O$30*'TUSD BF'!$O$58</f>
        <v>0</v>
      </c>
      <c r="P30" s="25">
        <f>'TUSD BE'!$P$30*'TUSD BF'!$P$58</f>
        <v>0</v>
      </c>
      <c r="Q30" s="25">
        <f>'TUSD BE'!$Q$30*'TUSD BF'!$Q$58</f>
        <v>26.122640787323864</v>
      </c>
      <c r="R30" s="25">
        <f>'TUSD BE'!$R$30*'TUSD BF'!$R$58</f>
        <v>4.9842864118200305</v>
      </c>
      <c r="S30" s="25">
        <f>'TUSD BE'!$R$30*'TUSD BF'!$S$58</f>
        <v>0</v>
      </c>
      <c r="T30" s="25">
        <f ca="1">SUM($L$30:$S$30)</f>
        <v>31.560727642651038</v>
      </c>
      <c r="U30" s="25">
        <f>'TUSD BE'!$U$30*'TUSD BF'!$U$58</f>
        <v>4.3096608406362735</v>
      </c>
      <c r="V30" s="25">
        <f>'TUSD BE'!$V$30*'TUSD BF'!$V$58</f>
        <v>0.56852581396938906</v>
      </c>
      <c r="W30" s="25">
        <f>'TUSD BE'!$W$30*'TUSD BF'!$W$58</f>
        <v>0</v>
      </c>
      <c r="X30" s="25">
        <f>'TUSD BE'!$X$30*'TUSD BF'!$X$58</f>
        <v>0</v>
      </c>
      <c r="Y30" s="25">
        <f>'TUSD BE'!$Y$30*'TUSD BF'!$Y$58</f>
        <v>0</v>
      </c>
      <c r="Z30" s="25">
        <f>'TUSD BE'!$Z$30*'TUSD BF'!$Z$58</f>
        <v>0</v>
      </c>
      <c r="AA30" s="25">
        <f>'TUSD BE'!$AA$30*'TUSD BF'!$AA$58</f>
        <v>0</v>
      </c>
      <c r="AB30" s="25">
        <f>SUM($U$30:$AA$30)</f>
        <v>4.8781866546056625</v>
      </c>
      <c r="AC30" s="25">
        <f>'TUSD BE'!$AC$30*'TUSD BF'!$AC$58</f>
        <v>0</v>
      </c>
      <c r="AD30" s="25">
        <f>SUM($AC$30:$AC$30)</f>
        <v>0</v>
      </c>
      <c r="AE30" s="25">
        <f ca="1">$AO$30*$AO$55</f>
        <v>0</v>
      </c>
      <c r="AF30" s="25">
        <f ca="1">$AP$30*$AP$55</f>
        <v>0</v>
      </c>
      <c r="AG30" s="25">
        <f ca="1">SUM($AE$30:$AF$30)</f>
        <v>0</v>
      </c>
      <c r="AH30" s="25">
        <f>'TUSD BE'!$AH$30*'TUSD BF'!$AH$58</f>
        <v>0.49461988061799755</v>
      </c>
      <c r="AI30" s="25">
        <f>'TUSD BE'!$AI$30*'TUSD BF'!$AI$58</f>
        <v>1.7445689795161159E-2</v>
      </c>
      <c r="AJ30" s="25">
        <f ca="1">'TUSD BE'!$AJ$30*'TUSD BF'!$AJ$58</f>
        <v>6.6368544856576325E-2</v>
      </c>
      <c r="AK30" s="25">
        <f ca="1">'TUSD BE'!$AK$30*'TUSD BF'!$AK$58</f>
        <v>0</v>
      </c>
      <c r="AL30" s="25">
        <f ca="1">SUM($AH$30:$AK$30)</f>
        <v>0.57843411526973498</v>
      </c>
      <c r="AM30" s="25">
        <f ca="1">SUMIF($L$4:$AL$4,"SUBTOTAL",$L$30:$AL$30)</f>
        <v>37.017348412526438</v>
      </c>
      <c r="AO30" s="30">
        <f ca="1">+'TUSD BE'!$T$30+'TUSD BE'!$AB$30+'TUSD BE'!$AD$30+'TUSD BE'!$AL$30</f>
        <v>1051.716772214379</v>
      </c>
      <c r="AP30" s="30">
        <f ca="1">+'TUSD BE'!$T$30+'TUSD BE'!$AB$30+'TUSD BE'!$AD$30+'TUSD BE'!$AL$30</f>
        <v>1051.716772214379</v>
      </c>
    </row>
    <row r="31" spans="1:42" ht="11.25" customHeight="1" x14ac:dyDescent="0.25">
      <c r="A31" s="119"/>
      <c r="B31" s="119"/>
      <c r="C31" s="119"/>
      <c r="D31" s="119"/>
      <c r="E31" s="119"/>
      <c r="F31" s="119"/>
      <c r="G31" s="21" t="s">
        <v>91</v>
      </c>
      <c r="H31" s="21" t="s">
        <v>80</v>
      </c>
      <c r="I31" s="21">
        <f>'MERCADO TUSD'!$U$28</f>
        <v>0.20100000000000001</v>
      </c>
      <c r="J31" s="17"/>
      <c r="L31" s="25">
        <f>'TUSD BE'!$L$31*'TUSD BF'!$L$58</f>
        <v>0.4538004435071441</v>
      </c>
      <c r="M31" s="25">
        <f>'TUSD BE'!$M$31*'TUSD BF'!$M$58</f>
        <v>0</v>
      </c>
      <c r="N31" s="25">
        <f ca="1">'TUSD BE'!$N$31*'TUSD BF'!$N$58</f>
        <v>0</v>
      </c>
      <c r="O31" s="25">
        <f>'TUSD BE'!$O$31*'TUSD BF'!$O$58</f>
        <v>0</v>
      </c>
      <c r="P31" s="25">
        <f>'TUSD BE'!$P$31*'TUSD BF'!$P$58</f>
        <v>0</v>
      </c>
      <c r="Q31" s="25">
        <f>'TUSD BE'!$Q$31*'TUSD BF'!$Q$58</f>
        <v>26.122640787323864</v>
      </c>
      <c r="R31" s="25">
        <f>'TUSD BE'!$R$31*'TUSD BF'!$R$58</f>
        <v>4.9842864118200305</v>
      </c>
      <c r="S31" s="25">
        <f>'TUSD BE'!$R$31*'TUSD BF'!$S$58</f>
        <v>0</v>
      </c>
      <c r="T31" s="25">
        <f ca="1">SUM($L$31:$S$31)</f>
        <v>31.560727642651038</v>
      </c>
      <c r="U31" s="25">
        <f>'TUSD BE'!$U$31*'TUSD BF'!$U$58</f>
        <v>2.585795343658547</v>
      </c>
      <c r="V31" s="25">
        <f>'TUSD BE'!$V$31*'TUSD BF'!$V$58</f>
        <v>0.34111653947485748</v>
      </c>
      <c r="W31" s="25">
        <f>'TUSD BE'!$W$31*'TUSD BF'!$W$58</f>
        <v>0</v>
      </c>
      <c r="X31" s="25">
        <f>'TUSD BE'!$X$31*'TUSD BF'!$X$58</f>
        <v>0</v>
      </c>
      <c r="Y31" s="25">
        <f>'TUSD BE'!$Y$31*'TUSD BF'!$Y$58</f>
        <v>0</v>
      </c>
      <c r="Z31" s="25">
        <f>'TUSD BE'!$Z$31*'TUSD BF'!$Z$58</f>
        <v>0</v>
      </c>
      <c r="AA31" s="25">
        <f>'TUSD BE'!$AA$31*'TUSD BF'!$AA$58</f>
        <v>0</v>
      </c>
      <c r="AB31" s="25">
        <f>SUM($U$31:$AA$31)</f>
        <v>2.9269118831334047</v>
      </c>
      <c r="AC31" s="25">
        <f>'TUSD BE'!$AC$31*'TUSD BF'!$AC$58</f>
        <v>0</v>
      </c>
      <c r="AD31" s="25">
        <f>SUM($AC$31:$AC$31)</f>
        <v>0</v>
      </c>
      <c r="AE31" s="25">
        <f ca="1">$AO$31*$AO$55</f>
        <v>0</v>
      </c>
      <c r="AF31" s="25">
        <f ca="1">$AP$31*$AP$55</f>
        <v>0</v>
      </c>
      <c r="AG31" s="25">
        <f ca="1">SUM($AE$31:$AF$31)</f>
        <v>0</v>
      </c>
      <c r="AH31" s="25">
        <f>'TUSD BE'!$AH$31*'TUSD BF'!$AH$58</f>
        <v>0.49461988061799755</v>
      </c>
      <c r="AI31" s="25">
        <f>'TUSD BE'!$AI$31*'TUSD BF'!$AI$58</f>
        <v>1.7445689795161159E-2</v>
      </c>
      <c r="AJ31" s="25">
        <f ca="1">'TUSD BE'!$AJ$31*'TUSD BF'!$AJ$58</f>
        <v>6.6368544856576325E-2</v>
      </c>
      <c r="AK31" s="25">
        <f ca="1">'TUSD BE'!$AK$31*'TUSD BF'!$AK$58</f>
        <v>0</v>
      </c>
      <c r="AL31" s="25">
        <f ca="1">SUM($AH$31:$AK$31)</f>
        <v>0.57843411526973498</v>
      </c>
      <c r="AM31" s="25">
        <f ca="1">SUMIF($L$4:$AL$4,"SUBTOTAL",$L$31:$AL$31)</f>
        <v>35.066073641054182</v>
      </c>
      <c r="AO31" s="30">
        <f ca="1">+'TUSD BE'!$T$31+'TUSD BE'!$AB$31+'TUSD BE'!$AD$31+'TUSD BE'!$AL$31</f>
        <v>692.82064277193524</v>
      </c>
      <c r="AP31" s="30">
        <f ca="1">+'TUSD BE'!$T$31+'TUSD BE'!$AB$31+'TUSD BE'!$AD$31+'TUSD BE'!$AL$31</f>
        <v>692.82064277193524</v>
      </c>
    </row>
    <row r="32" spans="1:42" ht="11.25" customHeight="1" x14ac:dyDescent="0.25">
      <c r="A32" s="119"/>
      <c r="B32" s="119"/>
      <c r="C32" s="119"/>
      <c r="D32" s="119"/>
      <c r="E32" s="119"/>
      <c r="F32" s="119"/>
      <c r="G32" s="21" t="s">
        <v>82</v>
      </c>
      <c r="H32" s="21" t="s">
        <v>80</v>
      </c>
      <c r="I32" s="21">
        <f>'MERCADO TUSD'!$U$29</f>
        <v>5.4039999999999999</v>
      </c>
      <c r="J32" s="17"/>
      <c r="L32" s="25">
        <f>'TUSD BE'!$L$32*'TUSD BF'!$L$58</f>
        <v>0.4538004435071441</v>
      </c>
      <c r="M32" s="25">
        <f>'TUSD BE'!$M$32*'TUSD BF'!$M$58</f>
        <v>0</v>
      </c>
      <c r="N32" s="25">
        <f ca="1">'TUSD BE'!$N$32*'TUSD BF'!$N$58</f>
        <v>0</v>
      </c>
      <c r="O32" s="25">
        <f>'TUSD BE'!$O$32*'TUSD BF'!$O$58</f>
        <v>0</v>
      </c>
      <c r="P32" s="25">
        <f>'TUSD BE'!$P$32*'TUSD BF'!$P$58</f>
        <v>0</v>
      </c>
      <c r="Q32" s="25">
        <f>'TUSD BE'!$Q$32*'TUSD BF'!$Q$58</f>
        <v>26.122640787323864</v>
      </c>
      <c r="R32" s="25">
        <f>'TUSD BE'!$R$32*'TUSD BF'!$R$58</f>
        <v>4.9842864118200305</v>
      </c>
      <c r="S32" s="25">
        <f>'TUSD BE'!$R$32*'TUSD BF'!$S$58</f>
        <v>0</v>
      </c>
      <c r="T32" s="25">
        <f ca="1">SUM($L$32:$S$32)</f>
        <v>31.560727642651038</v>
      </c>
      <c r="U32" s="25">
        <f>'TUSD BE'!$U$32*'TUSD BF'!$U$58</f>
        <v>0.86192984668082018</v>
      </c>
      <c r="V32" s="25">
        <f>'TUSD BE'!$V$32*'TUSD BF'!$V$58</f>
        <v>0.11370726498032596</v>
      </c>
      <c r="W32" s="25">
        <f>'TUSD BE'!$W$32*'TUSD BF'!$W$58</f>
        <v>0</v>
      </c>
      <c r="X32" s="25">
        <f>'TUSD BE'!$X$32*'TUSD BF'!$X$58</f>
        <v>0</v>
      </c>
      <c r="Y32" s="25">
        <f>'TUSD BE'!$Y$32*'TUSD BF'!$Y$58</f>
        <v>0</v>
      </c>
      <c r="Z32" s="25">
        <f>'TUSD BE'!$Z$32*'TUSD BF'!$Z$58</f>
        <v>0</v>
      </c>
      <c r="AA32" s="25">
        <f>'TUSD BE'!$AA$32*'TUSD BF'!$AA$58</f>
        <v>0</v>
      </c>
      <c r="AB32" s="25">
        <f>SUM($U$32:$AA$32)</f>
        <v>0.97563711166114619</v>
      </c>
      <c r="AC32" s="25">
        <f>'TUSD BE'!$AC$32*'TUSD BF'!$AC$58</f>
        <v>0</v>
      </c>
      <c r="AD32" s="25">
        <f>SUM($AC$32:$AC$32)</f>
        <v>0</v>
      </c>
      <c r="AE32" s="25">
        <f ca="1">$AO$32*$AO$55</f>
        <v>0</v>
      </c>
      <c r="AF32" s="25">
        <f ca="1">$AP$32*$AP$55</f>
        <v>0</v>
      </c>
      <c r="AG32" s="25">
        <f ca="1">SUM($AE$32:$AF$32)</f>
        <v>0</v>
      </c>
      <c r="AH32" s="25">
        <f>'TUSD BE'!$AH$32*'TUSD BF'!$AH$58</f>
        <v>0.49461988061799755</v>
      </c>
      <c r="AI32" s="25">
        <f>'TUSD BE'!$AI$32*'TUSD BF'!$AI$58</f>
        <v>1.7445689795161159E-2</v>
      </c>
      <c r="AJ32" s="25">
        <f ca="1">'TUSD BE'!$AJ$32*'TUSD BF'!$AJ$58</f>
        <v>6.6368544856576325E-2</v>
      </c>
      <c r="AK32" s="25">
        <f ca="1">'TUSD BE'!$AK$32*'TUSD BF'!$AK$58</f>
        <v>0</v>
      </c>
      <c r="AL32" s="25">
        <f ca="1">SUM($AH$32:$AK$32)</f>
        <v>0.57843411526973498</v>
      </c>
      <c r="AM32" s="25">
        <f ca="1">SUMIF($L$4:$AL$4,"SUBTOTAL",$L$32:$AL$32)</f>
        <v>33.114798869581918</v>
      </c>
      <c r="AO32" s="30">
        <f ca="1">+'TUSD BE'!$T$32+'TUSD BE'!$AB$32+'TUSD BE'!$AD$32+'TUSD BE'!$AL$32</f>
        <v>333.92462976198073</v>
      </c>
      <c r="AP32" s="30">
        <f ca="1">+'TUSD BE'!$T$32+'TUSD BE'!$AB$32+'TUSD BE'!$AD$32+'TUSD BE'!$AL$32</f>
        <v>333.92462976198073</v>
      </c>
    </row>
    <row r="33" spans="1:42" ht="11.25" customHeight="1" x14ac:dyDescent="0.25">
      <c r="A33" s="119"/>
      <c r="B33" s="28" t="s">
        <v>23</v>
      </c>
      <c r="C33" s="28" t="s">
        <v>44</v>
      </c>
      <c r="D33" s="28" t="s">
        <v>25</v>
      </c>
      <c r="E33" s="28" t="s">
        <v>25</v>
      </c>
      <c r="F33" s="28" t="s">
        <v>25</v>
      </c>
      <c r="G33" s="21" t="s">
        <v>86</v>
      </c>
      <c r="H33" s="21" t="s">
        <v>80</v>
      </c>
      <c r="I33" s="21">
        <f>'MERCADO TUSD'!$U$30</f>
        <v>183438.26899999997</v>
      </c>
      <c r="J33" s="17"/>
      <c r="L33" s="25">
        <f>'TUSD BE'!$L$33*'TUSD BF'!$L$58</f>
        <v>0.4538004435071441</v>
      </c>
      <c r="M33" s="25">
        <f>'TUSD BE'!$M$33*'TUSD BF'!$M$58</f>
        <v>0</v>
      </c>
      <c r="N33" s="25">
        <f ca="1">'TUSD BE'!$N$33*'TUSD BF'!$N$58</f>
        <v>0</v>
      </c>
      <c r="O33" s="25">
        <f>'TUSD BE'!$O$33*'TUSD BF'!$O$58</f>
        <v>0</v>
      </c>
      <c r="P33" s="25">
        <f>'TUSD BE'!$P$33*'TUSD BF'!$P$58</f>
        <v>0</v>
      </c>
      <c r="Q33" s="25">
        <f>'TUSD BE'!$Q$33*'TUSD BF'!$Q$58</f>
        <v>26.122640787323864</v>
      </c>
      <c r="R33" s="25">
        <f>'TUSD BE'!$R$33*'TUSD BF'!$R$58</f>
        <v>4.9842864118200305</v>
      </c>
      <c r="S33" s="25">
        <f>'TUSD BE'!$R$33*'TUSD BF'!$S$58</f>
        <v>0</v>
      </c>
      <c r="T33" s="25">
        <f ca="1">SUM($L$33:$S$33)</f>
        <v>31.560727642651038</v>
      </c>
      <c r="U33" s="25">
        <f>'TUSD BE'!$U$33*'TUSD BF'!$U$58</f>
        <v>1.2139888057111732</v>
      </c>
      <c r="V33" s="25">
        <f>'TUSD BE'!$V$33*'TUSD BF'!$V$58</f>
        <v>0.1601498190860359</v>
      </c>
      <c r="W33" s="25">
        <f>'TUSD BE'!$W$33*'TUSD BF'!$W$58</f>
        <v>0</v>
      </c>
      <c r="X33" s="25">
        <f>'TUSD BE'!$X$33*'TUSD BF'!$X$58</f>
        <v>0</v>
      </c>
      <c r="Y33" s="25">
        <f>'TUSD BE'!$Y$33*'TUSD BF'!$Y$58</f>
        <v>0</v>
      </c>
      <c r="Z33" s="25">
        <f>'TUSD BE'!$Z$33*'TUSD BF'!$Z$58</f>
        <v>0</v>
      </c>
      <c r="AA33" s="25">
        <f>'TUSD BE'!$AA$33*'TUSD BF'!$AA$58</f>
        <v>0</v>
      </c>
      <c r="AB33" s="25">
        <f>SUM($U$33:$AA$33)</f>
        <v>1.3741386247972092</v>
      </c>
      <c r="AC33" s="25">
        <f>'TUSD BE'!$AC$33*'TUSD BF'!$AC$58</f>
        <v>0</v>
      </c>
      <c r="AD33" s="25">
        <f>SUM($AC$33:$AC$33)</f>
        <v>0</v>
      </c>
      <c r="AE33" s="25">
        <f ca="1">$AO$33*$AO$55</f>
        <v>0</v>
      </c>
      <c r="AF33" s="25">
        <f ca="1">$AP$33*$AP$55</f>
        <v>0</v>
      </c>
      <c r="AG33" s="25">
        <f ca="1">SUM($AE$33:$AF$33)</f>
        <v>0</v>
      </c>
      <c r="AH33" s="25">
        <f>'TUSD BE'!$AH$33*'TUSD BF'!$AH$58</f>
        <v>0.49461988061799755</v>
      </c>
      <c r="AI33" s="25">
        <f>'TUSD BE'!$AI$33*'TUSD BF'!$AI$58</f>
        <v>1.7445689795161159E-2</v>
      </c>
      <c r="AJ33" s="25">
        <f ca="1">'TUSD BE'!$AJ$33*'TUSD BF'!$AJ$58</f>
        <v>6.6368544856576325E-2</v>
      </c>
      <c r="AK33" s="25">
        <f ca="1">'TUSD BE'!$AK$33*'TUSD BF'!$AK$58</f>
        <v>0</v>
      </c>
      <c r="AL33" s="25">
        <f ca="1">SUM($AH$33:$AK$33)</f>
        <v>0.57843411526973498</v>
      </c>
      <c r="AM33" s="25">
        <f ca="1">SUMIF($L$4:$AL$4,"SUBTOTAL",$L$33:$AL$33)</f>
        <v>33.513300382717986</v>
      </c>
      <c r="AO33" s="30">
        <f ca="1">+'TUSD BE'!$T$33+'TUSD BE'!$AB$33+'TUSD BE'!$AD$33+'TUSD BE'!$AL$33</f>
        <v>407.22033291444632</v>
      </c>
      <c r="AP33" s="30">
        <f ca="1">+'TUSD BE'!$T$33+'TUSD BE'!$AB$33+'TUSD BE'!$AD$33+'TUSD BE'!$AL$33</f>
        <v>407.22033291444632</v>
      </c>
    </row>
    <row r="34" spans="1:42" ht="11.25" customHeight="1" x14ac:dyDescent="0.25">
      <c r="A34" s="119"/>
      <c r="B34" s="119" t="s">
        <v>33</v>
      </c>
      <c r="C34" s="119" t="s">
        <v>44</v>
      </c>
      <c r="D34" s="119" t="s">
        <v>95</v>
      </c>
      <c r="E34" s="119" t="s">
        <v>25</v>
      </c>
      <c r="F34" s="119" t="s">
        <v>25</v>
      </c>
      <c r="G34" s="21" t="s">
        <v>81</v>
      </c>
      <c r="H34" s="21" t="s">
        <v>80</v>
      </c>
      <c r="I34" s="21">
        <f>'MERCADO TUSD'!$U$31</f>
        <v>0</v>
      </c>
      <c r="J34" s="17"/>
      <c r="L34" s="25">
        <f>'TUSD BE'!$L$34*'TUSD BF'!$L$58</f>
        <v>0.4538004435071441</v>
      </c>
      <c r="M34" s="25">
        <f>'TUSD BE'!$M$34*'TUSD BF'!$M$58</f>
        <v>0</v>
      </c>
      <c r="N34" s="25">
        <f ca="1">'TUSD BE'!$N$34*'TUSD BF'!$N$58</f>
        <v>0</v>
      </c>
      <c r="O34" s="25">
        <f>'TUSD BE'!$O$34*'TUSD BF'!$O$58</f>
        <v>0</v>
      </c>
      <c r="P34" s="25">
        <f>'TUSD BE'!$P$34*'TUSD BF'!$P$58</f>
        <v>0</v>
      </c>
      <c r="Q34" s="25">
        <f>'TUSD BE'!$Q$34*'TUSD BF'!$Q$58</f>
        <v>26.122640787323864</v>
      </c>
      <c r="R34" s="25">
        <f>'TUSD BE'!$R$34*'TUSD BF'!$R$58</f>
        <v>4.9842864118200305</v>
      </c>
      <c r="S34" s="25">
        <f>'TUSD BE'!$R$34*'TUSD BF'!$S$58</f>
        <v>0</v>
      </c>
      <c r="T34" s="25">
        <f ca="1">SUM($L$34:$S$34)</f>
        <v>31.560727642651038</v>
      </c>
      <c r="U34" s="25">
        <f>'TUSD BE'!$U$34*'TUSD BF'!$U$58</f>
        <v>4.3096608406362735</v>
      </c>
      <c r="V34" s="25">
        <f>'TUSD BE'!$V$34*'TUSD BF'!$V$58</f>
        <v>0.56852581396938906</v>
      </c>
      <c r="W34" s="25">
        <f>'TUSD BE'!$W$34*'TUSD BF'!$W$58</f>
        <v>0</v>
      </c>
      <c r="X34" s="25">
        <f>'TUSD BE'!$X$34*'TUSD BF'!$X$58</f>
        <v>0</v>
      </c>
      <c r="Y34" s="25">
        <f>'TUSD BE'!$Y$34*'TUSD BF'!$Y$58</f>
        <v>0</v>
      </c>
      <c r="Z34" s="25">
        <f>'TUSD BE'!$Z$34*'TUSD BF'!$Z$58</f>
        <v>0</v>
      </c>
      <c r="AA34" s="25">
        <f>'TUSD BE'!$AA$34*'TUSD BF'!$AA$58</f>
        <v>0</v>
      </c>
      <c r="AB34" s="25">
        <f>SUM($U$34:$AA$34)</f>
        <v>4.8781866546056625</v>
      </c>
      <c r="AC34" s="25">
        <f>'TUSD BE'!$AC$34*'TUSD BF'!$AC$58</f>
        <v>0</v>
      </c>
      <c r="AD34" s="25">
        <f>SUM($AC$34:$AC$34)</f>
        <v>0</v>
      </c>
      <c r="AE34" s="25">
        <f ca="1">$AO$34*$AO$55</f>
        <v>0</v>
      </c>
      <c r="AF34" s="25">
        <f ca="1">$AP$34*$AP$55</f>
        <v>0</v>
      </c>
      <c r="AG34" s="25">
        <f ca="1">SUM($AE$34:$AF$34)</f>
        <v>0</v>
      </c>
      <c r="AH34" s="25">
        <f>'TUSD BE'!$AH$34*'TUSD BF'!$AH$58</f>
        <v>0.49461988061799755</v>
      </c>
      <c r="AI34" s="25">
        <f>'TUSD BE'!$AI$34*'TUSD BF'!$AI$58</f>
        <v>1.7445689795161159E-2</v>
      </c>
      <c r="AJ34" s="25">
        <f ca="1">'TUSD BE'!$AJ$34*'TUSD BF'!$AJ$58</f>
        <v>6.6368544856576325E-2</v>
      </c>
      <c r="AK34" s="25">
        <f ca="1">'TUSD BE'!$AK$34*'TUSD BF'!$AK$58</f>
        <v>0</v>
      </c>
      <c r="AL34" s="25">
        <f ca="1">SUM($AH$34:$AK$34)</f>
        <v>0.57843411526973498</v>
      </c>
      <c r="AM34" s="25">
        <f ca="1">SUMIF($L$4:$AL$4,"SUBTOTAL",$L$34:$AL$34)</f>
        <v>37.017348412526438</v>
      </c>
      <c r="AO34" s="30">
        <f ca="1">+'TUSD BE'!$T$34+'TUSD BE'!$AB$34+'TUSD BE'!$AD$34+'TUSD BE'!$AL$34</f>
        <v>1051.716772214379</v>
      </c>
      <c r="AP34" s="30">
        <f ca="1">+'TUSD BE'!$T$34+'TUSD BE'!$AB$34+'TUSD BE'!$AD$34+'TUSD BE'!$AL$34</f>
        <v>1051.716772214379</v>
      </c>
    </row>
    <row r="35" spans="1:42" ht="11.25" customHeight="1" x14ac:dyDescent="0.25">
      <c r="A35" s="119"/>
      <c r="B35" s="119"/>
      <c r="C35" s="119"/>
      <c r="D35" s="119"/>
      <c r="E35" s="119"/>
      <c r="F35" s="119"/>
      <c r="G35" s="21" t="s">
        <v>91</v>
      </c>
      <c r="H35" s="21" t="s">
        <v>80</v>
      </c>
      <c r="I35" s="21">
        <f>'MERCADO TUSD'!$U$32</f>
        <v>0</v>
      </c>
      <c r="J35" s="17"/>
      <c r="L35" s="25">
        <f>'TUSD BE'!$L$35*'TUSD BF'!$L$58</f>
        <v>0.4538004435071441</v>
      </c>
      <c r="M35" s="25">
        <f>'TUSD BE'!$M$35*'TUSD BF'!$M$58</f>
        <v>0</v>
      </c>
      <c r="N35" s="25">
        <f ca="1">'TUSD BE'!$N$35*'TUSD BF'!$N$58</f>
        <v>0</v>
      </c>
      <c r="O35" s="25">
        <f>'TUSD BE'!$O$35*'TUSD BF'!$O$58</f>
        <v>0</v>
      </c>
      <c r="P35" s="25">
        <f>'TUSD BE'!$P$35*'TUSD BF'!$P$58</f>
        <v>0</v>
      </c>
      <c r="Q35" s="25">
        <f>'TUSD BE'!$Q$35*'TUSD BF'!$Q$58</f>
        <v>26.122640787323864</v>
      </c>
      <c r="R35" s="25">
        <f>'TUSD BE'!$R$35*'TUSD BF'!$R$58</f>
        <v>4.9842864118200305</v>
      </c>
      <c r="S35" s="25">
        <f>'TUSD BE'!$R$35*'TUSD BF'!$S$58</f>
        <v>0</v>
      </c>
      <c r="T35" s="25">
        <f ca="1">SUM($L$35:$S$35)</f>
        <v>31.560727642651038</v>
      </c>
      <c r="U35" s="25">
        <f>'TUSD BE'!$U$35*'TUSD BF'!$U$58</f>
        <v>2.585795343658547</v>
      </c>
      <c r="V35" s="25">
        <f>'TUSD BE'!$V$35*'TUSD BF'!$V$58</f>
        <v>0.34111653947485748</v>
      </c>
      <c r="W35" s="25">
        <f>'TUSD BE'!$W$35*'TUSD BF'!$W$58</f>
        <v>0</v>
      </c>
      <c r="X35" s="25">
        <f>'TUSD BE'!$X$35*'TUSD BF'!$X$58</f>
        <v>0</v>
      </c>
      <c r="Y35" s="25">
        <f>'TUSD BE'!$Y$35*'TUSD BF'!$Y$58</f>
        <v>0</v>
      </c>
      <c r="Z35" s="25">
        <f>'TUSD BE'!$Z$35*'TUSD BF'!$Z$58</f>
        <v>0</v>
      </c>
      <c r="AA35" s="25">
        <f>'TUSD BE'!$AA$35*'TUSD BF'!$AA$58</f>
        <v>0</v>
      </c>
      <c r="AB35" s="25">
        <f>SUM($U$35:$AA$35)</f>
        <v>2.9269118831334047</v>
      </c>
      <c r="AC35" s="25">
        <f>'TUSD BE'!$AC$35*'TUSD BF'!$AC$58</f>
        <v>0</v>
      </c>
      <c r="AD35" s="25">
        <f>SUM($AC$35:$AC$35)</f>
        <v>0</v>
      </c>
      <c r="AE35" s="25">
        <f ca="1">$AO$35*$AO$55</f>
        <v>0</v>
      </c>
      <c r="AF35" s="25">
        <f ca="1">$AP$35*$AP$55</f>
        <v>0</v>
      </c>
      <c r="AG35" s="25">
        <f ca="1">SUM($AE$35:$AF$35)</f>
        <v>0</v>
      </c>
      <c r="AH35" s="25">
        <f>'TUSD BE'!$AH$35*'TUSD BF'!$AH$58</f>
        <v>0.49461988061799755</v>
      </c>
      <c r="AI35" s="25">
        <f>'TUSD BE'!$AI$35*'TUSD BF'!$AI$58</f>
        <v>1.7445689795161159E-2</v>
      </c>
      <c r="AJ35" s="25">
        <f ca="1">'TUSD BE'!$AJ$35*'TUSD BF'!$AJ$58</f>
        <v>6.6368544856576325E-2</v>
      </c>
      <c r="AK35" s="25">
        <f ca="1">'TUSD BE'!$AK$35*'TUSD BF'!$AK$58</f>
        <v>0</v>
      </c>
      <c r="AL35" s="25">
        <f ca="1">SUM($AH$35:$AK$35)</f>
        <v>0.57843411526973498</v>
      </c>
      <c r="AM35" s="25">
        <f ca="1">SUMIF($L$4:$AL$4,"SUBTOTAL",$L$35:$AL$35)</f>
        <v>35.066073641054182</v>
      </c>
      <c r="AO35" s="30">
        <f ca="1">+'TUSD BE'!$T$35+'TUSD BE'!$AB$35+'TUSD BE'!$AD$35+'TUSD BE'!$AL$35</f>
        <v>692.82064277193524</v>
      </c>
      <c r="AP35" s="30">
        <f ca="1">+'TUSD BE'!$T$35+'TUSD BE'!$AB$35+'TUSD BE'!$AD$35+'TUSD BE'!$AL$35</f>
        <v>692.82064277193524</v>
      </c>
    </row>
    <row r="36" spans="1:42" ht="11.25" customHeight="1" x14ac:dyDescent="0.25">
      <c r="A36" s="119"/>
      <c r="B36" s="119"/>
      <c r="C36" s="119"/>
      <c r="D36" s="119"/>
      <c r="E36" s="119"/>
      <c r="F36" s="119"/>
      <c r="G36" s="21" t="s">
        <v>82</v>
      </c>
      <c r="H36" s="21" t="s">
        <v>80</v>
      </c>
      <c r="I36" s="21">
        <f>'MERCADO TUSD'!$U$33</f>
        <v>0</v>
      </c>
      <c r="J36" s="17"/>
      <c r="L36" s="25">
        <f>'TUSD BE'!$L$36*'TUSD BF'!$L$58</f>
        <v>0.4538004435071441</v>
      </c>
      <c r="M36" s="25">
        <f>'TUSD BE'!$M$36*'TUSD BF'!$M$58</f>
        <v>0</v>
      </c>
      <c r="N36" s="25">
        <f ca="1">'TUSD BE'!$N$36*'TUSD BF'!$N$58</f>
        <v>0</v>
      </c>
      <c r="O36" s="25">
        <f>'TUSD BE'!$O$36*'TUSD BF'!$O$58</f>
        <v>0</v>
      </c>
      <c r="P36" s="25">
        <f>'TUSD BE'!$P$36*'TUSD BF'!$P$58</f>
        <v>0</v>
      </c>
      <c r="Q36" s="25">
        <f>'TUSD BE'!$Q$36*'TUSD BF'!$Q$58</f>
        <v>26.122640787323864</v>
      </c>
      <c r="R36" s="25">
        <f>'TUSD BE'!$R$36*'TUSD BF'!$R$58</f>
        <v>4.9842864118200305</v>
      </c>
      <c r="S36" s="25">
        <f>'TUSD BE'!$R$36*'TUSD BF'!$S$58</f>
        <v>0</v>
      </c>
      <c r="T36" s="25">
        <f ca="1">SUM($L$36:$S$36)</f>
        <v>31.560727642651038</v>
      </c>
      <c r="U36" s="25">
        <f>'TUSD BE'!$U$36*'TUSD BF'!$U$58</f>
        <v>0.86192984668082018</v>
      </c>
      <c r="V36" s="25">
        <f>'TUSD BE'!$V$36*'TUSD BF'!$V$58</f>
        <v>0.11370726498032596</v>
      </c>
      <c r="W36" s="25">
        <f>'TUSD BE'!$W$36*'TUSD BF'!$W$58</f>
        <v>0</v>
      </c>
      <c r="X36" s="25">
        <f>'TUSD BE'!$X$36*'TUSD BF'!$X$58</f>
        <v>0</v>
      </c>
      <c r="Y36" s="25">
        <f>'TUSD BE'!$Y$36*'TUSD BF'!$Y$58</f>
        <v>0</v>
      </c>
      <c r="Z36" s="25">
        <f>'TUSD BE'!$Z$36*'TUSD BF'!$Z$58</f>
        <v>0</v>
      </c>
      <c r="AA36" s="25">
        <f>'TUSD BE'!$AA$36*'TUSD BF'!$AA$58</f>
        <v>0</v>
      </c>
      <c r="AB36" s="25">
        <f>SUM($U$36:$AA$36)</f>
        <v>0.97563711166114619</v>
      </c>
      <c r="AC36" s="25">
        <f>'TUSD BE'!$AC$36*'TUSD BF'!$AC$58</f>
        <v>0</v>
      </c>
      <c r="AD36" s="25">
        <f>SUM($AC$36:$AC$36)</f>
        <v>0</v>
      </c>
      <c r="AE36" s="25">
        <f ca="1">$AO$36*$AO$55</f>
        <v>0</v>
      </c>
      <c r="AF36" s="25">
        <f ca="1">$AP$36*$AP$55</f>
        <v>0</v>
      </c>
      <c r="AG36" s="25">
        <f ca="1">SUM($AE$36:$AF$36)</f>
        <v>0</v>
      </c>
      <c r="AH36" s="25">
        <f>'TUSD BE'!$AH$36*'TUSD BF'!$AH$58</f>
        <v>0.49461988061799755</v>
      </c>
      <c r="AI36" s="25">
        <f>'TUSD BE'!$AI$36*'TUSD BF'!$AI$58</f>
        <v>1.7445689795161159E-2</v>
      </c>
      <c r="AJ36" s="25">
        <f ca="1">'TUSD BE'!$AJ$36*'TUSD BF'!$AJ$58</f>
        <v>6.6368544856576325E-2</v>
      </c>
      <c r="AK36" s="25">
        <f ca="1">'TUSD BE'!$AK$36*'TUSD BF'!$AK$58</f>
        <v>0</v>
      </c>
      <c r="AL36" s="25">
        <f ca="1">SUM($AH$36:$AK$36)</f>
        <v>0.57843411526973498</v>
      </c>
      <c r="AM36" s="25">
        <f ca="1">SUMIF($L$4:$AL$4,"SUBTOTAL",$L$36:$AL$36)</f>
        <v>33.114798869581918</v>
      </c>
      <c r="AO36" s="30">
        <f ca="1">+'TUSD BE'!$T$36+'TUSD BE'!$AB$36+'TUSD BE'!$AD$36+'TUSD BE'!$AL$36</f>
        <v>333.92462976198073</v>
      </c>
      <c r="AP36" s="30">
        <f ca="1">+'TUSD BE'!$T$36+'TUSD BE'!$AB$36+'TUSD BE'!$AD$36+'TUSD BE'!$AL$36</f>
        <v>333.92462976198073</v>
      </c>
    </row>
    <row r="37" spans="1:42" ht="11.25" customHeight="1" x14ac:dyDescent="0.25">
      <c r="A37" s="119"/>
      <c r="B37" s="28" t="s">
        <v>23</v>
      </c>
      <c r="C37" s="28" t="s">
        <v>44</v>
      </c>
      <c r="D37" s="28" t="s">
        <v>95</v>
      </c>
      <c r="E37" s="28" t="s">
        <v>25</v>
      </c>
      <c r="F37" s="28" t="s">
        <v>25</v>
      </c>
      <c r="G37" s="21" t="s">
        <v>86</v>
      </c>
      <c r="H37" s="21" t="s">
        <v>80</v>
      </c>
      <c r="I37" s="21">
        <f>'MERCADO TUSD'!$U$34</f>
        <v>0</v>
      </c>
      <c r="J37" s="17"/>
      <c r="L37" s="25">
        <f>'TUSD BE'!$L$37*'TUSD BF'!$L$58</f>
        <v>0.4538004435071441</v>
      </c>
      <c r="M37" s="25">
        <f>'TUSD BE'!$M$37*'TUSD BF'!$M$58</f>
        <v>0</v>
      </c>
      <c r="N37" s="25">
        <f ca="1">'TUSD BE'!$N$37*'TUSD BF'!$N$58</f>
        <v>0</v>
      </c>
      <c r="O37" s="25">
        <f>'TUSD BE'!$O$37*'TUSD BF'!$O$58</f>
        <v>0</v>
      </c>
      <c r="P37" s="25">
        <f>'TUSD BE'!$P$37*'TUSD BF'!$P$58</f>
        <v>0</v>
      </c>
      <c r="Q37" s="25">
        <f>'TUSD BE'!$Q$37*'TUSD BF'!$Q$58</f>
        <v>26.122640787323864</v>
      </c>
      <c r="R37" s="25">
        <f>'TUSD BE'!$R$37*'TUSD BF'!$R$58</f>
        <v>4.9842864118200305</v>
      </c>
      <c r="S37" s="25">
        <f>'TUSD BE'!$R$37*'TUSD BF'!$S$58</f>
        <v>0</v>
      </c>
      <c r="T37" s="25">
        <f ca="1">SUM($L$37:$S$37)</f>
        <v>31.560727642651038</v>
      </c>
      <c r="U37" s="25">
        <f>'TUSD BE'!$U$37*'TUSD BF'!$U$58</f>
        <v>1.2139888057111732</v>
      </c>
      <c r="V37" s="25">
        <f>'TUSD BE'!$V$37*'TUSD BF'!$V$58</f>
        <v>0.1601498190860359</v>
      </c>
      <c r="W37" s="25">
        <f>'TUSD BE'!$W$37*'TUSD BF'!$W$58</f>
        <v>0</v>
      </c>
      <c r="X37" s="25">
        <f>'TUSD BE'!$X$37*'TUSD BF'!$X$58</f>
        <v>0</v>
      </c>
      <c r="Y37" s="25">
        <f>'TUSD BE'!$Y$37*'TUSD BF'!$Y$58</f>
        <v>0</v>
      </c>
      <c r="Z37" s="25">
        <f>'TUSD BE'!$Z$37*'TUSD BF'!$Z$58</f>
        <v>0</v>
      </c>
      <c r="AA37" s="25">
        <f>'TUSD BE'!$AA$37*'TUSD BF'!$AA$58</f>
        <v>0</v>
      </c>
      <c r="AB37" s="25">
        <f>SUM($U$37:$AA$37)</f>
        <v>1.3741386247972092</v>
      </c>
      <c r="AC37" s="25">
        <f>'TUSD BE'!$AC$37*'TUSD BF'!$AC$58</f>
        <v>0</v>
      </c>
      <c r="AD37" s="25">
        <f>SUM($AC$37:$AC$37)</f>
        <v>0</v>
      </c>
      <c r="AE37" s="25">
        <f ca="1">$AO$37*$AO$55</f>
        <v>0</v>
      </c>
      <c r="AF37" s="25">
        <f ca="1">$AP$37*$AP$55</f>
        <v>0</v>
      </c>
      <c r="AG37" s="25">
        <f ca="1">SUM($AE$37:$AF$37)</f>
        <v>0</v>
      </c>
      <c r="AH37" s="25">
        <f>'TUSD BE'!$AH$37*'TUSD BF'!$AH$58</f>
        <v>0.49461988061799755</v>
      </c>
      <c r="AI37" s="25">
        <f>'TUSD BE'!$AI$37*'TUSD BF'!$AI$58</f>
        <v>1.7445689795161159E-2</v>
      </c>
      <c r="AJ37" s="25">
        <f ca="1">'TUSD BE'!$AJ$37*'TUSD BF'!$AJ$58</f>
        <v>6.6368544856576325E-2</v>
      </c>
      <c r="AK37" s="25">
        <f ca="1">'TUSD BE'!$AK$37*'TUSD BF'!$AK$58</f>
        <v>0</v>
      </c>
      <c r="AL37" s="25">
        <f ca="1">SUM($AH$37:$AK$37)</f>
        <v>0.57843411526973498</v>
      </c>
      <c r="AM37" s="25">
        <f ca="1">SUMIF($L$4:$AL$4,"SUBTOTAL",$L$37:$AL$37)</f>
        <v>33.513300382717986</v>
      </c>
      <c r="AO37" s="30">
        <f ca="1">+'TUSD BE'!$T$37+'TUSD BE'!$AB$37+'TUSD BE'!$AD$37+'TUSD BE'!$AL$37</f>
        <v>407.22033291444632</v>
      </c>
      <c r="AP37" s="30">
        <f ca="1">+'TUSD BE'!$T$37+'TUSD BE'!$AB$37+'TUSD BE'!$AD$37+'TUSD BE'!$AL$37</f>
        <v>407.22033291444632</v>
      </c>
    </row>
    <row r="38" spans="1:42" ht="11.25" customHeight="1" x14ac:dyDescent="0.25">
      <c r="A38" s="119"/>
      <c r="B38" s="119" t="s">
        <v>33</v>
      </c>
      <c r="C38" s="119" t="s">
        <v>44</v>
      </c>
      <c r="D38" s="119" t="s">
        <v>55</v>
      </c>
      <c r="E38" s="119" t="s">
        <v>25</v>
      </c>
      <c r="F38" s="119" t="s">
        <v>25</v>
      </c>
      <c r="G38" s="21" t="s">
        <v>81</v>
      </c>
      <c r="H38" s="21" t="s">
        <v>80</v>
      </c>
      <c r="I38" s="21">
        <f>'MERCADO TUSD'!$U$35</f>
        <v>0</v>
      </c>
      <c r="J38" s="17"/>
      <c r="L38" s="25">
        <f>'TUSD BE'!$L$38*'TUSD BF'!$L$58</f>
        <v>0.4538004435071441</v>
      </c>
      <c r="M38" s="25">
        <f>'TUSD BE'!$M$38*'TUSD BF'!$M$58</f>
        <v>0</v>
      </c>
      <c r="N38" s="25">
        <f ca="1">'TUSD BE'!$N$38*'TUSD BF'!$N$58</f>
        <v>0</v>
      </c>
      <c r="O38" s="25">
        <f>'TUSD BE'!$O$38*'TUSD BF'!$O$58</f>
        <v>0</v>
      </c>
      <c r="P38" s="25">
        <f>'TUSD BE'!$P$38*'TUSD BF'!$P$58</f>
        <v>0</v>
      </c>
      <c r="Q38" s="25">
        <f>'TUSD BE'!$Q$38*'TUSD BF'!$Q$58</f>
        <v>26.122640787323864</v>
      </c>
      <c r="R38" s="25">
        <f>'TUSD BE'!$R$38*'TUSD BF'!$R$58</f>
        <v>4.9842864118200305</v>
      </c>
      <c r="S38" s="25">
        <f>'TUSD BE'!$R$38*'TUSD BF'!$S$58</f>
        <v>0</v>
      </c>
      <c r="T38" s="25">
        <f ca="1">SUM($L$38:$S$38)</f>
        <v>31.560727642651038</v>
      </c>
      <c r="U38" s="25">
        <f>'TUSD BE'!$U$38*'TUSD BF'!$U$58</f>
        <v>4.3096608406362735</v>
      </c>
      <c r="V38" s="25">
        <f>'TUSD BE'!$V$38*'TUSD BF'!$V$58</f>
        <v>0.56852581396938906</v>
      </c>
      <c r="W38" s="25">
        <f>'TUSD BE'!$W$38*'TUSD BF'!$W$58</f>
        <v>0</v>
      </c>
      <c r="X38" s="25">
        <f>'TUSD BE'!$X$38*'TUSD BF'!$X$58</f>
        <v>0</v>
      </c>
      <c r="Y38" s="25">
        <f>'TUSD BE'!$Y$38*'TUSD BF'!$Y$58</f>
        <v>0</v>
      </c>
      <c r="Z38" s="25">
        <f>'TUSD BE'!$Z$38*'TUSD BF'!$Z$58</f>
        <v>0</v>
      </c>
      <c r="AA38" s="25">
        <f>'TUSD BE'!$AA$38*'TUSD BF'!$AA$58</f>
        <v>0</v>
      </c>
      <c r="AB38" s="25">
        <f>SUM($U$38:$AA$38)</f>
        <v>4.8781866546056625</v>
      </c>
      <c r="AC38" s="25">
        <f>'TUSD BE'!$AC$38*'TUSD BF'!$AC$58</f>
        <v>0</v>
      </c>
      <c r="AD38" s="25">
        <f>SUM($AC$38:$AC$38)</f>
        <v>0</v>
      </c>
      <c r="AE38" s="25">
        <f ca="1">$AO$38*$AO$55</f>
        <v>0</v>
      </c>
      <c r="AF38" s="25">
        <f ca="1">$AP$38*$AP$55</f>
        <v>0</v>
      </c>
      <c r="AG38" s="25">
        <f ca="1">SUM($AE$38:$AF$38)</f>
        <v>0</v>
      </c>
      <c r="AH38" s="25">
        <f>'TUSD BE'!$AH$38*'TUSD BF'!$AH$58</f>
        <v>0.49461988061799755</v>
      </c>
      <c r="AI38" s="25">
        <f>'TUSD BE'!$AI$38*'TUSD BF'!$AI$58</f>
        <v>1.7445689795161159E-2</v>
      </c>
      <c r="AJ38" s="25">
        <f ca="1">'TUSD BE'!$AJ$38*'TUSD BF'!$AJ$58</f>
        <v>6.6368544856576325E-2</v>
      </c>
      <c r="AK38" s="25">
        <f ca="1">'TUSD BE'!$AK$38*'TUSD BF'!$AK$58</f>
        <v>0</v>
      </c>
      <c r="AL38" s="25">
        <f ca="1">SUM($AH$38:$AK$38)</f>
        <v>0.57843411526973498</v>
      </c>
      <c r="AM38" s="25">
        <f ca="1">SUMIF($L$4:$AL$4,"SUBTOTAL",$L$38:$AL$38)</f>
        <v>37.017348412526438</v>
      </c>
      <c r="AO38" s="30">
        <f ca="1">+'TUSD BE'!$T$38+'TUSD BE'!$AB$38+'TUSD BE'!$AD$38+'TUSD BE'!$AL$38</f>
        <v>1051.716772214379</v>
      </c>
      <c r="AP38" s="30">
        <f ca="1">+'TUSD BE'!$T$38+'TUSD BE'!$AB$38+'TUSD BE'!$AD$38+'TUSD BE'!$AL$38</f>
        <v>1051.716772214379</v>
      </c>
    </row>
    <row r="39" spans="1:42" ht="11.25" customHeight="1" x14ac:dyDescent="0.25">
      <c r="A39" s="119"/>
      <c r="B39" s="119"/>
      <c r="C39" s="119"/>
      <c r="D39" s="119"/>
      <c r="E39" s="119"/>
      <c r="F39" s="119"/>
      <c r="G39" s="21" t="s">
        <v>91</v>
      </c>
      <c r="H39" s="21" t="s">
        <v>80</v>
      </c>
      <c r="I39" s="21">
        <f>'MERCADO TUSD'!$U$36</f>
        <v>0</v>
      </c>
      <c r="J39" s="17"/>
      <c r="L39" s="25">
        <f>'TUSD BE'!$L$39*'TUSD BF'!$L$58</f>
        <v>0.4538004435071441</v>
      </c>
      <c r="M39" s="25">
        <f>'TUSD BE'!$M$39*'TUSD BF'!$M$58</f>
        <v>0</v>
      </c>
      <c r="N39" s="25">
        <f ca="1">'TUSD BE'!$N$39*'TUSD BF'!$N$58</f>
        <v>0</v>
      </c>
      <c r="O39" s="25">
        <f>'TUSD BE'!$O$39*'TUSD BF'!$O$58</f>
        <v>0</v>
      </c>
      <c r="P39" s="25">
        <f>'TUSD BE'!$P$39*'TUSD BF'!$P$58</f>
        <v>0</v>
      </c>
      <c r="Q39" s="25">
        <f>'TUSD BE'!$Q$39*'TUSD BF'!$Q$58</f>
        <v>26.122640787323864</v>
      </c>
      <c r="R39" s="25">
        <f>'TUSD BE'!$R$39*'TUSD BF'!$R$58</f>
        <v>4.9842864118200305</v>
      </c>
      <c r="S39" s="25">
        <f>'TUSD BE'!$R$39*'TUSD BF'!$S$58</f>
        <v>0</v>
      </c>
      <c r="T39" s="25">
        <f ca="1">SUM($L$39:$S$39)</f>
        <v>31.560727642651038</v>
      </c>
      <c r="U39" s="25">
        <f>'TUSD BE'!$U$39*'TUSD BF'!$U$58</f>
        <v>2.585795343658547</v>
      </c>
      <c r="V39" s="25">
        <f>'TUSD BE'!$V$39*'TUSD BF'!$V$58</f>
        <v>0.34111653947485748</v>
      </c>
      <c r="W39" s="25">
        <f>'TUSD BE'!$W$39*'TUSD BF'!$W$58</f>
        <v>0</v>
      </c>
      <c r="X39" s="25">
        <f>'TUSD BE'!$X$39*'TUSD BF'!$X$58</f>
        <v>0</v>
      </c>
      <c r="Y39" s="25">
        <f>'TUSD BE'!$Y$39*'TUSD BF'!$Y$58</f>
        <v>0</v>
      </c>
      <c r="Z39" s="25">
        <f>'TUSD BE'!$Z$39*'TUSD BF'!$Z$58</f>
        <v>0</v>
      </c>
      <c r="AA39" s="25">
        <f>'TUSD BE'!$AA$39*'TUSD BF'!$AA$58</f>
        <v>0</v>
      </c>
      <c r="AB39" s="25">
        <f>SUM($U$39:$AA$39)</f>
        <v>2.9269118831334047</v>
      </c>
      <c r="AC39" s="25">
        <f>'TUSD BE'!$AC$39*'TUSD BF'!$AC$58</f>
        <v>0</v>
      </c>
      <c r="AD39" s="25">
        <f>SUM($AC$39:$AC$39)</f>
        <v>0</v>
      </c>
      <c r="AE39" s="25">
        <f ca="1">$AO$39*$AO$55</f>
        <v>0</v>
      </c>
      <c r="AF39" s="25">
        <f ca="1">$AP$39*$AP$55</f>
        <v>0</v>
      </c>
      <c r="AG39" s="25">
        <f ca="1">SUM($AE$39:$AF$39)</f>
        <v>0</v>
      </c>
      <c r="AH39" s="25">
        <f>'TUSD BE'!$AH$39*'TUSD BF'!$AH$58</f>
        <v>0.49461988061799755</v>
      </c>
      <c r="AI39" s="25">
        <f>'TUSD BE'!$AI$39*'TUSD BF'!$AI$58</f>
        <v>1.7445689795161159E-2</v>
      </c>
      <c r="AJ39" s="25">
        <f ca="1">'TUSD BE'!$AJ$39*'TUSD BF'!$AJ$58</f>
        <v>6.6368544856576325E-2</v>
      </c>
      <c r="AK39" s="25">
        <f ca="1">'TUSD BE'!$AK$39*'TUSD BF'!$AK$58</f>
        <v>0</v>
      </c>
      <c r="AL39" s="25">
        <f ca="1">SUM($AH$39:$AK$39)</f>
        <v>0.57843411526973498</v>
      </c>
      <c r="AM39" s="25">
        <f ca="1">SUMIF($L$4:$AL$4,"SUBTOTAL",$L$39:$AL$39)</f>
        <v>35.066073641054182</v>
      </c>
      <c r="AO39" s="30">
        <f ca="1">+'TUSD BE'!$T$39+'TUSD BE'!$AB$39+'TUSD BE'!$AD$39+'TUSD BE'!$AL$39</f>
        <v>692.82064277193524</v>
      </c>
      <c r="AP39" s="30">
        <f ca="1">+'TUSD BE'!$T$39+'TUSD BE'!$AB$39+'TUSD BE'!$AD$39+'TUSD BE'!$AL$39</f>
        <v>692.82064277193524</v>
      </c>
    </row>
    <row r="40" spans="1:42" ht="11.25" customHeight="1" x14ac:dyDescent="0.25">
      <c r="A40" s="119"/>
      <c r="B40" s="119"/>
      <c r="C40" s="119"/>
      <c r="D40" s="119"/>
      <c r="E40" s="119"/>
      <c r="F40" s="119"/>
      <c r="G40" s="21" t="s">
        <v>82</v>
      </c>
      <c r="H40" s="21" t="s">
        <v>80</v>
      </c>
      <c r="I40" s="21">
        <f>'MERCADO TUSD'!$U$37</f>
        <v>0</v>
      </c>
      <c r="J40" s="17"/>
      <c r="L40" s="25">
        <f>'TUSD BE'!$L$40*'TUSD BF'!$L$58</f>
        <v>0.4538004435071441</v>
      </c>
      <c r="M40" s="25">
        <f>'TUSD BE'!$M$40*'TUSD BF'!$M$58</f>
        <v>0</v>
      </c>
      <c r="N40" s="25">
        <f ca="1">'TUSD BE'!$N$40*'TUSD BF'!$N$58</f>
        <v>0</v>
      </c>
      <c r="O40" s="25">
        <f>'TUSD BE'!$O$40*'TUSD BF'!$O$58</f>
        <v>0</v>
      </c>
      <c r="P40" s="25">
        <f>'TUSD BE'!$P$40*'TUSD BF'!$P$58</f>
        <v>0</v>
      </c>
      <c r="Q40" s="25">
        <f>'TUSD BE'!$Q$40*'TUSD BF'!$Q$58</f>
        <v>26.122640787323864</v>
      </c>
      <c r="R40" s="25">
        <f>'TUSD BE'!$R$40*'TUSD BF'!$R$58</f>
        <v>4.9842864118200305</v>
      </c>
      <c r="S40" s="25">
        <f>'TUSD BE'!$R$40*'TUSD BF'!$S$58</f>
        <v>0</v>
      </c>
      <c r="T40" s="25">
        <f ca="1">SUM($L$40:$S$40)</f>
        <v>31.560727642651038</v>
      </c>
      <c r="U40" s="25">
        <f>'TUSD BE'!$U$40*'TUSD BF'!$U$58</f>
        <v>0.86192984668082018</v>
      </c>
      <c r="V40" s="25">
        <f>'TUSD BE'!$V$40*'TUSD BF'!$V$58</f>
        <v>0.11370726498032596</v>
      </c>
      <c r="W40" s="25">
        <f>'TUSD BE'!$W$40*'TUSD BF'!$W$58</f>
        <v>0</v>
      </c>
      <c r="X40" s="25">
        <f>'TUSD BE'!$X$40*'TUSD BF'!$X$58</f>
        <v>0</v>
      </c>
      <c r="Y40" s="25">
        <f>'TUSD BE'!$Y$40*'TUSD BF'!$Y$58</f>
        <v>0</v>
      </c>
      <c r="Z40" s="25">
        <f>'TUSD BE'!$Z$40*'TUSD BF'!$Z$58</f>
        <v>0</v>
      </c>
      <c r="AA40" s="25">
        <f>'TUSD BE'!$AA$40*'TUSD BF'!$AA$58</f>
        <v>0</v>
      </c>
      <c r="AB40" s="25">
        <f>SUM($U$40:$AA$40)</f>
        <v>0.97563711166114619</v>
      </c>
      <c r="AC40" s="25">
        <f>'TUSD BE'!$AC$40*'TUSD BF'!$AC$58</f>
        <v>0</v>
      </c>
      <c r="AD40" s="25">
        <f>SUM($AC$40:$AC$40)</f>
        <v>0</v>
      </c>
      <c r="AE40" s="25">
        <f ca="1">$AO$40*$AO$55</f>
        <v>0</v>
      </c>
      <c r="AF40" s="25">
        <f ca="1">$AP$40*$AP$55</f>
        <v>0</v>
      </c>
      <c r="AG40" s="25">
        <f ca="1">SUM($AE$40:$AF$40)</f>
        <v>0</v>
      </c>
      <c r="AH40" s="25">
        <f>'TUSD BE'!$AH$40*'TUSD BF'!$AH$58</f>
        <v>0.49461988061799755</v>
      </c>
      <c r="AI40" s="25">
        <f>'TUSD BE'!$AI$40*'TUSD BF'!$AI$58</f>
        <v>1.7445689795161159E-2</v>
      </c>
      <c r="AJ40" s="25">
        <f ca="1">'TUSD BE'!$AJ$40*'TUSD BF'!$AJ$58</f>
        <v>6.6368544856576325E-2</v>
      </c>
      <c r="AK40" s="25">
        <f ca="1">'TUSD BE'!$AK$40*'TUSD BF'!$AK$58</f>
        <v>0</v>
      </c>
      <c r="AL40" s="25">
        <f ca="1">SUM($AH$40:$AK$40)</f>
        <v>0.57843411526973498</v>
      </c>
      <c r="AM40" s="25">
        <f ca="1">SUMIF($L$4:$AL$4,"SUBTOTAL",$L$40:$AL$40)</f>
        <v>33.114798869581918</v>
      </c>
      <c r="AO40" s="30">
        <f ca="1">+'TUSD BE'!$T$40+'TUSD BE'!$AB$40+'TUSD BE'!$AD$40+'TUSD BE'!$AL$40</f>
        <v>333.92462976198073</v>
      </c>
      <c r="AP40" s="30">
        <f ca="1">+'TUSD BE'!$T$40+'TUSD BE'!$AB$40+'TUSD BE'!$AD$40+'TUSD BE'!$AL$40</f>
        <v>333.92462976198073</v>
      </c>
    </row>
    <row r="41" spans="1:42" ht="11.25" customHeight="1" x14ac:dyDescent="0.25">
      <c r="A41" s="119"/>
      <c r="B41" s="28" t="s">
        <v>23</v>
      </c>
      <c r="C41" s="28" t="s">
        <v>44</v>
      </c>
      <c r="D41" s="28" t="s">
        <v>55</v>
      </c>
      <c r="E41" s="28" t="s">
        <v>25</v>
      </c>
      <c r="F41" s="28" t="s">
        <v>25</v>
      </c>
      <c r="G41" s="21" t="s">
        <v>86</v>
      </c>
      <c r="H41" s="21" t="s">
        <v>80</v>
      </c>
      <c r="I41" s="21">
        <f>'MERCADO TUSD'!$U$38</f>
        <v>29.929000000000002</v>
      </c>
      <c r="J41" s="17"/>
      <c r="L41" s="25">
        <f>'TUSD BE'!$L$41*'TUSD BF'!$L$58</f>
        <v>0.4538004435071441</v>
      </c>
      <c r="M41" s="25">
        <f>'TUSD BE'!$M$41*'TUSD BF'!$M$58</f>
        <v>0</v>
      </c>
      <c r="N41" s="25">
        <f ca="1">'TUSD BE'!$N$41*'TUSD BF'!$N$58</f>
        <v>0</v>
      </c>
      <c r="O41" s="25">
        <f>'TUSD BE'!$O$41*'TUSD BF'!$O$58</f>
        <v>0</v>
      </c>
      <c r="P41" s="25">
        <f>'TUSD BE'!$P$41*'TUSD BF'!$P$58</f>
        <v>0</v>
      </c>
      <c r="Q41" s="25">
        <f>'TUSD BE'!$Q$41*'TUSD BF'!$Q$58</f>
        <v>26.122640787323864</v>
      </c>
      <c r="R41" s="25">
        <f>'TUSD BE'!$R$41*'TUSD BF'!$R$58</f>
        <v>4.9842864118200305</v>
      </c>
      <c r="S41" s="25">
        <f>'TUSD BE'!$R$41*'TUSD BF'!$S$58</f>
        <v>0</v>
      </c>
      <c r="T41" s="25">
        <f ca="1">SUM($L$41:$S$41)</f>
        <v>31.560727642651038</v>
      </c>
      <c r="U41" s="25">
        <f>'TUSD BE'!$U$41*'TUSD BF'!$U$58</f>
        <v>1.2139888057111732</v>
      </c>
      <c r="V41" s="25">
        <f>'TUSD BE'!$V$41*'TUSD BF'!$V$58</f>
        <v>0.1601498190860359</v>
      </c>
      <c r="W41" s="25">
        <f>'TUSD BE'!$W$41*'TUSD BF'!$W$58</f>
        <v>0</v>
      </c>
      <c r="X41" s="25">
        <f>'TUSD BE'!$X$41*'TUSD BF'!$X$58</f>
        <v>0</v>
      </c>
      <c r="Y41" s="25">
        <f>'TUSD BE'!$Y$41*'TUSD BF'!$Y$58</f>
        <v>0</v>
      </c>
      <c r="Z41" s="25">
        <f>'TUSD BE'!$Z$41*'TUSD BF'!$Z$58</f>
        <v>0</v>
      </c>
      <c r="AA41" s="25">
        <f>'TUSD BE'!$AA$41*'TUSD BF'!$AA$58</f>
        <v>0</v>
      </c>
      <c r="AB41" s="25">
        <f>SUM($U$41:$AA$41)</f>
        <v>1.3741386247972092</v>
      </c>
      <c r="AC41" s="25">
        <f>'TUSD BE'!$AC$41*'TUSD BF'!$AC$58</f>
        <v>0</v>
      </c>
      <c r="AD41" s="25">
        <f>SUM($AC$41:$AC$41)</f>
        <v>0</v>
      </c>
      <c r="AE41" s="25">
        <f ca="1">$AO$41*$AO$55</f>
        <v>0</v>
      </c>
      <c r="AF41" s="25">
        <f ca="1">$AP$41*$AP$55</f>
        <v>0</v>
      </c>
      <c r="AG41" s="25">
        <f ca="1">SUM($AE$41:$AF$41)</f>
        <v>0</v>
      </c>
      <c r="AH41" s="25">
        <f>'TUSD BE'!$AH$41*'TUSD BF'!$AH$58</f>
        <v>0.49461988061799755</v>
      </c>
      <c r="AI41" s="25">
        <f>'TUSD BE'!$AI$41*'TUSD BF'!$AI$58</f>
        <v>1.7445689795161159E-2</v>
      </c>
      <c r="AJ41" s="25">
        <f ca="1">'TUSD BE'!$AJ$41*'TUSD BF'!$AJ$58</f>
        <v>6.6368544856576325E-2</v>
      </c>
      <c r="AK41" s="25">
        <f ca="1">'TUSD BE'!$AK$41*'TUSD BF'!$AK$58</f>
        <v>0</v>
      </c>
      <c r="AL41" s="25">
        <f ca="1">SUM($AH$41:$AK$41)</f>
        <v>0.57843411526973498</v>
      </c>
      <c r="AM41" s="25">
        <f ca="1">SUMIF($L$4:$AL$4,"SUBTOTAL",$L$41:$AL$41)</f>
        <v>33.513300382717986</v>
      </c>
      <c r="AO41" s="30">
        <f ca="1">+'TUSD BE'!$T$41+'TUSD BE'!$AB$41+'TUSD BE'!$AD$41+'TUSD BE'!$AL$41</f>
        <v>407.22033291444632</v>
      </c>
      <c r="AP41" s="30">
        <f ca="1">+'TUSD BE'!$T$41+'TUSD BE'!$AB$41+'TUSD BE'!$AD$41+'TUSD BE'!$AL$41</f>
        <v>407.22033291444632</v>
      </c>
    </row>
    <row r="42" spans="1:42" ht="11.25" customHeight="1" x14ac:dyDescent="0.25">
      <c r="A42" s="119"/>
      <c r="B42" s="119" t="s">
        <v>94</v>
      </c>
      <c r="C42" s="119" t="s">
        <v>44</v>
      </c>
      <c r="D42" s="28" t="s">
        <v>25</v>
      </c>
      <c r="E42" s="28" t="s">
        <v>25</v>
      </c>
      <c r="F42" s="28" t="s">
        <v>25</v>
      </c>
      <c r="G42" s="21" t="s">
        <v>86</v>
      </c>
      <c r="H42" s="21" t="s">
        <v>80</v>
      </c>
      <c r="I42" s="21">
        <f>'MERCADO TUSD'!$U$39</f>
        <v>0</v>
      </c>
      <c r="J42" s="17"/>
      <c r="L42" s="25">
        <f>'TUSD BE'!$L$42*'TUSD BF'!$L$58</f>
        <v>0.4538004435071441</v>
      </c>
      <c r="M42" s="25">
        <f>'TUSD BE'!$M$42*'TUSD BF'!$M$58</f>
        <v>0</v>
      </c>
      <c r="N42" s="25">
        <f ca="1">'TUSD BE'!$N$42*'TUSD BF'!$N$58</f>
        <v>0</v>
      </c>
      <c r="O42" s="25">
        <f>'TUSD BE'!$O$42*'TUSD BF'!$O$58</f>
        <v>0</v>
      </c>
      <c r="P42" s="25">
        <f>'TUSD BE'!$P$42*'TUSD BF'!$P$58</f>
        <v>0</v>
      </c>
      <c r="Q42" s="25">
        <f>'TUSD BE'!$Q$42*'TUSD BF'!$Q$58</f>
        <v>26.122640787323864</v>
      </c>
      <c r="R42" s="25">
        <f>'TUSD BE'!$R$42*'TUSD BF'!$R$58</f>
        <v>4.9842864118200305</v>
      </c>
      <c r="S42" s="25">
        <f>'TUSD BE'!$R$42*'TUSD BF'!$S$58</f>
        <v>0</v>
      </c>
      <c r="T42" s="25">
        <f ca="1">SUM($L$42:$S$42)</f>
        <v>31.560727642651038</v>
      </c>
      <c r="U42" s="25">
        <f>'TUSD BE'!$U$42*'TUSD BF'!$U$58</f>
        <v>1.2139888057111732</v>
      </c>
      <c r="V42" s="25">
        <f>'TUSD BE'!$V$42*'TUSD BF'!$V$58</f>
        <v>0.1601498190860359</v>
      </c>
      <c r="W42" s="25">
        <f>'TUSD BE'!$W$42*'TUSD BF'!$W$58</f>
        <v>0</v>
      </c>
      <c r="X42" s="25">
        <f>'TUSD BE'!$X$42*'TUSD BF'!$X$58</f>
        <v>0</v>
      </c>
      <c r="Y42" s="25">
        <f>'TUSD BE'!$Y$42*'TUSD BF'!$Y$58</f>
        <v>0</v>
      </c>
      <c r="Z42" s="25">
        <f>'TUSD BE'!$Z$42*'TUSD BF'!$Z$58</f>
        <v>0</v>
      </c>
      <c r="AA42" s="25">
        <f>'TUSD BE'!$AA$42*'TUSD BF'!$AA$58</f>
        <v>0</v>
      </c>
      <c r="AB42" s="25">
        <f>SUM($U$42:$AA$42)</f>
        <v>1.3741386247972092</v>
      </c>
      <c r="AC42" s="25">
        <f>'TUSD BE'!$AC$42*'TUSD BF'!$AC$58</f>
        <v>0</v>
      </c>
      <c r="AD42" s="25">
        <f>SUM($AC$42:$AC$42)</f>
        <v>0</v>
      </c>
      <c r="AE42" s="25">
        <f ca="1">$AO$42*$AO$55</f>
        <v>0</v>
      </c>
      <c r="AF42" s="25">
        <f ca="1">$AP$42*$AP$55</f>
        <v>0</v>
      </c>
      <c r="AG42" s="25">
        <f ca="1">SUM($AE$42:$AF$42)</f>
        <v>0</v>
      </c>
      <c r="AH42" s="25">
        <f>'TUSD BE'!$AH$42*'TUSD BF'!$AH$58</f>
        <v>0.49461988061799755</v>
      </c>
      <c r="AI42" s="25">
        <f>'TUSD BE'!$AI$42*'TUSD BF'!$AI$58</f>
        <v>1.7445689795161159E-2</v>
      </c>
      <c r="AJ42" s="25">
        <f ca="1">'TUSD BE'!$AJ$42*'TUSD BF'!$AJ$58</f>
        <v>6.6368544856576325E-2</v>
      </c>
      <c r="AK42" s="25">
        <f ca="1">'TUSD BE'!$AK$42*'TUSD BF'!$AK$58</f>
        <v>0</v>
      </c>
      <c r="AL42" s="25">
        <f ca="1">SUM($AH$42:$AK$42)</f>
        <v>0.57843411526973498</v>
      </c>
      <c r="AM42" s="25">
        <f ca="1">SUMIF($L$4:$AL$4,"SUBTOTAL",$L$42:$AL$42)</f>
        <v>33.513300382717986</v>
      </c>
      <c r="AO42" s="30">
        <f ca="1">+'TUSD BE'!$T$42+'TUSD BE'!$AB$42+'TUSD BE'!$AD$42+'TUSD BE'!$AL$42</f>
        <v>407.22033291444632</v>
      </c>
      <c r="AP42" s="30">
        <f ca="1">+'TUSD BE'!$T$42+'TUSD BE'!$AB$42+'TUSD BE'!$AD$42+'TUSD BE'!$AL$42</f>
        <v>407.22033291444632</v>
      </c>
    </row>
    <row r="43" spans="1:42" ht="11.25" customHeight="1" x14ac:dyDescent="0.25">
      <c r="A43" s="119"/>
      <c r="B43" s="119"/>
      <c r="C43" s="119"/>
      <c r="D43" s="28" t="s">
        <v>95</v>
      </c>
      <c r="E43" s="28" t="s">
        <v>25</v>
      </c>
      <c r="F43" s="28" t="s">
        <v>25</v>
      </c>
      <c r="G43" s="21" t="s">
        <v>86</v>
      </c>
      <c r="H43" s="21" t="s">
        <v>80</v>
      </c>
      <c r="I43" s="21">
        <f>'MERCADO TUSD'!$U$40</f>
        <v>0</v>
      </c>
      <c r="J43" s="17"/>
      <c r="L43" s="25">
        <f>'TUSD BE'!$L$43*'TUSD BF'!$L$58</f>
        <v>0.4538004435071441</v>
      </c>
      <c r="M43" s="25">
        <f>'TUSD BE'!$M$43*'TUSD BF'!$M$58</f>
        <v>0</v>
      </c>
      <c r="N43" s="25">
        <f ca="1">'TUSD BE'!$N$43*'TUSD BF'!$N$58</f>
        <v>0</v>
      </c>
      <c r="O43" s="25">
        <f>'TUSD BE'!$O$43*'TUSD BF'!$O$58</f>
        <v>0</v>
      </c>
      <c r="P43" s="25">
        <f>'TUSD BE'!$P$43*'TUSD BF'!$P$58</f>
        <v>0</v>
      </c>
      <c r="Q43" s="25">
        <f>'TUSD BE'!$Q$43*'TUSD BF'!$Q$58</f>
        <v>26.122640787323864</v>
      </c>
      <c r="R43" s="25">
        <f>'TUSD BE'!$R$43*'TUSD BF'!$R$58</f>
        <v>4.9842864118200305</v>
      </c>
      <c r="S43" s="25">
        <f>'TUSD BE'!$R$43*'TUSD BF'!$S$58</f>
        <v>0</v>
      </c>
      <c r="T43" s="25">
        <f ca="1">SUM($L$43:$S$43)</f>
        <v>31.560727642651038</v>
      </c>
      <c r="U43" s="25">
        <f>'TUSD BE'!$U$43*'TUSD BF'!$U$58</f>
        <v>1.2139888057111732</v>
      </c>
      <c r="V43" s="25">
        <f>'TUSD BE'!$V$43*'TUSD BF'!$V$58</f>
        <v>0.1601498190860359</v>
      </c>
      <c r="W43" s="25">
        <f>'TUSD BE'!$W$43*'TUSD BF'!$W$58</f>
        <v>0</v>
      </c>
      <c r="X43" s="25">
        <f>'TUSD BE'!$X$43*'TUSD BF'!$X$58</f>
        <v>0</v>
      </c>
      <c r="Y43" s="25">
        <f>'TUSD BE'!$Y$43*'TUSD BF'!$Y$58</f>
        <v>0</v>
      </c>
      <c r="Z43" s="25">
        <f>'TUSD BE'!$Z$43*'TUSD BF'!$Z$58</f>
        <v>0</v>
      </c>
      <c r="AA43" s="25">
        <f>'TUSD BE'!$AA$43*'TUSD BF'!$AA$58</f>
        <v>0</v>
      </c>
      <c r="AB43" s="25">
        <f>SUM($U$43:$AA$43)</f>
        <v>1.3741386247972092</v>
      </c>
      <c r="AC43" s="25">
        <f>'TUSD BE'!$AC$43*'TUSD BF'!$AC$58</f>
        <v>0</v>
      </c>
      <c r="AD43" s="25">
        <f>SUM($AC$43:$AC$43)</f>
        <v>0</v>
      </c>
      <c r="AE43" s="25">
        <f ca="1">$AO$43*$AO$55</f>
        <v>0</v>
      </c>
      <c r="AF43" s="25">
        <f ca="1">$AP$43*$AP$55</f>
        <v>0</v>
      </c>
      <c r="AG43" s="25">
        <f ca="1">SUM($AE$43:$AF$43)</f>
        <v>0</v>
      </c>
      <c r="AH43" s="25">
        <f>'TUSD BE'!$AH$43*'TUSD BF'!$AH$58</f>
        <v>0.49461988061799755</v>
      </c>
      <c r="AI43" s="25">
        <f>'TUSD BE'!$AI$43*'TUSD BF'!$AI$58</f>
        <v>1.7445689795161159E-2</v>
      </c>
      <c r="AJ43" s="25">
        <f ca="1">'TUSD BE'!$AJ$43*'TUSD BF'!$AJ$58</f>
        <v>6.6368544856576325E-2</v>
      </c>
      <c r="AK43" s="25">
        <f ca="1">'TUSD BE'!$AK$43*'TUSD BF'!$AK$58</f>
        <v>0</v>
      </c>
      <c r="AL43" s="25">
        <f ca="1">SUM($AH$43:$AK$43)</f>
        <v>0.57843411526973498</v>
      </c>
      <c r="AM43" s="25">
        <f ca="1">SUMIF($L$4:$AL$4,"SUBTOTAL",$L$43:$AL$43)</f>
        <v>33.513300382717986</v>
      </c>
      <c r="AO43" s="30">
        <f ca="1">+'TUSD BE'!$T$43+'TUSD BE'!$AB$43+'TUSD BE'!$AD$43+'TUSD BE'!$AL$43</f>
        <v>407.22033291444632</v>
      </c>
      <c r="AP43" s="30">
        <f ca="1">+'TUSD BE'!$T$43+'TUSD BE'!$AB$43+'TUSD BE'!$AD$43+'TUSD BE'!$AL$43</f>
        <v>407.22033291444632</v>
      </c>
    </row>
    <row r="44" spans="1:42" ht="11.25" customHeight="1" x14ac:dyDescent="0.25">
      <c r="A44" s="119"/>
      <c r="B44" s="119"/>
      <c r="C44" s="119"/>
      <c r="D44" s="28" t="s">
        <v>55</v>
      </c>
      <c r="E44" s="28" t="s">
        <v>25</v>
      </c>
      <c r="F44" s="28" t="s">
        <v>25</v>
      </c>
      <c r="G44" s="21" t="s">
        <v>86</v>
      </c>
      <c r="H44" s="21" t="s">
        <v>80</v>
      </c>
      <c r="I44" s="21">
        <f>'MERCADO TUSD'!$U$41</f>
        <v>0</v>
      </c>
      <c r="J44" s="17"/>
      <c r="L44" s="25">
        <f>'TUSD BE'!$L$44*'TUSD BF'!$L$58</f>
        <v>0.4538004435071441</v>
      </c>
      <c r="M44" s="25">
        <f>'TUSD BE'!$M$44*'TUSD BF'!$M$58</f>
        <v>0</v>
      </c>
      <c r="N44" s="25">
        <f ca="1">'TUSD BE'!$N$44*'TUSD BF'!$N$58</f>
        <v>0</v>
      </c>
      <c r="O44" s="25">
        <f>'TUSD BE'!$O$44*'TUSD BF'!$O$58</f>
        <v>0</v>
      </c>
      <c r="P44" s="25">
        <f>'TUSD BE'!$P$44*'TUSD BF'!$P$58</f>
        <v>0</v>
      </c>
      <c r="Q44" s="25">
        <f>'TUSD BE'!$Q$44*'TUSD BF'!$Q$58</f>
        <v>26.122640787323864</v>
      </c>
      <c r="R44" s="25">
        <f>'TUSD BE'!$R$44*'TUSD BF'!$R$58</f>
        <v>4.9842864118200305</v>
      </c>
      <c r="S44" s="25">
        <f>'TUSD BE'!$R$44*'TUSD BF'!$S$58</f>
        <v>0</v>
      </c>
      <c r="T44" s="25">
        <f ca="1">SUM($L$44:$S$44)</f>
        <v>31.560727642651038</v>
      </c>
      <c r="U44" s="25">
        <f>'TUSD BE'!$U$44*'TUSD BF'!$U$58</f>
        <v>1.2139888057111732</v>
      </c>
      <c r="V44" s="25">
        <f>'TUSD BE'!$V$44*'TUSD BF'!$V$58</f>
        <v>0.1601498190860359</v>
      </c>
      <c r="W44" s="25">
        <f>'TUSD BE'!$W$44*'TUSD BF'!$W$58</f>
        <v>0</v>
      </c>
      <c r="X44" s="25">
        <f>'TUSD BE'!$X$44*'TUSD BF'!$X$58</f>
        <v>0</v>
      </c>
      <c r="Y44" s="25">
        <f>'TUSD BE'!$Y$44*'TUSD BF'!$Y$58</f>
        <v>0</v>
      </c>
      <c r="Z44" s="25">
        <f>'TUSD BE'!$Z$44*'TUSD BF'!$Z$58</f>
        <v>0</v>
      </c>
      <c r="AA44" s="25">
        <f>'TUSD BE'!$AA$44*'TUSD BF'!$AA$58</f>
        <v>0</v>
      </c>
      <c r="AB44" s="25">
        <f>SUM($U$44:$AA$44)</f>
        <v>1.3741386247972092</v>
      </c>
      <c r="AC44" s="25">
        <f>'TUSD BE'!$AC$44*'TUSD BF'!$AC$58</f>
        <v>0</v>
      </c>
      <c r="AD44" s="25">
        <f>SUM($AC$44:$AC$44)</f>
        <v>0</v>
      </c>
      <c r="AE44" s="25">
        <f ca="1">$AO$44*$AO$55</f>
        <v>0</v>
      </c>
      <c r="AF44" s="25">
        <f ca="1">$AP$44*$AP$55</f>
        <v>0</v>
      </c>
      <c r="AG44" s="25">
        <f ca="1">SUM($AE$44:$AF$44)</f>
        <v>0</v>
      </c>
      <c r="AH44" s="25">
        <f>'TUSD BE'!$AH$44*'TUSD BF'!$AH$58</f>
        <v>0.49461988061799755</v>
      </c>
      <c r="AI44" s="25">
        <f>'TUSD BE'!$AI$44*'TUSD BF'!$AI$58</f>
        <v>1.7445689795161159E-2</v>
      </c>
      <c r="AJ44" s="25">
        <f ca="1">'TUSD BE'!$AJ$44*'TUSD BF'!$AJ$58</f>
        <v>6.6368544856576325E-2</v>
      </c>
      <c r="AK44" s="25">
        <f ca="1">'TUSD BE'!$AK$44*'TUSD BF'!$AK$58</f>
        <v>0</v>
      </c>
      <c r="AL44" s="25">
        <f ca="1">SUM($AH$44:$AK$44)</f>
        <v>0.57843411526973498</v>
      </c>
      <c r="AM44" s="25">
        <f ca="1">SUMIF($L$4:$AL$4,"SUBTOTAL",$L$44:$AL$44)</f>
        <v>33.513300382717986</v>
      </c>
      <c r="AO44" s="30">
        <f ca="1">+'TUSD BE'!$T$44+'TUSD BE'!$AB$44+'TUSD BE'!$AD$44+'TUSD BE'!$AL$44</f>
        <v>407.22033291444632</v>
      </c>
      <c r="AP44" s="30">
        <f ca="1">+'TUSD BE'!$T$44+'TUSD BE'!$AB$44+'TUSD BE'!$AD$44+'TUSD BE'!$AL$44</f>
        <v>407.22033291444632</v>
      </c>
    </row>
    <row r="45" spans="1:42" ht="11.25" customHeight="1" x14ac:dyDescent="0.25">
      <c r="A45" s="119" t="s">
        <v>37</v>
      </c>
      <c r="B45" s="119" t="s">
        <v>33</v>
      </c>
      <c r="C45" s="119" t="s">
        <v>25</v>
      </c>
      <c r="D45" s="119" t="s">
        <v>25</v>
      </c>
      <c r="E45" s="119" t="s">
        <v>25</v>
      </c>
      <c r="F45" s="119" t="s">
        <v>25</v>
      </c>
      <c r="G45" s="21" t="s">
        <v>81</v>
      </c>
      <c r="H45" s="21" t="s">
        <v>80</v>
      </c>
      <c r="I45" s="21">
        <f>'MERCADO TUSD'!$U$42</f>
        <v>57.161000000000001</v>
      </c>
      <c r="J45" s="17"/>
      <c r="L45" s="25">
        <f>'TUSD BE'!$L$45*'TUSD BF'!$L$58</f>
        <v>0.4538004435071441</v>
      </c>
      <c r="M45" s="25">
        <f>'TUSD BE'!$M$45*'TUSD BF'!$M$58</f>
        <v>0</v>
      </c>
      <c r="N45" s="25">
        <f ca="1">'TUSD BE'!$N$45*'TUSD BF'!$N$58</f>
        <v>0</v>
      </c>
      <c r="O45" s="25">
        <f>'TUSD BE'!$O$45*'TUSD BF'!$O$58</f>
        <v>0</v>
      </c>
      <c r="P45" s="25">
        <f>'TUSD BE'!$P$45*'TUSD BF'!$P$58</f>
        <v>0</v>
      </c>
      <c r="Q45" s="25">
        <f>'TUSD BE'!$Q$45*'TUSD BF'!$Q$58</f>
        <v>26.122640787323864</v>
      </c>
      <c r="R45" s="25">
        <f>'TUSD BE'!$R$45*'TUSD BF'!$R$58</f>
        <v>4.9842864118200305</v>
      </c>
      <c r="S45" s="25">
        <f>'TUSD BE'!$R$45*'TUSD BF'!$S$58</f>
        <v>0</v>
      </c>
      <c r="T45" s="25">
        <f ca="1">SUM($L$45:$S$45)</f>
        <v>31.560727642651038</v>
      </c>
      <c r="U45" s="25">
        <f>'TUSD BE'!$U$45*'TUSD BF'!$U$58</f>
        <v>4.3096608406362735</v>
      </c>
      <c r="V45" s="25">
        <f>'TUSD BE'!$V$45*'TUSD BF'!$V$58</f>
        <v>0.56852581396938906</v>
      </c>
      <c r="W45" s="25">
        <f>'TUSD BE'!$W$45*'TUSD BF'!$W$58</f>
        <v>0</v>
      </c>
      <c r="X45" s="25">
        <f>'TUSD BE'!$X$45*'TUSD BF'!$X$58</f>
        <v>0</v>
      </c>
      <c r="Y45" s="25">
        <f>'TUSD BE'!$Y$45*'TUSD BF'!$Y$58</f>
        <v>0</v>
      </c>
      <c r="Z45" s="25">
        <f>'TUSD BE'!$Z$45*'TUSD BF'!$Z$58</f>
        <v>0</v>
      </c>
      <c r="AA45" s="25">
        <f>'TUSD BE'!$AA$45*'TUSD BF'!$AA$58</f>
        <v>0</v>
      </c>
      <c r="AB45" s="25">
        <f>SUM($U$45:$AA$45)</f>
        <v>4.8781866546056625</v>
      </c>
      <c r="AC45" s="25">
        <f>'TUSD BE'!$AC$45*'TUSD BF'!$AC$58</f>
        <v>0</v>
      </c>
      <c r="AD45" s="25">
        <f>SUM($AC$45:$AC$45)</f>
        <v>0</v>
      </c>
      <c r="AE45" s="25">
        <f ca="1">$AO$45*$AO$55</f>
        <v>0</v>
      </c>
      <c r="AF45" s="25">
        <f ca="1">$AP$45*$AP$55</f>
        <v>0</v>
      </c>
      <c r="AG45" s="25">
        <f ca="1">SUM($AE$45:$AF$45)</f>
        <v>0</v>
      </c>
      <c r="AH45" s="25">
        <f>'TUSD BE'!$AH$45*'TUSD BF'!$AH$58</f>
        <v>0.49461988061799755</v>
      </c>
      <c r="AI45" s="25">
        <f>'TUSD BE'!$AI$45*'TUSD BF'!$AI$58</f>
        <v>1.7445689795161159E-2</v>
      </c>
      <c r="AJ45" s="25">
        <f ca="1">'TUSD BE'!$AJ$45*'TUSD BF'!$AJ$58</f>
        <v>6.6368544856576325E-2</v>
      </c>
      <c r="AK45" s="25">
        <f ca="1">'TUSD BE'!$AK$45*'TUSD BF'!$AK$58</f>
        <v>0</v>
      </c>
      <c r="AL45" s="25">
        <f ca="1">SUM($AH$45:$AK$45)</f>
        <v>0.57843411526973498</v>
      </c>
      <c r="AM45" s="25">
        <f ca="1">SUMIF($L$4:$AL$4,"SUBTOTAL",$L$45:$AL$45)</f>
        <v>37.017348412526438</v>
      </c>
      <c r="AO45" s="30">
        <f ca="1">+'TUSD BE'!$T$45+'TUSD BE'!$AB$45+'TUSD BE'!$AD$45+'TUSD BE'!$AL$45</f>
        <v>1051.716772214379</v>
      </c>
      <c r="AP45" s="30">
        <f ca="1">+'TUSD BE'!$T$45+'TUSD BE'!$AB$45+'TUSD BE'!$AD$45+'TUSD BE'!$AL$45</f>
        <v>1051.716772214379</v>
      </c>
    </row>
    <row r="46" spans="1:42" ht="11.25" customHeight="1" x14ac:dyDescent="0.25">
      <c r="A46" s="119"/>
      <c r="B46" s="119"/>
      <c r="C46" s="119"/>
      <c r="D46" s="119"/>
      <c r="E46" s="119"/>
      <c r="F46" s="119"/>
      <c r="G46" s="21" t="s">
        <v>91</v>
      </c>
      <c r="H46" s="21" t="s">
        <v>80</v>
      </c>
      <c r="I46" s="21">
        <f>'MERCADO TUSD'!$U$43</f>
        <v>51.646000000000001</v>
      </c>
      <c r="J46" s="17"/>
      <c r="L46" s="25">
        <f>'TUSD BE'!$L$46*'TUSD BF'!$L$58</f>
        <v>0.4538004435071441</v>
      </c>
      <c r="M46" s="25">
        <f>'TUSD BE'!$M$46*'TUSD BF'!$M$58</f>
        <v>0</v>
      </c>
      <c r="N46" s="25">
        <f ca="1">'TUSD BE'!$N$46*'TUSD BF'!$N$58</f>
        <v>0</v>
      </c>
      <c r="O46" s="25">
        <f>'TUSD BE'!$O$46*'TUSD BF'!$O$58</f>
        <v>0</v>
      </c>
      <c r="P46" s="25">
        <f>'TUSD BE'!$P$46*'TUSD BF'!$P$58</f>
        <v>0</v>
      </c>
      <c r="Q46" s="25">
        <f>'TUSD BE'!$Q$46*'TUSD BF'!$Q$58</f>
        <v>26.122640787323864</v>
      </c>
      <c r="R46" s="25">
        <f>'TUSD BE'!$R$46*'TUSD BF'!$R$58</f>
        <v>4.9842864118200305</v>
      </c>
      <c r="S46" s="25">
        <f>'TUSD BE'!$R$46*'TUSD BF'!$S$58</f>
        <v>0</v>
      </c>
      <c r="T46" s="25">
        <f ca="1">SUM($L$46:$S$46)</f>
        <v>31.560727642651038</v>
      </c>
      <c r="U46" s="25">
        <f>'TUSD BE'!$U$46*'TUSD BF'!$U$58</f>
        <v>2.585795343658547</v>
      </c>
      <c r="V46" s="25">
        <f>'TUSD BE'!$V$46*'TUSD BF'!$V$58</f>
        <v>0.34111653947485748</v>
      </c>
      <c r="W46" s="25">
        <f>'TUSD BE'!$W$46*'TUSD BF'!$W$58</f>
        <v>0</v>
      </c>
      <c r="X46" s="25">
        <f>'TUSD BE'!$X$46*'TUSD BF'!$X$58</f>
        <v>0</v>
      </c>
      <c r="Y46" s="25">
        <f>'TUSD BE'!$Y$46*'TUSD BF'!$Y$58</f>
        <v>0</v>
      </c>
      <c r="Z46" s="25">
        <f>'TUSD BE'!$Z$46*'TUSD BF'!$Z$58</f>
        <v>0</v>
      </c>
      <c r="AA46" s="25">
        <f>'TUSD BE'!$AA$46*'TUSD BF'!$AA$58</f>
        <v>0</v>
      </c>
      <c r="AB46" s="25">
        <f>SUM($U$46:$AA$46)</f>
        <v>2.9269118831334047</v>
      </c>
      <c r="AC46" s="25">
        <f>'TUSD BE'!$AC$46*'TUSD BF'!$AC$58</f>
        <v>0</v>
      </c>
      <c r="AD46" s="25">
        <f>SUM($AC$46:$AC$46)</f>
        <v>0</v>
      </c>
      <c r="AE46" s="25">
        <f ca="1">$AO$46*$AO$55</f>
        <v>0</v>
      </c>
      <c r="AF46" s="25">
        <f ca="1">$AP$46*$AP$55</f>
        <v>0</v>
      </c>
      <c r="AG46" s="25">
        <f ca="1">SUM($AE$46:$AF$46)</f>
        <v>0</v>
      </c>
      <c r="AH46" s="25">
        <f>'TUSD BE'!$AH$46*'TUSD BF'!$AH$58</f>
        <v>0.49461988061799755</v>
      </c>
      <c r="AI46" s="25">
        <f>'TUSD BE'!$AI$46*'TUSD BF'!$AI$58</f>
        <v>1.7445689795161159E-2</v>
      </c>
      <c r="AJ46" s="25">
        <f ca="1">'TUSD BE'!$AJ$46*'TUSD BF'!$AJ$58</f>
        <v>6.6368544856576325E-2</v>
      </c>
      <c r="AK46" s="25">
        <f ca="1">'TUSD BE'!$AK$46*'TUSD BF'!$AK$58</f>
        <v>0</v>
      </c>
      <c r="AL46" s="25">
        <f ca="1">SUM($AH$46:$AK$46)</f>
        <v>0.57843411526973498</v>
      </c>
      <c r="AM46" s="25">
        <f ca="1">SUMIF($L$4:$AL$4,"SUBTOTAL",$L$46:$AL$46)</f>
        <v>35.066073641054182</v>
      </c>
      <c r="AO46" s="30">
        <f ca="1">+'TUSD BE'!$T$46+'TUSD BE'!$AB$46+'TUSD BE'!$AD$46+'TUSD BE'!$AL$46</f>
        <v>692.82064277193524</v>
      </c>
      <c r="AP46" s="30">
        <f ca="1">+'TUSD BE'!$T$46+'TUSD BE'!$AB$46+'TUSD BE'!$AD$46+'TUSD BE'!$AL$46</f>
        <v>692.82064277193524</v>
      </c>
    </row>
    <row r="47" spans="1:42" ht="11.25" customHeight="1" x14ac:dyDescent="0.25">
      <c r="A47" s="119"/>
      <c r="B47" s="119"/>
      <c r="C47" s="119"/>
      <c r="D47" s="119"/>
      <c r="E47" s="119"/>
      <c r="F47" s="119"/>
      <c r="G47" s="21" t="s">
        <v>82</v>
      </c>
      <c r="H47" s="21" t="s">
        <v>80</v>
      </c>
      <c r="I47" s="21">
        <f>'MERCADO TUSD'!$U$44</f>
        <v>982.72000000000014</v>
      </c>
      <c r="J47" s="17"/>
      <c r="L47" s="25">
        <f>'TUSD BE'!$L$47*'TUSD BF'!$L$58</f>
        <v>0.4538004435071441</v>
      </c>
      <c r="M47" s="25">
        <f>'TUSD BE'!$M$47*'TUSD BF'!$M$58</f>
        <v>0</v>
      </c>
      <c r="N47" s="25">
        <f ca="1">'TUSD BE'!$N$47*'TUSD BF'!$N$58</f>
        <v>0</v>
      </c>
      <c r="O47" s="25">
        <f>'TUSD BE'!$O$47*'TUSD BF'!$O$58</f>
        <v>0</v>
      </c>
      <c r="P47" s="25">
        <f>'TUSD BE'!$P$47*'TUSD BF'!$P$58</f>
        <v>0</v>
      </c>
      <c r="Q47" s="25">
        <f>'TUSD BE'!$Q$47*'TUSD BF'!$Q$58</f>
        <v>26.122640787323864</v>
      </c>
      <c r="R47" s="25">
        <f>'TUSD BE'!$R$47*'TUSD BF'!$R$58</f>
        <v>4.9842864118200305</v>
      </c>
      <c r="S47" s="25">
        <f>'TUSD BE'!$R$47*'TUSD BF'!$S$58</f>
        <v>0</v>
      </c>
      <c r="T47" s="25">
        <f ca="1">SUM($L$47:$S$47)</f>
        <v>31.560727642651038</v>
      </c>
      <c r="U47" s="25">
        <f>'TUSD BE'!$U$47*'TUSD BF'!$U$58</f>
        <v>0.86192984668082018</v>
      </c>
      <c r="V47" s="25">
        <f>'TUSD BE'!$V$47*'TUSD BF'!$V$58</f>
        <v>0.11370726498032596</v>
      </c>
      <c r="W47" s="25">
        <f>'TUSD BE'!$W$47*'TUSD BF'!$W$58</f>
        <v>0</v>
      </c>
      <c r="X47" s="25">
        <f>'TUSD BE'!$X$47*'TUSD BF'!$X$58</f>
        <v>0</v>
      </c>
      <c r="Y47" s="25">
        <f>'TUSD BE'!$Y$47*'TUSD BF'!$Y$58</f>
        <v>0</v>
      </c>
      <c r="Z47" s="25">
        <f>'TUSD BE'!$Z$47*'TUSD BF'!$Z$58</f>
        <v>0</v>
      </c>
      <c r="AA47" s="25">
        <f>'TUSD BE'!$AA$47*'TUSD BF'!$AA$58</f>
        <v>0</v>
      </c>
      <c r="AB47" s="25">
        <f>SUM($U$47:$AA$47)</f>
        <v>0.97563711166114619</v>
      </c>
      <c r="AC47" s="25">
        <f>'TUSD BE'!$AC$47*'TUSD BF'!$AC$58</f>
        <v>0</v>
      </c>
      <c r="AD47" s="25">
        <f>SUM($AC$47:$AC$47)</f>
        <v>0</v>
      </c>
      <c r="AE47" s="25">
        <f ca="1">$AO$47*$AO$55</f>
        <v>0</v>
      </c>
      <c r="AF47" s="25">
        <f ca="1">$AP$47*$AP$55</f>
        <v>0</v>
      </c>
      <c r="AG47" s="25">
        <f ca="1">SUM($AE$47:$AF$47)</f>
        <v>0</v>
      </c>
      <c r="AH47" s="25">
        <f>'TUSD BE'!$AH$47*'TUSD BF'!$AH$58</f>
        <v>0.49461988061799755</v>
      </c>
      <c r="AI47" s="25">
        <f>'TUSD BE'!$AI$47*'TUSD BF'!$AI$58</f>
        <v>1.7445689795161159E-2</v>
      </c>
      <c r="AJ47" s="25">
        <f ca="1">'TUSD BE'!$AJ$47*'TUSD BF'!$AJ$58</f>
        <v>6.6368544856576325E-2</v>
      </c>
      <c r="AK47" s="25">
        <f ca="1">'TUSD BE'!$AK$47*'TUSD BF'!$AK$58</f>
        <v>0</v>
      </c>
      <c r="AL47" s="25">
        <f ca="1">SUM($AH$47:$AK$47)</f>
        <v>0.57843411526973498</v>
      </c>
      <c r="AM47" s="25">
        <f ca="1">SUMIF($L$4:$AL$4,"SUBTOTAL",$L$47:$AL$47)</f>
        <v>33.114798869581918</v>
      </c>
      <c r="AO47" s="30">
        <f ca="1">+'TUSD BE'!$T$47+'TUSD BE'!$AB$47+'TUSD BE'!$AD$47+'TUSD BE'!$AL$47</f>
        <v>333.92462976198073</v>
      </c>
      <c r="AP47" s="30">
        <f ca="1">+'TUSD BE'!$T$47+'TUSD BE'!$AB$47+'TUSD BE'!$AD$47+'TUSD BE'!$AL$47</f>
        <v>333.92462976198073</v>
      </c>
    </row>
    <row r="48" spans="1:42" ht="11.25" customHeight="1" x14ac:dyDescent="0.25">
      <c r="A48" s="119"/>
      <c r="B48" s="28" t="s">
        <v>23</v>
      </c>
      <c r="C48" s="28" t="s">
        <v>25</v>
      </c>
      <c r="D48" s="28" t="s">
        <v>25</v>
      </c>
      <c r="E48" s="28" t="s">
        <v>25</v>
      </c>
      <c r="F48" s="28" t="s">
        <v>25</v>
      </c>
      <c r="G48" s="21" t="s">
        <v>86</v>
      </c>
      <c r="H48" s="21" t="s">
        <v>80</v>
      </c>
      <c r="I48" s="21">
        <f>'MERCADO TUSD'!$U$45</f>
        <v>86690.115999999995</v>
      </c>
      <c r="J48" s="17"/>
      <c r="L48" s="25">
        <f>'TUSD BE'!$L$48*'TUSD BF'!$L$58</f>
        <v>0.4538004435071441</v>
      </c>
      <c r="M48" s="25">
        <f>'TUSD BE'!$M$48*'TUSD BF'!$M$58</f>
        <v>0</v>
      </c>
      <c r="N48" s="25">
        <f ca="1">'TUSD BE'!$N$48*'TUSD BF'!$N$58</f>
        <v>0</v>
      </c>
      <c r="O48" s="25">
        <f>'TUSD BE'!$O$48*'TUSD BF'!$O$58</f>
        <v>0</v>
      </c>
      <c r="P48" s="25">
        <f>'TUSD BE'!$P$48*'TUSD BF'!$P$58</f>
        <v>0</v>
      </c>
      <c r="Q48" s="25">
        <f>'TUSD BE'!$Q$48*'TUSD BF'!$Q$58</f>
        <v>26.122640787323864</v>
      </c>
      <c r="R48" s="25">
        <f>'TUSD BE'!$R$48*'TUSD BF'!$R$58</f>
        <v>4.9842864118200305</v>
      </c>
      <c r="S48" s="25">
        <f>'TUSD BE'!$R$48*'TUSD BF'!$S$58</f>
        <v>0</v>
      </c>
      <c r="T48" s="25">
        <f ca="1">SUM($L$48:$S$48)</f>
        <v>31.560727642651038</v>
      </c>
      <c r="U48" s="25">
        <f>'TUSD BE'!$U$48*'TUSD BF'!$U$58</f>
        <v>1.2139888057111732</v>
      </c>
      <c r="V48" s="25">
        <f>'TUSD BE'!$V$48*'TUSD BF'!$V$58</f>
        <v>0.1601498190860359</v>
      </c>
      <c r="W48" s="25">
        <f>'TUSD BE'!$W$48*'TUSD BF'!$W$58</f>
        <v>0</v>
      </c>
      <c r="X48" s="25">
        <f>'TUSD BE'!$X$48*'TUSD BF'!$X$58</f>
        <v>0</v>
      </c>
      <c r="Y48" s="25">
        <f>'TUSD BE'!$Y$48*'TUSD BF'!$Y$58</f>
        <v>0</v>
      </c>
      <c r="Z48" s="25">
        <f>'TUSD BE'!$Z$48*'TUSD BF'!$Z$58</f>
        <v>0</v>
      </c>
      <c r="AA48" s="25">
        <f>'TUSD BE'!$AA$48*'TUSD BF'!$AA$58</f>
        <v>0</v>
      </c>
      <c r="AB48" s="25">
        <f>SUM($U$48:$AA$48)</f>
        <v>1.3741386247972092</v>
      </c>
      <c r="AC48" s="25">
        <f>'TUSD BE'!$AC$48*'TUSD BF'!$AC$58</f>
        <v>0</v>
      </c>
      <c r="AD48" s="25">
        <f>SUM($AC$48:$AC$48)</f>
        <v>0</v>
      </c>
      <c r="AE48" s="25">
        <f ca="1">$AO$48*$AO$55</f>
        <v>0</v>
      </c>
      <c r="AF48" s="25">
        <f ca="1">$AP$48*$AP$55</f>
        <v>0</v>
      </c>
      <c r="AG48" s="25">
        <f ca="1">SUM($AE$48:$AF$48)</f>
        <v>0</v>
      </c>
      <c r="AH48" s="25">
        <f>'TUSD BE'!$AH$48*'TUSD BF'!$AH$58</f>
        <v>0.49461988061799755</v>
      </c>
      <c r="AI48" s="25">
        <f>'TUSD BE'!$AI$48*'TUSD BF'!$AI$58</f>
        <v>1.7445689795161159E-2</v>
      </c>
      <c r="AJ48" s="25">
        <f ca="1">'TUSD BE'!$AJ$48*'TUSD BF'!$AJ$58</f>
        <v>6.6368544856576325E-2</v>
      </c>
      <c r="AK48" s="25">
        <f ca="1">'TUSD BE'!$AK$48*'TUSD BF'!$AK$58</f>
        <v>0</v>
      </c>
      <c r="AL48" s="25">
        <f ca="1">SUM($AH$48:$AK$48)</f>
        <v>0.57843411526973498</v>
      </c>
      <c r="AM48" s="25">
        <f ca="1">SUMIF($L$4:$AL$4,"SUBTOTAL",$L$48:$AL$48)</f>
        <v>33.513300382717986</v>
      </c>
      <c r="AO48" s="30">
        <f ca="1">+'TUSD BE'!$T$48+'TUSD BE'!$AB$48+'TUSD BE'!$AD$48+'TUSD BE'!$AL$48</f>
        <v>407.22033291444632</v>
      </c>
      <c r="AP48" s="30">
        <f ca="1">+'TUSD BE'!$T$48+'TUSD BE'!$AB$48+'TUSD BE'!$AD$48+'TUSD BE'!$AL$48</f>
        <v>407.22033291444632</v>
      </c>
    </row>
    <row r="49" spans="1:42" ht="11.25" customHeight="1" x14ac:dyDescent="0.25">
      <c r="A49" s="119"/>
      <c r="B49" s="28" t="s">
        <v>94</v>
      </c>
      <c r="C49" s="28" t="s">
        <v>25</v>
      </c>
      <c r="D49" s="28" t="s">
        <v>25</v>
      </c>
      <c r="E49" s="28" t="s">
        <v>25</v>
      </c>
      <c r="F49" s="28" t="s">
        <v>25</v>
      </c>
      <c r="G49" s="21" t="s">
        <v>86</v>
      </c>
      <c r="H49" s="21" t="s">
        <v>80</v>
      </c>
      <c r="I49" s="21">
        <f>'MERCADO TUSD'!$U$46</f>
        <v>0</v>
      </c>
      <c r="J49" s="17"/>
      <c r="L49" s="25">
        <f>'TUSD BE'!$L$49*'TUSD BF'!$L$58</f>
        <v>0.4538004435071441</v>
      </c>
      <c r="M49" s="25">
        <f>'TUSD BE'!$M$49*'TUSD BF'!$M$58</f>
        <v>0</v>
      </c>
      <c r="N49" s="25">
        <f ca="1">'TUSD BE'!$N$49*'TUSD BF'!$N$58</f>
        <v>0</v>
      </c>
      <c r="O49" s="25">
        <f>'TUSD BE'!$O$49*'TUSD BF'!$O$58</f>
        <v>0</v>
      </c>
      <c r="P49" s="25">
        <f>'TUSD BE'!$P$49*'TUSD BF'!$P$58</f>
        <v>0</v>
      </c>
      <c r="Q49" s="25">
        <f>'TUSD BE'!$Q$49*'TUSD BF'!$Q$58</f>
        <v>26.122640787323864</v>
      </c>
      <c r="R49" s="25">
        <f>'TUSD BE'!$R$49*'TUSD BF'!$R$58</f>
        <v>4.9842864118200305</v>
      </c>
      <c r="S49" s="25">
        <f>'TUSD BE'!$R$49*'TUSD BF'!$S$58</f>
        <v>0</v>
      </c>
      <c r="T49" s="25">
        <f ca="1">SUM($L$49:$S$49)</f>
        <v>31.560727642651038</v>
      </c>
      <c r="U49" s="25">
        <f>'TUSD BE'!$U$49*'TUSD BF'!$U$58</f>
        <v>1.2139888057111732</v>
      </c>
      <c r="V49" s="25">
        <f>'TUSD BE'!$V$49*'TUSD BF'!$V$58</f>
        <v>0.1601498190860359</v>
      </c>
      <c r="W49" s="25">
        <f>'TUSD BE'!$W$49*'TUSD BF'!$W$58</f>
        <v>0</v>
      </c>
      <c r="X49" s="25">
        <f>'TUSD BE'!$X$49*'TUSD BF'!$X$58</f>
        <v>0</v>
      </c>
      <c r="Y49" s="25">
        <f>'TUSD BE'!$Y$49*'TUSD BF'!$Y$58</f>
        <v>0</v>
      </c>
      <c r="Z49" s="25">
        <f>'TUSD BE'!$Z$49*'TUSD BF'!$Z$58</f>
        <v>0</v>
      </c>
      <c r="AA49" s="25">
        <f>'TUSD BE'!$AA$49*'TUSD BF'!$AA$58</f>
        <v>0</v>
      </c>
      <c r="AB49" s="25">
        <f>SUM($U$49:$AA$49)</f>
        <v>1.3741386247972092</v>
      </c>
      <c r="AC49" s="25">
        <f>'TUSD BE'!$AC$49*'TUSD BF'!$AC$58</f>
        <v>0</v>
      </c>
      <c r="AD49" s="25">
        <f>SUM($AC$49:$AC$49)</f>
        <v>0</v>
      </c>
      <c r="AE49" s="25">
        <f ca="1">$AO$49*$AO$55</f>
        <v>0</v>
      </c>
      <c r="AF49" s="25">
        <f ca="1">$AP$49*$AP$55</f>
        <v>0</v>
      </c>
      <c r="AG49" s="25">
        <f ca="1">SUM($AE$49:$AF$49)</f>
        <v>0</v>
      </c>
      <c r="AH49" s="25">
        <f>'TUSD BE'!$AH$49*'TUSD BF'!$AH$58</f>
        <v>0.49461988061799755</v>
      </c>
      <c r="AI49" s="25">
        <f>'TUSD BE'!$AI$49*'TUSD BF'!$AI$58</f>
        <v>1.7445689795161159E-2</v>
      </c>
      <c r="AJ49" s="25">
        <f ca="1">'TUSD BE'!$AJ$49*'TUSD BF'!$AJ$58</f>
        <v>6.6368544856576325E-2</v>
      </c>
      <c r="AK49" s="25">
        <f ca="1">'TUSD BE'!$AK$49*'TUSD BF'!$AK$58</f>
        <v>0</v>
      </c>
      <c r="AL49" s="25">
        <f ca="1">SUM($AH$49:$AK$49)</f>
        <v>0.57843411526973498</v>
      </c>
      <c r="AM49" s="25">
        <f ca="1">SUMIF($L$4:$AL$4,"SUBTOTAL",$L$49:$AL$49)</f>
        <v>33.513300382717986</v>
      </c>
      <c r="AO49" s="30">
        <f ca="1">+'TUSD BE'!$T$49+'TUSD BE'!$AB$49+'TUSD BE'!$AD$49+'TUSD BE'!$AL$49</f>
        <v>407.22033291444632</v>
      </c>
      <c r="AP49" s="30">
        <f ca="1">+'TUSD BE'!$T$49+'TUSD BE'!$AB$49+'TUSD BE'!$AD$49+'TUSD BE'!$AL$49</f>
        <v>407.22033291444632</v>
      </c>
    </row>
    <row r="50" spans="1:42" ht="11.25" customHeight="1" x14ac:dyDescent="0.25">
      <c r="A50" s="119" t="s">
        <v>46</v>
      </c>
      <c r="B50" s="119" t="s">
        <v>23</v>
      </c>
      <c r="C50" s="119" t="s">
        <v>47</v>
      </c>
      <c r="D50" s="28" t="s">
        <v>48</v>
      </c>
      <c r="E50" s="28" t="s">
        <v>25</v>
      </c>
      <c r="F50" s="28" t="s">
        <v>25</v>
      </c>
      <c r="G50" s="21" t="s">
        <v>86</v>
      </c>
      <c r="H50" s="21" t="s">
        <v>80</v>
      </c>
      <c r="I50" s="21">
        <f>'MERCADO TUSD'!$U$47</f>
        <v>18976.334999999999</v>
      </c>
      <c r="J50" s="17"/>
      <c r="L50" s="25">
        <f>'TUSD BE'!$L$50*'TUSD BF'!$L$58</f>
        <v>0.24959024392892928</v>
      </c>
      <c r="M50" s="25">
        <f>'TUSD BE'!$M$50*'TUSD BF'!$M$58</f>
        <v>0</v>
      </c>
      <c r="N50" s="25">
        <f ca="1">'TUSD BE'!$N$50*'TUSD BF'!$N$58</f>
        <v>0</v>
      </c>
      <c r="O50" s="25">
        <f>'TUSD BE'!$O$50*'TUSD BF'!$O$58</f>
        <v>0</v>
      </c>
      <c r="P50" s="25">
        <f>'TUSD BE'!$P$50*'TUSD BF'!$P$58</f>
        <v>0</v>
      </c>
      <c r="Q50" s="25">
        <f>'TUSD BE'!$Q$50*'TUSD BF'!$Q$58</f>
        <v>14.367452433028125</v>
      </c>
      <c r="R50" s="25">
        <f>'TUSD BE'!$R$50*'TUSD BF'!$R$58</f>
        <v>2.7413575265010173</v>
      </c>
      <c r="S50" s="25">
        <f>'TUSD BE'!$R$50*'TUSD BF'!$S$58</f>
        <v>0</v>
      </c>
      <c r="T50" s="25">
        <f ca="1">SUM($L$50:$S$50)</f>
        <v>17.358400203458071</v>
      </c>
      <c r="U50" s="25">
        <f>'TUSD BE'!$U$50*'TUSD BF'!$U$58</f>
        <v>0.66769384314114533</v>
      </c>
      <c r="V50" s="25">
        <f>'TUSD BE'!$V$50*'TUSD BF'!$V$58</f>
        <v>8.8082400497319746E-2</v>
      </c>
      <c r="W50" s="25">
        <f>'TUSD BE'!$W$50*'TUSD BF'!$W$58</f>
        <v>0</v>
      </c>
      <c r="X50" s="25">
        <f>'TUSD BE'!$X$50*'TUSD BF'!$X$58</f>
        <v>0</v>
      </c>
      <c r="Y50" s="25">
        <f>'TUSD BE'!$Y$50*'TUSD BF'!$Y$58</f>
        <v>0</v>
      </c>
      <c r="Z50" s="25">
        <f>'TUSD BE'!$Z$50*'TUSD BF'!$Z$58</f>
        <v>0</v>
      </c>
      <c r="AA50" s="25">
        <f>'TUSD BE'!$AA$50*'TUSD BF'!$AA$58</f>
        <v>0</v>
      </c>
      <c r="AB50" s="25">
        <f>SUM($U$50:$AA$50)</f>
        <v>0.75577624363846507</v>
      </c>
      <c r="AC50" s="25">
        <f>'TUSD BE'!$AC$50*'TUSD BF'!$AC$58</f>
        <v>0</v>
      </c>
      <c r="AD50" s="25">
        <f>SUM($AC$50:$AC$50)</f>
        <v>0</v>
      </c>
      <c r="AE50" s="25">
        <f ca="1">$AO$50*$AO$55</f>
        <v>0</v>
      </c>
      <c r="AF50" s="25">
        <f ca="1">$AP$50*$AP$55</f>
        <v>0</v>
      </c>
      <c r="AG50" s="25">
        <f ca="1">SUM($AE$50:$AF$50)</f>
        <v>0</v>
      </c>
      <c r="AH50" s="25">
        <f>'TUSD BE'!$AH$50*'TUSD BF'!$AH$58</f>
        <v>0.27204093433989868</v>
      </c>
      <c r="AI50" s="25">
        <f>'TUSD BE'!$AI$50*'TUSD BF'!$AI$58</f>
        <v>9.5951293873386394E-3</v>
      </c>
      <c r="AJ50" s="25">
        <f ca="1">'TUSD BE'!$AJ$50*'TUSD BF'!$AJ$58</f>
        <v>3.6502699671116981E-2</v>
      </c>
      <c r="AK50" s="25">
        <f ca="1">'TUSD BE'!$AK$50*'TUSD BF'!$AK$58</f>
        <v>0</v>
      </c>
      <c r="AL50" s="25">
        <f ca="1">SUM($AH$50:$AK$50)</f>
        <v>0.31813876339835429</v>
      </c>
      <c r="AM50" s="25">
        <f ca="1">SUMIF($L$4:$AL$4,"SUBTOTAL",$L$50:$AL$50)</f>
        <v>18.432315210494892</v>
      </c>
      <c r="AO50" s="30">
        <f ca="1">+'TUSD BE'!$T$50+'TUSD BE'!$AB$50+'TUSD BE'!$AD$50+'TUSD BE'!$AL$50</f>
        <v>223.97118310294547</v>
      </c>
      <c r="AP50" s="30">
        <f ca="1">+'TUSD BE'!$T$50+'TUSD BE'!$AB$50+'TUSD BE'!$AD$50+'TUSD BE'!$AL$50</f>
        <v>223.97118310294547</v>
      </c>
    </row>
    <row r="51" spans="1:42" ht="11.25" customHeight="1" x14ac:dyDescent="0.25">
      <c r="A51" s="119"/>
      <c r="B51" s="119"/>
      <c r="C51" s="119"/>
      <c r="D51" s="21" t="s">
        <v>96</v>
      </c>
      <c r="E51" s="21" t="s">
        <v>25</v>
      </c>
      <c r="F51" s="21" t="s">
        <v>25</v>
      </c>
      <c r="G51" s="21" t="s">
        <v>86</v>
      </c>
      <c r="H51" s="21" t="s">
        <v>80</v>
      </c>
      <c r="I51" s="21">
        <f>'MERCADO TUSD'!$U$48</f>
        <v>0</v>
      </c>
      <c r="J51" s="17"/>
      <c r="L51" s="25">
        <f>'TUSD BE'!$L$51*'TUSD BF'!$L$58</f>
        <v>0.27228026610428646</v>
      </c>
      <c r="M51" s="25">
        <f>'TUSD BE'!$M$51*'TUSD BF'!$M$58</f>
        <v>0</v>
      </c>
      <c r="N51" s="25">
        <f ca="1">'TUSD BE'!$N$51*'TUSD BF'!$N$58</f>
        <v>0</v>
      </c>
      <c r="O51" s="25">
        <f>'TUSD BE'!$O$51*'TUSD BF'!$O$58</f>
        <v>0</v>
      </c>
      <c r="P51" s="25">
        <f>'TUSD BE'!$P$51*'TUSD BF'!$P$58</f>
        <v>0</v>
      </c>
      <c r="Q51" s="25">
        <f>'TUSD BE'!$Q$51*'TUSD BF'!$Q$58</f>
        <v>15.673584472394316</v>
      </c>
      <c r="R51" s="25">
        <f>'TUSD BE'!$R$51*'TUSD BF'!$R$58</f>
        <v>2.990571847092018</v>
      </c>
      <c r="S51" s="25">
        <f>'TUSD BE'!$R$51*'TUSD BF'!$S$58</f>
        <v>0</v>
      </c>
      <c r="T51" s="25">
        <f ca="1">SUM($L$51:$S$51)</f>
        <v>18.93643658559062</v>
      </c>
      <c r="U51" s="25">
        <f>'TUSD BE'!$U$51*'TUSD BF'!$U$58</f>
        <v>0.72839328342670384</v>
      </c>
      <c r="V51" s="25">
        <f>'TUSD BE'!$V$51*'TUSD BF'!$V$58</f>
        <v>9.6089891451621529E-2</v>
      </c>
      <c r="W51" s="25">
        <f>'TUSD BE'!$W$51*'TUSD BF'!$W$58</f>
        <v>0</v>
      </c>
      <c r="X51" s="25">
        <f>'TUSD BE'!$X$51*'TUSD BF'!$X$58</f>
        <v>0</v>
      </c>
      <c r="Y51" s="25">
        <f>'TUSD BE'!$Y$51*'TUSD BF'!$Y$58</f>
        <v>0</v>
      </c>
      <c r="Z51" s="25">
        <f>'TUSD BE'!$Z$51*'TUSD BF'!$Z$58</f>
        <v>0</v>
      </c>
      <c r="AA51" s="25">
        <f>'TUSD BE'!$AA$51*'TUSD BF'!$AA$58</f>
        <v>0</v>
      </c>
      <c r="AB51" s="25">
        <f>SUM($U$51:$AA$51)</f>
        <v>0.82448317487832534</v>
      </c>
      <c r="AC51" s="25">
        <f>'TUSD BE'!$AC$51*'TUSD BF'!$AC$58</f>
        <v>0</v>
      </c>
      <c r="AD51" s="25">
        <f>SUM($AC$51:$AC$51)</f>
        <v>0</v>
      </c>
      <c r="AE51" s="25">
        <f ca="1">$AO$51*$AO$55</f>
        <v>0</v>
      </c>
      <c r="AF51" s="25">
        <f ca="1">$AP$51*$AP$55</f>
        <v>0</v>
      </c>
      <c r="AG51" s="25">
        <f ca="1">SUM($AE$51:$AF$51)</f>
        <v>0</v>
      </c>
      <c r="AH51" s="25">
        <f>'TUSD BE'!$AH$51*'TUSD BF'!$AH$58</f>
        <v>0.29677192837079847</v>
      </c>
      <c r="AI51" s="25">
        <f>'TUSD BE'!$AI$51*'TUSD BF'!$AI$58</f>
        <v>1.0467413877096694E-2</v>
      </c>
      <c r="AJ51" s="25">
        <f ca="1">'TUSD BE'!$AJ$51*'TUSD BF'!$AJ$58</f>
        <v>3.9821126913945799E-2</v>
      </c>
      <c r="AK51" s="25">
        <f ca="1">'TUSD BE'!$AK$51*'TUSD BF'!$AK$58</f>
        <v>0</v>
      </c>
      <c r="AL51" s="25">
        <f ca="1">SUM($AH$51:$AK$51)</f>
        <v>0.34706046916184097</v>
      </c>
      <c r="AM51" s="25">
        <f ca="1">SUMIF($L$4:$AL$4,"SUBTOTAL",$L$51:$AL$51)</f>
        <v>20.107980229630787</v>
      </c>
      <c r="AO51" s="30">
        <f ca="1">+'TUSD BE'!$T$51+'TUSD BE'!$AB$51+'TUSD BE'!$AD$51+'TUSD BE'!$AL$51</f>
        <v>244.33219974866776</v>
      </c>
      <c r="AP51" s="30">
        <f ca="1">+'TUSD BE'!$T$51+'TUSD BE'!$AB$51+'TUSD BE'!$AD$51+'TUSD BE'!$AL$51</f>
        <v>244.33219974866776</v>
      </c>
    </row>
    <row r="53" spans="1:42" ht="11.25" customHeight="1" x14ac:dyDescent="0.25">
      <c r="K53" s="27" t="s">
        <v>754</v>
      </c>
      <c r="L53" s="25">
        <f>SUMPRODUCT($I$5:$I51,$L$5:$L51)</f>
        <v>238543.9363143408</v>
      </c>
      <c r="M53" s="25">
        <f>SUMPRODUCT($I$5:$I51,$M$5:$M51)</f>
        <v>0</v>
      </c>
      <c r="N53" s="25">
        <f ca="1">SUMPRODUCT($I$5:$I51,$N$5:$N51)</f>
        <v>0</v>
      </c>
      <c r="O53" s="25">
        <f>SUMPRODUCT($I$5:$I51,$O$5:$O51)</f>
        <v>0</v>
      </c>
      <c r="P53" s="25">
        <f>SUMPRODUCT($I$5:$I51,$P$5:$P51)</f>
        <v>0</v>
      </c>
      <c r="Q53" s="25">
        <f>SUMPRODUCT($I$5:$I51,$Q$5:$Q51)</f>
        <v>13731581.0275</v>
      </c>
      <c r="R53" s="25">
        <f>SUMPRODUCT($I$5:$I51,$R$5:$R51)</f>
        <v>2732711.7645999999</v>
      </c>
      <c r="S53" s="25">
        <f>SUMPRODUCT($I$5:$I51,$S$5:$S51)</f>
        <v>0</v>
      </c>
      <c r="T53" s="25">
        <f ca="1">SUMPRODUCT($I$5:$I51,$T$5:$T51)</f>
        <v>16702836.728414338</v>
      </c>
      <c r="U53" s="25">
        <f>SUMPRODUCT($I$5:$I51,$U$5:$U51)</f>
        <v>646049.07174960163</v>
      </c>
      <c r="V53" s="25">
        <f>SUMPRODUCT($I$5:$I51,$V$5:$V51)</f>
        <v>85163.4106363889</v>
      </c>
      <c r="W53" s="25">
        <f>SUMPRODUCT($I$5:$I51,$W$5:$W51)</f>
        <v>0</v>
      </c>
      <c r="X53" s="25">
        <f>SUMPRODUCT($I$5:$I51,$X$5:$X51)</f>
        <v>0</v>
      </c>
      <c r="Y53" s="25">
        <f>SUMPRODUCT($I$5:$I51,$Y$5:$Y51)</f>
        <v>0</v>
      </c>
      <c r="Z53" s="25">
        <f>SUMPRODUCT($I$5:$I51,$Z$5:$Z51)</f>
        <v>0</v>
      </c>
      <c r="AA53" s="25">
        <f>SUMPRODUCT($I$5:$I51,$AA$5:$AA51)</f>
        <v>0</v>
      </c>
      <c r="AB53" s="25">
        <f>SUMPRODUCT($I$5:$I51,$AB$5:$AB51)</f>
        <v>731212.48238599068</v>
      </c>
      <c r="AC53" s="25">
        <f>SUMPRODUCT($I$5:$I51,$AC$5:$AC51)</f>
        <v>0</v>
      </c>
      <c r="AD53" s="25">
        <f>SUMPRODUCT($I$5:$I51,$AD$5:$AD51)</f>
        <v>0</v>
      </c>
      <c r="AE53" s="25">
        <f ca="1">SUMPRODUCT($I$5:$I51,$AE$5:$AE51)</f>
        <v>0</v>
      </c>
      <c r="AF53" s="25">
        <f ca="1">SUMPRODUCT($I$5:$I51,$AF$5:$AF51)</f>
        <v>0</v>
      </c>
      <c r="AG53" s="25">
        <f ca="1">SUMPRODUCT($I$5:$I51,$AG$5:$AG51)</f>
        <v>0</v>
      </c>
      <c r="AH53" s="25">
        <f>SUMPRODUCT($I$5:$I51,$AH$5:$AH51)</f>
        <v>248868.76279945002</v>
      </c>
      <c r="AI53" s="25">
        <f>SUMPRODUCT($I$5:$I51,$AI$5:$AI51)</f>
        <v>8777.7535060455211</v>
      </c>
      <c r="AJ53" s="25">
        <f ca="1">SUMPRODUCT($I$5:$I51,$AJ$5:$AJ51)</f>
        <v>35516.895073105858</v>
      </c>
      <c r="AK53" s="25">
        <f ca="1">SUMPRODUCT($I$5:$I51,$AK$5:$AK51)</f>
        <v>0</v>
      </c>
      <c r="AL53" s="25">
        <f ca="1">SUMPRODUCT($I$5:$I51,$AL$5:$AL51)</f>
        <v>293163.41137860133</v>
      </c>
      <c r="AM53" s="25">
        <f ca="1">SUMPRODUCT($I$5:$I51,$AM$5:$AM51)</f>
        <v>17727212.622178931</v>
      </c>
      <c r="AO53" s="21">
        <f ca="1">SUMPRODUCT($I$5:$I51,$AO$5:$AO51)</f>
        <v>214221929.52582523</v>
      </c>
      <c r="AP53" s="21">
        <f ca="1">SUMPRODUCT($I$5:$I51,$AP$5:$AP51)</f>
        <v>214221929.52582523</v>
      </c>
    </row>
    <row r="54" spans="1:42" ht="11.25" customHeight="1" x14ac:dyDescent="0.25">
      <c r="K54" s="27" t="s">
        <v>686</v>
      </c>
      <c r="L54" s="25">
        <f>'TR TUSD'!$L$56</f>
        <v>3468806.8800173793</v>
      </c>
      <c r="M54" s="25">
        <f>'TR TUSD'!$M$56</f>
        <v>386710.27876951877</v>
      </c>
      <c r="N54" s="25">
        <f>'TR TUSD'!$N$56</f>
        <v>1611276.9310492913</v>
      </c>
      <c r="O54" s="25">
        <f>'TR TUSD'!$O$56</f>
        <v>0</v>
      </c>
      <c r="P54" s="25">
        <f>'TR TUSD'!$P$56</f>
        <v>0</v>
      </c>
      <c r="Q54" s="25">
        <f>'TR TUSD'!$Q$56</f>
        <v>49513626.114528321</v>
      </c>
      <c r="R54" s="25">
        <f>'TR TUSD'!$R$56</f>
        <v>8169895.7713834094</v>
      </c>
      <c r="S54" s="25">
        <f>'TR TUSD'!$S$56</f>
        <v>0</v>
      </c>
      <c r="T54" s="25">
        <f>'TR TUSD'!$T$56</f>
        <v>63150315.975747921</v>
      </c>
      <c r="U54" s="25">
        <f>'TR TUSD'!$U$56</f>
        <v>13501545</v>
      </c>
      <c r="V54" s="25">
        <f>'TR TUSD'!$V$56</f>
        <v>1779799.1999999997</v>
      </c>
      <c r="W54" s="25">
        <f>'TR TUSD'!$W$56</f>
        <v>590407.98278087098</v>
      </c>
      <c r="X54" s="25">
        <f>'TR TUSD'!$X$56</f>
        <v>0</v>
      </c>
      <c r="Y54" s="25">
        <f>'TR TUSD'!$Y$56</f>
        <v>22524332.473099999</v>
      </c>
      <c r="Z54" s="25">
        <f>'TR TUSD'!$Z$56</f>
        <v>0</v>
      </c>
      <c r="AA54" s="25">
        <f>'TR TUSD'!$AA$56</f>
        <v>0</v>
      </c>
      <c r="AB54" s="25">
        <f>'TR TUSD'!$AB$56</f>
        <v>38396084.655880868</v>
      </c>
      <c r="AC54" s="25">
        <f>'TR TUSD'!$AC$56</f>
        <v>94940059.683411762</v>
      </c>
      <c r="AD54" s="25">
        <f>'TR TUSD'!$AD$56</f>
        <v>94940059.683411762</v>
      </c>
      <c r="AE54" s="25">
        <f>'TR TUSD'!$AE$56</f>
        <v>0</v>
      </c>
      <c r="AF54" s="25">
        <f>'TR TUSD'!$AF$56</f>
        <v>0</v>
      </c>
      <c r="AG54" s="25">
        <f>'TR TUSD'!$AG$56</f>
        <v>0</v>
      </c>
      <c r="AH54" s="25">
        <f>'TR TUSD'!$AH$56</f>
        <v>14835318.094685547</v>
      </c>
      <c r="AI54" s="25">
        <f>'TR TUSD'!$AI$56</f>
        <v>523250.74450530589</v>
      </c>
      <c r="AJ54" s="25">
        <f>'TR TUSD'!$AJ$56</f>
        <v>2117197.9569396554</v>
      </c>
      <c r="AK54" s="25">
        <f>'TR TUSD'!$AK$56</f>
        <v>259702.41465416804</v>
      </c>
      <c r="AL54" s="25">
        <f>'TR TUSD'!$AL$56</f>
        <v>17735469.210784677</v>
      </c>
      <c r="AM54" s="25">
        <f>CUSTOS!$D$29</f>
        <v>214221929.5258252</v>
      </c>
      <c r="AO54" s="21">
        <f>$AE$56</f>
        <v>0</v>
      </c>
      <c r="AP54" s="21">
        <f>$AF$56</f>
        <v>0</v>
      </c>
    </row>
    <row r="55" spans="1:42" ht="11.25" customHeight="1" x14ac:dyDescent="0.25">
      <c r="K55" s="27" t="s">
        <v>687</v>
      </c>
      <c r="L55" s="25">
        <f>CUSTOS!$E$2</f>
        <v>61216.954029554181</v>
      </c>
      <c r="M55" s="25">
        <f>CUSTOS!$E$3</f>
        <v>-189.02293064447531</v>
      </c>
      <c r="N55" s="25">
        <f>CUSTOS!$E$4</f>
        <v>1.6924369367879528</v>
      </c>
      <c r="O55" s="25">
        <f>CUSTOS!$E$5</f>
        <v>0</v>
      </c>
      <c r="P55" s="25">
        <f>CUSTOS!$E$6</f>
        <v>0</v>
      </c>
      <c r="Q55" s="25">
        <f>CUSTOS!$E$7</f>
        <v>872697.51891916431</v>
      </c>
      <c r="R55" s="25">
        <f>CUSTOS!$E$8</f>
        <v>158922.22308649262</v>
      </c>
      <c r="S55" s="25">
        <f>CUSTOS!$E$9</f>
        <v>0</v>
      </c>
      <c r="T55" s="25">
        <f>CUSTOS!$E$10</f>
        <v>1092649.3655415033</v>
      </c>
      <c r="U55" s="25">
        <f>CUSTOS!$E$11</f>
        <v>841303.70031928609</v>
      </c>
      <c r="V55" s="25">
        <f>CUSTOS!$E$12</f>
        <v>109001.93057800652</v>
      </c>
      <c r="W55" s="25">
        <f>CUSTOS!$E$13</f>
        <v>11201.073412471691</v>
      </c>
      <c r="X55" s="25">
        <f>CUSTOS!$E$14</f>
        <v>0</v>
      </c>
      <c r="Y55" s="25">
        <f>CUSTOS!$E$15</f>
        <v>373498.95084228634</v>
      </c>
      <c r="Z55" s="25">
        <f>CUSTOS!$E$16</f>
        <v>0</v>
      </c>
      <c r="AA55" s="25">
        <f>CUSTOS!$E$17</f>
        <v>0</v>
      </c>
      <c r="AB55" s="25">
        <f>CUSTOS!$E$18</f>
        <v>1335005.6551520508</v>
      </c>
      <c r="AC55" s="25">
        <f>CUSTOS!$E$19</f>
        <v>0</v>
      </c>
      <c r="AD55" s="25">
        <f>CUSTOS!$E$20</f>
        <v>0</v>
      </c>
      <c r="AE55" s="25">
        <f>CUSTOS!$E$21</f>
        <v>-6320522.4543774305</v>
      </c>
      <c r="AF55" s="25">
        <f>CUSTOS!$E$22</f>
        <v>0</v>
      </c>
      <c r="AG55" s="25">
        <f>CUSTOS!$E$23</f>
        <v>-6320522.4543774305</v>
      </c>
      <c r="AH55" s="25">
        <f>CUSTOS!$E$24</f>
        <v>652625.67604969873</v>
      </c>
      <c r="AI55" s="25">
        <f>CUSTOS!$E$25</f>
        <v>23018.506829227623</v>
      </c>
      <c r="AJ55" s="25">
        <f>CUSTOS!$E$26</f>
        <v>93138.397111536353</v>
      </c>
      <c r="AK55" s="25">
        <f>CUSTOS!$E$27</f>
        <v>9335.0738691690512</v>
      </c>
      <c r="AL55" s="25">
        <f>CUSTOS!$E$28</f>
        <v>778117.65385963186</v>
      </c>
      <c r="AM55" s="25">
        <f>CUSTOS!$E$29</f>
        <v>-3114749.7798242448</v>
      </c>
      <c r="AO55" s="21">
        <f ca="1">IF(AO53&lt;&gt;0,AO54/AO53,0)</f>
        <v>0</v>
      </c>
      <c r="AP55" s="21">
        <f ca="1">IF(AP53&lt;&gt;0,AP54/AP53,0)</f>
        <v>0</v>
      </c>
    </row>
    <row r="56" spans="1:42" ht="11.25" customHeight="1" x14ac:dyDescent="0.25">
      <c r="K56" s="27" t="s">
        <v>688</v>
      </c>
      <c r="L56" s="25">
        <f>CUSTOS!$F$2</f>
        <v>238543.93631434083</v>
      </c>
      <c r="M56" s="25">
        <f>CUSTOS!$F$3</f>
        <v>0</v>
      </c>
      <c r="N56" s="25">
        <f>CUSTOS!$F$4</f>
        <v>0</v>
      </c>
      <c r="O56" s="25">
        <f>CUSTOS!$F$5</f>
        <v>0</v>
      </c>
      <c r="P56" s="25">
        <f>CUSTOS!$F$6</f>
        <v>0</v>
      </c>
      <c r="Q56" s="25">
        <f>CUSTOS!$F$7</f>
        <v>13731581.0275</v>
      </c>
      <c r="R56" s="25">
        <f>CUSTOS!$F$8</f>
        <v>2732711.7645999999</v>
      </c>
      <c r="S56" s="25">
        <f>CUSTOS!$F$9</f>
        <v>0</v>
      </c>
      <c r="T56" s="25">
        <f>CUSTOS!$F$10</f>
        <v>16702836.72841434</v>
      </c>
      <c r="U56" s="25">
        <f>CUSTOS!$F$11</f>
        <v>646049.07174960163</v>
      </c>
      <c r="V56" s="25">
        <f>CUSTOS!$F$12</f>
        <v>85163.410636388886</v>
      </c>
      <c r="W56" s="25">
        <f>CUSTOS!$F$13</f>
        <v>0</v>
      </c>
      <c r="X56" s="25">
        <f>CUSTOS!$F$14</f>
        <v>0</v>
      </c>
      <c r="Y56" s="25">
        <f>CUSTOS!$F$15</f>
        <v>0</v>
      </c>
      <c r="Z56" s="25">
        <f>CUSTOS!$F$16</f>
        <v>0</v>
      </c>
      <c r="AA56" s="25">
        <f>CUSTOS!$F$17</f>
        <v>0</v>
      </c>
      <c r="AB56" s="25">
        <f>CUSTOS!$F$18</f>
        <v>731212.48238599056</v>
      </c>
      <c r="AC56" s="25">
        <f>CUSTOS!$F$19</f>
        <v>0</v>
      </c>
      <c r="AD56" s="25">
        <f>CUSTOS!$F$20</f>
        <v>0</v>
      </c>
      <c r="AE56" s="25">
        <f>CUSTOS!$F$21</f>
        <v>0</v>
      </c>
      <c r="AF56" s="25">
        <f>CUSTOS!$F$22</f>
        <v>0</v>
      </c>
      <c r="AG56" s="25">
        <f>CUSTOS!$F$23</f>
        <v>0</v>
      </c>
      <c r="AH56" s="25">
        <f>CUSTOS!$F$24</f>
        <v>248868.76279945005</v>
      </c>
      <c r="AI56" s="25">
        <f>CUSTOS!$F$25</f>
        <v>8777.7535060455211</v>
      </c>
      <c r="AJ56" s="25">
        <f>CUSTOS!$F$26</f>
        <v>35516.895073105865</v>
      </c>
      <c r="AK56" s="25">
        <f>CUSTOS!$F$27</f>
        <v>0</v>
      </c>
      <c r="AL56" s="25">
        <f>CUSTOS!$F$28</f>
        <v>293163.41137860145</v>
      </c>
      <c r="AM56" s="25">
        <f>CUSTOS!$F$29</f>
        <v>17727212.622178931</v>
      </c>
    </row>
    <row r="57" spans="1:42" ht="11.25" customHeight="1" x14ac:dyDescent="0.25">
      <c r="K57" s="27" t="s">
        <v>751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  <c r="T57" s="25"/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5">
        <v>0</v>
      </c>
      <c r="AB57" s="25"/>
      <c r="AC57" s="25">
        <v>0</v>
      </c>
      <c r="AD57" s="25"/>
      <c r="AE57" s="25">
        <v>0</v>
      </c>
      <c r="AF57" s="25">
        <v>0</v>
      </c>
      <c r="AG57" s="25"/>
      <c r="AH57" s="25">
        <v>0</v>
      </c>
      <c r="AI57" s="25">
        <v>0</v>
      </c>
      <c r="AJ57" s="25">
        <v>0</v>
      </c>
      <c r="AK57" s="25">
        <v>0</v>
      </c>
      <c r="AL57" s="25"/>
      <c r="AM57" s="25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064" priority="55" operator="notEqual">
      <formula>$L$56</formula>
    </cfRule>
    <cfRule type="cellIs" dxfId="1063" priority="56" operator="equal">
      <formula>$L$56</formula>
    </cfRule>
  </conditionalFormatting>
  <conditionalFormatting sqref="M53">
    <cfRule type="cellIs" dxfId="1062" priority="53" operator="notEqual">
      <formula>$M$56</formula>
    </cfRule>
    <cfRule type="cellIs" dxfId="1061" priority="54" operator="equal">
      <formula>$M$56</formula>
    </cfRule>
  </conditionalFormatting>
  <conditionalFormatting sqref="N53">
    <cfRule type="cellIs" dxfId="1060" priority="51" operator="notEqual">
      <formula>$N$56</formula>
    </cfRule>
    <cfRule type="cellIs" dxfId="1059" priority="52" operator="equal">
      <formula>$N$56</formula>
    </cfRule>
  </conditionalFormatting>
  <conditionalFormatting sqref="O53">
    <cfRule type="cellIs" dxfId="1058" priority="49" operator="notEqual">
      <formula>$O$56</formula>
    </cfRule>
    <cfRule type="cellIs" dxfId="1057" priority="50" operator="equal">
      <formula>$O$56</formula>
    </cfRule>
  </conditionalFormatting>
  <conditionalFormatting sqref="P53">
    <cfRule type="cellIs" dxfId="1056" priority="47" operator="notEqual">
      <formula>$P$56</formula>
    </cfRule>
    <cfRule type="cellIs" dxfId="1055" priority="48" operator="equal">
      <formula>$P$56</formula>
    </cfRule>
  </conditionalFormatting>
  <conditionalFormatting sqref="Q53">
    <cfRule type="cellIs" dxfId="1054" priority="45" operator="notEqual">
      <formula>$Q$56</formula>
    </cfRule>
    <cfRule type="cellIs" dxfId="1053" priority="46" operator="equal">
      <formula>$Q$56</formula>
    </cfRule>
  </conditionalFormatting>
  <conditionalFormatting sqref="R53">
    <cfRule type="cellIs" dxfId="1052" priority="43" operator="notEqual">
      <formula>$R$56</formula>
    </cfRule>
    <cfRule type="cellIs" dxfId="1051" priority="44" operator="equal">
      <formula>$R$56</formula>
    </cfRule>
  </conditionalFormatting>
  <conditionalFormatting sqref="S53">
    <cfRule type="cellIs" dxfId="1050" priority="41" operator="notEqual">
      <formula>$S$56</formula>
    </cfRule>
    <cfRule type="cellIs" dxfId="1049" priority="42" operator="equal">
      <formula>$S$56</formula>
    </cfRule>
  </conditionalFormatting>
  <conditionalFormatting sqref="T53">
    <cfRule type="cellIs" dxfId="1048" priority="39" operator="notEqual">
      <formula>$T$56</formula>
    </cfRule>
    <cfRule type="cellIs" dxfId="1047" priority="40" operator="equal">
      <formula>$T$56</formula>
    </cfRule>
  </conditionalFormatting>
  <conditionalFormatting sqref="U53">
    <cfRule type="cellIs" dxfId="1046" priority="37" operator="notEqual">
      <formula>$U$56</formula>
    </cfRule>
    <cfRule type="cellIs" dxfId="1045" priority="38" operator="equal">
      <formula>$U$56</formula>
    </cfRule>
  </conditionalFormatting>
  <conditionalFormatting sqref="V53">
    <cfRule type="cellIs" dxfId="1044" priority="35" operator="notEqual">
      <formula>$V$56</formula>
    </cfRule>
    <cfRule type="cellIs" dxfId="1043" priority="36" operator="equal">
      <formula>$V$56</formula>
    </cfRule>
  </conditionalFormatting>
  <conditionalFormatting sqref="W53">
    <cfRule type="cellIs" dxfId="1042" priority="33" operator="notEqual">
      <formula>$W$56</formula>
    </cfRule>
    <cfRule type="cellIs" dxfId="1041" priority="34" operator="equal">
      <formula>$W$56</formula>
    </cfRule>
  </conditionalFormatting>
  <conditionalFormatting sqref="X53">
    <cfRule type="cellIs" dxfId="1040" priority="31" operator="notEqual">
      <formula>$X$56</formula>
    </cfRule>
    <cfRule type="cellIs" dxfId="1039" priority="32" operator="equal">
      <formula>$X$56</formula>
    </cfRule>
  </conditionalFormatting>
  <conditionalFormatting sqref="Y53">
    <cfRule type="cellIs" dxfId="1038" priority="29" operator="notEqual">
      <formula>$Y$56</formula>
    </cfRule>
    <cfRule type="cellIs" dxfId="1037" priority="30" operator="equal">
      <formula>$Y$56</formula>
    </cfRule>
  </conditionalFormatting>
  <conditionalFormatting sqref="Z53">
    <cfRule type="cellIs" dxfId="1036" priority="27" operator="notEqual">
      <formula>$Z$56</formula>
    </cfRule>
    <cfRule type="cellIs" dxfId="1035" priority="28" operator="equal">
      <formula>$Z$56</formula>
    </cfRule>
  </conditionalFormatting>
  <conditionalFormatting sqref="AA53">
    <cfRule type="cellIs" dxfId="1034" priority="25" operator="notEqual">
      <formula>$AA$56</formula>
    </cfRule>
    <cfRule type="cellIs" dxfId="1033" priority="26" operator="equal">
      <formula>$AA$56</formula>
    </cfRule>
  </conditionalFormatting>
  <conditionalFormatting sqref="AB53">
    <cfRule type="cellIs" dxfId="1032" priority="23" operator="notEqual">
      <formula>$AB$56</formula>
    </cfRule>
    <cfRule type="cellIs" dxfId="1031" priority="24" operator="equal">
      <formula>$AB$56</formula>
    </cfRule>
  </conditionalFormatting>
  <conditionalFormatting sqref="AC53">
    <cfRule type="cellIs" dxfId="1030" priority="21" operator="notEqual">
      <formula>$AC$56</formula>
    </cfRule>
    <cfRule type="cellIs" dxfId="1029" priority="22" operator="equal">
      <formula>$AC$56</formula>
    </cfRule>
  </conditionalFormatting>
  <conditionalFormatting sqref="AD53">
    <cfRule type="cellIs" dxfId="1028" priority="19" operator="notEqual">
      <formula>$AD$56</formula>
    </cfRule>
    <cfRule type="cellIs" dxfId="1027" priority="20" operator="equal">
      <formula>$AD$56</formula>
    </cfRule>
  </conditionalFormatting>
  <conditionalFormatting sqref="AE53">
    <cfRule type="cellIs" dxfId="1026" priority="17" operator="notEqual">
      <formula>$AE$56</formula>
    </cfRule>
    <cfRule type="cellIs" dxfId="1025" priority="18" operator="equal">
      <formula>$AE$56</formula>
    </cfRule>
  </conditionalFormatting>
  <conditionalFormatting sqref="AF53">
    <cfRule type="cellIs" dxfId="1024" priority="16" operator="equal">
      <formula>$AF$56</formula>
    </cfRule>
  </conditionalFormatting>
  <conditionalFormatting sqref="AF53">
    <cfRule type="cellIs" dxfId="1023" priority="15" operator="notEqual">
      <formula>$AF$56</formula>
    </cfRule>
  </conditionalFormatting>
  <conditionalFormatting sqref="AG53">
    <cfRule type="cellIs" dxfId="1022" priority="14" operator="equal">
      <formula>$AG$56</formula>
    </cfRule>
  </conditionalFormatting>
  <conditionalFormatting sqref="AG53">
    <cfRule type="cellIs" dxfId="1021" priority="13" operator="notEqual">
      <formula>$AG$56</formula>
    </cfRule>
  </conditionalFormatting>
  <conditionalFormatting sqref="AH53">
    <cfRule type="cellIs" dxfId="1020" priority="12" operator="equal">
      <formula>$AH$56</formula>
    </cfRule>
  </conditionalFormatting>
  <conditionalFormatting sqref="AH53">
    <cfRule type="cellIs" dxfId="1019" priority="11" operator="notEqual">
      <formula>$AH$56</formula>
    </cfRule>
  </conditionalFormatting>
  <conditionalFormatting sqref="AI53">
    <cfRule type="cellIs" dxfId="1018" priority="10" operator="equal">
      <formula>$AI$56</formula>
    </cfRule>
  </conditionalFormatting>
  <conditionalFormatting sqref="AI53">
    <cfRule type="cellIs" dxfId="1017" priority="9" operator="notEqual">
      <formula>$AI$56</formula>
    </cfRule>
  </conditionalFormatting>
  <conditionalFormatting sqref="AJ53">
    <cfRule type="cellIs" dxfId="1016" priority="8" operator="equal">
      <formula>$AJ$56</formula>
    </cfRule>
  </conditionalFormatting>
  <conditionalFormatting sqref="AJ53">
    <cfRule type="cellIs" dxfId="1015" priority="7" operator="notEqual">
      <formula>$AJ$56</formula>
    </cfRule>
  </conditionalFormatting>
  <conditionalFormatting sqref="AK53">
    <cfRule type="cellIs" dxfId="1014" priority="6" operator="equal">
      <formula>$AK$56</formula>
    </cfRule>
  </conditionalFormatting>
  <conditionalFormatting sqref="AK53">
    <cfRule type="cellIs" dxfId="1013" priority="5" operator="notEqual">
      <formula>$AK$56</formula>
    </cfRule>
  </conditionalFormatting>
  <conditionalFormatting sqref="AL53">
    <cfRule type="cellIs" dxfId="1012" priority="4" operator="equal">
      <formula>$AL$56</formula>
    </cfRule>
  </conditionalFormatting>
  <conditionalFormatting sqref="AL53">
    <cfRule type="cellIs" dxfId="1011" priority="3" operator="notEqual">
      <formula>$AL$56</formula>
    </cfRule>
  </conditionalFormatting>
  <conditionalFormatting sqref="AM53">
    <cfRule type="cellIs" dxfId="1010" priority="2" operator="equal">
      <formula>$AM$56</formula>
    </cfRule>
  </conditionalFormatting>
  <conditionalFormatting sqref="AM53">
    <cfRule type="cellIs" dxfId="1009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1FBED-C793-4BFA-A405-A747D79D3886}">
  <dimension ref="A1:AB49"/>
  <sheetViews>
    <sheetView showGridLines="0" topLeftCell="A28" workbookViewId="0">
      <selection activeCell="K43" sqref="K43:AB4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.85546875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29" t="s">
        <v>70</v>
      </c>
      <c r="B1" s="129" t="s">
        <v>71</v>
      </c>
      <c r="C1" s="129" t="s">
        <v>72</v>
      </c>
      <c r="D1" s="129" t="s">
        <v>73</v>
      </c>
      <c r="E1" s="129" t="s">
        <v>74</v>
      </c>
      <c r="F1" s="129" t="s">
        <v>15</v>
      </c>
      <c r="G1" s="129" t="s">
        <v>76</v>
      </c>
      <c r="H1" s="129" t="s">
        <v>77</v>
      </c>
      <c r="I1" s="129" t="s">
        <v>745</v>
      </c>
      <c r="J1" s="108"/>
      <c r="L1" s="127" t="s">
        <v>766</v>
      </c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</row>
    <row r="2" spans="1:28" ht="11.25" customHeight="1" x14ac:dyDescent="0.25">
      <c r="A2" s="129"/>
      <c r="B2" s="129"/>
      <c r="C2" s="129"/>
      <c r="D2" s="129"/>
      <c r="E2" s="129"/>
      <c r="F2" s="129"/>
      <c r="G2" s="129"/>
      <c r="H2" s="129"/>
      <c r="I2" s="129"/>
      <c r="J2" s="108"/>
      <c r="L2" s="127" t="s">
        <v>672</v>
      </c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</row>
    <row r="3" spans="1:28" ht="11.25" customHeight="1" x14ac:dyDescent="0.25">
      <c r="A3" s="129"/>
      <c r="B3" s="129"/>
      <c r="C3" s="129"/>
      <c r="D3" s="129"/>
      <c r="E3" s="129"/>
      <c r="F3" s="129"/>
      <c r="G3" s="129"/>
      <c r="H3" s="129"/>
      <c r="I3" s="129"/>
      <c r="J3" s="108"/>
      <c r="L3" s="127" t="s">
        <v>645</v>
      </c>
      <c r="M3" s="127"/>
      <c r="N3" s="127"/>
      <c r="O3" s="127"/>
      <c r="P3" s="127"/>
      <c r="Q3" s="127"/>
      <c r="R3" s="127" t="s">
        <v>676</v>
      </c>
      <c r="S3" s="127"/>
      <c r="T3" s="127" t="s">
        <v>654</v>
      </c>
      <c r="U3" s="127"/>
      <c r="V3" s="127"/>
      <c r="W3" s="127"/>
      <c r="X3" s="127" t="s">
        <v>664</v>
      </c>
      <c r="Y3" s="127"/>
      <c r="Z3" s="127" t="s">
        <v>667</v>
      </c>
      <c r="AA3" s="127"/>
      <c r="AB3" s="127" t="s">
        <v>653</v>
      </c>
    </row>
    <row r="4" spans="1:28" ht="11.25" customHeight="1" x14ac:dyDescent="0.25">
      <c r="A4" s="129"/>
      <c r="B4" s="129"/>
      <c r="C4" s="129"/>
      <c r="D4" s="129"/>
      <c r="E4" s="129"/>
      <c r="F4" s="129"/>
      <c r="G4" s="129"/>
      <c r="H4" s="129"/>
      <c r="I4" s="129"/>
      <c r="J4" s="108"/>
      <c r="L4" s="34" t="s">
        <v>647</v>
      </c>
      <c r="M4" s="34" t="s">
        <v>673</v>
      </c>
      <c r="N4" s="34" t="s">
        <v>674</v>
      </c>
      <c r="O4" s="34" t="s">
        <v>733</v>
      </c>
      <c r="P4" s="34" t="s">
        <v>675</v>
      </c>
      <c r="Q4" s="34" t="s">
        <v>653</v>
      </c>
      <c r="R4" s="34" t="s">
        <v>677</v>
      </c>
      <c r="S4" s="34" t="s">
        <v>653</v>
      </c>
      <c r="T4" s="34" t="s">
        <v>678</v>
      </c>
      <c r="U4" s="34" t="s">
        <v>679</v>
      </c>
      <c r="V4" s="34" t="s">
        <v>680</v>
      </c>
      <c r="W4" s="34" t="s">
        <v>653</v>
      </c>
      <c r="X4" s="34" t="s">
        <v>665</v>
      </c>
      <c r="Y4" s="34" t="s">
        <v>653</v>
      </c>
      <c r="Z4" s="34" t="s">
        <v>681</v>
      </c>
      <c r="AA4" s="34" t="s">
        <v>653</v>
      </c>
      <c r="AB4" s="128"/>
    </row>
    <row r="5" spans="1:28" ht="11.25" customHeight="1" x14ac:dyDescent="0.25">
      <c r="A5" s="130" t="s">
        <v>39</v>
      </c>
      <c r="B5" s="130" t="s">
        <v>79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81</v>
      </c>
      <c r="H5" s="32" t="s">
        <v>80</v>
      </c>
      <c r="I5" s="32">
        <f>'MERCADO TE'!$U$2</f>
        <v>3135.924</v>
      </c>
      <c r="J5" s="17"/>
      <c r="L5" s="30">
        <v>1</v>
      </c>
      <c r="M5" s="30">
        <v>1</v>
      </c>
      <c r="N5" s="30">
        <v>1</v>
      </c>
      <c r="O5" s="30">
        <v>1</v>
      </c>
      <c r="P5" s="30">
        <v>1</v>
      </c>
      <c r="Q5" s="30"/>
      <c r="R5" s="30">
        <v>1.72</v>
      </c>
      <c r="S5" s="30"/>
      <c r="T5" s="30">
        <v>1</v>
      </c>
      <c r="U5" s="30">
        <v>1</v>
      </c>
      <c r="V5" s="30">
        <v>1</v>
      </c>
      <c r="W5" s="30"/>
      <c r="X5" s="30"/>
      <c r="Y5" s="30"/>
      <c r="Z5" s="30">
        <v>1</v>
      </c>
      <c r="AA5" s="30"/>
      <c r="AB5" s="30"/>
    </row>
    <row r="6" spans="1:28" ht="11.25" customHeight="1" x14ac:dyDescent="0.25">
      <c r="A6" s="130"/>
      <c r="B6" s="130"/>
      <c r="C6" s="130"/>
      <c r="D6" s="130"/>
      <c r="E6" s="130"/>
      <c r="F6" s="130"/>
      <c r="G6" s="32" t="s">
        <v>82</v>
      </c>
      <c r="H6" s="32" t="s">
        <v>80</v>
      </c>
      <c r="I6" s="32">
        <f>'MERCADO TE'!$U$3</f>
        <v>56204.419000000002</v>
      </c>
      <c r="J6" s="17"/>
      <c r="L6" s="30">
        <v>1</v>
      </c>
      <c r="M6" s="30">
        <v>1</v>
      </c>
      <c r="N6" s="30">
        <v>1</v>
      </c>
      <c r="O6" s="30">
        <v>1</v>
      </c>
      <c r="P6" s="30">
        <v>1</v>
      </c>
      <c r="Q6" s="30"/>
      <c r="R6" s="30">
        <v>1</v>
      </c>
      <c r="S6" s="30"/>
      <c r="T6" s="30">
        <v>1</v>
      </c>
      <c r="U6" s="30">
        <v>1</v>
      </c>
      <c r="V6" s="30">
        <v>1</v>
      </c>
      <c r="W6" s="30"/>
      <c r="X6" s="30"/>
      <c r="Y6" s="30"/>
      <c r="Z6" s="30">
        <v>1</v>
      </c>
      <c r="AA6" s="30"/>
      <c r="AB6" s="30"/>
    </row>
    <row r="7" spans="1:28" ht="11.25" customHeight="1" x14ac:dyDescent="0.25">
      <c r="A7" s="130" t="s">
        <v>22</v>
      </c>
      <c r="B7" s="130" t="s">
        <v>79</v>
      </c>
      <c r="C7" s="130" t="s">
        <v>24</v>
      </c>
      <c r="D7" s="130" t="s">
        <v>24</v>
      </c>
      <c r="E7" s="130" t="s">
        <v>25</v>
      </c>
      <c r="F7" s="130" t="s">
        <v>25</v>
      </c>
      <c r="G7" s="32" t="s">
        <v>81</v>
      </c>
      <c r="H7" s="32" t="s">
        <v>80</v>
      </c>
      <c r="I7" s="32">
        <f>'MERCADO TE'!$U$4</f>
        <v>17.608000000000004</v>
      </c>
      <c r="J7" s="17"/>
      <c r="L7" s="30">
        <v>1</v>
      </c>
      <c r="M7" s="30">
        <v>1</v>
      </c>
      <c r="N7" s="30">
        <v>1</v>
      </c>
      <c r="O7" s="30">
        <v>1</v>
      </c>
      <c r="P7" s="30">
        <v>1</v>
      </c>
      <c r="Q7" s="30"/>
      <c r="R7" s="30">
        <v>1.72</v>
      </c>
      <c r="S7" s="30"/>
      <c r="T7" s="30">
        <v>1</v>
      </c>
      <c r="U7" s="30">
        <v>1</v>
      </c>
      <c r="V7" s="30">
        <v>1</v>
      </c>
      <c r="W7" s="30"/>
      <c r="X7" s="30"/>
      <c r="Y7" s="30"/>
      <c r="Z7" s="30">
        <v>1</v>
      </c>
      <c r="AA7" s="30"/>
      <c r="AB7" s="30"/>
    </row>
    <row r="8" spans="1:28" ht="11.25" customHeight="1" x14ac:dyDescent="0.25">
      <c r="A8" s="130"/>
      <c r="B8" s="130"/>
      <c r="C8" s="130"/>
      <c r="D8" s="130"/>
      <c r="E8" s="130"/>
      <c r="F8" s="130"/>
      <c r="G8" s="32" t="s">
        <v>91</v>
      </c>
      <c r="H8" s="32" t="s">
        <v>80</v>
      </c>
      <c r="I8" s="32">
        <f>'MERCADO TE'!$U$5</f>
        <v>7.3439999999999994</v>
      </c>
      <c r="J8" s="17"/>
      <c r="L8" s="30">
        <v>1</v>
      </c>
      <c r="M8" s="30">
        <v>1</v>
      </c>
      <c r="N8" s="30">
        <v>1</v>
      </c>
      <c r="O8" s="30">
        <v>1</v>
      </c>
      <c r="P8" s="30">
        <v>1</v>
      </c>
      <c r="Q8" s="30"/>
      <c r="R8" s="30">
        <v>1</v>
      </c>
      <c r="S8" s="30"/>
      <c r="T8" s="30">
        <v>1</v>
      </c>
      <c r="U8" s="30">
        <v>1</v>
      </c>
      <c r="V8" s="30">
        <v>1</v>
      </c>
      <c r="W8" s="30"/>
      <c r="X8" s="30"/>
      <c r="Y8" s="30"/>
      <c r="Z8" s="30">
        <v>1</v>
      </c>
      <c r="AA8" s="30"/>
      <c r="AB8" s="30"/>
    </row>
    <row r="9" spans="1:28" ht="11.25" customHeight="1" x14ac:dyDescent="0.25">
      <c r="A9" s="130"/>
      <c r="B9" s="130"/>
      <c r="C9" s="130"/>
      <c r="D9" s="130"/>
      <c r="E9" s="130"/>
      <c r="F9" s="130"/>
      <c r="G9" s="32" t="s">
        <v>82</v>
      </c>
      <c r="H9" s="32" t="s">
        <v>80</v>
      </c>
      <c r="I9" s="32">
        <f>'MERCADO TE'!$U$6</f>
        <v>120.18199999999999</v>
      </c>
      <c r="J9" s="17"/>
      <c r="L9" s="30">
        <v>1</v>
      </c>
      <c r="M9" s="30">
        <v>1</v>
      </c>
      <c r="N9" s="30">
        <v>1</v>
      </c>
      <c r="O9" s="30">
        <v>1</v>
      </c>
      <c r="P9" s="30">
        <v>1</v>
      </c>
      <c r="Q9" s="30"/>
      <c r="R9" s="30">
        <v>1</v>
      </c>
      <c r="S9" s="30"/>
      <c r="T9" s="30">
        <v>1</v>
      </c>
      <c r="U9" s="30">
        <v>1</v>
      </c>
      <c r="V9" s="30">
        <v>1</v>
      </c>
      <c r="W9" s="30"/>
      <c r="X9" s="30"/>
      <c r="Y9" s="30"/>
      <c r="Z9" s="30">
        <v>1</v>
      </c>
      <c r="AA9" s="30"/>
      <c r="AB9" s="30"/>
    </row>
    <row r="10" spans="1:28" ht="11.25" customHeight="1" x14ac:dyDescent="0.25">
      <c r="A10" s="130"/>
      <c r="B10" s="130" t="s">
        <v>92</v>
      </c>
      <c r="C10" s="130" t="s">
        <v>24</v>
      </c>
      <c r="D10" s="33" t="s">
        <v>24</v>
      </c>
      <c r="E10" s="33" t="s">
        <v>25</v>
      </c>
      <c r="F10" s="33" t="s">
        <v>25</v>
      </c>
      <c r="G10" s="32" t="s">
        <v>86</v>
      </c>
      <c r="H10" s="32" t="s">
        <v>80</v>
      </c>
      <c r="I10" s="32">
        <f>'MERCADO TE'!$U$7</f>
        <v>125132.74900000001</v>
      </c>
      <c r="J10" s="17"/>
      <c r="L10" s="30">
        <v>1</v>
      </c>
      <c r="M10" s="30">
        <v>1</v>
      </c>
      <c r="N10" s="30">
        <v>1</v>
      </c>
      <c r="O10" s="30">
        <v>1</v>
      </c>
      <c r="P10" s="30">
        <v>1</v>
      </c>
      <c r="Q10" s="30"/>
      <c r="R10" s="30">
        <v>1.06</v>
      </c>
      <c r="S10" s="30"/>
      <c r="T10" s="30">
        <v>1</v>
      </c>
      <c r="U10" s="30">
        <v>1</v>
      </c>
      <c r="V10" s="30">
        <v>1</v>
      </c>
      <c r="W10" s="30"/>
      <c r="X10" s="30"/>
      <c r="Y10" s="30"/>
      <c r="Z10" s="30">
        <v>1</v>
      </c>
      <c r="AA10" s="30"/>
      <c r="AB10" s="30"/>
    </row>
    <row r="11" spans="1:28" ht="11.25" customHeight="1" x14ac:dyDescent="0.25">
      <c r="A11" s="130"/>
      <c r="B11" s="130"/>
      <c r="C11" s="130"/>
      <c r="D11" s="33" t="s">
        <v>29</v>
      </c>
      <c r="E11" s="33" t="s">
        <v>25</v>
      </c>
      <c r="F11" s="33" t="s">
        <v>25</v>
      </c>
      <c r="G11" s="32" t="s">
        <v>86</v>
      </c>
      <c r="H11" s="32" t="s">
        <v>80</v>
      </c>
      <c r="I11" s="32">
        <f>'MERCADO TE'!$U$8</f>
        <v>4179.51</v>
      </c>
      <c r="J11" s="17"/>
      <c r="L11" s="30">
        <f>1 - CUSTOS!$M$24</f>
        <v>1</v>
      </c>
      <c r="M11" s="30">
        <f>1 - CUSTOS!$M$24</f>
        <v>1</v>
      </c>
      <c r="N11" s="30">
        <f>1 - CUSTOS!$M$24</f>
        <v>1</v>
      </c>
      <c r="O11" s="30">
        <f>1 - CUSTOS!$M$24</f>
        <v>1</v>
      </c>
      <c r="P11" s="30">
        <f>1 - CUSTOS!$M$24</f>
        <v>1</v>
      </c>
      <c r="Q11" s="30"/>
      <c r="R11" s="30">
        <f>(1 - CUSTOS!$M$24)*1.06</f>
        <v>1.06</v>
      </c>
      <c r="S11" s="30"/>
      <c r="T11" s="30">
        <f>1 - CUSTOS!$M$24</f>
        <v>1</v>
      </c>
      <c r="U11" s="30">
        <f>1 - CUSTOS!$M$24</f>
        <v>1</v>
      </c>
      <c r="V11" s="30">
        <f>1 - CUSTOS!$M$24</f>
        <v>1</v>
      </c>
      <c r="W11" s="30"/>
      <c r="X11" s="30"/>
      <c r="Y11" s="30"/>
      <c r="Z11" s="30">
        <f>1 - CUSTOS!$M$24</f>
        <v>1</v>
      </c>
      <c r="AA11" s="30"/>
      <c r="AB11" s="30"/>
    </row>
    <row r="12" spans="1:28" ht="11.25" customHeight="1" x14ac:dyDescent="0.25">
      <c r="A12" s="130"/>
      <c r="B12" s="130"/>
      <c r="C12" s="130"/>
      <c r="D12" s="33" t="s">
        <v>30</v>
      </c>
      <c r="E12" s="33" t="s">
        <v>25</v>
      </c>
      <c r="F12" s="33" t="s">
        <v>25</v>
      </c>
      <c r="G12" s="32" t="s">
        <v>86</v>
      </c>
      <c r="H12" s="32" t="s">
        <v>80</v>
      </c>
      <c r="I12" s="32">
        <f>'MERCADO TE'!$U$9</f>
        <v>8380.1260000000002</v>
      </c>
      <c r="J12" s="17"/>
      <c r="L12" s="30">
        <f>1 - CUSTOS!$M$25</f>
        <v>1</v>
      </c>
      <c r="M12" s="30">
        <f>1 - CUSTOS!$M$25</f>
        <v>1</v>
      </c>
      <c r="N12" s="30">
        <f>1 - CUSTOS!$M$25</f>
        <v>1</v>
      </c>
      <c r="O12" s="30">
        <f>1 - CUSTOS!$M$25</f>
        <v>1</v>
      </c>
      <c r="P12" s="30">
        <f>1 - CUSTOS!$M$25</f>
        <v>1</v>
      </c>
      <c r="Q12" s="30"/>
      <c r="R12" s="30">
        <f>(1 - CUSTOS!$M$25)*1.06</f>
        <v>1.06</v>
      </c>
      <c r="S12" s="30"/>
      <c r="T12" s="30">
        <f>1 - CUSTOS!$M$25</f>
        <v>1</v>
      </c>
      <c r="U12" s="30">
        <f>1 - CUSTOS!$M$25</f>
        <v>1</v>
      </c>
      <c r="V12" s="30">
        <f>1 - CUSTOS!$M$25</f>
        <v>1</v>
      </c>
      <c r="W12" s="30"/>
      <c r="X12" s="30"/>
      <c r="Y12" s="30"/>
      <c r="Z12" s="30">
        <f>1 - CUSTOS!$M$25</f>
        <v>1</v>
      </c>
      <c r="AA12" s="30"/>
      <c r="AB12" s="30"/>
    </row>
    <row r="13" spans="1:28" ht="11.25" customHeight="1" x14ac:dyDescent="0.25">
      <c r="A13" s="130"/>
      <c r="B13" s="130"/>
      <c r="C13" s="130"/>
      <c r="D13" s="33" t="s">
        <v>31</v>
      </c>
      <c r="E13" s="33" t="s">
        <v>25</v>
      </c>
      <c r="F13" s="33" t="s">
        <v>25</v>
      </c>
      <c r="G13" s="32" t="s">
        <v>86</v>
      </c>
      <c r="H13" s="32" t="s">
        <v>80</v>
      </c>
      <c r="I13" s="32">
        <f>'MERCADO TE'!$U$10</f>
        <v>6567.2470000000003</v>
      </c>
      <c r="J13" s="17"/>
      <c r="L13" s="30">
        <f>1 - CUSTOS!$M$26</f>
        <v>1</v>
      </c>
      <c r="M13" s="30">
        <f>1 - CUSTOS!$M$26</f>
        <v>1</v>
      </c>
      <c r="N13" s="30">
        <f>1 - CUSTOS!$M$26</f>
        <v>1</v>
      </c>
      <c r="O13" s="30">
        <f>1 - CUSTOS!$M$26</f>
        <v>1</v>
      </c>
      <c r="P13" s="30">
        <f>1 - CUSTOS!$M$26</f>
        <v>1</v>
      </c>
      <c r="Q13" s="30"/>
      <c r="R13" s="30">
        <f>(1 - CUSTOS!$M$26)*1.06</f>
        <v>1.06</v>
      </c>
      <c r="S13" s="30"/>
      <c r="T13" s="30">
        <f>1 - CUSTOS!$M$26</f>
        <v>1</v>
      </c>
      <c r="U13" s="30">
        <f>1 - CUSTOS!$M$26</f>
        <v>1</v>
      </c>
      <c r="V13" s="30">
        <f>1 - CUSTOS!$M$26</f>
        <v>1</v>
      </c>
      <c r="W13" s="30"/>
      <c r="X13" s="30"/>
      <c r="Y13" s="30"/>
      <c r="Z13" s="30">
        <f>1 - CUSTOS!$M$26</f>
        <v>1</v>
      </c>
      <c r="AA13" s="30"/>
      <c r="AB13" s="30"/>
    </row>
    <row r="14" spans="1:28" ht="11.25" customHeight="1" x14ac:dyDescent="0.25">
      <c r="A14" s="130"/>
      <c r="B14" s="130"/>
      <c r="C14" s="130"/>
      <c r="D14" s="33" t="s">
        <v>32</v>
      </c>
      <c r="E14" s="33" t="s">
        <v>25</v>
      </c>
      <c r="F14" s="33" t="s">
        <v>25</v>
      </c>
      <c r="G14" s="32" t="s">
        <v>86</v>
      </c>
      <c r="H14" s="32" t="s">
        <v>80</v>
      </c>
      <c r="I14" s="32">
        <f>'MERCADO TE'!$U$11</f>
        <v>1878.684</v>
      </c>
      <c r="J14" s="17"/>
      <c r="L14" s="30">
        <f>1 - CUSTOS!$M$27</f>
        <v>1</v>
      </c>
      <c r="M14" s="30">
        <f>1 - CUSTOS!$M$27</f>
        <v>1</v>
      </c>
      <c r="N14" s="30">
        <f>1 - CUSTOS!$M$27</f>
        <v>1</v>
      </c>
      <c r="O14" s="30">
        <f>1 - CUSTOS!$M$27</f>
        <v>1</v>
      </c>
      <c r="P14" s="30">
        <f>1 - CUSTOS!$M$27</f>
        <v>1</v>
      </c>
      <c r="Q14" s="30"/>
      <c r="R14" s="30">
        <f>(1 - CUSTOS!$M$27)*1.06</f>
        <v>1.06</v>
      </c>
      <c r="S14" s="30"/>
      <c r="T14" s="30">
        <f>1 - CUSTOS!$M$27</f>
        <v>1</v>
      </c>
      <c r="U14" s="30">
        <f>1 - CUSTOS!$M$27</f>
        <v>1</v>
      </c>
      <c r="V14" s="30">
        <f>1 - CUSTOS!$M$27</f>
        <v>1</v>
      </c>
      <c r="W14" s="30"/>
      <c r="X14" s="30"/>
      <c r="Y14" s="30"/>
      <c r="Z14" s="30">
        <f>1 - CUSTOS!$M$27</f>
        <v>1</v>
      </c>
      <c r="AA14" s="30"/>
      <c r="AB14" s="30"/>
    </row>
    <row r="15" spans="1:28" ht="11.25" customHeight="1" x14ac:dyDescent="0.25">
      <c r="A15" s="130"/>
      <c r="B15" s="130" t="s">
        <v>93</v>
      </c>
      <c r="C15" s="130" t="s">
        <v>24</v>
      </c>
      <c r="D15" s="33" t="s">
        <v>24</v>
      </c>
      <c r="E15" s="33" t="s">
        <v>25</v>
      </c>
      <c r="F15" s="33" t="s">
        <v>25</v>
      </c>
      <c r="G15" s="32" t="s">
        <v>86</v>
      </c>
      <c r="H15" s="32" t="s">
        <v>80</v>
      </c>
      <c r="I15" s="32">
        <f>'MERCADO TE'!$U$12</f>
        <v>0</v>
      </c>
      <c r="J15" s="17"/>
      <c r="L15" s="30">
        <v>1</v>
      </c>
      <c r="M15" s="30">
        <v>1</v>
      </c>
      <c r="N15" s="30">
        <v>1</v>
      </c>
      <c r="O15" s="30">
        <v>1</v>
      </c>
      <c r="P15" s="30">
        <v>1</v>
      </c>
      <c r="Q15" s="30"/>
      <c r="R15" s="30">
        <v>1.06</v>
      </c>
      <c r="S15" s="30"/>
      <c r="T15" s="30">
        <v>1</v>
      </c>
      <c r="U15" s="30">
        <v>1</v>
      </c>
      <c r="V15" s="30">
        <v>1</v>
      </c>
      <c r="W15" s="30"/>
      <c r="X15" s="30"/>
      <c r="Y15" s="30"/>
      <c r="Z15" s="30">
        <v>1</v>
      </c>
      <c r="AA15" s="30"/>
      <c r="AB15" s="30"/>
    </row>
    <row r="16" spans="1:28" ht="11.25" customHeight="1" x14ac:dyDescent="0.25">
      <c r="A16" s="130"/>
      <c r="B16" s="130"/>
      <c r="C16" s="130"/>
      <c r="D16" s="33" t="s">
        <v>29</v>
      </c>
      <c r="E16" s="33" t="s">
        <v>25</v>
      </c>
      <c r="F16" s="33" t="s">
        <v>25</v>
      </c>
      <c r="G16" s="32" t="s">
        <v>86</v>
      </c>
      <c r="H16" s="32" t="s">
        <v>80</v>
      </c>
      <c r="I16" s="32">
        <f>'MERCADO TE'!$U$13</f>
        <v>0</v>
      </c>
      <c r="J16" s="17"/>
      <c r="L16" s="30">
        <f>1 - CUSTOS!$M$24</f>
        <v>1</v>
      </c>
      <c r="M16" s="30">
        <f>1 - CUSTOS!$M$24</f>
        <v>1</v>
      </c>
      <c r="N16" s="30">
        <f>1 - CUSTOS!$M$24</f>
        <v>1</v>
      </c>
      <c r="O16" s="30">
        <f>1 - CUSTOS!$M$24</f>
        <v>1</v>
      </c>
      <c r="P16" s="30">
        <f>1 - CUSTOS!$M$24</f>
        <v>1</v>
      </c>
      <c r="Q16" s="30"/>
      <c r="R16" s="30">
        <f>(1 - CUSTOS!$M$24)*1.06</f>
        <v>1.06</v>
      </c>
      <c r="S16" s="30"/>
      <c r="T16" s="30">
        <f>1 - CUSTOS!$M$24</f>
        <v>1</v>
      </c>
      <c r="U16" s="30">
        <f>1 - CUSTOS!$M$24</f>
        <v>1</v>
      </c>
      <c r="V16" s="30">
        <f>1 - CUSTOS!$M$24</f>
        <v>1</v>
      </c>
      <c r="W16" s="30"/>
      <c r="X16" s="30"/>
      <c r="Y16" s="30"/>
      <c r="Z16" s="30">
        <f>1 - CUSTOS!$M$24</f>
        <v>1</v>
      </c>
      <c r="AA16" s="30"/>
      <c r="AB16" s="30"/>
    </row>
    <row r="17" spans="1:28" ht="11.25" customHeight="1" x14ac:dyDescent="0.25">
      <c r="A17" s="130"/>
      <c r="B17" s="130"/>
      <c r="C17" s="130"/>
      <c r="D17" s="33" t="s">
        <v>30</v>
      </c>
      <c r="E17" s="33" t="s">
        <v>25</v>
      </c>
      <c r="F17" s="33" t="s">
        <v>25</v>
      </c>
      <c r="G17" s="32" t="s">
        <v>86</v>
      </c>
      <c r="H17" s="32" t="s">
        <v>80</v>
      </c>
      <c r="I17" s="32">
        <f>'MERCADO TE'!$U$14</f>
        <v>0</v>
      </c>
      <c r="J17" s="17"/>
      <c r="L17" s="30">
        <f>1 - CUSTOS!$M$25</f>
        <v>1</v>
      </c>
      <c r="M17" s="30">
        <f>1 - CUSTOS!$M$25</f>
        <v>1</v>
      </c>
      <c r="N17" s="30">
        <f>1 - CUSTOS!$M$25</f>
        <v>1</v>
      </c>
      <c r="O17" s="30">
        <f>1 - CUSTOS!$M$25</f>
        <v>1</v>
      </c>
      <c r="P17" s="30">
        <f>1 - CUSTOS!$M$25</f>
        <v>1</v>
      </c>
      <c r="Q17" s="30"/>
      <c r="R17" s="30">
        <f>(1 - CUSTOS!$M$25)*1.06</f>
        <v>1.06</v>
      </c>
      <c r="S17" s="30"/>
      <c r="T17" s="30">
        <f>1 - CUSTOS!$M$25</f>
        <v>1</v>
      </c>
      <c r="U17" s="30">
        <f>1 - CUSTOS!$M$25</f>
        <v>1</v>
      </c>
      <c r="V17" s="30">
        <f>1 - CUSTOS!$M$25</f>
        <v>1</v>
      </c>
      <c r="W17" s="30"/>
      <c r="X17" s="30"/>
      <c r="Y17" s="30"/>
      <c r="Z17" s="30">
        <f>1 - CUSTOS!$M$25</f>
        <v>1</v>
      </c>
      <c r="AA17" s="30"/>
      <c r="AB17" s="30"/>
    </row>
    <row r="18" spans="1:28" ht="11.25" customHeight="1" x14ac:dyDescent="0.25">
      <c r="A18" s="130"/>
      <c r="B18" s="130"/>
      <c r="C18" s="130"/>
      <c r="D18" s="33" t="s">
        <v>31</v>
      </c>
      <c r="E18" s="33" t="s">
        <v>25</v>
      </c>
      <c r="F18" s="33" t="s">
        <v>25</v>
      </c>
      <c r="G18" s="32" t="s">
        <v>86</v>
      </c>
      <c r="H18" s="32" t="s">
        <v>80</v>
      </c>
      <c r="I18" s="32">
        <f>'MERCADO TE'!$U$15</f>
        <v>0</v>
      </c>
      <c r="J18" s="17"/>
      <c r="L18" s="30">
        <f>1 - CUSTOS!$M$26</f>
        <v>1</v>
      </c>
      <c r="M18" s="30">
        <f>1 - CUSTOS!$M$26</f>
        <v>1</v>
      </c>
      <c r="N18" s="30">
        <f>1 - CUSTOS!$M$26</f>
        <v>1</v>
      </c>
      <c r="O18" s="30">
        <f>1 - CUSTOS!$M$26</f>
        <v>1</v>
      </c>
      <c r="P18" s="30">
        <f>1 - CUSTOS!$M$26</f>
        <v>1</v>
      </c>
      <c r="Q18" s="30"/>
      <c r="R18" s="30">
        <f>(1 - CUSTOS!$M$26)*1.06</f>
        <v>1.06</v>
      </c>
      <c r="S18" s="30"/>
      <c r="T18" s="30">
        <f>1 - CUSTOS!$M$26</f>
        <v>1</v>
      </c>
      <c r="U18" s="30">
        <f>1 - CUSTOS!$M$26</f>
        <v>1</v>
      </c>
      <c r="V18" s="30">
        <f>1 - CUSTOS!$M$26</f>
        <v>1</v>
      </c>
      <c r="W18" s="30"/>
      <c r="X18" s="30"/>
      <c r="Y18" s="30"/>
      <c r="Z18" s="30">
        <f>1 - CUSTOS!$M$26</f>
        <v>1</v>
      </c>
      <c r="AA18" s="30"/>
      <c r="AB18" s="30"/>
    </row>
    <row r="19" spans="1:28" ht="11.25" customHeight="1" x14ac:dyDescent="0.25">
      <c r="A19" s="130"/>
      <c r="B19" s="130"/>
      <c r="C19" s="130"/>
      <c r="D19" s="33" t="s">
        <v>32</v>
      </c>
      <c r="E19" s="33" t="s">
        <v>25</v>
      </c>
      <c r="F19" s="33" t="s">
        <v>25</v>
      </c>
      <c r="G19" s="32" t="s">
        <v>86</v>
      </c>
      <c r="H19" s="32" t="s">
        <v>80</v>
      </c>
      <c r="I19" s="32">
        <f>'MERCADO TE'!$U$16</f>
        <v>0</v>
      </c>
      <c r="J19" s="17"/>
      <c r="L19" s="30">
        <f>1 - CUSTOS!$M$27</f>
        <v>1</v>
      </c>
      <c r="M19" s="30">
        <f>1 - CUSTOS!$M$27</f>
        <v>1</v>
      </c>
      <c r="N19" s="30">
        <f>1 - CUSTOS!$M$27</f>
        <v>1</v>
      </c>
      <c r="O19" s="30">
        <f>1 - CUSTOS!$M$27</f>
        <v>1</v>
      </c>
      <c r="P19" s="30">
        <f>1 - CUSTOS!$M$27</f>
        <v>1</v>
      </c>
      <c r="Q19" s="30"/>
      <c r="R19" s="30">
        <f>(1 - CUSTOS!$M$27)*1.06</f>
        <v>1.06</v>
      </c>
      <c r="S19" s="30"/>
      <c r="T19" s="30">
        <f>1 - CUSTOS!$M$27</f>
        <v>1</v>
      </c>
      <c r="U19" s="30">
        <f>1 - CUSTOS!$M$27</f>
        <v>1</v>
      </c>
      <c r="V19" s="30">
        <f>1 - CUSTOS!$M$27</f>
        <v>1</v>
      </c>
      <c r="W19" s="30"/>
      <c r="X19" s="30"/>
      <c r="Y19" s="30"/>
      <c r="Z19" s="30">
        <f>1 - CUSTOS!$M$27</f>
        <v>1</v>
      </c>
      <c r="AA19" s="30"/>
      <c r="AB19" s="30"/>
    </row>
    <row r="20" spans="1:28" ht="11.25" customHeight="1" x14ac:dyDescent="0.25">
      <c r="A20" s="130" t="s">
        <v>43</v>
      </c>
      <c r="B20" s="130" t="s">
        <v>79</v>
      </c>
      <c r="C20" s="130" t="s">
        <v>44</v>
      </c>
      <c r="D20" s="130" t="s">
        <v>25</v>
      </c>
      <c r="E20" s="130" t="s">
        <v>25</v>
      </c>
      <c r="F20" s="130" t="s">
        <v>25</v>
      </c>
      <c r="G20" s="32" t="s">
        <v>81</v>
      </c>
      <c r="H20" s="32" t="s">
        <v>80</v>
      </c>
      <c r="I20" s="32">
        <f>'MERCADO TE'!$U$17</f>
        <v>0.27200000000000002</v>
      </c>
      <c r="J20" s="17"/>
      <c r="L20" s="30">
        <f>1 - CUSTOS!$M$28</f>
        <v>1</v>
      </c>
      <c r="M20" s="30">
        <f>1 - CUSTOS!$M$28</f>
        <v>1</v>
      </c>
      <c r="N20" s="30">
        <f>1 - CUSTOS!$M$28</f>
        <v>1</v>
      </c>
      <c r="O20" s="30">
        <f>1 - CUSTOS!$M$28</f>
        <v>1</v>
      </c>
      <c r="P20" s="30">
        <f>1 - CUSTOS!$M$28</f>
        <v>1</v>
      </c>
      <c r="Q20" s="30"/>
      <c r="R20" s="30">
        <f>(1 - CUSTOS!$M$28)*1.72</f>
        <v>1.72</v>
      </c>
      <c r="S20" s="30"/>
      <c r="T20" s="30">
        <f>1 - CUSTOS!$M$28</f>
        <v>1</v>
      </c>
      <c r="U20" s="30">
        <f>1 - CUSTOS!$M$28</f>
        <v>1</v>
      </c>
      <c r="V20" s="30">
        <f>1 - CUSTOS!$M$28</f>
        <v>1</v>
      </c>
      <c r="W20" s="30"/>
      <c r="X20" s="30"/>
      <c r="Y20" s="30"/>
      <c r="Z20" s="30">
        <f>1 - CUSTOS!$M$28</f>
        <v>1</v>
      </c>
      <c r="AA20" s="30"/>
      <c r="AB20" s="30"/>
    </row>
    <row r="21" spans="1:28" ht="11.25" customHeight="1" x14ac:dyDescent="0.25">
      <c r="A21" s="130"/>
      <c r="B21" s="130"/>
      <c r="C21" s="130"/>
      <c r="D21" s="130"/>
      <c r="E21" s="130"/>
      <c r="F21" s="130"/>
      <c r="G21" s="32" t="s">
        <v>91</v>
      </c>
      <c r="H21" s="32" t="s">
        <v>80</v>
      </c>
      <c r="I21" s="32">
        <f>'MERCADO TE'!$U$18</f>
        <v>0.20100000000000001</v>
      </c>
      <c r="J21" s="17"/>
      <c r="L21" s="30">
        <f>1 - CUSTOS!$M$28</f>
        <v>1</v>
      </c>
      <c r="M21" s="30">
        <f>1 - CUSTOS!$M$28</f>
        <v>1</v>
      </c>
      <c r="N21" s="30">
        <f>1 - CUSTOS!$M$28</f>
        <v>1</v>
      </c>
      <c r="O21" s="30">
        <f>1 - CUSTOS!$M$28</f>
        <v>1</v>
      </c>
      <c r="P21" s="30">
        <f>1 - CUSTOS!$M$28</f>
        <v>1</v>
      </c>
      <c r="Q21" s="30"/>
      <c r="R21" s="30">
        <f>(1 - CUSTOS!$M$28)*1</f>
        <v>1</v>
      </c>
      <c r="S21" s="30"/>
      <c r="T21" s="30">
        <f>1 - CUSTOS!$M$28</f>
        <v>1</v>
      </c>
      <c r="U21" s="30">
        <f>1 - CUSTOS!$M$28</f>
        <v>1</v>
      </c>
      <c r="V21" s="30">
        <f>1 - CUSTOS!$M$28</f>
        <v>1</v>
      </c>
      <c r="W21" s="30"/>
      <c r="X21" s="30"/>
      <c r="Y21" s="30"/>
      <c r="Z21" s="30">
        <f>1 - CUSTOS!$M$28</f>
        <v>1</v>
      </c>
      <c r="AA21" s="30"/>
      <c r="AB21" s="30"/>
    </row>
    <row r="22" spans="1:28" ht="11.25" customHeight="1" x14ac:dyDescent="0.25">
      <c r="A22" s="130"/>
      <c r="B22" s="130"/>
      <c r="C22" s="130"/>
      <c r="D22" s="130"/>
      <c r="E22" s="130"/>
      <c r="F22" s="130"/>
      <c r="G22" s="32" t="s">
        <v>82</v>
      </c>
      <c r="H22" s="32" t="s">
        <v>80</v>
      </c>
      <c r="I22" s="32">
        <f>'MERCADO TE'!$U$19</f>
        <v>5.4039999999999999</v>
      </c>
      <c r="J22" s="17"/>
      <c r="L22" s="30">
        <f>1 - CUSTOS!$M$28</f>
        <v>1</v>
      </c>
      <c r="M22" s="30">
        <f>1 - CUSTOS!$M$28</f>
        <v>1</v>
      </c>
      <c r="N22" s="30">
        <f>1 - CUSTOS!$M$28</f>
        <v>1</v>
      </c>
      <c r="O22" s="30">
        <f>1 - CUSTOS!$M$28</f>
        <v>1</v>
      </c>
      <c r="P22" s="30">
        <f>1 - CUSTOS!$M$28</f>
        <v>1</v>
      </c>
      <c r="Q22" s="30"/>
      <c r="R22" s="30">
        <f>(1 - CUSTOS!$M$28)*1</f>
        <v>1</v>
      </c>
      <c r="S22" s="30"/>
      <c r="T22" s="30">
        <f>1 - CUSTOS!$M$28</f>
        <v>1</v>
      </c>
      <c r="U22" s="30">
        <f>1 - CUSTOS!$M$28</f>
        <v>1</v>
      </c>
      <c r="V22" s="30">
        <f>1 - CUSTOS!$M$28</f>
        <v>1</v>
      </c>
      <c r="W22" s="30"/>
      <c r="X22" s="30"/>
      <c r="Y22" s="30"/>
      <c r="Z22" s="30">
        <f>1 - CUSTOS!$M$28</f>
        <v>1</v>
      </c>
      <c r="AA22" s="30"/>
      <c r="AB22" s="30"/>
    </row>
    <row r="23" spans="1:28" ht="11.25" customHeight="1" x14ac:dyDescent="0.25">
      <c r="A23" s="130"/>
      <c r="B23" s="33" t="s">
        <v>92</v>
      </c>
      <c r="C23" s="33" t="s">
        <v>44</v>
      </c>
      <c r="D23" s="33" t="s">
        <v>25</v>
      </c>
      <c r="E23" s="33" t="s">
        <v>25</v>
      </c>
      <c r="F23" s="33" t="s">
        <v>25</v>
      </c>
      <c r="G23" s="32" t="s">
        <v>86</v>
      </c>
      <c r="H23" s="32" t="s">
        <v>80</v>
      </c>
      <c r="I23" s="32">
        <f>'MERCADO TE'!$U$20</f>
        <v>183438.26899999997</v>
      </c>
      <c r="J23" s="17"/>
      <c r="L23" s="30">
        <f>1 - CUSTOS!$M$28</f>
        <v>1</v>
      </c>
      <c r="M23" s="30">
        <f>1 - CUSTOS!$M$28</f>
        <v>1</v>
      </c>
      <c r="N23" s="30">
        <f>1 - CUSTOS!$M$28</f>
        <v>1</v>
      </c>
      <c r="O23" s="30">
        <f>1 - CUSTOS!$M$28</f>
        <v>1</v>
      </c>
      <c r="P23" s="30">
        <f>1 - CUSTOS!$M$28</f>
        <v>1</v>
      </c>
      <c r="Q23" s="30"/>
      <c r="R23" s="30">
        <f>(1 - CUSTOS!$M$28)*1.06</f>
        <v>1.06</v>
      </c>
      <c r="S23" s="30"/>
      <c r="T23" s="30">
        <f>1 - CUSTOS!$M$28</f>
        <v>1</v>
      </c>
      <c r="U23" s="30">
        <f>1 - CUSTOS!$M$28</f>
        <v>1</v>
      </c>
      <c r="V23" s="30">
        <f>1 - CUSTOS!$M$28</f>
        <v>1</v>
      </c>
      <c r="W23" s="30"/>
      <c r="X23" s="30"/>
      <c r="Y23" s="30"/>
      <c r="Z23" s="30">
        <f>1 - CUSTOS!$M$28</f>
        <v>1</v>
      </c>
      <c r="AA23" s="30"/>
      <c r="AB23" s="30"/>
    </row>
    <row r="24" spans="1:28" ht="11.25" customHeight="1" x14ac:dyDescent="0.25">
      <c r="A24" s="130"/>
      <c r="B24" s="130" t="s">
        <v>79</v>
      </c>
      <c r="C24" s="130" t="s">
        <v>44</v>
      </c>
      <c r="D24" s="130" t="s">
        <v>95</v>
      </c>
      <c r="E24" s="130" t="s">
        <v>25</v>
      </c>
      <c r="F24" s="130" t="s">
        <v>25</v>
      </c>
      <c r="G24" s="32" t="s">
        <v>81</v>
      </c>
      <c r="H24" s="32" t="s">
        <v>80</v>
      </c>
      <c r="I24" s="32">
        <f>'MERCADO TE'!$U$21</f>
        <v>0</v>
      </c>
      <c r="J24" s="17"/>
      <c r="L24" s="30">
        <f>1 - CUSTOS!$M$29</f>
        <v>1</v>
      </c>
      <c r="M24" s="30">
        <f>1 - CUSTOS!$M$29</f>
        <v>1</v>
      </c>
      <c r="N24" s="30">
        <f>1 - CUSTOS!$M$29</f>
        <v>1</v>
      </c>
      <c r="O24" s="30">
        <f>1 - CUSTOS!$M$29</f>
        <v>1</v>
      </c>
      <c r="P24" s="30">
        <f>1 - CUSTOS!$M$29</f>
        <v>1</v>
      </c>
      <c r="Q24" s="30"/>
      <c r="R24" s="30">
        <f>(1 - CUSTOS!$M$29)*1.72</f>
        <v>1.72</v>
      </c>
      <c r="S24" s="30"/>
      <c r="T24" s="30">
        <f>1 - CUSTOS!$M$29</f>
        <v>1</v>
      </c>
      <c r="U24" s="30">
        <f>1 - CUSTOS!$M$29</f>
        <v>1</v>
      </c>
      <c r="V24" s="30">
        <f>1 - CUSTOS!$M$29</f>
        <v>1</v>
      </c>
      <c r="W24" s="30"/>
      <c r="X24" s="30"/>
      <c r="Y24" s="30"/>
      <c r="Z24" s="30">
        <f>1 - CUSTOS!$M$29</f>
        <v>1</v>
      </c>
      <c r="AA24" s="30"/>
      <c r="AB24" s="30"/>
    </row>
    <row r="25" spans="1:28" ht="11.25" customHeight="1" x14ac:dyDescent="0.25">
      <c r="A25" s="130"/>
      <c r="B25" s="130"/>
      <c r="C25" s="130"/>
      <c r="D25" s="130"/>
      <c r="E25" s="130"/>
      <c r="F25" s="130"/>
      <c r="G25" s="32" t="s">
        <v>91</v>
      </c>
      <c r="H25" s="32" t="s">
        <v>80</v>
      </c>
      <c r="I25" s="32">
        <f>'MERCADO TE'!$U$22</f>
        <v>0</v>
      </c>
      <c r="J25" s="17"/>
      <c r="L25" s="30">
        <f>1 - CUSTOS!$M$29</f>
        <v>1</v>
      </c>
      <c r="M25" s="30">
        <f>1 - CUSTOS!$M$29</f>
        <v>1</v>
      </c>
      <c r="N25" s="30">
        <f>1 - CUSTOS!$M$29</f>
        <v>1</v>
      </c>
      <c r="O25" s="30">
        <f>1 - CUSTOS!$M$29</f>
        <v>1</v>
      </c>
      <c r="P25" s="30">
        <f>1 - CUSTOS!$M$29</f>
        <v>1</v>
      </c>
      <c r="Q25" s="30"/>
      <c r="R25" s="30">
        <f>(1 - CUSTOS!$M$29)*1</f>
        <v>1</v>
      </c>
      <c r="S25" s="30"/>
      <c r="T25" s="30">
        <f>1 - CUSTOS!$M$29</f>
        <v>1</v>
      </c>
      <c r="U25" s="30">
        <f>1 - CUSTOS!$M$29</f>
        <v>1</v>
      </c>
      <c r="V25" s="30">
        <f>1 - CUSTOS!$M$29</f>
        <v>1</v>
      </c>
      <c r="W25" s="30"/>
      <c r="X25" s="30"/>
      <c r="Y25" s="30"/>
      <c r="Z25" s="30">
        <f>1 - CUSTOS!$M$29</f>
        <v>1</v>
      </c>
      <c r="AA25" s="30"/>
      <c r="AB25" s="30"/>
    </row>
    <row r="26" spans="1:28" ht="11.25" customHeight="1" x14ac:dyDescent="0.25">
      <c r="A26" s="130"/>
      <c r="B26" s="130"/>
      <c r="C26" s="130"/>
      <c r="D26" s="130"/>
      <c r="E26" s="130"/>
      <c r="F26" s="130"/>
      <c r="G26" s="32" t="s">
        <v>82</v>
      </c>
      <c r="H26" s="32" t="s">
        <v>80</v>
      </c>
      <c r="I26" s="32">
        <f>'MERCADO TE'!$U$23</f>
        <v>0</v>
      </c>
      <c r="J26" s="17"/>
      <c r="L26" s="30">
        <f>1 - CUSTOS!$M$29</f>
        <v>1</v>
      </c>
      <c r="M26" s="30">
        <f>1 - CUSTOS!$M$29</f>
        <v>1</v>
      </c>
      <c r="N26" s="30">
        <f>1 - CUSTOS!$M$29</f>
        <v>1</v>
      </c>
      <c r="O26" s="30">
        <f>1 - CUSTOS!$M$29</f>
        <v>1</v>
      </c>
      <c r="P26" s="30">
        <f>1 - CUSTOS!$M$29</f>
        <v>1</v>
      </c>
      <c r="Q26" s="30"/>
      <c r="R26" s="30">
        <f>(1 - CUSTOS!$M$29)*1</f>
        <v>1</v>
      </c>
      <c r="S26" s="30"/>
      <c r="T26" s="30">
        <f>1 - CUSTOS!$M$29</f>
        <v>1</v>
      </c>
      <c r="U26" s="30">
        <f>1 - CUSTOS!$M$29</f>
        <v>1</v>
      </c>
      <c r="V26" s="30">
        <f>1 - CUSTOS!$M$29</f>
        <v>1</v>
      </c>
      <c r="W26" s="30"/>
      <c r="X26" s="30"/>
      <c r="Y26" s="30"/>
      <c r="Z26" s="30">
        <f>1 - CUSTOS!$M$29</f>
        <v>1</v>
      </c>
      <c r="AA26" s="30"/>
      <c r="AB26" s="30"/>
    </row>
    <row r="27" spans="1:28" ht="11.25" customHeight="1" x14ac:dyDescent="0.25">
      <c r="A27" s="130"/>
      <c r="B27" s="33" t="s">
        <v>92</v>
      </c>
      <c r="C27" s="33" t="s">
        <v>44</v>
      </c>
      <c r="D27" s="33" t="s">
        <v>95</v>
      </c>
      <c r="E27" s="33" t="s">
        <v>25</v>
      </c>
      <c r="F27" s="33" t="s">
        <v>25</v>
      </c>
      <c r="G27" s="32" t="s">
        <v>86</v>
      </c>
      <c r="H27" s="32" t="s">
        <v>80</v>
      </c>
      <c r="I27" s="32">
        <f>'MERCADO TE'!$U$24</f>
        <v>0</v>
      </c>
      <c r="J27" s="17"/>
      <c r="L27" s="30">
        <f>1 - CUSTOS!$M$29</f>
        <v>1</v>
      </c>
      <c r="M27" s="30">
        <f>1 - CUSTOS!$M$29</f>
        <v>1</v>
      </c>
      <c r="N27" s="30">
        <f>1 - CUSTOS!$M$29</f>
        <v>1</v>
      </c>
      <c r="O27" s="30">
        <f>1 - CUSTOS!$M$29</f>
        <v>1</v>
      </c>
      <c r="P27" s="30">
        <f>1 - CUSTOS!$M$29</f>
        <v>1</v>
      </c>
      <c r="Q27" s="30"/>
      <c r="R27" s="30">
        <f>(1 - CUSTOS!$M$29)*1.06</f>
        <v>1.06</v>
      </c>
      <c r="S27" s="30"/>
      <c r="T27" s="30">
        <f>1 - CUSTOS!$M$29</f>
        <v>1</v>
      </c>
      <c r="U27" s="30">
        <f>1 - CUSTOS!$M$29</f>
        <v>1</v>
      </c>
      <c r="V27" s="30">
        <f>1 - CUSTOS!$M$29</f>
        <v>1</v>
      </c>
      <c r="W27" s="30"/>
      <c r="X27" s="30"/>
      <c r="Y27" s="30"/>
      <c r="Z27" s="30">
        <f>1 - CUSTOS!$M$29</f>
        <v>1</v>
      </c>
      <c r="AA27" s="30"/>
      <c r="AB27" s="30"/>
    </row>
    <row r="28" spans="1:28" ht="11.25" customHeight="1" x14ac:dyDescent="0.25">
      <c r="A28" s="130"/>
      <c r="B28" s="130" t="s">
        <v>79</v>
      </c>
      <c r="C28" s="130" t="s">
        <v>44</v>
      </c>
      <c r="D28" s="130" t="s">
        <v>55</v>
      </c>
      <c r="E28" s="130" t="s">
        <v>25</v>
      </c>
      <c r="F28" s="130" t="s">
        <v>25</v>
      </c>
      <c r="G28" s="32" t="s">
        <v>81</v>
      </c>
      <c r="H28" s="32" t="s">
        <v>80</v>
      </c>
      <c r="I28" s="32">
        <f>'MERCADO TE'!$U$25</f>
        <v>0</v>
      </c>
      <c r="J28" s="17"/>
      <c r="L28" s="30">
        <f>1 - CUSTOS!$M$30</f>
        <v>1</v>
      </c>
      <c r="M28" s="30">
        <f>1 - CUSTOS!$M$30</f>
        <v>1</v>
      </c>
      <c r="N28" s="30">
        <f>1 - CUSTOS!$M$30</f>
        <v>1</v>
      </c>
      <c r="O28" s="30">
        <f>1 - CUSTOS!$M$30</f>
        <v>1</v>
      </c>
      <c r="P28" s="30">
        <f>1 - CUSTOS!$M$30</f>
        <v>1</v>
      </c>
      <c r="Q28" s="30"/>
      <c r="R28" s="30">
        <f>(1 - CUSTOS!$M$30)*1.72</f>
        <v>1.72</v>
      </c>
      <c r="S28" s="30"/>
      <c r="T28" s="30">
        <f>1 - CUSTOS!$M$30</f>
        <v>1</v>
      </c>
      <c r="U28" s="30">
        <f>1 - CUSTOS!$M$30</f>
        <v>1</v>
      </c>
      <c r="V28" s="30">
        <f>1 - CUSTOS!$M$30</f>
        <v>1</v>
      </c>
      <c r="W28" s="30"/>
      <c r="X28" s="30"/>
      <c r="Y28" s="30"/>
      <c r="Z28" s="30">
        <f>1 - CUSTOS!$M$30</f>
        <v>1</v>
      </c>
      <c r="AA28" s="30"/>
      <c r="AB28" s="30"/>
    </row>
    <row r="29" spans="1:28" ht="11.25" customHeight="1" x14ac:dyDescent="0.25">
      <c r="A29" s="130"/>
      <c r="B29" s="130"/>
      <c r="C29" s="130"/>
      <c r="D29" s="130"/>
      <c r="E29" s="130"/>
      <c r="F29" s="130"/>
      <c r="G29" s="32" t="s">
        <v>91</v>
      </c>
      <c r="H29" s="32" t="s">
        <v>80</v>
      </c>
      <c r="I29" s="32">
        <f>'MERCADO TE'!$U$26</f>
        <v>0</v>
      </c>
      <c r="J29" s="17"/>
      <c r="L29" s="30">
        <f>1 - CUSTOS!$M$30</f>
        <v>1</v>
      </c>
      <c r="M29" s="30">
        <f>1 - CUSTOS!$M$30</f>
        <v>1</v>
      </c>
      <c r="N29" s="30">
        <f>1 - CUSTOS!$M$30</f>
        <v>1</v>
      </c>
      <c r="O29" s="30">
        <f>1 - CUSTOS!$M$30</f>
        <v>1</v>
      </c>
      <c r="P29" s="30">
        <f>1 - CUSTOS!$M$30</f>
        <v>1</v>
      </c>
      <c r="Q29" s="30"/>
      <c r="R29" s="30">
        <f>(1 - CUSTOS!$M$30)*1</f>
        <v>1</v>
      </c>
      <c r="S29" s="30"/>
      <c r="T29" s="30">
        <f>1 - CUSTOS!$M$30</f>
        <v>1</v>
      </c>
      <c r="U29" s="30">
        <f>1 - CUSTOS!$M$30</f>
        <v>1</v>
      </c>
      <c r="V29" s="30">
        <f>1 - CUSTOS!$M$30</f>
        <v>1</v>
      </c>
      <c r="W29" s="30"/>
      <c r="X29" s="30"/>
      <c r="Y29" s="30"/>
      <c r="Z29" s="30">
        <f>1 - CUSTOS!$M$30</f>
        <v>1</v>
      </c>
      <c r="AA29" s="30"/>
      <c r="AB29" s="30"/>
    </row>
    <row r="30" spans="1:28" ht="11.25" customHeight="1" x14ac:dyDescent="0.25">
      <c r="A30" s="130"/>
      <c r="B30" s="130"/>
      <c r="C30" s="130"/>
      <c r="D30" s="130"/>
      <c r="E30" s="130"/>
      <c r="F30" s="130"/>
      <c r="G30" s="32" t="s">
        <v>82</v>
      </c>
      <c r="H30" s="32" t="s">
        <v>80</v>
      </c>
      <c r="I30" s="32">
        <f>'MERCADO TE'!$U$27</f>
        <v>0</v>
      </c>
      <c r="J30" s="17"/>
      <c r="L30" s="30">
        <f>1 - CUSTOS!$M$30</f>
        <v>1</v>
      </c>
      <c r="M30" s="30">
        <f>1 - CUSTOS!$M$30</f>
        <v>1</v>
      </c>
      <c r="N30" s="30">
        <f>1 - CUSTOS!$M$30</f>
        <v>1</v>
      </c>
      <c r="O30" s="30">
        <f>1 - CUSTOS!$M$30</f>
        <v>1</v>
      </c>
      <c r="P30" s="30">
        <f>1 - CUSTOS!$M$30</f>
        <v>1</v>
      </c>
      <c r="Q30" s="30"/>
      <c r="R30" s="30">
        <f>(1 - CUSTOS!$M$30)*1</f>
        <v>1</v>
      </c>
      <c r="S30" s="30"/>
      <c r="T30" s="30">
        <f>1 - CUSTOS!$M$30</f>
        <v>1</v>
      </c>
      <c r="U30" s="30">
        <f>1 - CUSTOS!$M$30</f>
        <v>1</v>
      </c>
      <c r="V30" s="30">
        <f>1 - CUSTOS!$M$30</f>
        <v>1</v>
      </c>
      <c r="W30" s="30"/>
      <c r="X30" s="30"/>
      <c r="Y30" s="30"/>
      <c r="Z30" s="30">
        <f>1 - CUSTOS!$M$30</f>
        <v>1</v>
      </c>
      <c r="AA30" s="30"/>
      <c r="AB30" s="30"/>
    </row>
    <row r="31" spans="1:28" ht="11.25" customHeight="1" x14ac:dyDescent="0.25">
      <c r="A31" s="130"/>
      <c r="B31" s="33" t="s">
        <v>92</v>
      </c>
      <c r="C31" s="33" t="s">
        <v>44</v>
      </c>
      <c r="D31" s="33" t="s">
        <v>55</v>
      </c>
      <c r="E31" s="33" t="s">
        <v>25</v>
      </c>
      <c r="F31" s="33" t="s">
        <v>25</v>
      </c>
      <c r="G31" s="32" t="s">
        <v>86</v>
      </c>
      <c r="H31" s="32" t="s">
        <v>80</v>
      </c>
      <c r="I31" s="32">
        <f>'MERCADO TE'!$U$28</f>
        <v>29.929000000000002</v>
      </c>
      <c r="J31" s="17"/>
      <c r="L31" s="30">
        <f>1 - CUSTOS!$M$30</f>
        <v>1</v>
      </c>
      <c r="M31" s="30">
        <f>1 - CUSTOS!$M$30</f>
        <v>1</v>
      </c>
      <c r="N31" s="30">
        <f>1 - CUSTOS!$M$30</f>
        <v>1</v>
      </c>
      <c r="O31" s="30">
        <f>1 - CUSTOS!$M$30</f>
        <v>1</v>
      </c>
      <c r="P31" s="30">
        <f>1 - CUSTOS!$M$30</f>
        <v>1</v>
      </c>
      <c r="Q31" s="30"/>
      <c r="R31" s="30">
        <f>(1 - CUSTOS!$M$30)*1.06</f>
        <v>1.06</v>
      </c>
      <c r="S31" s="30"/>
      <c r="T31" s="30">
        <f>1 - CUSTOS!$M$30</f>
        <v>1</v>
      </c>
      <c r="U31" s="30">
        <f>1 - CUSTOS!$M$30</f>
        <v>1</v>
      </c>
      <c r="V31" s="30">
        <f>1 - CUSTOS!$M$30</f>
        <v>1</v>
      </c>
      <c r="W31" s="30"/>
      <c r="X31" s="30"/>
      <c r="Y31" s="30"/>
      <c r="Z31" s="30">
        <f>1 - CUSTOS!$M$30</f>
        <v>1</v>
      </c>
      <c r="AA31" s="30"/>
      <c r="AB31" s="30"/>
    </row>
    <row r="32" spans="1:28" ht="11.25" customHeight="1" x14ac:dyDescent="0.25">
      <c r="A32" s="130"/>
      <c r="B32" s="130" t="s">
        <v>93</v>
      </c>
      <c r="C32" s="130" t="s">
        <v>44</v>
      </c>
      <c r="D32" s="33" t="s">
        <v>25</v>
      </c>
      <c r="E32" s="33" t="s">
        <v>25</v>
      </c>
      <c r="F32" s="33" t="s">
        <v>25</v>
      </c>
      <c r="G32" s="32" t="s">
        <v>86</v>
      </c>
      <c r="H32" s="32" t="s">
        <v>80</v>
      </c>
      <c r="I32" s="32">
        <f>'MERCADO TE'!$U$29</f>
        <v>0</v>
      </c>
      <c r="J32" s="17"/>
      <c r="L32" s="30">
        <f>1 - CUSTOS!$M$28</f>
        <v>1</v>
      </c>
      <c r="M32" s="30">
        <f>1 - CUSTOS!$M$28</f>
        <v>1</v>
      </c>
      <c r="N32" s="30">
        <f>1 - CUSTOS!$M$28</f>
        <v>1</v>
      </c>
      <c r="O32" s="30">
        <f>1 - CUSTOS!$M$28</f>
        <v>1</v>
      </c>
      <c r="P32" s="30">
        <f>1 - CUSTOS!$M$28</f>
        <v>1</v>
      </c>
      <c r="Q32" s="30"/>
      <c r="R32" s="30">
        <f>(1 - CUSTOS!$M$28)*1.06</f>
        <v>1.06</v>
      </c>
      <c r="S32" s="30"/>
      <c r="T32" s="30">
        <f>1 - CUSTOS!$M$28</f>
        <v>1</v>
      </c>
      <c r="U32" s="30">
        <f>1 - CUSTOS!$M$28</f>
        <v>1</v>
      </c>
      <c r="V32" s="30">
        <f>1 - CUSTOS!$M$28</f>
        <v>1</v>
      </c>
      <c r="W32" s="30"/>
      <c r="X32" s="30"/>
      <c r="Y32" s="30"/>
      <c r="Z32" s="30">
        <f>1 - CUSTOS!$M$28</f>
        <v>1</v>
      </c>
      <c r="AA32" s="30"/>
      <c r="AB32" s="30"/>
    </row>
    <row r="33" spans="1:28" ht="11.25" customHeight="1" x14ac:dyDescent="0.25">
      <c r="A33" s="130"/>
      <c r="B33" s="130"/>
      <c r="C33" s="130"/>
      <c r="D33" s="33" t="s">
        <v>95</v>
      </c>
      <c r="E33" s="33" t="s">
        <v>25</v>
      </c>
      <c r="F33" s="33" t="s">
        <v>25</v>
      </c>
      <c r="G33" s="32" t="s">
        <v>86</v>
      </c>
      <c r="H33" s="32" t="s">
        <v>80</v>
      </c>
      <c r="I33" s="32">
        <f>'MERCADO TE'!$U$30</f>
        <v>0</v>
      </c>
      <c r="J33" s="17"/>
      <c r="L33" s="30">
        <f>1 - CUSTOS!$M$29</f>
        <v>1</v>
      </c>
      <c r="M33" s="30">
        <f>1 - CUSTOS!$M$29</f>
        <v>1</v>
      </c>
      <c r="N33" s="30">
        <f>1 - CUSTOS!$M$29</f>
        <v>1</v>
      </c>
      <c r="O33" s="30">
        <f>1 - CUSTOS!$M$29</f>
        <v>1</v>
      </c>
      <c r="P33" s="30">
        <f>1 - CUSTOS!$M$29</f>
        <v>1</v>
      </c>
      <c r="Q33" s="30"/>
      <c r="R33" s="30">
        <f>(1 - CUSTOS!$M$29)*1.06</f>
        <v>1.06</v>
      </c>
      <c r="S33" s="30"/>
      <c r="T33" s="30">
        <f>1 - CUSTOS!$M$29</f>
        <v>1</v>
      </c>
      <c r="U33" s="30">
        <f>1 - CUSTOS!$M$29</f>
        <v>1</v>
      </c>
      <c r="V33" s="30">
        <f>1 - CUSTOS!$M$29</f>
        <v>1</v>
      </c>
      <c r="W33" s="30"/>
      <c r="X33" s="30"/>
      <c r="Y33" s="30"/>
      <c r="Z33" s="30">
        <f>1 - CUSTOS!$M$29</f>
        <v>1</v>
      </c>
      <c r="AA33" s="30"/>
      <c r="AB33" s="30"/>
    </row>
    <row r="34" spans="1:28" ht="11.25" customHeight="1" x14ac:dyDescent="0.25">
      <c r="A34" s="130"/>
      <c r="B34" s="130"/>
      <c r="C34" s="130"/>
      <c r="D34" s="33" t="s">
        <v>55</v>
      </c>
      <c r="E34" s="33" t="s">
        <v>25</v>
      </c>
      <c r="F34" s="33" t="s">
        <v>25</v>
      </c>
      <c r="G34" s="32" t="s">
        <v>86</v>
      </c>
      <c r="H34" s="32" t="s">
        <v>80</v>
      </c>
      <c r="I34" s="32">
        <f>'MERCADO TE'!$U$31</f>
        <v>0</v>
      </c>
      <c r="J34" s="17"/>
      <c r="L34" s="30">
        <f>1 - CUSTOS!$M$30</f>
        <v>1</v>
      </c>
      <c r="M34" s="30">
        <f>1 - CUSTOS!$M$30</f>
        <v>1</v>
      </c>
      <c r="N34" s="30">
        <f>1 - CUSTOS!$M$30</f>
        <v>1</v>
      </c>
      <c r="O34" s="30">
        <f>1 - CUSTOS!$M$30</f>
        <v>1</v>
      </c>
      <c r="P34" s="30">
        <f>1 - CUSTOS!$M$30</f>
        <v>1</v>
      </c>
      <c r="Q34" s="30"/>
      <c r="R34" s="30">
        <f>(1 - CUSTOS!$M$30)*1.06</f>
        <v>1.06</v>
      </c>
      <c r="S34" s="30"/>
      <c r="T34" s="30">
        <f>1 - CUSTOS!$M$30</f>
        <v>1</v>
      </c>
      <c r="U34" s="30">
        <f>1 - CUSTOS!$M$30</f>
        <v>1</v>
      </c>
      <c r="V34" s="30">
        <f>1 - CUSTOS!$M$30</f>
        <v>1</v>
      </c>
      <c r="W34" s="30"/>
      <c r="X34" s="30"/>
      <c r="Y34" s="30"/>
      <c r="Z34" s="30">
        <f>1 - CUSTOS!$M$30</f>
        <v>1</v>
      </c>
      <c r="AA34" s="30"/>
      <c r="AB34" s="30"/>
    </row>
    <row r="35" spans="1:28" ht="11.25" customHeight="1" x14ac:dyDescent="0.25">
      <c r="A35" s="130" t="s">
        <v>37</v>
      </c>
      <c r="B35" s="130" t="s">
        <v>79</v>
      </c>
      <c r="C35" s="130" t="s">
        <v>25</v>
      </c>
      <c r="D35" s="130" t="s">
        <v>25</v>
      </c>
      <c r="E35" s="130" t="s">
        <v>25</v>
      </c>
      <c r="F35" s="130" t="s">
        <v>25</v>
      </c>
      <c r="G35" s="32" t="s">
        <v>81</v>
      </c>
      <c r="H35" s="32" t="s">
        <v>80</v>
      </c>
      <c r="I35" s="32">
        <f>'MERCADO TE'!$U$32</f>
        <v>57.161000000000001</v>
      </c>
      <c r="J35" s="17"/>
      <c r="L35" s="30">
        <f>1 - CUSTOS!$M$31</f>
        <v>1</v>
      </c>
      <c r="M35" s="30">
        <f>1 - CUSTOS!$M$31</f>
        <v>1</v>
      </c>
      <c r="N35" s="30">
        <f>1 - CUSTOS!$M$31</f>
        <v>1</v>
      </c>
      <c r="O35" s="30">
        <f>1 - CUSTOS!$M$31</f>
        <v>1</v>
      </c>
      <c r="P35" s="30">
        <f>1 - CUSTOS!$M$31</f>
        <v>1</v>
      </c>
      <c r="Q35" s="30"/>
      <c r="R35" s="30">
        <f>(1 - CUSTOS!$M$31)*1.72</f>
        <v>1.72</v>
      </c>
      <c r="S35" s="30"/>
      <c r="T35" s="30">
        <f>1 - CUSTOS!$M$31</f>
        <v>1</v>
      </c>
      <c r="U35" s="30">
        <f>1 - CUSTOS!$M$31</f>
        <v>1</v>
      </c>
      <c r="V35" s="30">
        <f>1 - CUSTOS!$M$31</f>
        <v>1</v>
      </c>
      <c r="W35" s="30"/>
      <c r="X35" s="30"/>
      <c r="Y35" s="30"/>
      <c r="Z35" s="30">
        <f>1 - CUSTOS!$M$31</f>
        <v>1</v>
      </c>
      <c r="AA35" s="30"/>
      <c r="AB35" s="30"/>
    </row>
    <row r="36" spans="1:28" ht="11.25" customHeight="1" x14ac:dyDescent="0.25">
      <c r="A36" s="130"/>
      <c r="B36" s="130"/>
      <c r="C36" s="130"/>
      <c r="D36" s="130"/>
      <c r="E36" s="130"/>
      <c r="F36" s="130"/>
      <c r="G36" s="32" t="s">
        <v>91</v>
      </c>
      <c r="H36" s="32" t="s">
        <v>80</v>
      </c>
      <c r="I36" s="32">
        <f>'MERCADO TE'!$U$33</f>
        <v>51.646000000000001</v>
      </c>
      <c r="J36" s="17"/>
      <c r="L36" s="30">
        <f>1 - CUSTOS!$M$31</f>
        <v>1</v>
      </c>
      <c r="M36" s="30">
        <f>1 - CUSTOS!$M$31</f>
        <v>1</v>
      </c>
      <c r="N36" s="30">
        <f>1 - CUSTOS!$M$31</f>
        <v>1</v>
      </c>
      <c r="O36" s="30">
        <f>1 - CUSTOS!$M$31</f>
        <v>1</v>
      </c>
      <c r="P36" s="30">
        <f>1 - CUSTOS!$M$31</f>
        <v>1</v>
      </c>
      <c r="Q36" s="30"/>
      <c r="R36" s="30">
        <f>(1 - CUSTOS!$M$31)*1</f>
        <v>1</v>
      </c>
      <c r="S36" s="30"/>
      <c r="T36" s="30">
        <f>1 - CUSTOS!$M$31</f>
        <v>1</v>
      </c>
      <c r="U36" s="30">
        <f>1 - CUSTOS!$M$31</f>
        <v>1</v>
      </c>
      <c r="V36" s="30">
        <f>1 - CUSTOS!$M$31</f>
        <v>1</v>
      </c>
      <c r="W36" s="30"/>
      <c r="X36" s="30"/>
      <c r="Y36" s="30"/>
      <c r="Z36" s="30">
        <f>1 - CUSTOS!$M$31</f>
        <v>1</v>
      </c>
      <c r="AA36" s="30"/>
      <c r="AB36" s="30"/>
    </row>
    <row r="37" spans="1:28" ht="11.25" customHeight="1" x14ac:dyDescent="0.25">
      <c r="A37" s="130"/>
      <c r="B37" s="130"/>
      <c r="C37" s="130"/>
      <c r="D37" s="130"/>
      <c r="E37" s="130"/>
      <c r="F37" s="130"/>
      <c r="G37" s="32" t="s">
        <v>82</v>
      </c>
      <c r="H37" s="32" t="s">
        <v>80</v>
      </c>
      <c r="I37" s="32">
        <f>'MERCADO TE'!$U$34</f>
        <v>982.72000000000014</v>
      </c>
      <c r="J37" s="17"/>
      <c r="L37" s="30">
        <f>1 - CUSTOS!$M$31</f>
        <v>1</v>
      </c>
      <c r="M37" s="30">
        <f>1 - CUSTOS!$M$31</f>
        <v>1</v>
      </c>
      <c r="N37" s="30">
        <f>1 - CUSTOS!$M$31</f>
        <v>1</v>
      </c>
      <c r="O37" s="30">
        <f>1 - CUSTOS!$M$31</f>
        <v>1</v>
      </c>
      <c r="P37" s="30">
        <f>1 - CUSTOS!$M$31</f>
        <v>1</v>
      </c>
      <c r="Q37" s="30"/>
      <c r="R37" s="30">
        <f>(1 - CUSTOS!$M$31)*1</f>
        <v>1</v>
      </c>
      <c r="S37" s="30"/>
      <c r="T37" s="30">
        <f>1 - CUSTOS!$M$31</f>
        <v>1</v>
      </c>
      <c r="U37" s="30">
        <f>1 - CUSTOS!$M$31</f>
        <v>1</v>
      </c>
      <c r="V37" s="30">
        <f>1 - CUSTOS!$M$31</f>
        <v>1</v>
      </c>
      <c r="W37" s="30"/>
      <c r="X37" s="30"/>
      <c r="Y37" s="30"/>
      <c r="Z37" s="30">
        <f>1 - CUSTOS!$M$31</f>
        <v>1</v>
      </c>
      <c r="AA37" s="30"/>
      <c r="AB37" s="30"/>
    </row>
    <row r="38" spans="1:28" ht="11.25" customHeight="1" x14ac:dyDescent="0.25">
      <c r="A38" s="130"/>
      <c r="B38" s="33" t="s">
        <v>92</v>
      </c>
      <c r="C38" s="33" t="s">
        <v>25</v>
      </c>
      <c r="D38" s="33" t="s">
        <v>25</v>
      </c>
      <c r="E38" s="33" t="s">
        <v>25</v>
      </c>
      <c r="F38" s="33" t="s">
        <v>25</v>
      </c>
      <c r="G38" s="32" t="s">
        <v>86</v>
      </c>
      <c r="H38" s="32" t="s">
        <v>80</v>
      </c>
      <c r="I38" s="32">
        <f>'MERCADO TE'!$U$35</f>
        <v>86690.115999999995</v>
      </c>
      <c r="J38" s="17"/>
      <c r="L38" s="30">
        <f>1 - CUSTOS!$M$31</f>
        <v>1</v>
      </c>
      <c r="M38" s="30">
        <f>1 - CUSTOS!$M$31</f>
        <v>1</v>
      </c>
      <c r="N38" s="30">
        <f>1 - CUSTOS!$M$31</f>
        <v>1</v>
      </c>
      <c r="O38" s="30">
        <f>1 - CUSTOS!$M$31</f>
        <v>1</v>
      </c>
      <c r="P38" s="30">
        <f>1 - CUSTOS!$M$31</f>
        <v>1</v>
      </c>
      <c r="Q38" s="30"/>
      <c r="R38" s="30">
        <f>(1 - CUSTOS!$M$31)*1.06</f>
        <v>1.06</v>
      </c>
      <c r="S38" s="30"/>
      <c r="T38" s="30">
        <f>1 - CUSTOS!$M$31</f>
        <v>1</v>
      </c>
      <c r="U38" s="30">
        <f>1 - CUSTOS!$M$31</f>
        <v>1</v>
      </c>
      <c r="V38" s="30">
        <f>1 - CUSTOS!$M$31</f>
        <v>1</v>
      </c>
      <c r="W38" s="30"/>
      <c r="X38" s="30"/>
      <c r="Y38" s="30"/>
      <c r="Z38" s="30">
        <f>1 - CUSTOS!$M$31</f>
        <v>1</v>
      </c>
      <c r="AA38" s="30"/>
      <c r="AB38" s="30"/>
    </row>
    <row r="39" spans="1:28" ht="11.25" customHeight="1" x14ac:dyDescent="0.25">
      <c r="A39" s="130"/>
      <c r="B39" s="33" t="s">
        <v>93</v>
      </c>
      <c r="C39" s="33" t="s">
        <v>25</v>
      </c>
      <c r="D39" s="33" t="s">
        <v>25</v>
      </c>
      <c r="E39" s="33" t="s">
        <v>25</v>
      </c>
      <c r="F39" s="33" t="s">
        <v>25</v>
      </c>
      <c r="G39" s="32" t="s">
        <v>86</v>
      </c>
      <c r="H39" s="32" t="s">
        <v>80</v>
      </c>
      <c r="I39" s="32">
        <f>'MERCADO TE'!$U$36</f>
        <v>0</v>
      </c>
      <c r="J39" s="17"/>
      <c r="L39" s="30">
        <f>1 - CUSTOS!$M$31</f>
        <v>1</v>
      </c>
      <c r="M39" s="30">
        <f>1 - CUSTOS!$M$31</f>
        <v>1</v>
      </c>
      <c r="N39" s="30">
        <f>1 - CUSTOS!$M$31</f>
        <v>1</v>
      </c>
      <c r="O39" s="30">
        <f>1 - CUSTOS!$M$31</f>
        <v>1</v>
      </c>
      <c r="P39" s="30">
        <f>1 - CUSTOS!$M$31</f>
        <v>1</v>
      </c>
      <c r="Q39" s="30"/>
      <c r="R39" s="30">
        <f>(1 - CUSTOS!$M$31)*1.06</f>
        <v>1.06</v>
      </c>
      <c r="S39" s="30"/>
      <c r="T39" s="30">
        <f>1 - CUSTOS!$M$31</f>
        <v>1</v>
      </c>
      <c r="U39" s="30">
        <f>1 - CUSTOS!$M$31</f>
        <v>1</v>
      </c>
      <c r="V39" s="30">
        <f>1 - CUSTOS!$M$31</f>
        <v>1</v>
      </c>
      <c r="W39" s="30"/>
      <c r="X39" s="30"/>
      <c r="Y39" s="30"/>
      <c r="Z39" s="30">
        <f>1 - CUSTOS!$M$31</f>
        <v>1</v>
      </c>
      <c r="AA39" s="30"/>
      <c r="AB39" s="30"/>
    </row>
    <row r="40" spans="1:28" ht="11.25" customHeight="1" x14ac:dyDescent="0.25">
      <c r="A40" s="130" t="s">
        <v>46</v>
      </c>
      <c r="B40" s="130" t="s">
        <v>92</v>
      </c>
      <c r="C40" s="130" t="s">
        <v>47</v>
      </c>
      <c r="D40" s="33" t="s">
        <v>48</v>
      </c>
      <c r="E40" s="33" t="s">
        <v>25</v>
      </c>
      <c r="F40" s="33" t="s">
        <v>25</v>
      </c>
      <c r="G40" s="32" t="s">
        <v>86</v>
      </c>
      <c r="H40" s="32" t="s">
        <v>80</v>
      </c>
      <c r="I40" s="32">
        <f>'MERCADO TE'!$U$37</f>
        <v>18976.334999999999</v>
      </c>
      <c r="J40" s="17"/>
      <c r="L40" s="30">
        <f>1 - CUSTOS!$M$32</f>
        <v>0.55000000000000004</v>
      </c>
      <c r="M40" s="30">
        <f>1 - CUSTOS!$M$32</f>
        <v>0.55000000000000004</v>
      </c>
      <c r="N40" s="30">
        <f>1 - CUSTOS!$M$32</f>
        <v>0.55000000000000004</v>
      </c>
      <c r="O40" s="30">
        <f>1 - CUSTOS!$M$32</f>
        <v>0.55000000000000004</v>
      </c>
      <c r="P40" s="30">
        <f>1 - CUSTOS!$M$32</f>
        <v>0.55000000000000004</v>
      </c>
      <c r="Q40" s="30"/>
      <c r="R40" s="30">
        <f>(1 - CUSTOS!$M$32)*1.06</f>
        <v>0.58300000000000007</v>
      </c>
      <c r="S40" s="30"/>
      <c r="T40" s="30">
        <f>1 - CUSTOS!$M$32</f>
        <v>0.55000000000000004</v>
      </c>
      <c r="U40" s="30">
        <f>1 - CUSTOS!$M$32</f>
        <v>0.55000000000000004</v>
      </c>
      <c r="V40" s="30">
        <f>1 - CUSTOS!$M$32</f>
        <v>0.55000000000000004</v>
      </c>
      <c r="W40" s="30"/>
      <c r="X40" s="30"/>
      <c r="Y40" s="30"/>
      <c r="Z40" s="30">
        <f>1 - CUSTOS!$M$32</f>
        <v>0.55000000000000004</v>
      </c>
      <c r="AA40" s="30"/>
      <c r="AB40" s="30"/>
    </row>
    <row r="41" spans="1:28" ht="11.25" customHeight="1" x14ac:dyDescent="0.25">
      <c r="A41" s="130"/>
      <c r="B41" s="130"/>
      <c r="C41" s="130"/>
      <c r="D41" s="32" t="s">
        <v>96</v>
      </c>
      <c r="E41" s="32" t="s">
        <v>25</v>
      </c>
      <c r="F41" s="32" t="s">
        <v>25</v>
      </c>
      <c r="G41" s="32" t="s">
        <v>86</v>
      </c>
      <c r="H41" s="32" t="s">
        <v>80</v>
      </c>
      <c r="I41" s="32">
        <f>'MERCADO TE'!$U$38</f>
        <v>0</v>
      </c>
      <c r="J41" s="17"/>
      <c r="L41" s="30">
        <f>1 - CUSTOS!$M$33</f>
        <v>0.6</v>
      </c>
      <c r="M41" s="30">
        <f>1 - CUSTOS!$M$33</f>
        <v>0.6</v>
      </c>
      <c r="N41" s="30">
        <f>1 - CUSTOS!$M$33</f>
        <v>0.6</v>
      </c>
      <c r="O41" s="30">
        <f>1 - CUSTOS!$M$33</f>
        <v>0.6</v>
      </c>
      <c r="P41" s="30">
        <f>1 - CUSTOS!$M$33</f>
        <v>0.6</v>
      </c>
      <c r="Q41" s="30"/>
      <c r="R41" s="30">
        <f>(1 - CUSTOS!$M$33)*1.06</f>
        <v>0.63600000000000001</v>
      </c>
      <c r="S41" s="30"/>
      <c r="T41" s="30">
        <f>1 - CUSTOS!$M$33</f>
        <v>0.6</v>
      </c>
      <c r="U41" s="30">
        <f>1 - CUSTOS!$M$33</f>
        <v>0.6</v>
      </c>
      <c r="V41" s="30">
        <f>1 - CUSTOS!$M$33</f>
        <v>0.6</v>
      </c>
      <c r="W41" s="30"/>
      <c r="X41" s="30"/>
      <c r="Y41" s="30"/>
      <c r="Z41" s="30">
        <f>1 - CUSTOS!$M$33</f>
        <v>0.6</v>
      </c>
      <c r="AA41" s="30"/>
      <c r="AB41" s="30"/>
    </row>
    <row r="43" spans="1:28" ht="11.25" customHeight="1" x14ac:dyDescent="0.25">
      <c r="K43" s="35" t="s">
        <v>767</v>
      </c>
      <c r="L43" s="30">
        <f t="shared" ref="L43:AB43" si="0">SUMPRODUCT($I$5:$I$41,L$5:L$41)</f>
        <v>487316.49524999998</v>
      </c>
      <c r="M43" s="30">
        <f t="shared" si="0"/>
        <v>487316.49524999998</v>
      </c>
      <c r="N43" s="30">
        <f t="shared" si="0"/>
        <v>487316.49524999998</v>
      </c>
      <c r="O43" s="30">
        <f t="shared" si="0"/>
        <v>487316.49524999998</v>
      </c>
      <c r="P43" s="30">
        <f t="shared" si="0"/>
        <v>487316.49524999998</v>
      </c>
      <c r="Q43" s="30">
        <f t="shared" si="0"/>
        <v>0</v>
      </c>
      <c r="R43" s="30">
        <f t="shared" si="0"/>
        <v>515232.40690499998</v>
      </c>
      <c r="S43" s="30">
        <f t="shared" si="0"/>
        <v>0</v>
      </c>
      <c r="T43" s="30">
        <f t="shared" si="0"/>
        <v>487316.49524999998</v>
      </c>
      <c r="U43" s="30">
        <f t="shared" si="0"/>
        <v>487316.49524999998</v>
      </c>
      <c r="V43" s="30">
        <f t="shared" si="0"/>
        <v>487316.49524999998</v>
      </c>
      <c r="W43" s="30">
        <f t="shared" si="0"/>
        <v>0</v>
      </c>
      <c r="X43" s="30">
        <f t="shared" si="0"/>
        <v>0</v>
      </c>
      <c r="Y43" s="30">
        <f t="shared" si="0"/>
        <v>0</v>
      </c>
      <c r="Z43" s="30">
        <f t="shared" si="0"/>
        <v>487316.49524999998</v>
      </c>
      <c r="AA43" s="30">
        <f t="shared" si="0"/>
        <v>0</v>
      </c>
      <c r="AB43" s="30">
        <f t="shared" si="0"/>
        <v>0</v>
      </c>
    </row>
    <row r="44" spans="1:28" ht="11.25" customHeight="1" x14ac:dyDescent="0.25">
      <c r="K44" s="35" t="s">
        <v>686</v>
      </c>
      <c r="L44" s="30">
        <f>CUSTOS!$D$30</f>
        <v>1547247.5504463778</v>
      </c>
      <c r="M44" s="30">
        <f>CUSTOS!$D$31</f>
        <v>13955488.450000001</v>
      </c>
      <c r="N44" s="30">
        <f>CUSTOS!$D$32</f>
        <v>0</v>
      </c>
      <c r="O44" s="30">
        <f>CUSTOS!$D$33</f>
        <v>5157975.3383182185</v>
      </c>
      <c r="P44" s="30">
        <f>CUSTOS!$D$34</f>
        <v>-8064467.3899999997</v>
      </c>
      <c r="Q44" s="30">
        <f>CUSTOS!$D$35</f>
        <v>12596243.948764596</v>
      </c>
      <c r="R44" s="30">
        <f>CUSTOS!$D$36</f>
        <v>125601206.97116724</v>
      </c>
      <c r="S44" s="30">
        <f>CUSTOS!$D$37</f>
        <v>125601206.97116724</v>
      </c>
      <c r="T44" s="30">
        <f>CUSTOS!$D$38</f>
        <v>3309508.075408096</v>
      </c>
      <c r="U44" s="30">
        <f>CUSTOS!$D$39</f>
        <v>2280040.2482939754</v>
      </c>
      <c r="V44" s="30">
        <f>CUSTOS!$D$40</f>
        <v>0</v>
      </c>
      <c r="W44" s="30">
        <f>CUSTOS!$D$41</f>
        <v>5589548.3237020709</v>
      </c>
      <c r="X44" s="30">
        <f>CUSTOS!$D$42</f>
        <v>0</v>
      </c>
      <c r="Y44" s="30">
        <f>CUSTOS!$D$43</f>
        <v>0</v>
      </c>
      <c r="Z44" s="30">
        <f>CUSTOS!$D$44</f>
        <v>3876765.2458366361</v>
      </c>
      <c r="AA44" s="30">
        <f>CUSTOS!$D$45</f>
        <v>3876765.2458366361</v>
      </c>
      <c r="AB44" s="30">
        <f>CUSTOS!$D$46</f>
        <v>147663764.48947054</v>
      </c>
    </row>
    <row r="45" spans="1:28" ht="11.25" customHeight="1" x14ac:dyDescent="0.25">
      <c r="K45" s="35" t="s">
        <v>687</v>
      </c>
      <c r="L45" s="30">
        <f>CUSTOS!$E$30</f>
        <v>1.6251823968117272</v>
      </c>
      <c r="M45" s="30">
        <f>CUSTOS!$E$31</f>
        <v>-1927337.176929784</v>
      </c>
      <c r="N45" s="30">
        <f>CUSTOS!$E$32</f>
        <v>0</v>
      </c>
      <c r="O45" s="30">
        <f>CUSTOS!$E$33</f>
        <v>75017.44241902011</v>
      </c>
      <c r="P45" s="30">
        <f>CUSTOS!$E$34</f>
        <v>0</v>
      </c>
      <c r="Q45" s="30">
        <f>CUSTOS!$E$35</f>
        <v>-1852318.1093283673</v>
      </c>
      <c r="R45" s="30">
        <f>CUSTOS!$E$36</f>
        <v>5525366.701882883</v>
      </c>
      <c r="S45" s="30">
        <f>CUSTOS!$E$37</f>
        <v>5525366.701882883</v>
      </c>
      <c r="T45" s="30">
        <f>CUSTOS!$E$38</f>
        <v>229031.73735434609</v>
      </c>
      <c r="U45" s="30">
        <f>CUSTOS!$E$39</f>
        <v>190800.61359658238</v>
      </c>
      <c r="V45" s="30">
        <f>CUSTOS!$E$40</f>
        <v>0</v>
      </c>
      <c r="W45" s="30">
        <f>CUSTOS!$E$41</f>
        <v>419832.35095092846</v>
      </c>
      <c r="X45" s="30">
        <f>CUSTOS!$E$42</f>
        <v>-4356753.4902680693</v>
      </c>
      <c r="Y45" s="30">
        <f>CUSTOS!$E$43</f>
        <v>-4356753.4902680693</v>
      </c>
      <c r="Z45" s="30">
        <f>CUSTOS!$E$44</f>
        <v>170544.13820465765</v>
      </c>
      <c r="AA45" s="30">
        <f>CUSTOS!$E$45</f>
        <v>170544.13820465765</v>
      </c>
      <c r="AB45" s="30">
        <f>CUSTOS!$E$46</f>
        <v>-93328.408557967574</v>
      </c>
    </row>
    <row r="46" spans="1:28" ht="11.25" customHeight="1" x14ac:dyDescent="0.25">
      <c r="K46" s="35" t="s">
        <v>688</v>
      </c>
      <c r="L46" s="30">
        <f>CUSTOS!$F$30</f>
        <v>0</v>
      </c>
      <c r="M46" s="30">
        <f>CUSTOS!$F$31</f>
        <v>4743030.0866999999</v>
      </c>
      <c r="N46" s="30">
        <f>CUSTOS!$F$32</f>
        <v>0</v>
      </c>
      <c r="O46" s="30">
        <f>CUSTOS!$F$33</f>
        <v>354705.17188565916</v>
      </c>
      <c r="P46" s="30">
        <f>CUSTOS!$F$34</f>
        <v>0</v>
      </c>
      <c r="Q46" s="30">
        <f>CUSTOS!$F$35</f>
        <v>5097735.2585856589</v>
      </c>
      <c r="R46" s="30">
        <f>CUSTOS!$F$36</f>
        <v>2107013.5999463112</v>
      </c>
      <c r="S46" s="30">
        <f>CUSTOS!$F$37</f>
        <v>2107013.5999463112</v>
      </c>
      <c r="T46" s="30">
        <f>CUSTOS!$F$38</f>
        <v>636967.30110000004</v>
      </c>
      <c r="U46" s="30">
        <f>CUSTOS!$F$39</f>
        <v>109099.95011400947</v>
      </c>
      <c r="V46" s="30">
        <f>CUSTOS!$F$40</f>
        <v>0</v>
      </c>
      <c r="W46" s="30">
        <f>CUSTOS!$F$41</f>
        <v>746067.25121400948</v>
      </c>
      <c r="X46" s="30">
        <f>CUSTOS!$F$42</f>
        <v>0</v>
      </c>
      <c r="Y46" s="30">
        <f>CUSTOS!$F$43</f>
        <v>0</v>
      </c>
      <c r="Z46" s="30">
        <f>CUSTOS!$F$44</f>
        <v>65034.383775086797</v>
      </c>
      <c r="AA46" s="30">
        <f>CUSTOS!$F$45</f>
        <v>65034.383775086797</v>
      </c>
      <c r="AB46" s="30">
        <f>CUSTOS!$F$46</f>
        <v>8015850.4935210673</v>
      </c>
    </row>
    <row r="47" spans="1:28" ht="11.25" customHeight="1" x14ac:dyDescent="0.25">
      <c r="K47" s="35" t="s">
        <v>768</v>
      </c>
      <c r="L47" s="30">
        <f>IF(SUMPRODUCT($I$5:$I$41,$L$5:$L$41)&lt;&gt;0,L44/SUMPRODUCT($I$5:$I$41,$L$5:$L$41),0)</f>
        <v>3.175036276275891</v>
      </c>
      <c r="M47" s="30">
        <f>IF(SUMPRODUCT($I$5:$I$41,$M$5:$M$41)&lt;&gt;0,M44/SUMPRODUCT($I$5:$I$41,$M$5:$M$41),0)</f>
        <v>28.637422673001549</v>
      </c>
      <c r="N47" s="30">
        <f>IF(SUMPRODUCT($I$5:$I$41,$N$5:$N$41)&lt;&gt;0,N44/SUMPRODUCT($I$5:$I$41,$N$5:$N$41),0)</f>
        <v>0</v>
      </c>
      <c r="O47" s="30">
        <f>IF(SUMPRODUCT($I$5:$I$41,$O$5:$O$41)&lt;&gt;0,O44/SUMPRODUCT($I$5:$I$41,$O$5:$O$41),0)</f>
        <v>10.584446429772724</v>
      </c>
      <c r="P47" s="30">
        <f>IF(SUMPRODUCT($I$5:$I$41,$P$5:$P$41)&lt;&gt;0,P44/SUMPRODUCT($I$5:$I$41,$P$5:$P$41),0)</f>
        <v>-16.54872648187872</v>
      </c>
      <c r="Q47" s="30"/>
      <c r="R47" s="30">
        <f>IF((CUSTOS!$M$12-CUSTOS!$M$13)&lt;&gt;0,(CUSTOS!$M$12*CUSTOS!$M$14)/(CUSTOS!$M$12-CUSTOS!$M$13),0)</f>
        <v>258.79440533899322</v>
      </c>
      <c r="S47" s="30"/>
      <c r="T47" s="30">
        <f>IF(SUMPRODUCT($I$5:$I$41,$T$5:$T$41)&lt;&gt;0,T44/SUMPRODUCT($I$5:$I$41,$T$5:$T$41),0)</f>
        <v>6.7912908913749641</v>
      </c>
      <c r="U47" s="30">
        <f>IF(SUMPRODUCT($I$5:$I$41,$U$5:$U$41)&lt;&gt;0,U44/SUMPRODUCT($I$5:$I$41,$U$5:$U$41),0)</f>
        <v>4.6787668189320861</v>
      </c>
      <c r="V47" s="30">
        <f>IF(SUMPRODUCT($I$5:$I$41,$V$5:$V$41)&lt;&gt;0,V44/SUMPRODUCT($I$5:$I$41,$V$5:$V$41),0)</f>
        <v>0</v>
      </c>
      <c r="W47" s="30"/>
      <c r="X47" s="30">
        <f>IF(SUMPRODUCT($I$5:$I$41,$X$5:$X$41)&lt;&gt;0,X44/SUMPRODUCT($I$5:$I$41,$X$5:$X$41),0)</f>
        <v>0</v>
      </c>
      <c r="Y47" s="30"/>
      <c r="Z47" s="30">
        <f>IF(SUMPRODUCT($I$5:$I$41,$Z$5:$Z$41)&lt;&gt;0,Z44/SUMPRODUCT($I$5:$I$41,$Z$5:$Z$41),0)</f>
        <v>7.955333512459501</v>
      </c>
      <c r="AA47" s="30"/>
      <c r="AB47" s="30"/>
    </row>
    <row r="48" spans="1:28" ht="11.25" customHeight="1" x14ac:dyDescent="0.25">
      <c r="K48" s="35" t="s">
        <v>769</v>
      </c>
      <c r="L48" s="30">
        <f>IF(L43&lt;&gt;0,(L44-L47*0)/(L43-0),0)</f>
        <v>3.175036276275891</v>
      </c>
      <c r="M48" s="30">
        <f>IF(M43&lt;&gt;0,(M44-M47*0)/(M43-0),0)</f>
        <v>28.637422673001549</v>
      </c>
      <c r="N48" s="30">
        <f>IF(N43&lt;&gt;0,(N44-N47*0)/(N43-0),0)</f>
        <v>0</v>
      </c>
      <c r="O48" s="30">
        <f>IF(O43&lt;&gt;0,(O44-O47*0)/(O43-0),0)</f>
        <v>10.584446429772724</v>
      </c>
      <c r="P48" s="30">
        <f>IF(P43&lt;&gt;0,(P44-P47*0)/(P43-0),0)</f>
        <v>-16.54872648187872</v>
      </c>
      <c r="Q48" s="30"/>
      <c r="R48" s="30">
        <f>IF(R43&lt;&gt;0,(R44-R47*0)/(R43-0),0)</f>
        <v>243.77582870932639</v>
      </c>
      <c r="S48" s="30"/>
      <c r="T48" s="30">
        <f>IF(T43&lt;&gt;0,(T44-T47*0)/(T43-0),0)</f>
        <v>6.7912908913749641</v>
      </c>
      <c r="U48" s="30">
        <f>IF(U43&lt;&gt;0,(U44-U47*0)/(U43-0),0)</f>
        <v>4.6787668189320861</v>
      </c>
      <c r="V48" s="30">
        <f>IF(V43&lt;&gt;0,(V44-V47*0)/(V43-0),0)</f>
        <v>0</v>
      </c>
      <c r="W48" s="30"/>
      <c r="X48" s="30">
        <f>IF(X43&lt;&gt;0,(X44-X47*0)/(X43-0),0)</f>
        <v>0</v>
      </c>
      <c r="Y48" s="30"/>
      <c r="Z48" s="30">
        <f>IF(Z43&lt;&gt;0,(Z44-Z47*0)/(Z43-0),0)</f>
        <v>7.955333512459501</v>
      </c>
      <c r="AA48" s="30"/>
      <c r="AB48" s="30"/>
    </row>
    <row r="49" spans="11:28" ht="11.25" customHeight="1" x14ac:dyDescent="0.25">
      <c r="K49" s="35" t="s">
        <v>770</v>
      </c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</row>
  </sheetData>
  <mergeCells count="61">
    <mergeCell ref="F5:F6"/>
    <mergeCell ref="A5:A6"/>
    <mergeCell ref="B5:B6"/>
    <mergeCell ref="C5:C6"/>
    <mergeCell ref="D5:D6"/>
    <mergeCell ref="E5:E6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E28:E30"/>
    <mergeCell ref="F28:F30"/>
    <mergeCell ref="A20:A34"/>
    <mergeCell ref="B20:B22"/>
    <mergeCell ref="C20:C22"/>
    <mergeCell ref="D20:D22"/>
    <mergeCell ref="E20:E22"/>
    <mergeCell ref="F20:F22"/>
    <mergeCell ref="B24:B26"/>
    <mergeCell ref="C24:C26"/>
    <mergeCell ref="D24:D26"/>
    <mergeCell ref="E24:E26"/>
    <mergeCell ref="F1:F4"/>
    <mergeCell ref="E35:E37"/>
    <mergeCell ref="F35:F37"/>
    <mergeCell ref="A40:A41"/>
    <mergeCell ref="B40:B41"/>
    <mergeCell ref="C40:C41"/>
    <mergeCell ref="B32:B34"/>
    <mergeCell ref="C32:C34"/>
    <mergeCell ref="A35:A39"/>
    <mergeCell ref="B35:B37"/>
    <mergeCell ref="C35:C37"/>
    <mergeCell ref="D35:D37"/>
    <mergeCell ref="F24:F26"/>
    <mergeCell ref="B28:B30"/>
    <mergeCell ref="C28:C30"/>
    <mergeCell ref="D28:D30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CA648-AF73-4C30-B528-A925C4D54FBE}">
  <dimension ref="A1:AB49"/>
  <sheetViews>
    <sheetView showGridLines="0" topLeftCell="Q28" workbookViewId="0">
      <selection activeCell="AB43" sqref="AB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.85546875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29" t="s">
        <v>70</v>
      </c>
      <c r="B1" s="129" t="s">
        <v>71</v>
      </c>
      <c r="C1" s="129" t="s">
        <v>72</v>
      </c>
      <c r="D1" s="129" t="s">
        <v>73</v>
      </c>
      <c r="E1" s="129" t="s">
        <v>74</v>
      </c>
      <c r="F1" s="129" t="s">
        <v>15</v>
      </c>
      <c r="G1" s="129" t="s">
        <v>76</v>
      </c>
      <c r="H1" s="129" t="s">
        <v>77</v>
      </c>
      <c r="I1" s="129" t="s">
        <v>745</v>
      </c>
      <c r="J1" s="108"/>
      <c r="L1" s="127" t="s">
        <v>771</v>
      </c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</row>
    <row r="2" spans="1:28" ht="11.25" customHeight="1" x14ac:dyDescent="0.25">
      <c r="A2" s="129"/>
      <c r="B2" s="129"/>
      <c r="C2" s="129"/>
      <c r="D2" s="129"/>
      <c r="E2" s="129"/>
      <c r="F2" s="129"/>
      <c r="G2" s="129"/>
      <c r="H2" s="129"/>
      <c r="I2" s="129"/>
      <c r="J2" s="108"/>
      <c r="L2" s="127" t="s">
        <v>672</v>
      </c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</row>
    <row r="3" spans="1:28" ht="11.25" customHeight="1" x14ac:dyDescent="0.25">
      <c r="A3" s="129"/>
      <c r="B3" s="129"/>
      <c r="C3" s="129"/>
      <c r="D3" s="129"/>
      <c r="E3" s="129"/>
      <c r="F3" s="129"/>
      <c r="G3" s="129"/>
      <c r="H3" s="129"/>
      <c r="I3" s="129"/>
      <c r="J3" s="108"/>
      <c r="L3" s="127" t="s">
        <v>645</v>
      </c>
      <c r="M3" s="127"/>
      <c r="N3" s="127"/>
      <c r="O3" s="127"/>
      <c r="P3" s="127"/>
      <c r="Q3" s="127"/>
      <c r="R3" s="127" t="s">
        <v>676</v>
      </c>
      <c r="S3" s="127"/>
      <c r="T3" s="127" t="s">
        <v>654</v>
      </c>
      <c r="U3" s="127"/>
      <c r="V3" s="127"/>
      <c r="W3" s="127"/>
      <c r="X3" s="127" t="s">
        <v>664</v>
      </c>
      <c r="Y3" s="127"/>
      <c r="Z3" s="127" t="s">
        <v>667</v>
      </c>
      <c r="AA3" s="127"/>
      <c r="AB3" s="127" t="s">
        <v>653</v>
      </c>
    </row>
    <row r="4" spans="1:28" ht="11.25" customHeight="1" x14ac:dyDescent="0.25">
      <c r="A4" s="129"/>
      <c r="B4" s="129"/>
      <c r="C4" s="129"/>
      <c r="D4" s="129"/>
      <c r="E4" s="129"/>
      <c r="F4" s="129"/>
      <c r="G4" s="129"/>
      <c r="H4" s="129"/>
      <c r="I4" s="129"/>
      <c r="J4" s="108"/>
      <c r="L4" s="34" t="s">
        <v>647</v>
      </c>
      <c r="M4" s="34" t="s">
        <v>673</v>
      </c>
      <c r="N4" s="34" t="s">
        <v>674</v>
      </c>
      <c r="O4" s="34" t="s">
        <v>733</v>
      </c>
      <c r="P4" s="34" t="s">
        <v>675</v>
      </c>
      <c r="Q4" s="34" t="s">
        <v>653</v>
      </c>
      <c r="R4" s="34" t="s">
        <v>677</v>
      </c>
      <c r="S4" s="34" t="s">
        <v>653</v>
      </c>
      <c r="T4" s="34" t="s">
        <v>678</v>
      </c>
      <c r="U4" s="34" t="s">
        <v>679</v>
      </c>
      <c r="V4" s="34" t="s">
        <v>680</v>
      </c>
      <c r="W4" s="34" t="s">
        <v>653</v>
      </c>
      <c r="X4" s="34" t="s">
        <v>665</v>
      </c>
      <c r="Y4" s="34" t="s">
        <v>653</v>
      </c>
      <c r="Z4" s="34" t="s">
        <v>681</v>
      </c>
      <c r="AA4" s="34" t="s">
        <v>653</v>
      </c>
      <c r="AB4" s="128"/>
    </row>
    <row r="5" spans="1:28" ht="11.25" customHeight="1" x14ac:dyDescent="0.25">
      <c r="A5" s="130" t="s">
        <v>39</v>
      </c>
      <c r="B5" s="130" t="s">
        <v>79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81</v>
      </c>
      <c r="H5" s="32" t="s">
        <v>80</v>
      </c>
      <c r="I5" s="32">
        <f>'MERCADO TE'!$U$2</f>
        <v>3135.924</v>
      </c>
      <c r="J5" s="17"/>
      <c r="L5" s="30">
        <f>'TR TE'!$L$5*'TR TE'!$L$48</f>
        <v>3.175036276275891</v>
      </c>
      <c r="M5" s="30">
        <f>'TR TE'!$M$5*'TR TE'!$M$48</f>
        <v>28.637422673001549</v>
      </c>
      <c r="N5" s="30">
        <f>'TR TE'!$N$5*'TR TE'!$N$48</f>
        <v>0</v>
      </c>
      <c r="O5" s="30">
        <f>'TR TE'!$O$5*'TR TE'!$O$48</f>
        <v>10.584446429772724</v>
      </c>
      <c r="P5" s="30">
        <f>'TR TE'!$P$5*'TR TE'!$P$48</f>
        <v>-16.54872648187872</v>
      </c>
      <c r="Q5" s="30">
        <f>SUM($L$5:$P$5)</f>
        <v>25.84817889717144</v>
      </c>
      <c r="R5" s="30">
        <f>'TR TE'!$R$5*'TR TE'!$R$48</f>
        <v>419.29442538004139</v>
      </c>
      <c r="S5" s="30">
        <f>SUM($R$5:$R$5)</f>
        <v>419.29442538004139</v>
      </c>
      <c r="T5" s="30">
        <f>'TR TE'!$T$5*'TR TE'!$T$48</f>
        <v>6.7912908913749641</v>
      </c>
      <c r="U5" s="30">
        <f>'TR TE'!$U$5*'TR TE'!$U$48</f>
        <v>4.6787668189320861</v>
      </c>
      <c r="V5" s="30">
        <f>'TR TE'!$V$5*'TR TE'!$V$48</f>
        <v>0</v>
      </c>
      <c r="W5" s="30">
        <f>SUM($T$5:$V$5)</f>
        <v>11.470057710307049</v>
      </c>
      <c r="X5" s="30"/>
      <c r="Y5" s="30">
        <f>SUM($X$5:$X$5)</f>
        <v>0</v>
      </c>
      <c r="Z5" s="30">
        <f>'TR TE'!$Z$5*'TR TE'!$Z$48</f>
        <v>7.955333512459501</v>
      </c>
      <c r="AA5" s="30">
        <f>SUM($Z$5:$Z$5)</f>
        <v>7.955333512459501</v>
      </c>
      <c r="AB5" s="30">
        <f>SUMIF($L$4:$AA$4,"SUBTOTAL",$L$5:$AA$5)</f>
        <v>464.56799549997942</v>
      </c>
    </row>
    <row r="6" spans="1:28" ht="11.25" customHeight="1" x14ac:dyDescent="0.25">
      <c r="A6" s="130"/>
      <c r="B6" s="130"/>
      <c r="C6" s="130"/>
      <c r="D6" s="130"/>
      <c r="E6" s="130"/>
      <c r="F6" s="130"/>
      <c r="G6" s="32" t="s">
        <v>82</v>
      </c>
      <c r="H6" s="32" t="s">
        <v>80</v>
      </c>
      <c r="I6" s="32">
        <f>'MERCADO TE'!$U$3</f>
        <v>56204.419000000002</v>
      </c>
      <c r="J6" s="17"/>
      <c r="L6" s="30">
        <f>'TR TE'!$L$6*'TR TE'!$L$48</f>
        <v>3.175036276275891</v>
      </c>
      <c r="M6" s="30">
        <f>'TR TE'!$M$6*'TR TE'!$M$48</f>
        <v>28.637422673001549</v>
      </c>
      <c r="N6" s="30">
        <f>'TR TE'!$N$6*'TR TE'!$N$48</f>
        <v>0</v>
      </c>
      <c r="O6" s="30">
        <f>'TR TE'!$O$6*'TR TE'!$O$48</f>
        <v>10.584446429772724</v>
      </c>
      <c r="P6" s="30">
        <f>'TR TE'!$P$6*'TR TE'!$P$48</f>
        <v>-16.54872648187872</v>
      </c>
      <c r="Q6" s="30">
        <f>SUM($L$6:$P$6)</f>
        <v>25.84817889717144</v>
      </c>
      <c r="R6" s="30">
        <f>'TR TE'!$R$6*'TR TE'!$R$48</f>
        <v>243.77582870932639</v>
      </c>
      <c r="S6" s="30">
        <f>SUM($R$6:$R$6)</f>
        <v>243.77582870932639</v>
      </c>
      <c r="T6" s="30">
        <f>'TR TE'!$T$6*'TR TE'!$T$48</f>
        <v>6.7912908913749641</v>
      </c>
      <c r="U6" s="30">
        <f>'TR TE'!$U$6*'TR TE'!$U$48</f>
        <v>4.6787668189320861</v>
      </c>
      <c r="V6" s="30">
        <f>'TR TE'!$V$6*'TR TE'!$V$48</f>
        <v>0</v>
      </c>
      <c r="W6" s="30">
        <f>SUM($T$6:$V$6)</f>
        <v>11.470057710307049</v>
      </c>
      <c r="X6" s="30"/>
      <c r="Y6" s="30">
        <f>SUM($X$6:$X$6)</f>
        <v>0</v>
      </c>
      <c r="Z6" s="30">
        <f>'TR TE'!$Z$6*'TR TE'!$Z$48</f>
        <v>7.955333512459501</v>
      </c>
      <c r="AA6" s="30">
        <f>SUM($Z$6:$Z$6)</f>
        <v>7.955333512459501</v>
      </c>
      <c r="AB6" s="30">
        <f>SUMIF($L$4:$AA$4,"SUBTOTAL",$L$6:$AA$6)</f>
        <v>289.04939882926442</v>
      </c>
    </row>
    <row r="7" spans="1:28" ht="11.25" customHeight="1" x14ac:dyDescent="0.25">
      <c r="A7" s="130" t="s">
        <v>22</v>
      </c>
      <c r="B7" s="130" t="s">
        <v>79</v>
      </c>
      <c r="C7" s="130" t="s">
        <v>24</v>
      </c>
      <c r="D7" s="130" t="s">
        <v>24</v>
      </c>
      <c r="E7" s="130" t="s">
        <v>25</v>
      </c>
      <c r="F7" s="130" t="s">
        <v>25</v>
      </c>
      <c r="G7" s="32" t="s">
        <v>81</v>
      </c>
      <c r="H7" s="32" t="s">
        <v>80</v>
      </c>
      <c r="I7" s="32">
        <f>'MERCADO TE'!$U$4</f>
        <v>17.608000000000004</v>
      </c>
      <c r="J7" s="17"/>
      <c r="L7" s="30">
        <f>'TR TE'!$L$7*'TR TE'!$L$48</f>
        <v>3.175036276275891</v>
      </c>
      <c r="M7" s="30">
        <f>'TR TE'!$M$7*'TR TE'!$M$48</f>
        <v>28.637422673001549</v>
      </c>
      <c r="N7" s="30">
        <f>'TR TE'!$N$7*'TR TE'!$N$48</f>
        <v>0</v>
      </c>
      <c r="O7" s="30">
        <f>'TR TE'!$O$7*'TR TE'!$O$48</f>
        <v>10.584446429772724</v>
      </c>
      <c r="P7" s="30">
        <f>'TR TE'!$P$7*'TR TE'!$P$48</f>
        <v>-16.54872648187872</v>
      </c>
      <c r="Q7" s="30">
        <f>SUM($L$7:$P$7)</f>
        <v>25.84817889717144</v>
      </c>
      <c r="R7" s="30">
        <f>'TR TE'!$R$7*'TR TE'!$R$48</f>
        <v>419.29442538004139</v>
      </c>
      <c r="S7" s="30">
        <f>SUM($R$7:$R$7)</f>
        <v>419.29442538004139</v>
      </c>
      <c r="T7" s="30">
        <f>'TR TE'!$T$7*'TR TE'!$T$48</f>
        <v>6.7912908913749641</v>
      </c>
      <c r="U7" s="30">
        <f>'TR TE'!$U$7*'TR TE'!$U$48</f>
        <v>4.6787668189320861</v>
      </c>
      <c r="V7" s="30">
        <f>'TR TE'!$V$7*'TR TE'!$V$48</f>
        <v>0</v>
      </c>
      <c r="W7" s="30">
        <f>SUM($T$7:$V$7)</f>
        <v>11.470057710307049</v>
      </c>
      <c r="X7" s="30"/>
      <c r="Y7" s="30">
        <f>SUM($X$7:$X$7)</f>
        <v>0</v>
      </c>
      <c r="Z7" s="30">
        <f>'TR TE'!$Z$7*'TR TE'!$Z$48</f>
        <v>7.955333512459501</v>
      </c>
      <c r="AA7" s="30">
        <f>SUM($Z$7:$Z$7)</f>
        <v>7.955333512459501</v>
      </c>
      <c r="AB7" s="30">
        <f>SUMIF($L$4:$AA$4,"SUBTOTAL",$L$7:$AA$7)</f>
        <v>464.56799549997942</v>
      </c>
    </row>
    <row r="8" spans="1:28" ht="11.25" customHeight="1" x14ac:dyDescent="0.25">
      <c r="A8" s="130"/>
      <c r="B8" s="130"/>
      <c r="C8" s="130"/>
      <c r="D8" s="130"/>
      <c r="E8" s="130"/>
      <c r="F8" s="130"/>
      <c r="G8" s="32" t="s">
        <v>91</v>
      </c>
      <c r="H8" s="32" t="s">
        <v>80</v>
      </c>
      <c r="I8" s="32">
        <f>'MERCADO TE'!$U$5</f>
        <v>7.3439999999999994</v>
      </c>
      <c r="J8" s="17"/>
      <c r="L8" s="30">
        <f>'TR TE'!$L$8*'TR TE'!$L$48</f>
        <v>3.175036276275891</v>
      </c>
      <c r="M8" s="30">
        <f>'TR TE'!$M$8*'TR TE'!$M$48</f>
        <v>28.637422673001549</v>
      </c>
      <c r="N8" s="30">
        <f>'TR TE'!$N$8*'TR TE'!$N$48</f>
        <v>0</v>
      </c>
      <c r="O8" s="30">
        <f>'TR TE'!$O$8*'TR TE'!$O$48</f>
        <v>10.584446429772724</v>
      </c>
      <c r="P8" s="30">
        <f>'TR TE'!$P$8*'TR TE'!$P$48</f>
        <v>-16.54872648187872</v>
      </c>
      <c r="Q8" s="30">
        <f>SUM($L$8:$P$8)</f>
        <v>25.84817889717144</v>
      </c>
      <c r="R8" s="30">
        <f>'TR TE'!$R$8*'TR TE'!$R$48</f>
        <v>243.77582870932639</v>
      </c>
      <c r="S8" s="30">
        <f>SUM($R$8:$R$8)</f>
        <v>243.77582870932639</v>
      </c>
      <c r="T8" s="30">
        <f>'TR TE'!$T$8*'TR TE'!$T$48</f>
        <v>6.7912908913749641</v>
      </c>
      <c r="U8" s="30">
        <f>'TR TE'!$U$8*'TR TE'!$U$48</f>
        <v>4.6787668189320861</v>
      </c>
      <c r="V8" s="30">
        <f>'TR TE'!$V$8*'TR TE'!$V$48</f>
        <v>0</v>
      </c>
      <c r="W8" s="30">
        <f>SUM($T$8:$V$8)</f>
        <v>11.470057710307049</v>
      </c>
      <c r="X8" s="30"/>
      <c r="Y8" s="30">
        <f>SUM($X$8:$X$8)</f>
        <v>0</v>
      </c>
      <c r="Z8" s="30">
        <f>'TR TE'!$Z$8*'TR TE'!$Z$48</f>
        <v>7.955333512459501</v>
      </c>
      <c r="AA8" s="30">
        <f>SUM($Z$8:$Z$8)</f>
        <v>7.955333512459501</v>
      </c>
      <c r="AB8" s="30">
        <f>SUMIF($L$4:$AA$4,"SUBTOTAL",$L$8:$AA$8)</f>
        <v>289.04939882926442</v>
      </c>
    </row>
    <row r="9" spans="1:28" ht="11.25" customHeight="1" x14ac:dyDescent="0.25">
      <c r="A9" s="130"/>
      <c r="B9" s="130"/>
      <c r="C9" s="130"/>
      <c r="D9" s="130"/>
      <c r="E9" s="130"/>
      <c r="F9" s="130"/>
      <c r="G9" s="32" t="s">
        <v>82</v>
      </c>
      <c r="H9" s="32" t="s">
        <v>80</v>
      </c>
      <c r="I9" s="32">
        <f>'MERCADO TE'!$U$6</f>
        <v>120.18199999999999</v>
      </c>
      <c r="J9" s="17"/>
      <c r="L9" s="30">
        <f>'TR TE'!$L$9*'TR TE'!$L$48</f>
        <v>3.175036276275891</v>
      </c>
      <c r="M9" s="30">
        <f>'TR TE'!$M$9*'TR TE'!$M$48</f>
        <v>28.637422673001549</v>
      </c>
      <c r="N9" s="30">
        <f>'TR TE'!$N$9*'TR TE'!$N$48</f>
        <v>0</v>
      </c>
      <c r="O9" s="30">
        <f>'TR TE'!$O$9*'TR TE'!$O$48</f>
        <v>10.584446429772724</v>
      </c>
      <c r="P9" s="30">
        <f>'TR TE'!$P$9*'TR TE'!$P$48</f>
        <v>-16.54872648187872</v>
      </c>
      <c r="Q9" s="30">
        <f>SUM($L$9:$P$9)</f>
        <v>25.84817889717144</v>
      </c>
      <c r="R9" s="30">
        <f>'TR TE'!$R$9*'TR TE'!$R$48</f>
        <v>243.77582870932639</v>
      </c>
      <c r="S9" s="30">
        <f>SUM($R$9:$R$9)</f>
        <v>243.77582870932639</v>
      </c>
      <c r="T9" s="30">
        <f>'TR TE'!$T$9*'TR TE'!$T$48</f>
        <v>6.7912908913749641</v>
      </c>
      <c r="U9" s="30">
        <f>'TR TE'!$U$9*'TR TE'!$U$48</f>
        <v>4.6787668189320861</v>
      </c>
      <c r="V9" s="30">
        <f>'TR TE'!$V$9*'TR TE'!$V$48</f>
        <v>0</v>
      </c>
      <c r="W9" s="30">
        <f>SUM($T$9:$V$9)</f>
        <v>11.470057710307049</v>
      </c>
      <c r="X9" s="30"/>
      <c r="Y9" s="30">
        <f>SUM($X$9:$X$9)</f>
        <v>0</v>
      </c>
      <c r="Z9" s="30">
        <f>'TR TE'!$Z$9*'TR TE'!$Z$48</f>
        <v>7.955333512459501</v>
      </c>
      <c r="AA9" s="30">
        <f>SUM($Z$9:$Z$9)</f>
        <v>7.955333512459501</v>
      </c>
      <c r="AB9" s="30">
        <f>SUMIF($L$4:$AA$4,"SUBTOTAL",$L$9:$AA$9)</f>
        <v>289.04939882926442</v>
      </c>
    </row>
    <row r="10" spans="1:28" ht="11.25" customHeight="1" x14ac:dyDescent="0.25">
      <c r="A10" s="130"/>
      <c r="B10" s="130" t="s">
        <v>92</v>
      </c>
      <c r="C10" s="130" t="s">
        <v>24</v>
      </c>
      <c r="D10" s="33" t="s">
        <v>24</v>
      </c>
      <c r="E10" s="33" t="s">
        <v>25</v>
      </c>
      <c r="F10" s="33" t="s">
        <v>25</v>
      </c>
      <c r="G10" s="32" t="s">
        <v>86</v>
      </c>
      <c r="H10" s="32" t="s">
        <v>80</v>
      </c>
      <c r="I10" s="32">
        <f>'MERCADO TE'!$U$7</f>
        <v>125132.74900000001</v>
      </c>
      <c r="J10" s="17"/>
      <c r="L10" s="30">
        <f>'TR TE'!$L$10*'TR TE'!$L$48</f>
        <v>3.175036276275891</v>
      </c>
      <c r="M10" s="30">
        <f>'TR TE'!$M$10*'TR TE'!$M$48</f>
        <v>28.637422673001549</v>
      </c>
      <c r="N10" s="30">
        <f>'TR TE'!$N$10*'TR TE'!$N$48</f>
        <v>0</v>
      </c>
      <c r="O10" s="30">
        <f>'TR TE'!$O$10*'TR TE'!$O$48</f>
        <v>10.584446429772724</v>
      </c>
      <c r="P10" s="30">
        <f>'TR TE'!$P$10*'TR TE'!$P$48</f>
        <v>-16.54872648187872</v>
      </c>
      <c r="Q10" s="30">
        <f>SUM($L$10:$P$10)</f>
        <v>25.84817889717144</v>
      </c>
      <c r="R10" s="30">
        <f>'TR TE'!$R$10*'TR TE'!$R$48</f>
        <v>258.40237843188601</v>
      </c>
      <c r="S10" s="30">
        <f>SUM($R$10:$R$10)</f>
        <v>258.40237843188601</v>
      </c>
      <c r="T10" s="30">
        <f>'TR TE'!$T$10*'TR TE'!$T$48</f>
        <v>6.7912908913749641</v>
      </c>
      <c r="U10" s="30">
        <f>'TR TE'!$U$10*'TR TE'!$U$48</f>
        <v>4.6787668189320861</v>
      </c>
      <c r="V10" s="30">
        <f>'TR TE'!$V$10*'TR TE'!$V$48</f>
        <v>0</v>
      </c>
      <c r="W10" s="30">
        <f>SUM($T$10:$V$10)</f>
        <v>11.470057710307049</v>
      </c>
      <c r="X10" s="30"/>
      <c r="Y10" s="30">
        <f>SUM($X$10:$X$10)</f>
        <v>0</v>
      </c>
      <c r="Z10" s="30">
        <f>'TR TE'!$Z$10*'TR TE'!$Z$48</f>
        <v>7.955333512459501</v>
      </c>
      <c r="AA10" s="30">
        <f>SUM($Z$10:$Z$10)</f>
        <v>7.955333512459501</v>
      </c>
      <c r="AB10" s="30">
        <f>SUMIF($L$4:$AA$4,"SUBTOTAL",$L$10:$AA$10)</f>
        <v>303.67594855182404</v>
      </c>
    </row>
    <row r="11" spans="1:28" ht="11.25" customHeight="1" x14ac:dyDescent="0.25">
      <c r="A11" s="130"/>
      <c r="B11" s="130"/>
      <c r="C11" s="130"/>
      <c r="D11" s="33" t="s">
        <v>29</v>
      </c>
      <c r="E11" s="33" t="s">
        <v>25</v>
      </c>
      <c r="F11" s="33" t="s">
        <v>25</v>
      </c>
      <c r="G11" s="32" t="s">
        <v>86</v>
      </c>
      <c r="H11" s="32" t="s">
        <v>80</v>
      </c>
      <c r="I11" s="32">
        <f>'MERCADO TE'!$U$8</f>
        <v>4179.51</v>
      </c>
      <c r="J11" s="17"/>
      <c r="L11" s="30">
        <f>'TR TE'!$L$11*'TR TE'!$L$48</f>
        <v>3.175036276275891</v>
      </c>
      <c r="M11" s="30">
        <f>'TR TE'!$M$11*'TR TE'!$M$48</f>
        <v>28.637422673001549</v>
      </c>
      <c r="N11" s="30">
        <f>'TR TE'!$N$11*'TR TE'!$N$48</f>
        <v>0</v>
      </c>
      <c r="O11" s="30">
        <f>'TR TE'!$O$11*'TR TE'!$O$48</f>
        <v>10.584446429772724</v>
      </c>
      <c r="P11" s="30">
        <f>'TR TE'!$P$11*'TR TE'!$P$48</f>
        <v>-16.54872648187872</v>
      </c>
      <c r="Q11" s="30">
        <f>SUM($L$11:$P$11)</f>
        <v>25.84817889717144</v>
      </c>
      <c r="R11" s="30">
        <f>'TR TE'!$R$11*'TR TE'!$R$48</f>
        <v>258.40237843188601</v>
      </c>
      <c r="S11" s="30">
        <f>SUM($R$11:$R$11)</f>
        <v>258.40237843188601</v>
      </c>
      <c r="T11" s="30">
        <f>'TR TE'!$T$11*'TR TE'!$T$48</f>
        <v>6.7912908913749641</v>
      </c>
      <c r="U11" s="30">
        <f>'TR TE'!$U$11*'TR TE'!$U$48</f>
        <v>4.6787668189320861</v>
      </c>
      <c r="V11" s="30">
        <f>'TR TE'!$V$11*'TR TE'!$V$48</f>
        <v>0</v>
      </c>
      <c r="W11" s="30">
        <f>SUM($T$11:$V$11)</f>
        <v>11.470057710307049</v>
      </c>
      <c r="X11" s="30"/>
      <c r="Y11" s="30">
        <f>SUM($X$11:$X$11)</f>
        <v>0</v>
      </c>
      <c r="Z11" s="30">
        <f>'TR TE'!$Z$11*'TR TE'!$Z$48</f>
        <v>7.955333512459501</v>
      </c>
      <c r="AA11" s="30">
        <f>SUM($Z$11:$Z$11)</f>
        <v>7.955333512459501</v>
      </c>
      <c r="AB11" s="30">
        <f>SUMIF($L$4:$AA$4,"SUBTOTAL",$L$11:$AA$11)</f>
        <v>303.67594855182404</v>
      </c>
    </row>
    <row r="12" spans="1:28" ht="11.25" customHeight="1" x14ac:dyDescent="0.25">
      <c r="A12" s="130"/>
      <c r="B12" s="130"/>
      <c r="C12" s="130"/>
      <c r="D12" s="33" t="s">
        <v>30</v>
      </c>
      <c r="E12" s="33" t="s">
        <v>25</v>
      </c>
      <c r="F12" s="33" t="s">
        <v>25</v>
      </c>
      <c r="G12" s="32" t="s">
        <v>86</v>
      </c>
      <c r="H12" s="32" t="s">
        <v>80</v>
      </c>
      <c r="I12" s="32">
        <f>'MERCADO TE'!$U$9</f>
        <v>8380.1260000000002</v>
      </c>
      <c r="J12" s="17"/>
      <c r="L12" s="30">
        <f>'TR TE'!$L$12*'TR TE'!$L$48</f>
        <v>3.175036276275891</v>
      </c>
      <c r="M12" s="30">
        <f>'TR TE'!$M$12*'TR TE'!$M$48</f>
        <v>28.637422673001549</v>
      </c>
      <c r="N12" s="30">
        <f>'TR TE'!$N$12*'TR TE'!$N$48</f>
        <v>0</v>
      </c>
      <c r="O12" s="30">
        <f>'TR TE'!$O$12*'TR TE'!$O$48</f>
        <v>10.584446429772724</v>
      </c>
      <c r="P12" s="30">
        <f>'TR TE'!$P$12*'TR TE'!$P$48</f>
        <v>-16.54872648187872</v>
      </c>
      <c r="Q12" s="30">
        <f>SUM($L$12:$P$12)</f>
        <v>25.84817889717144</v>
      </c>
      <c r="R12" s="30">
        <f>'TR TE'!$R$12*'TR TE'!$R$48</f>
        <v>258.40237843188601</v>
      </c>
      <c r="S12" s="30">
        <f>SUM($R$12:$R$12)</f>
        <v>258.40237843188601</v>
      </c>
      <c r="T12" s="30">
        <f>'TR TE'!$T$12*'TR TE'!$T$48</f>
        <v>6.7912908913749641</v>
      </c>
      <c r="U12" s="30">
        <f>'TR TE'!$U$12*'TR TE'!$U$48</f>
        <v>4.6787668189320861</v>
      </c>
      <c r="V12" s="30">
        <f>'TR TE'!$V$12*'TR TE'!$V$48</f>
        <v>0</v>
      </c>
      <c r="W12" s="30">
        <f>SUM($T$12:$V$12)</f>
        <v>11.470057710307049</v>
      </c>
      <c r="X12" s="30"/>
      <c r="Y12" s="30">
        <f>SUM($X$12:$X$12)</f>
        <v>0</v>
      </c>
      <c r="Z12" s="30">
        <f>'TR TE'!$Z$12*'TR TE'!$Z$48</f>
        <v>7.955333512459501</v>
      </c>
      <c r="AA12" s="30">
        <f>SUM($Z$12:$Z$12)</f>
        <v>7.955333512459501</v>
      </c>
      <c r="AB12" s="30">
        <f>SUMIF($L$4:$AA$4,"SUBTOTAL",$L$12:$AA$12)</f>
        <v>303.67594855182404</v>
      </c>
    </row>
    <row r="13" spans="1:28" ht="11.25" customHeight="1" x14ac:dyDescent="0.25">
      <c r="A13" s="130"/>
      <c r="B13" s="130"/>
      <c r="C13" s="130"/>
      <c r="D13" s="33" t="s">
        <v>31</v>
      </c>
      <c r="E13" s="33" t="s">
        <v>25</v>
      </c>
      <c r="F13" s="33" t="s">
        <v>25</v>
      </c>
      <c r="G13" s="32" t="s">
        <v>86</v>
      </c>
      <c r="H13" s="32" t="s">
        <v>80</v>
      </c>
      <c r="I13" s="32">
        <f>'MERCADO TE'!$U$10</f>
        <v>6567.2470000000003</v>
      </c>
      <c r="J13" s="17"/>
      <c r="L13" s="30">
        <f>'TR TE'!$L$13*'TR TE'!$L$48</f>
        <v>3.175036276275891</v>
      </c>
      <c r="M13" s="30">
        <f>'TR TE'!$M$13*'TR TE'!$M$48</f>
        <v>28.637422673001549</v>
      </c>
      <c r="N13" s="30">
        <f>'TR TE'!$N$13*'TR TE'!$N$48</f>
        <v>0</v>
      </c>
      <c r="O13" s="30">
        <f>'TR TE'!$O$13*'TR TE'!$O$48</f>
        <v>10.584446429772724</v>
      </c>
      <c r="P13" s="30">
        <f>'TR TE'!$P$13*'TR TE'!$P$48</f>
        <v>-16.54872648187872</v>
      </c>
      <c r="Q13" s="30">
        <f>SUM($L$13:$P$13)</f>
        <v>25.84817889717144</v>
      </c>
      <c r="R13" s="30">
        <f>'TR TE'!$R$13*'TR TE'!$R$48</f>
        <v>258.40237843188601</v>
      </c>
      <c r="S13" s="30">
        <f>SUM($R$13:$R$13)</f>
        <v>258.40237843188601</v>
      </c>
      <c r="T13" s="30">
        <f>'TR TE'!$T$13*'TR TE'!$T$48</f>
        <v>6.7912908913749641</v>
      </c>
      <c r="U13" s="30">
        <f>'TR TE'!$U$13*'TR TE'!$U$48</f>
        <v>4.6787668189320861</v>
      </c>
      <c r="V13" s="30">
        <f>'TR TE'!$V$13*'TR TE'!$V$48</f>
        <v>0</v>
      </c>
      <c r="W13" s="30">
        <f>SUM($T$13:$V$13)</f>
        <v>11.470057710307049</v>
      </c>
      <c r="X13" s="30"/>
      <c r="Y13" s="30">
        <f>SUM($X$13:$X$13)</f>
        <v>0</v>
      </c>
      <c r="Z13" s="30">
        <f>'TR TE'!$Z$13*'TR TE'!$Z$48</f>
        <v>7.955333512459501</v>
      </c>
      <c r="AA13" s="30">
        <f>SUM($Z$13:$Z$13)</f>
        <v>7.955333512459501</v>
      </c>
      <c r="AB13" s="30">
        <f>SUMIF($L$4:$AA$4,"SUBTOTAL",$L$13:$AA$13)</f>
        <v>303.67594855182404</v>
      </c>
    </row>
    <row r="14" spans="1:28" ht="11.25" customHeight="1" x14ac:dyDescent="0.25">
      <c r="A14" s="130"/>
      <c r="B14" s="130"/>
      <c r="C14" s="130"/>
      <c r="D14" s="33" t="s">
        <v>32</v>
      </c>
      <c r="E14" s="33" t="s">
        <v>25</v>
      </c>
      <c r="F14" s="33" t="s">
        <v>25</v>
      </c>
      <c r="G14" s="32" t="s">
        <v>86</v>
      </c>
      <c r="H14" s="32" t="s">
        <v>80</v>
      </c>
      <c r="I14" s="32">
        <f>'MERCADO TE'!$U$11</f>
        <v>1878.684</v>
      </c>
      <c r="J14" s="17"/>
      <c r="L14" s="30">
        <f>'TR TE'!$L$14*'TR TE'!$L$48</f>
        <v>3.175036276275891</v>
      </c>
      <c r="M14" s="30">
        <f>'TR TE'!$M$14*'TR TE'!$M$48</f>
        <v>28.637422673001549</v>
      </c>
      <c r="N14" s="30">
        <f>'TR TE'!$N$14*'TR TE'!$N$48</f>
        <v>0</v>
      </c>
      <c r="O14" s="30">
        <f>'TR TE'!$O$14*'TR TE'!$O$48</f>
        <v>10.584446429772724</v>
      </c>
      <c r="P14" s="30">
        <f>'TR TE'!$P$14*'TR TE'!$P$48</f>
        <v>-16.54872648187872</v>
      </c>
      <c r="Q14" s="30">
        <f>SUM($L$14:$P$14)</f>
        <v>25.84817889717144</v>
      </c>
      <c r="R14" s="30">
        <f>'TR TE'!$R$14*'TR TE'!$R$48</f>
        <v>258.40237843188601</v>
      </c>
      <c r="S14" s="30">
        <f>SUM($R$14:$R$14)</f>
        <v>258.40237843188601</v>
      </c>
      <c r="T14" s="30">
        <f>'TR TE'!$T$14*'TR TE'!$T$48</f>
        <v>6.7912908913749641</v>
      </c>
      <c r="U14" s="30">
        <f>'TR TE'!$U$14*'TR TE'!$U$48</f>
        <v>4.6787668189320861</v>
      </c>
      <c r="V14" s="30">
        <f>'TR TE'!$V$14*'TR TE'!$V$48</f>
        <v>0</v>
      </c>
      <c r="W14" s="30">
        <f>SUM($T$14:$V$14)</f>
        <v>11.470057710307049</v>
      </c>
      <c r="X14" s="30"/>
      <c r="Y14" s="30">
        <f>SUM($X$14:$X$14)</f>
        <v>0</v>
      </c>
      <c r="Z14" s="30">
        <f>'TR TE'!$Z$14*'TR TE'!$Z$48</f>
        <v>7.955333512459501</v>
      </c>
      <c r="AA14" s="30">
        <f>SUM($Z$14:$Z$14)</f>
        <v>7.955333512459501</v>
      </c>
      <c r="AB14" s="30">
        <f>SUMIF($L$4:$AA$4,"SUBTOTAL",$L$14:$AA$14)</f>
        <v>303.67594855182404</v>
      </c>
    </row>
    <row r="15" spans="1:28" ht="11.25" customHeight="1" x14ac:dyDescent="0.25">
      <c r="A15" s="130"/>
      <c r="B15" s="130" t="s">
        <v>93</v>
      </c>
      <c r="C15" s="130" t="s">
        <v>24</v>
      </c>
      <c r="D15" s="33" t="s">
        <v>24</v>
      </c>
      <c r="E15" s="33" t="s">
        <v>25</v>
      </c>
      <c r="F15" s="33" t="s">
        <v>25</v>
      </c>
      <c r="G15" s="32" t="s">
        <v>86</v>
      </c>
      <c r="H15" s="32" t="s">
        <v>80</v>
      </c>
      <c r="I15" s="32">
        <f>'MERCADO TE'!$U$12</f>
        <v>0</v>
      </c>
      <c r="J15" s="17"/>
      <c r="L15" s="30">
        <f>'TR TE'!$L$15*'TR TE'!$L$48</f>
        <v>3.175036276275891</v>
      </c>
      <c r="M15" s="30">
        <f>'TR TE'!$M$15*'TR TE'!$M$48</f>
        <v>28.637422673001549</v>
      </c>
      <c r="N15" s="30">
        <f>'TR TE'!$N$15*'TR TE'!$N$48</f>
        <v>0</v>
      </c>
      <c r="O15" s="30">
        <f>'TR TE'!$O$15*'TR TE'!$O$48</f>
        <v>10.584446429772724</v>
      </c>
      <c r="P15" s="30">
        <f>'TR TE'!$P$15*'TR TE'!$P$48</f>
        <v>-16.54872648187872</v>
      </c>
      <c r="Q15" s="30">
        <f>SUM($L$15:$P$15)</f>
        <v>25.84817889717144</v>
      </c>
      <c r="R15" s="30">
        <f>'TR TE'!$R$15*'TR TE'!$R$48</f>
        <v>258.40237843188601</v>
      </c>
      <c r="S15" s="30">
        <f>SUM($R$15:$R$15)</f>
        <v>258.40237843188601</v>
      </c>
      <c r="T15" s="30">
        <f>'TR TE'!$T$15*'TR TE'!$T$48</f>
        <v>6.7912908913749641</v>
      </c>
      <c r="U15" s="30">
        <f>'TR TE'!$U$15*'TR TE'!$U$48</f>
        <v>4.6787668189320861</v>
      </c>
      <c r="V15" s="30">
        <f>'TR TE'!$V$15*'TR TE'!$V$48</f>
        <v>0</v>
      </c>
      <c r="W15" s="30">
        <f>SUM($T$15:$V$15)</f>
        <v>11.470057710307049</v>
      </c>
      <c r="X15" s="30"/>
      <c r="Y15" s="30">
        <f>SUM($X$15:$X$15)</f>
        <v>0</v>
      </c>
      <c r="Z15" s="30">
        <f>'TR TE'!$Z$15*'TR TE'!$Z$48</f>
        <v>7.955333512459501</v>
      </c>
      <c r="AA15" s="30">
        <f>SUM($Z$15:$Z$15)</f>
        <v>7.955333512459501</v>
      </c>
      <c r="AB15" s="30">
        <f>SUMIF($L$4:$AA$4,"SUBTOTAL",$L$15:$AA$15)</f>
        <v>303.67594855182404</v>
      </c>
    </row>
    <row r="16" spans="1:28" ht="11.25" customHeight="1" x14ac:dyDescent="0.25">
      <c r="A16" s="130"/>
      <c r="B16" s="130"/>
      <c r="C16" s="130"/>
      <c r="D16" s="33" t="s">
        <v>29</v>
      </c>
      <c r="E16" s="33" t="s">
        <v>25</v>
      </c>
      <c r="F16" s="33" t="s">
        <v>25</v>
      </c>
      <c r="G16" s="32" t="s">
        <v>86</v>
      </c>
      <c r="H16" s="32" t="s">
        <v>80</v>
      </c>
      <c r="I16" s="32">
        <f>'MERCADO TE'!$U$13</f>
        <v>0</v>
      </c>
      <c r="J16" s="17"/>
      <c r="L16" s="30">
        <f>'TR TE'!$L$16*'TR TE'!$L$48</f>
        <v>3.175036276275891</v>
      </c>
      <c r="M16" s="30">
        <f>'TR TE'!$M$16*'TR TE'!$M$48</f>
        <v>28.637422673001549</v>
      </c>
      <c r="N16" s="30">
        <f>'TR TE'!$N$16*'TR TE'!$N$48</f>
        <v>0</v>
      </c>
      <c r="O16" s="30">
        <f>'TR TE'!$O$16*'TR TE'!$O$48</f>
        <v>10.584446429772724</v>
      </c>
      <c r="P16" s="30">
        <f>'TR TE'!$P$16*'TR TE'!$P$48</f>
        <v>-16.54872648187872</v>
      </c>
      <c r="Q16" s="30">
        <f>SUM($L$16:$P$16)</f>
        <v>25.84817889717144</v>
      </c>
      <c r="R16" s="30">
        <f>'TR TE'!$R$16*'TR TE'!$R$48</f>
        <v>258.40237843188601</v>
      </c>
      <c r="S16" s="30">
        <f>SUM($R$16:$R$16)</f>
        <v>258.40237843188601</v>
      </c>
      <c r="T16" s="30">
        <f>'TR TE'!$T$16*'TR TE'!$T$48</f>
        <v>6.7912908913749641</v>
      </c>
      <c r="U16" s="30">
        <f>'TR TE'!$U$16*'TR TE'!$U$48</f>
        <v>4.6787668189320861</v>
      </c>
      <c r="V16" s="30">
        <f>'TR TE'!$V$16*'TR TE'!$V$48</f>
        <v>0</v>
      </c>
      <c r="W16" s="30">
        <f>SUM($T$16:$V$16)</f>
        <v>11.470057710307049</v>
      </c>
      <c r="X16" s="30"/>
      <c r="Y16" s="30">
        <f>SUM($X$16:$X$16)</f>
        <v>0</v>
      </c>
      <c r="Z16" s="30">
        <f>'TR TE'!$Z$16*'TR TE'!$Z$48</f>
        <v>7.955333512459501</v>
      </c>
      <c r="AA16" s="30">
        <f>SUM($Z$16:$Z$16)</f>
        <v>7.955333512459501</v>
      </c>
      <c r="AB16" s="30">
        <f>SUMIF($L$4:$AA$4,"SUBTOTAL",$L$16:$AA$16)</f>
        <v>303.67594855182404</v>
      </c>
    </row>
    <row r="17" spans="1:28" ht="11.25" customHeight="1" x14ac:dyDescent="0.25">
      <c r="A17" s="130"/>
      <c r="B17" s="130"/>
      <c r="C17" s="130"/>
      <c r="D17" s="33" t="s">
        <v>30</v>
      </c>
      <c r="E17" s="33" t="s">
        <v>25</v>
      </c>
      <c r="F17" s="33" t="s">
        <v>25</v>
      </c>
      <c r="G17" s="32" t="s">
        <v>86</v>
      </c>
      <c r="H17" s="32" t="s">
        <v>80</v>
      </c>
      <c r="I17" s="32">
        <f>'MERCADO TE'!$U$14</f>
        <v>0</v>
      </c>
      <c r="J17" s="17"/>
      <c r="L17" s="30">
        <f>'TR TE'!$L$17*'TR TE'!$L$48</f>
        <v>3.175036276275891</v>
      </c>
      <c r="M17" s="30">
        <f>'TR TE'!$M$17*'TR TE'!$M$48</f>
        <v>28.637422673001549</v>
      </c>
      <c r="N17" s="30">
        <f>'TR TE'!$N$17*'TR TE'!$N$48</f>
        <v>0</v>
      </c>
      <c r="O17" s="30">
        <f>'TR TE'!$O$17*'TR TE'!$O$48</f>
        <v>10.584446429772724</v>
      </c>
      <c r="P17" s="30">
        <f>'TR TE'!$P$17*'TR TE'!$P$48</f>
        <v>-16.54872648187872</v>
      </c>
      <c r="Q17" s="30">
        <f>SUM($L$17:$P$17)</f>
        <v>25.84817889717144</v>
      </c>
      <c r="R17" s="30">
        <f>'TR TE'!$R$17*'TR TE'!$R$48</f>
        <v>258.40237843188601</v>
      </c>
      <c r="S17" s="30">
        <f>SUM($R$17:$R$17)</f>
        <v>258.40237843188601</v>
      </c>
      <c r="T17" s="30">
        <f>'TR TE'!$T$17*'TR TE'!$T$48</f>
        <v>6.7912908913749641</v>
      </c>
      <c r="U17" s="30">
        <f>'TR TE'!$U$17*'TR TE'!$U$48</f>
        <v>4.6787668189320861</v>
      </c>
      <c r="V17" s="30">
        <f>'TR TE'!$V$17*'TR TE'!$V$48</f>
        <v>0</v>
      </c>
      <c r="W17" s="30">
        <f>SUM($T$17:$V$17)</f>
        <v>11.470057710307049</v>
      </c>
      <c r="X17" s="30"/>
      <c r="Y17" s="30">
        <f>SUM($X$17:$X$17)</f>
        <v>0</v>
      </c>
      <c r="Z17" s="30">
        <f>'TR TE'!$Z$17*'TR TE'!$Z$48</f>
        <v>7.955333512459501</v>
      </c>
      <c r="AA17" s="30">
        <f>SUM($Z$17:$Z$17)</f>
        <v>7.955333512459501</v>
      </c>
      <c r="AB17" s="30">
        <f>SUMIF($L$4:$AA$4,"SUBTOTAL",$L$17:$AA$17)</f>
        <v>303.67594855182404</v>
      </c>
    </row>
    <row r="18" spans="1:28" ht="11.25" customHeight="1" x14ac:dyDescent="0.25">
      <c r="A18" s="130"/>
      <c r="B18" s="130"/>
      <c r="C18" s="130"/>
      <c r="D18" s="33" t="s">
        <v>31</v>
      </c>
      <c r="E18" s="33" t="s">
        <v>25</v>
      </c>
      <c r="F18" s="33" t="s">
        <v>25</v>
      </c>
      <c r="G18" s="32" t="s">
        <v>86</v>
      </c>
      <c r="H18" s="32" t="s">
        <v>80</v>
      </c>
      <c r="I18" s="32">
        <f>'MERCADO TE'!$U$15</f>
        <v>0</v>
      </c>
      <c r="J18" s="17"/>
      <c r="L18" s="30">
        <f>'TR TE'!$L$18*'TR TE'!$L$48</f>
        <v>3.175036276275891</v>
      </c>
      <c r="M18" s="30">
        <f>'TR TE'!$M$18*'TR TE'!$M$48</f>
        <v>28.637422673001549</v>
      </c>
      <c r="N18" s="30">
        <f>'TR TE'!$N$18*'TR TE'!$N$48</f>
        <v>0</v>
      </c>
      <c r="O18" s="30">
        <f>'TR TE'!$O$18*'TR TE'!$O$48</f>
        <v>10.584446429772724</v>
      </c>
      <c r="P18" s="30">
        <f>'TR TE'!$P$18*'TR TE'!$P$48</f>
        <v>-16.54872648187872</v>
      </c>
      <c r="Q18" s="30">
        <f>SUM($L$18:$P$18)</f>
        <v>25.84817889717144</v>
      </c>
      <c r="R18" s="30">
        <f>'TR TE'!$R$18*'TR TE'!$R$48</f>
        <v>258.40237843188601</v>
      </c>
      <c r="S18" s="30">
        <f>SUM($R$18:$R$18)</f>
        <v>258.40237843188601</v>
      </c>
      <c r="T18" s="30">
        <f>'TR TE'!$T$18*'TR TE'!$T$48</f>
        <v>6.7912908913749641</v>
      </c>
      <c r="U18" s="30">
        <f>'TR TE'!$U$18*'TR TE'!$U$48</f>
        <v>4.6787668189320861</v>
      </c>
      <c r="V18" s="30">
        <f>'TR TE'!$V$18*'TR TE'!$V$48</f>
        <v>0</v>
      </c>
      <c r="W18" s="30">
        <f>SUM($T$18:$V$18)</f>
        <v>11.470057710307049</v>
      </c>
      <c r="X18" s="30"/>
      <c r="Y18" s="30">
        <f>SUM($X$18:$X$18)</f>
        <v>0</v>
      </c>
      <c r="Z18" s="30">
        <f>'TR TE'!$Z$18*'TR TE'!$Z$48</f>
        <v>7.955333512459501</v>
      </c>
      <c r="AA18" s="30">
        <f>SUM($Z$18:$Z$18)</f>
        <v>7.955333512459501</v>
      </c>
      <c r="AB18" s="30">
        <f>SUMIF($L$4:$AA$4,"SUBTOTAL",$L$18:$AA$18)</f>
        <v>303.67594855182404</v>
      </c>
    </row>
    <row r="19" spans="1:28" ht="11.25" customHeight="1" x14ac:dyDescent="0.25">
      <c r="A19" s="130"/>
      <c r="B19" s="130"/>
      <c r="C19" s="130"/>
      <c r="D19" s="33" t="s">
        <v>32</v>
      </c>
      <c r="E19" s="33" t="s">
        <v>25</v>
      </c>
      <c r="F19" s="33" t="s">
        <v>25</v>
      </c>
      <c r="G19" s="32" t="s">
        <v>86</v>
      </c>
      <c r="H19" s="32" t="s">
        <v>80</v>
      </c>
      <c r="I19" s="32">
        <f>'MERCADO TE'!$U$16</f>
        <v>0</v>
      </c>
      <c r="J19" s="17"/>
      <c r="L19" s="30">
        <f>'TR TE'!$L$19*'TR TE'!$L$48</f>
        <v>3.175036276275891</v>
      </c>
      <c r="M19" s="30">
        <f>'TR TE'!$M$19*'TR TE'!$M$48</f>
        <v>28.637422673001549</v>
      </c>
      <c r="N19" s="30">
        <f>'TR TE'!$N$19*'TR TE'!$N$48</f>
        <v>0</v>
      </c>
      <c r="O19" s="30">
        <f>'TR TE'!$O$19*'TR TE'!$O$48</f>
        <v>10.584446429772724</v>
      </c>
      <c r="P19" s="30">
        <f>'TR TE'!$P$19*'TR TE'!$P$48</f>
        <v>-16.54872648187872</v>
      </c>
      <c r="Q19" s="30">
        <f>SUM($L$19:$P$19)</f>
        <v>25.84817889717144</v>
      </c>
      <c r="R19" s="30">
        <f>'TR TE'!$R$19*'TR TE'!$R$48</f>
        <v>258.40237843188601</v>
      </c>
      <c r="S19" s="30">
        <f>SUM($R$19:$R$19)</f>
        <v>258.40237843188601</v>
      </c>
      <c r="T19" s="30">
        <f>'TR TE'!$T$19*'TR TE'!$T$48</f>
        <v>6.7912908913749641</v>
      </c>
      <c r="U19" s="30">
        <f>'TR TE'!$U$19*'TR TE'!$U$48</f>
        <v>4.6787668189320861</v>
      </c>
      <c r="V19" s="30">
        <f>'TR TE'!$V$19*'TR TE'!$V$48</f>
        <v>0</v>
      </c>
      <c r="W19" s="30">
        <f>SUM($T$19:$V$19)</f>
        <v>11.470057710307049</v>
      </c>
      <c r="X19" s="30"/>
      <c r="Y19" s="30">
        <f>SUM($X$19:$X$19)</f>
        <v>0</v>
      </c>
      <c r="Z19" s="30">
        <f>'TR TE'!$Z$19*'TR TE'!$Z$48</f>
        <v>7.955333512459501</v>
      </c>
      <c r="AA19" s="30">
        <f>SUM($Z$19:$Z$19)</f>
        <v>7.955333512459501</v>
      </c>
      <c r="AB19" s="30">
        <f>SUMIF($L$4:$AA$4,"SUBTOTAL",$L$19:$AA$19)</f>
        <v>303.67594855182404</v>
      </c>
    </row>
    <row r="20" spans="1:28" ht="11.25" customHeight="1" x14ac:dyDescent="0.25">
      <c r="A20" s="130" t="s">
        <v>43</v>
      </c>
      <c r="B20" s="130" t="s">
        <v>79</v>
      </c>
      <c r="C20" s="130" t="s">
        <v>44</v>
      </c>
      <c r="D20" s="130" t="s">
        <v>25</v>
      </c>
      <c r="E20" s="130" t="s">
        <v>25</v>
      </c>
      <c r="F20" s="130" t="s">
        <v>25</v>
      </c>
      <c r="G20" s="32" t="s">
        <v>81</v>
      </c>
      <c r="H20" s="32" t="s">
        <v>80</v>
      </c>
      <c r="I20" s="32">
        <f>'MERCADO TE'!$U$17</f>
        <v>0.27200000000000002</v>
      </c>
      <c r="J20" s="17"/>
      <c r="L20" s="30">
        <f>'TR TE'!$L$20*'TR TE'!$L$48</f>
        <v>3.175036276275891</v>
      </c>
      <c r="M20" s="30">
        <f>'TR TE'!$M$20*'TR TE'!$M$48</f>
        <v>28.637422673001549</v>
      </c>
      <c r="N20" s="30">
        <f>'TR TE'!$N$20*'TR TE'!$N$48</f>
        <v>0</v>
      </c>
      <c r="O20" s="30">
        <f>'TR TE'!$O$20*'TR TE'!$O$48</f>
        <v>10.584446429772724</v>
      </c>
      <c r="P20" s="30">
        <f>'TR TE'!$P$20*'TR TE'!$P$48</f>
        <v>-16.54872648187872</v>
      </c>
      <c r="Q20" s="30">
        <f>SUM($L$20:$P$20)</f>
        <v>25.84817889717144</v>
      </c>
      <c r="R20" s="30">
        <f>'TR TE'!$R$20*'TR TE'!$R$48</f>
        <v>419.29442538004139</v>
      </c>
      <c r="S20" s="30">
        <f>SUM($R$20:$R$20)</f>
        <v>419.29442538004139</v>
      </c>
      <c r="T20" s="30">
        <f>'TR TE'!$T$20*'TR TE'!$T$48</f>
        <v>6.7912908913749641</v>
      </c>
      <c r="U20" s="30">
        <f>'TR TE'!$U$20*'TR TE'!$U$48</f>
        <v>4.6787668189320861</v>
      </c>
      <c r="V20" s="30">
        <f>'TR TE'!$V$20*'TR TE'!$V$48</f>
        <v>0</v>
      </c>
      <c r="W20" s="30">
        <f>SUM($T$20:$V$20)</f>
        <v>11.470057710307049</v>
      </c>
      <c r="X20" s="30"/>
      <c r="Y20" s="30">
        <f>SUM($X$20:$X$20)</f>
        <v>0</v>
      </c>
      <c r="Z20" s="30">
        <f>'TR TE'!$Z$20*'TR TE'!$Z$48</f>
        <v>7.955333512459501</v>
      </c>
      <c r="AA20" s="30">
        <f>SUM($Z$20:$Z$20)</f>
        <v>7.955333512459501</v>
      </c>
      <c r="AB20" s="30">
        <f>SUMIF($L$4:$AA$4,"SUBTOTAL",$L$20:$AA$20)</f>
        <v>464.56799549997942</v>
      </c>
    </row>
    <row r="21" spans="1:28" ht="11.25" customHeight="1" x14ac:dyDescent="0.25">
      <c r="A21" s="130"/>
      <c r="B21" s="130"/>
      <c r="C21" s="130"/>
      <c r="D21" s="130"/>
      <c r="E21" s="130"/>
      <c r="F21" s="130"/>
      <c r="G21" s="32" t="s">
        <v>91</v>
      </c>
      <c r="H21" s="32" t="s">
        <v>80</v>
      </c>
      <c r="I21" s="32">
        <f>'MERCADO TE'!$U$18</f>
        <v>0.20100000000000001</v>
      </c>
      <c r="J21" s="17"/>
      <c r="L21" s="30">
        <f>'TR TE'!$L$21*'TR TE'!$L$48</f>
        <v>3.175036276275891</v>
      </c>
      <c r="M21" s="30">
        <f>'TR TE'!$M$21*'TR TE'!$M$48</f>
        <v>28.637422673001549</v>
      </c>
      <c r="N21" s="30">
        <f>'TR TE'!$N$21*'TR TE'!$N$48</f>
        <v>0</v>
      </c>
      <c r="O21" s="30">
        <f>'TR TE'!$O$21*'TR TE'!$O$48</f>
        <v>10.584446429772724</v>
      </c>
      <c r="P21" s="30">
        <f>'TR TE'!$P$21*'TR TE'!$P$48</f>
        <v>-16.54872648187872</v>
      </c>
      <c r="Q21" s="30">
        <f>SUM($L$21:$P$21)</f>
        <v>25.84817889717144</v>
      </c>
      <c r="R21" s="30">
        <f>'TR TE'!$R$21*'TR TE'!$R$48</f>
        <v>243.77582870932639</v>
      </c>
      <c r="S21" s="30">
        <f>SUM($R$21:$R$21)</f>
        <v>243.77582870932639</v>
      </c>
      <c r="T21" s="30">
        <f>'TR TE'!$T$21*'TR TE'!$T$48</f>
        <v>6.7912908913749641</v>
      </c>
      <c r="U21" s="30">
        <f>'TR TE'!$U$21*'TR TE'!$U$48</f>
        <v>4.6787668189320861</v>
      </c>
      <c r="V21" s="30">
        <f>'TR TE'!$V$21*'TR TE'!$V$48</f>
        <v>0</v>
      </c>
      <c r="W21" s="30">
        <f>SUM($T$21:$V$21)</f>
        <v>11.470057710307049</v>
      </c>
      <c r="X21" s="30"/>
      <c r="Y21" s="30">
        <f>SUM($X$21:$X$21)</f>
        <v>0</v>
      </c>
      <c r="Z21" s="30">
        <f>'TR TE'!$Z$21*'TR TE'!$Z$48</f>
        <v>7.955333512459501</v>
      </c>
      <c r="AA21" s="30">
        <f>SUM($Z$21:$Z$21)</f>
        <v>7.955333512459501</v>
      </c>
      <c r="AB21" s="30">
        <f>SUMIF($L$4:$AA$4,"SUBTOTAL",$L$21:$AA$21)</f>
        <v>289.04939882926442</v>
      </c>
    </row>
    <row r="22" spans="1:28" ht="11.25" customHeight="1" x14ac:dyDescent="0.25">
      <c r="A22" s="130"/>
      <c r="B22" s="130"/>
      <c r="C22" s="130"/>
      <c r="D22" s="130"/>
      <c r="E22" s="130"/>
      <c r="F22" s="130"/>
      <c r="G22" s="32" t="s">
        <v>82</v>
      </c>
      <c r="H22" s="32" t="s">
        <v>80</v>
      </c>
      <c r="I22" s="32">
        <f>'MERCADO TE'!$U$19</f>
        <v>5.4039999999999999</v>
      </c>
      <c r="J22" s="17"/>
      <c r="L22" s="30">
        <f>'TR TE'!$L$22*'TR TE'!$L$48</f>
        <v>3.175036276275891</v>
      </c>
      <c r="M22" s="30">
        <f>'TR TE'!$M$22*'TR TE'!$M$48</f>
        <v>28.637422673001549</v>
      </c>
      <c r="N22" s="30">
        <f>'TR TE'!$N$22*'TR TE'!$N$48</f>
        <v>0</v>
      </c>
      <c r="O22" s="30">
        <f>'TR TE'!$O$22*'TR TE'!$O$48</f>
        <v>10.584446429772724</v>
      </c>
      <c r="P22" s="30">
        <f>'TR TE'!$P$22*'TR TE'!$P$48</f>
        <v>-16.54872648187872</v>
      </c>
      <c r="Q22" s="30">
        <f>SUM($L$22:$P$22)</f>
        <v>25.84817889717144</v>
      </c>
      <c r="R22" s="30">
        <f>'TR TE'!$R$22*'TR TE'!$R$48</f>
        <v>243.77582870932639</v>
      </c>
      <c r="S22" s="30">
        <f>SUM($R$22:$R$22)</f>
        <v>243.77582870932639</v>
      </c>
      <c r="T22" s="30">
        <f>'TR TE'!$T$22*'TR TE'!$T$48</f>
        <v>6.7912908913749641</v>
      </c>
      <c r="U22" s="30">
        <f>'TR TE'!$U$22*'TR TE'!$U$48</f>
        <v>4.6787668189320861</v>
      </c>
      <c r="V22" s="30">
        <f>'TR TE'!$V$22*'TR TE'!$V$48</f>
        <v>0</v>
      </c>
      <c r="W22" s="30">
        <f>SUM($T$22:$V$22)</f>
        <v>11.470057710307049</v>
      </c>
      <c r="X22" s="30"/>
      <c r="Y22" s="30">
        <f>SUM($X$22:$X$22)</f>
        <v>0</v>
      </c>
      <c r="Z22" s="30">
        <f>'TR TE'!$Z$22*'TR TE'!$Z$48</f>
        <v>7.955333512459501</v>
      </c>
      <c r="AA22" s="30">
        <f>SUM($Z$22:$Z$22)</f>
        <v>7.955333512459501</v>
      </c>
      <c r="AB22" s="30">
        <f>SUMIF($L$4:$AA$4,"SUBTOTAL",$L$22:$AA$22)</f>
        <v>289.04939882926442</v>
      </c>
    </row>
    <row r="23" spans="1:28" ht="11.25" customHeight="1" x14ac:dyDescent="0.25">
      <c r="A23" s="130"/>
      <c r="B23" s="33" t="s">
        <v>92</v>
      </c>
      <c r="C23" s="33" t="s">
        <v>44</v>
      </c>
      <c r="D23" s="33" t="s">
        <v>25</v>
      </c>
      <c r="E23" s="33" t="s">
        <v>25</v>
      </c>
      <c r="F23" s="33" t="s">
        <v>25</v>
      </c>
      <c r="G23" s="32" t="s">
        <v>86</v>
      </c>
      <c r="H23" s="32" t="s">
        <v>80</v>
      </c>
      <c r="I23" s="32">
        <f>'MERCADO TE'!$U$20</f>
        <v>183438.26899999997</v>
      </c>
      <c r="J23" s="17"/>
      <c r="L23" s="30">
        <f>'TR TE'!$L$23*'TR TE'!$L$48</f>
        <v>3.175036276275891</v>
      </c>
      <c r="M23" s="30">
        <f>'TR TE'!$M$23*'TR TE'!$M$48</f>
        <v>28.637422673001549</v>
      </c>
      <c r="N23" s="30">
        <f>'TR TE'!$N$23*'TR TE'!$N$48</f>
        <v>0</v>
      </c>
      <c r="O23" s="30">
        <f>'TR TE'!$O$23*'TR TE'!$O$48</f>
        <v>10.584446429772724</v>
      </c>
      <c r="P23" s="30">
        <f>'TR TE'!$P$23*'TR TE'!$P$48</f>
        <v>-16.54872648187872</v>
      </c>
      <c r="Q23" s="30">
        <f>SUM($L$23:$P$23)</f>
        <v>25.84817889717144</v>
      </c>
      <c r="R23" s="30">
        <f>'TR TE'!$R$23*'TR TE'!$R$48</f>
        <v>258.40237843188601</v>
      </c>
      <c r="S23" s="30">
        <f>SUM($R$23:$R$23)</f>
        <v>258.40237843188601</v>
      </c>
      <c r="T23" s="30">
        <f>'TR TE'!$T$23*'TR TE'!$T$48</f>
        <v>6.7912908913749641</v>
      </c>
      <c r="U23" s="30">
        <f>'TR TE'!$U$23*'TR TE'!$U$48</f>
        <v>4.6787668189320861</v>
      </c>
      <c r="V23" s="30">
        <f>'TR TE'!$V$23*'TR TE'!$V$48</f>
        <v>0</v>
      </c>
      <c r="W23" s="30">
        <f>SUM($T$23:$V$23)</f>
        <v>11.470057710307049</v>
      </c>
      <c r="X23" s="30"/>
      <c r="Y23" s="30">
        <f>SUM($X$23:$X$23)</f>
        <v>0</v>
      </c>
      <c r="Z23" s="30">
        <f>'TR TE'!$Z$23*'TR TE'!$Z$48</f>
        <v>7.955333512459501</v>
      </c>
      <c r="AA23" s="30">
        <f>SUM($Z$23:$Z$23)</f>
        <v>7.955333512459501</v>
      </c>
      <c r="AB23" s="30">
        <f>SUMIF($L$4:$AA$4,"SUBTOTAL",$L$23:$AA$23)</f>
        <v>303.67594855182404</v>
      </c>
    </row>
    <row r="24" spans="1:28" ht="11.25" customHeight="1" x14ac:dyDescent="0.25">
      <c r="A24" s="130"/>
      <c r="B24" s="130" t="s">
        <v>79</v>
      </c>
      <c r="C24" s="130" t="s">
        <v>44</v>
      </c>
      <c r="D24" s="130" t="s">
        <v>95</v>
      </c>
      <c r="E24" s="130" t="s">
        <v>25</v>
      </c>
      <c r="F24" s="130" t="s">
        <v>25</v>
      </c>
      <c r="G24" s="32" t="s">
        <v>81</v>
      </c>
      <c r="H24" s="32" t="s">
        <v>80</v>
      </c>
      <c r="I24" s="32">
        <f>'MERCADO TE'!$U$21</f>
        <v>0</v>
      </c>
      <c r="J24" s="17"/>
      <c r="L24" s="30">
        <f>'TR TE'!$L$24*'TR TE'!$L$48</f>
        <v>3.175036276275891</v>
      </c>
      <c r="M24" s="30">
        <f>'TR TE'!$M$24*'TR TE'!$M$48</f>
        <v>28.637422673001549</v>
      </c>
      <c r="N24" s="30">
        <f>'TR TE'!$N$24*'TR TE'!$N$48</f>
        <v>0</v>
      </c>
      <c r="O24" s="30">
        <f>'TR TE'!$O$24*'TR TE'!$O$48</f>
        <v>10.584446429772724</v>
      </c>
      <c r="P24" s="30">
        <f>'TR TE'!$P$24*'TR TE'!$P$48</f>
        <v>-16.54872648187872</v>
      </c>
      <c r="Q24" s="30">
        <f>SUM($L$24:$P$24)</f>
        <v>25.84817889717144</v>
      </c>
      <c r="R24" s="30">
        <f>'TR TE'!$R$24*'TR TE'!$R$48</f>
        <v>419.29442538004139</v>
      </c>
      <c r="S24" s="30">
        <f>SUM($R$24:$R$24)</f>
        <v>419.29442538004139</v>
      </c>
      <c r="T24" s="30">
        <f>'TR TE'!$T$24*'TR TE'!$T$48</f>
        <v>6.7912908913749641</v>
      </c>
      <c r="U24" s="30">
        <f>'TR TE'!$U$24*'TR TE'!$U$48</f>
        <v>4.6787668189320861</v>
      </c>
      <c r="V24" s="30">
        <f>'TR TE'!$V$24*'TR TE'!$V$48</f>
        <v>0</v>
      </c>
      <c r="W24" s="30">
        <f>SUM($T$24:$V$24)</f>
        <v>11.470057710307049</v>
      </c>
      <c r="X24" s="30"/>
      <c r="Y24" s="30">
        <f>SUM($X$24:$X$24)</f>
        <v>0</v>
      </c>
      <c r="Z24" s="30">
        <f>'TR TE'!$Z$24*'TR TE'!$Z$48</f>
        <v>7.955333512459501</v>
      </c>
      <c r="AA24" s="30">
        <f>SUM($Z$24:$Z$24)</f>
        <v>7.955333512459501</v>
      </c>
      <c r="AB24" s="30">
        <f>SUMIF($L$4:$AA$4,"SUBTOTAL",$L$24:$AA$24)</f>
        <v>464.56799549997942</v>
      </c>
    </row>
    <row r="25" spans="1:28" ht="11.25" customHeight="1" x14ac:dyDescent="0.25">
      <c r="A25" s="130"/>
      <c r="B25" s="130"/>
      <c r="C25" s="130"/>
      <c r="D25" s="130"/>
      <c r="E25" s="130"/>
      <c r="F25" s="130"/>
      <c r="G25" s="32" t="s">
        <v>91</v>
      </c>
      <c r="H25" s="32" t="s">
        <v>80</v>
      </c>
      <c r="I25" s="32">
        <f>'MERCADO TE'!$U$22</f>
        <v>0</v>
      </c>
      <c r="J25" s="17"/>
      <c r="L25" s="30">
        <f>'TR TE'!$L$25*'TR TE'!$L$48</f>
        <v>3.175036276275891</v>
      </c>
      <c r="M25" s="30">
        <f>'TR TE'!$M$25*'TR TE'!$M$48</f>
        <v>28.637422673001549</v>
      </c>
      <c r="N25" s="30">
        <f>'TR TE'!$N$25*'TR TE'!$N$48</f>
        <v>0</v>
      </c>
      <c r="O25" s="30">
        <f>'TR TE'!$O$25*'TR TE'!$O$48</f>
        <v>10.584446429772724</v>
      </c>
      <c r="P25" s="30">
        <f>'TR TE'!$P$25*'TR TE'!$P$48</f>
        <v>-16.54872648187872</v>
      </c>
      <c r="Q25" s="30">
        <f>SUM($L$25:$P$25)</f>
        <v>25.84817889717144</v>
      </c>
      <c r="R25" s="30">
        <f>'TR TE'!$R$25*'TR TE'!$R$48</f>
        <v>243.77582870932639</v>
      </c>
      <c r="S25" s="30">
        <f>SUM($R$25:$R$25)</f>
        <v>243.77582870932639</v>
      </c>
      <c r="T25" s="30">
        <f>'TR TE'!$T$25*'TR TE'!$T$48</f>
        <v>6.7912908913749641</v>
      </c>
      <c r="U25" s="30">
        <f>'TR TE'!$U$25*'TR TE'!$U$48</f>
        <v>4.6787668189320861</v>
      </c>
      <c r="V25" s="30">
        <f>'TR TE'!$V$25*'TR TE'!$V$48</f>
        <v>0</v>
      </c>
      <c r="W25" s="30">
        <f>SUM($T$25:$V$25)</f>
        <v>11.470057710307049</v>
      </c>
      <c r="X25" s="30"/>
      <c r="Y25" s="30">
        <f>SUM($X$25:$X$25)</f>
        <v>0</v>
      </c>
      <c r="Z25" s="30">
        <f>'TR TE'!$Z$25*'TR TE'!$Z$48</f>
        <v>7.955333512459501</v>
      </c>
      <c r="AA25" s="30">
        <f>SUM($Z$25:$Z$25)</f>
        <v>7.955333512459501</v>
      </c>
      <c r="AB25" s="30">
        <f>SUMIF($L$4:$AA$4,"SUBTOTAL",$L$25:$AA$25)</f>
        <v>289.04939882926442</v>
      </c>
    </row>
    <row r="26" spans="1:28" ht="11.25" customHeight="1" x14ac:dyDescent="0.25">
      <c r="A26" s="130"/>
      <c r="B26" s="130"/>
      <c r="C26" s="130"/>
      <c r="D26" s="130"/>
      <c r="E26" s="130"/>
      <c r="F26" s="130"/>
      <c r="G26" s="32" t="s">
        <v>82</v>
      </c>
      <c r="H26" s="32" t="s">
        <v>80</v>
      </c>
      <c r="I26" s="32">
        <f>'MERCADO TE'!$U$23</f>
        <v>0</v>
      </c>
      <c r="J26" s="17"/>
      <c r="L26" s="30">
        <f>'TR TE'!$L$26*'TR TE'!$L$48</f>
        <v>3.175036276275891</v>
      </c>
      <c r="M26" s="30">
        <f>'TR TE'!$M$26*'TR TE'!$M$48</f>
        <v>28.637422673001549</v>
      </c>
      <c r="N26" s="30">
        <f>'TR TE'!$N$26*'TR TE'!$N$48</f>
        <v>0</v>
      </c>
      <c r="O26" s="30">
        <f>'TR TE'!$O$26*'TR TE'!$O$48</f>
        <v>10.584446429772724</v>
      </c>
      <c r="P26" s="30">
        <f>'TR TE'!$P$26*'TR TE'!$P$48</f>
        <v>-16.54872648187872</v>
      </c>
      <c r="Q26" s="30">
        <f>SUM($L$26:$P$26)</f>
        <v>25.84817889717144</v>
      </c>
      <c r="R26" s="30">
        <f>'TR TE'!$R$26*'TR TE'!$R$48</f>
        <v>243.77582870932639</v>
      </c>
      <c r="S26" s="30">
        <f>SUM($R$26:$R$26)</f>
        <v>243.77582870932639</v>
      </c>
      <c r="T26" s="30">
        <f>'TR TE'!$T$26*'TR TE'!$T$48</f>
        <v>6.7912908913749641</v>
      </c>
      <c r="U26" s="30">
        <f>'TR TE'!$U$26*'TR TE'!$U$48</f>
        <v>4.6787668189320861</v>
      </c>
      <c r="V26" s="30">
        <f>'TR TE'!$V$26*'TR TE'!$V$48</f>
        <v>0</v>
      </c>
      <c r="W26" s="30">
        <f>SUM($T$26:$V$26)</f>
        <v>11.470057710307049</v>
      </c>
      <c r="X26" s="30"/>
      <c r="Y26" s="30">
        <f>SUM($X$26:$X$26)</f>
        <v>0</v>
      </c>
      <c r="Z26" s="30">
        <f>'TR TE'!$Z$26*'TR TE'!$Z$48</f>
        <v>7.955333512459501</v>
      </c>
      <c r="AA26" s="30">
        <f>SUM($Z$26:$Z$26)</f>
        <v>7.955333512459501</v>
      </c>
      <c r="AB26" s="30">
        <f>SUMIF($L$4:$AA$4,"SUBTOTAL",$L$26:$AA$26)</f>
        <v>289.04939882926442</v>
      </c>
    </row>
    <row r="27" spans="1:28" ht="11.25" customHeight="1" x14ac:dyDescent="0.25">
      <c r="A27" s="130"/>
      <c r="B27" s="33" t="s">
        <v>92</v>
      </c>
      <c r="C27" s="33" t="s">
        <v>44</v>
      </c>
      <c r="D27" s="33" t="s">
        <v>95</v>
      </c>
      <c r="E27" s="33" t="s">
        <v>25</v>
      </c>
      <c r="F27" s="33" t="s">
        <v>25</v>
      </c>
      <c r="G27" s="32" t="s">
        <v>86</v>
      </c>
      <c r="H27" s="32" t="s">
        <v>80</v>
      </c>
      <c r="I27" s="32">
        <f>'MERCADO TE'!$U$24</f>
        <v>0</v>
      </c>
      <c r="J27" s="17"/>
      <c r="L27" s="30">
        <f>'TR TE'!$L$27*'TR TE'!$L$48</f>
        <v>3.175036276275891</v>
      </c>
      <c r="M27" s="30">
        <f>'TR TE'!$M$27*'TR TE'!$M$48</f>
        <v>28.637422673001549</v>
      </c>
      <c r="N27" s="30">
        <f>'TR TE'!$N$27*'TR TE'!$N$48</f>
        <v>0</v>
      </c>
      <c r="O27" s="30">
        <f>'TR TE'!$O$27*'TR TE'!$O$48</f>
        <v>10.584446429772724</v>
      </c>
      <c r="P27" s="30">
        <f>'TR TE'!$P$27*'TR TE'!$P$48</f>
        <v>-16.54872648187872</v>
      </c>
      <c r="Q27" s="30">
        <f>SUM($L$27:$P$27)</f>
        <v>25.84817889717144</v>
      </c>
      <c r="R27" s="30">
        <f>'TR TE'!$R$27*'TR TE'!$R$48</f>
        <v>258.40237843188601</v>
      </c>
      <c r="S27" s="30">
        <f>SUM($R$27:$R$27)</f>
        <v>258.40237843188601</v>
      </c>
      <c r="T27" s="30">
        <f>'TR TE'!$T$27*'TR TE'!$T$48</f>
        <v>6.7912908913749641</v>
      </c>
      <c r="U27" s="30">
        <f>'TR TE'!$U$27*'TR TE'!$U$48</f>
        <v>4.6787668189320861</v>
      </c>
      <c r="V27" s="30">
        <f>'TR TE'!$V$27*'TR TE'!$V$48</f>
        <v>0</v>
      </c>
      <c r="W27" s="30">
        <f>SUM($T$27:$V$27)</f>
        <v>11.470057710307049</v>
      </c>
      <c r="X27" s="30"/>
      <c r="Y27" s="30">
        <f>SUM($X$27:$X$27)</f>
        <v>0</v>
      </c>
      <c r="Z27" s="30">
        <f>'TR TE'!$Z$27*'TR TE'!$Z$48</f>
        <v>7.955333512459501</v>
      </c>
      <c r="AA27" s="30">
        <f>SUM($Z$27:$Z$27)</f>
        <v>7.955333512459501</v>
      </c>
      <c r="AB27" s="30">
        <f>SUMIF($L$4:$AA$4,"SUBTOTAL",$L$27:$AA$27)</f>
        <v>303.67594855182404</v>
      </c>
    </row>
    <row r="28" spans="1:28" ht="11.25" customHeight="1" x14ac:dyDescent="0.25">
      <c r="A28" s="130"/>
      <c r="B28" s="130" t="s">
        <v>79</v>
      </c>
      <c r="C28" s="130" t="s">
        <v>44</v>
      </c>
      <c r="D28" s="130" t="s">
        <v>55</v>
      </c>
      <c r="E28" s="130" t="s">
        <v>25</v>
      </c>
      <c r="F28" s="130" t="s">
        <v>25</v>
      </c>
      <c r="G28" s="32" t="s">
        <v>81</v>
      </c>
      <c r="H28" s="32" t="s">
        <v>80</v>
      </c>
      <c r="I28" s="32">
        <f>'MERCADO TE'!$U$25</f>
        <v>0</v>
      </c>
      <c r="J28" s="17"/>
      <c r="L28" s="30">
        <f>'TR TE'!$L$28*'TR TE'!$L$48</f>
        <v>3.175036276275891</v>
      </c>
      <c r="M28" s="30">
        <f>'TR TE'!$M$28*'TR TE'!$M$48</f>
        <v>28.637422673001549</v>
      </c>
      <c r="N28" s="30">
        <f>'TR TE'!$N$28*'TR TE'!$N$48</f>
        <v>0</v>
      </c>
      <c r="O28" s="30">
        <f>'TR TE'!$O$28*'TR TE'!$O$48</f>
        <v>10.584446429772724</v>
      </c>
      <c r="P28" s="30">
        <f>'TR TE'!$P$28*'TR TE'!$P$48</f>
        <v>-16.54872648187872</v>
      </c>
      <c r="Q28" s="30">
        <f>SUM($L$28:$P$28)</f>
        <v>25.84817889717144</v>
      </c>
      <c r="R28" s="30">
        <f>'TR TE'!$R$28*'TR TE'!$R$48</f>
        <v>419.29442538004139</v>
      </c>
      <c r="S28" s="30">
        <f>SUM($R$28:$R$28)</f>
        <v>419.29442538004139</v>
      </c>
      <c r="T28" s="30">
        <f>'TR TE'!$T$28*'TR TE'!$T$48</f>
        <v>6.7912908913749641</v>
      </c>
      <c r="U28" s="30">
        <f>'TR TE'!$U$28*'TR TE'!$U$48</f>
        <v>4.6787668189320861</v>
      </c>
      <c r="V28" s="30">
        <f>'TR TE'!$V$28*'TR TE'!$V$48</f>
        <v>0</v>
      </c>
      <c r="W28" s="30">
        <f>SUM($T$28:$V$28)</f>
        <v>11.470057710307049</v>
      </c>
      <c r="X28" s="30"/>
      <c r="Y28" s="30">
        <f>SUM($X$28:$X$28)</f>
        <v>0</v>
      </c>
      <c r="Z28" s="30">
        <f>'TR TE'!$Z$28*'TR TE'!$Z$48</f>
        <v>7.955333512459501</v>
      </c>
      <c r="AA28" s="30">
        <f>SUM($Z$28:$Z$28)</f>
        <v>7.955333512459501</v>
      </c>
      <c r="AB28" s="30">
        <f>SUMIF($L$4:$AA$4,"SUBTOTAL",$L$28:$AA$28)</f>
        <v>464.56799549997942</v>
      </c>
    </row>
    <row r="29" spans="1:28" ht="11.25" customHeight="1" x14ac:dyDescent="0.25">
      <c r="A29" s="130"/>
      <c r="B29" s="130"/>
      <c r="C29" s="130"/>
      <c r="D29" s="130"/>
      <c r="E29" s="130"/>
      <c r="F29" s="130"/>
      <c r="G29" s="32" t="s">
        <v>91</v>
      </c>
      <c r="H29" s="32" t="s">
        <v>80</v>
      </c>
      <c r="I29" s="32">
        <f>'MERCADO TE'!$U$26</f>
        <v>0</v>
      </c>
      <c r="J29" s="17"/>
      <c r="L29" s="30">
        <f>'TR TE'!$L$29*'TR TE'!$L$48</f>
        <v>3.175036276275891</v>
      </c>
      <c r="M29" s="30">
        <f>'TR TE'!$M$29*'TR TE'!$M$48</f>
        <v>28.637422673001549</v>
      </c>
      <c r="N29" s="30">
        <f>'TR TE'!$N$29*'TR TE'!$N$48</f>
        <v>0</v>
      </c>
      <c r="O29" s="30">
        <f>'TR TE'!$O$29*'TR TE'!$O$48</f>
        <v>10.584446429772724</v>
      </c>
      <c r="P29" s="30">
        <f>'TR TE'!$P$29*'TR TE'!$P$48</f>
        <v>-16.54872648187872</v>
      </c>
      <c r="Q29" s="30">
        <f>SUM($L$29:$P$29)</f>
        <v>25.84817889717144</v>
      </c>
      <c r="R29" s="30">
        <f>'TR TE'!$R$29*'TR TE'!$R$48</f>
        <v>243.77582870932639</v>
      </c>
      <c r="S29" s="30">
        <f>SUM($R$29:$R$29)</f>
        <v>243.77582870932639</v>
      </c>
      <c r="T29" s="30">
        <f>'TR TE'!$T$29*'TR TE'!$T$48</f>
        <v>6.7912908913749641</v>
      </c>
      <c r="U29" s="30">
        <f>'TR TE'!$U$29*'TR TE'!$U$48</f>
        <v>4.6787668189320861</v>
      </c>
      <c r="V29" s="30">
        <f>'TR TE'!$V$29*'TR TE'!$V$48</f>
        <v>0</v>
      </c>
      <c r="W29" s="30">
        <f>SUM($T$29:$V$29)</f>
        <v>11.470057710307049</v>
      </c>
      <c r="X29" s="30"/>
      <c r="Y29" s="30">
        <f>SUM($X$29:$X$29)</f>
        <v>0</v>
      </c>
      <c r="Z29" s="30">
        <f>'TR TE'!$Z$29*'TR TE'!$Z$48</f>
        <v>7.955333512459501</v>
      </c>
      <c r="AA29" s="30">
        <f>SUM($Z$29:$Z$29)</f>
        <v>7.955333512459501</v>
      </c>
      <c r="AB29" s="30">
        <f>SUMIF($L$4:$AA$4,"SUBTOTAL",$L$29:$AA$29)</f>
        <v>289.04939882926442</v>
      </c>
    </row>
    <row r="30" spans="1:28" ht="11.25" customHeight="1" x14ac:dyDescent="0.25">
      <c r="A30" s="130"/>
      <c r="B30" s="130"/>
      <c r="C30" s="130"/>
      <c r="D30" s="130"/>
      <c r="E30" s="130"/>
      <c r="F30" s="130"/>
      <c r="G30" s="32" t="s">
        <v>82</v>
      </c>
      <c r="H30" s="32" t="s">
        <v>80</v>
      </c>
      <c r="I30" s="32">
        <f>'MERCADO TE'!$U$27</f>
        <v>0</v>
      </c>
      <c r="J30" s="17"/>
      <c r="L30" s="30">
        <f>'TR TE'!$L$30*'TR TE'!$L$48</f>
        <v>3.175036276275891</v>
      </c>
      <c r="M30" s="30">
        <f>'TR TE'!$M$30*'TR TE'!$M$48</f>
        <v>28.637422673001549</v>
      </c>
      <c r="N30" s="30">
        <f>'TR TE'!$N$30*'TR TE'!$N$48</f>
        <v>0</v>
      </c>
      <c r="O30" s="30">
        <f>'TR TE'!$O$30*'TR TE'!$O$48</f>
        <v>10.584446429772724</v>
      </c>
      <c r="P30" s="30">
        <f>'TR TE'!$P$30*'TR TE'!$P$48</f>
        <v>-16.54872648187872</v>
      </c>
      <c r="Q30" s="30">
        <f>SUM($L$30:$P$30)</f>
        <v>25.84817889717144</v>
      </c>
      <c r="R30" s="30">
        <f>'TR TE'!$R$30*'TR TE'!$R$48</f>
        <v>243.77582870932639</v>
      </c>
      <c r="S30" s="30">
        <f>SUM($R$30:$R$30)</f>
        <v>243.77582870932639</v>
      </c>
      <c r="T30" s="30">
        <f>'TR TE'!$T$30*'TR TE'!$T$48</f>
        <v>6.7912908913749641</v>
      </c>
      <c r="U30" s="30">
        <f>'TR TE'!$U$30*'TR TE'!$U$48</f>
        <v>4.6787668189320861</v>
      </c>
      <c r="V30" s="30">
        <f>'TR TE'!$V$30*'TR TE'!$V$48</f>
        <v>0</v>
      </c>
      <c r="W30" s="30">
        <f>SUM($T$30:$V$30)</f>
        <v>11.470057710307049</v>
      </c>
      <c r="X30" s="30"/>
      <c r="Y30" s="30">
        <f>SUM($X$30:$X$30)</f>
        <v>0</v>
      </c>
      <c r="Z30" s="30">
        <f>'TR TE'!$Z$30*'TR TE'!$Z$48</f>
        <v>7.955333512459501</v>
      </c>
      <c r="AA30" s="30">
        <f>SUM($Z$30:$Z$30)</f>
        <v>7.955333512459501</v>
      </c>
      <c r="AB30" s="30">
        <f>SUMIF($L$4:$AA$4,"SUBTOTAL",$L$30:$AA$30)</f>
        <v>289.04939882926442</v>
      </c>
    </row>
    <row r="31" spans="1:28" ht="11.25" customHeight="1" x14ac:dyDescent="0.25">
      <c r="A31" s="130"/>
      <c r="B31" s="33" t="s">
        <v>92</v>
      </c>
      <c r="C31" s="33" t="s">
        <v>44</v>
      </c>
      <c r="D31" s="33" t="s">
        <v>55</v>
      </c>
      <c r="E31" s="33" t="s">
        <v>25</v>
      </c>
      <c r="F31" s="33" t="s">
        <v>25</v>
      </c>
      <c r="G31" s="32" t="s">
        <v>86</v>
      </c>
      <c r="H31" s="32" t="s">
        <v>80</v>
      </c>
      <c r="I31" s="32">
        <f>'MERCADO TE'!$U$28</f>
        <v>29.929000000000002</v>
      </c>
      <c r="J31" s="17"/>
      <c r="L31" s="30">
        <f>'TR TE'!$L$31*'TR TE'!$L$48</f>
        <v>3.175036276275891</v>
      </c>
      <c r="M31" s="30">
        <f>'TR TE'!$M$31*'TR TE'!$M$48</f>
        <v>28.637422673001549</v>
      </c>
      <c r="N31" s="30">
        <f>'TR TE'!$N$31*'TR TE'!$N$48</f>
        <v>0</v>
      </c>
      <c r="O31" s="30">
        <f>'TR TE'!$O$31*'TR TE'!$O$48</f>
        <v>10.584446429772724</v>
      </c>
      <c r="P31" s="30">
        <f>'TR TE'!$P$31*'TR TE'!$P$48</f>
        <v>-16.54872648187872</v>
      </c>
      <c r="Q31" s="30">
        <f>SUM($L$31:$P$31)</f>
        <v>25.84817889717144</v>
      </c>
      <c r="R31" s="30">
        <f>'TR TE'!$R$31*'TR TE'!$R$48</f>
        <v>258.40237843188601</v>
      </c>
      <c r="S31" s="30">
        <f>SUM($R$31:$R$31)</f>
        <v>258.40237843188601</v>
      </c>
      <c r="T31" s="30">
        <f>'TR TE'!$T$31*'TR TE'!$T$48</f>
        <v>6.7912908913749641</v>
      </c>
      <c r="U31" s="30">
        <f>'TR TE'!$U$31*'TR TE'!$U$48</f>
        <v>4.6787668189320861</v>
      </c>
      <c r="V31" s="30">
        <f>'TR TE'!$V$31*'TR TE'!$V$48</f>
        <v>0</v>
      </c>
      <c r="W31" s="30">
        <f>SUM($T$31:$V$31)</f>
        <v>11.470057710307049</v>
      </c>
      <c r="X31" s="30"/>
      <c r="Y31" s="30">
        <f>SUM($X$31:$X$31)</f>
        <v>0</v>
      </c>
      <c r="Z31" s="30">
        <f>'TR TE'!$Z$31*'TR TE'!$Z$48</f>
        <v>7.955333512459501</v>
      </c>
      <c r="AA31" s="30">
        <f>SUM($Z$31:$Z$31)</f>
        <v>7.955333512459501</v>
      </c>
      <c r="AB31" s="30">
        <f>SUMIF($L$4:$AA$4,"SUBTOTAL",$L$31:$AA$31)</f>
        <v>303.67594855182404</v>
      </c>
    </row>
    <row r="32" spans="1:28" ht="11.25" customHeight="1" x14ac:dyDescent="0.25">
      <c r="A32" s="130"/>
      <c r="B32" s="130" t="s">
        <v>93</v>
      </c>
      <c r="C32" s="130" t="s">
        <v>44</v>
      </c>
      <c r="D32" s="33" t="s">
        <v>25</v>
      </c>
      <c r="E32" s="33" t="s">
        <v>25</v>
      </c>
      <c r="F32" s="33" t="s">
        <v>25</v>
      </c>
      <c r="G32" s="32" t="s">
        <v>86</v>
      </c>
      <c r="H32" s="32" t="s">
        <v>80</v>
      </c>
      <c r="I32" s="32">
        <f>'MERCADO TE'!$U$29</f>
        <v>0</v>
      </c>
      <c r="J32" s="17"/>
      <c r="L32" s="30">
        <f>'TR TE'!$L$32*'TR TE'!$L$48</f>
        <v>3.175036276275891</v>
      </c>
      <c r="M32" s="30">
        <f>'TR TE'!$M$32*'TR TE'!$M$48</f>
        <v>28.637422673001549</v>
      </c>
      <c r="N32" s="30">
        <f>'TR TE'!$N$32*'TR TE'!$N$48</f>
        <v>0</v>
      </c>
      <c r="O32" s="30">
        <f>'TR TE'!$O$32*'TR TE'!$O$48</f>
        <v>10.584446429772724</v>
      </c>
      <c r="P32" s="30">
        <f>'TR TE'!$P$32*'TR TE'!$P$48</f>
        <v>-16.54872648187872</v>
      </c>
      <c r="Q32" s="30">
        <f>SUM($L$32:$P$32)</f>
        <v>25.84817889717144</v>
      </c>
      <c r="R32" s="30">
        <f>'TR TE'!$R$32*'TR TE'!$R$48</f>
        <v>258.40237843188601</v>
      </c>
      <c r="S32" s="30">
        <f>SUM($R$32:$R$32)</f>
        <v>258.40237843188601</v>
      </c>
      <c r="T32" s="30">
        <f>'TR TE'!$T$32*'TR TE'!$T$48</f>
        <v>6.7912908913749641</v>
      </c>
      <c r="U32" s="30">
        <f>'TR TE'!$U$32*'TR TE'!$U$48</f>
        <v>4.6787668189320861</v>
      </c>
      <c r="V32" s="30">
        <f>'TR TE'!$V$32*'TR TE'!$V$48</f>
        <v>0</v>
      </c>
      <c r="W32" s="30">
        <f>SUM($T$32:$V$32)</f>
        <v>11.470057710307049</v>
      </c>
      <c r="X32" s="30"/>
      <c r="Y32" s="30">
        <f>SUM($X$32:$X$32)</f>
        <v>0</v>
      </c>
      <c r="Z32" s="30">
        <f>'TR TE'!$Z$32*'TR TE'!$Z$48</f>
        <v>7.955333512459501</v>
      </c>
      <c r="AA32" s="30">
        <f>SUM($Z$32:$Z$32)</f>
        <v>7.955333512459501</v>
      </c>
      <c r="AB32" s="30">
        <f>SUMIF($L$4:$AA$4,"SUBTOTAL",$L$32:$AA$32)</f>
        <v>303.67594855182404</v>
      </c>
    </row>
    <row r="33" spans="1:28" ht="11.25" customHeight="1" x14ac:dyDescent="0.25">
      <c r="A33" s="130"/>
      <c r="B33" s="130"/>
      <c r="C33" s="130"/>
      <c r="D33" s="33" t="s">
        <v>95</v>
      </c>
      <c r="E33" s="33" t="s">
        <v>25</v>
      </c>
      <c r="F33" s="33" t="s">
        <v>25</v>
      </c>
      <c r="G33" s="32" t="s">
        <v>86</v>
      </c>
      <c r="H33" s="32" t="s">
        <v>80</v>
      </c>
      <c r="I33" s="32">
        <f>'MERCADO TE'!$U$30</f>
        <v>0</v>
      </c>
      <c r="J33" s="17"/>
      <c r="L33" s="30">
        <f>'TR TE'!$L$33*'TR TE'!$L$48</f>
        <v>3.175036276275891</v>
      </c>
      <c r="M33" s="30">
        <f>'TR TE'!$M$33*'TR TE'!$M$48</f>
        <v>28.637422673001549</v>
      </c>
      <c r="N33" s="30">
        <f>'TR TE'!$N$33*'TR TE'!$N$48</f>
        <v>0</v>
      </c>
      <c r="O33" s="30">
        <f>'TR TE'!$O$33*'TR TE'!$O$48</f>
        <v>10.584446429772724</v>
      </c>
      <c r="P33" s="30">
        <f>'TR TE'!$P$33*'TR TE'!$P$48</f>
        <v>-16.54872648187872</v>
      </c>
      <c r="Q33" s="30">
        <f>SUM($L$33:$P$33)</f>
        <v>25.84817889717144</v>
      </c>
      <c r="R33" s="30">
        <f>'TR TE'!$R$33*'TR TE'!$R$48</f>
        <v>258.40237843188601</v>
      </c>
      <c r="S33" s="30">
        <f>SUM($R$33:$R$33)</f>
        <v>258.40237843188601</v>
      </c>
      <c r="T33" s="30">
        <f>'TR TE'!$T$33*'TR TE'!$T$48</f>
        <v>6.7912908913749641</v>
      </c>
      <c r="U33" s="30">
        <f>'TR TE'!$U$33*'TR TE'!$U$48</f>
        <v>4.6787668189320861</v>
      </c>
      <c r="V33" s="30">
        <f>'TR TE'!$V$33*'TR TE'!$V$48</f>
        <v>0</v>
      </c>
      <c r="W33" s="30">
        <f>SUM($T$33:$V$33)</f>
        <v>11.470057710307049</v>
      </c>
      <c r="X33" s="30"/>
      <c r="Y33" s="30">
        <f>SUM($X$33:$X$33)</f>
        <v>0</v>
      </c>
      <c r="Z33" s="30">
        <f>'TR TE'!$Z$33*'TR TE'!$Z$48</f>
        <v>7.955333512459501</v>
      </c>
      <c r="AA33" s="30">
        <f>SUM($Z$33:$Z$33)</f>
        <v>7.955333512459501</v>
      </c>
      <c r="AB33" s="30">
        <f>SUMIF($L$4:$AA$4,"SUBTOTAL",$L$33:$AA$33)</f>
        <v>303.67594855182404</v>
      </c>
    </row>
    <row r="34" spans="1:28" ht="11.25" customHeight="1" x14ac:dyDescent="0.25">
      <c r="A34" s="130"/>
      <c r="B34" s="130"/>
      <c r="C34" s="130"/>
      <c r="D34" s="33" t="s">
        <v>55</v>
      </c>
      <c r="E34" s="33" t="s">
        <v>25</v>
      </c>
      <c r="F34" s="33" t="s">
        <v>25</v>
      </c>
      <c r="G34" s="32" t="s">
        <v>86</v>
      </c>
      <c r="H34" s="32" t="s">
        <v>80</v>
      </c>
      <c r="I34" s="32">
        <f>'MERCADO TE'!$U$31</f>
        <v>0</v>
      </c>
      <c r="J34" s="17"/>
      <c r="L34" s="30">
        <f>'TR TE'!$L$34*'TR TE'!$L$48</f>
        <v>3.175036276275891</v>
      </c>
      <c r="M34" s="30">
        <f>'TR TE'!$M$34*'TR TE'!$M$48</f>
        <v>28.637422673001549</v>
      </c>
      <c r="N34" s="30">
        <f>'TR TE'!$N$34*'TR TE'!$N$48</f>
        <v>0</v>
      </c>
      <c r="O34" s="30">
        <f>'TR TE'!$O$34*'TR TE'!$O$48</f>
        <v>10.584446429772724</v>
      </c>
      <c r="P34" s="30">
        <f>'TR TE'!$P$34*'TR TE'!$P$48</f>
        <v>-16.54872648187872</v>
      </c>
      <c r="Q34" s="30">
        <f>SUM($L$34:$P$34)</f>
        <v>25.84817889717144</v>
      </c>
      <c r="R34" s="30">
        <f>'TR TE'!$R$34*'TR TE'!$R$48</f>
        <v>258.40237843188601</v>
      </c>
      <c r="S34" s="30">
        <f>SUM($R$34:$R$34)</f>
        <v>258.40237843188601</v>
      </c>
      <c r="T34" s="30">
        <f>'TR TE'!$T$34*'TR TE'!$T$48</f>
        <v>6.7912908913749641</v>
      </c>
      <c r="U34" s="30">
        <f>'TR TE'!$U$34*'TR TE'!$U$48</f>
        <v>4.6787668189320861</v>
      </c>
      <c r="V34" s="30">
        <f>'TR TE'!$V$34*'TR TE'!$V$48</f>
        <v>0</v>
      </c>
      <c r="W34" s="30">
        <f>SUM($T$34:$V$34)</f>
        <v>11.470057710307049</v>
      </c>
      <c r="X34" s="30"/>
      <c r="Y34" s="30">
        <f>SUM($X$34:$X$34)</f>
        <v>0</v>
      </c>
      <c r="Z34" s="30">
        <f>'TR TE'!$Z$34*'TR TE'!$Z$48</f>
        <v>7.955333512459501</v>
      </c>
      <c r="AA34" s="30">
        <f>SUM($Z$34:$Z$34)</f>
        <v>7.955333512459501</v>
      </c>
      <c r="AB34" s="30">
        <f>SUMIF($L$4:$AA$4,"SUBTOTAL",$L$34:$AA$34)</f>
        <v>303.67594855182404</v>
      </c>
    </row>
    <row r="35" spans="1:28" ht="11.25" customHeight="1" x14ac:dyDescent="0.25">
      <c r="A35" s="130" t="s">
        <v>37</v>
      </c>
      <c r="B35" s="130" t="s">
        <v>79</v>
      </c>
      <c r="C35" s="130" t="s">
        <v>25</v>
      </c>
      <c r="D35" s="130" t="s">
        <v>25</v>
      </c>
      <c r="E35" s="130" t="s">
        <v>25</v>
      </c>
      <c r="F35" s="130" t="s">
        <v>25</v>
      </c>
      <c r="G35" s="32" t="s">
        <v>81</v>
      </c>
      <c r="H35" s="32" t="s">
        <v>80</v>
      </c>
      <c r="I35" s="32">
        <f>'MERCADO TE'!$U$32</f>
        <v>57.161000000000001</v>
      </c>
      <c r="J35" s="17"/>
      <c r="L35" s="30">
        <f>'TR TE'!$L$35*'TR TE'!$L$48</f>
        <v>3.175036276275891</v>
      </c>
      <c r="M35" s="30">
        <f>'TR TE'!$M$35*'TR TE'!$M$48</f>
        <v>28.637422673001549</v>
      </c>
      <c r="N35" s="30">
        <f>'TR TE'!$N$35*'TR TE'!$N$48</f>
        <v>0</v>
      </c>
      <c r="O35" s="30">
        <f>'TR TE'!$O$35*'TR TE'!$O$48</f>
        <v>10.584446429772724</v>
      </c>
      <c r="P35" s="30">
        <f>'TR TE'!$P$35*'TR TE'!$P$48</f>
        <v>-16.54872648187872</v>
      </c>
      <c r="Q35" s="30">
        <f>SUM($L$35:$P$35)</f>
        <v>25.84817889717144</v>
      </c>
      <c r="R35" s="30">
        <f>'TR TE'!$R$35*'TR TE'!$R$48</f>
        <v>419.29442538004139</v>
      </c>
      <c r="S35" s="30">
        <f>SUM($R$35:$R$35)</f>
        <v>419.29442538004139</v>
      </c>
      <c r="T35" s="30">
        <f>'TR TE'!$T$35*'TR TE'!$T$48</f>
        <v>6.7912908913749641</v>
      </c>
      <c r="U35" s="30">
        <f>'TR TE'!$U$35*'TR TE'!$U$48</f>
        <v>4.6787668189320861</v>
      </c>
      <c r="V35" s="30">
        <f>'TR TE'!$V$35*'TR TE'!$V$48</f>
        <v>0</v>
      </c>
      <c r="W35" s="30">
        <f>SUM($T$35:$V$35)</f>
        <v>11.470057710307049</v>
      </c>
      <c r="X35" s="30"/>
      <c r="Y35" s="30">
        <f>SUM($X$35:$X$35)</f>
        <v>0</v>
      </c>
      <c r="Z35" s="30">
        <f>'TR TE'!$Z$35*'TR TE'!$Z$48</f>
        <v>7.955333512459501</v>
      </c>
      <c r="AA35" s="30">
        <f>SUM($Z$35:$Z$35)</f>
        <v>7.955333512459501</v>
      </c>
      <c r="AB35" s="30">
        <f>SUMIF($L$4:$AA$4,"SUBTOTAL",$L$35:$AA$35)</f>
        <v>464.56799549997942</v>
      </c>
    </row>
    <row r="36" spans="1:28" ht="11.25" customHeight="1" x14ac:dyDescent="0.25">
      <c r="A36" s="130"/>
      <c r="B36" s="130"/>
      <c r="C36" s="130"/>
      <c r="D36" s="130"/>
      <c r="E36" s="130"/>
      <c r="F36" s="130"/>
      <c r="G36" s="32" t="s">
        <v>91</v>
      </c>
      <c r="H36" s="32" t="s">
        <v>80</v>
      </c>
      <c r="I36" s="32">
        <f>'MERCADO TE'!$U$33</f>
        <v>51.646000000000001</v>
      </c>
      <c r="J36" s="17"/>
      <c r="L36" s="30">
        <f>'TR TE'!$L$36*'TR TE'!$L$48</f>
        <v>3.175036276275891</v>
      </c>
      <c r="M36" s="30">
        <f>'TR TE'!$M$36*'TR TE'!$M$48</f>
        <v>28.637422673001549</v>
      </c>
      <c r="N36" s="30">
        <f>'TR TE'!$N$36*'TR TE'!$N$48</f>
        <v>0</v>
      </c>
      <c r="O36" s="30">
        <f>'TR TE'!$O$36*'TR TE'!$O$48</f>
        <v>10.584446429772724</v>
      </c>
      <c r="P36" s="30">
        <f>'TR TE'!$P$36*'TR TE'!$P$48</f>
        <v>-16.54872648187872</v>
      </c>
      <c r="Q36" s="30">
        <f>SUM($L$36:$P$36)</f>
        <v>25.84817889717144</v>
      </c>
      <c r="R36" s="30">
        <f>'TR TE'!$R$36*'TR TE'!$R$48</f>
        <v>243.77582870932639</v>
      </c>
      <c r="S36" s="30">
        <f>SUM($R$36:$R$36)</f>
        <v>243.77582870932639</v>
      </c>
      <c r="T36" s="30">
        <f>'TR TE'!$T$36*'TR TE'!$T$48</f>
        <v>6.7912908913749641</v>
      </c>
      <c r="U36" s="30">
        <f>'TR TE'!$U$36*'TR TE'!$U$48</f>
        <v>4.6787668189320861</v>
      </c>
      <c r="V36" s="30">
        <f>'TR TE'!$V$36*'TR TE'!$V$48</f>
        <v>0</v>
      </c>
      <c r="W36" s="30">
        <f>SUM($T$36:$V$36)</f>
        <v>11.470057710307049</v>
      </c>
      <c r="X36" s="30"/>
      <c r="Y36" s="30">
        <f>SUM($X$36:$X$36)</f>
        <v>0</v>
      </c>
      <c r="Z36" s="30">
        <f>'TR TE'!$Z$36*'TR TE'!$Z$48</f>
        <v>7.955333512459501</v>
      </c>
      <c r="AA36" s="30">
        <f>SUM($Z$36:$Z$36)</f>
        <v>7.955333512459501</v>
      </c>
      <c r="AB36" s="30">
        <f>SUMIF($L$4:$AA$4,"SUBTOTAL",$L$36:$AA$36)</f>
        <v>289.04939882926442</v>
      </c>
    </row>
    <row r="37" spans="1:28" ht="11.25" customHeight="1" x14ac:dyDescent="0.25">
      <c r="A37" s="130"/>
      <c r="B37" s="130"/>
      <c r="C37" s="130"/>
      <c r="D37" s="130"/>
      <c r="E37" s="130"/>
      <c r="F37" s="130"/>
      <c r="G37" s="32" t="s">
        <v>82</v>
      </c>
      <c r="H37" s="32" t="s">
        <v>80</v>
      </c>
      <c r="I37" s="32">
        <f>'MERCADO TE'!$U$34</f>
        <v>982.72000000000014</v>
      </c>
      <c r="J37" s="17"/>
      <c r="L37" s="30">
        <f>'TR TE'!$L$37*'TR TE'!$L$48</f>
        <v>3.175036276275891</v>
      </c>
      <c r="M37" s="30">
        <f>'TR TE'!$M$37*'TR TE'!$M$48</f>
        <v>28.637422673001549</v>
      </c>
      <c r="N37" s="30">
        <f>'TR TE'!$N$37*'TR TE'!$N$48</f>
        <v>0</v>
      </c>
      <c r="O37" s="30">
        <f>'TR TE'!$O$37*'TR TE'!$O$48</f>
        <v>10.584446429772724</v>
      </c>
      <c r="P37" s="30">
        <f>'TR TE'!$P$37*'TR TE'!$P$48</f>
        <v>-16.54872648187872</v>
      </c>
      <c r="Q37" s="30">
        <f>SUM($L$37:$P$37)</f>
        <v>25.84817889717144</v>
      </c>
      <c r="R37" s="30">
        <f>'TR TE'!$R$37*'TR TE'!$R$48</f>
        <v>243.77582870932639</v>
      </c>
      <c r="S37" s="30">
        <f>SUM($R$37:$R$37)</f>
        <v>243.77582870932639</v>
      </c>
      <c r="T37" s="30">
        <f>'TR TE'!$T$37*'TR TE'!$T$48</f>
        <v>6.7912908913749641</v>
      </c>
      <c r="U37" s="30">
        <f>'TR TE'!$U$37*'TR TE'!$U$48</f>
        <v>4.6787668189320861</v>
      </c>
      <c r="V37" s="30">
        <f>'TR TE'!$V$37*'TR TE'!$V$48</f>
        <v>0</v>
      </c>
      <c r="W37" s="30">
        <f>SUM($T$37:$V$37)</f>
        <v>11.470057710307049</v>
      </c>
      <c r="X37" s="30"/>
      <c r="Y37" s="30">
        <f>SUM($X$37:$X$37)</f>
        <v>0</v>
      </c>
      <c r="Z37" s="30">
        <f>'TR TE'!$Z$37*'TR TE'!$Z$48</f>
        <v>7.955333512459501</v>
      </c>
      <c r="AA37" s="30">
        <f>SUM($Z$37:$Z$37)</f>
        <v>7.955333512459501</v>
      </c>
      <c r="AB37" s="30">
        <f>SUMIF($L$4:$AA$4,"SUBTOTAL",$L$37:$AA$37)</f>
        <v>289.04939882926442</v>
      </c>
    </row>
    <row r="38" spans="1:28" ht="11.25" customHeight="1" x14ac:dyDescent="0.25">
      <c r="A38" s="130"/>
      <c r="B38" s="33" t="s">
        <v>92</v>
      </c>
      <c r="C38" s="33" t="s">
        <v>25</v>
      </c>
      <c r="D38" s="33" t="s">
        <v>25</v>
      </c>
      <c r="E38" s="33" t="s">
        <v>25</v>
      </c>
      <c r="F38" s="33" t="s">
        <v>25</v>
      </c>
      <c r="G38" s="32" t="s">
        <v>86</v>
      </c>
      <c r="H38" s="32" t="s">
        <v>80</v>
      </c>
      <c r="I38" s="32">
        <f>'MERCADO TE'!$U$35</f>
        <v>86690.115999999995</v>
      </c>
      <c r="J38" s="17"/>
      <c r="L38" s="30">
        <f>'TR TE'!$L$38*'TR TE'!$L$48</f>
        <v>3.175036276275891</v>
      </c>
      <c r="M38" s="30">
        <f>'TR TE'!$M$38*'TR TE'!$M$48</f>
        <v>28.637422673001549</v>
      </c>
      <c r="N38" s="30">
        <f>'TR TE'!$N$38*'TR TE'!$N$48</f>
        <v>0</v>
      </c>
      <c r="O38" s="30">
        <f>'TR TE'!$O$38*'TR TE'!$O$48</f>
        <v>10.584446429772724</v>
      </c>
      <c r="P38" s="30">
        <f>'TR TE'!$P$38*'TR TE'!$P$48</f>
        <v>-16.54872648187872</v>
      </c>
      <c r="Q38" s="30">
        <f>SUM($L$38:$P$38)</f>
        <v>25.84817889717144</v>
      </c>
      <c r="R38" s="30">
        <f>'TR TE'!$R$38*'TR TE'!$R$48</f>
        <v>258.40237843188601</v>
      </c>
      <c r="S38" s="30">
        <f>SUM($R$38:$R$38)</f>
        <v>258.40237843188601</v>
      </c>
      <c r="T38" s="30">
        <f>'TR TE'!$T$38*'TR TE'!$T$48</f>
        <v>6.7912908913749641</v>
      </c>
      <c r="U38" s="30">
        <f>'TR TE'!$U$38*'TR TE'!$U$48</f>
        <v>4.6787668189320861</v>
      </c>
      <c r="V38" s="30">
        <f>'TR TE'!$V$38*'TR TE'!$V$48</f>
        <v>0</v>
      </c>
      <c r="W38" s="30">
        <f>SUM($T$38:$V$38)</f>
        <v>11.470057710307049</v>
      </c>
      <c r="X38" s="30"/>
      <c r="Y38" s="30">
        <f>SUM($X$38:$X$38)</f>
        <v>0</v>
      </c>
      <c r="Z38" s="30">
        <f>'TR TE'!$Z$38*'TR TE'!$Z$48</f>
        <v>7.955333512459501</v>
      </c>
      <c r="AA38" s="30">
        <f>SUM($Z$38:$Z$38)</f>
        <v>7.955333512459501</v>
      </c>
      <c r="AB38" s="30">
        <f>SUMIF($L$4:$AA$4,"SUBTOTAL",$L$38:$AA$38)</f>
        <v>303.67594855182404</v>
      </c>
    </row>
    <row r="39" spans="1:28" ht="11.25" customHeight="1" x14ac:dyDescent="0.25">
      <c r="A39" s="130"/>
      <c r="B39" s="33" t="s">
        <v>93</v>
      </c>
      <c r="C39" s="33" t="s">
        <v>25</v>
      </c>
      <c r="D39" s="33" t="s">
        <v>25</v>
      </c>
      <c r="E39" s="33" t="s">
        <v>25</v>
      </c>
      <c r="F39" s="33" t="s">
        <v>25</v>
      </c>
      <c r="G39" s="32" t="s">
        <v>86</v>
      </c>
      <c r="H39" s="32" t="s">
        <v>80</v>
      </c>
      <c r="I39" s="32">
        <f>'MERCADO TE'!$U$36</f>
        <v>0</v>
      </c>
      <c r="J39" s="17"/>
      <c r="L39" s="30">
        <f>'TR TE'!$L$39*'TR TE'!$L$48</f>
        <v>3.175036276275891</v>
      </c>
      <c r="M39" s="30">
        <f>'TR TE'!$M$39*'TR TE'!$M$48</f>
        <v>28.637422673001549</v>
      </c>
      <c r="N39" s="30">
        <f>'TR TE'!$N$39*'TR TE'!$N$48</f>
        <v>0</v>
      </c>
      <c r="O39" s="30">
        <f>'TR TE'!$O$39*'TR TE'!$O$48</f>
        <v>10.584446429772724</v>
      </c>
      <c r="P39" s="30">
        <f>'TR TE'!$P$39*'TR TE'!$P$48</f>
        <v>-16.54872648187872</v>
      </c>
      <c r="Q39" s="30">
        <f>SUM($L$39:$P$39)</f>
        <v>25.84817889717144</v>
      </c>
      <c r="R39" s="30">
        <f>'TR TE'!$R$39*'TR TE'!$R$48</f>
        <v>258.40237843188601</v>
      </c>
      <c r="S39" s="30">
        <f>SUM($R$39:$R$39)</f>
        <v>258.40237843188601</v>
      </c>
      <c r="T39" s="30">
        <f>'TR TE'!$T$39*'TR TE'!$T$48</f>
        <v>6.7912908913749641</v>
      </c>
      <c r="U39" s="30">
        <f>'TR TE'!$U$39*'TR TE'!$U$48</f>
        <v>4.6787668189320861</v>
      </c>
      <c r="V39" s="30">
        <f>'TR TE'!$V$39*'TR TE'!$V$48</f>
        <v>0</v>
      </c>
      <c r="W39" s="30">
        <f>SUM($T$39:$V$39)</f>
        <v>11.470057710307049</v>
      </c>
      <c r="X39" s="30"/>
      <c r="Y39" s="30">
        <f>SUM($X$39:$X$39)</f>
        <v>0</v>
      </c>
      <c r="Z39" s="30">
        <f>'TR TE'!$Z$39*'TR TE'!$Z$48</f>
        <v>7.955333512459501</v>
      </c>
      <c r="AA39" s="30">
        <f>SUM($Z$39:$Z$39)</f>
        <v>7.955333512459501</v>
      </c>
      <c r="AB39" s="30">
        <f>SUMIF($L$4:$AA$4,"SUBTOTAL",$L$39:$AA$39)</f>
        <v>303.67594855182404</v>
      </c>
    </row>
    <row r="40" spans="1:28" ht="11.25" customHeight="1" x14ac:dyDescent="0.25">
      <c r="A40" s="130" t="s">
        <v>46</v>
      </c>
      <c r="B40" s="130" t="s">
        <v>92</v>
      </c>
      <c r="C40" s="130" t="s">
        <v>47</v>
      </c>
      <c r="D40" s="33" t="s">
        <v>48</v>
      </c>
      <c r="E40" s="33" t="s">
        <v>25</v>
      </c>
      <c r="F40" s="33" t="s">
        <v>25</v>
      </c>
      <c r="G40" s="32" t="s">
        <v>86</v>
      </c>
      <c r="H40" s="32" t="s">
        <v>80</v>
      </c>
      <c r="I40" s="32">
        <f>'MERCADO TE'!$U$37</f>
        <v>18976.334999999999</v>
      </c>
      <c r="J40" s="17"/>
      <c r="L40" s="30">
        <f>'TR TE'!$L$40*'TR TE'!$L$48</f>
        <v>1.7462699519517402</v>
      </c>
      <c r="M40" s="30">
        <f>'TR TE'!$M$40*'TR TE'!$M$48</f>
        <v>15.750582470150853</v>
      </c>
      <c r="N40" s="30">
        <f>'TR TE'!$N$40*'TR TE'!$N$48</f>
        <v>0</v>
      </c>
      <c r="O40" s="30">
        <f>'TR TE'!$O$40*'TR TE'!$O$48</f>
        <v>5.8214455363749984</v>
      </c>
      <c r="P40" s="30">
        <f>'TR TE'!$P$40*'TR TE'!$P$48</f>
        <v>-9.1017995650332963</v>
      </c>
      <c r="Q40" s="30">
        <f>SUM($L$40:$P$40)</f>
        <v>14.216498393444294</v>
      </c>
      <c r="R40" s="30">
        <f>'TR TE'!$R$40*'TR TE'!$R$48</f>
        <v>142.12130813753731</v>
      </c>
      <c r="S40" s="30">
        <f>SUM($R$40:$R$40)</f>
        <v>142.12130813753731</v>
      </c>
      <c r="T40" s="30">
        <f>'TR TE'!$T$40*'TR TE'!$T$48</f>
        <v>3.7352099902562306</v>
      </c>
      <c r="U40" s="30">
        <f>'TR TE'!$U$40*'TR TE'!$U$48</f>
        <v>2.5733217504126475</v>
      </c>
      <c r="V40" s="30">
        <f>'TR TE'!$V$40*'TR TE'!$V$48</f>
        <v>0</v>
      </c>
      <c r="W40" s="30">
        <f>SUM($T$40:$V$40)</f>
        <v>6.3085317406688777</v>
      </c>
      <c r="X40" s="30"/>
      <c r="Y40" s="30">
        <f>SUM($X$40:$X$40)</f>
        <v>0</v>
      </c>
      <c r="Z40" s="30">
        <f>'TR TE'!$Z$40*'TR TE'!$Z$48</f>
        <v>4.3754334318527262</v>
      </c>
      <c r="AA40" s="30">
        <f>SUM($Z$40:$Z$40)</f>
        <v>4.3754334318527262</v>
      </c>
      <c r="AB40" s="30">
        <f>SUMIF($L$4:$AA$4,"SUBTOTAL",$L$40:$AA$40)</f>
        <v>167.02177170350319</v>
      </c>
    </row>
    <row r="41" spans="1:28" ht="11.25" customHeight="1" x14ac:dyDescent="0.25">
      <c r="A41" s="130"/>
      <c r="B41" s="130"/>
      <c r="C41" s="130"/>
      <c r="D41" s="32" t="s">
        <v>96</v>
      </c>
      <c r="E41" s="32" t="s">
        <v>25</v>
      </c>
      <c r="F41" s="32" t="s">
        <v>25</v>
      </c>
      <c r="G41" s="32" t="s">
        <v>86</v>
      </c>
      <c r="H41" s="32" t="s">
        <v>80</v>
      </c>
      <c r="I41" s="32">
        <f>'MERCADO TE'!$U$38</f>
        <v>0</v>
      </c>
      <c r="J41" s="17"/>
      <c r="L41" s="30">
        <f>'TR TE'!$L$41*'TR TE'!$L$48</f>
        <v>1.9050217657655346</v>
      </c>
      <c r="M41" s="30">
        <f>'TR TE'!$M$41*'TR TE'!$M$48</f>
        <v>17.18245360380093</v>
      </c>
      <c r="N41" s="30">
        <f>'TR TE'!$N$41*'TR TE'!$N$48</f>
        <v>0</v>
      </c>
      <c r="O41" s="30">
        <f>'TR TE'!$O$41*'TR TE'!$O$48</f>
        <v>6.350667857863634</v>
      </c>
      <c r="P41" s="30">
        <f>'TR TE'!$P$41*'TR TE'!$P$48</f>
        <v>-9.9292358891272325</v>
      </c>
      <c r="Q41" s="30">
        <f>SUM($L$41:$P$41)</f>
        <v>15.508907338302867</v>
      </c>
      <c r="R41" s="30">
        <f>'TR TE'!$R$41*'TR TE'!$R$48</f>
        <v>155.04142705913159</v>
      </c>
      <c r="S41" s="30">
        <f>SUM($R$41:$R$41)</f>
        <v>155.04142705913159</v>
      </c>
      <c r="T41" s="30">
        <f>'TR TE'!$T$41*'TR TE'!$T$48</f>
        <v>4.0747745348249786</v>
      </c>
      <c r="U41" s="30">
        <f>'TR TE'!$U$41*'TR TE'!$U$48</f>
        <v>2.8072600913592516</v>
      </c>
      <c r="V41" s="30">
        <f>'TR TE'!$V$41*'TR TE'!$V$48</f>
        <v>0</v>
      </c>
      <c r="W41" s="30">
        <f>SUM($T$41:$V$41)</f>
        <v>6.8820346261842307</v>
      </c>
      <c r="X41" s="30"/>
      <c r="Y41" s="30">
        <f>SUM($X$41:$X$41)</f>
        <v>0</v>
      </c>
      <c r="Z41" s="30">
        <f>'TR TE'!$Z$41*'TR TE'!$Z$48</f>
        <v>4.7732001074757004</v>
      </c>
      <c r="AA41" s="30">
        <f>SUM($Z$41:$Z$41)</f>
        <v>4.7732001074757004</v>
      </c>
      <c r="AB41" s="30">
        <f>SUMIF($L$4:$AA$4,"SUBTOTAL",$L$41:$AA$41)</f>
        <v>182.20556913109439</v>
      </c>
    </row>
    <row r="43" spans="1:28" ht="11.25" customHeight="1" x14ac:dyDescent="0.25">
      <c r="K43" s="35" t="s">
        <v>767</v>
      </c>
      <c r="L43" s="30">
        <f t="shared" ref="L43:AB43" si="0">SUMPRODUCT($I$5:$I$41,L$5:L$41)</f>
        <v>1547247.5504463778</v>
      </c>
      <c r="M43" s="30">
        <f t="shared" si="0"/>
        <v>13955488.450000001</v>
      </c>
      <c r="N43" s="30">
        <f t="shared" si="0"/>
        <v>0</v>
      </c>
      <c r="O43" s="30">
        <f t="shared" si="0"/>
        <v>5157975.3383182194</v>
      </c>
      <c r="P43" s="30">
        <f t="shared" si="0"/>
        <v>-8064467.3899999987</v>
      </c>
      <c r="Q43" s="30">
        <f t="shared" si="0"/>
        <v>12596243.948764594</v>
      </c>
      <c r="R43" s="30">
        <f t="shared" si="0"/>
        <v>125601206.97116727</v>
      </c>
      <c r="S43" s="30">
        <f t="shared" si="0"/>
        <v>125601206.97116727</v>
      </c>
      <c r="T43" s="30">
        <f t="shared" si="0"/>
        <v>3309508.0754080955</v>
      </c>
      <c r="U43" s="30">
        <f t="shared" si="0"/>
        <v>2280040.2482939754</v>
      </c>
      <c r="V43" s="30">
        <f t="shared" si="0"/>
        <v>0</v>
      </c>
      <c r="W43" s="30">
        <f t="shared" si="0"/>
        <v>5589548.3237020709</v>
      </c>
      <c r="X43" s="30">
        <f t="shared" si="0"/>
        <v>0</v>
      </c>
      <c r="Y43" s="30">
        <f t="shared" si="0"/>
        <v>0</v>
      </c>
      <c r="Z43" s="30">
        <f t="shared" si="0"/>
        <v>3876765.2458366361</v>
      </c>
      <c r="AA43" s="30">
        <f t="shared" si="0"/>
        <v>3876765.2458366361</v>
      </c>
      <c r="AB43" s="30">
        <f t="shared" si="0"/>
        <v>147663764.48947054</v>
      </c>
    </row>
    <row r="44" spans="1:28" ht="11.25" customHeight="1" x14ac:dyDescent="0.25">
      <c r="K44" s="35" t="s">
        <v>686</v>
      </c>
      <c r="L44" s="30">
        <f>CUSTOS!$D$30</f>
        <v>1547247.5504463778</v>
      </c>
      <c r="M44" s="30">
        <f>CUSTOS!$D$31</f>
        <v>13955488.450000001</v>
      </c>
      <c r="N44" s="30">
        <f>CUSTOS!$D$32</f>
        <v>0</v>
      </c>
      <c r="O44" s="30">
        <f>CUSTOS!$D$33</f>
        <v>5157975.3383182185</v>
      </c>
      <c r="P44" s="30">
        <f>CUSTOS!$D$34</f>
        <v>-8064467.3899999997</v>
      </c>
      <c r="Q44" s="30">
        <f>CUSTOS!$D$35</f>
        <v>12596243.948764596</v>
      </c>
      <c r="R44" s="30">
        <f>CUSTOS!$D$36</f>
        <v>125601206.97116724</v>
      </c>
      <c r="S44" s="30">
        <f>CUSTOS!$D$37</f>
        <v>125601206.97116724</v>
      </c>
      <c r="T44" s="30">
        <f>CUSTOS!$D$38</f>
        <v>3309508.075408096</v>
      </c>
      <c r="U44" s="30">
        <f>CUSTOS!$D$39</f>
        <v>2280040.2482939754</v>
      </c>
      <c r="V44" s="30">
        <f>CUSTOS!$D$40</f>
        <v>0</v>
      </c>
      <c r="W44" s="30">
        <f>CUSTOS!$D$41</f>
        <v>5589548.3237020709</v>
      </c>
      <c r="X44" s="30">
        <f>CUSTOS!$D$42</f>
        <v>0</v>
      </c>
      <c r="Y44" s="30">
        <f>CUSTOS!$D$43</f>
        <v>0</v>
      </c>
      <c r="Z44" s="30">
        <f>CUSTOS!$D$44</f>
        <v>3876765.2458366361</v>
      </c>
      <c r="AA44" s="30">
        <f>CUSTOS!$D$45</f>
        <v>3876765.2458366361</v>
      </c>
      <c r="AB44" s="30">
        <f>CUSTOS!$D$46</f>
        <v>147663764.48947054</v>
      </c>
    </row>
    <row r="45" spans="1:28" ht="11.25" customHeight="1" x14ac:dyDescent="0.25">
      <c r="K45" s="35" t="s">
        <v>687</v>
      </c>
      <c r="L45" s="30">
        <f>CUSTOS!$E$30</f>
        <v>1.6251823968117272</v>
      </c>
      <c r="M45" s="30">
        <f>CUSTOS!$E$31</f>
        <v>-1927337.176929784</v>
      </c>
      <c r="N45" s="30">
        <f>CUSTOS!$E$32</f>
        <v>0</v>
      </c>
      <c r="O45" s="30">
        <f>CUSTOS!$E$33</f>
        <v>75017.44241902011</v>
      </c>
      <c r="P45" s="30">
        <f>CUSTOS!$E$34</f>
        <v>0</v>
      </c>
      <c r="Q45" s="30">
        <f>CUSTOS!$E$35</f>
        <v>-1852318.1093283673</v>
      </c>
      <c r="R45" s="30">
        <f>CUSTOS!$E$36</f>
        <v>5525366.701882883</v>
      </c>
      <c r="S45" s="30">
        <f>CUSTOS!$E$37</f>
        <v>5525366.701882883</v>
      </c>
      <c r="T45" s="30">
        <f>CUSTOS!$E$38</f>
        <v>229031.73735434609</v>
      </c>
      <c r="U45" s="30">
        <f>CUSTOS!$E$39</f>
        <v>190800.61359658238</v>
      </c>
      <c r="V45" s="30">
        <f>CUSTOS!$E$40</f>
        <v>0</v>
      </c>
      <c r="W45" s="30">
        <f>CUSTOS!$E$41</f>
        <v>419832.35095092846</v>
      </c>
      <c r="X45" s="30">
        <f>CUSTOS!$E$42</f>
        <v>-4356753.4902680693</v>
      </c>
      <c r="Y45" s="30">
        <f>CUSTOS!$E$43</f>
        <v>-4356753.4902680693</v>
      </c>
      <c r="Z45" s="30">
        <f>CUSTOS!$E$44</f>
        <v>170544.13820465765</v>
      </c>
      <c r="AA45" s="30">
        <f>CUSTOS!$E$45</f>
        <v>170544.13820465765</v>
      </c>
      <c r="AB45" s="30">
        <f>CUSTOS!$E$46</f>
        <v>-93328.408557967574</v>
      </c>
    </row>
    <row r="46" spans="1:28" ht="11.25" customHeight="1" x14ac:dyDescent="0.25">
      <c r="K46" s="35" t="s">
        <v>688</v>
      </c>
      <c r="L46" s="30">
        <f>CUSTOS!$F$30</f>
        <v>0</v>
      </c>
      <c r="M46" s="30">
        <f>CUSTOS!$F$31</f>
        <v>4743030.0866999999</v>
      </c>
      <c r="N46" s="30">
        <f>CUSTOS!$F$32</f>
        <v>0</v>
      </c>
      <c r="O46" s="30">
        <f>CUSTOS!$F$33</f>
        <v>354705.17188565916</v>
      </c>
      <c r="P46" s="30">
        <f>CUSTOS!$F$34</f>
        <v>0</v>
      </c>
      <c r="Q46" s="30">
        <f>CUSTOS!$F$35</f>
        <v>5097735.2585856589</v>
      </c>
      <c r="R46" s="30">
        <f>CUSTOS!$F$36</f>
        <v>2107013.5999463112</v>
      </c>
      <c r="S46" s="30">
        <f>CUSTOS!$F$37</f>
        <v>2107013.5999463112</v>
      </c>
      <c r="T46" s="30">
        <f>CUSTOS!$F$38</f>
        <v>636967.30110000004</v>
      </c>
      <c r="U46" s="30">
        <f>CUSTOS!$F$39</f>
        <v>109099.95011400947</v>
      </c>
      <c r="V46" s="30">
        <f>CUSTOS!$F$40</f>
        <v>0</v>
      </c>
      <c r="W46" s="30">
        <f>CUSTOS!$F$41</f>
        <v>746067.25121400948</v>
      </c>
      <c r="X46" s="30">
        <f>CUSTOS!$F$42</f>
        <v>0</v>
      </c>
      <c r="Y46" s="30">
        <f>CUSTOS!$F$43</f>
        <v>0</v>
      </c>
      <c r="Z46" s="30">
        <f>CUSTOS!$F$44</f>
        <v>65034.383775086797</v>
      </c>
      <c r="AA46" s="30">
        <f>CUSTOS!$F$45</f>
        <v>65034.383775086797</v>
      </c>
      <c r="AB46" s="30">
        <f>CUSTOS!$F$46</f>
        <v>8015850.4935210673</v>
      </c>
    </row>
    <row r="47" spans="1:28" ht="11.25" customHeight="1" x14ac:dyDescent="0.25">
      <c r="K47" s="35" t="s">
        <v>768</v>
      </c>
      <c r="L47" s="30">
        <f>'TR TE'!$L$47*L48</f>
        <v>3.3349628273469102E-6</v>
      </c>
      <c r="M47" s="30">
        <f>'TR TE'!$M$47*M48</f>
        <v>-3.9550008992431782</v>
      </c>
      <c r="N47" s="30">
        <f>'TR TE'!$N$47*N48</f>
        <v>0</v>
      </c>
      <c r="O47" s="30">
        <f>'TR TE'!$O$47*O48</f>
        <v>0.15393987921655544</v>
      </c>
      <c r="P47" s="30">
        <f>'TR TE'!$P$47*P48</f>
        <v>0</v>
      </c>
      <c r="Q47" s="30"/>
      <c r="R47" s="30">
        <f>'TR TE'!$R$47*R48</f>
        <v>11.384715357248977</v>
      </c>
      <c r="S47" s="30"/>
      <c r="T47" s="30">
        <f>'TR TE'!$T$47*T48</f>
        <v>0.46998560398996891</v>
      </c>
      <c r="U47" s="30">
        <f>'TR TE'!$U$47*U48</f>
        <v>0.39153325499211572</v>
      </c>
      <c r="V47" s="30">
        <f>'TR TE'!$V$47*V48</f>
        <v>0</v>
      </c>
      <c r="W47" s="30"/>
      <c r="X47" s="30"/>
      <c r="Y47" s="30"/>
      <c r="Z47" s="30">
        <f>'TR TE'!$Z$47*Z48</f>
        <v>0.34996586380103178</v>
      </c>
      <c r="AA47" s="30"/>
      <c r="AB47" s="30"/>
    </row>
    <row r="48" spans="1:28" ht="11.25" customHeight="1" x14ac:dyDescent="0.25">
      <c r="K48" s="35" t="s">
        <v>755</v>
      </c>
      <c r="L48" s="30">
        <f>IF(L44&lt;&gt;0,L45/L44,0)</f>
        <v>1.0503699917591501E-6</v>
      </c>
      <c r="M48" s="30">
        <f>IF(M44&lt;&gt;0,M45/M44,0)</f>
        <v>-0.13810603504385285</v>
      </c>
      <c r="N48" s="30">
        <f>IF(N44&lt;&gt;0,N45/N44,0)</f>
        <v>0</v>
      </c>
      <c r="O48" s="30">
        <f>IF(O44&lt;&gt;0,O45/O44,0)</f>
        <v>1.4543970744047778E-2</v>
      </c>
      <c r="P48" s="30">
        <f>IF(P44&lt;&gt;0,P45/P44,0)</f>
        <v>0</v>
      </c>
      <c r="Q48" s="30"/>
      <c r="R48" s="30">
        <f>IF(R44&lt;&gt;0,R45/R44,0)</f>
        <v>4.3991350362988749E-2</v>
      </c>
      <c r="S48" s="30"/>
      <c r="T48" s="30">
        <f>IF(T44&lt;&gt;0,T45/T44,0)</f>
        <v>6.9204163318472678E-2</v>
      </c>
      <c r="U48" s="30">
        <f>IF(U44&lt;&gt;0,U45/U44,0)</f>
        <v>8.3683002411623061E-2</v>
      </c>
      <c r="V48" s="30">
        <f>IF(V44&lt;&gt;0,V45/V44,0)</f>
        <v>0</v>
      </c>
      <c r="W48" s="30"/>
      <c r="X48" s="30">
        <f>IF(($AB44-0)&lt;&gt;0,X45/($AB44-0),0)</f>
        <v>-2.9504553844546855E-2</v>
      </c>
      <c r="Y48" s="30"/>
      <c r="Z48" s="30">
        <f>IF(Z44&lt;&gt;0,Z45/Z44,0)</f>
        <v>4.3991350362988742E-2</v>
      </c>
      <c r="AA48" s="30"/>
      <c r="AB48" s="30"/>
    </row>
    <row r="49" spans="11:28" ht="11.25" customHeight="1" x14ac:dyDescent="0.25">
      <c r="K49" s="35" t="s">
        <v>770</v>
      </c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</row>
  </sheetData>
  <mergeCells count="61">
    <mergeCell ref="E35:E37"/>
    <mergeCell ref="F35:F37"/>
    <mergeCell ref="A40:A41"/>
    <mergeCell ref="B40:B41"/>
    <mergeCell ref="C40:C41"/>
    <mergeCell ref="D35:D37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A7:A19"/>
    <mergeCell ref="B7:B9"/>
    <mergeCell ref="C7:C9"/>
    <mergeCell ref="D7:D9"/>
    <mergeCell ref="E7:E9"/>
    <mergeCell ref="F7:F9"/>
    <mergeCell ref="B10:B14"/>
    <mergeCell ref="C10:C14"/>
    <mergeCell ref="B15:B19"/>
    <mergeCell ref="C15:C19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3">
    <cfRule type="cellIs" dxfId="1008" priority="33" operator="notEqual">
      <formula>$L$44</formula>
    </cfRule>
    <cfRule type="cellIs" dxfId="1007" priority="34" operator="equal">
      <formula>$L$44</formula>
    </cfRule>
  </conditionalFormatting>
  <conditionalFormatting sqref="M43">
    <cfRule type="cellIs" dxfId="1006" priority="31" operator="notEqual">
      <formula>$M$44</formula>
    </cfRule>
    <cfRule type="cellIs" dxfId="1005" priority="32" operator="equal">
      <formula>$M$44</formula>
    </cfRule>
  </conditionalFormatting>
  <conditionalFormatting sqref="N43">
    <cfRule type="cellIs" dxfId="1004" priority="29" operator="notEqual">
      <formula>$N$44</formula>
    </cfRule>
    <cfRule type="cellIs" dxfId="1003" priority="30" operator="equal">
      <formula>$N$44</formula>
    </cfRule>
  </conditionalFormatting>
  <conditionalFormatting sqref="O43">
    <cfRule type="cellIs" dxfId="1002" priority="27" operator="notEqual">
      <formula>$O$44</formula>
    </cfRule>
    <cfRule type="cellIs" dxfId="1001" priority="28" operator="equal">
      <formula>$O$44</formula>
    </cfRule>
  </conditionalFormatting>
  <conditionalFormatting sqref="P43">
    <cfRule type="cellIs" dxfId="1000" priority="25" operator="notEqual">
      <formula>$P$44</formula>
    </cfRule>
    <cfRule type="cellIs" dxfId="999" priority="26" operator="equal">
      <formula>$P$44</formula>
    </cfRule>
  </conditionalFormatting>
  <conditionalFormatting sqref="Q43">
    <cfRule type="cellIs" dxfId="998" priority="23" operator="notEqual">
      <formula>$Q$44</formula>
    </cfRule>
    <cfRule type="cellIs" dxfId="997" priority="24" operator="equal">
      <formula>$Q$44</formula>
    </cfRule>
  </conditionalFormatting>
  <conditionalFormatting sqref="R43">
    <cfRule type="cellIs" dxfId="996" priority="21" operator="notEqual">
      <formula>$R$44</formula>
    </cfRule>
    <cfRule type="cellIs" dxfId="995" priority="22" operator="equal">
      <formula>$R$44</formula>
    </cfRule>
  </conditionalFormatting>
  <conditionalFormatting sqref="S43">
    <cfRule type="cellIs" dxfId="994" priority="19" operator="notEqual">
      <formula>$S$44</formula>
    </cfRule>
    <cfRule type="cellIs" dxfId="993" priority="20" operator="equal">
      <formula>$S$44</formula>
    </cfRule>
  </conditionalFormatting>
  <conditionalFormatting sqref="T43">
    <cfRule type="cellIs" dxfId="992" priority="17" operator="notEqual">
      <formula>$T$44</formula>
    </cfRule>
    <cfRule type="cellIs" dxfId="991" priority="18" operator="equal">
      <formula>$T$44</formula>
    </cfRule>
  </conditionalFormatting>
  <conditionalFormatting sqref="U43">
    <cfRule type="cellIs" dxfId="990" priority="15" operator="notEqual">
      <formula>$U$44</formula>
    </cfRule>
    <cfRule type="cellIs" dxfId="989" priority="16" operator="equal">
      <formula>$U$44</formula>
    </cfRule>
  </conditionalFormatting>
  <conditionalFormatting sqref="V43">
    <cfRule type="cellIs" dxfId="988" priority="13" operator="notEqual">
      <formula>$V$44</formula>
    </cfRule>
    <cfRule type="cellIs" dxfId="987" priority="14" operator="equal">
      <formula>$V$44</formula>
    </cfRule>
  </conditionalFormatting>
  <conditionalFormatting sqref="W43">
    <cfRule type="cellIs" dxfId="986" priority="11" operator="notEqual">
      <formula>$W$44</formula>
    </cfRule>
    <cfRule type="cellIs" dxfId="985" priority="12" operator="equal">
      <formula>$W$44</formula>
    </cfRule>
  </conditionalFormatting>
  <conditionalFormatting sqref="X43">
    <cfRule type="cellIs" dxfId="984" priority="9" operator="notEqual">
      <formula>$X$44</formula>
    </cfRule>
    <cfRule type="cellIs" dxfId="983" priority="10" operator="equal">
      <formula>$X$44</formula>
    </cfRule>
  </conditionalFormatting>
  <conditionalFormatting sqref="Y43">
    <cfRule type="cellIs" dxfId="982" priority="7" operator="notEqual">
      <formula>$Y$44</formula>
    </cfRule>
    <cfRule type="cellIs" dxfId="981" priority="8" operator="equal">
      <formula>$Y$44</formula>
    </cfRule>
  </conditionalFormatting>
  <conditionalFormatting sqref="Z43">
    <cfRule type="cellIs" dxfId="980" priority="5" operator="notEqual">
      <formula>$Z$44</formula>
    </cfRule>
    <cfRule type="cellIs" dxfId="979" priority="6" operator="equal">
      <formula>$Z$44</formula>
    </cfRule>
  </conditionalFormatting>
  <conditionalFormatting sqref="AA43">
    <cfRule type="cellIs" dxfId="978" priority="3" operator="notEqual">
      <formula>$AA$44</formula>
    </cfRule>
    <cfRule type="cellIs" dxfId="977" priority="4" operator="equal">
      <formula>$AA$44</formula>
    </cfRule>
  </conditionalFormatting>
  <conditionalFormatting sqref="AB43">
    <cfRule type="cellIs" dxfId="976" priority="1" operator="notEqual">
      <formula>$AB$44</formula>
    </cfRule>
    <cfRule type="cellIs" dxfId="975" priority="2" operator="equal">
      <formula>$AB$44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BC1B6-66CD-41FB-95AB-72A3D4B468FC}">
  <dimension ref="A1:AB49"/>
  <sheetViews>
    <sheetView showGridLines="0" topLeftCell="Q28" workbookViewId="0">
      <selection activeCell="AB43" sqref="AB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.85546875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29" t="s">
        <v>70</v>
      </c>
      <c r="B1" s="129" t="s">
        <v>71</v>
      </c>
      <c r="C1" s="129" t="s">
        <v>72</v>
      </c>
      <c r="D1" s="129" t="s">
        <v>73</v>
      </c>
      <c r="E1" s="129" t="s">
        <v>74</v>
      </c>
      <c r="F1" s="129" t="s">
        <v>15</v>
      </c>
      <c r="G1" s="129" t="s">
        <v>76</v>
      </c>
      <c r="H1" s="129" t="s">
        <v>77</v>
      </c>
      <c r="I1" s="129" t="s">
        <v>745</v>
      </c>
      <c r="J1" s="108"/>
      <c r="L1" s="127" t="s">
        <v>772</v>
      </c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</row>
    <row r="2" spans="1:28" ht="11.25" customHeight="1" x14ac:dyDescent="0.25">
      <c r="A2" s="129"/>
      <c r="B2" s="129"/>
      <c r="C2" s="129"/>
      <c r="D2" s="129"/>
      <c r="E2" s="129"/>
      <c r="F2" s="129"/>
      <c r="G2" s="129"/>
      <c r="H2" s="129"/>
      <c r="I2" s="129"/>
      <c r="J2" s="108"/>
      <c r="L2" s="127" t="s">
        <v>672</v>
      </c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</row>
    <row r="3" spans="1:28" ht="11.25" customHeight="1" x14ac:dyDescent="0.25">
      <c r="A3" s="129"/>
      <c r="B3" s="129"/>
      <c r="C3" s="129"/>
      <c r="D3" s="129"/>
      <c r="E3" s="129"/>
      <c r="F3" s="129"/>
      <c r="G3" s="129"/>
      <c r="H3" s="129"/>
      <c r="I3" s="129"/>
      <c r="J3" s="108"/>
      <c r="L3" s="127" t="s">
        <v>645</v>
      </c>
      <c r="M3" s="127"/>
      <c r="N3" s="127"/>
      <c r="O3" s="127"/>
      <c r="P3" s="127"/>
      <c r="Q3" s="127"/>
      <c r="R3" s="127" t="s">
        <v>676</v>
      </c>
      <c r="S3" s="127"/>
      <c r="T3" s="127" t="s">
        <v>654</v>
      </c>
      <c r="U3" s="127"/>
      <c r="V3" s="127"/>
      <c r="W3" s="127"/>
      <c r="X3" s="127" t="s">
        <v>664</v>
      </c>
      <c r="Y3" s="127"/>
      <c r="Z3" s="127" t="s">
        <v>667</v>
      </c>
      <c r="AA3" s="127"/>
      <c r="AB3" s="127" t="s">
        <v>653</v>
      </c>
    </row>
    <row r="4" spans="1:28" ht="11.25" customHeight="1" x14ac:dyDescent="0.25">
      <c r="A4" s="129"/>
      <c r="B4" s="129"/>
      <c r="C4" s="129"/>
      <c r="D4" s="129"/>
      <c r="E4" s="129"/>
      <c r="F4" s="129"/>
      <c r="G4" s="129"/>
      <c r="H4" s="129"/>
      <c r="I4" s="129"/>
      <c r="J4" s="108"/>
      <c r="L4" s="36" t="s">
        <v>647</v>
      </c>
      <c r="M4" s="36" t="s">
        <v>673</v>
      </c>
      <c r="N4" s="36" t="s">
        <v>674</v>
      </c>
      <c r="O4" s="36" t="s">
        <v>733</v>
      </c>
      <c r="P4" s="36" t="s">
        <v>675</v>
      </c>
      <c r="Q4" s="36" t="s">
        <v>653</v>
      </c>
      <c r="R4" s="36" t="s">
        <v>677</v>
      </c>
      <c r="S4" s="36" t="s">
        <v>653</v>
      </c>
      <c r="T4" s="36" t="s">
        <v>678</v>
      </c>
      <c r="U4" s="36" t="s">
        <v>679</v>
      </c>
      <c r="V4" s="36" t="s">
        <v>680</v>
      </c>
      <c r="W4" s="36" t="s">
        <v>653</v>
      </c>
      <c r="X4" s="36" t="s">
        <v>665</v>
      </c>
      <c r="Y4" s="36" t="s">
        <v>653</v>
      </c>
      <c r="Z4" s="36" t="s">
        <v>681</v>
      </c>
      <c r="AA4" s="36" t="s">
        <v>653</v>
      </c>
      <c r="AB4" s="128"/>
    </row>
    <row r="5" spans="1:28" ht="11.25" customHeight="1" x14ac:dyDescent="0.25">
      <c r="A5" s="130" t="s">
        <v>39</v>
      </c>
      <c r="B5" s="130" t="s">
        <v>79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81</v>
      </c>
      <c r="H5" s="32" t="s">
        <v>80</v>
      </c>
      <c r="I5" s="32">
        <f>'MERCADO TE'!$U$2</f>
        <v>3135.924</v>
      </c>
      <c r="J5" s="17"/>
      <c r="L5" s="30">
        <f>'TE BE'!$L$5*'TE BE'!$L$48</f>
        <v>3.3349628273469102E-6</v>
      </c>
      <c r="M5" s="30">
        <f>'TE BE'!$M$5*'TE BE'!$M$48</f>
        <v>-3.9550008992431782</v>
      </c>
      <c r="N5" s="30">
        <f>'TE BE'!$N$5*'TE BE'!$N$48</f>
        <v>0</v>
      </c>
      <c r="O5" s="30">
        <f>'TE BE'!$O$5*'TE BE'!$O$48</f>
        <v>0.15393987921655544</v>
      </c>
      <c r="P5" s="30">
        <f>'TE BE'!$P$5*'TE BE'!$P$48</f>
        <v>0</v>
      </c>
      <c r="Q5" s="30">
        <f>SUM($L$5:$P$5)</f>
        <v>-3.8010576850637956</v>
      </c>
      <c r="R5" s="30">
        <f>'TE BE'!$R$5*'TE BE'!$R$48</f>
        <v>18.445327972141442</v>
      </c>
      <c r="S5" s="30">
        <f>SUM($R$5:$R$5)</f>
        <v>18.445327972141442</v>
      </c>
      <c r="T5" s="30">
        <f>'TE BE'!$T$5*'TE BE'!$T$48</f>
        <v>0.46998560398996891</v>
      </c>
      <c r="U5" s="30">
        <f>'TE BE'!$U$5*'TE BE'!$U$48</f>
        <v>0.39153325499211572</v>
      </c>
      <c r="V5" s="30">
        <f>'TE BE'!$V$5*'TE BE'!$V$48</f>
        <v>0</v>
      </c>
      <c r="W5" s="30">
        <f>SUM($T$5:$V$5)</f>
        <v>0.86151885898208458</v>
      </c>
      <c r="X5" s="30">
        <f>'TE BE'!$AB$5*'TE BE'!$X$48</f>
        <v>-13.706871437682343</v>
      </c>
      <c r="Y5" s="30">
        <f>SUM($X$5:$X$5)</f>
        <v>-13.706871437682343</v>
      </c>
      <c r="Z5" s="30">
        <f>'TE BE'!$Z$5*'TE BE'!$Z$48</f>
        <v>0.34996586380103178</v>
      </c>
      <c r="AA5" s="30">
        <f>SUM($Z$5:$Z$5)</f>
        <v>0.34996586380103178</v>
      </c>
      <c r="AB5" s="30">
        <f>SUMIF($L$4:$AA$4,"SUBTOTAL",$L$5:$AA$5)</f>
        <v>2.1488835721784181</v>
      </c>
    </row>
    <row r="6" spans="1:28" ht="11.25" customHeight="1" x14ac:dyDescent="0.25">
      <c r="A6" s="130"/>
      <c r="B6" s="130"/>
      <c r="C6" s="130"/>
      <c r="D6" s="130"/>
      <c r="E6" s="130"/>
      <c r="F6" s="130"/>
      <c r="G6" s="32" t="s">
        <v>82</v>
      </c>
      <c r="H6" s="32" t="s">
        <v>80</v>
      </c>
      <c r="I6" s="32">
        <f>'MERCADO TE'!$U$3</f>
        <v>56204.419000000002</v>
      </c>
      <c r="J6" s="17"/>
      <c r="L6" s="30">
        <f>'TE BE'!$L$6*'TE BE'!$L$48</f>
        <v>3.3349628273469102E-6</v>
      </c>
      <c r="M6" s="30">
        <f>'TE BE'!$M$6*'TE BE'!$M$48</f>
        <v>-3.9550008992431782</v>
      </c>
      <c r="N6" s="30">
        <f>'TE BE'!$N$6*'TE BE'!$N$48</f>
        <v>0</v>
      </c>
      <c r="O6" s="30">
        <f>'TE BE'!$O$6*'TE BE'!$O$48</f>
        <v>0.15393987921655544</v>
      </c>
      <c r="P6" s="30">
        <f>'TE BE'!$P$6*'TE BE'!$P$48</f>
        <v>0</v>
      </c>
      <c r="Q6" s="30">
        <f>SUM($L$6:$P$6)</f>
        <v>-3.8010576850637956</v>
      </c>
      <c r="R6" s="30">
        <f>'TE BE'!$R$6*'TE BE'!$R$48</f>
        <v>10.724027890779908</v>
      </c>
      <c r="S6" s="30">
        <f>SUM($R$6:$R$6)</f>
        <v>10.724027890779908</v>
      </c>
      <c r="T6" s="30">
        <f>'TE BE'!$T$6*'TE BE'!$T$48</f>
        <v>0.46998560398996891</v>
      </c>
      <c r="U6" s="30">
        <f>'TE BE'!$U$6*'TE BE'!$U$48</f>
        <v>0.39153325499211572</v>
      </c>
      <c r="V6" s="30">
        <f>'TE BE'!$V$6*'TE BE'!$V$48</f>
        <v>0</v>
      </c>
      <c r="W6" s="30">
        <f>SUM($T$6:$V$6)</f>
        <v>0.86151885898208458</v>
      </c>
      <c r="X6" s="30">
        <f>'TE BE'!$AB$6*'TE BE'!$X$48</f>
        <v>-8.5282735514919317</v>
      </c>
      <c r="Y6" s="30">
        <f>SUM($X$6:$X$6)</f>
        <v>-8.5282735514919317</v>
      </c>
      <c r="Z6" s="30">
        <f>'TE BE'!$Z$6*'TE BE'!$Z$48</f>
        <v>0.34996586380103178</v>
      </c>
      <c r="AA6" s="30">
        <f>SUM($Z$6:$Z$6)</f>
        <v>0.34996586380103178</v>
      </c>
      <c r="AB6" s="30">
        <f>SUMIF($L$4:$AA$4,"SUBTOTAL",$L$6:$AA$6)</f>
        <v>-0.39381862299270309</v>
      </c>
    </row>
    <row r="7" spans="1:28" ht="11.25" customHeight="1" x14ac:dyDescent="0.25">
      <c r="A7" s="130" t="s">
        <v>22</v>
      </c>
      <c r="B7" s="130" t="s">
        <v>79</v>
      </c>
      <c r="C7" s="130" t="s">
        <v>24</v>
      </c>
      <c r="D7" s="130" t="s">
        <v>24</v>
      </c>
      <c r="E7" s="130" t="s">
        <v>25</v>
      </c>
      <c r="F7" s="130" t="s">
        <v>25</v>
      </c>
      <c r="G7" s="32" t="s">
        <v>81</v>
      </c>
      <c r="H7" s="32" t="s">
        <v>80</v>
      </c>
      <c r="I7" s="32">
        <f>'MERCADO TE'!$U$4</f>
        <v>17.608000000000004</v>
      </c>
      <c r="J7" s="17"/>
      <c r="L7" s="30">
        <f>'TE BE'!$L$7*'TE BE'!$L$48</f>
        <v>3.3349628273469102E-6</v>
      </c>
      <c r="M7" s="30">
        <f>'TE BE'!$M$7*'TE BE'!$M$48</f>
        <v>-3.9550008992431782</v>
      </c>
      <c r="N7" s="30">
        <f>'TE BE'!$N$7*'TE BE'!$N$48</f>
        <v>0</v>
      </c>
      <c r="O7" s="30">
        <f>'TE BE'!$O$7*'TE BE'!$O$48</f>
        <v>0.15393987921655544</v>
      </c>
      <c r="P7" s="30">
        <f>'TE BE'!$P$7*'TE BE'!$P$48</f>
        <v>0</v>
      </c>
      <c r="Q7" s="30">
        <f>SUM($L$7:$P$7)</f>
        <v>-3.8010576850637956</v>
      </c>
      <c r="R7" s="30">
        <f>'TE BE'!$R$7*'TE BE'!$R$48</f>
        <v>18.445327972141442</v>
      </c>
      <c r="S7" s="30">
        <f>SUM($R$7:$R$7)</f>
        <v>18.445327972141442</v>
      </c>
      <c r="T7" s="30">
        <f>'TE BE'!$T$7*'TE BE'!$T$48</f>
        <v>0.46998560398996891</v>
      </c>
      <c r="U7" s="30">
        <f>'TE BE'!$U$7*'TE BE'!$U$48</f>
        <v>0.39153325499211572</v>
      </c>
      <c r="V7" s="30">
        <f>'TE BE'!$V$7*'TE BE'!$V$48</f>
        <v>0</v>
      </c>
      <c r="W7" s="30">
        <f>SUM($T$7:$V$7)</f>
        <v>0.86151885898208458</v>
      </c>
      <c r="X7" s="30">
        <f>'TE BE'!$AB$7*'TE BE'!$X$48</f>
        <v>-13.706871437682343</v>
      </c>
      <c r="Y7" s="30">
        <f>SUM($X$7:$X$7)</f>
        <v>-13.706871437682343</v>
      </c>
      <c r="Z7" s="30">
        <f>'TE BE'!$Z$7*'TE BE'!$Z$48</f>
        <v>0.34996586380103178</v>
      </c>
      <c r="AA7" s="30">
        <f>SUM($Z$7:$Z$7)</f>
        <v>0.34996586380103178</v>
      </c>
      <c r="AB7" s="30">
        <f>SUMIF($L$4:$AA$4,"SUBTOTAL",$L$7:$AA$7)</f>
        <v>2.1488835721784181</v>
      </c>
    </row>
    <row r="8" spans="1:28" ht="11.25" customHeight="1" x14ac:dyDescent="0.25">
      <c r="A8" s="130"/>
      <c r="B8" s="130"/>
      <c r="C8" s="130"/>
      <c r="D8" s="130"/>
      <c r="E8" s="130"/>
      <c r="F8" s="130"/>
      <c r="G8" s="32" t="s">
        <v>91</v>
      </c>
      <c r="H8" s="32" t="s">
        <v>80</v>
      </c>
      <c r="I8" s="32">
        <f>'MERCADO TE'!$U$5</f>
        <v>7.3439999999999994</v>
      </c>
      <c r="J8" s="17"/>
      <c r="L8" s="30">
        <f>'TE BE'!$L$8*'TE BE'!$L$48</f>
        <v>3.3349628273469102E-6</v>
      </c>
      <c r="M8" s="30">
        <f>'TE BE'!$M$8*'TE BE'!$M$48</f>
        <v>-3.9550008992431782</v>
      </c>
      <c r="N8" s="30">
        <f>'TE BE'!$N$8*'TE BE'!$N$48</f>
        <v>0</v>
      </c>
      <c r="O8" s="30">
        <f>'TE BE'!$O$8*'TE BE'!$O$48</f>
        <v>0.15393987921655544</v>
      </c>
      <c r="P8" s="30">
        <f>'TE BE'!$P$8*'TE BE'!$P$48</f>
        <v>0</v>
      </c>
      <c r="Q8" s="30">
        <f>SUM($L$8:$P$8)</f>
        <v>-3.8010576850637956</v>
      </c>
      <c r="R8" s="30">
        <f>'TE BE'!$R$8*'TE BE'!$R$48</f>
        <v>10.724027890779908</v>
      </c>
      <c r="S8" s="30">
        <f>SUM($R$8:$R$8)</f>
        <v>10.724027890779908</v>
      </c>
      <c r="T8" s="30">
        <f>'TE BE'!$T$8*'TE BE'!$T$48</f>
        <v>0.46998560398996891</v>
      </c>
      <c r="U8" s="30">
        <f>'TE BE'!$U$8*'TE BE'!$U$48</f>
        <v>0.39153325499211572</v>
      </c>
      <c r="V8" s="30">
        <f>'TE BE'!$V$8*'TE BE'!$V$48</f>
        <v>0</v>
      </c>
      <c r="W8" s="30">
        <f>SUM($T$8:$V$8)</f>
        <v>0.86151885898208458</v>
      </c>
      <c r="X8" s="30">
        <f>'TE BE'!$AB$8*'TE BE'!$X$48</f>
        <v>-8.5282735514919317</v>
      </c>
      <c r="Y8" s="30">
        <f>SUM($X$8:$X$8)</f>
        <v>-8.5282735514919317</v>
      </c>
      <c r="Z8" s="30">
        <f>'TE BE'!$Z$8*'TE BE'!$Z$48</f>
        <v>0.34996586380103178</v>
      </c>
      <c r="AA8" s="30">
        <f>SUM($Z$8:$Z$8)</f>
        <v>0.34996586380103178</v>
      </c>
      <c r="AB8" s="30">
        <f>SUMIF($L$4:$AA$4,"SUBTOTAL",$L$8:$AA$8)</f>
        <v>-0.39381862299270309</v>
      </c>
    </row>
    <row r="9" spans="1:28" ht="11.25" customHeight="1" x14ac:dyDescent="0.25">
      <c r="A9" s="130"/>
      <c r="B9" s="130"/>
      <c r="C9" s="130"/>
      <c r="D9" s="130"/>
      <c r="E9" s="130"/>
      <c r="F9" s="130"/>
      <c r="G9" s="32" t="s">
        <v>82</v>
      </c>
      <c r="H9" s="32" t="s">
        <v>80</v>
      </c>
      <c r="I9" s="32">
        <f>'MERCADO TE'!$U$6</f>
        <v>120.18199999999999</v>
      </c>
      <c r="J9" s="17"/>
      <c r="L9" s="30">
        <f>'TE BE'!$L$9*'TE BE'!$L$48</f>
        <v>3.3349628273469102E-6</v>
      </c>
      <c r="M9" s="30">
        <f>'TE BE'!$M$9*'TE BE'!$M$48</f>
        <v>-3.9550008992431782</v>
      </c>
      <c r="N9" s="30">
        <f>'TE BE'!$N$9*'TE BE'!$N$48</f>
        <v>0</v>
      </c>
      <c r="O9" s="30">
        <f>'TE BE'!$O$9*'TE BE'!$O$48</f>
        <v>0.15393987921655544</v>
      </c>
      <c r="P9" s="30">
        <f>'TE BE'!$P$9*'TE BE'!$P$48</f>
        <v>0</v>
      </c>
      <c r="Q9" s="30">
        <f>SUM($L$9:$P$9)</f>
        <v>-3.8010576850637956</v>
      </c>
      <c r="R9" s="30">
        <f>'TE BE'!$R$9*'TE BE'!$R$48</f>
        <v>10.724027890779908</v>
      </c>
      <c r="S9" s="30">
        <f>SUM($R$9:$R$9)</f>
        <v>10.724027890779908</v>
      </c>
      <c r="T9" s="30">
        <f>'TE BE'!$T$9*'TE BE'!$T$48</f>
        <v>0.46998560398996891</v>
      </c>
      <c r="U9" s="30">
        <f>'TE BE'!$U$9*'TE BE'!$U$48</f>
        <v>0.39153325499211572</v>
      </c>
      <c r="V9" s="30">
        <f>'TE BE'!$V$9*'TE BE'!$V$48</f>
        <v>0</v>
      </c>
      <c r="W9" s="30">
        <f>SUM($T$9:$V$9)</f>
        <v>0.86151885898208458</v>
      </c>
      <c r="X9" s="30">
        <f>'TE BE'!$AB$9*'TE BE'!$X$48</f>
        <v>-8.5282735514919317</v>
      </c>
      <c r="Y9" s="30">
        <f>SUM($X$9:$X$9)</f>
        <v>-8.5282735514919317</v>
      </c>
      <c r="Z9" s="30">
        <f>'TE BE'!$Z$9*'TE BE'!$Z$48</f>
        <v>0.34996586380103178</v>
      </c>
      <c r="AA9" s="30">
        <f>SUM($Z$9:$Z$9)</f>
        <v>0.34996586380103178</v>
      </c>
      <c r="AB9" s="30">
        <f>SUMIF($L$4:$AA$4,"SUBTOTAL",$L$9:$AA$9)</f>
        <v>-0.39381862299270309</v>
      </c>
    </row>
    <row r="10" spans="1:28" ht="11.25" customHeight="1" x14ac:dyDescent="0.25">
      <c r="A10" s="130"/>
      <c r="B10" s="130" t="s">
        <v>92</v>
      </c>
      <c r="C10" s="130" t="s">
        <v>24</v>
      </c>
      <c r="D10" s="38" t="s">
        <v>24</v>
      </c>
      <c r="E10" s="38" t="s">
        <v>25</v>
      </c>
      <c r="F10" s="38" t="s">
        <v>25</v>
      </c>
      <c r="G10" s="32" t="s">
        <v>86</v>
      </c>
      <c r="H10" s="32" t="s">
        <v>80</v>
      </c>
      <c r="I10" s="32">
        <f>'MERCADO TE'!$U$7</f>
        <v>125132.74900000001</v>
      </c>
      <c r="J10" s="17"/>
      <c r="L10" s="30">
        <f>'TE BE'!$L$10*'TE BE'!$L$48</f>
        <v>3.3349628273469102E-6</v>
      </c>
      <c r="M10" s="30">
        <f>'TE BE'!$M$10*'TE BE'!$M$48</f>
        <v>-3.9550008992431782</v>
      </c>
      <c r="N10" s="30">
        <f>'TE BE'!$N$10*'TE BE'!$N$48</f>
        <v>0</v>
      </c>
      <c r="O10" s="30">
        <f>'TE BE'!$O$10*'TE BE'!$O$48</f>
        <v>0.15393987921655544</v>
      </c>
      <c r="P10" s="30">
        <f>'TE BE'!$P$10*'TE BE'!$P$48</f>
        <v>0</v>
      </c>
      <c r="Q10" s="30">
        <f>SUM($L$10:$P$10)</f>
        <v>-3.8010576850637956</v>
      </c>
      <c r="R10" s="30">
        <f>'TE BE'!$R$10*'TE BE'!$R$48</f>
        <v>11.367469564226704</v>
      </c>
      <c r="S10" s="30">
        <f>SUM($R$10:$R$10)</f>
        <v>11.367469564226704</v>
      </c>
      <c r="T10" s="30">
        <f>'TE BE'!$T$10*'TE BE'!$T$48</f>
        <v>0.46998560398996891</v>
      </c>
      <c r="U10" s="30">
        <f>'TE BE'!$U$10*'TE BE'!$U$48</f>
        <v>0.39153325499211572</v>
      </c>
      <c r="V10" s="30">
        <f>'TE BE'!$V$10*'TE BE'!$V$48</f>
        <v>0</v>
      </c>
      <c r="W10" s="30">
        <f>SUM($T$10:$V$10)</f>
        <v>0.86151885898208458</v>
      </c>
      <c r="X10" s="30">
        <f>'TE BE'!$AB$10*'TE BE'!$X$48</f>
        <v>-8.9598233753411325</v>
      </c>
      <c r="Y10" s="30">
        <f>SUM($X$10:$X$10)</f>
        <v>-8.9598233753411325</v>
      </c>
      <c r="Z10" s="30">
        <f>'TE BE'!$Z$10*'TE BE'!$Z$48</f>
        <v>0.34996586380103178</v>
      </c>
      <c r="AA10" s="30">
        <f>SUM($Z$10:$Z$10)</f>
        <v>0.34996586380103178</v>
      </c>
      <c r="AB10" s="30">
        <f>SUMIF($L$4:$AA$4,"SUBTOTAL",$L$10:$AA$10)</f>
        <v>-0.18192677339510854</v>
      </c>
    </row>
    <row r="11" spans="1:28" ht="11.25" customHeight="1" x14ac:dyDescent="0.25">
      <c r="A11" s="130"/>
      <c r="B11" s="130"/>
      <c r="C11" s="130"/>
      <c r="D11" s="38" t="s">
        <v>29</v>
      </c>
      <c r="E11" s="38" t="s">
        <v>25</v>
      </c>
      <c r="F11" s="38" t="s">
        <v>25</v>
      </c>
      <c r="G11" s="32" t="s">
        <v>86</v>
      </c>
      <c r="H11" s="32" t="s">
        <v>80</v>
      </c>
      <c r="I11" s="32">
        <f>'MERCADO TE'!$U$8</f>
        <v>4179.51</v>
      </c>
      <c r="J11" s="17"/>
      <c r="L11" s="30">
        <f>'TE BE'!$L$11*'TE BE'!$L$48</f>
        <v>3.3349628273469102E-6</v>
      </c>
      <c r="M11" s="30">
        <f>'TE BE'!$M$11*'TE BE'!$M$48</f>
        <v>-3.9550008992431782</v>
      </c>
      <c r="N11" s="30">
        <f>'TE BE'!$N$11*'TE BE'!$N$48</f>
        <v>0</v>
      </c>
      <c r="O11" s="30">
        <f>'TE BE'!$O$11*'TE BE'!$O$48</f>
        <v>0.15393987921655544</v>
      </c>
      <c r="P11" s="30">
        <f>'TE BE'!$P$11*'TE BE'!$P$48</f>
        <v>0</v>
      </c>
      <c r="Q11" s="30">
        <f>SUM($L$11:$P$11)</f>
        <v>-3.8010576850637956</v>
      </c>
      <c r="R11" s="30">
        <f>'TE BE'!$R$11*'TE BE'!$R$48</f>
        <v>11.367469564226704</v>
      </c>
      <c r="S11" s="30">
        <f>SUM($R$11:$R$11)</f>
        <v>11.367469564226704</v>
      </c>
      <c r="T11" s="30">
        <f>'TE BE'!$T$11*'TE BE'!$T$48</f>
        <v>0.46998560398996891</v>
      </c>
      <c r="U11" s="30">
        <f>'TE BE'!$U$11*'TE BE'!$U$48</f>
        <v>0.39153325499211572</v>
      </c>
      <c r="V11" s="30">
        <f>'TE BE'!$V$11*'TE BE'!$V$48</f>
        <v>0</v>
      </c>
      <c r="W11" s="30">
        <f>SUM($T$11:$V$11)</f>
        <v>0.86151885898208458</v>
      </c>
      <c r="X11" s="30">
        <f>'TE BE'!$AB$11*'TE BE'!$X$48</f>
        <v>-8.9598233753411325</v>
      </c>
      <c r="Y11" s="30">
        <f>SUM($X$11:$X$11)</f>
        <v>-8.9598233753411325</v>
      </c>
      <c r="Z11" s="30">
        <f>'TE BE'!$Z$11*'TE BE'!$Z$48</f>
        <v>0.34996586380103178</v>
      </c>
      <c r="AA11" s="30">
        <f>SUM($Z$11:$Z$11)</f>
        <v>0.34996586380103178</v>
      </c>
      <c r="AB11" s="30">
        <f>SUMIF($L$4:$AA$4,"SUBTOTAL",$L$11:$AA$11)</f>
        <v>-0.18192677339510854</v>
      </c>
    </row>
    <row r="12" spans="1:28" ht="11.25" customHeight="1" x14ac:dyDescent="0.25">
      <c r="A12" s="130"/>
      <c r="B12" s="130"/>
      <c r="C12" s="130"/>
      <c r="D12" s="38" t="s">
        <v>30</v>
      </c>
      <c r="E12" s="38" t="s">
        <v>25</v>
      </c>
      <c r="F12" s="38" t="s">
        <v>25</v>
      </c>
      <c r="G12" s="32" t="s">
        <v>86</v>
      </c>
      <c r="H12" s="32" t="s">
        <v>80</v>
      </c>
      <c r="I12" s="32">
        <f>'MERCADO TE'!$U$9</f>
        <v>8380.1260000000002</v>
      </c>
      <c r="J12" s="17"/>
      <c r="L12" s="30">
        <f>'TE BE'!$L$12*'TE BE'!$L$48</f>
        <v>3.3349628273469102E-6</v>
      </c>
      <c r="M12" s="30">
        <f>'TE BE'!$M$12*'TE BE'!$M$48</f>
        <v>-3.9550008992431782</v>
      </c>
      <c r="N12" s="30">
        <f>'TE BE'!$N$12*'TE BE'!$N$48</f>
        <v>0</v>
      </c>
      <c r="O12" s="30">
        <f>'TE BE'!$O$12*'TE BE'!$O$48</f>
        <v>0.15393987921655544</v>
      </c>
      <c r="P12" s="30">
        <f>'TE BE'!$P$12*'TE BE'!$P$48</f>
        <v>0</v>
      </c>
      <c r="Q12" s="30">
        <f>SUM($L$12:$P$12)</f>
        <v>-3.8010576850637956</v>
      </c>
      <c r="R12" s="30">
        <f>'TE BE'!$R$12*'TE BE'!$R$48</f>
        <v>11.367469564226704</v>
      </c>
      <c r="S12" s="30">
        <f>SUM($R$12:$R$12)</f>
        <v>11.367469564226704</v>
      </c>
      <c r="T12" s="30">
        <f>'TE BE'!$T$12*'TE BE'!$T$48</f>
        <v>0.46998560398996891</v>
      </c>
      <c r="U12" s="30">
        <f>'TE BE'!$U$12*'TE BE'!$U$48</f>
        <v>0.39153325499211572</v>
      </c>
      <c r="V12" s="30">
        <f>'TE BE'!$V$12*'TE BE'!$V$48</f>
        <v>0</v>
      </c>
      <c r="W12" s="30">
        <f>SUM($T$12:$V$12)</f>
        <v>0.86151885898208458</v>
      </c>
      <c r="X12" s="30">
        <f>'TE BE'!$AB$12*'TE BE'!$X$48</f>
        <v>-8.9598233753411325</v>
      </c>
      <c r="Y12" s="30">
        <f>SUM($X$12:$X$12)</f>
        <v>-8.9598233753411325</v>
      </c>
      <c r="Z12" s="30">
        <f>'TE BE'!$Z$12*'TE BE'!$Z$48</f>
        <v>0.34996586380103178</v>
      </c>
      <c r="AA12" s="30">
        <f>SUM($Z$12:$Z$12)</f>
        <v>0.34996586380103178</v>
      </c>
      <c r="AB12" s="30">
        <f>SUMIF($L$4:$AA$4,"SUBTOTAL",$L$12:$AA$12)</f>
        <v>-0.18192677339510854</v>
      </c>
    </row>
    <row r="13" spans="1:28" ht="11.25" customHeight="1" x14ac:dyDescent="0.25">
      <c r="A13" s="130"/>
      <c r="B13" s="130"/>
      <c r="C13" s="130"/>
      <c r="D13" s="38" t="s">
        <v>31</v>
      </c>
      <c r="E13" s="38" t="s">
        <v>25</v>
      </c>
      <c r="F13" s="38" t="s">
        <v>25</v>
      </c>
      <c r="G13" s="32" t="s">
        <v>86</v>
      </c>
      <c r="H13" s="32" t="s">
        <v>80</v>
      </c>
      <c r="I13" s="32">
        <f>'MERCADO TE'!$U$10</f>
        <v>6567.2470000000003</v>
      </c>
      <c r="J13" s="17"/>
      <c r="L13" s="30">
        <f>'TE BE'!$L$13*'TE BE'!$L$48</f>
        <v>3.3349628273469102E-6</v>
      </c>
      <c r="M13" s="30">
        <f>'TE BE'!$M$13*'TE BE'!$M$48</f>
        <v>-3.9550008992431782</v>
      </c>
      <c r="N13" s="30">
        <f>'TE BE'!$N$13*'TE BE'!$N$48</f>
        <v>0</v>
      </c>
      <c r="O13" s="30">
        <f>'TE BE'!$O$13*'TE BE'!$O$48</f>
        <v>0.15393987921655544</v>
      </c>
      <c r="P13" s="30">
        <f>'TE BE'!$P$13*'TE BE'!$P$48</f>
        <v>0</v>
      </c>
      <c r="Q13" s="30">
        <f>SUM($L$13:$P$13)</f>
        <v>-3.8010576850637956</v>
      </c>
      <c r="R13" s="30">
        <f>'TE BE'!$R$13*'TE BE'!$R$48</f>
        <v>11.367469564226704</v>
      </c>
      <c r="S13" s="30">
        <f>SUM($R$13:$R$13)</f>
        <v>11.367469564226704</v>
      </c>
      <c r="T13" s="30">
        <f>'TE BE'!$T$13*'TE BE'!$T$48</f>
        <v>0.46998560398996891</v>
      </c>
      <c r="U13" s="30">
        <f>'TE BE'!$U$13*'TE BE'!$U$48</f>
        <v>0.39153325499211572</v>
      </c>
      <c r="V13" s="30">
        <f>'TE BE'!$V$13*'TE BE'!$V$48</f>
        <v>0</v>
      </c>
      <c r="W13" s="30">
        <f>SUM($T$13:$V$13)</f>
        <v>0.86151885898208458</v>
      </c>
      <c r="X13" s="30">
        <f>'TE BE'!$AB$13*'TE BE'!$X$48</f>
        <v>-8.9598233753411325</v>
      </c>
      <c r="Y13" s="30">
        <f>SUM($X$13:$X$13)</f>
        <v>-8.9598233753411325</v>
      </c>
      <c r="Z13" s="30">
        <f>'TE BE'!$Z$13*'TE BE'!$Z$48</f>
        <v>0.34996586380103178</v>
      </c>
      <c r="AA13" s="30">
        <f>SUM($Z$13:$Z$13)</f>
        <v>0.34996586380103178</v>
      </c>
      <c r="AB13" s="30">
        <f>SUMIF($L$4:$AA$4,"SUBTOTAL",$L$13:$AA$13)</f>
        <v>-0.18192677339510854</v>
      </c>
    </row>
    <row r="14" spans="1:28" ht="11.25" customHeight="1" x14ac:dyDescent="0.25">
      <c r="A14" s="130"/>
      <c r="B14" s="130"/>
      <c r="C14" s="130"/>
      <c r="D14" s="38" t="s">
        <v>32</v>
      </c>
      <c r="E14" s="38" t="s">
        <v>25</v>
      </c>
      <c r="F14" s="38" t="s">
        <v>25</v>
      </c>
      <c r="G14" s="32" t="s">
        <v>86</v>
      </c>
      <c r="H14" s="32" t="s">
        <v>80</v>
      </c>
      <c r="I14" s="32">
        <f>'MERCADO TE'!$U$11</f>
        <v>1878.684</v>
      </c>
      <c r="J14" s="17"/>
      <c r="L14" s="30">
        <f>'TE BE'!$L$14*'TE BE'!$L$48</f>
        <v>3.3349628273469102E-6</v>
      </c>
      <c r="M14" s="30">
        <f>'TE BE'!$M$14*'TE BE'!$M$48</f>
        <v>-3.9550008992431782</v>
      </c>
      <c r="N14" s="30">
        <f>'TE BE'!$N$14*'TE BE'!$N$48</f>
        <v>0</v>
      </c>
      <c r="O14" s="30">
        <f>'TE BE'!$O$14*'TE BE'!$O$48</f>
        <v>0.15393987921655544</v>
      </c>
      <c r="P14" s="30">
        <f>'TE BE'!$P$14*'TE BE'!$P$48</f>
        <v>0</v>
      </c>
      <c r="Q14" s="30">
        <f>SUM($L$14:$P$14)</f>
        <v>-3.8010576850637956</v>
      </c>
      <c r="R14" s="30">
        <f>'TE BE'!$R$14*'TE BE'!$R$48</f>
        <v>11.367469564226704</v>
      </c>
      <c r="S14" s="30">
        <f>SUM($R$14:$R$14)</f>
        <v>11.367469564226704</v>
      </c>
      <c r="T14" s="30">
        <f>'TE BE'!$T$14*'TE BE'!$T$48</f>
        <v>0.46998560398996891</v>
      </c>
      <c r="U14" s="30">
        <f>'TE BE'!$U$14*'TE BE'!$U$48</f>
        <v>0.39153325499211572</v>
      </c>
      <c r="V14" s="30">
        <f>'TE BE'!$V$14*'TE BE'!$V$48</f>
        <v>0</v>
      </c>
      <c r="W14" s="30">
        <f>SUM($T$14:$V$14)</f>
        <v>0.86151885898208458</v>
      </c>
      <c r="X14" s="30">
        <f>'TE BE'!$AB$14*'TE BE'!$X$48</f>
        <v>-8.9598233753411325</v>
      </c>
      <c r="Y14" s="30">
        <f>SUM($X$14:$X$14)</f>
        <v>-8.9598233753411325</v>
      </c>
      <c r="Z14" s="30">
        <f>'TE BE'!$Z$14*'TE BE'!$Z$48</f>
        <v>0.34996586380103178</v>
      </c>
      <c r="AA14" s="30">
        <f>SUM($Z$14:$Z$14)</f>
        <v>0.34996586380103178</v>
      </c>
      <c r="AB14" s="30">
        <f>SUMIF($L$4:$AA$4,"SUBTOTAL",$L$14:$AA$14)</f>
        <v>-0.18192677339510854</v>
      </c>
    </row>
    <row r="15" spans="1:28" ht="11.25" customHeight="1" x14ac:dyDescent="0.25">
      <c r="A15" s="130"/>
      <c r="B15" s="130" t="s">
        <v>93</v>
      </c>
      <c r="C15" s="130" t="s">
        <v>24</v>
      </c>
      <c r="D15" s="38" t="s">
        <v>24</v>
      </c>
      <c r="E15" s="38" t="s">
        <v>25</v>
      </c>
      <c r="F15" s="38" t="s">
        <v>25</v>
      </c>
      <c r="G15" s="32" t="s">
        <v>86</v>
      </c>
      <c r="H15" s="32" t="s">
        <v>80</v>
      </c>
      <c r="I15" s="32">
        <f>'MERCADO TE'!$U$12</f>
        <v>0</v>
      </c>
      <c r="J15" s="17"/>
      <c r="L15" s="30">
        <f>'TE BE'!$L$15*'TE BE'!$L$48</f>
        <v>3.3349628273469102E-6</v>
      </c>
      <c r="M15" s="30">
        <f>'TE BE'!$M$15*'TE BE'!$M$48</f>
        <v>-3.9550008992431782</v>
      </c>
      <c r="N15" s="30">
        <f>'TE BE'!$N$15*'TE BE'!$N$48</f>
        <v>0</v>
      </c>
      <c r="O15" s="30">
        <f>'TE BE'!$O$15*'TE BE'!$O$48</f>
        <v>0.15393987921655544</v>
      </c>
      <c r="P15" s="30">
        <f>'TE BE'!$P$15*'TE BE'!$P$48</f>
        <v>0</v>
      </c>
      <c r="Q15" s="30">
        <f>SUM($L$15:$P$15)</f>
        <v>-3.8010576850637956</v>
      </c>
      <c r="R15" s="30">
        <f>'TE BE'!$R$15*'TE BE'!$R$48</f>
        <v>11.367469564226704</v>
      </c>
      <c r="S15" s="30">
        <f>SUM($R$15:$R$15)</f>
        <v>11.367469564226704</v>
      </c>
      <c r="T15" s="30">
        <f>'TE BE'!$T$15*'TE BE'!$T$48</f>
        <v>0.46998560398996891</v>
      </c>
      <c r="U15" s="30">
        <f>'TE BE'!$U$15*'TE BE'!$U$48</f>
        <v>0.39153325499211572</v>
      </c>
      <c r="V15" s="30">
        <f>'TE BE'!$V$15*'TE BE'!$V$48</f>
        <v>0</v>
      </c>
      <c r="W15" s="30">
        <f>SUM($T$15:$V$15)</f>
        <v>0.86151885898208458</v>
      </c>
      <c r="X15" s="30">
        <f>'TE BE'!$AB$15*'TE BE'!$X$48</f>
        <v>-8.9598233753411325</v>
      </c>
      <c r="Y15" s="30">
        <f>SUM($X$15:$X$15)</f>
        <v>-8.9598233753411325</v>
      </c>
      <c r="Z15" s="30">
        <f>'TE BE'!$Z$15*'TE BE'!$Z$48</f>
        <v>0.34996586380103178</v>
      </c>
      <c r="AA15" s="30">
        <f>SUM($Z$15:$Z$15)</f>
        <v>0.34996586380103178</v>
      </c>
      <c r="AB15" s="30">
        <f>SUMIF($L$4:$AA$4,"SUBTOTAL",$L$15:$AA$15)</f>
        <v>-0.18192677339510854</v>
      </c>
    </row>
    <row r="16" spans="1:28" ht="11.25" customHeight="1" x14ac:dyDescent="0.25">
      <c r="A16" s="130"/>
      <c r="B16" s="130"/>
      <c r="C16" s="130"/>
      <c r="D16" s="38" t="s">
        <v>29</v>
      </c>
      <c r="E16" s="38" t="s">
        <v>25</v>
      </c>
      <c r="F16" s="38" t="s">
        <v>25</v>
      </c>
      <c r="G16" s="32" t="s">
        <v>86</v>
      </c>
      <c r="H16" s="32" t="s">
        <v>80</v>
      </c>
      <c r="I16" s="32">
        <f>'MERCADO TE'!$U$13</f>
        <v>0</v>
      </c>
      <c r="J16" s="17"/>
      <c r="L16" s="30">
        <f>'TE BE'!$L$16*'TE BE'!$L$48</f>
        <v>3.3349628273469102E-6</v>
      </c>
      <c r="M16" s="30">
        <f>'TE BE'!$M$16*'TE BE'!$M$48</f>
        <v>-3.9550008992431782</v>
      </c>
      <c r="N16" s="30">
        <f>'TE BE'!$N$16*'TE BE'!$N$48</f>
        <v>0</v>
      </c>
      <c r="O16" s="30">
        <f>'TE BE'!$O$16*'TE BE'!$O$48</f>
        <v>0.15393987921655544</v>
      </c>
      <c r="P16" s="30">
        <f>'TE BE'!$P$16*'TE BE'!$P$48</f>
        <v>0</v>
      </c>
      <c r="Q16" s="30">
        <f>SUM($L$16:$P$16)</f>
        <v>-3.8010576850637956</v>
      </c>
      <c r="R16" s="30">
        <f>'TE BE'!$R$16*'TE BE'!$R$48</f>
        <v>11.367469564226704</v>
      </c>
      <c r="S16" s="30">
        <f>SUM($R$16:$R$16)</f>
        <v>11.367469564226704</v>
      </c>
      <c r="T16" s="30">
        <f>'TE BE'!$T$16*'TE BE'!$T$48</f>
        <v>0.46998560398996891</v>
      </c>
      <c r="U16" s="30">
        <f>'TE BE'!$U$16*'TE BE'!$U$48</f>
        <v>0.39153325499211572</v>
      </c>
      <c r="V16" s="30">
        <f>'TE BE'!$V$16*'TE BE'!$V$48</f>
        <v>0</v>
      </c>
      <c r="W16" s="30">
        <f>SUM($T$16:$V$16)</f>
        <v>0.86151885898208458</v>
      </c>
      <c r="X16" s="30">
        <f>'TE BE'!$AB$16*'TE BE'!$X$48</f>
        <v>-8.9598233753411325</v>
      </c>
      <c r="Y16" s="30">
        <f>SUM($X$16:$X$16)</f>
        <v>-8.9598233753411325</v>
      </c>
      <c r="Z16" s="30">
        <f>'TE BE'!$Z$16*'TE BE'!$Z$48</f>
        <v>0.34996586380103178</v>
      </c>
      <c r="AA16" s="30">
        <f>SUM($Z$16:$Z$16)</f>
        <v>0.34996586380103178</v>
      </c>
      <c r="AB16" s="30">
        <f>SUMIF($L$4:$AA$4,"SUBTOTAL",$L$16:$AA$16)</f>
        <v>-0.18192677339510854</v>
      </c>
    </row>
    <row r="17" spans="1:28" ht="11.25" customHeight="1" x14ac:dyDescent="0.25">
      <c r="A17" s="130"/>
      <c r="B17" s="130"/>
      <c r="C17" s="130"/>
      <c r="D17" s="38" t="s">
        <v>30</v>
      </c>
      <c r="E17" s="38" t="s">
        <v>25</v>
      </c>
      <c r="F17" s="38" t="s">
        <v>25</v>
      </c>
      <c r="G17" s="32" t="s">
        <v>86</v>
      </c>
      <c r="H17" s="32" t="s">
        <v>80</v>
      </c>
      <c r="I17" s="32">
        <f>'MERCADO TE'!$U$14</f>
        <v>0</v>
      </c>
      <c r="J17" s="17"/>
      <c r="L17" s="30">
        <f>'TE BE'!$L$17*'TE BE'!$L$48</f>
        <v>3.3349628273469102E-6</v>
      </c>
      <c r="M17" s="30">
        <f>'TE BE'!$M$17*'TE BE'!$M$48</f>
        <v>-3.9550008992431782</v>
      </c>
      <c r="N17" s="30">
        <f>'TE BE'!$N$17*'TE BE'!$N$48</f>
        <v>0</v>
      </c>
      <c r="O17" s="30">
        <f>'TE BE'!$O$17*'TE BE'!$O$48</f>
        <v>0.15393987921655544</v>
      </c>
      <c r="P17" s="30">
        <f>'TE BE'!$P$17*'TE BE'!$P$48</f>
        <v>0</v>
      </c>
      <c r="Q17" s="30">
        <f>SUM($L$17:$P$17)</f>
        <v>-3.8010576850637956</v>
      </c>
      <c r="R17" s="30">
        <f>'TE BE'!$R$17*'TE BE'!$R$48</f>
        <v>11.367469564226704</v>
      </c>
      <c r="S17" s="30">
        <f>SUM($R$17:$R$17)</f>
        <v>11.367469564226704</v>
      </c>
      <c r="T17" s="30">
        <f>'TE BE'!$T$17*'TE BE'!$T$48</f>
        <v>0.46998560398996891</v>
      </c>
      <c r="U17" s="30">
        <f>'TE BE'!$U$17*'TE BE'!$U$48</f>
        <v>0.39153325499211572</v>
      </c>
      <c r="V17" s="30">
        <f>'TE BE'!$V$17*'TE BE'!$V$48</f>
        <v>0</v>
      </c>
      <c r="W17" s="30">
        <f>SUM($T$17:$V$17)</f>
        <v>0.86151885898208458</v>
      </c>
      <c r="X17" s="30">
        <f>'TE BE'!$AB$17*'TE BE'!$X$48</f>
        <v>-8.9598233753411325</v>
      </c>
      <c r="Y17" s="30">
        <f>SUM($X$17:$X$17)</f>
        <v>-8.9598233753411325</v>
      </c>
      <c r="Z17" s="30">
        <f>'TE BE'!$Z$17*'TE BE'!$Z$48</f>
        <v>0.34996586380103178</v>
      </c>
      <c r="AA17" s="30">
        <f>SUM($Z$17:$Z$17)</f>
        <v>0.34996586380103178</v>
      </c>
      <c r="AB17" s="30">
        <f>SUMIF($L$4:$AA$4,"SUBTOTAL",$L$17:$AA$17)</f>
        <v>-0.18192677339510854</v>
      </c>
    </row>
    <row r="18" spans="1:28" ht="11.25" customHeight="1" x14ac:dyDescent="0.25">
      <c r="A18" s="130"/>
      <c r="B18" s="130"/>
      <c r="C18" s="130"/>
      <c r="D18" s="38" t="s">
        <v>31</v>
      </c>
      <c r="E18" s="38" t="s">
        <v>25</v>
      </c>
      <c r="F18" s="38" t="s">
        <v>25</v>
      </c>
      <c r="G18" s="32" t="s">
        <v>86</v>
      </c>
      <c r="H18" s="32" t="s">
        <v>80</v>
      </c>
      <c r="I18" s="32">
        <f>'MERCADO TE'!$U$15</f>
        <v>0</v>
      </c>
      <c r="J18" s="17"/>
      <c r="L18" s="30">
        <f>'TE BE'!$L$18*'TE BE'!$L$48</f>
        <v>3.3349628273469102E-6</v>
      </c>
      <c r="M18" s="30">
        <f>'TE BE'!$M$18*'TE BE'!$M$48</f>
        <v>-3.9550008992431782</v>
      </c>
      <c r="N18" s="30">
        <f>'TE BE'!$N$18*'TE BE'!$N$48</f>
        <v>0</v>
      </c>
      <c r="O18" s="30">
        <f>'TE BE'!$O$18*'TE BE'!$O$48</f>
        <v>0.15393987921655544</v>
      </c>
      <c r="P18" s="30">
        <f>'TE BE'!$P$18*'TE BE'!$P$48</f>
        <v>0</v>
      </c>
      <c r="Q18" s="30">
        <f>SUM($L$18:$P$18)</f>
        <v>-3.8010576850637956</v>
      </c>
      <c r="R18" s="30">
        <f>'TE BE'!$R$18*'TE BE'!$R$48</f>
        <v>11.367469564226704</v>
      </c>
      <c r="S18" s="30">
        <f>SUM($R$18:$R$18)</f>
        <v>11.367469564226704</v>
      </c>
      <c r="T18" s="30">
        <f>'TE BE'!$T$18*'TE BE'!$T$48</f>
        <v>0.46998560398996891</v>
      </c>
      <c r="U18" s="30">
        <f>'TE BE'!$U$18*'TE BE'!$U$48</f>
        <v>0.39153325499211572</v>
      </c>
      <c r="V18" s="30">
        <f>'TE BE'!$V$18*'TE BE'!$V$48</f>
        <v>0</v>
      </c>
      <c r="W18" s="30">
        <f>SUM($T$18:$V$18)</f>
        <v>0.86151885898208458</v>
      </c>
      <c r="X18" s="30">
        <f>'TE BE'!$AB$18*'TE BE'!$X$48</f>
        <v>-8.9598233753411325</v>
      </c>
      <c r="Y18" s="30">
        <f>SUM($X$18:$X$18)</f>
        <v>-8.9598233753411325</v>
      </c>
      <c r="Z18" s="30">
        <f>'TE BE'!$Z$18*'TE BE'!$Z$48</f>
        <v>0.34996586380103178</v>
      </c>
      <c r="AA18" s="30">
        <f>SUM($Z$18:$Z$18)</f>
        <v>0.34996586380103178</v>
      </c>
      <c r="AB18" s="30">
        <f>SUMIF($L$4:$AA$4,"SUBTOTAL",$L$18:$AA$18)</f>
        <v>-0.18192677339510854</v>
      </c>
    </row>
    <row r="19" spans="1:28" ht="11.25" customHeight="1" x14ac:dyDescent="0.25">
      <c r="A19" s="130"/>
      <c r="B19" s="130"/>
      <c r="C19" s="130"/>
      <c r="D19" s="38" t="s">
        <v>32</v>
      </c>
      <c r="E19" s="38" t="s">
        <v>25</v>
      </c>
      <c r="F19" s="38" t="s">
        <v>25</v>
      </c>
      <c r="G19" s="32" t="s">
        <v>86</v>
      </c>
      <c r="H19" s="32" t="s">
        <v>80</v>
      </c>
      <c r="I19" s="32">
        <f>'MERCADO TE'!$U$16</f>
        <v>0</v>
      </c>
      <c r="J19" s="17"/>
      <c r="L19" s="30">
        <f>'TE BE'!$L$19*'TE BE'!$L$48</f>
        <v>3.3349628273469102E-6</v>
      </c>
      <c r="M19" s="30">
        <f>'TE BE'!$M$19*'TE BE'!$M$48</f>
        <v>-3.9550008992431782</v>
      </c>
      <c r="N19" s="30">
        <f>'TE BE'!$N$19*'TE BE'!$N$48</f>
        <v>0</v>
      </c>
      <c r="O19" s="30">
        <f>'TE BE'!$O$19*'TE BE'!$O$48</f>
        <v>0.15393987921655544</v>
      </c>
      <c r="P19" s="30">
        <f>'TE BE'!$P$19*'TE BE'!$P$48</f>
        <v>0</v>
      </c>
      <c r="Q19" s="30">
        <f>SUM($L$19:$P$19)</f>
        <v>-3.8010576850637956</v>
      </c>
      <c r="R19" s="30">
        <f>'TE BE'!$R$19*'TE BE'!$R$48</f>
        <v>11.367469564226704</v>
      </c>
      <c r="S19" s="30">
        <f>SUM($R$19:$R$19)</f>
        <v>11.367469564226704</v>
      </c>
      <c r="T19" s="30">
        <f>'TE BE'!$T$19*'TE BE'!$T$48</f>
        <v>0.46998560398996891</v>
      </c>
      <c r="U19" s="30">
        <f>'TE BE'!$U$19*'TE BE'!$U$48</f>
        <v>0.39153325499211572</v>
      </c>
      <c r="V19" s="30">
        <f>'TE BE'!$V$19*'TE BE'!$V$48</f>
        <v>0</v>
      </c>
      <c r="W19" s="30">
        <f>SUM($T$19:$V$19)</f>
        <v>0.86151885898208458</v>
      </c>
      <c r="X19" s="30">
        <f>'TE BE'!$AB$19*'TE BE'!$X$48</f>
        <v>-8.9598233753411325</v>
      </c>
      <c r="Y19" s="30">
        <f>SUM($X$19:$X$19)</f>
        <v>-8.9598233753411325</v>
      </c>
      <c r="Z19" s="30">
        <f>'TE BE'!$Z$19*'TE BE'!$Z$48</f>
        <v>0.34996586380103178</v>
      </c>
      <c r="AA19" s="30">
        <f>SUM($Z$19:$Z$19)</f>
        <v>0.34996586380103178</v>
      </c>
      <c r="AB19" s="30">
        <f>SUMIF($L$4:$AA$4,"SUBTOTAL",$L$19:$AA$19)</f>
        <v>-0.18192677339510854</v>
      </c>
    </row>
    <row r="20" spans="1:28" ht="11.25" customHeight="1" x14ac:dyDescent="0.25">
      <c r="A20" s="130" t="s">
        <v>43</v>
      </c>
      <c r="B20" s="130" t="s">
        <v>79</v>
      </c>
      <c r="C20" s="130" t="s">
        <v>44</v>
      </c>
      <c r="D20" s="130" t="s">
        <v>25</v>
      </c>
      <c r="E20" s="130" t="s">
        <v>25</v>
      </c>
      <c r="F20" s="130" t="s">
        <v>25</v>
      </c>
      <c r="G20" s="32" t="s">
        <v>81</v>
      </c>
      <c r="H20" s="32" t="s">
        <v>80</v>
      </c>
      <c r="I20" s="32">
        <f>'MERCADO TE'!$U$17</f>
        <v>0.27200000000000002</v>
      </c>
      <c r="J20" s="17"/>
      <c r="L20" s="30">
        <f>'TE BE'!$L$20*'TE BE'!$L$48</f>
        <v>3.3349628273469102E-6</v>
      </c>
      <c r="M20" s="30">
        <f>'TE BE'!$M$20*'TE BE'!$M$48</f>
        <v>-3.9550008992431782</v>
      </c>
      <c r="N20" s="30">
        <f>'TE BE'!$N$20*'TE BE'!$N$48</f>
        <v>0</v>
      </c>
      <c r="O20" s="30">
        <f>'TE BE'!$O$20*'TE BE'!$O$48</f>
        <v>0.15393987921655544</v>
      </c>
      <c r="P20" s="30">
        <f>'TE BE'!$P$20*'TE BE'!$P$48</f>
        <v>0</v>
      </c>
      <c r="Q20" s="30">
        <f>SUM($L$20:$P$20)</f>
        <v>-3.8010576850637956</v>
      </c>
      <c r="R20" s="30">
        <f>'TE BE'!$R$20*'TE BE'!$R$48</f>
        <v>18.445327972141442</v>
      </c>
      <c r="S20" s="30">
        <f>SUM($R$20:$R$20)</f>
        <v>18.445327972141442</v>
      </c>
      <c r="T20" s="30">
        <f>'TE BE'!$T$20*'TE BE'!$T$48</f>
        <v>0.46998560398996891</v>
      </c>
      <c r="U20" s="30">
        <f>'TE BE'!$U$20*'TE BE'!$U$48</f>
        <v>0.39153325499211572</v>
      </c>
      <c r="V20" s="30">
        <f>'TE BE'!$V$20*'TE BE'!$V$48</f>
        <v>0</v>
      </c>
      <c r="W20" s="30">
        <f>SUM($T$20:$V$20)</f>
        <v>0.86151885898208458</v>
      </c>
      <c r="X20" s="30">
        <f>'TE BE'!$AB$20*'TE BE'!$X$48</f>
        <v>-13.706871437682343</v>
      </c>
      <c r="Y20" s="30">
        <f>SUM($X$20:$X$20)</f>
        <v>-13.706871437682343</v>
      </c>
      <c r="Z20" s="30">
        <f>'TE BE'!$Z$20*'TE BE'!$Z$48</f>
        <v>0.34996586380103178</v>
      </c>
      <c r="AA20" s="30">
        <f>SUM($Z$20:$Z$20)</f>
        <v>0.34996586380103178</v>
      </c>
      <c r="AB20" s="30">
        <f>SUMIF($L$4:$AA$4,"SUBTOTAL",$L$20:$AA$20)</f>
        <v>2.1488835721784181</v>
      </c>
    </row>
    <row r="21" spans="1:28" ht="11.25" customHeight="1" x14ac:dyDescent="0.25">
      <c r="A21" s="130"/>
      <c r="B21" s="130"/>
      <c r="C21" s="130"/>
      <c r="D21" s="130"/>
      <c r="E21" s="130"/>
      <c r="F21" s="130"/>
      <c r="G21" s="32" t="s">
        <v>91</v>
      </c>
      <c r="H21" s="32" t="s">
        <v>80</v>
      </c>
      <c r="I21" s="32">
        <f>'MERCADO TE'!$U$18</f>
        <v>0.20100000000000001</v>
      </c>
      <c r="J21" s="17"/>
      <c r="L21" s="30">
        <f>'TE BE'!$L$21*'TE BE'!$L$48</f>
        <v>3.3349628273469102E-6</v>
      </c>
      <c r="M21" s="30">
        <f>'TE BE'!$M$21*'TE BE'!$M$48</f>
        <v>-3.9550008992431782</v>
      </c>
      <c r="N21" s="30">
        <f>'TE BE'!$N$21*'TE BE'!$N$48</f>
        <v>0</v>
      </c>
      <c r="O21" s="30">
        <f>'TE BE'!$O$21*'TE BE'!$O$48</f>
        <v>0.15393987921655544</v>
      </c>
      <c r="P21" s="30">
        <f>'TE BE'!$P$21*'TE BE'!$P$48</f>
        <v>0</v>
      </c>
      <c r="Q21" s="30">
        <f>SUM($L$21:$P$21)</f>
        <v>-3.8010576850637956</v>
      </c>
      <c r="R21" s="30">
        <f>'TE BE'!$R$21*'TE BE'!$R$48</f>
        <v>10.724027890779908</v>
      </c>
      <c r="S21" s="30">
        <f>SUM($R$21:$R$21)</f>
        <v>10.724027890779908</v>
      </c>
      <c r="T21" s="30">
        <f>'TE BE'!$T$21*'TE BE'!$T$48</f>
        <v>0.46998560398996891</v>
      </c>
      <c r="U21" s="30">
        <f>'TE BE'!$U$21*'TE BE'!$U$48</f>
        <v>0.39153325499211572</v>
      </c>
      <c r="V21" s="30">
        <f>'TE BE'!$V$21*'TE BE'!$V$48</f>
        <v>0</v>
      </c>
      <c r="W21" s="30">
        <f>SUM($T$21:$V$21)</f>
        <v>0.86151885898208458</v>
      </c>
      <c r="X21" s="30">
        <f>'TE BE'!$AB$21*'TE BE'!$X$48</f>
        <v>-8.5282735514919317</v>
      </c>
      <c r="Y21" s="30">
        <f>SUM($X$21:$X$21)</f>
        <v>-8.5282735514919317</v>
      </c>
      <c r="Z21" s="30">
        <f>'TE BE'!$Z$21*'TE BE'!$Z$48</f>
        <v>0.34996586380103178</v>
      </c>
      <c r="AA21" s="30">
        <f>SUM($Z$21:$Z$21)</f>
        <v>0.34996586380103178</v>
      </c>
      <c r="AB21" s="30">
        <f>SUMIF($L$4:$AA$4,"SUBTOTAL",$L$21:$AA$21)</f>
        <v>-0.39381862299270309</v>
      </c>
    </row>
    <row r="22" spans="1:28" ht="11.25" customHeight="1" x14ac:dyDescent="0.25">
      <c r="A22" s="130"/>
      <c r="B22" s="130"/>
      <c r="C22" s="130"/>
      <c r="D22" s="130"/>
      <c r="E22" s="130"/>
      <c r="F22" s="130"/>
      <c r="G22" s="32" t="s">
        <v>82</v>
      </c>
      <c r="H22" s="32" t="s">
        <v>80</v>
      </c>
      <c r="I22" s="32">
        <f>'MERCADO TE'!$U$19</f>
        <v>5.4039999999999999</v>
      </c>
      <c r="J22" s="17"/>
      <c r="L22" s="30">
        <f>'TE BE'!$L$22*'TE BE'!$L$48</f>
        <v>3.3349628273469102E-6</v>
      </c>
      <c r="M22" s="30">
        <f>'TE BE'!$M$22*'TE BE'!$M$48</f>
        <v>-3.9550008992431782</v>
      </c>
      <c r="N22" s="30">
        <f>'TE BE'!$N$22*'TE BE'!$N$48</f>
        <v>0</v>
      </c>
      <c r="O22" s="30">
        <f>'TE BE'!$O$22*'TE BE'!$O$48</f>
        <v>0.15393987921655544</v>
      </c>
      <c r="P22" s="30">
        <f>'TE BE'!$P$22*'TE BE'!$P$48</f>
        <v>0</v>
      </c>
      <c r="Q22" s="30">
        <f>SUM($L$22:$P$22)</f>
        <v>-3.8010576850637956</v>
      </c>
      <c r="R22" s="30">
        <f>'TE BE'!$R$22*'TE BE'!$R$48</f>
        <v>10.724027890779908</v>
      </c>
      <c r="S22" s="30">
        <f>SUM($R$22:$R$22)</f>
        <v>10.724027890779908</v>
      </c>
      <c r="T22" s="30">
        <f>'TE BE'!$T$22*'TE BE'!$T$48</f>
        <v>0.46998560398996891</v>
      </c>
      <c r="U22" s="30">
        <f>'TE BE'!$U$22*'TE BE'!$U$48</f>
        <v>0.39153325499211572</v>
      </c>
      <c r="V22" s="30">
        <f>'TE BE'!$V$22*'TE BE'!$V$48</f>
        <v>0</v>
      </c>
      <c r="W22" s="30">
        <f>SUM($T$22:$V$22)</f>
        <v>0.86151885898208458</v>
      </c>
      <c r="X22" s="30">
        <f>'TE BE'!$AB$22*'TE BE'!$X$48</f>
        <v>-8.5282735514919317</v>
      </c>
      <c r="Y22" s="30">
        <f>SUM($X$22:$X$22)</f>
        <v>-8.5282735514919317</v>
      </c>
      <c r="Z22" s="30">
        <f>'TE BE'!$Z$22*'TE BE'!$Z$48</f>
        <v>0.34996586380103178</v>
      </c>
      <c r="AA22" s="30">
        <f>SUM($Z$22:$Z$22)</f>
        <v>0.34996586380103178</v>
      </c>
      <c r="AB22" s="30">
        <f>SUMIF($L$4:$AA$4,"SUBTOTAL",$L$22:$AA$22)</f>
        <v>-0.39381862299270309</v>
      </c>
    </row>
    <row r="23" spans="1:28" ht="11.25" customHeight="1" x14ac:dyDescent="0.25">
      <c r="A23" s="130"/>
      <c r="B23" s="38" t="s">
        <v>92</v>
      </c>
      <c r="C23" s="38" t="s">
        <v>44</v>
      </c>
      <c r="D23" s="38" t="s">
        <v>25</v>
      </c>
      <c r="E23" s="38" t="s">
        <v>25</v>
      </c>
      <c r="F23" s="38" t="s">
        <v>25</v>
      </c>
      <c r="G23" s="32" t="s">
        <v>86</v>
      </c>
      <c r="H23" s="32" t="s">
        <v>80</v>
      </c>
      <c r="I23" s="32">
        <f>'MERCADO TE'!$U$20</f>
        <v>183438.26899999997</v>
      </c>
      <c r="J23" s="17"/>
      <c r="L23" s="30">
        <f>'TE BE'!$L$23*'TE BE'!$L$48</f>
        <v>3.3349628273469102E-6</v>
      </c>
      <c r="M23" s="30">
        <f>'TE BE'!$M$23*'TE BE'!$M$48</f>
        <v>-3.9550008992431782</v>
      </c>
      <c r="N23" s="30">
        <f>'TE BE'!$N$23*'TE BE'!$N$48</f>
        <v>0</v>
      </c>
      <c r="O23" s="30">
        <f>'TE BE'!$O$23*'TE BE'!$O$48</f>
        <v>0.15393987921655544</v>
      </c>
      <c r="P23" s="30">
        <f>'TE BE'!$P$23*'TE BE'!$P$48</f>
        <v>0</v>
      </c>
      <c r="Q23" s="30">
        <f>SUM($L$23:$P$23)</f>
        <v>-3.8010576850637956</v>
      </c>
      <c r="R23" s="30">
        <f>'TE BE'!$R$23*'TE BE'!$R$48</f>
        <v>11.367469564226704</v>
      </c>
      <c r="S23" s="30">
        <f>SUM($R$23:$R$23)</f>
        <v>11.367469564226704</v>
      </c>
      <c r="T23" s="30">
        <f>'TE BE'!$T$23*'TE BE'!$T$48</f>
        <v>0.46998560398996891</v>
      </c>
      <c r="U23" s="30">
        <f>'TE BE'!$U$23*'TE BE'!$U$48</f>
        <v>0.39153325499211572</v>
      </c>
      <c r="V23" s="30">
        <f>'TE BE'!$V$23*'TE BE'!$V$48</f>
        <v>0</v>
      </c>
      <c r="W23" s="30">
        <f>SUM($T$23:$V$23)</f>
        <v>0.86151885898208458</v>
      </c>
      <c r="X23" s="30">
        <f>'TE BE'!$AB$23*'TE BE'!$X$48</f>
        <v>-8.9598233753411325</v>
      </c>
      <c r="Y23" s="30">
        <f>SUM($X$23:$X$23)</f>
        <v>-8.9598233753411325</v>
      </c>
      <c r="Z23" s="30">
        <f>'TE BE'!$Z$23*'TE BE'!$Z$48</f>
        <v>0.34996586380103178</v>
      </c>
      <c r="AA23" s="30">
        <f>SUM($Z$23:$Z$23)</f>
        <v>0.34996586380103178</v>
      </c>
      <c r="AB23" s="30">
        <f>SUMIF($L$4:$AA$4,"SUBTOTAL",$L$23:$AA$23)</f>
        <v>-0.18192677339510854</v>
      </c>
    </row>
    <row r="24" spans="1:28" ht="11.25" customHeight="1" x14ac:dyDescent="0.25">
      <c r="A24" s="130"/>
      <c r="B24" s="130" t="s">
        <v>79</v>
      </c>
      <c r="C24" s="130" t="s">
        <v>44</v>
      </c>
      <c r="D24" s="130" t="s">
        <v>95</v>
      </c>
      <c r="E24" s="130" t="s">
        <v>25</v>
      </c>
      <c r="F24" s="130" t="s">
        <v>25</v>
      </c>
      <c r="G24" s="32" t="s">
        <v>81</v>
      </c>
      <c r="H24" s="32" t="s">
        <v>80</v>
      </c>
      <c r="I24" s="32">
        <f>'MERCADO TE'!$U$21</f>
        <v>0</v>
      </c>
      <c r="J24" s="17"/>
      <c r="L24" s="30">
        <f>'TE BE'!$L$24*'TE BE'!$L$48</f>
        <v>3.3349628273469102E-6</v>
      </c>
      <c r="M24" s="30">
        <f>'TE BE'!$M$24*'TE BE'!$M$48</f>
        <v>-3.9550008992431782</v>
      </c>
      <c r="N24" s="30">
        <f>'TE BE'!$N$24*'TE BE'!$N$48</f>
        <v>0</v>
      </c>
      <c r="O24" s="30">
        <f>'TE BE'!$O$24*'TE BE'!$O$48</f>
        <v>0.15393987921655544</v>
      </c>
      <c r="P24" s="30">
        <f>'TE BE'!$P$24*'TE BE'!$P$48</f>
        <v>0</v>
      </c>
      <c r="Q24" s="30">
        <f>SUM($L$24:$P$24)</f>
        <v>-3.8010576850637956</v>
      </c>
      <c r="R24" s="30">
        <f>'TE BE'!$R$24*'TE BE'!$R$48</f>
        <v>18.445327972141442</v>
      </c>
      <c r="S24" s="30">
        <f>SUM($R$24:$R$24)</f>
        <v>18.445327972141442</v>
      </c>
      <c r="T24" s="30">
        <f>'TE BE'!$T$24*'TE BE'!$T$48</f>
        <v>0.46998560398996891</v>
      </c>
      <c r="U24" s="30">
        <f>'TE BE'!$U$24*'TE BE'!$U$48</f>
        <v>0.39153325499211572</v>
      </c>
      <c r="V24" s="30">
        <f>'TE BE'!$V$24*'TE BE'!$V$48</f>
        <v>0</v>
      </c>
      <c r="W24" s="30">
        <f>SUM($T$24:$V$24)</f>
        <v>0.86151885898208458</v>
      </c>
      <c r="X24" s="30">
        <f>'TE BE'!$AB$24*'TE BE'!$X$48</f>
        <v>-13.706871437682343</v>
      </c>
      <c r="Y24" s="30">
        <f>SUM($X$24:$X$24)</f>
        <v>-13.706871437682343</v>
      </c>
      <c r="Z24" s="30">
        <f>'TE BE'!$Z$24*'TE BE'!$Z$48</f>
        <v>0.34996586380103178</v>
      </c>
      <c r="AA24" s="30">
        <f>SUM($Z$24:$Z$24)</f>
        <v>0.34996586380103178</v>
      </c>
      <c r="AB24" s="30">
        <f>SUMIF($L$4:$AA$4,"SUBTOTAL",$L$24:$AA$24)</f>
        <v>2.1488835721784181</v>
      </c>
    </row>
    <row r="25" spans="1:28" ht="11.25" customHeight="1" x14ac:dyDescent="0.25">
      <c r="A25" s="130"/>
      <c r="B25" s="130"/>
      <c r="C25" s="130"/>
      <c r="D25" s="130"/>
      <c r="E25" s="130"/>
      <c r="F25" s="130"/>
      <c r="G25" s="32" t="s">
        <v>91</v>
      </c>
      <c r="H25" s="32" t="s">
        <v>80</v>
      </c>
      <c r="I25" s="32">
        <f>'MERCADO TE'!$U$22</f>
        <v>0</v>
      </c>
      <c r="J25" s="17"/>
      <c r="L25" s="30">
        <f>'TE BE'!$L$25*'TE BE'!$L$48</f>
        <v>3.3349628273469102E-6</v>
      </c>
      <c r="M25" s="30">
        <f>'TE BE'!$M$25*'TE BE'!$M$48</f>
        <v>-3.9550008992431782</v>
      </c>
      <c r="N25" s="30">
        <f>'TE BE'!$N$25*'TE BE'!$N$48</f>
        <v>0</v>
      </c>
      <c r="O25" s="30">
        <f>'TE BE'!$O$25*'TE BE'!$O$48</f>
        <v>0.15393987921655544</v>
      </c>
      <c r="P25" s="30">
        <f>'TE BE'!$P$25*'TE BE'!$P$48</f>
        <v>0</v>
      </c>
      <c r="Q25" s="30">
        <f>SUM($L$25:$P$25)</f>
        <v>-3.8010576850637956</v>
      </c>
      <c r="R25" s="30">
        <f>'TE BE'!$R$25*'TE BE'!$R$48</f>
        <v>10.724027890779908</v>
      </c>
      <c r="S25" s="30">
        <f>SUM($R$25:$R$25)</f>
        <v>10.724027890779908</v>
      </c>
      <c r="T25" s="30">
        <f>'TE BE'!$T$25*'TE BE'!$T$48</f>
        <v>0.46998560398996891</v>
      </c>
      <c r="U25" s="30">
        <f>'TE BE'!$U$25*'TE BE'!$U$48</f>
        <v>0.39153325499211572</v>
      </c>
      <c r="V25" s="30">
        <f>'TE BE'!$V$25*'TE BE'!$V$48</f>
        <v>0</v>
      </c>
      <c r="W25" s="30">
        <f>SUM($T$25:$V$25)</f>
        <v>0.86151885898208458</v>
      </c>
      <c r="X25" s="30">
        <f>'TE BE'!$AB$25*'TE BE'!$X$48</f>
        <v>-8.5282735514919317</v>
      </c>
      <c r="Y25" s="30">
        <f>SUM($X$25:$X$25)</f>
        <v>-8.5282735514919317</v>
      </c>
      <c r="Z25" s="30">
        <f>'TE BE'!$Z$25*'TE BE'!$Z$48</f>
        <v>0.34996586380103178</v>
      </c>
      <c r="AA25" s="30">
        <f>SUM($Z$25:$Z$25)</f>
        <v>0.34996586380103178</v>
      </c>
      <c r="AB25" s="30">
        <f>SUMIF($L$4:$AA$4,"SUBTOTAL",$L$25:$AA$25)</f>
        <v>-0.39381862299270309</v>
      </c>
    </row>
    <row r="26" spans="1:28" ht="11.25" customHeight="1" x14ac:dyDescent="0.25">
      <c r="A26" s="130"/>
      <c r="B26" s="130"/>
      <c r="C26" s="130"/>
      <c r="D26" s="130"/>
      <c r="E26" s="130"/>
      <c r="F26" s="130"/>
      <c r="G26" s="32" t="s">
        <v>82</v>
      </c>
      <c r="H26" s="32" t="s">
        <v>80</v>
      </c>
      <c r="I26" s="32">
        <f>'MERCADO TE'!$U$23</f>
        <v>0</v>
      </c>
      <c r="J26" s="17"/>
      <c r="L26" s="30">
        <f>'TE BE'!$L$26*'TE BE'!$L$48</f>
        <v>3.3349628273469102E-6</v>
      </c>
      <c r="M26" s="30">
        <f>'TE BE'!$M$26*'TE BE'!$M$48</f>
        <v>-3.9550008992431782</v>
      </c>
      <c r="N26" s="30">
        <f>'TE BE'!$N$26*'TE BE'!$N$48</f>
        <v>0</v>
      </c>
      <c r="O26" s="30">
        <f>'TE BE'!$O$26*'TE BE'!$O$48</f>
        <v>0.15393987921655544</v>
      </c>
      <c r="P26" s="30">
        <f>'TE BE'!$P$26*'TE BE'!$P$48</f>
        <v>0</v>
      </c>
      <c r="Q26" s="30">
        <f>SUM($L$26:$P$26)</f>
        <v>-3.8010576850637956</v>
      </c>
      <c r="R26" s="30">
        <f>'TE BE'!$R$26*'TE BE'!$R$48</f>
        <v>10.724027890779908</v>
      </c>
      <c r="S26" s="30">
        <f>SUM($R$26:$R$26)</f>
        <v>10.724027890779908</v>
      </c>
      <c r="T26" s="30">
        <f>'TE BE'!$T$26*'TE BE'!$T$48</f>
        <v>0.46998560398996891</v>
      </c>
      <c r="U26" s="30">
        <f>'TE BE'!$U$26*'TE BE'!$U$48</f>
        <v>0.39153325499211572</v>
      </c>
      <c r="V26" s="30">
        <f>'TE BE'!$V$26*'TE BE'!$V$48</f>
        <v>0</v>
      </c>
      <c r="W26" s="30">
        <f>SUM($T$26:$V$26)</f>
        <v>0.86151885898208458</v>
      </c>
      <c r="X26" s="30">
        <f>'TE BE'!$AB$26*'TE BE'!$X$48</f>
        <v>-8.5282735514919317</v>
      </c>
      <c r="Y26" s="30">
        <f>SUM($X$26:$X$26)</f>
        <v>-8.5282735514919317</v>
      </c>
      <c r="Z26" s="30">
        <f>'TE BE'!$Z$26*'TE BE'!$Z$48</f>
        <v>0.34996586380103178</v>
      </c>
      <c r="AA26" s="30">
        <f>SUM($Z$26:$Z$26)</f>
        <v>0.34996586380103178</v>
      </c>
      <c r="AB26" s="30">
        <f>SUMIF($L$4:$AA$4,"SUBTOTAL",$L$26:$AA$26)</f>
        <v>-0.39381862299270309</v>
      </c>
    </row>
    <row r="27" spans="1:28" ht="11.25" customHeight="1" x14ac:dyDescent="0.25">
      <c r="A27" s="130"/>
      <c r="B27" s="38" t="s">
        <v>92</v>
      </c>
      <c r="C27" s="38" t="s">
        <v>44</v>
      </c>
      <c r="D27" s="38" t="s">
        <v>95</v>
      </c>
      <c r="E27" s="38" t="s">
        <v>25</v>
      </c>
      <c r="F27" s="38" t="s">
        <v>25</v>
      </c>
      <c r="G27" s="32" t="s">
        <v>86</v>
      </c>
      <c r="H27" s="32" t="s">
        <v>80</v>
      </c>
      <c r="I27" s="32">
        <f>'MERCADO TE'!$U$24</f>
        <v>0</v>
      </c>
      <c r="J27" s="17"/>
      <c r="L27" s="30">
        <f>'TE BE'!$L$27*'TE BE'!$L$48</f>
        <v>3.3349628273469102E-6</v>
      </c>
      <c r="M27" s="30">
        <f>'TE BE'!$M$27*'TE BE'!$M$48</f>
        <v>-3.9550008992431782</v>
      </c>
      <c r="N27" s="30">
        <f>'TE BE'!$N$27*'TE BE'!$N$48</f>
        <v>0</v>
      </c>
      <c r="O27" s="30">
        <f>'TE BE'!$O$27*'TE BE'!$O$48</f>
        <v>0.15393987921655544</v>
      </c>
      <c r="P27" s="30">
        <f>'TE BE'!$P$27*'TE BE'!$P$48</f>
        <v>0</v>
      </c>
      <c r="Q27" s="30">
        <f>SUM($L$27:$P$27)</f>
        <v>-3.8010576850637956</v>
      </c>
      <c r="R27" s="30">
        <f>'TE BE'!$R$27*'TE BE'!$R$48</f>
        <v>11.367469564226704</v>
      </c>
      <c r="S27" s="30">
        <f>SUM($R$27:$R$27)</f>
        <v>11.367469564226704</v>
      </c>
      <c r="T27" s="30">
        <f>'TE BE'!$T$27*'TE BE'!$T$48</f>
        <v>0.46998560398996891</v>
      </c>
      <c r="U27" s="30">
        <f>'TE BE'!$U$27*'TE BE'!$U$48</f>
        <v>0.39153325499211572</v>
      </c>
      <c r="V27" s="30">
        <f>'TE BE'!$V$27*'TE BE'!$V$48</f>
        <v>0</v>
      </c>
      <c r="W27" s="30">
        <f>SUM($T$27:$V$27)</f>
        <v>0.86151885898208458</v>
      </c>
      <c r="X27" s="30">
        <f>'TE BE'!$AB$27*'TE BE'!$X$48</f>
        <v>-8.9598233753411325</v>
      </c>
      <c r="Y27" s="30">
        <f>SUM($X$27:$X$27)</f>
        <v>-8.9598233753411325</v>
      </c>
      <c r="Z27" s="30">
        <f>'TE BE'!$Z$27*'TE BE'!$Z$48</f>
        <v>0.34996586380103178</v>
      </c>
      <c r="AA27" s="30">
        <f>SUM($Z$27:$Z$27)</f>
        <v>0.34996586380103178</v>
      </c>
      <c r="AB27" s="30">
        <f>SUMIF($L$4:$AA$4,"SUBTOTAL",$L$27:$AA$27)</f>
        <v>-0.18192677339510854</v>
      </c>
    </row>
    <row r="28" spans="1:28" ht="11.25" customHeight="1" x14ac:dyDescent="0.25">
      <c r="A28" s="130"/>
      <c r="B28" s="130" t="s">
        <v>79</v>
      </c>
      <c r="C28" s="130" t="s">
        <v>44</v>
      </c>
      <c r="D28" s="130" t="s">
        <v>55</v>
      </c>
      <c r="E28" s="130" t="s">
        <v>25</v>
      </c>
      <c r="F28" s="130" t="s">
        <v>25</v>
      </c>
      <c r="G28" s="32" t="s">
        <v>81</v>
      </c>
      <c r="H28" s="32" t="s">
        <v>80</v>
      </c>
      <c r="I28" s="32">
        <f>'MERCADO TE'!$U$25</f>
        <v>0</v>
      </c>
      <c r="J28" s="17"/>
      <c r="L28" s="30">
        <f>'TE BE'!$L$28*'TE BE'!$L$48</f>
        <v>3.3349628273469102E-6</v>
      </c>
      <c r="M28" s="30">
        <f>'TE BE'!$M$28*'TE BE'!$M$48</f>
        <v>-3.9550008992431782</v>
      </c>
      <c r="N28" s="30">
        <f>'TE BE'!$N$28*'TE BE'!$N$48</f>
        <v>0</v>
      </c>
      <c r="O28" s="30">
        <f>'TE BE'!$O$28*'TE BE'!$O$48</f>
        <v>0.15393987921655544</v>
      </c>
      <c r="P28" s="30">
        <f>'TE BE'!$P$28*'TE BE'!$P$48</f>
        <v>0</v>
      </c>
      <c r="Q28" s="30">
        <f>SUM($L$28:$P$28)</f>
        <v>-3.8010576850637956</v>
      </c>
      <c r="R28" s="30">
        <f>'TE BE'!$R$28*'TE BE'!$R$48</f>
        <v>18.445327972141442</v>
      </c>
      <c r="S28" s="30">
        <f>SUM($R$28:$R$28)</f>
        <v>18.445327972141442</v>
      </c>
      <c r="T28" s="30">
        <f>'TE BE'!$T$28*'TE BE'!$T$48</f>
        <v>0.46998560398996891</v>
      </c>
      <c r="U28" s="30">
        <f>'TE BE'!$U$28*'TE BE'!$U$48</f>
        <v>0.39153325499211572</v>
      </c>
      <c r="V28" s="30">
        <f>'TE BE'!$V$28*'TE BE'!$V$48</f>
        <v>0</v>
      </c>
      <c r="W28" s="30">
        <f>SUM($T$28:$V$28)</f>
        <v>0.86151885898208458</v>
      </c>
      <c r="X28" s="30">
        <f>'TE BE'!$AB$28*'TE BE'!$X$48</f>
        <v>-13.706871437682343</v>
      </c>
      <c r="Y28" s="30">
        <f>SUM($X$28:$X$28)</f>
        <v>-13.706871437682343</v>
      </c>
      <c r="Z28" s="30">
        <f>'TE BE'!$Z$28*'TE BE'!$Z$48</f>
        <v>0.34996586380103178</v>
      </c>
      <c r="AA28" s="30">
        <f>SUM($Z$28:$Z$28)</f>
        <v>0.34996586380103178</v>
      </c>
      <c r="AB28" s="30">
        <f>SUMIF($L$4:$AA$4,"SUBTOTAL",$L$28:$AA$28)</f>
        <v>2.1488835721784181</v>
      </c>
    </row>
    <row r="29" spans="1:28" ht="11.25" customHeight="1" x14ac:dyDescent="0.25">
      <c r="A29" s="130"/>
      <c r="B29" s="130"/>
      <c r="C29" s="130"/>
      <c r="D29" s="130"/>
      <c r="E29" s="130"/>
      <c r="F29" s="130"/>
      <c r="G29" s="32" t="s">
        <v>91</v>
      </c>
      <c r="H29" s="32" t="s">
        <v>80</v>
      </c>
      <c r="I29" s="32">
        <f>'MERCADO TE'!$U$26</f>
        <v>0</v>
      </c>
      <c r="J29" s="17"/>
      <c r="L29" s="30">
        <f>'TE BE'!$L$29*'TE BE'!$L$48</f>
        <v>3.3349628273469102E-6</v>
      </c>
      <c r="M29" s="30">
        <f>'TE BE'!$M$29*'TE BE'!$M$48</f>
        <v>-3.9550008992431782</v>
      </c>
      <c r="N29" s="30">
        <f>'TE BE'!$N$29*'TE BE'!$N$48</f>
        <v>0</v>
      </c>
      <c r="O29" s="30">
        <f>'TE BE'!$O$29*'TE BE'!$O$48</f>
        <v>0.15393987921655544</v>
      </c>
      <c r="P29" s="30">
        <f>'TE BE'!$P$29*'TE BE'!$P$48</f>
        <v>0</v>
      </c>
      <c r="Q29" s="30">
        <f>SUM($L$29:$P$29)</f>
        <v>-3.8010576850637956</v>
      </c>
      <c r="R29" s="30">
        <f>'TE BE'!$R$29*'TE BE'!$R$48</f>
        <v>10.724027890779908</v>
      </c>
      <c r="S29" s="30">
        <f>SUM($R$29:$R$29)</f>
        <v>10.724027890779908</v>
      </c>
      <c r="T29" s="30">
        <f>'TE BE'!$T$29*'TE BE'!$T$48</f>
        <v>0.46998560398996891</v>
      </c>
      <c r="U29" s="30">
        <f>'TE BE'!$U$29*'TE BE'!$U$48</f>
        <v>0.39153325499211572</v>
      </c>
      <c r="V29" s="30">
        <f>'TE BE'!$V$29*'TE BE'!$V$48</f>
        <v>0</v>
      </c>
      <c r="W29" s="30">
        <f>SUM($T$29:$V$29)</f>
        <v>0.86151885898208458</v>
      </c>
      <c r="X29" s="30">
        <f>'TE BE'!$AB$29*'TE BE'!$X$48</f>
        <v>-8.5282735514919317</v>
      </c>
      <c r="Y29" s="30">
        <f>SUM($X$29:$X$29)</f>
        <v>-8.5282735514919317</v>
      </c>
      <c r="Z29" s="30">
        <f>'TE BE'!$Z$29*'TE BE'!$Z$48</f>
        <v>0.34996586380103178</v>
      </c>
      <c r="AA29" s="30">
        <f>SUM($Z$29:$Z$29)</f>
        <v>0.34996586380103178</v>
      </c>
      <c r="AB29" s="30">
        <f>SUMIF($L$4:$AA$4,"SUBTOTAL",$L$29:$AA$29)</f>
        <v>-0.39381862299270309</v>
      </c>
    </row>
    <row r="30" spans="1:28" ht="11.25" customHeight="1" x14ac:dyDescent="0.25">
      <c r="A30" s="130"/>
      <c r="B30" s="130"/>
      <c r="C30" s="130"/>
      <c r="D30" s="130"/>
      <c r="E30" s="130"/>
      <c r="F30" s="130"/>
      <c r="G30" s="32" t="s">
        <v>82</v>
      </c>
      <c r="H30" s="32" t="s">
        <v>80</v>
      </c>
      <c r="I30" s="32">
        <f>'MERCADO TE'!$U$27</f>
        <v>0</v>
      </c>
      <c r="J30" s="17"/>
      <c r="L30" s="30">
        <f>'TE BE'!$L$30*'TE BE'!$L$48</f>
        <v>3.3349628273469102E-6</v>
      </c>
      <c r="M30" s="30">
        <f>'TE BE'!$M$30*'TE BE'!$M$48</f>
        <v>-3.9550008992431782</v>
      </c>
      <c r="N30" s="30">
        <f>'TE BE'!$N$30*'TE BE'!$N$48</f>
        <v>0</v>
      </c>
      <c r="O30" s="30">
        <f>'TE BE'!$O$30*'TE BE'!$O$48</f>
        <v>0.15393987921655544</v>
      </c>
      <c r="P30" s="30">
        <f>'TE BE'!$P$30*'TE BE'!$P$48</f>
        <v>0</v>
      </c>
      <c r="Q30" s="30">
        <f>SUM($L$30:$P$30)</f>
        <v>-3.8010576850637956</v>
      </c>
      <c r="R30" s="30">
        <f>'TE BE'!$R$30*'TE BE'!$R$48</f>
        <v>10.724027890779908</v>
      </c>
      <c r="S30" s="30">
        <f>SUM($R$30:$R$30)</f>
        <v>10.724027890779908</v>
      </c>
      <c r="T30" s="30">
        <f>'TE BE'!$T$30*'TE BE'!$T$48</f>
        <v>0.46998560398996891</v>
      </c>
      <c r="U30" s="30">
        <f>'TE BE'!$U$30*'TE BE'!$U$48</f>
        <v>0.39153325499211572</v>
      </c>
      <c r="V30" s="30">
        <f>'TE BE'!$V$30*'TE BE'!$V$48</f>
        <v>0</v>
      </c>
      <c r="W30" s="30">
        <f>SUM($T$30:$V$30)</f>
        <v>0.86151885898208458</v>
      </c>
      <c r="X30" s="30">
        <f>'TE BE'!$AB$30*'TE BE'!$X$48</f>
        <v>-8.5282735514919317</v>
      </c>
      <c r="Y30" s="30">
        <f>SUM($X$30:$X$30)</f>
        <v>-8.5282735514919317</v>
      </c>
      <c r="Z30" s="30">
        <f>'TE BE'!$Z$30*'TE BE'!$Z$48</f>
        <v>0.34996586380103178</v>
      </c>
      <c r="AA30" s="30">
        <f>SUM($Z$30:$Z$30)</f>
        <v>0.34996586380103178</v>
      </c>
      <c r="AB30" s="30">
        <f>SUMIF($L$4:$AA$4,"SUBTOTAL",$L$30:$AA$30)</f>
        <v>-0.39381862299270309</v>
      </c>
    </row>
    <row r="31" spans="1:28" ht="11.25" customHeight="1" x14ac:dyDescent="0.25">
      <c r="A31" s="130"/>
      <c r="B31" s="38" t="s">
        <v>92</v>
      </c>
      <c r="C31" s="38" t="s">
        <v>44</v>
      </c>
      <c r="D31" s="38" t="s">
        <v>55</v>
      </c>
      <c r="E31" s="38" t="s">
        <v>25</v>
      </c>
      <c r="F31" s="38" t="s">
        <v>25</v>
      </c>
      <c r="G31" s="32" t="s">
        <v>86</v>
      </c>
      <c r="H31" s="32" t="s">
        <v>80</v>
      </c>
      <c r="I31" s="32">
        <f>'MERCADO TE'!$U$28</f>
        <v>29.929000000000002</v>
      </c>
      <c r="J31" s="17"/>
      <c r="L31" s="30">
        <f>'TE BE'!$L$31*'TE BE'!$L$48</f>
        <v>3.3349628273469102E-6</v>
      </c>
      <c r="M31" s="30">
        <f>'TE BE'!$M$31*'TE BE'!$M$48</f>
        <v>-3.9550008992431782</v>
      </c>
      <c r="N31" s="30">
        <f>'TE BE'!$N$31*'TE BE'!$N$48</f>
        <v>0</v>
      </c>
      <c r="O31" s="30">
        <f>'TE BE'!$O$31*'TE BE'!$O$48</f>
        <v>0.15393987921655544</v>
      </c>
      <c r="P31" s="30">
        <f>'TE BE'!$P$31*'TE BE'!$P$48</f>
        <v>0</v>
      </c>
      <c r="Q31" s="30">
        <f>SUM($L$31:$P$31)</f>
        <v>-3.8010576850637956</v>
      </c>
      <c r="R31" s="30">
        <f>'TE BE'!$R$31*'TE BE'!$R$48</f>
        <v>11.367469564226704</v>
      </c>
      <c r="S31" s="30">
        <f>SUM($R$31:$R$31)</f>
        <v>11.367469564226704</v>
      </c>
      <c r="T31" s="30">
        <f>'TE BE'!$T$31*'TE BE'!$T$48</f>
        <v>0.46998560398996891</v>
      </c>
      <c r="U31" s="30">
        <f>'TE BE'!$U$31*'TE BE'!$U$48</f>
        <v>0.39153325499211572</v>
      </c>
      <c r="V31" s="30">
        <f>'TE BE'!$V$31*'TE BE'!$V$48</f>
        <v>0</v>
      </c>
      <c r="W31" s="30">
        <f>SUM($T$31:$V$31)</f>
        <v>0.86151885898208458</v>
      </c>
      <c r="X31" s="30">
        <f>'TE BE'!$AB$31*'TE BE'!$X$48</f>
        <v>-8.9598233753411325</v>
      </c>
      <c r="Y31" s="30">
        <f>SUM($X$31:$X$31)</f>
        <v>-8.9598233753411325</v>
      </c>
      <c r="Z31" s="30">
        <f>'TE BE'!$Z$31*'TE BE'!$Z$48</f>
        <v>0.34996586380103178</v>
      </c>
      <c r="AA31" s="30">
        <f>SUM($Z$31:$Z$31)</f>
        <v>0.34996586380103178</v>
      </c>
      <c r="AB31" s="30">
        <f>SUMIF($L$4:$AA$4,"SUBTOTAL",$L$31:$AA$31)</f>
        <v>-0.18192677339510854</v>
      </c>
    </row>
    <row r="32" spans="1:28" ht="11.25" customHeight="1" x14ac:dyDescent="0.25">
      <c r="A32" s="130"/>
      <c r="B32" s="130" t="s">
        <v>93</v>
      </c>
      <c r="C32" s="130" t="s">
        <v>44</v>
      </c>
      <c r="D32" s="38" t="s">
        <v>25</v>
      </c>
      <c r="E32" s="38" t="s">
        <v>25</v>
      </c>
      <c r="F32" s="38" t="s">
        <v>25</v>
      </c>
      <c r="G32" s="32" t="s">
        <v>86</v>
      </c>
      <c r="H32" s="32" t="s">
        <v>80</v>
      </c>
      <c r="I32" s="32">
        <f>'MERCADO TE'!$U$29</f>
        <v>0</v>
      </c>
      <c r="J32" s="17"/>
      <c r="L32" s="30">
        <f>'TE BE'!$L$32*'TE BE'!$L$48</f>
        <v>3.3349628273469102E-6</v>
      </c>
      <c r="M32" s="30">
        <f>'TE BE'!$M$32*'TE BE'!$M$48</f>
        <v>-3.9550008992431782</v>
      </c>
      <c r="N32" s="30">
        <f>'TE BE'!$N$32*'TE BE'!$N$48</f>
        <v>0</v>
      </c>
      <c r="O32" s="30">
        <f>'TE BE'!$O$32*'TE BE'!$O$48</f>
        <v>0.15393987921655544</v>
      </c>
      <c r="P32" s="30">
        <f>'TE BE'!$P$32*'TE BE'!$P$48</f>
        <v>0</v>
      </c>
      <c r="Q32" s="30">
        <f>SUM($L$32:$P$32)</f>
        <v>-3.8010576850637956</v>
      </c>
      <c r="R32" s="30">
        <f>'TE BE'!$R$32*'TE BE'!$R$48</f>
        <v>11.367469564226704</v>
      </c>
      <c r="S32" s="30">
        <f>SUM($R$32:$R$32)</f>
        <v>11.367469564226704</v>
      </c>
      <c r="T32" s="30">
        <f>'TE BE'!$T$32*'TE BE'!$T$48</f>
        <v>0.46998560398996891</v>
      </c>
      <c r="U32" s="30">
        <f>'TE BE'!$U$32*'TE BE'!$U$48</f>
        <v>0.39153325499211572</v>
      </c>
      <c r="V32" s="30">
        <f>'TE BE'!$V$32*'TE BE'!$V$48</f>
        <v>0</v>
      </c>
      <c r="W32" s="30">
        <f>SUM($T$32:$V$32)</f>
        <v>0.86151885898208458</v>
      </c>
      <c r="X32" s="30">
        <f>'TE BE'!$AB$32*'TE BE'!$X$48</f>
        <v>-8.9598233753411325</v>
      </c>
      <c r="Y32" s="30">
        <f>SUM($X$32:$X$32)</f>
        <v>-8.9598233753411325</v>
      </c>
      <c r="Z32" s="30">
        <f>'TE BE'!$Z$32*'TE BE'!$Z$48</f>
        <v>0.34996586380103178</v>
      </c>
      <c r="AA32" s="30">
        <f>SUM($Z$32:$Z$32)</f>
        <v>0.34996586380103178</v>
      </c>
      <c r="AB32" s="30">
        <f>SUMIF($L$4:$AA$4,"SUBTOTAL",$L$32:$AA$32)</f>
        <v>-0.18192677339510854</v>
      </c>
    </row>
    <row r="33" spans="1:28" ht="11.25" customHeight="1" x14ac:dyDescent="0.25">
      <c r="A33" s="130"/>
      <c r="B33" s="130"/>
      <c r="C33" s="130"/>
      <c r="D33" s="38" t="s">
        <v>95</v>
      </c>
      <c r="E33" s="38" t="s">
        <v>25</v>
      </c>
      <c r="F33" s="38" t="s">
        <v>25</v>
      </c>
      <c r="G33" s="32" t="s">
        <v>86</v>
      </c>
      <c r="H33" s="32" t="s">
        <v>80</v>
      </c>
      <c r="I33" s="32">
        <f>'MERCADO TE'!$U$30</f>
        <v>0</v>
      </c>
      <c r="J33" s="17"/>
      <c r="L33" s="30">
        <f>'TE BE'!$L$33*'TE BE'!$L$48</f>
        <v>3.3349628273469102E-6</v>
      </c>
      <c r="M33" s="30">
        <f>'TE BE'!$M$33*'TE BE'!$M$48</f>
        <v>-3.9550008992431782</v>
      </c>
      <c r="N33" s="30">
        <f>'TE BE'!$N$33*'TE BE'!$N$48</f>
        <v>0</v>
      </c>
      <c r="O33" s="30">
        <f>'TE BE'!$O$33*'TE BE'!$O$48</f>
        <v>0.15393987921655544</v>
      </c>
      <c r="P33" s="30">
        <f>'TE BE'!$P$33*'TE BE'!$P$48</f>
        <v>0</v>
      </c>
      <c r="Q33" s="30">
        <f>SUM($L$33:$P$33)</f>
        <v>-3.8010576850637956</v>
      </c>
      <c r="R33" s="30">
        <f>'TE BE'!$R$33*'TE BE'!$R$48</f>
        <v>11.367469564226704</v>
      </c>
      <c r="S33" s="30">
        <f>SUM($R$33:$R$33)</f>
        <v>11.367469564226704</v>
      </c>
      <c r="T33" s="30">
        <f>'TE BE'!$T$33*'TE BE'!$T$48</f>
        <v>0.46998560398996891</v>
      </c>
      <c r="U33" s="30">
        <f>'TE BE'!$U$33*'TE BE'!$U$48</f>
        <v>0.39153325499211572</v>
      </c>
      <c r="V33" s="30">
        <f>'TE BE'!$V$33*'TE BE'!$V$48</f>
        <v>0</v>
      </c>
      <c r="W33" s="30">
        <f>SUM($T$33:$V$33)</f>
        <v>0.86151885898208458</v>
      </c>
      <c r="X33" s="30">
        <f>'TE BE'!$AB$33*'TE BE'!$X$48</f>
        <v>-8.9598233753411325</v>
      </c>
      <c r="Y33" s="30">
        <f>SUM($X$33:$X$33)</f>
        <v>-8.9598233753411325</v>
      </c>
      <c r="Z33" s="30">
        <f>'TE BE'!$Z$33*'TE BE'!$Z$48</f>
        <v>0.34996586380103178</v>
      </c>
      <c r="AA33" s="30">
        <f>SUM($Z$33:$Z$33)</f>
        <v>0.34996586380103178</v>
      </c>
      <c r="AB33" s="30">
        <f>SUMIF($L$4:$AA$4,"SUBTOTAL",$L$33:$AA$33)</f>
        <v>-0.18192677339510854</v>
      </c>
    </row>
    <row r="34" spans="1:28" ht="11.25" customHeight="1" x14ac:dyDescent="0.25">
      <c r="A34" s="130"/>
      <c r="B34" s="130"/>
      <c r="C34" s="130"/>
      <c r="D34" s="38" t="s">
        <v>55</v>
      </c>
      <c r="E34" s="38" t="s">
        <v>25</v>
      </c>
      <c r="F34" s="38" t="s">
        <v>25</v>
      </c>
      <c r="G34" s="32" t="s">
        <v>86</v>
      </c>
      <c r="H34" s="32" t="s">
        <v>80</v>
      </c>
      <c r="I34" s="32">
        <f>'MERCADO TE'!$U$31</f>
        <v>0</v>
      </c>
      <c r="J34" s="17"/>
      <c r="L34" s="30">
        <f>'TE BE'!$L$34*'TE BE'!$L$48</f>
        <v>3.3349628273469102E-6</v>
      </c>
      <c r="M34" s="30">
        <f>'TE BE'!$M$34*'TE BE'!$M$48</f>
        <v>-3.9550008992431782</v>
      </c>
      <c r="N34" s="30">
        <f>'TE BE'!$N$34*'TE BE'!$N$48</f>
        <v>0</v>
      </c>
      <c r="O34" s="30">
        <f>'TE BE'!$O$34*'TE BE'!$O$48</f>
        <v>0.15393987921655544</v>
      </c>
      <c r="P34" s="30">
        <f>'TE BE'!$P$34*'TE BE'!$P$48</f>
        <v>0</v>
      </c>
      <c r="Q34" s="30">
        <f>SUM($L$34:$P$34)</f>
        <v>-3.8010576850637956</v>
      </c>
      <c r="R34" s="30">
        <f>'TE BE'!$R$34*'TE BE'!$R$48</f>
        <v>11.367469564226704</v>
      </c>
      <c r="S34" s="30">
        <f>SUM($R$34:$R$34)</f>
        <v>11.367469564226704</v>
      </c>
      <c r="T34" s="30">
        <f>'TE BE'!$T$34*'TE BE'!$T$48</f>
        <v>0.46998560398996891</v>
      </c>
      <c r="U34" s="30">
        <f>'TE BE'!$U$34*'TE BE'!$U$48</f>
        <v>0.39153325499211572</v>
      </c>
      <c r="V34" s="30">
        <f>'TE BE'!$V$34*'TE BE'!$V$48</f>
        <v>0</v>
      </c>
      <c r="W34" s="30">
        <f>SUM($T$34:$V$34)</f>
        <v>0.86151885898208458</v>
      </c>
      <c r="X34" s="30">
        <f>'TE BE'!$AB$34*'TE BE'!$X$48</f>
        <v>-8.9598233753411325</v>
      </c>
      <c r="Y34" s="30">
        <f>SUM($X$34:$X$34)</f>
        <v>-8.9598233753411325</v>
      </c>
      <c r="Z34" s="30">
        <f>'TE BE'!$Z$34*'TE BE'!$Z$48</f>
        <v>0.34996586380103178</v>
      </c>
      <c r="AA34" s="30">
        <f>SUM($Z$34:$Z$34)</f>
        <v>0.34996586380103178</v>
      </c>
      <c r="AB34" s="30">
        <f>SUMIF($L$4:$AA$4,"SUBTOTAL",$L$34:$AA$34)</f>
        <v>-0.18192677339510854</v>
      </c>
    </row>
    <row r="35" spans="1:28" ht="11.25" customHeight="1" x14ac:dyDescent="0.25">
      <c r="A35" s="130" t="s">
        <v>37</v>
      </c>
      <c r="B35" s="130" t="s">
        <v>79</v>
      </c>
      <c r="C35" s="130" t="s">
        <v>25</v>
      </c>
      <c r="D35" s="130" t="s">
        <v>25</v>
      </c>
      <c r="E35" s="130" t="s">
        <v>25</v>
      </c>
      <c r="F35" s="130" t="s">
        <v>25</v>
      </c>
      <c r="G35" s="32" t="s">
        <v>81</v>
      </c>
      <c r="H35" s="32" t="s">
        <v>80</v>
      </c>
      <c r="I35" s="32">
        <f>'MERCADO TE'!$U$32</f>
        <v>57.161000000000001</v>
      </c>
      <c r="J35" s="17"/>
      <c r="L35" s="30">
        <f>'TE BE'!$L$35*'TE BE'!$L$48</f>
        <v>3.3349628273469102E-6</v>
      </c>
      <c r="M35" s="30">
        <f>'TE BE'!$M$35*'TE BE'!$M$48</f>
        <v>-3.9550008992431782</v>
      </c>
      <c r="N35" s="30">
        <f>'TE BE'!$N$35*'TE BE'!$N$48</f>
        <v>0</v>
      </c>
      <c r="O35" s="30">
        <f>'TE BE'!$O$35*'TE BE'!$O$48</f>
        <v>0.15393987921655544</v>
      </c>
      <c r="P35" s="30">
        <f>'TE BE'!$P$35*'TE BE'!$P$48</f>
        <v>0</v>
      </c>
      <c r="Q35" s="30">
        <f>SUM($L$35:$P$35)</f>
        <v>-3.8010576850637956</v>
      </c>
      <c r="R35" s="30">
        <f>'TE BE'!$R$35*'TE BE'!$R$48</f>
        <v>18.445327972141442</v>
      </c>
      <c r="S35" s="30">
        <f>SUM($R$35:$R$35)</f>
        <v>18.445327972141442</v>
      </c>
      <c r="T35" s="30">
        <f>'TE BE'!$T$35*'TE BE'!$T$48</f>
        <v>0.46998560398996891</v>
      </c>
      <c r="U35" s="30">
        <f>'TE BE'!$U$35*'TE BE'!$U$48</f>
        <v>0.39153325499211572</v>
      </c>
      <c r="V35" s="30">
        <f>'TE BE'!$V$35*'TE BE'!$V$48</f>
        <v>0</v>
      </c>
      <c r="W35" s="30">
        <f>SUM($T$35:$V$35)</f>
        <v>0.86151885898208458</v>
      </c>
      <c r="X35" s="30">
        <f>'TE BE'!$AB$35*'TE BE'!$X$48</f>
        <v>-13.706871437682343</v>
      </c>
      <c r="Y35" s="30">
        <f>SUM($X$35:$X$35)</f>
        <v>-13.706871437682343</v>
      </c>
      <c r="Z35" s="30">
        <f>'TE BE'!$Z$35*'TE BE'!$Z$48</f>
        <v>0.34996586380103178</v>
      </c>
      <c r="AA35" s="30">
        <f>SUM($Z$35:$Z$35)</f>
        <v>0.34996586380103178</v>
      </c>
      <c r="AB35" s="30">
        <f>SUMIF($L$4:$AA$4,"SUBTOTAL",$L$35:$AA$35)</f>
        <v>2.1488835721784181</v>
      </c>
    </row>
    <row r="36" spans="1:28" ht="11.25" customHeight="1" x14ac:dyDescent="0.25">
      <c r="A36" s="130"/>
      <c r="B36" s="130"/>
      <c r="C36" s="130"/>
      <c r="D36" s="130"/>
      <c r="E36" s="130"/>
      <c r="F36" s="130"/>
      <c r="G36" s="32" t="s">
        <v>91</v>
      </c>
      <c r="H36" s="32" t="s">
        <v>80</v>
      </c>
      <c r="I36" s="32">
        <f>'MERCADO TE'!$U$33</f>
        <v>51.646000000000001</v>
      </c>
      <c r="J36" s="17"/>
      <c r="L36" s="30">
        <f>'TE BE'!$L$36*'TE BE'!$L$48</f>
        <v>3.3349628273469102E-6</v>
      </c>
      <c r="M36" s="30">
        <f>'TE BE'!$M$36*'TE BE'!$M$48</f>
        <v>-3.9550008992431782</v>
      </c>
      <c r="N36" s="30">
        <f>'TE BE'!$N$36*'TE BE'!$N$48</f>
        <v>0</v>
      </c>
      <c r="O36" s="30">
        <f>'TE BE'!$O$36*'TE BE'!$O$48</f>
        <v>0.15393987921655544</v>
      </c>
      <c r="P36" s="30">
        <f>'TE BE'!$P$36*'TE BE'!$P$48</f>
        <v>0</v>
      </c>
      <c r="Q36" s="30">
        <f>SUM($L$36:$P$36)</f>
        <v>-3.8010576850637956</v>
      </c>
      <c r="R36" s="30">
        <f>'TE BE'!$R$36*'TE BE'!$R$48</f>
        <v>10.724027890779908</v>
      </c>
      <c r="S36" s="30">
        <f>SUM($R$36:$R$36)</f>
        <v>10.724027890779908</v>
      </c>
      <c r="T36" s="30">
        <f>'TE BE'!$T$36*'TE BE'!$T$48</f>
        <v>0.46998560398996891</v>
      </c>
      <c r="U36" s="30">
        <f>'TE BE'!$U$36*'TE BE'!$U$48</f>
        <v>0.39153325499211572</v>
      </c>
      <c r="V36" s="30">
        <f>'TE BE'!$V$36*'TE BE'!$V$48</f>
        <v>0</v>
      </c>
      <c r="W36" s="30">
        <f>SUM($T$36:$V$36)</f>
        <v>0.86151885898208458</v>
      </c>
      <c r="X36" s="30">
        <f>'TE BE'!$AB$36*'TE BE'!$X$48</f>
        <v>-8.5282735514919317</v>
      </c>
      <c r="Y36" s="30">
        <f>SUM($X$36:$X$36)</f>
        <v>-8.5282735514919317</v>
      </c>
      <c r="Z36" s="30">
        <f>'TE BE'!$Z$36*'TE BE'!$Z$48</f>
        <v>0.34996586380103178</v>
      </c>
      <c r="AA36" s="30">
        <f>SUM($Z$36:$Z$36)</f>
        <v>0.34996586380103178</v>
      </c>
      <c r="AB36" s="30">
        <f>SUMIF($L$4:$AA$4,"SUBTOTAL",$L$36:$AA$36)</f>
        <v>-0.39381862299270309</v>
      </c>
    </row>
    <row r="37" spans="1:28" ht="11.25" customHeight="1" x14ac:dyDescent="0.25">
      <c r="A37" s="130"/>
      <c r="B37" s="130"/>
      <c r="C37" s="130"/>
      <c r="D37" s="130"/>
      <c r="E37" s="130"/>
      <c r="F37" s="130"/>
      <c r="G37" s="32" t="s">
        <v>82</v>
      </c>
      <c r="H37" s="32" t="s">
        <v>80</v>
      </c>
      <c r="I37" s="32">
        <f>'MERCADO TE'!$U$34</f>
        <v>982.72000000000014</v>
      </c>
      <c r="J37" s="17"/>
      <c r="L37" s="30">
        <f>'TE BE'!$L$37*'TE BE'!$L$48</f>
        <v>3.3349628273469102E-6</v>
      </c>
      <c r="M37" s="30">
        <f>'TE BE'!$M$37*'TE BE'!$M$48</f>
        <v>-3.9550008992431782</v>
      </c>
      <c r="N37" s="30">
        <f>'TE BE'!$N$37*'TE BE'!$N$48</f>
        <v>0</v>
      </c>
      <c r="O37" s="30">
        <f>'TE BE'!$O$37*'TE BE'!$O$48</f>
        <v>0.15393987921655544</v>
      </c>
      <c r="P37" s="30">
        <f>'TE BE'!$P$37*'TE BE'!$P$48</f>
        <v>0</v>
      </c>
      <c r="Q37" s="30">
        <f>SUM($L$37:$P$37)</f>
        <v>-3.8010576850637956</v>
      </c>
      <c r="R37" s="30">
        <f>'TE BE'!$R$37*'TE BE'!$R$48</f>
        <v>10.724027890779908</v>
      </c>
      <c r="S37" s="30">
        <f>SUM($R$37:$R$37)</f>
        <v>10.724027890779908</v>
      </c>
      <c r="T37" s="30">
        <f>'TE BE'!$T$37*'TE BE'!$T$48</f>
        <v>0.46998560398996891</v>
      </c>
      <c r="U37" s="30">
        <f>'TE BE'!$U$37*'TE BE'!$U$48</f>
        <v>0.39153325499211572</v>
      </c>
      <c r="V37" s="30">
        <f>'TE BE'!$V$37*'TE BE'!$V$48</f>
        <v>0</v>
      </c>
      <c r="W37" s="30">
        <f>SUM($T$37:$V$37)</f>
        <v>0.86151885898208458</v>
      </c>
      <c r="X37" s="30">
        <f>'TE BE'!$AB$37*'TE BE'!$X$48</f>
        <v>-8.5282735514919317</v>
      </c>
      <c r="Y37" s="30">
        <f>SUM($X$37:$X$37)</f>
        <v>-8.5282735514919317</v>
      </c>
      <c r="Z37" s="30">
        <f>'TE BE'!$Z$37*'TE BE'!$Z$48</f>
        <v>0.34996586380103178</v>
      </c>
      <c r="AA37" s="30">
        <f>SUM($Z$37:$Z$37)</f>
        <v>0.34996586380103178</v>
      </c>
      <c r="AB37" s="30">
        <f>SUMIF($L$4:$AA$4,"SUBTOTAL",$L$37:$AA$37)</f>
        <v>-0.39381862299270309</v>
      </c>
    </row>
    <row r="38" spans="1:28" ht="11.25" customHeight="1" x14ac:dyDescent="0.25">
      <c r="A38" s="130"/>
      <c r="B38" s="38" t="s">
        <v>92</v>
      </c>
      <c r="C38" s="38" t="s">
        <v>25</v>
      </c>
      <c r="D38" s="38" t="s">
        <v>25</v>
      </c>
      <c r="E38" s="38" t="s">
        <v>25</v>
      </c>
      <c r="F38" s="38" t="s">
        <v>25</v>
      </c>
      <c r="G38" s="32" t="s">
        <v>86</v>
      </c>
      <c r="H38" s="32" t="s">
        <v>80</v>
      </c>
      <c r="I38" s="32">
        <f>'MERCADO TE'!$U$35</f>
        <v>86690.115999999995</v>
      </c>
      <c r="J38" s="17"/>
      <c r="L38" s="30">
        <f>'TE BE'!$L$38*'TE BE'!$L$48</f>
        <v>3.3349628273469102E-6</v>
      </c>
      <c r="M38" s="30">
        <f>'TE BE'!$M$38*'TE BE'!$M$48</f>
        <v>-3.9550008992431782</v>
      </c>
      <c r="N38" s="30">
        <f>'TE BE'!$N$38*'TE BE'!$N$48</f>
        <v>0</v>
      </c>
      <c r="O38" s="30">
        <f>'TE BE'!$O$38*'TE BE'!$O$48</f>
        <v>0.15393987921655544</v>
      </c>
      <c r="P38" s="30">
        <f>'TE BE'!$P$38*'TE BE'!$P$48</f>
        <v>0</v>
      </c>
      <c r="Q38" s="30">
        <f>SUM($L$38:$P$38)</f>
        <v>-3.8010576850637956</v>
      </c>
      <c r="R38" s="30">
        <f>'TE BE'!$R$38*'TE BE'!$R$48</f>
        <v>11.367469564226704</v>
      </c>
      <c r="S38" s="30">
        <f>SUM($R$38:$R$38)</f>
        <v>11.367469564226704</v>
      </c>
      <c r="T38" s="30">
        <f>'TE BE'!$T$38*'TE BE'!$T$48</f>
        <v>0.46998560398996891</v>
      </c>
      <c r="U38" s="30">
        <f>'TE BE'!$U$38*'TE BE'!$U$48</f>
        <v>0.39153325499211572</v>
      </c>
      <c r="V38" s="30">
        <f>'TE BE'!$V$38*'TE BE'!$V$48</f>
        <v>0</v>
      </c>
      <c r="W38" s="30">
        <f>SUM($T$38:$V$38)</f>
        <v>0.86151885898208458</v>
      </c>
      <c r="X38" s="30">
        <f>'TE BE'!$AB$38*'TE BE'!$X$48</f>
        <v>-8.9598233753411325</v>
      </c>
      <c r="Y38" s="30">
        <f>SUM($X$38:$X$38)</f>
        <v>-8.9598233753411325</v>
      </c>
      <c r="Z38" s="30">
        <f>'TE BE'!$Z$38*'TE BE'!$Z$48</f>
        <v>0.34996586380103178</v>
      </c>
      <c r="AA38" s="30">
        <f>SUM($Z$38:$Z$38)</f>
        <v>0.34996586380103178</v>
      </c>
      <c r="AB38" s="30">
        <f>SUMIF($L$4:$AA$4,"SUBTOTAL",$L$38:$AA$38)</f>
        <v>-0.18192677339510854</v>
      </c>
    </row>
    <row r="39" spans="1:28" ht="11.25" customHeight="1" x14ac:dyDescent="0.25">
      <c r="A39" s="130"/>
      <c r="B39" s="38" t="s">
        <v>93</v>
      </c>
      <c r="C39" s="38" t="s">
        <v>25</v>
      </c>
      <c r="D39" s="38" t="s">
        <v>25</v>
      </c>
      <c r="E39" s="38" t="s">
        <v>25</v>
      </c>
      <c r="F39" s="38" t="s">
        <v>25</v>
      </c>
      <c r="G39" s="32" t="s">
        <v>86</v>
      </c>
      <c r="H39" s="32" t="s">
        <v>80</v>
      </c>
      <c r="I39" s="32">
        <f>'MERCADO TE'!$U$36</f>
        <v>0</v>
      </c>
      <c r="J39" s="17"/>
      <c r="L39" s="30">
        <f>'TE BE'!$L$39*'TE BE'!$L$48</f>
        <v>3.3349628273469102E-6</v>
      </c>
      <c r="M39" s="30">
        <f>'TE BE'!$M$39*'TE BE'!$M$48</f>
        <v>-3.9550008992431782</v>
      </c>
      <c r="N39" s="30">
        <f>'TE BE'!$N$39*'TE BE'!$N$48</f>
        <v>0</v>
      </c>
      <c r="O39" s="30">
        <f>'TE BE'!$O$39*'TE BE'!$O$48</f>
        <v>0.15393987921655544</v>
      </c>
      <c r="P39" s="30">
        <f>'TE BE'!$P$39*'TE BE'!$P$48</f>
        <v>0</v>
      </c>
      <c r="Q39" s="30">
        <f>SUM($L$39:$P$39)</f>
        <v>-3.8010576850637956</v>
      </c>
      <c r="R39" s="30">
        <f>'TE BE'!$R$39*'TE BE'!$R$48</f>
        <v>11.367469564226704</v>
      </c>
      <c r="S39" s="30">
        <f>SUM($R$39:$R$39)</f>
        <v>11.367469564226704</v>
      </c>
      <c r="T39" s="30">
        <f>'TE BE'!$T$39*'TE BE'!$T$48</f>
        <v>0.46998560398996891</v>
      </c>
      <c r="U39" s="30">
        <f>'TE BE'!$U$39*'TE BE'!$U$48</f>
        <v>0.39153325499211572</v>
      </c>
      <c r="V39" s="30">
        <f>'TE BE'!$V$39*'TE BE'!$V$48</f>
        <v>0</v>
      </c>
      <c r="W39" s="30">
        <f>SUM($T$39:$V$39)</f>
        <v>0.86151885898208458</v>
      </c>
      <c r="X39" s="30">
        <f>'TE BE'!$AB$39*'TE BE'!$X$48</f>
        <v>-8.9598233753411325</v>
      </c>
      <c r="Y39" s="30">
        <f>SUM($X$39:$X$39)</f>
        <v>-8.9598233753411325</v>
      </c>
      <c r="Z39" s="30">
        <f>'TE BE'!$Z$39*'TE BE'!$Z$48</f>
        <v>0.34996586380103178</v>
      </c>
      <c r="AA39" s="30">
        <f>SUM($Z$39:$Z$39)</f>
        <v>0.34996586380103178</v>
      </c>
      <c r="AB39" s="30">
        <f>SUMIF($L$4:$AA$4,"SUBTOTAL",$L$39:$AA$39)</f>
        <v>-0.18192677339510854</v>
      </c>
    </row>
    <row r="40" spans="1:28" ht="11.25" customHeight="1" x14ac:dyDescent="0.25">
      <c r="A40" s="130" t="s">
        <v>46</v>
      </c>
      <c r="B40" s="130" t="s">
        <v>92</v>
      </c>
      <c r="C40" s="130" t="s">
        <v>47</v>
      </c>
      <c r="D40" s="38" t="s">
        <v>48</v>
      </c>
      <c r="E40" s="38" t="s">
        <v>25</v>
      </c>
      <c r="F40" s="38" t="s">
        <v>25</v>
      </c>
      <c r="G40" s="32" t="s">
        <v>86</v>
      </c>
      <c r="H40" s="32" t="s">
        <v>80</v>
      </c>
      <c r="I40" s="32">
        <f>'MERCADO TE'!$U$37</f>
        <v>18976.334999999999</v>
      </c>
      <c r="J40" s="17"/>
      <c r="L40" s="30">
        <f>'TE BE'!$L$40*'TE BE'!$L$48</f>
        <v>1.8342295550408008E-6</v>
      </c>
      <c r="M40" s="30">
        <f>'TE BE'!$M$40*'TE BE'!$M$48</f>
        <v>-2.1752504945837483</v>
      </c>
      <c r="N40" s="30">
        <f>'TE BE'!$N$40*'TE BE'!$N$48</f>
        <v>0</v>
      </c>
      <c r="O40" s="30">
        <f>'TE BE'!$O$40*'TE BE'!$O$48</f>
        <v>8.4666933569105499E-2</v>
      </c>
      <c r="P40" s="30">
        <f>'TE BE'!$P$40*'TE BE'!$P$48</f>
        <v>0</v>
      </c>
      <c r="Q40" s="30">
        <f>SUM($L$40:$P$40)</f>
        <v>-2.0905817267850879</v>
      </c>
      <c r="R40" s="30">
        <f>'TE BE'!$R$40*'TE BE'!$R$48</f>
        <v>6.2521082603246878</v>
      </c>
      <c r="S40" s="30">
        <f>SUM($R$40:$R$40)</f>
        <v>6.2521082603246878</v>
      </c>
      <c r="T40" s="30">
        <f>'TE BE'!$T$40*'TE BE'!$T$48</f>
        <v>0.25849208219448294</v>
      </c>
      <c r="U40" s="30">
        <f>'TE BE'!$U$40*'TE BE'!$U$48</f>
        <v>0.21534329024566365</v>
      </c>
      <c r="V40" s="30">
        <f>'TE BE'!$V$40*'TE BE'!$V$48</f>
        <v>0</v>
      </c>
      <c r="W40" s="30">
        <f>SUM($T$40:$V$40)</f>
        <v>0.47383537244014662</v>
      </c>
      <c r="X40" s="30">
        <f>'TE BE'!$AB$40*'TE BE'!$X$48</f>
        <v>-4.9279028564376226</v>
      </c>
      <c r="Y40" s="30">
        <f>SUM($X$40:$X$40)</f>
        <v>-4.9279028564376226</v>
      </c>
      <c r="Z40" s="30">
        <f>'TE BE'!$Z$40*'TE BE'!$Z$48</f>
        <v>0.1924812250905675</v>
      </c>
      <c r="AA40" s="30">
        <f>SUM($Z$40:$Z$40)</f>
        <v>0.1924812250905675</v>
      </c>
      <c r="AB40" s="30">
        <f>SUMIF($L$4:$AA$4,"SUBTOTAL",$L$40:$AA$40)</f>
        <v>-0.10005972536730826</v>
      </c>
    </row>
    <row r="41" spans="1:28" ht="11.25" customHeight="1" x14ac:dyDescent="0.25">
      <c r="A41" s="130"/>
      <c r="B41" s="130"/>
      <c r="C41" s="130"/>
      <c r="D41" s="32" t="s">
        <v>96</v>
      </c>
      <c r="E41" s="32" t="s">
        <v>25</v>
      </c>
      <c r="F41" s="32" t="s">
        <v>25</v>
      </c>
      <c r="G41" s="32" t="s">
        <v>86</v>
      </c>
      <c r="H41" s="32" t="s">
        <v>80</v>
      </c>
      <c r="I41" s="32">
        <f>'MERCADO TE'!$U$38</f>
        <v>0</v>
      </c>
      <c r="J41" s="17"/>
      <c r="L41" s="30">
        <f>'TE BE'!$L$41*'TE BE'!$L$48</f>
        <v>2.0009776964081462E-6</v>
      </c>
      <c r="M41" s="30">
        <f>'TE BE'!$M$41*'TE BE'!$M$48</f>
        <v>-2.3730005395459068</v>
      </c>
      <c r="N41" s="30">
        <f>'TE BE'!$N$41*'TE BE'!$N$48</f>
        <v>0</v>
      </c>
      <c r="O41" s="30">
        <f>'TE BE'!$O$41*'TE BE'!$O$48</f>
        <v>9.2363927529933262E-2</v>
      </c>
      <c r="P41" s="30">
        <f>'TE BE'!$P$41*'TE BE'!$P$48</f>
        <v>0</v>
      </c>
      <c r="Q41" s="30">
        <f>SUM($L$41:$P$41)</f>
        <v>-2.2806346110382774</v>
      </c>
      <c r="R41" s="30">
        <f>'TE BE'!$R$41*'TE BE'!$R$48</f>
        <v>6.8204817385360226</v>
      </c>
      <c r="S41" s="30">
        <f>SUM($R$41:$R$41)</f>
        <v>6.8204817385360226</v>
      </c>
      <c r="T41" s="30">
        <f>'TE BE'!$T$41*'TE BE'!$T$48</f>
        <v>0.28199136239398137</v>
      </c>
      <c r="U41" s="30">
        <f>'TE BE'!$U$41*'TE BE'!$U$48</f>
        <v>0.23491995299526944</v>
      </c>
      <c r="V41" s="30">
        <f>'TE BE'!$V$41*'TE BE'!$V$48</f>
        <v>0</v>
      </c>
      <c r="W41" s="30">
        <f>SUM($T$41:$V$41)</f>
        <v>0.51691131538925084</v>
      </c>
      <c r="X41" s="30">
        <f>'TE BE'!$AB$41*'TE BE'!$X$48</f>
        <v>-5.375894025204679</v>
      </c>
      <c r="Y41" s="30">
        <f>SUM($X$41:$X$41)</f>
        <v>-5.375894025204679</v>
      </c>
      <c r="Z41" s="30">
        <f>'TE BE'!$Z$41*'TE BE'!$Z$48</f>
        <v>0.20997951828061906</v>
      </c>
      <c r="AA41" s="30">
        <f>SUM($Z$41:$Z$41)</f>
        <v>0.20997951828061906</v>
      </c>
      <c r="AB41" s="30">
        <f>SUMIF($L$4:$AA$4,"SUBTOTAL",$L$41:$AA$41)</f>
        <v>-0.10915606403706318</v>
      </c>
    </row>
    <row r="43" spans="1:28" ht="11.25" customHeight="1" x14ac:dyDescent="0.25">
      <c r="K43" s="37" t="s">
        <v>767</v>
      </c>
      <c r="L43" s="30">
        <f t="shared" ref="L43:AB43" si="0">SUMPRODUCT($I$5:$I$41,L$5:L$41)</f>
        <v>1.6251823968117267</v>
      </c>
      <c r="M43" s="30">
        <f t="shared" si="0"/>
        <v>-1927337.1769297835</v>
      </c>
      <c r="N43" s="30">
        <f t="shared" si="0"/>
        <v>0</v>
      </c>
      <c r="O43" s="30">
        <f t="shared" si="0"/>
        <v>75017.44241902011</v>
      </c>
      <c r="P43" s="30">
        <f t="shared" si="0"/>
        <v>0</v>
      </c>
      <c r="Q43" s="30">
        <f t="shared" si="0"/>
        <v>-1852318.109328367</v>
      </c>
      <c r="R43" s="30">
        <f t="shared" si="0"/>
        <v>5525366.701882883</v>
      </c>
      <c r="S43" s="30">
        <f t="shared" si="0"/>
        <v>5525366.701882883</v>
      </c>
      <c r="T43" s="30">
        <f t="shared" si="0"/>
        <v>229031.73735434606</v>
      </c>
      <c r="U43" s="30">
        <f t="shared" si="0"/>
        <v>190800.61359658241</v>
      </c>
      <c r="V43" s="30">
        <f t="shared" si="0"/>
        <v>0</v>
      </c>
      <c r="W43" s="30">
        <f t="shared" si="0"/>
        <v>419832.3509509284</v>
      </c>
      <c r="X43" s="30">
        <f t="shared" si="0"/>
        <v>-4356753.4902680703</v>
      </c>
      <c r="Y43" s="30">
        <f t="shared" si="0"/>
        <v>-4356753.4902680703</v>
      </c>
      <c r="Z43" s="30">
        <f t="shared" si="0"/>
        <v>170544.13820465765</v>
      </c>
      <c r="AA43" s="30">
        <f t="shared" si="0"/>
        <v>170544.13820465765</v>
      </c>
      <c r="AB43" s="30">
        <f t="shared" si="0"/>
        <v>-93328.408557968534</v>
      </c>
    </row>
    <row r="44" spans="1:28" ht="11.25" customHeight="1" x14ac:dyDescent="0.25">
      <c r="K44" s="37" t="s">
        <v>686</v>
      </c>
      <c r="L44" s="30">
        <f>CUSTOS!$D$30</f>
        <v>1547247.5504463778</v>
      </c>
      <c r="M44" s="30">
        <f>CUSTOS!$D$31</f>
        <v>13955488.450000001</v>
      </c>
      <c r="N44" s="30">
        <f>CUSTOS!$D$32</f>
        <v>0</v>
      </c>
      <c r="O44" s="30">
        <f>CUSTOS!$D$33</f>
        <v>5157975.3383182185</v>
      </c>
      <c r="P44" s="30">
        <f>CUSTOS!$D$34</f>
        <v>-8064467.3899999997</v>
      </c>
      <c r="Q44" s="30">
        <f>CUSTOS!$D$35</f>
        <v>12596243.948764596</v>
      </c>
      <c r="R44" s="30">
        <f>CUSTOS!$D$36</f>
        <v>125601206.97116724</v>
      </c>
      <c r="S44" s="30">
        <f>CUSTOS!$D$37</f>
        <v>125601206.97116724</v>
      </c>
      <c r="T44" s="30">
        <f>CUSTOS!$D$38</f>
        <v>3309508.075408096</v>
      </c>
      <c r="U44" s="30">
        <f>CUSTOS!$D$39</f>
        <v>2280040.2482939754</v>
      </c>
      <c r="V44" s="30">
        <f>CUSTOS!$D$40</f>
        <v>0</v>
      </c>
      <c r="W44" s="30">
        <f>CUSTOS!$D$41</f>
        <v>5589548.3237020709</v>
      </c>
      <c r="X44" s="30">
        <f>CUSTOS!$D$42</f>
        <v>0</v>
      </c>
      <c r="Y44" s="30">
        <f>CUSTOS!$D$43</f>
        <v>0</v>
      </c>
      <c r="Z44" s="30">
        <f>CUSTOS!$D$44</f>
        <v>3876765.2458366361</v>
      </c>
      <c r="AA44" s="30">
        <f>CUSTOS!$D$45</f>
        <v>3876765.2458366361</v>
      </c>
      <c r="AB44" s="30">
        <f>CUSTOS!$D$46</f>
        <v>147663764.48947054</v>
      </c>
    </row>
    <row r="45" spans="1:28" ht="11.25" customHeight="1" x14ac:dyDescent="0.25">
      <c r="K45" s="37" t="s">
        <v>687</v>
      </c>
      <c r="L45" s="30">
        <f>CUSTOS!$E$30</f>
        <v>1.6251823968117272</v>
      </c>
      <c r="M45" s="30">
        <f>CUSTOS!$E$31</f>
        <v>-1927337.176929784</v>
      </c>
      <c r="N45" s="30">
        <f>CUSTOS!$E$32</f>
        <v>0</v>
      </c>
      <c r="O45" s="30">
        <f>CUSTOS!$E$33</f>
        <v>75017.44241902011</v>
      </c>
      <c r="P45" s="30">
        <f>CUSTOS!$E$34</f>
        <v>0</v>
      </c>
      <c r="Q45" s="30">
        <f>CUSTOS!$E$35</f>
        <v>-1852318.1093283673</v>
      </c>
      <c r="R45" s="30">
        <f>CUSTOS!$E$36</f>
        <v>5525366.701882883</v>
      </c>
      <c r="S45" s="30">
        <f>CUSTOS!$E$37</f>
        <v>5525366.701882883</v>
      </c>
      <c r="T45" s="30">
        <f>CUSTOS!$E$38</f>
        <v>229031.73735434609</v>
      </c>
      <c r="U45" s="30">
        <f>CUSTOS!$E$39</f>
        <v>190800.61359658238</v>
      </c>
      <c r="V45" s="30">
        <f>CUSTOS!$E$40</f>
        <v>0</v>
      </c>
      <c r="W45" s="30">
        <f>CUSTOS!$E$41</f>
        <v>419832.35095092846</v>
      </c>
      <c r="X45" s="30">
        <f>CUSTOS!$E$42</f>
        <v>-4356753.4902680693</v>
      </c>
      <c r="Y45" s="30">
        <f>CUSTOS!$E$43</f>
        <v>-4356753.4902680693</v>
      </c>
      <c r="Z45" s="30">
        <f>CUSTOS!$E$44</f>
        <v>170544.13820465765</v>
      </c>
      <c r="AA45" s="30">
        <f>CUSTOS!$E$45</f>
        <v>170544.13820465765</v>
      </c>
      <c r="AB45" s="30">
        <f>CUSTOS!$E$46</f>
        <v>-93328.408557967574</v>
      </c>
    </row>
    <row r="46" spans="1:28" ht="11.25" customHeight="1" x14ac:dyDescent="0.25">
      <c r="K46" s="37" t="s">
        <v>688</v>
      </c>
      <c r="L46" s="30">
        <f>CUSTOS!$F$30</f>
        <v>0</v>
      </c>
      <c r="M46" s="30">
        <f>CUSTOS!$F$31</f>
        <v>4743030.0866999999</v>
      </c>
      <c r="N46" s="30">
        <f>CUSTOS!$F$32</f>
        <v>0</v>
      </c>
      <c r="O46" s="30">
        <f>CUSTOS!$F$33</f>
        <v>354705.17188565916</v>
      </c>
      <c r="P46" s="30">
        <f>CUSTOS!$F$34</f>
        <v>0</v>
      </c>
      <c r="Q46" s="30">
        <f>CUSTOS!$F$35</f>
        <v>5097735.2585856589</v>
      </c>
      <c r="R46" s="30">
        <f>CUSTOS!$F$36</f>
        <v>2107013.5999463112</v>
      </c>
      <c r="S46" s="30">
        <f>CUSTOS!$F$37</f>
        <v>2107013.5999463112</v>
      </c>
      <c r="T46" s="30">
        <f>CUSTOS!$F$38</f>
        <v>636967.30110000004</v>
      </c>
      <c r="U46" s="30">
        <f>CUSTOS!$F$39</f>
        <v>109099.95011400947</v>
      </c>
      <c r="V46" s="30">
        <f>CUSTOS!$F$40</f>
        <v>0</v>
      </c>
      <c r="W46" s="30">
        <f>CUSTOS!$F$41</f>
        <v>746067.25121400948</v>
      </c>
      <c r="X46" s="30">
        <f>CUSTOS!$F$42</f>
        <v>0</v>
      </c>
      <c r="Y46" s="30">
        <f>CUSTOS!$F$43</f>
        <v>0</v>
      </c>
      <c r="Z46" s="30">
        <f>CUSTOS!$F$44</f>
        <v>65034.383775086797</v>
      </c>
      <c r="AA46" s="30">
        <f>CUSTOS!$F$45</f>
        <v>65034.383775086797</v>
      </c>
      <c r="AB46" s="30">
        <f>CUSTOS!$F$46</f>
        <v>8015850.4935210673</v>
      </c>
    </row>
    <row r="47" spans="1:28" ht="11.25" customHeight="1" x14ac:dyDescent="0.25">
      <c r="K47" s="37" t="s">
        <v>768</v>
      </c>
      <c r="L47" s="30">
        <f>'TR TE'!$L$47*L48</f>
        <v>0</v>
      </c>
      <c r="M47" s="30">
        <f>'TR TE'!$M$47*M48</f>
        <v>9.7329561648980523</v>
      </c>
      <c r="N47" s="30">
        <f>'TR TE'!$N$47*N48</f>
        <v>0</v>
      </c>
      <c r="O47" s="30">
        <f>'TR TE'!$O$47*O48</f>
        <v>0.7278743390446708</v>
      </c>
      <c r="P47" s="30">
        <f>'TR TE'!$P$47*P48</f>
        <v>0</v>
      </c>
      <c r="Q47" s="30"/>
      <c r="R47" s="30">
        <f>'TR TE'!$R$47*R48</f>
        <v>4.3413860805051909</v>
      </c>
      <c r="S47" s="30"/>
      <c r="T47" s="30">
        <f>'TR TE'!$T$47*T48</f>
        <v>1.3070916074228662</v>
      </c>
      <c r="U47" s="30">
        <f>'TR TE'!$U$47*U48</f>
        <v>0.2238790420136296</v>
      </c>
      <c r="V47" s="30">
        <f>'TR TE'!$V$47*V48</f>
        <v>0</v>
      </c>
      <c r="W47" s="30"/>
      <c r="X47" s="30"/>
      <c r="Y47" s="30"/>
      <c r="Z47" s="30">
        <f>'TR TE'!$Z$47*Z48</f>
        <v>0.13345409894594942</v>
      </c>
      <c r="AA47" s="30"/>
      <c r="AB47" s="30"/>
    </row>
    <row r="48" spans="1:28" ht="11.25" customHeight="1" x14ac:dyDescent="0.25">
      <c r="K48" s="37" t="s">
        <v>763</v>
      </c>
      <c r="L48" s="30">
        <f>IF(L44&lt;&gt;0,L46/L44,0)</f>
        <v>0</v>
      </c>
      <c r="M48" s="30">
        <f>IF(M44&lt;&gt;0,M46/M44,0)</f>
        <v>0.33986843983952419</v>
      </c>
      <c r="N48" s="30">
        <f>IF(N44&lt;&gt;0,N46/N44,0)</f>
        <v>0</v>
      </c>
      <c r="O48" s="30">
        <f>IF(O44&lt;&gt;0,O46/O44,0)</f>
        <v>6.8768295429910378E-2</v>
      </c>
      <c r="P48" s="30">
        <f>IF(P44&lt;&gt;0,P46/P44,0)</f>
        <v>0</v>
      </c>
      <c r="Q48" s="30"/>
      <c r="R48" s="30">
        <f>IF(R44&lt;&gt;0,R46/R44,0)</f>
        <v>1.677542478098951E-2</v>
      </c>
      <c r="S48" s="30"/>
      <c r="T48" s="30">
        <f>IF(T44&lt;&gt;0,T46/T44,0)</f>
        <v>0.19246585492058529</v>
      </c>
      <c r="U48" s="30">
        <f>IF(U44&lt;&gt;0,U46/U44,0)</f>
        <v>4.785001062838376E-2</v>
      </c>
      <c r="V48" s="30">
        <f>IF(V44&lt;&gt;0,V46/V44,0)</f>
        <v>0</v>
      </c>
      <c r="W48" s="30"/>
      <c r="X48" s="30">
        <f>IF($AB44&lt;&gt;0,X46/($AB44-SUM('TR TE'!$L47:'TR TE'!$AA47)*0),0)</f>
        <v>0</v>
      </c>
      <c r="Y48" s="30"/>
      <c r="Z48" s="30">
        <f>IF(Z44&lt;&gt;0,Z46/Z44,0)</f>
        <v>1.677542478098951E-2</v>
      </c>
      <c r="AA48" s="30"/>
      <c r="AB48" s="30"/>
    </row>
    <row r="49" spans="11:28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974" priority="33" operator="notEqual">
      <formula>$L$45</formula>
    </cfRule>
    <cfRule type="cellIs" dxfId="973" priority="34" operator="equal">
      <formula>$L$45</formula>
    </cfRule>
  </conditionalFormatting>
  <conditionalFormatting sqref="M43">
    <cfRule type="cellIs" dxfId="972" priority="31" operator="notEqual">
      <formula>$M$45</formula>
    </cfRule>
    <cfRule type="cellIs" dxfId="971" priority="32" operator="equal">
      <formula>$M$45</formula>
    </cfRule>
  </conditionalFormatting>
  <conditionalFormatting sqref="N43">
    <cfRule type="cellIs" dxfId="970" priority="29" operator="notEqual">
      <formula>$N$45</formula>
    </cfRule>
    <cfRule type="cellIs" dxfId="969" priority="30" operator="equal">
      <formula>$N$45</formula>
    </cfRule>
  </conditionalFormatting>
  <conditionalFormatting sqref="O43">
    <cfRule type="cellIs" dxfId="968" priority="27" operator="notEqual">
      <formula>$O$45</formula>
    </cfRule>
    <cfRule type="cellIs" dxfId="967" priority="28" operator="equal">
      <formula>$O$45</formula>
    </cfRule>
  </conditionalFormatting>
  <conditionalFormatting sqref="P43">
    <cfRule type="cellIs" dxfId="966" priority="25" operator="notEqual">
      <formula>$P$45</formula>
    </cfRule>
    <cfRule type="cellIs" dxfId="965" priority="26" operator="equal">
      <formula>$P$45</formula>
    </cfRule>
  </conditionalFormatting>
  <conditionalFormatting sqref="Q43">
    <cfRule type="cellIs" dxfId="964" priority="23" operator="notEqual">
      <formula>$Q$45</formula>
    </cfRule>
    <cfRule type="cellIs" dxfId="963" priority="24" operator="equal">
      <formula>$Q$45</formula>
    </cfRule>
  </conditionalFormatting>
  <conditionalFormatting sqref="R43">
    <cfRule type="cellIs" dxfId="962" priority="21" operator="notEqual">
      <formula>$R$45</formula>
    </cfRule>
    <cfRule type="cellIs" dxfId="961" priority="22" operator="equal">
      <formula>$R$45</formula>
    </cfRule>
  </conditionalFormatting>
  <conditionalFormatting sqref="S43">
    <cfRule type="cellIs" dxfId="960" priority="19" operator="notEqual">
      <formula>$S$45</formula>
    </cfRule>
    <cfRule type="cellIs" dxfId="959" priority="20" operator="equal">
      <formula>$S$45</formula>
    </cfRule>
  </conditionalFormatting>
  <conditionalFormatting sqref="T43">
    <cfRule type="cellIs" dxfId="958" priority="17" operator="notEqual">
      <formula>$T$45</formula>
    </cfRule>
    <cfRule type="cellIs" dxfId="957" priority="18" operator="equal">
      <formula>$T$45</formula>
    </cfRule>
  </conditionalFormatting>
  <conditionalFormatting sqref="U43">
    <cfRule type="cellIs" dxfId="956" priority="15" operator="notEqual">
      <formula>$U$45</formula>
    </cfRule>
    <cfRule type="cellIs" dxfId="955" priority="16" operator="equal">
      <formula>$U$45</formula>
    </cfRule>
  </conditionalFormatting>
  <conditionalFormatting sqref="V43">
    <cfRule type="cellIs" dxfId="954" priority="13" operator="notEqual">
      <formula>$V$45</formula>
    </cfRule>
    <cfRule type="cellIs" dxfId="953" priority="14" operator="equal">
      <formula>$V$45</formula>
    </cfRule>
  </conditionalFormatting>
  <conditionalFormatting sqref="W43">
    <cfRule type="cellIs" dxfId="952" priority="11" operator="notEqual">
      <formula>$W$45</formula>
    </cfRule>
    <cfRule type="cellIs" dxfId="951" priority="12" operator="equal">
      <formula>$W$45</formula>
    </cfRule>
  </conditionalFormatting>
  <conditionalFormatting sqref="X43">
    <cfRule type="cellIs" dxfId="950" priority="9" operator="notEqual">
      <formula>$X$45</formula>
    </cfRule>
    <cfRule type="cellIs" dxfId="949" priority="10" operator="equal">
      <formula>$X$45</formula>
    </cfRule>
  </conditionalFormatting>
  <conditionalFormatting sqref="Y43">
    <cfRule type="cellIs" dxfId="948" priority="7" operator="notEqual">
      <formula>$Y$45</formula>
    </cfRule>
    <cfRule type="cellIs" dxfId="947" priority="8" operator="equal">
      <formula>$Y$45</formula>
    </cfRule>
  </conditionalFormatting>
  <conditionalFormatting sqref="Z43">
    <cfRule type="cellIs" dxfId="946" priority="5" operator="notEqual">
      <formula>$Z$45</formula>
    </cfRule>
    <cfRule type="cellIs" dxfId="945" priority="6" operator="equal">
      <formula>$Z$45</formula>
    </cfRule>
  </conditionalFormatting>
  <conditionalFormatting sqref="AA43">
    <cfRule type="cellIs" dxfId="944" priority="3" operator="notEqual">
      <formula>$AA$45</formula>
    </cfRule>
    <cfRule type="cellIs" dxfId="943" priority="4" operator="equal">
      <formula>$AA$45</formula>
    </cfRule>
  </conditionalFormatting>
  <conditionalFormatting sqref="AB43">
    <cfRule type="cellIs" dxfId="942" priority="1" operator="notEqual">
      <formula>$AB$45</formula>
    </cfRule>
    <cfRule type="cellIs" dxfId="941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6EA4A-96EB-4B14-AD29-50F54B1AD124}">
  <dimension ref="A1:AB49"/>
  <sheetViews>
    <sheetView showGridLines="0" topLeftCell="Q28" workbookViewId="0">
      <selection activeCell="AB43" sqref="AB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0" style="9" bestFit="1" customWidth="1"/>
    <col min="13" max="13" width="10.85546875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.85546875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29" t="s">
        <v>70</v>
      </c>
      <c r="B1" s="129" t="s">
        <v>71</v>
      </c>
      <c r="C1" s="129" t="s">
        <v>72</v>
      </c>
      <c r="D1" s="129" t="s">
        <v>73</v>
      </c>
      <c r="E1" s="129" t="s">
        <v>74</v>
      </c>
      <c r="F1" s="129" t="s">
        <v>15</v>
      </c>
      <c r="G1" s="129" t="s">
        <v>76</v>
      </c>
      <c r="H1" s="129" t="s">
        <v>77</v>
      </c>
      <c r="I1" s="129" t="s">
        <v>745</v>
      </c>
      <c r="J1" s="108"/>
      <c r="L1" s="127" t="s">
        <v>773</v>
      </c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</row>
    <row r="2" spans="1:28" ht="11.25" customHeight="1" x14ac:dyDescent="0.25">
      <c r="A2" s="129"/>
      <c r="B2" s="129"/>
      <c r="C2" s="129"/>
      <c r="D2" s="129"/>
      <c r="E2" s="129"/>
      <c r="F2" s="129"/>
      <c r="G2" s="129"/>
      <c r="H2" s="129"/>
      <c r="I2" s="129"/>
      <c r="J2" s="108"/>
      <c r="L2" s="127" t="s">
        <v>672</v>
      </c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</row>
    <row r="3" spans="1:28" ht="11.25" customHeight="1" x14ac:dyDescent="0.25">
      <c r="A3" s="129"/>
      <c r="B3" s="129"/>
      <c r="C3" s="129"/>
      <c r="D3" s="129"/>
      <c r="E3" s="129"/>
      <c r="F3" s="129"/>
      <c r="G3" s="129"/>
      <c r="H3" s="129"/>
      <c r="I3" s="129"/>
      <c r="J3" s="108"/>
      <c r="L3" s="127" t="s">
        <v>645</v>
      </c>
      <c r="M3" s="127"/>
      <c r="N3" s="127"/>
      <c r="O3" s="127"/>
      <c r="P3" s="127"/>
      <c r="Q3" s="127"/>
      <c r="R3" s="127" t="s">
        <v>676</v>
      </c>
      <c r="S3" s="127"/>
      <c r="T3" s="127" t="s">
        <v>654</v>
      </c>
      <c r="U3" s="127"/>
      <c r="V3" s="127"/>
      <c r="W3" s="127"/>
      <c r="X3" s="127" t="s">
        <v>664</v>
      </c>
      <c r="Y3" s="127"/>
      <c r="Z3" s="127" t="s">
        <v>667</v>
      </c>
      <c r="AA3" s="127"/>
      <c r="AB3" s="127" t="s">
        <v>653</v>
      </c>
    </row>
    <row r="4" spans="1:28" ht="11.25" customHeight="1" x14ac:dyDescent="0.25">
      <c r="A4" s="129"/>
      <c r="B4" s="129"/>
      <c r="C4" s="129"/>
      <c r="D4" s="129"/>
      <c r="E4" s="129"/>
      <c r="F4" s="129"/>
      <c r="G4" s="129"/>
      <c r="H4" s="129"/>
      <c r="I4" s="129"/>
      <c r="J4" s="108"/>
      <c r="L4" s="36" t="s">
        <v>647</v>
      </c>
      <c r="M4" s="36" t="s">
        <v>673</v>
      </c>
      <c r="N4" s="36" t="s">
        <v>674</v>
      </c>
      <c r="O4" s="36" t="s">
        <v>733</v>
      </c>
      <c r="P4" s="36" t="s">
        <v>675</v>
      </c>
      <c r="Q4" s="36" t="s">
        <v>653</v>
      </c>
      <c r="R4" s="36" t="s">
        <v>677</v>
      </c>
      <c r="S4" s="36" t="s">
        <v>653</v>
      </c>
      <c r="T4" s="36" t="s">
        <v>678</v>
      </c>
      <c r="U4" s="36" t="s">
        <v>679</v>
      </c>
      <c r="V4" s="36" t="s">
        <v>680</v>
      </c>
      <c r="W4" s="36" t="s">
        <v>653</v>
      </c>
      <c r="X4" s="36" t="s">
        <v>665</v>
      </c>
      <c r="Y4" s="36" t="s">
        <v>653</v>
      </c>
      <c r="Z4" s="36" t="s">
        <v>681</v>
      </c>
      <c r="AA4" s="36" t="s">
        <v>653</v>
      </c>
      <c r="AB4" s="128"/>
    </row>
    <row r="5" spans="1:28" ht="11.25" customHeight="1" x14ac:dyDescent="0.25">
      <c r="A5" s="130" t="s">
        <v>39</v>
      </c>
      <c r="B5" s="130" t="s">
        <v>79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81</v>
      </c>
      <c r="H5" s="32" t="s">
        <v>80</v>
      </c>
      <c r="I5" s="32">
        <f>'MERCADO TE'!$U$2</f>
        <v>3135.924</v>
      </c>
      <c r="J5" s="17"/>
      <c r="L5" s="30">
        <f>'TE BE'!$L$5*'TE BF'!$L$48</f>
        <v>0</v>
      </c>
      <c r="M5" s="30">
        <f>'TE BE'!$M$5*'TE BF'!$M$48</f>
        <v>9.7329561648980523</v>
      </c>
      <c r="N5" s="30">
        <f>'TE BE'!$N$5*'TE BF'!$N$48</f>
        <v>0</v>
      </c>
      <c r="O5" s="30">
        <f>'TE BE'!$O$5*'TE BF'!$O$48</f>
        <v>0.7278743390446708</v>
      </c>
      <c r="P5" s="30">
        <f>'TE BE'!$P$5*'TE BF'!$P$48</f>
        <v>0</v>
      </c>
      <c r="Q5" s="30">
        <f>SUM($L$5:$P$5)</f>
        <v>10.460830503942724</v>
      </c>
      <c r="R5" s="30">
        <f>'TE BE'!$R$5*'TE BF'!$R$48</f>
        <v>7.0338420940511028</v>
      </c>
      <c r="S5" s="30">
        <f>SUM($R$5:$R$5)</f>
        <v>7.0338420940511028</v>
      </c>
      <c r="T5" s="30">
        <f>'TE BE'!$T$5*'TE BF'!$T$48</f>
        <v>1.3070916074228662</v>
      </c>
      <c r="U5" s="30">
        <f>'TE BE'!$U$5*'TE BF'!$U$48</f>
        <v>0.2238790420136296</v>
      </c>
      <c r="V5" s="30">
        <f>'TE BE'!$V$5*'TE BF'!$V$48</f>
        <v>0</v>
      </c>
      <c r="W5" s="30">
        <f>SUM($T$5:$V$5)</f>
        <v>1.5309706494364959</v>
      </c>
      <c r="X5" s="30">
        <f>'TE BE'!$AB$5*'TE BF'!$X$48</f>
        <v>0</v>
      </c>
      <c r="Y5" s="30">
        <f>SUM($X$5:$X$5)</f>
        <v>0</v>
      </c>
      <c r="Z5" s="30">
        <f>'TE BE'!$Z$5*'TE BF'!$Z$48</f>
        <v>0.13345409894594942</v>
      </c>
      <c r="AA5" s="30">
        <f>SUM($Z$5:$Z$5)</f>
        <v>0.13345409894594942</v>
      </c>
      <c r="AB5" s="30">
        <f>SUMIF($L$4:$AA$4,"SUBTOTAL",$L$5:$AA$5)</f>
        <v>19.159097346376274</v>
      </c>
    </row>
    <row r="6" spans="1:28" ht="11.25" customHeight="1" x14ac:dyDescent="0.25">
      <c r="A6" s="130"/>
      <c r="B6" s="130"/>
      <c r="C6" s="130"/>
      <c r="D6" s="130"/>
      <c r="E6" s="130"/>
      <c r="F6" s="130"/>
      <c r="G6" s="32" t="s">
        <v>82</v>
      </c>
      <c r="H6" s="32" t="s">
        <v>80</v>
      </c>
      <c r="I6" s="32">
        <f>'MERCADO TE'!$U$3</f>
        <v>56204.419000000002</v>
      </c>
      <c r="J6" s="17"/>
      <c r="L6" s="30">
        <f>'TE BE'!$L$6*'TE BF'!$L$48</f>
        <v>0</v>
      </c>
      <c r="M6" s="30">
        <f>'TE BE'!$M$6*'TE BF'!$M$48</f>
        <v>9.7329561648980523</v>
      </c>
      <c r="N6" s="30">
        <f>'TE BE'!$N$6*'TE BF'!$N$48</f>
        <v>0</v>
      </c>
      <c r="O6" s="30">
        <f>'TE BE'!$O$6*'TE BF'!$O$48</f>
        <v>0.7278743390446708</v>
      </c>
      <c r="P6" s="30">
        <f>'TE BE'!$P$6*'TE BF'!$P$48</f>
        <v>0</v>
      </c>
      <c r="Q6" s="30">
        <f>SUM($L$6:$P$6)</f>
        <v>10.460830503942724</v>
      </c>
      <c r="R6" s="30">
        <f>'TE BE'!$R$6*'TE BF'!$R$48</f>
        <v>4.0894430779366875</v>
      </c>
      <c r="S6" s="30">
        <f>SUM($R$6:$R$6)</f>
        <v>4.0894430779366875</v>
      </c>
      <c r="T6" s="30">
        <f>'TE BE'!$T$6*'TE BF'!$T$48</f>
        <v>1.3070916074228662</v>
      </c>
      <c r="U6" s="30">
        <f>'TE BE'!$U$6*'TE BF'!$U$48</f>
        <v>0.2238790420136296</v>
      </c>
      <c r="V6" s="30">
        <f>'TE BE'!$V$6*'TE BF'!$V$48</f>
        <v>0</v>
      </c>
      <c r="W6" s="30">
        <f>SUM($T$6:$V$6)</f>
        <v>1.5309706494364959</v>
      </c>
      <c r="X6" s="30">
        <f>'TE BE'!$AB$6*'TE BF'!$X$48</f>
        <v>0</v>
      </c>
      <c r="Y6" s="30">
        <f>SUM($X$6:$X$6)</f>
        <v>0</v>
      </c>
      <c r="Z6" s="30">
        <f>'TE BE'!$Z$6*'TE BF'!$Z$48</f>
        <v>0.13345409894594942</v>
      </c>
      <c r="AA6" s="30">
        <f>SUM($Z$6:$Z$6)</f>
        <v>0.13345409894594942</v>
      </c>
      <c r="AB6" s="30">
        <f>SUMIF($L$4:$AA$4,"SUBTOTAL",$L$6:$AA$6)</f>
        <v>16.214698330261857</v>
      </c>
    </row>
    <row r="7" spans="1:28" ht="11.25" customHeight="1" x14ac:dyDescent="0.25">
      <c r="A7" s="130" t="s">
        <v>22</v>
      </c>
      <c r="B7" s="130" t="s">
        <v>79</v>
      </c>
      <c r="C7" s="130" t="s">
        <v>24</v>
      </c>
      <c r="D7" s="130" t="s">
        <v>24</v>
      </c>
      <c r="E7" s="130" t="s">
        <v>25</v>
      </c>
      <c r="F7" s="130" t="s">
        <v>25</v>
      </c>
      <c r="G7" s="32" t="s">
        <v>81</v>
      </c>
      <c r="H7" s="32" t="s">
        <v>80</v>
      </c>
      <c r="I7" s="32">
        <f>'MERCADO TE'!$U$4</f>
        <v>17.608000000000004</v>
      </c>
      <c r="J7" s="17"/>
      <c r="L7" s="30">
        <f>'TE BE'!$L$7*'TE BF'!$L$48</f>
        <v>0</v>
      </c>
      <c r="M7" s="30">
        <f>'TE BE'!$M$7*'TE BF'!$M$48</f>
        <v>9.7329561648980523</v>
      </c>
      <c r="N7" s="30">
        <f>'TE BE'!$N$7*'TE BF'!$N$48</f>
        <v>0</v>
      </c>
      <c r="O7" s="30">
        <f>'TE BE'!$O$7*'TE BF'!$O$48</f>
        <v>0.7278743390446708</v>
      </c>
      <c r="P7" s="30">
        <f>'TE BE'!$P$7*'TE BF'!$P$48</f>
        <v>0</v>
      </c>
      <c r="Q7" s="30">
        <f>SUM($L$7:$P$7)</f>
        <v>10.460830503942724</v>
      </c>
      <c r="R7" s="30">
        <f>'TE BE'!$R$7*'TE BF'!$R$48</f>
        <v>7.0338420940511028</v>
      </c>
      <c r="S7" s="30">
        <f>SUM($R$7:$R$7)</f>
        <v>7.0338420940511028</v>
      </c>
      <c r="T7" s="30">
        <f>'TE BE'!$T$7*'TE BF'!$T$48</f>
        <v>1.3070916074228662</v>
      </c>
      <c r="U7" s="30">
        <f>'TE BE'!$U$7*'TE BF'!$U$48</f>
        <v>0.2238790420136296</v>
      </c>
      <c r="V7" s="30">
        <f>'TE BE'!$V$7*'TE BF'!$V$48</f>
        <v>0</v>
      </c>
      <c r="W7" s="30">
        <f>SUM($T$7:$V$7)</f>
        <v>1.5309706494364959</v>
      </c>
      <c r="X7" s="30">
        <f>'TE BE'!$AB$7*'TE BF'!$X$48</f>
        <v>0</v>
      </c>
      <c r="Y7" s="30">
        <f>SUM($X$7:$X$7)</f>
        <v>0</v>
      </c>
      <c r="Z7" s="30">
        <f>'TE BE'!$Z$7*'TE BF'!$Z$48</f>
        <v>0.13345409894594942</v>
      </c>
      <c r="AA7" s="30">
        <f>SUM($Z$7:$Z$7)</f>
        <v>0.13345409894594942</v>
      </c>
      <c r="AB7" s="30">
        <f>SUMIF($L$4:$AA$4,"SUBTOTAL",$L$7:$AA$7)</f>
        <v>19.159097346376274</v>
      </c>
    </row>
    <row r="8" spans="1:28" ht="11.25" customHeight="1" x14ac:dyDescent="0.25">
      <c r="A8" s="130"/>
      <c r="B8" s="130"/>
      <c r="C8" s="130"/>
      <c r="D8" s="130"/>
      <c r="E8" s="130"/>
      <c r="F8" s="130"/>
      <c r="G8" s="32" t="s">
        <v>91</v>
      </c>
      <c r="H8" s="32" t="s">
        <v>80</v>
      </c>
      <c r="I8" s="32">
        <f>'MERCADO TE'!$U$5</f>
        <v>7.3439999999999994</v>
      </c>
      <c r="J8" s="17"/>
      <c r="L8" s="30">
        <f>'TE BE'!$L$8*'TE BF'!$L$48</f>
        <v>0</v>
      </c>
      <c r="M8" s="30">
        <f>'TE BE'!$M$8*'TE BF'!$M$48</f>
        <v>9.7329561648980523</v>
      </c>
      <c r="N8" s="30">
        <f>'TE BE'!$N$8*'TE BF'!$N$48</f>
        <v>0</v>
      </c>
      <c r="O8" s="30">
        <f>'TE BE'!$O$8*'TE BF'!$O$48</f>
        <v>0.7278743390446708</v>
      </c>
      <c r="P8" s="30">
        <f>'TE BE'!$P$8*'TE BF'!$P$48</f>
        <v>0</v>
      </c>
      <c r="Q8" s="30">
        <f>SUM($L$8:$P$8)</f>
        <v>10.460830503942724</v>
      </c>
      <c r="R8" s="30">
        <f>'TE BE'!$R$8*'TE BF'!$R$48</f>
        <v>4.0894430779366875</v>
      </c>
      <c r="S8" s="30">
        <f>SUM($R$8:$R$8)</f>
        <v>4.0894430779366875</v>
      </c>
      <c r="T8" s="30">
        <f>'TE BE'!$T$8*'TE BF'!$T$48</f>
        <v>1.3070916074228662</v>
      </c>
      <c r="U8" s="30">
        <f>'TE BE'!$U$8*'TE BF'!$U$48</f>
        <v>0.2238790420136296</v>
      </c>
      <c r="V8" s="30">
        <f>'TE BE'!$V$8*'TE BF'!$V$48</f>
        <v>0</v>
      </c>
      <c r="W8" s="30">
        <f>SUM($T$8:$V$8)</f>
        <v>1.5309706494364959</v>
      </c>
      <c r="X8" s="30">
        <f>'TE BE'!$AB$8*'TE BF'!$X$48</f>
        <v>0</v>
      </c>
      <c r="Y8" s="30">
        <f>SUM($X$8:$X$8)</f>
        <v>0</v>
      </c>
      <c r="Z8" s="30">
        <f>'TE BE'!$Z$8*'TE BF'!$Z$48</f>
        <v>0.13345409894594942</v>
      </c>
      <c r="AA8" s="30">
        <f>SUM($Z$8:$Z$8)</f>
        <v>0.13345409894594942</v>
      </c>
      <c r="AB8" s="30">
        <f>SUMIF($L$4:$AA$4,"SUBTOTAL",$L$8:$AA$8)</f>
        <v>16.214698330261857</v>
      </c>
    </row>
    <row r="9" spans="1:28" ht="11.25" customHeight="1" x14ac:dyDescent="0.25">
      <c r="A9" s="130"/>
      <c r="B9" s="130"/>
      <c r="C9" s="130"/>
      <c r="D9" s="130"/>
      <c r="E9" s="130"/>
      <c r="F9" s="130"/>
      <c r="G9" s="32" t="s">
        <v>82</v>
      </c>
      <c r="H9" s="32" t="s">
        <v>80</v>
      </c>
      <c r="I9" s="32">
        <f>'MERCADO TE'!$U$6</f>
        <v>120.18199999999999</v>
      </c>
      <c r="J9" s="17"/>
      <c r="L9" s="30">
        <f>'TE BE'!$L$9*'TE BF'!$L$48</f>
        <v>0</v>
      </c>
      <c r="M9" s="30">
        <f>'TE BE'!$M$9*'TE BF'!$M$48</f>
        <v>9.7329561648980523</v>
      </c>
      <c r="N9" s="30">
        <f>'TE BE'!$N$9*'TE BF'!$N$48</f>
        <v>0</v>
      </c>
      <c r="O9" s="30">
        <f>'TE BE'!$O$9*'TE BF'!$O$48</f>
        <v>0.7278743390446708</v>
      </c>
      <c r="P9" s="30">
        <f>'TE BE'!$P$9*'TE BF'!$P$48</f>
        <v>0</v>
      </c>
      <c r="Q9" s="30">
        <f>SUM($L$9:$P$9)</f>
        <v>10.460830503942724</v>
      </c>
      <c r="R9" s="30">
        <f>'TE BE'!$R$9*'TE BF'!$R$48</f>
        <v>4.0894430779366875</v>
      </c>
      <c r="S9" s="30">
        <f>SUM($R$9:$R$9)</f>
        <v>4.0894430779366875</v>
      </c>
      <c r="T9" s="30">
        <f>'TE BE'!$T$9*'TE BF'!$T$48</f>
        <v>1.3070916074228662</v>
      </c>
      <c r="U9" s="30">
        <f>'TE BE'!$U$9*'TE BF'!$U$48</f>
        <v>0.2238790420136296</v>
      </c>
      <c r="V9" s="30">
        <f>'TE BE'!$V$9*'TE BF'!$V$48</f>
        <v>0</v>
      </c>
      <c r="W9" s="30">
        <f>SUM($T$9:$V$9)</f>
        <v>1.5309706494364959</v>
      </c>
      <c r="X9" s="30">
        <f>'TE BE'!$AB$9*'TE BF'!$X$48</f>
        <v>0</v>
      </c>
      <c r="Y9" s="30">
        <f>SUM($X$9:$X$9)</f>
        <v>0</v>
      </c>
      <c r="Z9" s="30">
        <f>'TE BE'!$Z$9*'TE BF'!$Z$48</f>
        <v>0.13345409894594942</v>
      </c>
      <c r="AA9" s="30">
        <f>SUM($Z$9:$Z$9)</f>
        <v>0.13345409894594942</v>
      </c>
      <c r="AB9" s="30">
        <f>SUMIF($L$4:$AA$4,"SUBTOTAL",$L$9:$AA$9)</f>
        <v>16.214698330261857</v>
      </c>
    </row>
    <row r="10" spans="1:28" ht="11.25" customHeight="1" x14ac:dyDescent="0.25">
      <c r="A10" s="130"/>
      <c r="B10" s="130" t="s">
        <v>92</v>
      </c>
      <c r="C10" s="130" t="s">
        <v>24</v>
      </c>
      <c r="D10" s="38" t="s">
        <v>24</v>
      </c>
      <c r="E10" s="38" t="s">
        <v>25</v>
      </c>
      <c r="F10" s="38" t="s">
        <v>25</v>
      </c>
      <c r="G10" s="32" t="s">
        <v>86</v>
      </c>
      <c r="H10" s="32" t="s">
        <v>80</v>
      </c>
      <c r="I10" s="32">
        <f>'MERCADO TE'!$U$7</f>
        <v>125132.74900000001</v>
      </c>
      <c r="J10" s="17"/>
      <c r="L10" s="30">
        <f>'TE BE'!$L$10*'TE BF'!$L$48</f>
        <v>0</v>
      </c>
      <c r="M10" s="30">
        <f>'TE BE'!$M$10*'TE BF'!$M$48</f>
        <v>9.7329561648980523</v>
      </c>
      <c r="N10" s="30">
        <f>'TE BE'!$N$10*'TE BF'!$N$48</f>
        <v>0</v>
      </c>
      <c r="O10" s="30">
        <f>'TE BE'!$O$10*'TE BF'!$O$48</f>
        <v>0.7278743390446708</v>
      </c>
      <c r="P10" s="30">
        <f>'TE BE'!$P$10*'TE BF'!$P$48</f>
        <v>0</v>
      </c>
      <c r="Q10" s="30">
        <f>SUM($L$10:$P$10)</f>
        <v>10.460830503942724</v>
      </c>
      <c r="R10" s="30">
        <f>'TE BE'!$R$10*'TE BF'!$R$48</f>
        <v>4.3348096626128898</v>
      </c>
      <c r="S10" s="30">
        <f>SUM($R$10:$R$10)</f>
        <v>4.3348096626128898</v>
      </c>
      <c r="T10" s="30">
        <f>'TE BE'!$T$10*'TE BF'!$T$48</f>
        <v>1.3070916074228662</v>
      </c>
      <c r="U10" s="30">
        <f>'TE BE'!$U$10*'TE BF'!$U$48</f>
        <v>0.2238790420136296</v>
      </c>
      <c r="V10" s="30">
        <f>'TE BE'!$V$10*'TE BF'!$V$48</f>
        <v>0</v>
      </c>
      <c r="W10" s="30">
        <f>SUM($T$10:$V$10)</f>
        <v>1.5309706494364959</v>
      </c>
      <c r="X10" s="30">
        <f>'TE BE'!$AB$10*'TE BF'!$X$48</f>
        <v>0</v>
      </c>
      <c r="Y10" s="30">
        <f>SUM($X$10:$X$10)</f>
        <v>0</v>
      </c>
      <c r="Z10" s="30">
        <f>'TE BE'!$Z$10*'TE BF'!$Z$48</f>
        <v>0.13345409894594942</v>
      </c>
      <c r="AA10" s="30">
        <f>SUM($Z$10:$Z$10)</f>
        <v>0.13345409894594942</v>
      </c>
      <c r="AB10" s="30">
        <f>SUMIF($L$4:$AA$4,"SUBTOTAL",$L$10:$AA$10)</f>
        <v>16.460064914938062</v>
      </c>
    </row>
    <row r="11" spans="1:28" ht="11.25" customHeight="1" x14ac:dyDescent="0.25">
      <c r="A11" s="130"/>
      <c r="B11" s="130"/>
      <c r="C11" s="130"/>
      <c r="D11" s="38" t="s">
        <v>29</v>
      </c>
      <c r="E11" s="38" t="s">
        <v>25</v>
      </c>
      <c r="F11" s="38" t="s">
        <v>25</v>
      </c>
      <c r="G11" s="32" t="s">
        <v>86</v>
      </c>
      <c r="H11" s="32" t="s">
        <v>80</v>
      </c>
      <c r="I11" s="32">
        <f>'MERCADO TE'!$U$8</f>
        <v>4179.51</v>
      </c>
      <c r="J11" s="17"/>
      <c r="L11" s="30">
        <f>'TE BE'!$L$11*'TE BF'!$L$48</f>
        <v>0</v>
      </c>
      <c r="M11" s="30">
        <f>'TE BE'!$M$11*'TE BF'!$M$48</f>
        <v>9.7329561648980523</v>
      </c>
      <c r="N11" s="30">
        <f>'TE BE'!$N$11*'TE BF'!$N$48</f>
        <v>0</v>
      </c>
      <c r="O11" s="30">
        <f>'TE BE'!$O$11*'TE BF'!$O$48</f>
        <v>0.7278743390446708</v>
      </c>
      <c r="P11" s="30">
        <f>'TE BE'!$P$11*'TE BF'!$P$48</f>
        <v>0</v>
      </c>
      <c r="Q11" s="30">
        <f>SUM($L$11:$P$11)</f>
        <v>10.460830503942724</v>
      </c>
      <c r="R11" s="30">
        <f>'TE BE'!$R$11*'TE BF'!$R$48</f>
        <v>4.3348096626128898</v>
      </c>
      <c r="S11" s="30">
        <f>SUM($R$11:$R$11)</f>
        <v>4.3348096626128898</v>
      </c>
      <c r="T11" s="30">
        <f>'TE BE'!$T$11*'TE BF'!$T$48</f>
        <v>1.3070916074228662</v>
      </c>
      <c r="U11" s="30">
        <f>'TE BE'!$U$11*'TE BF'!$U$48</f>
        <v>0.2238790420136296</v>
      </c>
      <c r="V11" s="30">
        <f>'TE BE'!$V$11*'TE BF'!$V$48</f>
        <v>0</v>
      </c>
      <c r="W11" s="30">
        <f>SUM($T$11:$V$11)</f>
        <v>1.5309706494364959</v>
      </c>
      <c r="X11" s="30">
        <f>'TE BE'!$AB$11*'TE BF'!$X$48</f>
        <v>0</v>
      </c>
      <c r="Y11" s="30">
        <f>SUM($X$11:$X$11)</f>
        <v>0</v>
      </c>
      <c r="Z11" s="30">
        <f>'TE BE'!$Z$11*'TE BF'!$Z$48</f>
        <v>0.13345409894594942</v>
      </c>
      <c r="AA11" s="30">
        <f>SUM($Z$11:$Z$11)</f>
        <v>0.13345409894594942</v>
      </c>
      <c r="AB11" s="30">
        <f>SUMIF($L$4:$AA$4,"SUBTOTAL",$L$11:$AA$11)</f>
        <v>16.460064914938062</v>
      </c>
    </row>
    <row r="12" spans="1:28" ht="11.25" customHeight="1" x14ac:dyDescent="0.25">
      <c r="A12" s="130"/>
      <c r="B12" s="130"/>
      <c r="C12" s="130"/>
      <c r="D12" s="38" t="s">
        <v>30</v>
      </c>
      <c r="E12" s="38" t="s">
        <v>25</v>
      </c>
      <c r="F12" s="38" t="s">
        <v>25</v>
      </c>
      <c r="G12" s="32" t="s">
        <v>86</v>
      </c>
      <c r="H12" s="32" t="s">
        <v>80</v>
      </c>
      <c r="I12" s="32">
        <f>'MERCADO TE'!$U$9</f>
        <v>8380.1260000000002</v>
      </c>
      <c r="J12" s="17"/>
      <c r="L12" s="30">
        <f>'TE BE'!$L$12*'TE BF'!$L$48</f>
        <v>0</v>
      </c>
      <c r="M12" s="30">
        <f>'TE BE'!$M$12*'TE BF'!$M$48</f>
        <v>9.7329561648980523</v>
      </c>
      <c r="N12" s="30">
        <f>'TE BE'!$N$12*'TE BF'!$N$48</f>
        <v>0</v>
      </c>
      <c r="O12" s="30">
        <f>'TE BE'!$O$12*'TE BF'!$O$48</f>
        <v>0.7278743390446708</v>
      </c>
      <c r="P12" s="30">
        <f>'TE BE'!$P$12*'TE BF'!$P$48</f>
        <v>0</v>
      </c>
      <c r="Q12" s="30">
        <f>SUM($L$12:$P$12)</f>
        <v>10.460830503942724</v>
      </c>
      <c r="R12" s="30">
        <f>'TE BE'!$R$12*'TE BF'!$R$48</f>
        <v>4.3348096626128898</v>
      </c>
      <c r="S12" s="30">
        <f>SUM($R$12:$R$12)</f>
        <v>4.3348096626128898</v>
      </c>
      <c r="T12" s="30">
        <f>'TE BE'!$T$12*'TE BF'!$T$48</f>
        <v>1.3070916074228662</v>
      </c>
      <c r="U12" s="30">
        <f>'TE BE'!$U$12*'TE BF'!$U$48</f>
        <v>0.2238790420136296</v>
      </c>
      <c r="V12" s="30">
        <f>'TE BE'!$V$12*'TE BF'!$V$48</f>
        <v>0</v>
      </c>
      <c r="W12" s="30">
        <f>SUM($T$12:$V$12)</f>
        <v>1.5309706494364959</v>
      </c>
      <c r="X12" s="30">
        <f>'TE BE'!$AB$12*'TE BF'!$X$48</f>
        <v>0</v>
      </c>
      <c r="Y12" s="30">
        <f>SUM($X$12:$X$12)</f>
        <v>0</v>
      </c>
      <c r="Z12" s="30">
        <f>'TE BE'!$Z$12*'TE BF'!$Z$48</f>
        <v>0.13345409894594942</v>
      </c>
      <c r="AA12" s="30">
        <f>SUM($Z$12:$Z$12)</f>
        <v>0.13345409894594942</v>
      </c>
      <c r="AB12" s="30">
        <f>SUMIF($L$4:$AA$4,"SUBTOTAL",$L$12:$AA$12)</f>
        <v>16.460064914938062</v>
      </c>
    </row>
    <row r="13" spans="1:28" ht="11.25" customHeight="1" x14ac:dyDescent="0.25">
      <c r="A13" s="130"/>
      <c r="B13" s="130"/>
      <c r="C13" s="130"/>
      <c r="D13" s="38" t="s">
        <v>31</v>
      </c>
      <c r="E13" s="38" t="s">
        <v>25</v>
      </c>
      <c r="F13" s="38" t="s">
        <v>25</v>
      </c>
      <c r="G13" s="32" t="s">
        <v>86</v>
      </c>
      <c r="H13" s="32" t="s">
        <v>80</v>
      </c>
      <c r="I13" s="32">
        <f>'MERCADO TE'!$U$10</f>
        <v>6567.2470000000003</v>
      </c>
      <c r="J13" s="17"/>
      <c r="L13" s="30">
        <f>'TE BE'!$L$13*'TE BF'!$L$48</f>
        <v>0</v>
      </c>
      <c r="M13" s="30">
        <f>'TE BE'!$M$13*'TE BF'!$M$48</f>
        <v>9.7329561648980523</v>
      </c>
      <c r="N13" s="30">
        <f>'TE BE'!$N$13*'TE BF'!$N$48</f>
        <v>0</v>
      </c>
      <c r="O13" s="30">
        <f>'TE BE'!$O$13*'TE BF'!$O$48</f>
        <v>0.7278743390446708</v>
      </c>
      <c r="P13" s="30">
        <f>'TE BE'!$P$13*'TE BF'!$P$48</f>
        <v>0</v>
      </c>
      <c r="Q13" s="30">
        <f>SUM($L$13:$P$13)</f>
        <v>10.460830503942724</v>
      </c>
      <c r="R13" s="30">
        <f>'TE BE'!$R$13*'TE BF'!$R$48</f>
        <v>4.3348096626128898</v>
      </c>
      <c r="S13" s="30">
        <f>SUM($R$13:$R$13)</f>
        <v>4.3348096626128898</v>
      </c>
      <c r="T13" s="30">
        <f>'TE BE'!$T$13*'TE BF'!$T$48</f>
        <v>1.3070916074228662</v>
      </c>
      <c r="U13" s="30">
        <f>'TE BE'!$U$13*'TE BF'!$U$48</f>
        <v>0.2238790420136296</v>
      </c>
      <c r="V13" s="30">
        <f>'TE BE'!$V$13*'TE BF'!$V$48</f>
        <v>0</v>
      </c>
      <c r="W13" s="30">
        <f>SUM($T$13:$V$13)</f>
        <v>1.5309706494364959</v>
      </c>
      <c r="X13" s="30">
        <f>'TE BE'!$AB$13*'TE BF'!$X$48</f>
        <v>0</v>
      </c>
      <c r="Y13" s="30">
        <f>SUM($X$13:$X$13)</f>
        <v>0</v>
      </c>
      <c r="Z13" s="30">
        <f>'TE BE'!$Z$13*'TE BF'!$Z$48</f>
        <v>0.13345409894594942</v>
      </c>
      <c r="AA13" s="30">
        <f>SUM($Z$13:$Z$13)</f>
        <v>0.13345409894594942</v>
      </c>
      <c r="AB13" s="30">
        <f>SUMIF($L$4:$AA$4,"SUBTOTAL",$L$13:$AA$13)</f>
        <v>16.460064914938062</v>
      </c>
    </row>
    <row r="14" spans="1:28" ht="11.25" customHeight="1" x14ac:dyDescent="0.25">
      <c r="A14" s="130"/>
      <c r="B14" s="130"/>
      <c r="C14" s="130"/>
      <c r="D14" s="38" t="s">
        <v>32</v>
      </c>
      <c r="E14" s="38" t="s">
        <v>25</v>
      </c>
      <c r="F14" s="38" t="s">
        <v>25</v>
      </c>
      <c r="G14" s="32" t="s">
        <v>86</v>
      </c>
      <c r="H14" s="32" t="s">
        <v>80</v>
      </c>
      <c r="I14" s="32">
        <f>'MERCADO TE'!$U$11</f>
        <v>1878.684</v>
      </c>
      <c r="J14" s="17"/>
      <c r="L14" s="30">
        <f>'TE BE'!$L$14*'TE BF'!$L$48</f>
        <v>0</v>
      </c>
      <c r="M14" s="30">
        <f>'TE BE'!$M$14*'TE BF'!$M$48</f>
        <v>9.7329561648980523</v>
      </c>
      <c r="N14" s="30">
        <f>'TE BE'!$N$14*'TE BF'!$N$48</f>
        <v>0</v>
      </c>
      <c r="O14" s="30">
        <f>'TE BE'!$O$14*'TE BF'!$O$48</f>
        <v>0.7278743390446708</v>
      </c>
      <c r="P14" s="30">
        <f>'TE BE'!$P$14*'TE BF'!$P$48</f>
        <v>0</v>
      </c>
      <c r="Q14" s="30">
        <f>SUM($L$14:$P$14)</f>
        <v>10.460830503942724</v>
      </c>
      <c r="R14" s="30">
        <f>'TE BE'!$R$14*'TE BF'!$R$48</f>
        <v>4.3348096626128898</v>
      </c>
      <c r="S14" s="30">
        <f>SUM($R$14:$R$14)</f>
        <v>4.3348096626128898</v>
      </c>
      <c r="T14" s="30">
        <f>'TE BE'!$T$14*'TE BF'!$T$48</f>
        <v>1.3070916074228662</v>
      </c>
      <c r="U14" s="30">
        <f>'TE BE'!$U$14*'TE BF'!$U$48</f>
        <v>0.2238790420136296</v>
      </c>
      <c r="V14" s="30">
        <f>'TE BE'!$V$14*'TE BF'!$V$48</f>
        <v>0</v>
      </c>
      <c r="W14" s="30">
        <f>SUM($T$14:$V$14)</f>
        <v>1.5309706494364959</v>
      </c>
      <c r="X14" s="30">
        <f>'TE BE'!$AB$14*'TE BF'!$X$48</f>
        <v>0</v>
      </c>
      <c r="Y14" s="30">
        <f>SUM($X$14:$X$14)</f>
        <v>0</v>
      </c>
      <c r="Z14" s="30">
        <f>'TE BE'!$Z$14*'TE BF'!$Z$48</f>
        <v>0.13345409894594942</v>
      </c>
      <c r="AA14" s="30">
        <f>SUM($Z$14:$Z$14)</f>
        <v>0.13345409894594942</v>
      </c>
      <c r="AB14" s="30">
        <f>SUMIF($L$4:$AA$4,"SUBTOTAL",$L$14:$AA$14)</f>
        <v>16.460064914938062</v>
      </c>
    </row>
    <row r="15" spans="1:28" ht="11.25" customHeight="1" x14ac:dyDescent="0.25">
      <c r="A15" s="130"/>
      <c r="B15" s="130" t="s">
        <v>93</v>
      </c>
      <c r="C15" s="130" t="s">
        <v>24</v>
      </c>
      <c r="D15" s="38" t="s">
        <v>24</v>
      </c>
      <c r="E15" s="38" t="s">
        <v>25</v>
      </c>
      <c r="F15" s="38" t="s">
        <v>25</v>
      </c>
      <c r="G15" s="32" t="s">
        <v>86</v>
      </c>
      <c r="H15" s="32" t="s">
        <v>80</v>
      </c>
      <c r="I15" s="32">
        <f>'MERCADO TE'!$U$12</f>
        <v>0</v>
      </c>
      <c r="J15" s="17"/>
      <c r="L15" s="30">
        <f>'TE BE'!$L$15*'TE BF'!$L$48</f>
        <v>0</v>
      </c>
      <c r="M15" s="30">
        <f>'TE BE'!$M$15*'TE BF'!$M$48</f>
        <v>9.7329561648980523</v>
      </c>
      <c r="N15" s="30">
        <f>'TE BE'!$N$15*'TE BF'!$N$48</f>
        <v>0</v>
      </c>
      <c r="O15" s="30">
        <f>'TE BE'!$O$15*'TE BF'!$O$48</f>
        <v>0.7278743390446708</v>
      </c>
      <c r="P15" s="30">
        <f>'TE BE'!$P$15*'TE BF'!$P$48</f>
        <v>0</v>
      </c>
      <c r="Q15" s="30">
        <f>SUM($L$15:$P$15)</f>
        <v>10.460830503942724</v>
      </c>
      <c r="R15" s="30">
        <f>'TE BE'!$R$15*'TE BF'!$R$48</f>
        <v>4.3348096626128898</v>
      </c>
      <c r="S15" s="30">
        <f>SUM($R$15:$R$15)</f>
        <v>4.3348096626128898</v>
      </c>
      <c r="T15" s="30">
        <f>'TE BE'!$T$15*'TE BF'!$T$48</f>
        <v>1.3070916074228662</v>
      </c>
      <c r="U15" s="30">
        <f>'TE BE'!$U$15*'TE BF'!$U$48</f>
        <v>0.2238790420136296</v>
      </c>
      <c r="V15" s="30">
        <f>'TE BE'!$V$15*'TE BF'!$V$48</f>
        <v>0</v>
      </c>
      <c r="W15" s="30">
        <f>SUM($T$15:$V$15)</f>
        <v>1.5309706494364959</v>
      </c>
      <c r="X15" s="30">
        <f>'TE BE'!$AB$15*'TE BF'!$X$48</f>
        <v>0</v>
      </c>
      <c r="Y15" s="30">
        <f>SUM($X$15:$X$15)</f>
        <v>0</v>
      </c>
      <c r="Z15" s="30">
        <f>'TE BE'!$Z$15*'TE BF'!$Z$48</f>
        <v>0.13345409894594942</v>
      </c>
      <c r="AA15" s="30">
        <f>SUM($Z$15:$Z$15)</f>
        <v>0.13345409894594942</v>
      </c>
      <c r="AB15" s="30">
        <f>SUMIF($L$4:$AA$4,"SUBTOTAL",$L$15:$AA$15)</f>
        <v>16.460064914938062</v>
      </c>
    </row>
    <row r="16" spans="1:28" ht="11.25" customHeight="1" x14ac:dyDescent="0.25">
      <c r="A16" s="130"/>
      <c r="B16" s="130"/>
      <c r="C16" s="130"/>
      <c r="D16" s="38" t="s">
        <v>29</v>
      </c>
      <c r="E16" s="38" t="s">
        <v>25</v>
      </c>
      <c r="F16" s="38" t="s">
        <v>25</v>
      </c>
      <c r="G16" s="32" t="s">
        <v>86</v>
      </c>
      <c r="H16" s="32" t="s">
        <v>80</v>
      </c>
      <c r="I16" s="32">
        <f>'MERCADO TE'!$U$13</f>
        <v>0</v>
      </c>
      <c r="J16" s="17"/>
      <c r="L16" s="30">
        <f>'TE BE'!$L$16*'TE BF'!$L$48</f>
        <v>0</v>
      </c>
      <c r="M16" s="30">
        <f>'TE BE'!$M$16*'TE BF'!$M$48</f>
        <v>9.7329561648980523</v>
      </c>
      <c r="N16" s="30">
        <f>'TE BE'!$N$16*'TE BF'!$N$48</f>
        <v>0</v>
      </c>
      <c r="O16" s="30">
        <f>'TE BE'!$O$16*'TE BF'!$O$48</f>
        <v>0.7278743390446708</v>
      </c>
      <c r="P16" s="30">
        <f>'TE BE'!$P$16*'TE BF'!$P$48</f>
        <v>0</v>
      </c>
      <c r="Q16" s="30">
        <f>SUM($L$16:$P$16)</f>
        <v>10.460830503942724</v>
      </c>
      <c r="R16" s="30">
        <f>'TE BE'!$R$16*'TE BF'!$R$48</f>
        <v>4.3348096626128898</v>
      </c>
      <c r="S16" s="30">
        <f>SUM($R$16:$R$16)</f>
        <v>4.3348096626128898</v>
      </c>
      <c r="T16" s="30">
        <f>'TE BE'!$T$16*'TE BF'!$T$48</f>
        <v>1.3070916074228662</v>
      </c>
      <c r="U16" s="30">
        <f>'TE BE'!$U$16*'TE BF'!$U$48</f>
        <v>0.2238790420136296</v>
      </c>
      <c r="V16" s="30">
        <f>'TE BE'!$V$16*'TE BF'!$V$48</f>
        <v>0</v>
      </c>
      <c r="W16" s="30">
        <f>SUM($T$16:$V$16)</f>
        <v>1.5309706494364959</v>
      </c>
      <c r="X16" s="30">
        <f>'TE BE'!$AB$16*'TE BF'!$X$48</f>
        <v>0</v>
      </c>
      <c r="Y16" s="30">
        <f>SUM($X$16:$X$16)</f>
        <v>0</v>
      </c>
      <c r="Z16" s="30">
        <f>'TE BE'!$Z$16*'TE BF'!$Z$48</f>
        <v>0.13345409894594942</v>
      </c>
      <c r="AA16" s="30">
        <f>SUM($Z$16:$Z$16)</f>
        <v>0.13345409894594942</v>
      </c>
      <c r="AB16" s="30">
        <f>SUMIF($L$4:$AA$4,"SUBTOTAL",$L$16:$AA$16)</f>
        <v>16.460064914938062</v>
      </c>
    </row>
    <row r="17" spans="1:28" ht="11.25" customHeight="1" x14ac:dyDescent="0.25">
      <c r="A17" s="130"/>
      <c r="B17" s="130"/>
      <c r="C17" s="130"/>
      <c r="D17" s="38" t="s">
        <v>30</v>
      </c>
      <c r="E17" s="38" t="s">
        <v>25</v>
      </c>
      <c r="F17" s="38" t="s">
        <v>25</v>
      </c>
      <c r="G17" s="32" t="s">
        <v>86</v>
      </c>
      <c r="H17" s="32" t="s">
        <v>80</v>
      </c>
      <c r="I17" s="32">
        <f>'MERCADO TE'!$U$14</f>
        <v>0</v>
      </c>
      <c r="J17" s="17"/>
      <c r="L17" s="30">
        <f>'TE BE'!$L$17*'TE BF'!$L$48</f>
        <v>0</v>
      </c>
      <c r="M17" s="30">
        <f>'TE BE'!$M$17*'TE BF'!$M$48</f>
        <v>9.7329561648980523</v>
      </c>
      <c r="N17" s="30">
        <f>'TE BE'!$N$17*'TE BF'!$N$48</f>
        <v>0</v>
      </c>
      <c r="O17" s="30">
        <f>'TE BE'!$O$17*'TE BF'!$O$48</f>
        <v>0.7278743390446708</v>
      </c>
      <c r="P17" s="30">
        <f>'TE BE'!$P$17*'TE BF'!$P$48</f>
        <v>0</v>
      </c>
      <c r="Q17" s="30">
        <f>SUM($L$17:$P$17)</f>
        <v>10.460830503942724</v>
      </c>
      <c r="R17" s="30">
        <f>'TE BE'!$R$17*'TE BF'!$R$48</f>
        <v>4.3348096626128898</v>
      </c>
      <c r="S17" s="30">
        <f>SUM($R$17:$R$17)</f>
        <v>4.3348096626128898</v>
      </c>
      <c r="T17" s="30">
        <f>'TE BE'!$T$17*'TE BF'!$T$48</f>
        <v>1.3070916074228662</v>
      </c>
      <c r="U17" s="30">
        <f>'TE BE'!$U$17*'TE BF'!$U$48</f>
        <v>0.2238790420136296</v>
      </c>
      <c r="V17" s="30">
        <f>'TE BE'!$V$17*'TE BF'!$V$48</f>
        <v>0</v>
      </c>
      <c r="W17" s="30">
        <f>SUM($T$17:$V$17)</f>
        <v>1.5309706494364959</v>
      </c>
      <c r="X17" s="30">
        <f>'TE BE'!$AB$17*'TE BF'!$X$48</f>
        <v>0</v>
      </c>
      <c r="Y17" s="30">
        <f>SUM($X$17:$X$17)</f>
        <v>0</v>
      </c>
      <c r="Z17" s="30">
        <f>'TE BE'!$Z$17*'TE BF'!$Z$48</f>
        <v>0.13345409894594942</v>
      </c>
      <c r="AA17" s="30">
        <f>SUM($Z$17:$Z$17)</f>
        <v>0.13345409894594942</v>
      </c>
      <c r="AB17" s="30">
        <f>SUMIF($L$4:$AA$4,"SUBTOTAL",$L$17:$AA$17)</f>
        <v>16.460064914938062</v>
      </c>
    </row>
    <row r="18" spans="1:28" ht="11.25" customHeight="1" x14ac:dyDescent="0.25">
      <c r="A18" s="130"/>
      <c r="B18" s="130"/>
      <c r="C18" s="130"/>
      <c r="D18" s="38" t="s">
        <v>31</v>
      </c>
      <c r="E18" s="38" t="s">
        <v>25</v>
      </c>
      <c r="F18" s="38" t="s">
        <v>25</v>
      </c>
      <c r="G18" s="32" t="s">
        <v>86</v>
      </c>
      <c r="H18" s="32" t="s">
        <v>80</v>
      </c>
      <c r="I18" s="32">
        <f>'MERCADO TE'!$U$15</f>
        <v>0</v>
      </c>
      <c r="J18" s="17"/>
      <c r="L18" s="30">
        <f>'TE BE'!$L$18*'TE BF'!$L$48</f>
        <v>0</v>
      </c>
      <c r="M18" s="30">
        <f>'TE BE'!$M$18*'TE BF'!$M$48</f>
        <v>9.7329561648980523</v>
      </c>
      <c r="N18" s="30">
        <f>'TE BE'!$N$18*'TE BF'!$N$48</f>
        <v>0</v>
      </c>
      <c r="O18" s="30">
        <f>'TE BE'!$O$18*'TE BF'!$O$48</f>
        <v>0.7278743390446708</v>
      </c>
      <c r="P18" s="30">
        <f>'TE BE'!$P$18*'TE BF'!$P$48</f>
        <v>0</v>
      </c>
      <c r="Q18" s="30">
        <f>SUM($L$18:$P$18)</f>
        <v>10.460830503942724</v>
      </c>
      <c r="R18" s="30">
        <f>'TE BE'!$R$18*'TE BF'!$R$48</f>
        <v>4.3348096626128898</v>
      </c>
      <c r="S18" s="30">
        <f>SUM($R$18:$R$18)</f>
        <v>4.3348096626128898</v>
      </c>
      <c r="T18" s="30">
        <f>'TE BE'!$T$18*'TE BF'!$T$48</f>
        <v>1.3070916074228662</v>
      </c>
      <c r="U18" s="30">
        <f>'TE BE'!$U$18*'TE BF'!$U$48</f>
        <v>0.2238790420136296</v>
      </c>
      <c r="V18" s="30">
        <f>'TE BE'!$V$18*'TE BF'!$V$48</f>
        <v>0</v>
      </c>
      <c r="W18" s="30">
        <f>SUM($T$18:$V$18)</f>
        <v>1.5309706494364959</v>
      </c>
      <c r="X18" s="30">
        <f>'TE BE'!$AB$18*'TE BF'!$X$48</f>
        <v>0</v>
      </c>
      <c r="Y18" s="30">
        <f>SUM($X$18:$X$18)</f>
        <v>0</v>
      </c>
      <c r="Z18" s="30">
        <f>'TE BE'!$Z$18*'TE BF'!$Z$48</f>
        <v>0.13345409894594942</v>
      </c>
      <c r="AA18" s="30">
        <f>SUM($Z$18:$Z$18)</f>
        <v>0.13345409894594942</v>
      </c>
      <c r="AB18" s="30">
        <f>SUMIF($L$4:$AA$4,"SUBTOTAL",$L$18:$AA$18)</f>
        <v>16.460064914938062</v>
      </c>
    </row>
    <row r="19" spans="1:28" ht="11.25" customHeight="1" x14ac:dyDescent="0.25">
      <c r="A19" s="130"/>
      <c r="B19" s="130"/>
      <c r="C19" s="130"/>
      <c r="D19" s="38" t="s">
        <v>32</v>
      </c>
      <c r="E19" s="38" t="s">
        <v>25</v>
      </c>
      <c r="F19" s="38" t="s">
        <v>25</v>
      </c>
      <c r="G19" s="32" t="s">
        <v>86</v>
      </c>
      <c r="H19" s="32" t="s">
        <v>80</v>
      </c>
      <c r="I19" s="32">
        <f>'MERCADO TE'!$U$16</f>
        <v>0</v>
      </c>
      <c r="J19" s="17"/>
      <c r="L19" s="30">
        <f>'TE BE'!$L$19*'TE BF'!$L$48</f>
        <v>0</v>
      </c>
      <c r="M19" s="30">
        <f>'TE BE'!$M$19*'TE BF'!$M$48</f>
        <v>9.7329561648980523</v>
      </c>
      <c r="N19" s="30">
        <f>'TE BE'!$N$19*'TE BF'!$N$48</f>
        <v>0</v>
      </c>
      <c r="O19" s="30">
        <f>'TE BE'!$O$19*'TE BF'!$O$48</f>
        <v>0.7278743390446708</v>
      </c>
      <c r="P19" s="30">
        <f>'TE BE'!$P$19*'TE BF'!$P$48</f>
        <v>0</v>
      </c>
      <c r="Q19" s="30">
        <f>SUM($L$19:$P$19)</f>
        <v>10.460830503942724</v>
      </c>
      <c r="R19" s="30">
        <f>'TE BE'!$R$19*'TE BF'!$R$48</f>
        <v>4.3348096626128898</v>
      </c>
      <c r="S19" s="30">
        <f>SUM($R$19:$R$19)</f>
        <v>4.3348096626128898</v>
      </c>
      <c r="T19" s="30">
        <f>'TE BE'!$T$19*'TE BF'!$T$48</f>
        <v>1.3070916074228662</v>
      </c>
      <c r="U19" s="30">
        <f>'TE BE'!$U$19*'TE BF'!$U$48</f>
        <v>0.2238790420136296</v>
      </c>
      <c r="V19" s="30">
        <f>'TE BE'!$V$19*'TE BF'!$V$48</f>
        <v>0</v>
      </c>
      <c r="W19" s="30">
        <f>SUM($T$19:$V$19)</f>
        <v>1.5309706494364959</v>
      </c>
      <c r="X19" s="30">
        <f>'TE BE'!$AB$19*'TE BF'!$X$48</f>
        <v>0</v>
      </c>
      <c r="Y19" s="30">
        <f>SUM($X$19:$X$19)</f>
        <v>0</v>
      </c>
      <c r="Z19" s="30">
        <f>'TE BE'!$Z$19*'TE BF'!$Z$48</f>
        <v>0.13345409894594942</v>
      </c>
      <c r="AA19" s="30">
        <f>SUM($Z$19:$Z$19)</f>
        <v>0.13345409894594942</v>
      </c>
      <c r="AB19" s="30">
        <f>SUMIF($L$4:$AA$4,"SUBTOTAL",$L$19:$AA$19)</f>
        <v>16.460064914938062</v>
      </c>
    </row>
    <row r="20" spans="1:28" ht="11.25" customHeight="1" x14ac:dyDescent="0.25">
      <c r="A20" s="130" t="s">
        <v>43</v>
      </c>
      <c r="B20" s="130" t="s">
        <v>79</v>
      </c>
      <c r="C20" s="130" t="s">
        <v>44</v>
      </c>
      <c r="D20" s="130" t="s">
        <v>25</v>
      </c>
      <c r="E20" s="130" t="s">
        <v>25</v>
      </c>
      <c r="F20" s="130" t="s">
        <v>25</v>
      </c>
      <c r="G20" s="32" t="s">
        <v>81</v>
      </c>
      <c r="H20" s="32" t="s">
        <v>80</v>
      </c>
      <c r="I20" s="32">
        <f>'MERCADO TE'!$U$17</f>
        <v>0.27200000000000002</v>
      </c>
      <c r="J20" s="17"/>
      <c r="L20" s="30">
        <f>'TE BE'!$L$20*'TE BF'!$L$48</f>
        <v>0</v>
      </c>
      <c r="M20" s="30">
        <f>'TE BE'!$M$20*'TE BF'!$M$48</f>
        <v>9.7329561648980523</v>
      </c>
      <c r="N20" s="30">
        <f>'TE BE'!$N$20*'TE BF'!$N$48</f>
        <v>0</v>
      </c>
      <c r="O20" s="30">
        <f>'TE BE'!$O$20*'TE BF'!$O$48</f>
        <v>0.7278743390446708</v>
      </c>
      <c r="P20" s="30">
        <f>'TE BE'!$P$20*'TE BF'!$P$48</f>
        <v>0</v>
      </c>
      <c r="Q20" s="30">
        <f>SUM($L$20:$P$20)</f>
        <v>10.460830503942724</v>
      </c>
      <c r="R20" s="30">
        <f>'TE BE'!$R$20*'TE BF'!$R$48</f>
        <v>7.0338420940511028</v>
      </c>
      <c r="S20" s="30">
        <f>SUM($R$20:$R$20)</f>
        <v>7.0338420940511028</v>
      </c>
      <c r="T20" s="30">
        <f>'TE BE'!$T$20*'TE BF'!$T$48</f>
        <v>1.3070916074228662</v>
      </c>
      <c r="U20" s="30">
        <f>'TE BE'!$U$20*'TE BF'!$U$48</f>
        <v>0.2238790420136296</v>
      </c>
      <c r="V20" s="30">
        <f>'TE BE'!$V$20*'TE BF'!$V$48</f>
        <v>0</v>
      </c>
      <c r="W20" s="30">
        <f>SUM($T$20:$V$20)</f>
        <v>1.5309706494364959</v>
      </c>
      <c r="X20" s="30">
        <f>'TE BE'!$AB$20*'TE BF'!$X$48</f>
        <v>0</v>
      </c>
      <c r="Y20" s="30">
        <f>SUM($X$20:$X$20)</f>
        <v>0</v>
      </c>
      <c r="Z20" s="30">
        <f>'TE BE'!$Z$20*'TE BF'!$Z$48</f>
        <v>0.13345409894594942</v>
      </c>
      <c r="AA20" s="30">
        <f>SUM($Z$20:$Z$20)</f>
        <v>0.13345409894594942</v>
      </c>
      <c r="AB20" s="30">
        <f>SUMIF($L$4:$AA$4,"SUBTOTAL",$L$20:$AA$20)</f>
        <v>19.159097346376274</v>
      </c>
    </row>
    <row r="21" spans="1:28" ht="11.25" customHeight="1" x14ac:dyDescent="0.25">
      <c r="A21" s="130"/>
      <c r="B21" s="130"/>
      <c r="C21" s="130"/>
      <c r="D21" s="130"/>
      <c r="E21" s="130"/>
      <c r="F21" s="130"/>
      <c r="G21" s="32" t="s">
        <v>91</v>
      </c>
      <c r="H21" s="32" t="s">
        <v>80</v>
      </c>
      <c r="I21" s="32">
        <f>'MERCADO TE'!$U$18</f>
        <v>0.20100000000000001</v>
      </c>
      <c r="J21" s="17"/>
      <c r="L21" s="30">
        <f>'TE BE'!$L$21*'TE BF'!$L$48</f>
        <v>0</v>
      </c>
      <c r="M21" s="30">
        <f>'TE BE'!$M$21*'TE BF'!$M$48</f>
        <v>9.7329561648980523</v>
      </c>
      <c r="N21" s="30">
        <f>'TE BE'!$N$21*'TE BF'!$N$48</f>
        <v>0</v>
      </c>
      <c r="O21" s="30">
        <f>'TE BE'!$O$21*'TE BF'!$O$48</f>
        <v>0.7278743390446708</v>
      </c>
      <c r="P21" s="30">
        <f>'TE BE'!$P$21*'TE BF'!$P$48</f>
        <v>0</v>
      </c>
      <c r="Q21" s="30">
        <f>SUM($L$21:$P$21)</f>
        <v>10.460830503942724</v>
      </c>
      <c r="R21" s="30">
        <f>'TE BE'!$R$21*'TE BF'!$R$48</f>
        <v>4.0894430779366875</v>
      </c>
      <c r="S21" s="30">
        <f>SUM($R$21:$R$21)</f>
        <v>4.0894430779366875</v>
      </c>
      <c r="T21" s="30">
        <f>'TE BE'!$T$21*'TE BF'!$T$48</f>
        <v>1.3070916074228662</v>
      </c>
      <c r="U21" s="30">
        <f>'TE BE'!$U$21*'TE BF'!$U$48</f>
        <v>0.2238790420136296</v>
      </c>
      <c r="V21" s="30">
        <f>'TE BE'!$V$21*'TE BF'!$V$48</f>
        <v>0</v>
      </c>
      <c r="W21" s="30">
        <f>SUM($T$21:$V$21)</f>
        <v>1.5309706494364959</v>
      </c>
      <c r="X21" s="30">
        <f>'TE BE'!$AB$21*'TE BF'!$X$48</f>
        <v>0</v>
      </c>
      <c r="Y21" s="30">
        <f>SUM($X$21:$X$21)</f>
        <v>0</v>
      </c>
      <c r="Z21" s="30">
        <f>'TE BE'!$Z$21*'TE BF'!$Z$48</f>
        <v>0.13345409894594942</v>
      </c>
      <c r="AA21" s="30">
        <f>SUM($Z$21:$Z$21)</f>
        <v>0.13345409894594942</v>
      </c>
      <c r="AB21" s="30">
        <f>SUMIF($L$4:$AA$4,"SUBTOTAL",$L$21:$AA$21)</f>
        <v>16.214698330261857</v>
      </c>
    </row>
    <row r="22" spans="1:28" ht="11.25" customHeight="1" x14ac:dyDescent="0.25">
      <c r="A22" s="130"/>
      <c r="B22" s="130"/>
      <c r="C22" s="130"/>
      <c r="D22" s="130"/>
      <c r="E22" s="130"/>
      <c r="F22" s="130"/>
      <c r="G22" s="32" t="s">
        <v>82</v>
      </c>
      <c r="H22" s="32" t="s">
        <v>80</v>
      </c>
      <c r="I22" s="32">
        <f>'MERCADO TE'!$U$19</f>
        <v>5.4039999999999999</v>
      </c>
      <c r="J22" s="17"/>
      <c r="L22" s="30">
        <f>'TE BE'!$L$22*'TE BF'!$L$48</f>
        <v>0</v>
      </c>
      <c r="M22" s="30">
        <f>'TE BE'!$M$22*'TE BF'!$M$48</f>
        <v>9.7329561648980523</v>
      </c>
      <c r="N22" s="30">
        <f>'TE BE'!$N$22*'TE BF'!$N$48</f>
        <v>0</v>
      </c>
      <c r="O22" s="30">
        <f>'TE BE'!$O$22*'TE BF'!$O$48</f>
        <v>0.7278743390446708</v>
      </c>
      <c r="P22" s="30">
        <f>'TE BE'!$P$22*'TE BF'!$P$48</f>
        <v>0</v>
      </c>
      <c r="Q22" s="30">
        <f>SUM($L$22:$P$22)</f>
        <v>10.460830503942724</v>
      </c>
      <c r="R22" s="30">
        <f>'TE BE'!$R$22*'TE BF'!$R$48</f>
        <v>4.0894430779366875</v>
      </c>
      <c r="S22" s="30">
        <f>SUM($R$22:$R$22)</f>
        <v>4.0894430779366875</v>
      </c>
      <c r="T22" s="30">
        <f>'TE BE'!$T$22*'TE BF'!$T$48</f>
        <v>1.3070916074228662</v>
      </c>
      <c r="U22" s="30">
        <f>'TE BE'!$U$22*'TE BF'!$U$48</f>
        <v>0.2238790420136296</v>
      </c>
      <c r="V22" s="30">
        <f>'TE BE'!$V$22*'TE BF'!$V$48</f>
        <v>0</v>
      </c>
      <c r="W22" s="30">
        <f>SUM($T$22:$V$22)</f>
        <v>1.5309706494364959</v>
      </c>
      <c r="X22" s="30">
        <f>'TE BE'!$AB$22*'TE BF'!$X$48</f>
        <v>0</v>
      </c>
      <c r="Y22" s="30">
        <f>SUM($X$22:$X$22)</f>
        <v>0</v>
      </c>
      <c r="Z22" s="30">
        <f>'TE BE'!$Z$22*'TE BF'!$Z$48</f>
        <v>0.13345409894594942</v>
      </c>
      <c r="AA22" s="30">
        <f>SUM($Z$22:$Z$22)</f>
        <v>0.13345409894594942</v>
      </c>
      <c r="AB22" s="30">
        <f>SUMIF($L$4:$AA$4,"SUBTOTAL",$L$22:$AA$22)</f>
        <v>16.214698330261857</v>
      </c>
    </row>
    <row r="23" spans="1:28" ht="11.25" customHeight="1" x14ac:dyDescent="0.25">
      <c r="A23" s="130"/>
      <c r="B23" s="38" t="s">
        <v>92</v>
      </c>
      <c r="C23" s="38" t="s">
        <v>44</v>
      </c>
      <c r="D23" s="38" t="s">
        <v>25</v>
      </c>
      <c r="E23" s="38" t="s">
        <v>25</v>
      </c>
      <c r="F23" s="38" t="s">
        <v>25</v>
      </c>
      <c r="G23" s="32" t="s">
        <v>86</v>
      </c>
      <c r="H23" s="32" t="s">
        <v>80</v>
      </c>
      <c r="I23" s="32">
        <f>'MERCADO TE'!$U$20</f>
        <v>183438.26899999997</v>
      </c>
      <c r="J23" s="17"/>
      <c r="L23" s="30">
        <f>'TE BE'!$L$23*'TE BF'!$L$48</f>
        <v>0</v>
      </c>
      <c r="M23" s="30">
        <f>'TE BE'!$M$23*'TE BF'!$M$48</f>
        <v>9.7329561648980523</v>
      </c>
      <c r="N23" s="30">
        <f>'TE BE'!$N$23*'TE BF'!$N$48</f>
        <v>0</v>
      </c>
      <c r="O23" s="30">
        <f>'TE BE'!$O$23*'TE BF'!$O$48</f>
        <v>0.7278743390446708</v>
      </c>
      <c r="P23" s="30">
        <f>'TE BE'!$P$23*'TE BF'!$P$48</f>
        <v>0</v>
      </c>
      <c r="Q23" s="30">
        <f>SUM($L$23:$P$23)</f>
        <v>10.460830503942724</v>
      </c>
      <c r="R23" s="30">
        <f>'TE BE'!$R$23*'TE BF'!$R$48</f>
        <v>4.3348096626128898</v>
      </c>
      <c r="S23" s="30">
        <f>SUM($R$23:$R$23)</f>
        <v>4.3348096626128898</v>
      </c>
      <c r="T23" s="30">
        <f>'TE BE'!$T$23*'TE BF'!$T$48</f>
        <v>1.3070916074228662</v>
      </c>
      <c r="U23" s="30">
        <f>'TE BE'!$U$23*'TE BF'!$U$48</f>
        <v>0.2238790420136296</v>
      </c>
      <c r="V23" s="30">
        <f>'TE BE'!$V$23*'TE BF'!$V$48</f>
        <v>0</v>
      </c>
      <c r="W23" s="30">
        <f>SUM($T$23:$V$23)</f>
        <v>1.5309706494364959</v>
      </c>
      <c r="X23" s="30">
        <f>'TE BE'!$AB$23*'TE BF'!$X$48</f>
        <v>0</v>
      </c>
      <c r="Y23" s="30">
        <f>SUM($X$23:$X$23)</f>
        <v>0</v>
      </c>
      <c r="Z23" s="30">
        <f>'TE BE'!$Z$23*'TE BF'!$Z$48</f>
        <v>0.13345409894594942</v>
      </c>
      <c r="AA23" s="30">
        <f>SUM($Z$23:$Z$23)</f>
        <v>0.13345409894594942</v>
      </c>
      <c r="AB23" s="30">
        <f>SUMIF($L$4:$AA$4,"SUBTOTAL",$L$23:$AA$23)</f>
        <v>16.460064914938062</v>
      </c>
    </row>
    <row r="24" spans="1:28" ht="11.25" customHeight="1" x14ac:dyDescent="0.25">
      <c r="A24" s="130"/>
      <c r="B24" s="130" t="s">
        <v>79</v>
      </c>
      <c r="C24" s="130" t="s">
        <v>44</v>
      </c>
      <c r="D24" s="130" t="s">
        <v>95</v>
      </c>
      <c r="E24" s="130" t="s">
        <v>25</v>
      </c>
      <c r="F24" s="130" t="s">
        <v>25</v>
      </c>
      <c r="G24" s="32" t="s">
        <v>81</v>
      </c>
      <c r="H24" s="32" t="s">
        <v>80</v>
      </c>
      <c r="I24" s="32">
        <f>'MERCADO TE'!$U$21</f>
        <v>0</v>
      </c>
      <c r="J24" s="17"/>
      <c r="L24" s="30">
        <f>'TE BE'!$L$24*'TE BF'!$L$48</f>
        <v>0</v>
      </c>
      <c r="M24" s="30">
        <f>'TE BE'!$M$24*'TE BF'!$M$48</f>
        <v>9.7329561648980523</v>
      </c>
      <c r="N24" s="30">
        <f>'TE BE'!$N$24*'TE BF'!$N$48</f>
        <v>0</v>
      </c>
      <c r="O24" s="30">
        <f>'TE BE'!$O$24*'TE BF'!$O$48</f>
        <v>0.7278743390446708</v>
      </c>
      <c r="P24" s="30">
        <f>'TE BE'!$P$24*'TE BF'!$P$48</f>
        <v>0</v>
      </c>
      <c r="Q24" s="30">
        <f>SUM($L$24:$P$24)</f>
        <v>10.460830503942724</v>
      </c>
      <c r="R24" s="30">
        <f>'TE BE'!$R$24*'TE BF'!$R$48</f>
        <v>7.0338420940511028</v>
      </c>
      <c r="S24" s="30">
        <f>SUM($R$24:$R$24)</f>
        <v>7.0338420940511028</v>
      </c>
      <c r="T24" s="30">
        <f>'TE BE'!$T$24*'TE BF'!$T$48</f>
        <v>1.3070916074228662</v>
      </c>
      <c r="U24" s="30">
        <f>'TE BE'!$U$24*'TE BF'!$U$48</f>
        <v>0.2238790420136296</v>
      </c>
      <c r="V24" s="30">
        <f>'TE BE'!$V$24*'TE BF'!$V$48</f>
        <v>0</v>
      </c>
      <c r="W24" s="30">
        <f>SUM($T$24:$V$24)</f>
        <v>1.5309706494364959</v>
      </c>
      <c r="X24" s="30">
        <f>'TE BE'!$AB$24*'TE BF'!$X$48</f>
        <v>0</v>
      </c>
      <c r="Y24" s="30">
        <f>SUM($X$24:$X$24)</f>
        <v>0</v>
      </c>
      <c r="Z24" s="30">
        <f>'TE BE'!$Z$24*'TE BF'!$Z$48</f>
        <v>0.13345409894594942</v>
      </c>
      <c r="AA24" s="30">
        <f>SUM($Z$24:$Z$24)</f>
        <v>0.13345409894594942</v>
      </c>
      <c r="AB24" s="30">
        <f>SUMIF($L$4:$AA$4,"SUBTOTAL",$L$24:$AA$24)</f>
        <v>19.159097346376274</v>
      </c>
    </row>
    <row r="25" spans="1:28" ht="11.25" customHeight="1" x14ac:dyDescent="0.25">
      <c r="A25" s="130"/>
      <c r="B25" s="130"/>
      <c r="C25" s="130"/>
      <c r="D25" s="130"/>
      <c r="E25" s="130"/>
      <c r="F25" s="130"/>
      <c r="G25" s="32" t="s">
        <v>91</v>
      </c>
      <c r="H25" s="32" t="s">
        <v>80</v>
      </c>
      <c r="I25" s="32">
        <f>'MERCADO TE'!$U$22</f>
        <v>0</v>
      </c>
      <c r="J25" s="17"/>
      <c r="L25" s="30">
        <f>'TE BE'!$L$25*'TE BF'!$L$48</f>
        <v>0</v>
      </c>
      <c r="M25" s="30">
        <f>'TE BE'!$M$25*'TE BF'!$M$48</f>
        <v>9.7329561648980523</v>
      </c>
      <c r="N25" s="30">
        <f>'TE BE'!$N$25*'TE BF'!$N$48</f>
        <v>0</v>
      </c>
      <c r="O25" s="30">
        <f>'TE BE'!$O$25*'TE BF'!$O$48</f>
        <v>0.7278743390446708</v>
      </c>
      <c r="P25" s="30">
        <f>'TE BE'!$P$25*'TE BF'!$P$48</f>
        <v>0</v>
      </c>
      <c r="Q25" s="30">
        <f>SUM($L$25:$P$25)</f>
        <v>10.460830503942724</v>
      </c>
      <c r="R25" s="30">
        <f>'TE BE'!$R$25*'TE BF'!$R$48</f>
        <v>4.0894430779366875</v>
      </c>
      <c r="S25" s="30">
        <f>SUM($R$25:$R$25)</f>
        <v>4.0894430779366875</v>
      </c>
      <c r="T25" s="30">
        <f>'TE BE'!$T$25*'TE BF'!$T$48</f>
        <v>1.3070916074228662</v>
      </c>
      <c r="U25" s="30">
        <f>'TE BE'!$U$25*'TE BF'!$U$48</f>
        <v>0.2238790420136296</v>
      </c>
      <c r="V25" s="30">
        <f>'TE BE'!$V$25*'TE BF'!$V$48</f>
        <v>0</v>
      </c>
      <c r="W25" s="30">
        <f>SUM($T$25:$V$25)</f>
        <v>1.5309706494364959</v>
      </c>
      <c r="X25" s="30">
        <f>'TE BE'!$AB$25*'TE BF'!$X$48</f>
        <v>0</v>
      </c>
      <c r="Y25" s="30">
        <f>SUM($X$25:$X$25)</f>
        <v>0</v>
      </c>
      <c r="Z25" s="30">
        <f>'TE BE'!$Z$25*'TE BF'!$Z$48</f>
        <v>0.13345409894594942</v>
      </c>
      <c r="AA25" s="30">
        <f>SUM($Z$25:$Z$25)</f>
        <v>0.13345409894594942</v>
      </c>
      <c r="AB25" s="30">
        <f>SUMIF($L$4:$AA$4,"SUBTOTAL",$L$25:$AA$25)</f>
        <v>16.214698330261857</v>
      </c>
    </row>
    <row r="26" spans="1:28" ht="11.25" customHeight="1" x14ac:dyDescent="0.25">
      <c r="A26" s="130"/>
      <c r="B26" s="130"/>
      <c r="C26" s="130"/>
      <c r="D26" s="130"/>
      <c r="E26" s="130"/>
      <c r="F26" s="130"/>
      <c r="G26" s="32" t="s">
        <v>82</v>
      </c>
      <c r="H26" s="32" t="s">
        <v>80</v>
      </c>
      <c r="I26" s="32">
        <f>'MERCADO TE'!$U$23</f>
        <v>0</v>
      </c>
      <c r="J26" s="17"/>
      <c r="L26" s="30">
        <f>'TE BE'!$L$26*'TE BF'!$L$48</f>
        <v>0</v>
      </c>
      <c r="M26" s="30">
        <f>'TE BE'!$M$26*'TE BF'!$M$48</f>
        <v>9.7329561648980523</v>
      </c>
      <c r="N26" s="30">
        <f>'TE BE'!$N$26*'TE BF'!$N$48</f>
        <v>0</v>
      </c>
      <c r="O26" s="30">
        <f>'TE BE'!$O$26*'TE BF'!$O$48</f>
        <v>0.7278743390446708</v>
      </c>
      <c r="P26" s="30">
        <f>'TE BE'!$P$26*'TE BF'!$P$48</f>
        <v>0</v>
      </c>
      <c r="Q26" s="30">
        <f>SUM($L$26:$P$26)</f>
        <v>10.460830503942724</v>
      </c>
      <c r="R26" s="30">
        <f>'TE BE'!$R$26*'TE BF'!$R$48</f>
        <v>4.0894430779366875</v>
      </c>
      <c r="S26" s="30">
        <f>SUM($R$26:$R$26)</f>
        <v>4.0894430779366875</v>
      </c>
      <c r="T26" s="30">
        <f>'TE BE'!$T$26*'TE BF'!$T$48</f>
        <v>1.3070916074228662</v>
      </c>
      <c r="U26" s="30">
        <f>'TE BE'!$U$26*'TE BF'!$U$48</f>
        <v>0.2238790420136296</v>
      </c>
      <c r="V26" s="30">
        <f>'TE BE'!$V$26*'TE BF'!$V$48</f>
        <v>0</v>
      </c>
      <c r="W26" s="30">
        <f>SUM($T$26:$V$26)</f>
        <v>1.5309706494364959</v>
      </c>
      <c r="X26" s="30">
        <f>'TE BE'!$AB$26*'TE BF'!$X$48</f>
        <v>0</v>
      </c>
      <c r="Y26" s="30">
        <f>SUM($X$26:$X$26)</f>
        <v>0</v>
      </c>
      <c r="Z26" s="30">
        <f>'TE BE'!$Z$26*'TE BF'!$Z$48</f>
        <v>0.13345409894594942</v>
      </c>
      <c r="AA26" s="30">
        <f>SUM($Z$26:$Z$26)</f>
        <v>0.13345409894594942</v>
      </c>
      <c r="AB26" s="30">
        <f>SUMIF($L$4:$AA$4,"SUBTOTAL",$L$26:$AA$26)</f>
        <v>16.214698330261857</v>
      </c>
    </row>
    <row r="27" spans="1:28" ht="11.25" customHeight="1" x14ac:dyDescent="0.25">
      <c r="A27" s="130"/>
      <c r="B27" s="38" t="s">
        <v>92</v>
      </c>
      <c r="C27" s="38" t="s">
        <v>44</v>
      </c>
      <c r="D27" s="38" t="s">
        <v>95</v>
      </c>
      <c r="E27" s="38" t="s">
        <v>25</v>
      </c>
      <c r="F27" s="38" t="s">
        <v>25</v>
      </c>
      <c r="G27" s="32" t="s">
        <v>86</v>
      </c>
      <c r="H27" s="32" t="s">
        <v>80</v>
      </c>
      <c r="I27" s="32">
        <f>'MERCADO TE'!$U$24</f>
        <v>0</v>
      </c>
      <c r="J27" s="17"/>
      <c r="L27" s="30">
        <f>'TE BE'!$L$27*'TE BF'!$L$48</f>
        <v>0</v>
      </c>
      <c r="M27" s="30">
        <f>'TE BE'!$M$27*'TE BF'!$M$48</f>
        <v>9.7329561648980523</v>
      </c>
      <c r="N27" s="30">
        <f>'TE BE'!$N$27*'TE BF'!$N$48</f>
        <v>0</v>
      </c>
      <c r="O27" s="30">
        <f>'TE BE'!$O$27*'TE BF'!$O$48</f>
        <v>0.7278743390446708</v>
      </c>
      <c r="P27" s="30">
        <f>'TE BE'!$P$27*'TE BF'!$P$48</f>
        <v>0</v>
      </c>
      <c r="Q27" s="30">
        <f>SUM($L$27:$P$27)</f>
        <v>10.460830503942724</v>
      </c>
      <c r="R27" s="30">
        <f>'TE BE'!$R$27*'TE BF'!$R$48</f>
        <v>4.3348096626128898</v>
      </c>
      <c r="S27" s="30">
        <f>SUM($R$27:$R$27)</f>
        <v>4.3348096626128898</v>
      </c>
      <c r="T27" s="30">
        <f>'TE BE'!$T$27*'TE BF'!$T$48</f>
        <v>1.3070916074228662</v>
      </c>
      <c r="U27" s="30">
        <f>'TE BE'!$U$27*'TE BF'!$U$48</f>
        <v>0.2238790420136296</v>
      </c>
      <c r="V27" s="30">
        <f>'TE BE'!$V$27*'TE BF'!$V$48</f>
        <v>0</v>
      </c>
      <c r="W27" s="30">
        <f>SUM($T$27:$V$27)</f>
        <v>1.5309706494364959</v>
      </c>
      <c r="X27" s="30">
        <f>'TE BE'!$AB$27*'TE BF'!$X$48</f>
        <v>0</v>
      </c>
      <c r="Y27" s="30">
        <f>SUM($X$27:$X$27)</f>
        <v>0</v>
      </c>
      <c r="Z27" s="30">
        <f>'TE BE'!$Z$27*'TE BF'!$Z$48</f>
        <v>0.13345409894594942</v>
      </c>
      <c r="AA27" s="30">
        <f>SUM($Z$27:$Z$27)</f>
        <v>0.13345409894594942</v>
      </c>
      <c r="AB27" s="30">
        <f>SUMIF($L$4:$AA$4,"SUBTOTAL",$L$27:$AA$27)</f>
        <v>16.460064914938062</v>
      </c>
    </row>
    <row r="28" spans="1:28" ht="11.25" customHeight="1" x14ac:dyDescent="0.25">
      <c r="A28" s="130"/>
      <c r="B28" s="130" t="s">
        <v>79</v>
      </c>
      <c r="C28" s="130" t="s">
        <v>44</v>
      </c>
      <c r="D28" s="130" t="s">
        <v>55</v>
      </c>
      <c r="E28" s="130" t="s">
        <v>25</v>
      </c>
      <c r="F28" s="130" t="s">
        <v>25</v>
      </c>
      <c r="G28" s="32" t="s">
        <v>81</v>
      </c>
      <c r="H28" s="32" t="s">
        <v>80</v>
      </c>
      <c r="I28" s="32">
        <f>'MERCADO TE'!$U$25</f>
        <v>0</v>
      </c>
      <c r="J28" s="17"/>
      <c r="L28" s="30">
        <f>'TE BE'!$L$28*'TE BF'!$L$48</f>
        <v>0</v>
      </c>
      <c r="M28" s="30">
        <f>'TE BE'!$M$28*'TE BF'!$M$48</f>
        <v>9.7329561648980523</v>
      </c>
      <c r="N28" s="30">
        <f>'TE BE'!$N$28*'TE BF'!$N$48</f>
        <v>0</v>
      </c>
      <c r="O28" s="30">
        <f>'TE BE'!$O$28*'TE BF'!$O$48</f>
        <v>0.7278743390446708</v>
      </c>
      <c r="P28" s="30">
        <f>'TE BE'!$P$28*'TE BF'!$P$48</f>
        <v>0</v>
      </c>
      <c r="Q28" s="30">
        <f>SUM($L$28:$P$28)</f>
        <v>10.460830503942724</v>
      </c>
      <c r="R28" s="30">
        <f>'TE BE'!$R$28*'TE BF'!$R$48</f>
        <v>7.0338420940511028</v>
      </c>
      <c r="S28" s="30">
        <f>SUM($R$28:$R$28)</f>
        <v>7.0338420940511028</v>
      </c>
      <c r="T28" s="30">
        <f>'TE BE'!$T$28*'TE BF'!$T$48</f>
        <v>1.3070916074228662</v>
      </c>
      <c r="U28" s="30">
        <f>'TE BE'!$U$28*'TE BF'!$U$48</f>
        <v>0.2238790420136296</v>
      </c>
      <c r="V28" s="30">
        <f>'TE BE'!$V$28*'TE BF'!$V$48</f>
        <v>0</v>
      </c>
      <c r="W28" s="30">
        <f>SUM($T$28:$V$28)</f>
        <v>1.5309706494364959</v>
      </c>
      <c r="X28" s="30">
        <f>'TE BE'!$AB$28*'TE BF'!$X$48</f>
        <v>0</v>
      </c>
      <c r="Y28" s="30">
        <f>SUM($X$28:$X$28)</f>
        <v>0</v>
      </c>
      <c r="Z28" s="30">
        <f>'TE BE'!$Z$28*'TE BF'!$Z$48</f>
        <v>0.13345409894594942</v>
      </c>
      <c r="AA28" s="30">
        <f>SUM($Z$28:$Z$28)</f>
        <v>0.13345409894594942</v>
      </c>
      <c r="AB28" s="30">
        <f>SUMIF($L$4:$AA$4,"SUBTOTAL",$L$28:$AA$28)</f>
        <v>19.159097346376274</v>
      </c>
    </row>
    <row r="29" spans="1:28" ht="11.25" customHeight="1" x14ac:dyDescent="0.25">
      <c r="A29" s="130"/>
      <c r="B29" s="130"/>
      <c r="C29" s="130"/>
      <c r="D29" s="130"/>
      <c r="E29" s="130"/>
      <c r="F29" s="130"/>
      <c r="G29" s="32" t="s">
        <v>91</v>
      </c>
      <c r="H29" s="32" t="s">
        <v>80</v>
      </c>
      <c r="I29" s="32">
        <f>'MERCADO TE'!$U$26</f>
        <v>0</v>
      </c>
      <c r="J29" s="17"/>
      <c r="L29" s="30">
        <f>'TE BE'!$L$29*'TE BF'!$L$48</f>
        <v>0</v>
      </c>
      <c r="M29" s="30">
        <f>'TE BE'!$M$29*'TE BF'!$M$48</f>
        <v>9.7329561648980523</v>
      </c>
      <c r="N29" s="30">
        <f>'TE BE'!$N$29*'TE BF'!$N$48</f>
        <v>0</v>
      </c>
      <c r="O29" s="30">
        <f>'TE BE'!$O$29*'TE BF'!$O$48</f>
        <v>0.7278743390446708</v>
      </c>
      <c r="P29" s="30">
        <f>'TE BE'!$P$29*'TE BF'!$P$48</f>
        <v>0</v>
      </c>
      <c r="Q29" s="30">
        <f>SUM($L$29:$P$29)</f>
        <v>10.460830503942724</v>
      </c>
      <c r="R29" s="30">
        <f>'TE BE'!$R$29*'TE BF'!$R$48</f>
        <v>4.0894430779366875</v>
      </c>
      <c r="S29" s="30">
        <f>SUM($R$29:$R$29)</f>
        <v>4.0894430779366875</v>
      </c>
      <c r="T29" s="30">
        <f>'TE BE'!$T$29*'TE BF'!$T$48</f>
        <v>1.3070916074228662</v>
      </c>
      <c r="U29" s="30">
        <f>'TE BE'!$U$29*'TE BF'!$U$48</f>
        <v>0.2238790420136296</v>
      </c>
      <c r="V29" s="30">
        <f>'TE BE'!$V$29*'TE BF'!$V$48</f>
        <v>0</v>
      </c>
      <c r="W29" s="30">
        <f>SUM($T$29:$V$29)</f>
        <v>1.5309706494364959</v>
      </c>
      <c r="X29" s="30">
        <f>'TE BE'!$AB$29*'TE BF'!$X$48</f>
        <v>0</v>
      </c>
      <c r="Y29" s="30">
        <f>SUM($X$29:$X$29)</f>
        <v>0</v>
      </c>
      <c r="Z29" s="30">
        <f>'TE BE'!$Z$29*'TE BF'!$Z$48</f>
        <v>0.13345409894594942</v>
      </c>
      <c r="AA29" s="30">
        <f>SUM($Z$29:$Z$29)</f>
        <v>0.13345409894594942</v>
      </c>
      <c r="AB29" s="30">
        <f>SUMIF($L$4:$AA$4,"SUBTOTAL",$L$29:$AA$29)</f>
        <v>16.214698330261857</v>
      </c>
    </row>
    <row r="30" spans="1:28" ht="11.25" customHeight="1" x14ac:dyDescent="0.25">
      <c r="A30" s="130"/>
      <c r="B30" s="130"/>
      <c r="C30" s="130"/>
      <c r="D30" s="130"/>
      <c r="E30" s="130"/>
      <c r="F30" s="130"/>
      <c r="G30" s="32" t="s">
        <v>82</v>
      </c>
      <c r="H30" s="32" t="s">
        <v>80</v>
      </c>
      <c r="I30" s="32">
        <f>'MERCADO TE'!$U$27</f>
        <v>0</v>
      </c>
      <c r="J30" s="17"/>
      <c r="L30" s="30">
        <f>'TE BE'!$L$30*'TE BF'!$L$48</f>
        <v>0</v>
      </c>
      <c r="M30" s="30">
        <f>'TE BE'!$M$30*'TE BF'!$M$48</f>
        <v>9.7329561648980523</v>
      </c>
      <c r="N30" s="30">
        <f>'TE BE'!$N$30*'TE BF'!$N$48</f>
        <v>0</v>
      </c>
      <c r="O30" s="30">
        <f>'TE BE'!$O$30*'TE BF'!$O$48</f>
        <v>0.7278743390446708</v>
      </c>
      <c r="P30" s="30">
        <f>'TE BE'!$P$30*'TE BF'!$P$48</f>
        <v>0</v>
      </c>
      <c r="Q30" s="30">
        <f>SUM($L$30:$P$30)</f>
        <v>10.460830503942724</v>
      </c>
      <c r="R30" s="30">
        <f>'TE BE'!$R$30*'TE BF'!$R$48</f>
        <v>4.0894430779366875</v>
      </c>
      <c r="S30" s="30">
        <f>SUM($R$30:$R$30)</f>
        <v>4.0894430779366875</v>
      </c>
      <c r="T30" s="30">
        <f>'TE BE'!$T$30*'TE BF'!$T$48</f>
        <v>1.3070916074228662</v>
      </c>
      <c r="U30" s="30">
        <f>'TE BE'!$U$30*'TE BF'!$U$48</f>
        <v>0.2238790420136296</v>
      </c>
      <c r="V30" s="30">
        <f>'TE BE'!$V$30*'TE BF'!$V$48</f>
        <v>0</v>
      </c>
      <c r="W30" s="30">
        <f>SUM($T$30:$V$30)</f>
        <v>1.5309706494364959</v>
      </c>
      <c r="X30" s="30">
        <f>'TE BE'!$AB$30*'TE BF'!$X$48</f>
        <v>0</v>
      </c>
      <c r="Y30" s="30">
        <f>SUM($X$30:$X$30)</f>
        <v>0</v>
      </c>
      <c r="Z30" s="30">
        <f>'TE BE'!$Z$30*'TE BF'!$Z$48</f>
        <v>0.13345409894594942</v>
      </c>
      <c r="AA30" s="30">
        <f>SUM($Z$30:$Z$30)</f>
        <v>0.13345409894594942</v>
      </c>
      <c r="AB30" s="30">
        <f>SUMIF($L$4:$AA$4,"SUBTOTAL",$L$30:$AA$30)</f>
        <v>16.214698330261857</v>
      </c>
    </row>
    <row r="31" spans="1:28" ht="11.25" customHeight="1" x14ac:dyDescent="0.25">
      <c r="A31" s="130"/>
      <c r="B31" s="38" t="s">
        <v>92</v>
      </c>
      <c r="C31" s="38" t="s">
        <v>44</v>
      </c>
      <c r="D31" s="38" t="s">
        <v>55</v>
      </c>
      <c r="E31" s="38" t="s">
        <v>25</v>
      </c>
      <c r="F31" s="38" t="s">
        <v>25</v>
      </c>
      <c r="G31" s="32" t="s">
        <v>86</v>
      </c>
      <c r="H31" s="32" t="s">
        <v>80</v>
      </c>
      <c r="I31" s="32">
        <f>'MERCADO TE'!$U$28</f>
        <v>29.929000000000002</v>
      </c>
      <c r="J31" s="17"/>
      <c r="L31" s="30">
        <f>'TE BE'!$L$31*'TE BF'!$L$48</f>
        <v>0</v>
      </c>
      <c r="M31" s="30">
        <f>'TE BE'!$M$31*'TE BF'!$M$48</f>
        <v>9.7329561648980523</v>
      </c>
      <c r="N31" s="30">
        <f>'TE BE'!$N$31*'TE BF'!$N$48</f>
        <v>0</v>
      </c>
      <c r="O31" s="30">
        <f>'TE BE'!$O$31*'TE BF'!$O$48</f>
        <v>0.7278743390446708</v>
      </c>
      <c r="P31" s="30">
        <f>'TE BE'!$P$31*'TE BF'!$P$48</f>
        <v>0</v>
      </c>
      <c r="Q31" s="30">
        <f>SUM($L$31:$P$31)</f>
        <v>10.460830503942724</v>
      </c>
      <c r="R31" s="30">
        <f>'TE BE'!$R$31*'TE BF'!$R$48</f>
        <v>4.3348096626128898</v>
      </c>
      <c r="S31" s="30">
        <f>SUM($R$31:$R$31)</f>
        <v>4.3348096626128898</v>
      </c>
      <c r="T31" s="30">
        <f>'TE BE'!$T$31*'TE BF'!$T$48</f>
        <v>1.3070916074228662</v>
      </c>
      <c r="U31" s="30">
        <f>'TE BE'!$U$31*'TE BF'!$U$48</f>
        <v>0.2238790420136296</v>
      </c>
      <c r="V31" s="30">
        <f>'TE BE'!$V$31*'TE BF'!$V$48</f>
        <v>0</v>
      </c>
      <c r="W31" s="30">
        <f>SUM($T$31:$V$31)</f>
        <v>1.5309706494364959</v>
      </c>
      <c r="X31" s="30">
        <f>'TE BE'!$AB$31*'TE BF'!$X$48</f>
        <v>0</v>
      </c>
      <c r="Y31" s="30">
        <f>SUM($X$31:$X$31)</f>
        <v>0</v>
      </c>
      <c r="Z31" s="30">
        <f>'TE BE'!$Z$31*'TE BF'!$Z$48</f>
        <v>0.13345409894594942</v>
      </c>
      <c r="AA31" s="30">
        <f>SUM($Z$31:$Z$31)</f>
        <v>0.13345409894594942</v>
      </c>
      <c r="AB31" s="30">
        <f>SUMIF($L$4:$AA$4,"SUBTOTAL",$L$31:$AA$31)</f>
        <v>16.460064914938062</v>
      </c>
    </row>
    <row r="32" spans="1:28" ht="11.25" customHeight="1" x14ac:dyDescent="0.25">
      <c r="A32" s="130"/>
      <c r="B32" s="130" t="s">
        <v>93</v>
      </c>
      <c r="C32" s="130" t="s">
        <v>44</v>
      </c>
      <c r="D32" s="38" t="s">
        <v>25</v>
      </c>
      <c r="E32" s="38" t="s">
        <v>25</v>
      </c>
      <c r="F32" s="38" t="s">
        <v>25</v>
      </c>
      <c r="G32" s="32" t="s">
        <v>86</v>
      </c>
      <c r="H32" s="32" t="s">
        <v>80</v>
      </c>
      <c r="I32" s="32">
        <f>'MERCADO TE'!$U$29</f>
        <v>0</v>
      </c>
      <c r="J32" s="17"/>
      <c r="L32" s="30">
        <f>'TE BE'!$L$32*'TE BF'!$L$48</f>
        <v>0</v>
      </c>
      <c r="M32" s="30">
        <f>'TE BE'!$M$32*'TE BF'!$M$48</f>
        <v>9.7329561648980523</v>
      </c>
      <c r="N32" s="30">
        <f>'TE BE'!$N$32*'TE BF'!$N$48</f>
        <v>0</v>
      </c>
      <c r="O32" s="30">
        <f>'TE BE'!$O$32*'TE BF'!$O$48</f>
        <v>0.7278743390446708</v>
      </c>
      <c r="P32" s="30">
        <f>'TE BE'!$P$32*'TE BF'!$P$48</f>
        <v>0</v>
      </c>
      <c r="Q32" s="30">
        <f>SUM($L$32:$P$32)</f>
        <v>10.460830503942724</v>
      </c>
      <c r="R32" s="30">
        <f>'TE BE'!$R$32*'TE BF'!$R$48</f>
        <v>4.3348096626128898</v>
      </c>
      <c r="S32" s="30">
        <f>SUM($R$32:$R$32)</f>
        <v>4.3348096626128898</v>
      </c>
      <c r="T32" s="30">
        <f>'TE BE'!$T$32*'TE BF'!$T$48</f>
        <v>1.3070916074228662</v>
      </c>
      <c r="U32" s="30">
        <f>'TE BE'!$U$32*'TE BF'!$U$48</f>
        <v>0.2238790420136296</v>
      </c>
      <c r="V32" s="30">
        <f>'TE BE'!$V$32*'TE BF'!$V$48</f>
        <v>0</v>
      </c>
      <c r="W32" s="30">
        <f>SUM($T$32:$V$32)</f>
        <v>1.5309706494364959</v>
      </c>
      <c r="X32" s="30">
        <f>'TE BE'!$AB$32*'TE BF'!$X$48</f>
        <v>0</v>
      </c>
      <c r="Y32" s="30">
        <f>SUM($X$32:$X$32)</f>
        <v>0</v>
      </c>
      <c r="Z32" s="30">
        <f>'TE BE'!$Z$32*'TE BF'!$Z$48</f>
        <v>0.13345409894594942</v>
      </c>
      <c r="AA32" s="30">
        <f>SUM($Z$32:$Z$32)</f>
        <v>0.13345409894594942</v>
      </c>
      <c r="AB32" s="30">
        <f>SUMIF($L$4:$AA$4,"SUBTOTAL",$L$32:$AA$32)</f>
        <v>16.460064914938062</v>
      </c>
    </row>
    <row r="33" spans="1:28" ht="11.25" customHeight="1" x14ac:dyDescent="0.25">
      <c r="A33" s="130"/>
      <c r="B33" s="130"/>
      <c r="C33" s="130"/>
      <c r="D33" s="38" t="s">
        <v>95</v>
      </c>
      <c r="E33" s="38" t="s">
        <v>25</v>
      </c>
      <c r="F33" s="38" t="s">
        <v>25</v>
      </c>
      <c r="G33" s="32" t="s">
        <v>86</v>
      </c>
      <c r="H33" s="32" t="s">
        <v>80</v>
      </c>
      <c r="I33" s="32">
        <f>'MERCADO TE'!$U$30</f>
        <v>0</v>
      </c>
      <c r="J33" s="17"/>
      <c r="L33" s="30">
        <f>'TE BE'!$L$33*'TE BF'!$L$48</f>
        <v>0</v>
      </c>
      <c r="M33" s="30">
        <f>'TE BE'!$M$33*'TE BF'!$M$48</f>
        <v>9.7329561648980523</v>
      </c>
      <c r="N33" s="30">
        <f>'TE BE'!$N$33*'TE BF'!$N$48</f>
        <v>0</v>
      </c>
      <c r="O33" s="30">
        <f>'TE BE'!$O$33*'TE BF'!$O$48</f>
        <v>0.7278743390446708</v>
      </c>
      <c r="P33" s="30">
        <f>'TE BE'!$P$33*'TE BF'!$P$48</f>
        <v>0</v>
      </c>
      <c r="Q33" s="30">
        <f>SUM($L$33:$P$33)</f>
        <v>10.460830503942724</v>
      </c>
      <c r="R33" s="30">
        <f>'TE BE'!$R$33*'TE BF'!$R$48</f>
        <v>4.3348096626128898</v>
      </c>
      <c r="S33" s="30">
        <f>SUM($R$33:$R$33)</f>
        <v>4.3348096626128898</v>
      </c>
      <c r="T33" s="30">
        <f>'TE BE'!$T$33*'TE BF'!$T$48</f>
        <v>1.3070916074228662</v>
      </c>
      <c r="U33" s="30">
        <f>'TE BE'!$U$33*'TE BF'!$U$48</f>
        <v>0.2238790420136296</v>
      </c>
      <c r="V33" s="30">
        <f>'TE BE'!$V$33*'TE BF'!$V$48</f>
        <v>0</v>
      </c>
      <c r="W33" s="30">
        <f>SUM($T$33:$V$33)</f>
        <v>1.5309706494364959</v>
      </c>
      <c r="X33" s="30">
        <f>'TE BE'!$AB$33*'TE BF'!$X$48</f>
        <v>0</v>
      </c>
      <c r="Y33" s="30">
        <f>SUM($X$33:$X$33)</f>
        <v>0</v>
      </c>
      <c r="Z33" s="30">
        <f>'TE BE'!$Z$33*'TE BF'!$Z$48</f>
        <v>0.13345409894594942</v>
      </c>
      <c r="AA33" s="30">
        <f>SUM($Z$33:$Z$33)</f>
        <v>0.13345409894594942</v>
      </c>
      <c r="AB33" s="30">
        <f>SUMIF($L$4:$AA$4,"SUBTOTAL",$L$33:$AA$33)</f>
        <v>16.460064914938062</v>
      </c>
    </row>
    <row r="34" spans="1:28" ht="11.25" customHeight="1" x14ac:dyDescent="0.25">
      <c r="A34" s="130"/>
      <c r="B34" s="130"/>
      <c r="C34" s="130"/>
      <c r="D34" s="38" t="s">
        <v>55</v>
      </c>
      <c r="E34" s="38" t="s">
        <v>25</v>
      </c>
      <c r="F34" s="38" t="s">
        <v>25</v>
      </c>
      <c r="G34" s="32" t="s">
        <v>86</v>
      </c>
      <c r="H34" s="32" t="s">
        <v>80</v>
      </c>
      <c r="I34" s="32">
        <f>'MERCADO TE'!$U$31</f>
        <v>0</v>
      </c>
      <c r="J34" s="17"/>
      <c r="L34" s="30">
        <f>'TE BE'!$L$34*'TE BF'!$L$48</f>
        <v>0</v>
      </c>
      <c r="M34" s="30">
        <f>'TE BE'!$M$34*'TE BF'!$M$48</f>
        <v>9.7329561648980523</v>
      </c>
      <c r="N34" s="30">
        <f>'TE BE'!$N$34*'TE BF'!$N$48</f>
        <v>0</v>
      </c>
      <c r="O34" s="30">
        <f>'TE BE'!$O$34*'TE BF'!$O$48</f>
        <v>0.7278743390446708</v>
      </c>
      <c r="P34" s="30">
        <f>'TE BE'!$P$34*'TE BF'!$P$48</f>
        <v>0</v>
      </c>
      <c r="Q34" s="30">
        <f>SUM($L$34:$P$34)</f>
        <v>10.460830503942724</v>
      </c>
      <c r="R34" s="30">
        <f>'TE BE'!$R$34*'TE BF'!$R$48</f>
        <v>4.3348096626128898</v>
      </c>
      <c r="S34" s="30">
        <f>SUM($R$34:$R$34)</f>
        <v>4.3348096626128898</v>
      </c>
      <c r="T34" s="30">
        <f>'TE BE'!$T$34*'TE BF'!$T$48</f>
        <v>1.3070916074228662</v>
      </c>
      <c r="U34" s="30">
        <f>'TE BE'!$U$34*'TE BF'!$U$48</f>
        <v>0.2238790420136296</v>
      </c>
      <c r="V34" s="30">
        <f>'TE BE'!$V$34*'TE BF'!$V$48</f>
        <v>0</v>
      </c>
      <c r="W34" s="30">
        <f>SUM($T$34:$V$34)</f>
        <v>1.5309706494364959</v>
      </c>
      <c r="X34" s="30">
        <f>'TE BE'!$AB$34*'TE BF'!$X$48</f>
        <v>0</v>
      </c>
      <c r="Y34" s="30">
        <f>SUM($X$34:$X$34)</f>
        <v>0</v>
      </c>
      <c r="Z34" s="30">
        <f>'TE BE'!$Z$34*'TE BF'!$Z$48</f>
        <v>0.13345409894594942</v>
      </c>
      <c r="AA34" s="30">
        <f>SUM($Z$34:$Z$34)</f>
        <v>0.13345409894594942</v>
      </c>
      <c r="AB34" s="30">
        <f>SUMIF($L$4:$AA$4,"SUBTOTAL",$L$34:$AA$34)</f>
        <v>16.460064914938062</v>
      </c>
    </row>
    <row r="35" spans="1:28" ht="11.25" customHeight="1" x14ac:dyDescent="0.25">
      <c r="A35" s="130" t="s">
        <v>37</v>
      </c>
      <c r="B35" s="130" t="s">
        <v>79</v>
      </c>
      <c r="C35" s="130" t="s">
        <v>25</v>
      </c>
      <c r="D35" s="130" t="s">
        <v>25</v>
      </c>
      <c r="E35" s="130" t="s">
        <v>25</v>
      </c>
      <c r="F35" s="130" t="s">
        <v>25</v>
      </c>
      <c r="G35" s="32" t="s">
        <v>81</v>
      </c>
      <c r="H35" s="32" t="s">
        <v>80</v>
      </c>
      <c r="I35" s="32">
        <f>'MERCADO TE'!$U$32</f>
        <v>57.161000000000001</v>
      </c>
      <c r="J35" s="17"/>
      <c r="L35" s="30">
        <f>'TE BE'!$L$35*'TE BF'!$L$48</f>
        <v>0</v>
      </c>
      <c r="M35" s="30">
        <f>'TE BE'!$M$35*'TE BF'!$M$48</f>
        <v>9.7329561648980523</v>
      </c>
      <c r="N35" s="30">
        <f>'TE BE'!$N$35*'TE BF'!$N$48</f>
        <v>0</v>
      </c>
      <c r="O35" s="30">
        <f>'TE BE'!$O$35*'TE BF'!$O$48</f>
        <v>0.7278743390446708</v>
      </c>
      <c r="P35" s="30">
        <f>'TE BE'!$P$35*'TE BF'!$P$48</f>
        <v>0</v>
      </c>
      <c r="Q35" s="30">
        <f>SUM($L$35:$P$35)</f>
        <v>10.460830503942724</v>
      </c>
      <c r="R35" s="30">
        <f>'TE BE'!$R$35*'TE BF'!$R$48</f>
        <v>7.0338420940511028</v>
      </c>
      <c r="S35" s="30">
        <f>SUM($R$35:$R$35)</f>
        <v>7.0338420940511028</v>
      </c>
      <c r="T35" s="30">
        <f>'TE BE'!$T$35*'TE BF'!$T$48</f>
        <v>1.3070916074228662</v>
      </c>
      <c r="U35" s="30">
        <f>'TE BE'!$U$35*'TE BF'!$U$48</f>
        <v>0.2238790420136296</v>
      </c>
      <c r="V35" s="30">
        <f>'TE BE'!$V$35*'TE BF'!$V$48</f>
        <v>0</v>
      </c>
      <c r="W35" s="30">
        <f>SUM($T$35:$V$35)</f>
        <v>1.5309706494364959</v>
      </c>
      <c r="X35" s="30">
        <f>'TE BE'!$AB$35*'TE BF'!$X$48</f>
        <v>0</v>
      </c>
      <c r="Y35" s="30">
        <f>SUM($X$35:$X$35)</f>
        <v>0</v>
      </c>
      <c r="Z35" s="30">
        <f>'TE BE'!$Z$35*'TE BF'!$Z$48</f>
        <v>0.13345409894594942</v>
      </c>
      <c r="AA35" s="30">
        <f>SUM($Z$35:$Z$35)</f>
        <v>0.13345409894594942</v>
      </c>
      <c r="AB35" s="30">
        <f>SUMIF($L$4:$AA$4,"SUBTOTAL",$L$35:$AA$35)</f>
        <v>19.159097346376274</v>
      </c>
    </row>
    <row r="36" spans="1:28" ht="11.25" customHeight="1" x14ac:dyDescent="0.25">
      <c r="A36" s="130"/>
      <c r="B36" s="130"/>
      <c r="C36" s="130"/>
      <c r="D36" s="130"/>
      <c r="E36" s="130"/>
      <c r="F36" s="130"/>
      <c r="G36" s="32" t="s">
        <v>91</v>
      </c>
      <c r="H36" s="32" t="s">
        <v>80</v>
      </c>
      <c r="I36" s="32">
        <f>'MERCADO TE'!$U$33</f>
        <v>51.646000000000001</v>
      </c>
      <c r="J36" s="17"/>
      <c r="L36" s="30">
        <f>'TE BE'!$L$36*'TE BF'!$L$48</f>
        <v>0</v>
      </c>
      <c r="M36" s="30">
        <f>'TE BE'!$M$36*'TE BF'!$M$48</f>
        <v>9.7329561648980523</v>
      </c>
      <c r="N36" s="30">
        <f>'TE BE'!$N$36*'TE BF'!$N$48</f>
        <v>0</v>
      </c>
      <c r="O36" s="30">
        <f>'TE BE'!$O$36*'TE BF'!$O$48</f>
        <v>0.7278743390446708</v>
      </c>
      <c r="P36" s="30">
        <f>'TE BE'!$P$36*'TE BF'!$P$48</f>
        <v>0</v>
      </c>
      <c r="Q36" s="30">
        <f>SUM($L$36:$P$36)</f>
        <v>10.460830503942724</v>
      </c>
      <c r="R36" s="30">
        <f>'TE BE'!$R$36*'TE BF'!$R$48</f>
        <v>4.0894430779366875</v>
      </c>
      <c r="S36" s="30">
        <f>SUM($R$36:$R$36)</f>
        <v>4.0894430779366875</v>
      </c>
      <c r="T36" s="30">
        <f>'TE BE'!$T$36*'TE BF'!$T$48</f>
        <v>1.3070916074228662</v>
      </c>
      <c r="U36" s="30">
        <f>'TE BE'!$U$36*'TE BF'!$U$48</f>
        <v>0.2238790420136296</v>
      </c>
      <c r="V36" s="30">
        <f>'TE BE'!$V$36*'TE BF'!$V$48</f>
        <v>0</v>
      </c>
      <c r="W36" s="30">
        <f>SUM($T$36:$V$36)</f>
        <v>1.5309706494364959</v>
      </c>
      <c r="X36" s="30">
        <f>'TE BE'!$AB$36*'TE BF'!$X$48</f>
        <v>0</v>
      </c>
      <c r="Y36" s="30">
        <f>SUM($X$36:$X$36)</f>
        <v>0</v>
      </c>
      <c r="Z36" s="30">
        <f>'TE BE'!$Z$36*'TE BF'!$Z$48</f>
        <v>0.13345409894594942</v>
      </c>
      <c r="AA36" s="30">
        <f>SUM($Z$36:$Z$36)</f>
        <v>0.13345409894594942</v>
      </c>
      <c r="AB36" s="30">
        <f>SUMIF($L$4:$AA$4,"SUBTOTAL",$L$36:$AA$36)</f>
        <v>16.214698330261857</v>
      </c>
    </row>
    <row r="37" spans="1:28" ht="11.25" customHeight="1" x14ac:dyDescent="0.25">
      <c r="A37" s="130"/>
      <c r="B37" s="130"/>
      <c r="C37" s="130"/>
      <c r="D37" s="130"/>
      <c r="E37" s="130"/>
      <c r="F37" s="130"/>
      <c r="G37" s="32" t="s">
        <v>82</v>
      </c>
      <c r="H37" s="32" t="s">
        <v>80</v>
      </c>
      <c r="I37" s="32">
        <f>'MERCADO TE'!$U$34</f>
        <v>982.72000000000014</v>
      </c>
      <c r="J37" s="17"/>
      <c r="L37" s="30">
        <f>'TE BE'!$L$37*'TE BF'!$L$48</f>
        <v>0</v>
      </c>
      <c r="M37" s="30">
        <f>'TE BE'!$M$37*'TE BF'!$M$48</f>
        <v>9.7329561648980523</v>
      </c>
      <c r="N37" s="30">
        <f>'TE BE'!$N$37*'TE BF'!$N$48</f>
        <v>0</v>
      </c>
      <c r="O37" s="30">
        <f>'TE BE'!$O$37*'TE BF'!$O$48</f>
        <v>0.7278743390446708</v>
      </c>
      <c r="P37" s="30">
        <f>'TE BE'!$P$37*'TE BF'!$P$48</f>
        <v>0</v>
      </c>
      <c r="Q37" s="30">
        <f>SUM($L$37:$P$37)</f>
        <v>10.460830503942724</v>
      </c>
      <c r="R37" s="30">
        <f>'TE BE'!$R$37*'TE BF'!$R$48</f>
        <v>4.0894430779366875</v>
      </c>
      <c r="S37" s="30">
        <f>SUM($R$37:$R$37)</f>
        <v>4.0894430779366875</v>
      </c>
      <c r="T37" s="30">
        <f>'TE BE'!$T$37*'TE BF'!$T$48</f>
        <v>1.3070916074228662</v>
      </c>
      <c r="U37" s="30">
        <f>'TE BE'!$U$37*'TE BF'!$U$48</f>
        <v>0.2238790420136296</v>
      </c>
      <c r="V37" s="30">
        <f>'TE BE'!$V$37*'TE BF'!$V$48</f>
        <v>0</v>
      </c>
      <c r="W37" s="30">
        <f>SUM($T$37:$V$37)</f>
        <v>1.5309706494364959</v>
      </c>
      <c r="X37" s="30">
        <f>'TE BE'!$AB$37*'TE BF'!$X$48</f>
        <v>0</v>
      </c>
      <c r="Y37" s="30">
        <f>SUM($X$37:$X$37)</f>
        <v>0</v>
      </c>
      <c r="Z37" s="30">
        <f>'TE BE'!$Z$37*'TE BF'!$Z$48</f>
        <v>0.13345409894594942</v>
      </c>
      <c r="AA37" s="30">
        <f>SUM($Z$37:$Z$37)</f>
        <v>0.13345409894594942</v>
      </c>
      <c r="AB37" s="30">
        <f>SUMIF($L$4:$AA$4,"SUBTOTAL",$L$37:$AA$37)</f>
        <v>16.214698330261857</v>
      </c>
    </row>
    <row r="38" spans="1:28" ht="11.25" customHeight="1" x14ac:dyDescent="0.25">
      <c r="A38" s="130"/>
      <c r="B38" s="38" t="s">
        <v>92</v>
      </c>
      <c r="C38" s="38" t="s">
        <v>25</v>
      </c>
      <c r="D38" s="38" t="s">
        <v>25</v>
      </c>
      <c r="E38" s="38" t="s">
        <v>25</v>
      </c>
      <c r="F38" s="38" t="s">
        <v>25</v>
      </c>
      <c r="G38" s="32" t="s">
        <v>86</v>
      </c>
      <c r="H38" s="32" t="s">
        <v>80</v>
      </c>
      <c r="I38" s="32">
        <f>'MERCADO TE'!$U$35</f>
        <v>86690.115999999995</v>
      </c>
      <c r="J38" s="17"/>
      <c r="L38" s="30">
        <f>'TE BE'!$L$38*'TE BF'!$L$48</f>
        <v>0</v>
      </c>
      <c r="M38" s="30">
        <f>'TE BE'!$M$38*'TE BF'!$M$48</f>
        <v>9.7329561648980523</v>
      </c>
      <c r="N38" s="30">
        <f>'TE BE'!$N$38*'TE BF'!$N$48</f>
        <v>0</v>
      </c>
      <c r="O38" s="30">
        <f>'TE BE'!$O$38*'TE BF'!$O$48</f>
        <v>0.7278743390446708</v>
      </c>
      <c r="P38" s="30">
        <f>'TE BE'!$P$38*'TE BF'!$P$48</f>
        <v>0</v>
      </c>
      <c r="Q38" s="30">
        <f>SUM($L$38:$P$38)</f>
        <v>10.460830503942724</v>
      </c>
      <c r="R38" s="30">
        <f>'TE BE'!$R$38*'TE BF'!$R$48</f>
        <v>4.3348096626128898</v>
      </c>
      <c r="S38" s="30">
        <f>SUM($R$38:$R$38)</f>
        <v>4.3348096626128898</v>
      </c>
      <c r="T38" s="30">
        <f>'TE BE'!$T$38*'TE BF'!$T$48</f>
        <v>1.3070916074228662</v>
      </c>
      <c r="U38" s="30">
        <f>'TE BE'!$U$38*'TE BF'!$U$48</f>
        <v>0.2238790420136296</v>
      </c>
      <c r="V38" s="30">
        <f>'TE BE'!$V$38*'TE BF'!$V$48</f>
        <v>0</v>
      </c>
      <c r="W38" s="30">
        <f>SUM($T$38:$V$38)</f>
        <v>1.5309706494364959</v>
      </c>
      <c r="X38" s="30">
        <f>'TE BE'!$AB$38*'TE BF'!$X$48</f>
        <v>0</v>
      </c>
      <c r="Y38" s="30">
        <f>SUM($X$38:$X$38)</f>
        <v>0</v>
      </c>
      <c r="Z38" s="30">
        <f>'TE BE'!$Z$38*'TE BF'!$Z$48</f>
        <v>0.13345409894594942</v>
      </c>
      <c r="AA38" s="30">
        <f>SUM($Z$38:$Z$38)</f>
        <v>0.13345409894594942</v>
      </c>
      <c r="AB38" s="30">
        <f>SUMIF($L$4:$AA$4,"SUBTOTAL",$L$38:$AA$38)</f>
        <v>16.460064914938062</v>
      </c>
    </row>
    <row r="39" spans="1:28" ht="11.25" customHeight="1" x14ac:dyDescent="0.25">
      <c r="A39" s="130"/>
      <c r="B39" s="38" t="s">
        <v>93</v>
      </c>
      <c r="C39" s="38" t="s">
        <v>25</v>
      </c>
      <c r="D39" s="38" t="s">
        <v>25</v>
      </c>
      <c r="E39" s="38" t="s">
        <v>25</v>
      </c>
      <c r="F39" s="38" t="s">
        <v>25</v>
      </c>
      <c r="G39" s="32" t="s">
        <v>86</v>
      </c>
      <c r="H39" s="32" t="s">
        <v>80</v>
      </c>
      <c r="I39" s="32">
        <f>'MERCADO TE'!$U$36</f>
        <v>0</v>
      </c>
      <c r="J39" s="17"/>
      <c r="L39" s="30">
        <f>'TE BE'!$L$39*'TE BF'!$L$48</f>
        <v>0</v>
      </c>
      <c r="M39" s="30">
        <f>'TE BE'!$M$39*'TE BF'!$M$48</f>
        <v>9.7329561648980523</v>
      </c>
      <c r="N39" s="30">
        <f>'TE BE'!$N$39*'TE BF'!$N$48</f>
        <v>0</v>
      </c>
      <c r="O39" s="30">
        <f>'TE BE'!$O$39*'TE BF'!$O$48</f>
        <v>0.7278743390446708</v>
      </c>
      <c r="P39" s="30">
        <f>'TE BE'!$P$39*'TE BF'!$P$48</f>
        <v>0</v>
      </c>
      <c r="Q39" s="30">
        <f>SUM($L$39:$P$39)</f>
        <v>10.460830503942724</v>
      </c>
      <c r="R39" s="30">
        <f>'TE BE'!$R$39*'TE BF'!$R$48</f>
        <v>4.3348096626128898</v>
      </c>
      <c r="S39" s="30">
        <f>SUM($R$39:$R$39)</f>
        <v>4.3348096626128898</v>
      </c>
      <c r="T39" s="30">
        <f>'TE BE'!$T$39*'TE BF'!$T$48</f>
        <v>1.3070916074228662</v>
      </c>
      <c r="U39" s="30">
        <f>'TE BE'!$U$39*'TE BF'!$U$48</f>
        <v>0.2238790420136296</v>
      </c>
      <c r="V39" s="30">
        <f>'TE BE'!$V$39*'TE BF'!$V$48</f>
        <v>0</v>
      </c>
      <c r="W39" s="30">
        <f>SUM($T$39:$V$39)</f>
        <v>1.5309706494364959</v>
      </c>
      <c r="X39" s="30">
        <f>'TE BE'!$AB$39*'TE BF'!$X$48</f>
        <v>0</v>
      </c>
      <c r="Y39" s="30">
        <f>SUM($X$39:$X$39)</f>
        <v>0</v>
      </c>
      <c r="Z39" s="30">
        <f>'TE BE'!$Z$39*'TE BF'!$Z$48</f>
        <v>0.13345409894594942</v>
      </c>
      <c r="AA39" s="30">
        <f>SUM($Z$39:$Z$39)</f>
        <v>0.13345409894594942</v>
      </c>
      <c r="AB39" s="30">
        <f>SUMIF($L$4:$AA$4,"SUBTOTAL",$L$39:$AA$39)</f>
        <v>16.460064914938062</v>
      </c>
    </row>
    <row r="40" spans="1:28" ht="11.25" customHeight="1" x14ac:dyDescent="0.25">
      <c r="A40" s="130" t="s">
        <v>46</v>
      </c>
      <c r="B40" s="130" t="s">
        <v>92</v>
      </c>
      <c r="C40" s="130" t="s">
        <v>47</v>
      </c>
      <c r="D40" s="38" t="s">
        <v>48</v>
      </c>
      <c r="E40" s="38" t="s">
        <v>25</v>
      </c>
      <c r="F40" s="38" t="s">
        <v>25</v>
      </c>
      <c r="G40" s="32" t="s">
        <v>86</v>
      </c>
      <c r="H40" s="32" t="s">
        <v>80</v>
      </c>
      <c r="I40" s="32">
        <f>'MERCADO TE'!$U$37</f>
        <v>18976.334999999999</v>
      </c>
      <c r="J40" s="17"/>
      <c r="L40" s="30">
        <f>'TE BE'!$L$40*'TE BF'!$L$48</f>
        <v>0</v>
      </c>
      <c r="M40" s="30">
        <f>'TE BE'!$M$40*'TE BF'!$M$48</f>
        <v>5.3531258906939296</v>
      </c>
      <c r="N40" s="30">
        <f>'TE BE'!$N$40*'TE BF'!$N$48</f>
        <v>0</v>
      </c>
      <c r="O40" s="30">
        <f>'TE BE'!$O$40*'TE BF'!$O$48</f>
        <v>0.40033088647456899</v>
      </c>
      <c r="P40" s="30">
        <f>'TE BE'!$P$40*'TE BF'!$P$48</f>
        <v>0</v>
      </c>
      <c r="Q40" s="30">
        <f>SUM($L$40:$P$40)</f>
        <v>5.7534567771684983</v>
      </c>
      <c r="R40" s="30">
        <f>'TE BE'!$R$40*'TE BF'!$R$48</f>
        <v>2.3841453144370894</v>
      </c>
      <c r="S40" s="30">
        <f>SUM($R$40:$R$40)</f>
        <v>2.3841453144370894</v>
      </c>
      <c r="T40" s="30">
        <f>'TE BE'!$T$40*'TE BF'!$T$48</f>
        <v>0.7189003840825765</v>
      </c>
      <c r="U40" s="30">
        <f>'TE BE'!$U$40*'TE BF'!$U$48</f>
        <v>0.12313347310749628</v>
      </c>
      <c r="V40" s="30">
        <f>'TE BE'!$V$40*'TE BF'!$V$48</f>
        <v>0</v>
      </c>
      <c r="W40" s="30">
        <f>SUM($T$40:$V$40)</f>
        <v>0.84203385719007273</v>
      </c>
      <c r="X40" s="30">
        <f>'TE BE'!$AB$40*'TE BF'!$X$48</f>
        <v>0</v>
      </c>
      <c r="Y40" s="30">
        <f>SUM($X$40:$X$40)</f>
        <v>0</v>
      </c>
      <c r="Z40" s="30">
        <f>'TE BE'!$Z$40*'TE BF'!$Z$48</f>
        <v>7.3399754420272204E-2</v>
      </c>
      <c r="AA40" s="30">
        <f>SUM($Z$40:$Z$40)</f>
        <v>7.3399754420272204E-2</v>
      </c>
      <c r="AB40" s="30">
        <f>SUMIF($L$4:$AA$4,"SUBTOTAL",$L$40:$AA$40)</f>
        <v>9.053035703215933</v>
      </c>
    </row>
    <row r="41" spans="1:28" ht="11.25" customHeight="1" x14ac:dyDescent="0.25">
      <c r="A41" s="130"/>
      <c r="B41" s="130"/>
      <c r="C41" s="130"/>
      <c r="D41" s="32" t="s">
        <v>96</v>
      </c>
      <c r="E41" s="32" t="s">
        <v>25</v>
      </c>
      <c r="F41" s="32" t="s">
        <v>25</v>
      </c>
      <c r="G41" s="32" t="s">
        <v>86</v>
      </c>
      <c r="H41" s="32" t="s">
        <v>80</v>
      </c>
      <c r="I41" s="32">
        <f>'MERCADO TE'!$U$38</f>
        <v>0</v>
      </c>
      <c r="J41" s="17"/>
      <c r="L41" s="30">
        <f>'TE BE'!$L$41*'TE BF'!$L$48</f>
        <v>0</v>
      </c>
      <c r="M41" s="30">
        <f>'TE BE'!$M$41*'TE BF'!$M$48</f>
        <v>5.8397736989388322</v>
      </c>
      <c r="N41" s="30">
        <f>'TE BE'!$N$41*'TE BF'!$N$48</f>
        <v>0</v>
      </c>
      <c r="O41" s="30">
        <f>'TE BE'!$O$41*'TE BF'!$O$48</f>
        <v>0.43672460342680247</v>
      </c>
      <c r="P41" s="30">
        <f>'TE BE'!$P$41*'TE BF'!$P$48</f>
        <v>0</v>
      </c>
      <c r="Q41" s="30">
        <f>SUM($L$41:$P$41)</f>
        <v>6.2764983023656349</v>
      </c>
      <c r="R41" s="30">
        <f>'TE BE'!$R$41*'TE BF'!$R$48</f>
        <v>2.6008857975677335</v>
      </c>
      <c r="S41" s="30">
        <f>SUM($R$41:$R$41)</f>
        <v>2.6008857975677335</v>
      </c>
      <c r="T41" s="30">
        <f>'TE BE'!$T$41*'TE BF'!$T$48</f>
        <v>0.78425496445371978</v>
      </c>
      <c r="U41" s="30">
        <f>'TE BE'!$U$41*'TE BF'!$U$48</f>
        <v>0.13432742520817775</v>
      </c>
      <c r="V41" s="30">
        <f>'TE BE'!$V$41*'TE BF'!$V$48</f>
        <v>0</v>
      </c>
      <c r="W41" s="30">
        <f>SUM($T$41:$V$41)</f>
        <v>0.91858238966189754</v>
      </c>
      <c r="X41" s="30">
        <f>'TE BE'!$AB$41*'TE BF'!$X$48</f>
        <v>0</v>
      </c>
      <c r="Y41" s="30">
        <f>SUM($X$41:$X$41)</f>
        <v>0</v>
      </c>
      <c r="Z41" s="30">
        <f>'TE BE'!$Z$41*'TE BF'!$Z$48</f>
        <v>8.0072459367569654E-2</v>
      </c>
      <c r="AA41" s="30">
        <f>SUM($Z$41:$Z$41)</f>
        <v>8.0072459367569654E-2</v>
      </c>
      <c r="AB41" s="30">
        <f>SUMIF($L$4:$AA$4,"SUBTOTAL",$L$41:$AA$41)</f>
        <v>9.8760389489628366</v>
      </c>
    </row>
    <row r="43" spans="1:28" ht="11.25" customHeight="1" x14ac:dyDescent="0.25">
      <c r="K43" s="37" t="s">
        <v>767</v>
      </c>
      <c r="L43" s="30">
        <f t="shared" ref="L43:AB43" si="0">SUMPRODUCT($I$5:$I$41,L$5:L$41)</f>
        <v>0</v>
      </c>
      <c r="M43" s="30">
        <f t="shared" si="0"/>
        <v>4743030.0867000008</v>
      </c>
      <c r="N43" s="30">
        <f t="shared" si="0"/>
        <v>0</v>
      </c>
      <c r="O43" s="30">
        <f t="shared" si="0"/>
        <v>354705.17188565916</v>
      </c>
      <c r="P43" s="30">
        <f t="shared" si="0"/>
        <v>0</v>
      </c>
      <c r="Q43" s="30">
        <f t="shared" si="0"/>
        <v>5097735.2585856589</v>
      </c>
      <c r="R43" s="30">
        <f t="shared" si="0"/>
        <v>2107013.5999463117</v>
      </c>
      <c r="S43" s="30">
        <f t="shared" si="0"/>
        <v>2107013.5999463117</v>
      </c>
      <c r="T43" s="30">
        <f t="shared" si="0"/>
        <v>636967.30110000004</v>
      </c>
      <c r="U43" s="30">
        <f t="shared" si="0"/>
        <v>109099.95011400948</v>
      </c>
      <c r="V43" s="30">
        <f t="shared" si="0"/>
        <v>0</v>
      </c>
      <c r="W43" s="30">
        <f t="shared" si="0"/>
        <v>746067.25121400948</v>
      </c>
      <c r="X43" s="30">
        <f t="shared" si="0"/>
        <v>0</v>
      </c>
      <c r="Y43" s="30">
        <f t="shared" si="0"/>
        <v>0</v>
      </c>
      <c r="Z43" s="30">
        <f t="shared" si="0"/>
        <v>65034.383775086797</v>
      </c>
      <c r="AA43" s="30">
        <f t="shared" si="0"/>
        <v>65034.383775086797</v>
      </c>
      <c r="AB43" s="30">
        <f t="shared" si="0"/>
        <v>8015850.4935210682</v>
      </c>
    </row>
    <row r="44" spans="1:28" ht="11.25" customHeight="1" x14ac:dyDescent="0.25">
      <c r="K44" s="37" t="s">
        <v>686</v>
      </c>
      <c r="L44" s="30">
        <f>CUSTOS!$D$30</f>
        <v>1547247.5504463778</v>
      </c>
      <c r="M44" s="30">
        <f>CUSTOS!$D$31</f>
        <v>13955488.450000001</v>
      </c>
      <c r="N44" s="30">
        <f>CUSTOS!$D$32</f>
        <v>0</v>
      </c>
      <c r="O44" s="30">
        <f>CUSTOS!$D$33</f>
        <v>5157975.3383182185</v>
      </c>
      <c r="P44" s="30">
        <f>CUSTOS!$D$34</f>
        <v>-8064467.3899999997</v>
      </c>
      <c r="Q44" s="30">
        <f>CUSTOS!$D$35</f>
        <v>12596243.948764596</v>
      </c>
      <c r="R44" s="30">
        <f>CUSTOS!$D$36</f>
        <v>125601206.97116724</v>
      </c>
      <c r="S44" s="30">
        <f>CUSTOS!$D$37</f>
        <v>125601206.97116724</v>
      </c>
      <c r="T44" s="30">
        <f>CUSTOS!$D$38</f>
        <v>3309508.075408096</v>
      </c>
      <c r="U44" s="30">
        <f>CUSTOS!$D$39</f>
        <v>2280040.2482939754</v>
      </c>
      <c r="V44" s="30">
        <f>CUSTOS!$D$40</f>
        <v>0</v>
      </c>
      <c r="W44" s="30">
        <f>CUSTOS!$D$41</f>
        <v>5589548.3237020709</v>
      </c>
      <c r="X44" s="30">
        <f>CUSTOS!$D$42</f>
        <v>0</v>
      </c>
      <c r="Y44" s="30">
        <f>CUSTOS!$D$43</f>
        <v>0</v>
      </c>
      <c r="Z44" s="30">
        <f>CUSTOS!$D$44</f>
        <v>3876765.2458366361</v>
      </c>
      <c r="AA44" s="30">
        <f>CUSTOS!$D$45</f>
        <v>3876765.2458366361</v>
      </c>
      <c r="AB44" s="30">
        <f>CUSTOS!$D$46</f>
        <v>147663764.48947054</v>
      </c>
    </row>
    <row r="45" spans="1:28" ht="11.25" customHeight="1" x14ac:dyDescent="0.25">
      <c r="K45" s="37" t="s">
        <v>687</v>
      </c>
      <c r="L45" s="30">
        <f>CUSTOS!$E$30</f>
        <v>1.6251823968117272</v>
      </c>
      <c r="M45" s="30">
        <f>CUSTOS!$E$31</f>
        <v>-1927337.176929784</v>
      </c>
      <c r="N45" s="30">
        <f>CUSTOS!$E$32</f>
        <v>0</v>
      </c>
      <c r="O45" s="30">
        <f>CUSTOS!$E$33</f>
        <v>75017.44241902011</v>
      </c>
      <c r="P45" s="30">
        <f>CUSTOS!$E$34</f>
        <v>0</v>
      </c>
      <c r="Q45" s="30">
        <f>CUSTOS!$E$35</f>
        <v>-1852318.1093283673</v>
      </c>
      <c r="R45" s="30">
        <f>CUSTOS!$E$36</f>
        <v>5525366.701882883</v>
      </c>
      <c r="S45" s="30">
        <f>CUSTOS!$E$37</f>
        <v>5525366.701882883</v>
      </c>
      <c r="T45" s="30">
        <f>CUSTOS!$E$38</f>
        <v>229031.73735434609</v>
      </c>
      <c r="U45" s="30">
        <f>CUSTOS!$E$39</f>
        <v>190800.61359658238</v>
      </c>
      <c r="V45" s="30">
        <f>CUSTOS!$E$40</f>
        <v>0</v>
      </c>
      <c r="W45" s="30">
        <f>CUSTOS!$E$41</f>
        <v>419832.35095092846</v>
      </c>
      <c r="X45" s="30">
        <f>CUSTOS!$E$42</f>
        <v>-4356753.4902680693</v>
      </c>
      <c r="Y45" s="30">
        <f>CUSTOS!$E$43</f>
        <v>-4356753.4902680693</v>
      </c>
      <c r="Z45" s="30">
        <f>CUSTOS!$E$44</f>
        <v>170544.13820465765</v>
      </c>
      <c r="AA45" s="30">
        <f>CUSTOS!$E$45</f>
        <v>170544.13820465765</v>
      </c>
      <c r="AB45" s="30">
        <f>CUSTOS!$E$46</f>
        <v>-93328.408557967574</v>
      </c>
    </row>
    <row r="46" spans="1:28" ht="11.25" customHeight="1" x14ac:dyDescent="0.25">
      <c r="K46" s="37" t="s">
        <v>688</v>
      </c>
      <c r="L46" s="30">
        <f>CUSTOS!$F$30</f>
        <v>0</v>
      </c>
      <c r="M46" s="30">
        <f>CUSTOS!$F$31</f>
        <v>4743030.0866999999</v>
      </c>
      <c r="N46" s="30">
        <f>CUSTOS!$F$32</f>
        <v>0</v>
      </c>
      <c r="O46" s="30">
        <f>CUSTOS!$F$33</f>
        <v>354705.17188565916</v>
      </c>
      <c r="P46" s="30">
        <f>CUSTOS!$F$34</f>
        <v>0</v>
      </c>
      <c r="Q46" s="30">
        <f>CUSTOS!$F$35</f>
        <v>5097735.2585856589</v>
      </c>
      <c r="R46" s="30">
        <f>CUSTOS!$F$36</f>
        <v>2107013.5999463112</v>
      </c>
      <c r="S46" s="30">
        <f>CUSTOS!$F$37</f>
        <v>2107013.5999463112</v>
      </c>
      <c r="T46" s="30">
        <f>CUSTOS!$F$38</f>
        <v>636967.30110000004</v>
      </c>
      <c r="U46" s="30">
        <f>CUSTOS!$F$39</f>
        <v>109099.95011400947</v>
      </c>
      <c r="V46" s="30">
        <f>CUSTOS!$F$40</f>
        <v>0</v>
      </c>
      <c r="W46" s="30">
        <f>CUSTOS!$F$41</f>
        <v>746067.25121400948</v>
      </c>
      <c r="X46" s="30">
        <f>CUSTOS!$F$42</f>
        <v>0</v>
      </c>
      <c r="Y46" s="30">
        <f>CUSTOS!$F$43</f>
        <v>0</v>
      </c>
      <c r="Z46" s="30">
        <f>CUSTOS!$F$44</f>
        <v>65034.383775086797</v>
      </c>
      <c r="AA46" s="30">
        <f>CUSTOS!$F$45</f>
        <v>65034.383775086797</v>
      </c>
      <c r="AB46" s="30">
        <f>CUSTOS!$F$46</f>
        <v>8015850.4935210673</v>
      </c>
    </row>
    <row r="47" spans="1:28" ht="11.25" customHeight="1" x14ac:dyDescent="0.25"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</row>
    <row r="48" spans="1:28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1:28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940" priority="33" operator="notEqual">
      <formula>$L$46</formula>
    </cfRule>
    <cfRule type="cellIs" dxfId="939" priority="34" operator="equal">
      <formula>$L$46</formula>
    </cfRule>
  </conditionalFormatting>
  <conditionalFormatting sqref="M43">
    <cfRule type="cellIs" dxfId="938" priority="31" operator="notEqual">
      <formula>$M$46</formula>
    </cfRule>
    <cfRule type="cellIs" dxfId="937" priority="32" operator="equal">
      <formula>$M$46</formula>
    </cfRule>
  </conditionalFormatting>
  <conditionalFormatting sqref="N43">
    <cfRule type="cellIs" dxfId="936" priority="29" operator="notEqual">
      <formula>$N$46</formula>
    </cfRule>
    <cfRule type="cellIs" dxfId="935" priority="30" operator="equal">
      <formula>$N$46</formula>
    </cfRule>
  </conditionalFormatting>
  <conditionalFormatting sqref="O43">
    <cfRule type="cellIs" dxfId="934" priority="27" operator="notEqual">
      <formula>$O$46</formula>
    </cfRule>
    <cfRule type="cellIs" dxfId="933" priority="28" operator="equal">
      <formula>$O$46</formula>
    </cfRule>
  </conditionalFormatting>
  <conditionalFormatting sqref="P43">
    <cfRule type="cellIs" dxfId="932" priority="25" operator="notEqual">
      <formula>$P$46</formula>
    </cfRule>
    <cfRule type="cellIs" dxfId="931" priority="26" operator="equal">
      <formula>$P$46</formula>
    </cfRule>
  </conditionalFormatting>
  <conditionalFormatting sqref="Q43">
    <cfRule type="cellIs" dxfId="930" priority="23" operator="notEqual">
      <formula>$Q$46</formula>
    </cfRule>
    <cfRule type="cellIs" dxfId="929" priority="24" operator="equal">
      <formula>$Q$46</formula>
    </cfRule>
  </conditionalFormatting>
  <conditionalFormatting sqref="R43">
    <cfRule type="cellIs" dxfId="928" priority="21" operator="notEqual">
      <formula>$R$46</formula>
    </cfRule>
    <cfRule type="cellIs" dxfId="927" priority="22" operator="equal">
      <formula>$R$46</formula>
    </cfRule>
  </conditionalFormatting>
  <conditionalFormatting sqref="S43">
    <cfRule type="cellIs" dxfId="926" priority="19" operator="notEqual">
      <formula>$S$46</formula>
    </cfRule>
    <cfRule type="cellIs" dxfId="925" priority="20" operator="equal">
      <formula>$S$46</formula>
    </cfRule>
  </conditionalFormatting>
  <conditionalFormatting sqref="T43">
    <cfRule type="cellIs" dxfId="924" priority="17" operator="notEqual">
      <formula>$T$46</formula>
    </cfRule>
    <cfRule type="cellIs" dxfId="923" priority="18" operator="equal">
      <formula>$T$46</formula>
    </cfRule>
  </conditionalFormatting>
  <conditionalFormatting sqref="U43">
    <cfRule type="cellIs" dxfId="922" priority="15" operator="notEqual">
      <formula>$U$46</formula>
    </cfRule>
    <cfRule type="cellIs" dxfId="921" priority="16" operator="equal">
      <formula>$U$46</formula>
    </cfRule>
  </conditionalFormatting>
  <conditionalFormatting sqref="V43">
    <cfRule type="cellIs" dxfId="920" priority="13" operator="notEqual">
      <formula>$V$46</formula>
    </cfRule>
    <cfRule type="cellIs" dxfId="919" priority="14" operator="equal">
      <formula>$V$46</formula>
    </cfRule>
  </conditionalFormatting>
  <conditionalFormatting sqref="W43">
    <cfRule type="cellIs" dxfId="918" priority="11" operator="notEqual">
      <formula>$W$46</formula>
    </cfRule>
    <cfRule type="cellIs" dxfId="917" priority="12" operator="equal">
      <formula>$W$46</formula>
    </cfRule>
  </conditionalFormatting>
  <conditionalFormatting sqref="X43">
    <cfRule type="cellIs" dxfId="916" priority="9" operator="notEqual">
      <formula>$X$46</formula>
    </cfRule>
    <cfRule type="cellIs" dxfId="915" priority="10" operator="equal">
      <formula>$X$46</formula>
    </cfRule>
  </conditionalFormatting>
  <conditionalFormatting sqref="Y43">
    <cfRule type="cellIs" dxfId="914" priority="7" operator="notEqual">
      <formula>$Y$46</formula>
    </cfRule>
    <cfRule type="cellIs" dxfId="913" priority="8" operator="equal">
      <formula>$Y$46</formula>
    </cfRule>
  </conditionalFormatting>
  <conditionalFormatting sqref="Z43">
    <cfRule type="cellIs" dxfId="912" priority="5" operator="notEqual">
      <formula>$Z$46</formula>
    </cfRule>
    <cfRule type="cellIs" dxfId="911" priority="6" operator="equal">
      <formula>$Z$46</formula>
    </cfRule>
  </conditionalFormatting>
  <conditionalFormatting sqref="AA43">
    <cfRule type="cellIs" dxfId="910" priority="3" operator="notEqual">
      <formula>$AA$46</formula>
    </cfRule>
    <cfRule type="cellIs" dxfId="909" priority="4" operator="equal">
      <formula>$AA$46</formula>
    </cfRule>
  </conditionalFormatting>
  <conditionalFormatting sqref="AB43">
    <cfRule type="cellIs" dxfId="908" priority="1" operator="notEqual">
      <formula>$AB$46</formula>
    </cfRule>
    <cfRule type="cellIs" dxfId="907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70C7-AC75-41F1-966D-3A4760A63B43}">
  <dimension ref="A1:AV1261"/>
  <sheetViews>
    <sheetView showGridLines="0" topLeftCell="AI1" workbookViewId="0">
      <selection activeCell="AU20" sqref="AU20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27.8554687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1.71093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793</v>
      </c>
      <c r="W1" s="1" t="s">
        <v>794</v>
      </c>
      <c r="X1" s="1" t="s">
        <v>795</v>
      </c>
      <c r="Y1" s="1" t="s">
        <v>796</v>
      </c>
      <c r="Z1" s="1" t="s">
        <v>797</v>
      </c>
      <c r="AA1" s="1" t="s">
        <v>798</v>
      </c>
      <c r="AB1" s="1" t="s">
        <v>815</v>
      </c>
      <c r="AC1" s="1" t="s">
        <v>816</v>
      </c>
      <c r="AD1" s="1" t="s">
        <v>817</v>
      </c>
      <c r="AE1" s="1" t="s">
        <v>818</v>
      </c>
      <c r="AF1" s="1" t="s">
        <v>819</v>
      </c>
      <c r="AG1" s="1" t="s">
        <v>820</v>
      </c>
      <c r="AI1" s="52" t="s">
        <v>70</v>
      </c>
      <c r="AJ1" s="52" t="s">
        <v>821</v>
      </c>
      <c r="AK1" s="52" t="s">
        <v>822</v>
      </c>
      <c r="AL1" s="52" t="s">
        <v>823</v>
      </c>
      <c r="AN1" s="52" t="s">
        <v>70</v>
      </c>
      <c r="AO1" s="52" t="s">
        <v>824</v>
      </c>
      <c r="AP1" s="52" t="s">
        <v>825</v>
      </c>
      <c r="AQ1" s="52" t="s">
        <v>823</v>
      </c>
      <c r="AS1" s="52" t="s">
        <v>70</v>
      </c>
      <c r="AT1" s="52" t="s">
        <v>826</v>
      </c>
      <c r="AU1" s="52" t="s">
        <v>827</v>
      </c>
      <c r="AV1" s="52" t="s">
        <v>823</v>
      </c>
    </row>
    <row r="2" spans="1:48" ht="11.25" customHeight="1" x14ac:dyDescent="0.25">
      <c r="A2" s="4" t="s">
        <v>21</v>
      </c>
      <c r="B2" s="4" t="s">
        <v>39</v>
      </c>
      <c r="C2" s="4" t="s">
        <v>42</v>
      </c>
      <c r="D2" s="4" t="s">
        <v>41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44440</v>
      </c>
      <c r="J2" s="6">
        <v>424</v>
      </c>
      <c r="K2" s="6">
        <v>424</v>
      </c>
      <c r="L2" s="6">
        <v>116.837</v>
      </c>
      <c r="M2" s="6">
        <v>116.837</v>
      </c>
      <c r="N2" s="6">
        <v>116.837</v>
      </c>
      <c r="O2" s="6">
        <v>116.837</v>
      </c>
      <c r="P2" s="6">
        <v>0</v>
      </c>
      <c r="Q2" s="4" t="s">
        <v>26</v>
      </c>
      <c r="R2" s="4">
        <v>0</v>
      </c>
      <c r="S2" s="6">
        <v>2</v>
      </c>
      <c r="T2" s="6">
        <v>3</v>
      </c>
      <c r="U2" s="6">
        <v>49</v>
      </c>
      <c r="V2" s="6">
        <f>IF(ISERROR(VLOOKUP($S$2,'TAR FIN'!$A$1:$O$85,15,0)),0,VLOOKUP($S$2,'TAR FIN'!$A$1:$O$85,15,0))</f>
        <v>16.64</v>
      </c>
      <c r="W2" s="6">
        <f>IF(ISERROR(VLOOKUP($T$2,'TAR FIN'!$A$1:$O$85,15,0)),0,VLOOKUP($T$2,'TAR FIN'!$A$1:$O$85,15,0))</f>
        <v>76.75</v>
      </c>
      <c r="X2" s="6">
        <f>IF(ISERROR(VLOOKUP($U$2,'TAR FIN'!$A$1:$O$85,15,0)),0,VLOOKUP($U$2,'TAR FIN'!$A$1:$O$85,15,0))</f>
        <v>307.08</v>
      </c>
      <c r="Y2" s="6">
        <f ca="1">('TUSD BE'!$AM$6+'TUSD BF'!$AM$6+'TUSD CVA'!$AM$6)*1</f>
        <v>18.371854423657158</v>
      </c>
      <c r="Z2" s="6">
        <f ca="1">('TUSD BE'!$AM$7+'TUSD BF'!$AM$7+'TUSD CVA'!$AM$7)*1</f>
        <v>147.99431148733765</v>
      </c>
      <c r="AA2" s="6">
        <f>('TE BE'!$AB$6+'TE BF'!$AB$6+'TE CVA'!$AB$6)*1</f>
        <v>304.87027853653359</v>
      </c>
      <c r="AB2" s="6">
        <f>$K$2*$V$2</f>
        <v>7055.3600000000006</v>
      </c>
      <c r="AC2" s="6">
        <f>$M$2*$W$2</f>
        <v>8967.2397500000006</v>
      </c>
      <c r="AD2" s="6">
        <f>$O$2*$X$2</f>
        <v>35878.305959999998</v>
      </c>
      <c r="AE2" s="6">
        <f ca="1">$K$2*$Y$2</f>
        <v>7789.666275630635</v>
      </c>
      <c r="AF2" s="6">
        <f ca="1">$M$2*$Z$2</f>
        <v>17291.21137124607</v>
      </c>
      <c r="AG2" s="6">
        <f>$O$2*$AA$2</f>
        <v>35620.128733372978</v>
      </c>
      <c r="AI2" s="53" t="s">
        <v>39</v>
      </c>
      <c r="AJ2" s="54">
        <f>SUMIF($B$2:$B$1261,AI2,$AB$2:$AB$1261)+SUMIF($B$2:$B$1261,AI2,$AC$2:$AC$1261)</f>
        <v>25452319.175970688</v>
      </c>
      <c r="AK2" s="54">
        <f ca="1">SUMIF($B$2:$B$1261,AI2,$AE$2:$AE$1261)+SUMIF($B$2:$B$1261,AI2,$AF$2:$AF$1261)</f>
        <v>36933156.124832585</v>
      </c>
      <c r="AL2" s="55">
        <f t="shared" ref="AL2:AL9" ca="1" si="0">IF(AJ2&lt;&gt;0,AK2/AJ2-1,0)</f>
        <v>0.45107233134577585</v>
      </c>
      <c r="AN2" s="53" t="s">
        <v>39</v>
      </c>
      <c r="AO2" s="54">
        <f>SUMIF($B$2:$B$1261,AN2,$AD$2:$AD$1261)</f>
        <v>18589571.982678398</v>
      </c>
      <c r="AP2" s="54">
        <f>SUMIF($B$2:$B$1261,AN2,$AG$2:$AG$1261)</f>
        <v>18552331.491053164</v>
      </c>
      <c r="AQ2" s="55">
        <f t="shared" ref="AQ2:AQ9" si="1">IF(AO2&lt;&gt;0,AP2/AO2-1,0)</f>
        <v>-2.0033001114783122E-3</v>
      </c>
      <c r="AS2" s="53" t="s">
        <v>39</v>
      </c>
      <c r="AT2" s="54">
        <f>SUMIF($B$2:$B$1261,AS2,$AB$2:$AB$1261)+SUMIF($B$2:$B$1261,AS2,$AC$2:$AC$1261)+SUMIF($B$2:$B$1261,AS2,$AD$2:$AD$1261)</f>
        <v>44041891.158649087</v>
      </c>
      <c r="AU2" s="54">
        <f ca="1">SUMIF($B$2:$B$1261,AS2,$AE$2:$AE$1261)+SUMIF($B$2:$B$1261,AS2,$AF$2:$AF$1261)+SUMIF($B$2:$B$1261,AS2,$AG$2:$AG$1261)</f>
        <v>55485487.615885749</v>
      </c>
      <c r="AV2" s="55">
        <f t="shared" ref="AV2:AV9" ca="1" si="2">IF(AT2&lt;&gt;0,AU2/AT2-1,0)</f>
        <v>0.25983435670403376</v>
      </c>
    </row>
    <row r="3" spans="1:48" ht="11.25" customHeight="1" x14ac:dyDescent="0.25">
      <c r="A3" s="4" t="s">
        <v>28</v>
      </c>
      <c r="B3" s="4" t="s">
        <v>39</v>
      </c>
      <c r="C3" s="4" t="s">
        <v>42</v>
      </c>
      <c r="D3" s="4" t="s">
        <v>41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44440</v>
      </c>
      <c r="J3" s="6">
        <v>38</v>
      </c>
      <c r="K3" s="6">
        <v>38</v>
      </c>
      <c r="L3" s="6">
        <v>5.8490000000000002</v>
      </c>
      <c r="M3" s="6">
        <v>5.8490000000000002</v>
      </c>
      <c r="N3" s="6">
        <v>5.8490000000000002</v>
      </c>
      <c r="O3" s="6">
        <v>5.8490000000000002</v>
      </c>
      <c r="P3" s="6">
        <v>0</v>
      </c>
      <c r="Q3" s="4" t="s">
        <v>26</v>
      </c>
      <c r="R3" s="4">
        <v>0</v>
      </c>
      <c r="S3" s="6">
        <v>2</v>
      </c>
      <c r="T3" s="6">
        <v>3</v>
      </c>
      <c r="U3" s="6">
        <v>49</v>
      </c>
      <c r="V3" s="6">
        <f>IF(ISERROR(VLOOKUP($S$3,'TAR FIN'!$A$1:$O$85,15,0)),0,VLOOKUP($S$3,'TAR FIN'!$A$1:$O$85,15,0))</f>
        <v>16.64</v>
      </c>
      <c r="W3" s="6">
        <f>IF(ISERROR(VLOOKUP($T$3,'TAR FIN'!$A$1:$O$85,15,0)),0,VLOOKUP($T$3,'TAR FIN'!$A$1:$O$85,15,0))</f>
        <v>76.75</v>
      </c>
      <c r="X3" s="6">
        <f>IF(ISERROR(VLOOKUP($U$3,'TAR FIN'!$A$1:$O$85,15,0)),0,VLOOKUP($U$3,'TAR FIN'!$A$1:$O$85,15,0))</f>
        <v>307.08</v>
      </c>
      <c r="Y3" s="6">
        <f ca="1">('TUSD BE'!$AM$6+'TUSD BF'!$AM$6+'TUSD CVA'!$AM$6)*1</f>
        <v>18.371854423657158</v>
      </c>
      <c r="Z3" s="6">
        <f ca="1">('TUSD BE'!$AM$7+'TUSD BF'!$AM$7+'TUSD CVA'!$AM$7)*1</f>
        <v>147.99431148733765</v>
      </c>
      <c r="AA3" s="6">
        <f>('TE BE'!$AB$6+'TE BF'!$AB$6+'TE CVA'!$AB$6)*1</f>
        <v>304.87027853653359</v>
      </c>
      <c r="AB3" s="6">
        <f>$K$3*$V$3</f>
        <v>632.32000000000005</v>
      </c>
      <c r="AC3" s="6">
        <f>$M$3*$W$3</f>
        <v>448.91075000000001</v>
      </c>
      <c r="AD3" s="6">
        <f>$O$3*$X$3</f>
        <v>1796.1109200000001</v>
      </c>
      <c r="AE3" s="6">
        <f ca="1">$K$3*$Y$3</f>
        <v>698.13046809897196</v>
      </c>
      <c r="AF3" s="6">
        <f ca="1">$M$3*$Z$3</f>
        <v>865.61872788943799</v>
      </c>
      <c r="AG3" s="6">
        <f>$O$3*$AA$3</f>
        <v>1783.186259160185</v>
      </c>
      <c r="AI3" s="53" t="s">
        <v>22</v>
      </c>
      <c r="AJ3" s="54">
        <f>SUMIF($B$2:$B$1261,AI3,$AB$2:$AB$1261)+SUMIF($B$2:$B$1261,AI3,$AC$2:$AC$1261)</f>
        <v>44423967.653579988</v>
      </c>
      <c r="AK3" s="54">
        <f ca="1">SUMIF($B$2:$B$1261,AI3,$AE$2:$AE$1261)+SUMIF($B$2:$B$1261,AI3,$AF$2:$AF$1261)</f>
        <v>58596645.236324988</v>
      </c>
      <c r="AL3" s="55">
        <f t="shared" ca="1" si="0"/>
        <v>0.3190322326286601</v>
      </c>
      <c r="AN3" s="53" t="s">
        <v>22</v>
      </c>
      <c r="AO3" s="54">
        <f>SUMIF($B$2:$B$1261,AN3,$AD$2:$AD$1261)</f>
        <v>45014139.489329994</v>
      </c>
      <c r="AP3" s="54">
        <f>SUMIF($B$2:$B$1261,AN3,$AG$2:$AG$1261)</f>
        <v>44653148.293971226</v>
      </c>
      <c r="AQ3" s="55">
        <f t="shared" si="1"/>
        <v>-8.0195067473041171E-3</v>
      </c>
      <c r="AS3" s="53" t="s">
        <v>22</v>
      </c>
      <c r="AT3" s="54">
        <f>SUMIF($B$2:$B$1261,AS3,$AB$2:$AB$1261)+SUMIF($B$2:$B$1261,AS3,$AC$2:$AC$1261)+SUMIF($B$2:$B$1261,AS3,$AD$2:$AD$1261)</f>
        <v>89438107.142909974</v>
      </c>
      <c r="AU3" s="54">
        <f ca="1">SUMIF($B$2:$B$1261,AS3,$AE$2:$AE$1261)+SUMIF($B$2:$B$1261,AS3,$AF$2:$AF$1261)+SUMIF($B$2:$B$1261,AS3,$AG$2:$AG$1261)</f>
        <v>103249793.53029621</v>
      </c>
      <c r="AV3" s="55">
        <f t="shared" ca="1" si="2"/>
        <v>0.15442731100421248</v>
      </c>
    </row>
    <row r="4" spans="1:48" ht="11.25" customHeight="1" x14ac:dyDescent="0.25">
      <c r="A4" s="4" t="s">
        <v>21</v>
      </c>
      <c r="B4" s="4" t="s">
        <v>39</v>
      </c>
      <c r="C4" s="4" t="s">
        <v>42</v>
      </c>
      <c r="D4" s="4" t="s">
        <v>41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44470</v>
      </c>
      <c r="J4" s="6">
        <v>439</v>
      </c>
      <c r="K4" s="6">
        <v>439</v>
      </c>
      <c r="L4" s="6">
        <v>141.21700000000001</v>
      </c>
      <c r="M4" s="6">
        <v>141.21700000000001</v>
      </c>
      <c r="N4" s="6">
        <v>141.21700000000001</v>
      </c>
      <c r="O4" s="6">
        <v>141.21700000000001</v>
      </c>
      <c r="P4" s="6">
        <v>0</v>
      </c>
      <c r="Q4" s="4" t="s">
        <v>26</v>
      </c>
      <c r="R4" s="4">
        <v>0</v>
      </c>
      <c r="S4" s="6">
        <v>2</v>
      </c>
      <c r="T4" s="6">
        <v>3</v>
      </c>
      <c r="U4" s="6">
        <v>49</v>
      </c>
      <c r="V4" s="6">
        <f>IF(ISERROR(VLOOKUP($S$4,'TAR FIN'!$A$1:$O$85,15,0)),0,VLOOKUP($S$4,'TAR FIN'!$A$1:$O$85,15,0))</f>
        <v>16.64</v>
      </c>
      <c r="W4" s="6">
        <f>IF(ISERROR(VLOOKUP($T$4,'TAR FIN'!$A$1:$O$85,15,0)),0,VLOOKUP($T$4,'TAR FIN'!$A$1:$O$85,15,0))</f>
        <v>76.75</v>
      </c>
      <c r="X4" s="6">
        <f>IF(ISERROR(VLOOKUP($U$4,'TAR FIN'!$A$1:$O$85,15,0)),0,VLOOKUP($U$4,'TAR FIN'!$A$1:$O$85,15,0))</f>
        <v>307.08</v>
      </c>
      <c r="Y4" s="6">
        <f ca="1">('TUSD BE'!$AM$6+'TUSD BF'!$AM$6+'TUSD CVA'!$AM$6)*1</f>
        <v>18.371854423657158</v>
      </c>
      <c r="Z4" s="6">
        <f ca="1">('TUSD BE'!$AM$7+'TUSD BF'!$AM$7+'TUSD CVA'!$AM$7)*1</f>
        <v>147.99431148733765</v>
      </c>
      <c r="AA4" s="6">
        <f>('TE BE'!$AB$6+'TE BF'!$AB$6+'TE CVA'!$AB$6)*1</f>
        <v>304.87027853653359</v>
      </c>
      <c r="AB4" s="6">
        <f>$K$4*$V$4</f>
        <v>7304.96</v>
      </c>
      <c r="AC4" s="6">
        <f>$M$4*$W$4</f>
        <v>10838.404750000002</v>
      </c>
      <c r="AD4" s="6">
        <f>$O$4*$X$4</f>
        <v>43364.916360000003</v>
      </c>
      <c r="AE4" s="6">
        <f ca="1">$K$4*$Y$4</f>
        <v>8065.2440919854926</v>
      </c>
      <c r="AF4" s="6">
        <f ca="1">$M$4*$Z$4</f>
        <v>20899.312685307363</v>
      </c>
      <c r="AG4" s="6">
        <f>$O$4*$AA$4</f>
        <v>43052.866124093671</v>
      </c>
      <c r="AI4" s="53" t="s">
        <v>43</v>
      </c>
      <c r="AJ4" s="54">
        <f>SUMIF($B$2:$B$1261,AI4,$AB$2:$AB$1261)+SUMIF($B$2:$B$1261,AI4,$AC$2:$AC$1261)</f>
        <v>40475694.302794985</v>
      </c>
      <c r="AK4" s="54">
        <f ca="1">SUMIF($B$2:$B$1261,AI4,$AE$2:$AE$1261)+SUMIF($B$2:$B$1261,AI4,$AF$2:$AF$1261)</f>
        <v>57865212.984831974</v>
      </c>
      <c r="AL4" s="55">
        <f t="shared" ca="1" si="0"/>
        <v>0.42962866929341792</v>
      </c>
      <c r="AN4" s="53" t="s">
        <v>43</v>
      </c>
      <c r="AO4" s="54">
        <f>SUMIF($B$2:$B$1261,AN4,$AD$2:$AD$1261)</f>
        <v>40185551.921741582</v>
      </c>
      <c r="AP4" s="54">
        <f>SUMIF($B$2:$B$1261,AN4,$AG$2:$AG$1261)</f>
        <v>42580752.775569066</v>
      </c>
      <c r="AQ4" s="55">
        <f t="shared" si="1"/>
        <v>5.9603532595295938E-2</v>
      </c>
      <c r="AS4" s="53" t="s">
        <v>43</v>
      </c>
      <c r="AT4" s="54">
        <f>SUMIF($B$2:$B$1261,AS4,$AB$2:$AB$1261)+SUMIF($B$2:$B$1261,AS4,$AC$2:$AC$1261)+SUMIF($B$2:$B$1261,AS4,$AD$2:$AD$1261)</f>
        <v>80661246.224536568</v>
      </c>
      <c r="AU4" s="54">
        <f ca="1">SUMIF($B$2:$B$1261,AS4,$AE$2:$AE$1261)+SUMIF($B$2:$B$1261,AS4,$AF$2:$AF$1261)+SUMIF($B$2:$B$1261,AS4,$AG$2:$AG$1261)</f>
        <v>100445965.76040104</v>
      </c>
      <c r="AV4" s="55">
        <f t="shared" ca="1" si="2"/>
        <v>0.24528160004855093</v>
      </c>
    </row>
    <row r="5" spans="1:48" ht="11.25" customHeight="1" x14ac:dyDescent="0.25">
      <c r="A5" s="4" t="s">
        <v>28</v>
      </c>
      <c r="B5" s="4" t="s">
        <v>39</v>
      </c>
      <c r="C5" s="4" t="s">
        <v>42</v>
      </c>
      <c r="D5" s="4" t="s">
        <v>41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44470</v>
      </c>
      <c r="J5" s="6">
        <v>38</v>
      </c>
      <c r="K5" s="6">
        <v>38</v>
      </c>
      <c r="L5" s="6">
        <v>6.657</v>
      </c>
      <c r="M5" s="6">
        <v>6.657</v>
      </c>
      <c r="N5" s="6">
        <v>6.657</v>
      </c>
      <c r="O5" s="6">
        <v>6.657</v>
      </c>
      <c r="P5" s="6">
        <v>0</v>
      </c>
      <c r="Q5" s="4" t="s">
        <v>26</v>
      </c>
      <c r="R5" s="4">
        <v>0</v>
      </c>
      <c r="S5" s="6">
        <v>2</v>
      </c>
      <c r="T5" s="6">
        <v>3</v>
      </c>
      <c r="U5" s="6">
        <v>49</v>
      </c>
      <c r="V5" s="6">
        <f>IF(ISERROR(VLOOKUP($S$5,'TAR FIN'!$A$1:$O$85,15,0)),0,VLOOKUP($S$5,'TAR FIN'!$A$1:$O$85,15,0))</f>
        <v>16.64</v>
      </c>
      <c r="W5" s="6">
        <f>IF(ISERROR(VLOOKUP($T$5,'TAR FIN'!$A$1:$O$85,15,0)),0,VLOOKUP($T$5,'TAR FIN'!$A$1:$O$85,15,0))</f>
        <v>76.75</v>
      </c>
      <c r="X5" s="6">
        <f>IF(ISERROR(VLOOKUP($U$5,'TAR FIN'!$A$1:$O$85,15,0)),0,VLOOKUP($U$5,'TAR FIN'!$A$1:$O$85,15,0))</f>
        <v>307.08</v>
      </c>
      <c r="Y5" s="6">
        <f ca="1">('TUSD BE'!$AM$6+'TUSD BF'!$AM$6+'TUSD CVA'!$AM$6)*1</f>
        <v>18.371854423657158</v>
      </c>
      <c r="Z5" s="6">
        <f ca="1">('TUSD BE'!$AM$7+'TUSD BF'!$AM$7+'TUSD CVA'!$AM$7)*1</f>
        <v>147.99431148733765</v>
      </c>
      <c r="AA5" s="6">
        <f>('TE BE'!$AB$6+'TE BF'!$AB$6+'TE CVA'!$AB$6)*1</f>
        <v>304.87027853653359</v>
      </c>
      <c r="AB5" s="6">
        <f>$K$5*$V$5</f>
        <v>632.32000000000005</v>
      </c>
      <c r="AC5" s="6">
        <f>$M$5*$W$5</f>
        <v>510.92475000000002</v>
      </c>
      <c r="AD5" s="6">
        <f>$O$5*$X$5</f>
        <v>2044.2315599999999</v>
      </c>
      <c r="AE5" s="6">
        <f ca="1">$K$5*$Y$5</f>
        <v>698.13046809897196</v>
      </c>
      <c r="AF5" s="6">
        <f ca="1">$M$5*$Z$5</f>
        <v>985.19813157120677</v>
      </c>
      <c r="AG5" s="6">
        <f>$O$5*$AA$5</f>
        <v>2029.5214442177041</v>
      </c>
      <c r="AI5" s="53" t="s">
        <v>37</v>
      </c>
      <c r="AJ5" s="54">
        <f>SUMIF($B$2:$B$1261,AI5,$AB$2:$AB$1261)+SUMIF($B$2:$B$1261,AI5,$AC$2:$AC$1261)</f>
        <v>28434758.380895611</v>
      </c>
      <c r="AK5" s="54">
        <f ca="1">SUMIF($B$2:$B$1261,AI5,$AE$2:$AE$1261)+SUMIF($B$2:$B$1261,AI5,$AF$2:$AF$1261)</f>
        <v>38103801.560341343</v>
      </c>
      <c r="AL5" s="55">
        <f t="shared" ca="1" si="0"/>
        <v>0.34004309267990984</v>
      </c>
      <c r="AN5" s="53" t="s">
        <v>37</v>
      </c>
      <c r="AO5" s="54">
        <f>SUMIF($B$2:$B$1261,AN5,$AD$2:$AD$1261)</f>
        <v>28241867.596684795</v>
      </c>
      <c r="AP5" s="54">
        <f>SUMIF($B$2:$B$1261,AN5,$AG$2:$AG$1261)</f>
        <v>28047760.219707601</v>
      </c>
      <c r="AQ5" s="55">
        <f t="shared" si="1"/>
        <v>-6.8730361514752758E-3</v>
      </c>
      <c r="AS5" s="53" t="s">
        <v>37</v>
      </c>
      <c r="AT5" s="54">
        <f>SUMIF($B$2:$B$1261,AS5,$AB$2:$AB$1261)+SUMIF($B$2:$B$1261,AS5,$AC$2:$AC$1261)+SUMIF($B$2:$B$1261,AS5,$AD$2:$AD$1261)</f>
        <v>56676625.977580406</v>
      </c>
      <c r="AU5" s="54">
        <f ca="1">SUMIF($B$2:$B$1261,AS5,$AE$2:$AE$1261)+SUMIF($B$2:$B$1261,AS5,$AF$2:$AF$1261)+SUMIF($B$2:$B$1261,AS5,$AG$2:$AG$1261)</f>
        <v>66151561.780048944</v>
      </c>
      <c r="AV5" s="55">
        <f t="shared" ca="1" si="2"/>
        <v>0.16717536795885746</v>
      </c>
    </row>
    <row r="6" spans="1:48" ht="11.25" customHeight="1" x14ac:dyDescent="0.25">
      <c r="A6" s="4" t="s">
        <v>21</v>
      </c>
      <c r="B6" s="4" t="s">
        <v>39</v>
      </c>
      <c r="C6" s="4" t="s">
        <v>42</v>
      </c>
      <c r="D6" s="4" t="s">
        <v>41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44501</v>
      </c>
      <c r="J6" s="6">
        <v>478</v>
      </c>
      <c r="K6" s="6">
        <v>478</v>
      </c>
      <c r="L6" s="6">
        <v>145.85300000000001</v>
      </c>
      <c r="M6" s="6">
        <v>145.85300000000001</v>
      </c>
      <c r="N6" s="6">
        <v>145.85300000000001</v>
      </c>
      <c r="O6" s="6">
        <v>145.85300000000001</v>
      </c>
      <c r="P6" s="6">
        <v>0</v>
      </c>
      <c r="Q6" s="4" t="s">
        <v>26</v>
      </c>
      <c r="R6" s="4">
        <v>0</v>
      </c>
      <c r="S6" s="6">
        <v>2</v>
      </c>
      <c r="T6" s="6">
        <v>3</v>
      </c>
      <c r="U6" s="6">
        <v>49</v>
      </c>
      <c r="V6" s="6">
        <f>IF(ISERROR(VLOOKUP($S$6,'TAR FIN'!$A$1:$O$85,15,0)),0,VLOOKUP($S$6,'TAR FIN'!$A$1:$O$85,15,0))</f>
        <v>16.64</v>
      </c>
      <c r="W6" s="6">
        <f>IF(ISERROR(VLOOKUP($T$6,'TAR FIN'!$A$1:$O$85,15,0)),0,VLOOKUP($T$6,'TAR FIN'!$A$1:$O$85,15,0))</f>
        <v>76.75</v>
      </c>
      <c r="X6" s="6">
        <f>IF(ISERROR(VLOOKUP($U$6,'TAR FIN'!$A$1:$O$85,15,0)),0,VLOOKUP($U$6,'TAR FIN'!$A$1:$O$85,15,0))</f>
        <v>307.08</v>
      </c>
      <c r="Y6" s="6">
        <f ca="1">('TUSD BE'!$AM$6+'TUSD BF'!$AM$6+'TUSD CVA'!$AM$6)*1</f>
        <v>18.371854423657158</v>
      </c>
      <c r="Z6" s="6">
        <f ca="1">('TUSD BE'!$AM$7+'TUSD BF'!$AM$7+'TUSD CVA'!$AM$7)*1</f>
        <v>147.99431148733765</v>
      </c>
      <c r="AA6" s="6">
        <f>('TE BE'!$AB$6+'TE BF'!$AB$6+'TE CVA'!$AB$6)*1</f>
        <v>304.87027853653359</v>
      </c>
      <c r="AB6" s="6">
        <f>$K$6*$V$6</f>
        <v>7953.92</v>
      </c>
      <c r="AC6" s="6">
        <f>$M$6*$W$6</f>
        <v>11194.21775</v>
      </c>
      <c r="AD6" s="6">
        <f>$O$6*$X$6</f>
        <v>44788.539239999998</v>
      </c>
      <c r="AE6" s="6">
        <f ca="1">$K$6*$Y$6</f>
        <v>8781.7464145081212</v>
      </c>
      <c r="AF6" s="6">
        <f ca="1">$M$6*$Z$6</f>
        <v>21585.41431336266</v>
      </c>
      <c r="AG6" s="6">
        <f>$O$6*$AA$6</f>
        <v>44466.244735389038</v>
      </c>
      <c r="AI6" s="53" t="s">
        <v>46</v>
      </c>
      <c r="AJ6" s="54">
        <f>SUMIF($B$2:$B$1261,AI6,$AB$2:$AB$1261)+SUMIF($B$2:$B$1261,AI6,$AC$2:$AC$1261)</f>
        <v>3390691.5378000005</v>
      </c>
      <c r="AK6" s="54">
        <f ca="1">SUMIF($B$2:$B$1261,AI6,$AE$2:$AE$1261)+SUMIF($B$2:$B$1261,AI6,$AF$2:$AF$1261)</f>
        <v>4538033.203114463</v>
      </c>
      <c r="AL6" s="55">
        <f t="shared" ca="1" si="0"/>
        <v>0.33837984155258716</v>
      </c>
      <c r="AN6" s="53" t="s">
        <v>46</v>
      </c>
      <c r="AO6" s="54">
        <f>SUMIF($B$2:$B$1261,AN6,$AD$2:$AD$1261)</f>
        <v>3366401.8289999999</v>
      </c>
      <c r="AP6" s="54">
        <f>SUMIF($B$2:$B$1261,AN6,$AG$2:$AG$1261)</f>
        <v>3339355.7635418046</v>
      </c>
      <c r="AQ6" s="55">
        <f t="shared" si="1"/>
        <v>-8.0341167905761957E-3</v>
      </c>
      <c r="AS6" s="53" t="s">
        <v>46</v>
      </c>
      <c r="AT6" s="54">
        <f>SUMIF($B$2:$B$1261,AS6,$AB$2:$AB$1261)+SUMIF($B$2:$B$1261,AS6,$AC$2:$AC$1261)+SUMIF($B$2:$B$1261,AS6,$AD$2:$AD$1261)</f>
        <v>6757093.3668000009</v>
      </c>
      <c r="AU6" s="54">
        <f ca="1">SUMIF($B$2:$B$1261,AS6,$AE$2:$AE$1261)+SUMIF($B$2:$B$1261,AS6,$AF$2:$AF$1261)+SUMIF($B$2:$B$1261,AS6,$AG$2:$AG$1261)</f>
        <v>7877388.9666562676</v>
      </c>
      <c r="AV6" s="55">
        <f t="shared" ca="1" si="2"/>
        <v>0.16579548913156605</v>
      </c>
    </row>
    <row r="7" spans="1:48" ht="11.25" customHeight="1" x14ac:dyDescent="0.25">
      <c r="A7" s="4" t="s">
        <v>28</v>
      </c>
      <c r="B7" s="4" t="s">
        <v>39</v>
      </c>
      <c r="C7" s="4" t="s">
        <v>42</v>
      </c>
      <c r="D7" s="4" t="s">
        <v>41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44501</v>
      </c>
      <c r="J7" s="6">
        <v>38</v>
      </c>
      <c r="K7" s="6">
        <v>38</v>
      </c>
      <c r="L7" s="6">
        <v>5.758</v>
      </c>
      <c r="M7" s="6">
        <v>5.758</v>
      </c>
      <c r="N7" s="6">
        <v>5.758</v>
      </c>
      <c r="O7" s="6">
        <v>5.758</v>
      </c>
      <c r="P7" s="6">
        <v>0</v>
      </c>
      <c r="Q7" s="4" t="s">
        <v>26</v>
      </c>
      <c r="R7" s="4">
        <v>0</v>
      </c>
      <c r="S7" s="6">
        <v>2</v>
      </c>
      <c r="T7" s="6">
        <v>3</v>
      </c>
      <c r="U7" s="6">
        <v>49</v>
      </c>
      <c r="V7" s="6">
        <f>IF(ISERROR(VLOOKUP($S$7,'TAR FIN'!$A$1:$O$85,15,0)),0,VLOOKUP($S$7,'TAR FIN'!$A$1:$O$85,15,0))</f>
        <v>16.64</v>
      </c>
      <c r="W7" s="6">
        <f>IF(ISERROR(VLOOKUP($T$7,'TAR FIN'!$A$1:$O$85,15,0)),0,VLOOKUP($T$7,'TAR FIN'!$A$1:$O$85,15,0))</f>
        <v>76.75</v>
      </c>
      <c r="X7" s="6">
        <f>IF(ISERROR(VLOOKUP($U$7,'TAR FIN'!$A$1:$O$85,15,0)),0,VLOOKUP($U$7,'TAR FIN'!$A$1:$O$85,15,0))</f>
        <v>307.08</v>
      </c>
      <c r="Y7" s="6">
        <f ca="1">('TUSD BE'!$AM$6+'TUSD BF'!$AM$6+'TUSD CVA'!$AM$6)*1</f>
        <v>18.371854423657158</v>
      </c>
      <c r="Z7" s="6">
        <f ca="1">('TUSD BE'!$AM$7+'TUSD BF'!$AM$7+'TUSD CVA'!$AM$7)*1</f>
        <v>147.99431148733765</v>
      </c>
      <c r="AA7" s="6">
        <f>('TE BE'!$AB$6+'TE BF'!$AB$6+'TE CVA'!$AB$6)*1</f>
        <v>304.87027853653359</v>
      </c>
      <c r="AB7" s="6">
        <f>$K$7*$V$7</f>
        <v>632.32000000000005</v>
      </c>
      <c r="AC7" s="6">
        <f>$M$7*$W$7</f>
        <v>441.92649999999998</v>
      </c>
      <c r="AD7" s="6">
        <f>$O$7*$X$7</f>
        <v>1768.1666399999999</v>
      </c>
      <c r="AE7" s="6">
        <f ca="1">$K$7*$Y$7</f>
        <v>698.13046809897196</v>
      </c>
      <c r="AF7" s="6">
        <f ca="1">$M$7*$Z$7</f>
        <v>852.15124554409022</v>
      </c>
      <c r="AG7" s="6">
        <f>$O$7*$AA$7</f>
        <v>1755.4430638133604</v>
      </c>
      <c r="AI7" s="53" t="s">
        <v>828</v>
      </c>
      <c r="AJ7" s="54">
        <f>+$AJ$2</f>
        <v>25452319.175970688</v>
      </c>
      <c r="AK7" s="54">
        <f ca="1">+$AK$2</f>
        <v>36933156.124832585</v>
      </c>
      <c r="AL7" s="55">
        <f t="shared" ca="1" si="0"/>
        <v>0.45107233134577585</v>
      </c>
      <c r="AN7" s="53" t="s">
        <v>828</v>
      </c>
      <c r="AO7" s="54">
        <f>+$AO$2</f>
        <v>18589571.982678398</v>
      </c>
      <c r="AP7" s="54">
        <f>+$AP$2</f>
        <v>18552331.491053164</v>
      </c>
      <c r="AQ7" s="55">
        <f t="shared" si="1"/>
        <v>-2.0033001114783122E-3</v>
      </c>
      <c r="AS7" s="53" t="s">
        <v>828</v>
      </c>
      <c r="AT7" s="54">
        <f>+$AT$2</f>
        <v>44041891.158649087</v>
      </c>
      <c r="AU7" s="54">
        <f ca="1">+$AU$2</f>
        <v>55485487.615885749</v>
      </c>
      <c r="AV7" s="55">
        <f t="shared" ca="1" si="2"/>
        <v>0.25983435670403376</v>
      </c>
    </row>
    <row r="8" spans="1:48" ht="11.25" customHeight="1" x14ac:dyDescent="0.25">
      <c r="A8" s="4" t="s">
        <v>21</v>
      </c>
      <c r="B8" s="4" t="s">
        <v>39</v>
      </c>
      <c r="C8" s="4" t="s">
        <v>42</v>
      </c>
      <c r="D8" s="4" t="s">
        <v>41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44531</v>
      </c>
      <c r="J8" s="6">
        <v>452</v>
      </c>
      <c r="K8" s="6">
        <v>452</v>
      </c>
      <c r="L8" s="6">
        <v>136.70400000000001</v>
      </c>
      <c r="M8" s="6">
        <v>136.70400000000001</v>
      </c>
      <c r="N8" s="6">
        <v>136.70400000000001</v>
      </c>
      <c r="O8" s="6">
        <v>136.70400000000001</v>
      </c>
      <c r="P8" s="6">
        <v>0</v>
      </c>
      <c r="Q8" s="4" t="s">
        <v>26</v>
      </c>
      <c r="R8" s="4">
        <v>0</v>
      </c>
      <c r="S8" s="6">
        <v>2</v>
      </c>
      <c r="T8" s="6">
        <v>3</v>
      </c>
      <c r="U8" s="6">
        <v>49</v>
      </c>
      <c r="V8" s="6">
        <f>IF(ISERROR(VLOOKUP($S$8,'TAR FIN'!$A$1:$O$85,15,0)),0,VLOOKUP($S$8,'TAR FIN'!$A$1:$O$85,15,0))</f>
        <v>16.64</v>
      </c>
      <c r="W8" s="6">
        <f>IF(ISERROR(VLOOKUP($T$8,'TAR FIN'!$A$1:$O$85,15,0)),0,VLOOKUP($T$8,'TAR FIN'!$A$1:$O$85,15,0))</f>
        <v>76.75</v>
      </c>
      <c r="X8" s="6">
        <f>IF(ISERROR(VLOOKUP($U$8,'TAR FIN'!$A$1:$O$85,15,0)),0,VLOOKUP($U$8,'TAR FIN'!$A$1:$O$85,15,0))</f>
        <v>307.08</v>
      </c>
      <c r="Y8" s="6">
        <f ca="1">('TUSD BE'!$AM$6+'TUSD BF'!$AM$6+'TUSD CVA'!$AM$6)*1</f>
        <v>18.371854423657158</v>
      </c>
      <c r="Z8" s="6">
        <f ca="1">('TUSD BE'!$AM$7+'TUSD BF'!$AM$7+'TUSD CVA'!$AM$7)*1</f>
        <v>147.99431148733765</v>
      </c>
      <c r="AA8" s="6">
        <f>('TE BE'!$AB$6+'TE BF'!$AB$6+'TE CVA'!$AB$6)*1</f>
        <v>304.87027853653359</v>
      </c>
      <c r="AB8" s="6">
        <f>$K$8*$V$8</f>
        <v>7521.2800000000007</v>
      </c>
      <c r="AC8" s="6">
        <f>$M$8*$W$8</f>
        <v>10492.032000000001</v>
      </c>
      <c r="AD8" s="6">
        <f>$O$8*$X$8</f>
        <v>41979.064319999998</v>
      </c>
      <c r="AE8" s="6">
        <f ca="1">$K$8*$Y$8</f>
        <v>8304.0781994930348</v>
      </c>
      <c r="AF8" s="6">
        <f ca="1">$M$8*$Z$8</f>
        <v>20231.414357565009</v>
      </c>
      <c r="AG8" s="6">
        <f>$O$8*$AA$8</f>
        <v>41676.986557058292</v>
      </c>
      <c r="AI8" s="53" t="s">
        <v>88</v>
      </c>
      <c r="AJ8" s="54">
        <f>+$AJ$3+$AJ$4+$AJ$5+$AJ$6</f>
        <v>116725111.87507059</v>
      </c>
      <c r="AK8" s="54">
        <f ca="1">+$AK$3+$AK$4+$AK$5+$AK$6</f>
        <v>159103692.98461276</v>
      </c>
      <c r="AL8" s="55">
        <f t="shared" ca="1" si="0"/>
        <v>0.36306310123651397</v>
      </c>
      <c r="AN8" s="53" t="s">
        <v>88</v>
      </c>
      <c r="AO8" s="54">
        <f>+$AO$3+$AO$4+$AO$5+$AO$6</f>
        <v>116807960.83675636</v>
      </c>
      <c r="AP8" s="54">
        <f>+$AP$3+$AP$4+$AP$5+$AP$6</f>
        <v>118621017.0527897</v>
      </c>
      <c r="AQ8" s="55">
        <f t="shared" si="1"/>
        <v>1.5521683651058327E-2</v>
      </c>
      <c r="AS8" s="53" t="s">
        <v>88</v>
      </c>
      <c r="AT8" s="54">
        <f>+$AT$3+$AT$4+$AT$5+$AT$6</f>
        <v>233533072.71182695</v>
      </c>
      <c r="AU8" s="54">
        <f ca="1">+$AU$3+$AU$4+$AU$5+$AU$6</f>
        <v>277724710.03740245</v>
      </c>
      <c r="AV8" s="55">
        <f t="shared" ca="1" si="2"/>
        <v>0.18923074497506698</v>
      </c>
    </row>
    <row r="9" spans="1:48" ht="11.25" customHeight="1" x14ac:dyDescent="0.25">
      <c r="A9" s="4" t="s">
        <v>28</v>
      </c>
      <c r="B9" s="4" t="s">
        <v>39</v>
      </c>
      <c r="C9" s="4" t="s">
        <v>42</v>
      </c>
      <c r="D9" s="4" t="s">
        <v>41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44531</v>
      </c>
      <c r="J9" s="6">
        <v>38</v>
      </c>
      <c r="K9" s="6">
        <v>38</v>
      </c>
      <c r="L9" s="6">
        <v>6.64</v>
      </c>
      <c r="M9" s="6">
        <v>6.64</v>
      </c>
      <c r="N9" s="6">
        <v>6.64</v>
      </c>
      <c r="O9" s="6">
        <v>6.64</v>
      </c>
      <c r="P9" s="6">
        <v>0</v>
      </c>
      <c r="Q9" s="4" t="s">
        <v>26</v>
      </c>
      <c r="R9" s="4">
        <v>0</v>
      </c>
      <c r="S9" s="6">
        <v>2</v>
      </c>
      <c r="T9" s="6">
        <v>3</v>
      </c>
      <c r="U9" s="6">
        <v>49</v>
      </c>
      <c r="V9" s="6">
        <f>IF(ISERROR(VLOOKUP($S$9,'TAR FIN'!$A$1:$O$85,15,0)),0,VLOOKUP($S$9,'TAR FIN'!$A$1:$O$85,15,0))</f>
        <v>16.64</v>
      </c>
      <c r="W9" s="6">
        <f>IF(ISERROR(VLOOKUP($T$9,'TAR FIN'!$A$1:$O$85,15,0)),0,VLOOKUP($T$9,'TAR FIN'!$A$1:$O$85,15,0))</f>
        <v>76.75</v>
      </c>
      <c r="X9" s="6">
        <f>IF(ISERROR(VLOOKUP($U$9,'TAR FIN'!$A$1:$O$85,15,0)),0,VLOOKUP($U$9,'TAR FIN'!$A$1:$O$85,15,0))</f>
        <v>307.08</v>
      </c>
      <c r="Y9" s="6">
        <f ca="1">('TUSD BE'!$AM$6+'TUSD BF'!$AM$6+'TUSD CVA'!$AM$6)*1</f>
        <v>18.371854423657158</v>
      </c>
      <c r="Z9" s="6">
        <f ca="1">('TUSD BE'!$AM$7+'TUSD BF'!$AM$7+'TUSD CVA'!$AM$7)*1</f>
        <v>147.99431148733765</v>
      </c>
      <c r="AA9" s="6">
        <f>('TE BE'!$AB$6+'TE BF'!$AB$6+'TE CVA'!$AB$6)*1</f>
        <v>304.87027853653359</v>
      </c>
      <c r="AB9" s="6">
        <f>$K$9*$V$9</f>
        <v>632.32000000000005</v>
      </c>
      <c r="AC9" s="6">
        <f>$M$9*$W$9</f>
        <v>509.61999999999995</v>
      </c>
      <c r="AD9" s="6">
        <f>$O$9*$X$9</f>
        <v>2039.0111999999997</v>
      </c>
      <c r="AE9" s="6">
        <f ca="1">$K$9*$Y$9</f>
        <v>698.13046809897196</v>
      </c>
      <c r="AF9" s="6">
        <f ca="1">$M$9*$Z$9</f>
        <v>982.68222827592194</v>
      </c>
      <c r="AG9" s="6">
        <f>$O$9*$AA$9</f>
        <v>2024.3386494825829</v>
      </c>
      <c r="AI9" s="53" t="s">
        <v>829</v>
      </c>
      <c r="AJ9" s="54">
        <f>AJ8+AJ7</f>
        <v>142177431.05104128</v>
      </c>
      <c r="AK9" s="54">
        <f ca="1">AK8+AK7</f>
        <v>196036849.10944533</v>
      </c>
      <c r="AL9" s="55">
        <f t="shared" ca="1" si="0"/>
        <v>0.37881833748331473</v>
      </c>
      <c r="AN9" s="53" t="s">
        <v>829</v>
      </c>
      <c r="AO9" s="54">
        <f>AO8+AO7</f>
        <v>135397532.81943476</v>
      </c>
      <c r="AP9" s="54">
        <f>AP8+AP7</f>
        <v>137173348.54384285</v>
      </c>
      <c r="AQ9" s="55">
        <f t="shared" si="1"/>
        <v>1.3115569297531549E-2</v>
      </c>
      <c r="AS9" s="53" t="s">
        <v>829</v>
      </c>
      <c r="AT9" s="54">
        <f>AT8+AT7</f>
        <v>277574963.87047601</v>
      </c>
      <c r="AU9" s="54">
        <f ca="1">AU8+AU7</f>
        <v>333210197.65328819</v>
      </c>
      <c r="AV9" s="55">
        <f t="shared" ca="1" si="2"/>
        <v>0.20043318391197951</v>
      </c>
    </row>
    <row r="10" spans="1:48" ht="11.25" customHeight="1" x14ac:dyDescent="0.25">
      <c r="A10" s="4" t="s">
        <v>21</v>
      </c>
      <c r="B10" s="4" t="s">
        <v>39</v>
      </c>
      <c r="C10" s="4" t="s">
        <v>42</v>
      </c>
      <c r="D10" s="4" t="s">
        <v>41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44562</v>
      </c>
      <c r="J10" s="6">
        <v>469</v>
      </c>
      <c r="K10" s="6">
        <v>469</v>
      </c>
      <c r="L10" s="6">
        <v>150.32599999999999</v>
      </c>
      <c r="M10" s="6">
        <v>150.32599999999999</v>
      </c>
      <c r="N10" s="6">
        <v>150.32599999999999</v>
      </c>
      <c r="O10" s="6">
        <v>150.32599999999999</v>
      </c>
      <c r="P10" s="6">
        <v>0</v>
      </c>
      <c r="Q10" s="4" t="s">
        <v>26</v>
      </c>
      <c r="R10" s="4">
        <v>0</v>
      </c>
      <c r="S10" s="6">
        <v>2</v>
      </c>
      <c r="T10" s="6">
        <v>3</v>
      </c>
      <c r="U10" s="6">
        <v>49</v>
      </c>
      <c r="V10" s="6">
        <f>IF(ISERROR(VLOOKUP($S$10,'TAR FIN'!$A$1:$O$85,15,0)),0,VLOOKUP($S$10,'TAR FIN'!$A$1:$O$85,15,0))</f>
        <v>16.64</v>
      </c>
      <c r="W10" s="6">
        <f>IF(ISERROR(VLOOKUP($T$10,'TAR FIN'!$A$1:$O$85,15,0)),0,VLOOKUP($T$10,'TAR FIN'!$A$1:$O$85,15,0))</f>
        <v>76.75</v>
      </c>
      <c r="X10" s="6">
        <f>IF(ISERROR(VLOOKUP($U$10,'TAR FIN'!$A$1:$O$85,15,0)),0,VLOOKUP($U$10,'TAR FIN'!$A$1:$O$85,15,0))</f>
        <v>307.08</v>
      </c>
      <c r="Y10" s="6">
        <f ca="1">('TUSD BE'!$AM$6+'TUSD BF'!$AM$6+'TUSD CVA'!$AM$6)*1</f>
        <v>18.371854423657158</v>
      </c>
      <c r="Z10" s="6">
        <f ca="1">('TUSD BE'!$AM$7+'TUSD BF'!$AM$7+'TUSD CVA'!$AM$7)*1</f>
        <v>147.99431148733765</v>
      </c>
      <c r="AA10" s="6">
        <f>('TE BE'!$AB$6+'TE BF'!$AB$6+'TE CVA'!$AB$6)*1</f>
        <v>304.87027853653359</v>
      </c>
      <c r="AB10" s="6">
        <f>$K$10*$V$10</f>
        <v>7804.16</v>
      </c>
      <c r="AC10" s="6">
        <f>$M$10*$W$10</f>
        <v>11537.520499999999</v>
      </c>
      <c r="AD10" s="6">
        <f>$O$10*$X$10</f>
        <v>46162.108079999998</v>
      </c>
      <c r="AE10" s="6">
        <f ca="1">$K$10*$Y$10</f>
        <v>8616.3997246952076</v>
      </c>
      <c r="AF10" s="6">
        <f ca="1">$M$10*$Z$10</f>
        <v>22247.392868645518</v>
      </c>
      <c r="AG10" s="6">
        <f>$O$10*$AA$10</f>
        <v>45829.92949128295</v>
      </c>
    </row>
    <row r="11" spans="1:48" ht="11.25" customHeight="1" x14ac:dyDescent="0.25">
      <c r="A11" s="4" t="s">
        <v>28</v>
      </c>
      <c r="B11" s="4" t="s">
        <v>39</v>
      </c>
      <c r="C11" s="4" t="s">
        <v>42</v>
      </c>
      <c r="D11" s="4" t="s">
        <v>41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44562</v>
      </c>
      <c r="J11" s="6">
        <v>38</v>
      </c>
      <c r="K11" s="6">
        <v>38</v>
      </c>
      <c r="L11" s="6">
        <v>6.16</v>
      </c>
      <c r="M11" s="6">
        <v>6.16</v>
      </c>
      <c r="N11" s="6">
        <v>6.16</v>
      </c>
      <c r="O11" s="6">
        <v>6.16</v>
      </c>
      <c r="P11" s="6">
        <v>0</v>
      </c>
      <c r="Q11" s="4" t="s">
        <v>26</v>
      </c>
      <c r="R11" s="4">
        <v>0</v>
      </c>
      <c r="S11" s="6">
        <v>2</v>
      </c>
      <c r="T11" s="6">
        <v>3</v>
      </c>
      <c r="U11" s="6">
        <v>49</v>
      </c>
      <c r="V11" s="6">
        <f>IF(ISERROR(VLOOKUP($S$11,'TAR FIN'!$A$1:$O$85,15,0)),0,VLOOKUP($S$11,'TAR FIN'!$A$1:$O$85,15,0))</f>
        <v>16.64</v>
      </c>
      <c r="W11" s="6">
        <f>IF(ISERROR(VLOOKUP($T$11,'TAR FIN'!$A$1:$O$85,15,0)),0,VLOOKUP($T$11,'TAR FIN'!$A$1:$O$85,15,0))</f>
        <v>76.75</v>
      </c>
      <c r="X11" s="6">
        <f>IF(ISERROR(VLOOKUP($U$11,'TAR FIN'!$A$1:$O$85,15,0)),0,VLOOKUP($U$11,'TAR FIN'!$A$1:$O$85,15,0))</f>
        <v>307.08</v>
      </c>
      <c r="Y11" s="6">
        <f ca="1">('TUSD BE'!$AM$6+'TUSD BF'!$AM$6+'TUSD CVA'!$AM$6)*1</f>
        <v>18.371854423657158</v>
      </c>
      <c r="Z11" s="6">
        <f ca="1">('TUSD BE'!$AM$7+'TUSD BF'!$AM$7+'TUSD CVA'!$AM$7)*1</f>
        <v>147.99431148733765</v>
      </c>
      <c r="AA11" s="6">
        <f>('TE BE'!$AB$6+'TE BF'!$AB$6+'TE CVA'!$AB$6)*1</f>
        <v>304.87027853653359</v>
      </c>
      <c r="AB11" s="6">
        <f>$K$11*$V$11</f>
        <v>632.32000000000005</v>
      </c>
      <c r="AC11" s="6">
        <f>$M$11*$W$11</f>
        <v>472.78000000000003</v>
      </c>
      <c r="AD11" s="6">
        <f>$O$11*$X$11</f>
        <v>1891.6127999999999</v>
      </c>
      <c r="AE11" s="6">
        <f ca="1">$K$11*$Y$11</f>
        <v>698.13046809897196</v>
      </c>
      <c r="AF11" s="6">
        <f ca="1">$M$11*$Z$11</f>
        <v>911.64495876199999</v>
      </c>
      <c r="AG11" s="6">
        <f>$O$11*$AA$11</f>
        <v>1878.000915785047</v>
      </c>
    </row>
    <row r="12" spans="1:48" ht="11.25" customHeight="1" x14ac:dyDescent="0.25">
      <c r="A12" s="4" t="s">
        <v>21</v>
      </c>
      <c r="B12" s="4" t="s">
        <v>39</v>
      </c>
      <c r="C12" s="4" t="s">
        <v>42</v>
      </c>
      <c r="D12" s="4" t="s">
        <v>41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44593</v>
      </c>
      <c r="J12" s="6">
        <v>497</v>
      </c>
      <c r="K12" s="6">
        <v>497</v>
      </c>
      <c r="L12" s="6">
        <v>141.53299999999999</v>
      </c>
      <c r="M12" s="6">
        <v>141.53299999999999</v>
      </c>
      <c r="N12" s="6">
        <v>141.53299999999999</v>
      </c>
      <c r="O12" s="6">
        <v>141.53299999999999</v>
      </c>
      <c r="P12" s="6">
        <v>0</v>
      </c>
      <c r="Q12" s="4" t="s">
        <v>26</v>
      </c>
      <c r="R12" s="4">
        <v>0</v>
      </c>
      <c r="S12" s="6">
        <v>2</v>
      </c>
      <c r="T12" s="6">
        <v>3</v>
      </c>
      <c r="U12" s="6">
        <v>49</v>
      </c>
      <c r="V12" s="6">
        <f>IF(ISERROR(VLOOKUP($S$12,'TAR FIN'!$A$1:$O$85,15,0)),0,VLOOKUP($S$12,'TAR FIN'!$A$1:$O$85,15,0))</f>
        <v>16.64</v>
      </c>
      <c r="W12" s="6">
        <f>IF(ISERROR(VLOOKUP($T$12,'TAR FIN'!$A$1:$O$85,15,0)),0,VLOOKUP($T$12,'TAR FIN'!$A$1:$O$85,15,0))</f>
        <v>76.75</v>
      </c>
      <c r="X12" s="6">
        <f>IF(ISERROR(VLOOKUP($U$12,'TAR FIN'!$A$1:$O$85,15,0)),0,VLOOKUP($U$12,'TAR FIN'!$A$1:$O$85,15,0))</f>
        <v>307.08</v>
      </c>
      <c r="Y12" s="6">
        <f ca="1">('TUSD BE'!$AM$6+'TUSD BF'!$AM$6+'TUSD CVA'!$AM$6)*1</f>
        <v>18.371854423657158</v>
      </c>
      <c r="Z12" s="6">
        <f ca="1">('TUSD BE'!$AM$7+'TUSD BF'!$AM$7+'TUSD CVA'!$AM$7)*1</f>
        <v>147.99431148733765</v>
      </c>
      <c r="AA12" s="6">
        <f>('TE BE'!$AB$6+'TE BF'!$AB$6+'TE CVA'!$AB$6)*1</f>
        <v>304.87027853653359</v>
      </c>
      <c r="AB12" s="6">
        <f>$K$12*$V$12</f>
        <v>8270.08</v>
      </c>
      <c r="AC12" s="6">
        <f>$M$12*$W$12</f>
        <v>10862.657749999998</v>
      </c>
      <c r="AD12" s="6">
        <f>$O$12*$X$12</f>
        <v>43461.953639999992</v>
      </c>
      <c r="AE12" s="6">
        <f ca="1">$K$12*$Y$12</f>
        <v>9130.8116485576084</v>
      </c>
      <c r="AF12" s="6">
        <f ca="1">$M$12*$Z$12</f>
        <v>20946.07888773736</v>
      </c>
      <c r="AG12" s="6">
        <f>$O$12*$AA$12</f>
        <v>43149.205132111201</v>
      </c>
    </row>
    <row r="13" spans="1:48" ht="11.25" customHeight="1" x14ac:dyDescent="0.25">
      <c r="A13" s="4" t="s">
        <v>28</v>
      </c>
      <c r="B13" s="4" t="s">
        <v>39</v>
      </c>
      <c r="C13" s="4" t="s">
        <v>42</v>
      </c>
      <c r="D13" s="4" t="s">
        <v>41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44593</v>
      </c>
      <c r="J13" s="6">
        <v>38</v>
      </c>
      <c r="K13" s="6">
        <v>38</v>
      </c>
      <c r="L13" s="6">
        <v>6.1369999999999996</v>
      </c>
      <c r="M13" s="6">
        <v>6.1369999999999996</v>
      </c>
      <c r="N13" s="6">
        <v>6.1369999999999996</v>
      </c>
      <c r="O13" s="6">
        <v>6.1369999999999996</v>
      </c>
      <c r="P13" s="6">
        <v>0</v>
      </c>
      <c r="Q13" s="4" t="s">
        <v>26</v>
      </c>
      <c r="R13" s="4">
        <v>0</v>
      </c>
      <c r="S13" s="6">
        <v>2</v>
      </c>
      <c r="T13" s="6">
        <v>3</v>
      </c>
      <c r="U13" s="6">
        <v>49</v>
      </c>
      <c r="V13" s="6">
        <f>IF(ISERROR(VLOOKUP($S$13,'TAR FIN'!$A$1:$O$85,15,0)),0,VLOOKUP($S$13,'TAR FIN'!$A$1:$O$85,15,0))</f>
        <v>16.64</v>
      </c>
      <c r="W13" s="6">
        <f>IF(ISERROR(VLOOKUP($T$13,'TAR FIN'!$A$1:$O$85,15,0)),0,VLOOKUP($T$13,'TAR FIN'!$A$1:$O$85,15,0))</f>
        <v>76.75</v>
      </c>
      <c r="X13" s="6">
        <f>IF(ISERROR(VLOOKUP($U$13,'TAR FIN'!$A$1:$O$85,15,0)),0,VLOOKUP($U$13,'TAR FIN'!$A$1:$O$85,15,0))</f>
        <v>307.08</v>
      </c>
      <c r="Y13" s="6">
        <f ca="1">('TUSD BE'!$AM$6+'TUSD BF'!$AM$6+'TUSD CVA'!$AM$6)*1</f>
        <v>18.371854423657158</v>
      </c>
      <c r="Z13" s="6">
        <f ca="1">('TUSD BE'!$AM$7+'TUSD BF'!$AM$7+'TUSD CVA'!$AM$7)*1</f>
        <v>147.99431148733765</v>
      </c>
      <c r="AA13" s="6">
        <f>('TE BE'!$AB$6+'TE BF'!$AB$6+'TE CVA'!$AB$6)*1</f>
        <v>304.87027853653359</v>
      </c>
      <c r="AB13" s="6">
        <f>$K$13*$V$13</f>
        <v>632.32000000000005</v>
      </c>
      <c r="AC13" s="6">
        <f>$M$13*$W$13</f>
        <v>471.01474999999999</v>
      </c>
      <c r="AD13" s="6">
        <f>$O$13*$X$13</f>
        <v>1884.5499599999998</v>
      </c>
      <c r="AE13" s="6">
        <f ca="1">$K$13*$Y$13</f>
        <v>698.13046809897196</v>
      </c>
      <c r="AF13" s="6">
        <f ca="1">$M$13*$Z$13</f>
        <v>908.24108959779107</v>
      </c>
      <c r="AG13" s="6">
        <f>$O$13*$AA$13</f>
        <v>1870.9888993787065</v>
      </c>
    </row>
    <row r="14" spans="1:48" ht="11.25" customHeight="1" x14ac:dyDescent="0.25">
      <c r="A14" s="4" t="s">
        <v>21</v>
      </c>
      <c r="B14" s="4" t="s">
        <v>39</v>
      </c>
      <c r="C14" s="4" t="s">
        <v>42</v>
      </c>
      <c r="D14" s="4" t="s">
        <v>41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44621</v>
      </c>
      <c r="J14" s="6">
        <v>420</v>
      </c>
      <c r="K14" s="6">
        <v>420</v>
      </c>
      <c r="L14" s="6">
        <v>134.22800000000001</v>
      </c>
      <c r="M14" s="6">
        <v>134.22800000000001</v>
      </c>
      <c r="N14" s="6">
        <v>134.22800000000001</v>
      </c>
      <c r="O14" s="6">
        <v>134.22800000000001</v>
      </c>
      <c r="P14" s="6">
        <v>0</v>
      </c>
      <c r="Q14" s="4" t="s">
        <v>26</v>
      </c>
      <c r="R14" s="4">
        <v>0</v>
      </c>
      <c r="S14" s="6">
        <v>2</v>
      </c>
      <c r="T14" s="6">
        <v>3</v>
      </c>
      <c r="U14" s="6">
        <v>49</v>
      </c>
      <c r="V14" s="6">
        <f>IF(ISERROR(VLOOKUP($S$14,'TAR FIN'!$A$1:$O$85,15,0)),0,VLOOKUP($S$14,'TAR FIN'!$A$1:$O$85,15,0))</f>
        <v>16.64</v>
      </c>
      <c r="W14" s="6">
        <f>IF(ISERROR(VLOOKUP($T$14,'TAR FIN'!$A$1:$O$85,15,0)),0,VLOOKUP($T$14,'TAR FIN'!$A$1:$O$85,15,0))</f>
        <v>76.75</v>
      </c>
      <c r="X14" s="6">
        <f>IF(ISERROR(VLOOKUP($U$14,'TAR FIN'!$A$1:$O$85,15,0)),0,VLOOKUP($U$14,'TAR FIN'!$A$1:$O$85,15,0))</f>
        <v>307.08</v>
      </c>
      <c r="Y14" s="6">
        <f ca="1">('TUSD BE'!$AM$6+'TUSD BF'!$AM$6+'TUSD CVA'!$AM$6)*1</f>
        <v>18.371854423657158</v>
      </c>
      <c r="Z14" s="6">
        <f ca="1">('TUSD BE'!$AM$7+'TUSD BF'!$AM$7+'TUSD CVA'!$AM$7)*1</f>
        <v>147.99431148733765</v>
      </c>
      <c r="AA14" s="6">
        <f>('TE BE'!$AB$6+'TE BF'!$AB$6+'TE CVA'!$AB$6)*1</f>
        <v>304.87027853653359</v>
      </c>
      <c r="AB14" s="6">
        <f>$K$14*$V$14</f>
        <v>6988.8</v>
      </c>
      <c r="AC14" s="6">
        <f>$M$14*$W$14</f>
        <v>10301.999</v>
      </c>
      <c r="AD14" s="6">
        <f>$O$14*$X$14</f>
        <v>41218.734239999998</v>
      </c>
      <c r="AE14" s="6">
        <f ca="1">$K$14*$Y$14</f>
        <v>7716.1788579360064</v>
      </c>
      <c r="AF14" s="6">
        <f ca="1">$M$14*$Z$14</f>
        <v>19864.980442322361</v>
      </c>
      <c r="AG14" s="6">
        <f>$O$14*$AA$14</f>
        <v>40922.127747401835</v>
      </c>
    </row>
    <row r="15" spans="1:48" ht="11.25" customHeight="1" x14ac:dyDescent="0.25">
      <c r="A15" s="4" t="s">
        <v>28</v>
      </c>
      <c r="B15" s="4" t="s">
        <v>39</v>
      </c>
      <c r="C15" s="4" t="s">
        <v>42</v>
      </c>
      <c r="D15" s="4" t="s">
        <v>41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44621</v>
      </c>
      <c r="J15" s="6">
        <v>38</v>
      </c>
      <c r="K15" s="6">
        <v>38</v>
      </c>
      <c r="L15" s="6">
        <v>6.1369999999999996</v>
      </c>
      <c r="M15" s="6">
        <v>6.1369999999999996</v>
      </c>
      <c r="N15" s="6">
        <v>6.1369999999999996</v>
      </c>
      <c r="O15" s="6">
        <v>6.1369999999999996</v>
      </c>
      <c r="P15" s="6">
        <v>0</v>
      </c>
      <c r="Q15" s="4" t="s">
        <v>26</v>
      </c>
      <c r="R15" s="4">
        <v>0</v>
      </c>
      <c r="S15" s="6">
        <v>2</v>
      </c>
      <c r="T15" s="6">
        <v>3</v>
      </c>
      <c r="U15" s="6">
        <v>49</v>
      </c>
      <c r="V15" s="6">
        <f>IF(ISERROR(VLOOKUP($S$15,'TAR FIN'!$A$1:$O$85,15,0)),0,VLOOKUP($S$15,'TAR FIN'!$A$1:$O$85,15,0))</f>
        <v>16.64</v>
      </c>
      <c r="W15" s="6">
        <f>IF(ISERROR(VLOOKUP($T$15,'TAR FIN'!$A$1:$O$85,15,0)),0,VLOOKUP($T$15,'TAR FIN'!$A$1:$O$85,15,0))</f>
        <v>76.75</v>
      </c>
      <c r="X15" s="6">
        <f>IF(ISERROR(VLOOKUP($U$15,'TAR FIN'!$A$1:$O$85,15,0)),0,VLOOKUP($U$15,'TAR FIN'!$A$1:$O$85,15,0))</f>
        <v>307.08</v>
      </c>
      <c r="Y15" s="6">
        <f ca="1">('TUSD BE'!$AM$6+'TUSD BF'!$AM$6+'TUSD CVA'!$AM$6)*1</f>
        <v>18.371854423657158</v>
      </c>
      <c r="Z15" s="6">
        <f ca="1">('TUSD BE'!$AM$7+'TUSD BF'!$AM$7+'TUSD CVA'!$AM$7)*1</f>
        <v>147.99431148733765</v>
      </c>
      <c r="AA15" s="6">
        <f>('TE BE'!$AB$6+'TE BF'!$AB$6+'TE CVA'!$AB$6)*1</f>
        <v>304.87027853653359</v>
      </c>
      <c r="AB15" s="6">
        <f>$K$15*$V$15</f>
        <v>632.32000000000005</v>
      </c>
      <c r="AC15" s="6">
        <f>$M$15*$W$15</f>
        <v>471.01474999999999</v>
      </c>
      <c r="AD15" s="6">
        <f>$O$15*$X$15</f>
        <v>1884.5499599999998</v>
      </c>
      <c r="AE15" s="6">
        <f ca="1">$K$15*$Y$15</f>
        <v>698.13046809897196</v>
      </c>
      <c r="AF15" s="6">
        <f ca="1">$M$15*$Z$15</f>
        <v>908.24108959779107</v>
      </c>
      <c r="AG15" s="6">
        <f>$O$15*$AA$15</f>
        <v>1870.9888993787065</v>
      </c>
    </row>
    <row r="16" spans="1:48" ht="11.25" customHeight="1" x14ac:dyDescent="0.25">
      <c r="A16" s="4" t="s">
        <v>21</v>
      </c>
      <c r="B16" s="4" t="s">
        <v>39</v>
      </c>
      <c r="C16" s="4" t="s">
        <v>42</v>
      </c>
      <c r="D16" s="4" t="s">
        <v>41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44652</v>
      </c>
      <c r="J16" s="6">
        <v>406</v>
      </c>
      <c r="K16" s="6">
        <v>406</v>
      </c>
      <c r="L16" s="6">
        <v>122.193</v>
      </c>
      <c r="M16" s="6">
        <v>122.193</v>
      </c>
      <c r="N16" s="6">
        <v>122.193</v>
      </c>
      <c r="O16" s="6">
        <v>122.193</v>
      </c>
      <c r="P16" s="6">
        <v>0</v>
      </c>
      <c r="Q16" s="4" t="s">
        <v>26</v>
      </c>
      <c r="R16" s="4">
        <v>0</v>
      </c>
      <c r="S16" s="6">
        <v>2</v>
      </c>
      <c r="T16" s="6">
        <v>3</v>
      </c>
      <c r="U16" s="6">
        <v>49</v>
      </c>
      <c r="V16" s="6">
        <f>IF(ISERROR(VLOOKUP($S$16,'TAR FIN'!$A$1:$O$85,15,0)),0,VLOOKUP($S$16,'TAR FIN'!$A$1:$O$85,15,0))</f>
        <v>16.64</v>
      </c>
      <c r="W16" s="6">
        <f>IF(ISERROR(VLOOKUP($T$16,'TAR FIN'!$A$1:$O$85,15,0)),0,VLOOKUP($T$16,'TAR FIN'!$A$1:$O$85,15,0))</f>
        <v>76.75</v>
      </c>
      <c r="X16" s="6">
        <f>IF(ISERROR(VLOOKUP($U$16,'TAR FIN'!$A$1:$O$85,15,0)),0,VLOOKUP($U$16,'TAR FIN'!$A$1:$O$85,15,0))</f>
        <v>307.08</v>
      </c>
      <c r="Y16" s="6">
        <f ca="1">('TUSD BE'!$AM$6+'TUSD BF'!$AM$6+'TUSD CVA'!$AM$6)*1</f>
        <v>18.371854423657158</v>
      </c>
      <c r="Z16" s="6">
        <f ca="1">('TUSD BE'!$AM$7+'TUSD BF'!$AM$7+'TUSD CVA'!$AM$7)*1</f>
        <v>147.99431148733765</v>
      </c>
      <c r="AA16" s="6">
        <f>('TE BE'!$AB$6+'TE BF'!$AB$6+'TE CVA'!$AB$6)*1</f>
        <v>304.87027853653359</v>
      </c>
      <c r="AB16" s="6">
        <f>$K$16*$V$16</f>
        <v>6755.84</v>
      </c>
      <c r="AC16" s="6">
        <f>$M$16*$W$16</f>
        <v>9378.3127499999991</v>
      </c>
      <c r="AD16" s="6">
        <f>$O$16*$X$16</f>
        <v>37523.026439999994</v>
      </c>
      <c r="AE16" s="6">
        <f ca="1">$K$16*$Y$16</f>
        <v>7458.972896004806</v>
      </c>
      <c r="AF16" s="6">
        <f ca="1">$M$16*$Z$16</f>
        <v>18083.868903572249</v>
      </c>
      <c r="AG16" s="6">
        <f>$O$16*$AA$16</f>
        <v>37253.013945214647</v>
      </c>
    </row>
    <row r="17" spans="1:33" ht="11.25" customHeight="1" x14ac:dyDescent="0.25">
      <c r="A17" s="4" t="s">
        <v>28</v>
      </c>
      <c r="B17" s="4" t="s">
        <v>39</v>
      </c>
      <c r="C17" s="4" t="s">
        <v>42</v>
      </c>
      <c r="D17" s="4" t="s">
        <v>41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44652</v>
      </c>
      <c r="J17" s="6">
        <v>38</v>
      </c>
      <c r="K17" s="6">
        <v>38</v>
      </c>
      <c r="L17" s="6">
        <v>5.8639999999999999</v>
      </c>
      <c r="M17" s="6">
        <v>5.8639999999999999</v>
      </c>
      <c r="N17" s="6">
        <v>5.8639999999999999</v>
      </c>
      <c r="O17" s="6">
        <v>5.8639999999999999</v>
      </c>
      <c r="P17" s="6">
        <v>0</v>
      </c>
      <c r="Q17" s="4" t="s">
        <v>26</v>
      </c>
      <c r="R17" s="4">
        <v>0</v>
      </c>
      <c r="S17" s="6">
        <v>2</v>
      </c>
      <c r="T17" s="6">
        <v>3</v>
      </c>
      <c r="U17" s="6">
        <v>49</v>
      </c>
      <c r="V17" s="6">
        <f>IF(ISERROR(VLOOKUP($S$17,'TAR FIN'!$A$1:$O$85,15,0)),0,VLOOKUP($S$17,'TAR FIN'!$A$1:$O$85,15,0))</f>
        <v>16.64</v>
      </c>
      <c r="W17" s="6">
        <f>IF(ISERROR(VLOOKUP($T$17,'TAR FIN'!$A$1:$O$85,15,0)),0,VLOOKUP($T$17,'TAR FIN'!$A$1:$O$85,15,0))</f>
        <v>76.75</v>
      </c>
      <c r="X17" s="6">
        <f>IF(ISERROR(VLOOKUP($U$17,'TAR FIN'!$A$1:$O$85,15,0)),0,VLOOKUP($U$17,'TAR FIN'!$A$1:$O$85,15,0))</f>
        <v>307.08</v>
      </c>
      <c r="Y17" s="6">
        <f ca="1">('TUSD BE'!$AM$6+'TUSD BF'!$AM$6+'TUSD CVA'!$AM$6)*1</f>
        <v>18.371854423657158</v>
      </c>
      <c r="Z17" s="6">
        <f ca="1">('TUSD BE'!$AM$7+'TUSD BF'!$AM$7+'TUSD CVA'!$AM$7)*1</f>
        <v>147.99431148733765</v>
      </c>
      <c r="AA17" s="6">
        <f>('TE BE'!$AB$6+'TE BF'!$AB$6+'TE CVA'!$AB$6)*1</f>
        <v>304.87027853653359</v>
      </c>
      <c r="AB17" s="6">
        <f>$K$17*$V$17</f>
        <v>632.32000000000005</v>
      </c>
      <c r="AC17" s="6">
        <f>$M$17*$W$17</f>
        <v>450.06200000000001</v>
      </c>
      <c r="AD17" s="6">
        <f>$O$17*$X$17</f>
        <v>1800.7171199999998</v>
      </c>
      <c r="AE17" s="6">
        <f ca="1">$K$17*$Y$17</f>
        <v>698.13046809897196</v>
      </c>
      <c r="AF17" s="6">
        <f ca="1">$M$17*$Z$17</f>
        <v>867.83864256174797</v>
      </c>
      <c r="AG17" s="6">
        <f>$O$17*$AA$17</f>
        <v>1787.7593133382329</v>
      </c>
    </row>
    <row r="18" spans="1:33" ht="11.25" customHeight="1" x14ac:dyDescent="0.25">
      <c r="A18" s="4" t="s">
        <v>21</v>
      </c>
      <c r="B18" s="4" t="s">
        <v>39</v>
      </c>
      <c r="C18" s="4" t="s">
        <v>42</v>
      </c>
      <c r="D18" s="4" t="s">
        <v>41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44682</v>
      </c>
      <c r="J18" s="6">
        <v>432</v>
      </c>
      <c r="K18" s="6">
        <v>432</v>
      </c>
      <c r="L18" s="6">
        <v>107.605</v>
      </c>
      <c r="M18" s="6">
        <v>107.605</v>
      </c>
      <c r="N18" s="6">
        <v>107.605</v>
      </c>
      <c r="O18" s="6">
        <v>107.605</v>
      </c>
      <c r="P18" s="6">
        <v>0</v>
      </c>
      <c r="Q18" s="4" t="s">
        <v>26</v>
      </c>
      <c r="R18" s="4">
        <v>0</v>
      </c>
      <c r="S18" s="6">
        <v>2</v>
      </c>
      <c r="T18" s="6">
        <v>3</v>
      </c>
      <c r="U18" s="6">
        <v>49</v>
      </c>
      <c r="V18" s="6">
        <f>IF(ISERROR(VLOOKUP($S$18,'TAR FIN'!$A$1:$O$85,15,0)),0,VLOOKUP($S$18,'TAR FIN'!$A$1:$O$85,15,0))</f>
        <v>16.64</v>
      </c>
      <c r="W18" s="6">
        <f>IF(ISERROR(VLOOKUP($T$18,'TAR FIN'!$A$1:$O$85,15,0)),0,VLOOKUP($T$18,'TAR FIN'!$A$1:$O$85,15,0))</f>
        <v>76.75</v>
      </c>
      <c r="X18" s="6">
        <f>IF(ISERROR(VLOOKUP($U$18,'TAR FIN'!$A$1:$O$85,15,0)),0,VLOOKUP($U$18,'TAR FIN'!$A$1:$O$85,15,0))</f>
        <v>307.08</v>
      </c>
      <c r="Y18" s="6">
        <f ca="1">('TUSD BE'!$AM$6+'TUSD BF'!$AM$6+'TUSD CVA'!$AM$6)*1</f>
        <v>18.371854423657158</v>
      </c>
      <c r="Z18" s="6">
        <f ca="1">('TUSD BE'!$AM$7+'TUSD BF'!$AM$7+'TUSD CVA'!$AM$7)*1</f>
        <v>147.99431148733765</v>
      </c>
      <c r="AA18" s="6">
        <f>('TE BE'!$AB$6+'TE BF'!$AB$6+'TE CVA'!$AB$6)*1</f>
        <v>304.87027853653359</v>
      </c>
      <c r="AB18" s="6">
        <f>$K$18*$V$18</f>
        <v>7188.4800000000005</v>
      </c>
      <c r="AC18" s="6">
        <f>$M$18*$W$18</f>
        <v>8258.6837500000001</v>
      </c>
      <c r="AD18" s="6">
        <f>$O$18*$X$18</f>
        <v>33043.343399999998</v>
      </c>
      <c r="AE18" s="6">
        <f ca="1">$K$18*$Y$18</f>
        <v>7936.6411110198924</v>
      </c>
      <c r="AF18" s="6">
        <f ca="1">$M$18*$Z$18</f>
        <v>15924.927887594969</v>
      </c>
      <c r="AG18" s="6">
        <f>$O$18*$AA$18</f>
        <v>32805.566321923696</v>
      </c>
    </row>
    <row r="19" spans="1:33" ht="11.25" customHeight="1" x14ac:dyDescent="0.25">
      <c r="A19" s="4" t="s">
        <v>28</v>
      </c>
      <c r="B19" s="4" t="s">
        <v>39</v>
      </c>
      <c r="C19" s="4" t="s">
        <v>42</v>
      </c>
      <c r="D19" s="4" t="s">
        <v>41</v>
      </c>
      <c r="E19" s="4" t="s">
        <v>25</v>
      </c>
      <c r="F19" s="4" t="s">
        <v>25</v>
      </c>
      <c r="G19" s="4" t="s">
        <v>25</v>
      </c>
      <c r="H19" s="4" t="s">
        <v>35</v>
      </c>
      <c r="I19" s="5">
        <v>44682</v>
      </c>
      <c r="J19" s="6">
        <v>38</v>
      </c>
      <c r="K19" s="6">
        <v>38</v>
      </c>
      <c r="L19" s="6">
        <v>5.6070000000000002</v>
      </c>
      <c r="M19" s="6">
        <v>5.6070000000000002</v>
      </c>
      <c r="N19" s="6">
        <v>5.6070000000000002</v>
      </c>
      <c r="O19" s="6">
        <v>5.6070000000000002</v>
      </c>
      <c r="P19" s="6">
        <v>0</v>
      </c>
      <c r="Q19" s="4" t="s">
        <v>26</v>
      </c>
      <c r="R19" s="4">
        <v>0</v>
      </c>
      <c r="S19" s="6">
        <v>2</v>
      </c>
      <c r="T19" s="6">
        <v>3</v>
      </c>
      <c r="U19" s="6">
        <v>49</v>
      </c>
      <c r="V19" s="6">
        <f>IF(ISERROR(VLOOKUP($S$19,'TAR FIN'!$A$1:$O$85,15,0)),0,VLOOKUP($S$19,'TAR FIN'!$A$1:$O$85,15,0))</f>
        <v>16.64</v>
      </c>
      <c r="W19" s="6">
        <f>IF(ISERROR(VLOOKUP($T$19,'TAR FIN'!$A$1:$O$85,15,0)),0,VLOOKUP($T$19,'TAR FIN'!$A$1:$O$85,15,0))</f>
        <v>76.75</v>
      </c>
      <c r="X19" s="6">
        <f>IF(ISERROR(VLOOKUP($U$19,'TAR FIN'!$A$1:$O$85,15,0)),0,VLOOKUP($U$19,'TAR FIN'!$A$1:$O$85,15,0))</f>
        <v>307.08</v>
      </c>
      <c r="Y19" s="6">
        <f ca="1">('TUSD BE'!$AM$6+'TUSD BF'!$AM$6+'TUSD CVA'!$AM$6)*1</f>
        <v>18.371854423657158</v>
      </c>
      <c r="Z19" s="6">
        <f ca="1">('TUSD BE'!$AM$7+'TUSD BF'!$AM$7+'TUSD CVA'!$AM$7)*1</f>
        <v>147.99431148733765</v>
      </c>
      <c r="AA19" s="6">
        <f>('TE BE'!$AB$6+'TE BF'!$AB$6+'TE CVA'!$AB$6)*1</f>
        <v>304.87027853653359</v>
      </c>
      <c r="AB19" s="6">
        <f>$K$19*$V$19</f>
        <v>632.32000000000005</v>
      </c>
      <c r="AC19" s="6">
        <f>$M$19*$W$19</f>
        <v>430.33725000000004</v>
      </c>
      <c r="AD19" s="6">
        <f>$O$19*$X$19</f>
        <v>1721.79756</v>
      </c>
      <c r="AE19" s="6">
        <f ca="1">$K$19*$Y$19</f>
        <v>698.13046809897196</v>
      </c>
      <c r="AF19" s="6">
        <f ca="1">$M$19*$Z$19</f>
        <v>829.80410450950228</v>
      </c>
      <c r="AG19" s="6">
        <f>$O$19*$AA$19</f>
        <v>1709.407651754344</v>
      </c>
    </row>
    <row r="20" spans="1:33" ht="11.25" customHeight="1" x14ac:dyDescent="0.25">
      <c r="A20" s="4" t="s">
        <v>21</v>
      </c>
      <c r="B20" s="4" t="s">
        <v>39</v>
      </c>
      <c r="C20" s="4" t="s">
        <v>42</v>
      </c>
      <c r="D20" s="4" t="s">
        <v>41</v>
      </c>
      <c r="E20" s="4" t="s">
        <v>25</v>
      </c>
      <c r="F20" s="4" t="s">
        <v>25</v>
      </c>
      <c r="G20" s="4" t="s">
        <v>25</v>
      </c>
      <c r="H20" s="4" t="s">
        <v>35</v>
      </c>
      <c r="I20" s="5">
        <v>44713</v>
      </c>
      <c r="J20" s="6">
        <v>400</v>
      </c>
      <c r="K20" s="6">
        <v>400</v>
      </c>
      <c r="L20" s="6">
        <v>104.86</v>
      </c>
      <c r="M20" s="6">
        <v>104.86</v>
      </c>
      <c r="N20" s="6">
        <v>104.86</v>
      </c>
      <c r="O20" s="6">
        <v>104.86</v>
      </c>
      <c r="P20" s="6">
        <v>0</v>
      </c>
      <c r="Q20" s="4" t="s">
        <v>26</v>
      </c>
      <c r="R20" s="4">
        <v>0</v>
      </c>
      <c r="S20" s="6">
        <v>2</v>
      </c>
      <c r="T20" s="6">
        <v>3</v>
      </c>
      <c r="U20" s="6">
        <v>49</v>
      </c>
      <c r="V20" s="6">
        <f>IF(ISERROR(VLOOKUP($S$20,'TAR FIN'!$A$1:$O$85,15,0)),0,VLOOKUP($S$20,'TAR FIN'!$A$1:$O$85,15,0))</f>
        <v>16.64</v>
      </c>
      <c r="W20" s="6">
        <f>IF(ISERROR(VLOOKUP($T$20,'TAR FIN'!$A$1:$O$85,15,0)),0,VLOOKUP($T$20,'TAR FIN'!$A$1:$O$85,15,0))</f>
        <v>76.75</v>
      </c>
      <c r="X20" s="6">
        <f>IF(ISERROR(VLOOKUP($U$20,'TAR FIN'!$A$1:$O$85,15,0)),0,VLOOKUP($U$20,'TAR FIN'!$A$1:$O$85,15,0))</f>
        <v>307.08</v>
      </c>
      <c r="Y20" s="6">
        <f ca="1">('TUSD BE'!$AM$6+'TUSD BF'!$AM$6+'TUSD CVA'!$AM$6)*1</f>
        <v>18.371854423657158</v>
      </c>
      <c r="Z20" s="6">
        <f ca="1">('TUSD BE'!$AM$7+'TUSD BF'!$AM$7+'TUSD CVA'!$AM$7)*1</f>
        <v>147.99431148733765</v>
      </c>
      <c r="AA20" s="6">
        <f>('TE BE'!$AB$6+'TE BF'!$AB$6+'TE CVA'!$AB$6)*1</f>
        <v>304.87027853653359</v>
      </c>
      <c r="AB20" s="6">
        <f>$K$20*$V$20</f>
        <v>6656</v>
      </c>
      <c r="AC20" s="6">
        <f>$M$20*$W$20</f>
        <v>8048.0050000000001</v>
      </c>
      <c r="AD20" s="6">
        <f>$O$20*$X$20</f>
        <v>32200.408799999997</v>
      </c>
      <c r="AE20" s="6">
        <f ca="1">$K$20*$Y$20</f>
        <v>7348.741769462863</v>
      </c>
      <c r="AF20" s="6">
        <f ca="1">$M$20*$Z$20</f>
        <v>15518.683502562226</v>
      </c>
      <c r="AG20" s="6">
        <f>$O$20*$AA$20</f>
        <v>31968.697407340911</v>
      </c>
    </row>
    <row r="21" spans="1:33" ht="11.25" customHeight="1" x14ac:dyDescent="0.25">
      <c r="A21" s="4" t="s">
        <v>28</v>
      </c>
      <c r="B21" s="4" t="s">
        <v>39</v>
      </c>
      <c r="C21" s="4" t="s">
        <v>42</v>
      </c>
      <c r="D21" s="4" t="s">
        <v>41</v>
      </c>
      <c r="E21" s="4" t="s">
        <v>25</v>
      </c>
      <c r="F21" s="4" t="s">
        <v>25</v>
      </c>
      <c r="G21" s="4" t="s">
        <v>25</v>
      </c>
      <c r="H21" s="4" t="s">
        <v>35</v>
      </c>
      <c r="I21" s="5">
        <v>44713</v>
      </c>
      <c r="J21" s="6">
        <v>38</v>
      </c>
      <c r="K21" s="6">
        <v>38</v>
      </c>
      <c r="L21" s="6">
        <v>5.0999999999999996</v>
      </c>
      <c r="M21" s="6">
        <v>5.0999999999999996</v>
      </c>
      <c r="N21" s="6">
        <v>5.0999999999999996</v>
      </c>
      <c r="O21" s="6">
        <v>5.0999999999999996</v>
      </c>
      <c r="P21" s="6">
        <v>0</v>
      </c>
      <c r="Q21" s="4" t="s">
        <v>26</v>
      </c>
      <c r="R21" s="4">
        <v>0</v>
      </c>
      <c r="S21" s="6">
        <v>2</v>
      </c>
      <c r="T21" s="6">
        <v>3</v>
      </c>
      <c r="U21" s="6">
        <v>49</v>
      </c>
      <c r="V21" s="6">
        <f>IF(ISERROR(VLOOKUP($S$21,'TAR FIN'!$A$1:$O$85,15,0)),0,VLOOKUP($S$21,'TAR FIN'!$A$1:$O$85,15,0))</f>
        <v>16.64</v>
      </c>
      <c r="W21" s="6">
        <f>IF(ISERROR(VLOOKUP($T$21,'TAR FIN'!$A$1:$O$85,15,0)),0,VLOOKUP($T$21,'TAR FIN'!$A$1:$O$85,15,0))</f>
        <v>76.75</v>
      </c>
      <c r="X21" s="6">
        <f>IF(ISERROR(VLOOKUP($U$21,'TAR FIN'!$A$1:$O$85,15,0)),0,VLOOKUP($U$21,'TAR FIN'!$A$1:$O$85,15,0))</f>
        <v>307.08</v>
      </c>
      <c r="Y21" s="6">
        <f ca="1">('TUSD BE'!$AM$6+'TUSD BF'!$AM$6+'TUSD CVA'!$AM$6)*1</f>
        <v>18.371854423657158</v>
      </c>
      <c r="Z21" s="6">
        <f ca="1">('TUSD BE'!$AM$7+'TUSD BF'!$AM$7+'TUSD CVA'!$AM$7)*1</f>
        <v>147.99431148733765</v>
      </c>
      <c r="AA21" s="6">
        <f>('TE BE'!$AB$6+'TE BF'!$AB$6+'TE CVA'!$AB$6)*1</f>
        <v>304.87027853653359</v>
      </c>
      <c r="AB21" s="6">
        <f>$K$21*$V$21</f>
        <v>632.32000000000005</v>
      </c>
      <c r="AC21" s="6">
        <f>$M$21*$W$21</f>
        <v>391.42499999999995</v>
      </c>
      <c r="AD21" s="6">
        <f>$O$21*$X$21</f>
        <v>1566.1079999999997</v>
      </c>
      <c r="AE21" s="6">
        <f ca="1">$K$21*$Y$21</f>
        <v>698.13046809897196</v>
      </c>
      <c r="AF21" s="6">
        <f ca="1">$M$21*$Z$21</f>
        <v>754.77098858542195</v>
      </c>
      <c r="AG21" s="6">
        <f>$O$21*$AA$21</f>
        <v>1554.8384205363211</v>
      </c>
    </row>
    <row r="22" spans="1:33" ht="11.25" customHeight="1" x14ac:dyDescent="0.25">
      <c r="A22" s="4" t="s">
        <v>21</v>
      </c>
      <c r="B22" s="4" t="s">
        <v>39</v>
      </c>
      <c r="C22" s="4" t="s">
        <v>42</v>
      </c>
      <c r="D22" s="4" t="s">
        <v>41</v>
      </c>
      <c r="E22" s="4" t="s">
        <v>25</v>
      </c>
      <c r="F22" s="4" t="s">
        <v>25</v>
      </c>
      <c r="G22" s="4" t="s">
        <v>25</v>
      </c>
      <c r="H22" s="4" t="s">
        <v>35</v>
      </c>
      <c r="I22" s="5">
        <v>44743</v>
      </c>
      <c r="J22" s="6">
        <v>406</v>
      </c>
      <c r="K22" s="6">
        <v>406</v>
      </c>
      <c r="L22" s="6">
        <v>105.598</v>
      </c>
      <c r="M22" s="6">
        <v>105.598</v>
      </c>
      <c r="N22" s="6">
        <v>105.598</v>
      </c>
      <c r="O22" s="6">
        <v>105.598</v>
      </c>
      <c r="P22" s="6">
        <v>0</v>
      </c>
      <c r="Q22" s="4" t="s">
        <v>26</v>
      </c>
      <c r="R22" s="4">
        <v>0</v>
      </c>
      <c r="S22" s="6">
        <v>2</v>
      </c>
      <c r="T22" s="6">
        <v>3</v>
      </c>
      <c r="U22" s="6">
        <v>49</v>
      </c>
      <c r="V22" s="6">
        <f>IF(ISERROR(VLOOKUP($S$22,'TAR FIN'!$A$1:$O$85,15,0)),0,VLOOKUP($S$22,'TAR FIN'!$A$1:$O$85,15,0))</f>
        <v>16.64</v>
      </c>
      <c r="W22" s="6">
        <f>IF(ISERROR(VLOOKUP($T$22,'TAR FIN'!$A$1:$O$85,15,0)),0,VLOOKUP($T$22,'TAR FIN'!$A$1:$O$85,15,0))</f>
        <v>76.75</v>
      </c>
      <c r="X22" s="6">
        <f>IF(ISERROR(VLOOKUP($U$22,'TAR FIN'!$A$1:$O$85,15,0)),0,VLOOKUP($U$22,'TAR FIN'!$A$1:$O$85,15,0))</f>
        <v>307.08</v>
      </c>
      <c r="Y22" s="6">
        <f ca="1">('TUSD BE'!$AM$6+'TUSD BF'!$AM$6+'TUSD CVA'!$AM$6)*1</f>
        <v>18.371854423657158</v>
      </c>
      <c r="Z22" s="6">
        <f ca="1">('TUSD BE'!$AM$7+'TUSD BF'!$AM$7+'TUSD CVA'!$AM$7)*1</f>
        <v>147.99431148733765</v>
      </c>
      <c r="AA22" s="6">
        <f>('TE BE'!$AB$6+'TE BF'!$AB$6+'TE CVA'!$AB$6)*1</f>
        <v>304.87027853653359</v>
      </c>
      <c r="AB22" s="6">
        <f>$K$22*$V$22</f>
        <v>6755.84</v>
      </c>
      <c r="AC22" s="6">
        <f>$M$22*$W$22</f>
        <v>8104.6464999999998</v>
      </c>
      <c r="AD22" s="6">
        <f>$O$22*$X$22</f>
        <v>32427.033839999996</v>
      </c>
      <c r="AE22" s="6">
        <f ca="1">$K$22*$Y$22</f>
        <v>7458.972896004806</v>
      </c>
      <c r="AF22" s="6">
        <f ca="1">$M$22*$Z$22</f>
        <v>15627.903304439882</v>
      </c>
      <c r="AG22" s="6">
        <f>$O$22*$AA$22</f>
        <v>32193.691672900874</v>
      </c>
    </row>
    <row r="23" spans="1:33" ht="11.25" customHeight="1" x14ac:dyDescent="0.25">
      <c r="A23" s="4" t="s">
        <v>28</v>
      </c>
      <c r="B23" s="4" t="s">
        <v>39</v>
      </c>
      <c r="C23" s="4" t="s">
        <v>42</v>
      </c>
      <c r="D23" s="4" t="s">
        <v>41</v>
      </c>
      <c r="E23" s="4" t="s">
        <v>25</v>
      </c>
      <c r="F23" s="4" t="s">
        <v>25</v>
      </c>
      <c r="G23" s="4" t="s">
        <v>25</v>
      </c>
      <c r="H23" s="4" t="s">
        <v>35</v>
      </c>
      <c r="I23" s="5">
        <v>44743</v>
      </c>
      <c r="J23" s="6">
        <v>38</v>
      </c>
      <c r="K23" s="6">
        <v>38</v>
      </c>
      <c r="L23" s="6">
        <v>5.359</v>
      </c>
      <c r="M23" s="6">
        <v>5.359</v>
      </c>
      <c r="N23" s="6">
        <v>5.359</v>
      </c>
      <c r="O23" s="6">
        <v>5.359</v>
      </c>
      <c r="P23" s="6">
        <v>0</v>
      </c>
      <c r="Q23" s="4" t="s">
        <v>26</v>
      </c>
      <c r="R23" s="4">
        <v>0</v>
      </c>
      <c r="S23" s="6">
        <v>2</v>
      </c>
      <c r="T23" s="6">
        <v>3</v>
      </c>
      <c r="U23" s="6">
        <v>49</v>
      </c>
      <c r="V23" s="6">
        <f>IF(ISERROR(VLOOKUP($S$23,'TAR FIN'!$A$1:$O$85,15,0)),0,VLOOKUP($S$23,'TAR FIN'!$A$1:$O$85,15,0))</f>
        <v>16.64</v>
      </c>
      <c r="W23" s="6">
        <f>IF(ISERROR(VLOOKUP($T$23,'TAR FIN'!$A$1:$O$85,15,0)),0,VLOOKUP($T$23,'TAR FIN'!$A$1:$O$85,15,0))</f>
        <v>76.75</v>
      </c>
      <c r="X23" s="6">
        <f>IF(ISERROR(VLOOKUP($U$23,'TAR FIN'!$A$1:$O$85,15,0)),0,VLOOKUP($U$23,'TAR FIN'!$A$1:$O$85,15,0))</f>
        <v>307.08</v>
      </c>
      <c r="Y23" s="6">
        <f ca="1">('TUSD BE'!$AM$6+'TUSD BF'!$AM$6+'TUSD CVA'!$AM$6)*1</f>
        <v>18.371854423657158</v>
      </c>
      <c r="Z23" s="6">
        <f ca="1">('TUSD BE'!$AM$7+'TUSD BF'!$AM$7+'TUSD CVA'!$AM$7)*1</f>
        <v>147.99431148733765</v>
      </c>
      <c r="AA23" s="6">
        <f>('TE BE'!$AB$6+'TE BF'!$AB$6+'TE CVA'!$AB$6)*1</f>
        <v>304.87027853653359</v>
      </c>
      <c r="AB23" s="6">
        <f>$K$23*$V$23</f>
        <v>632.32000000000005</v>
      </c>
      <c r="AC23" s="6">
        <f>$M$23*$W$23</f>
        <v>411.30324999999999</v>
      </c>
      <c r="AD23" s="6">
        <f>$O$23*$X$23</f>
        <v>1645.6417199999999</v>
      </c>
      <c r="AE23" s="6">
        <f ca="1">$K$23*$Y$23</f>
        <v>698.13046809897196</v>
      </c>
      <c r="AF23" s="6">
        <f ca="1">$M$23*$Z$23</f>
        <v>793.10151526064249</v>
      </c>
      <c r="AG23" s="6">
        <f>$O$23*$AA$23</f>
        <v>1633.7998226772836</v>
      </c>
    </row>
    <row r="24" spans="1:33" ht="11.25" customHeight="1" x14ac:dyDescent="0.25">
      <c r="A24" s="4" t="s">
        <v>56</v>
      </c>
      <c r="B24" s="4" t="s">
        <v>39</v>
      </c>
      <c r="C24" s="4" t="s">
        <v>42</v>
      </c>
      <c r="D24" s="4" t="s">
        <v>41</v>
      </c>
      <c r="E24" s="4" t="s">
        <v>25</v>
      </c>
      <c r="F24" s="4" t="s">
        <v>25</v>
      </c>
      <c r="G24" s="4" t="s">
        <v>25</v>
      </c>
      <c r="H24" s="4" t="s">
        <v>35</v>
      </c>
      <c r="I24" s="5">
        <v>44774</v>
      </c>
      <c r="J24" s="6">
        <v>406</v>
      </c>
      <c r="K24" s="6">
        <v>406</v>
      </c>
      <c r="L24" s="6">
        <v>105.598</v>
      </c>
      <c r="M24" s="6">
        <v>105.598</v>
      </c>
      <c r="N24" s="6">
        <v>105.598</v>
      </c>
      <c r="O24" s="6">
        <v>105.598</v>
      </c>
      <c r="P24" s="6">
        <v>0</v>
      </c>
      <c r="Q24" s="4" t="s">
        <v>26</v>
      </c>
      <c r="R24" s="4">
        <v>0</v>
      </c>
      <c r="S24" s="6">
        <v>2</v>
      </c>
      <c r="T24" s="6">
        <v>3</v>
      </c>
      <c r="U24" s="6">
        <v>49</v>
      </c>
      <c r="V24" s="6">
        <f>IF(ISERROR(VLOOKUP($S$24,'TAR FIN'!$A$1:$O$85,15,0)),0,VLOOKUP($S$24,'TAR FIN'!$A$1:$O$85,15,0))</f>
        <v>16.64</v>
      </c>
      <c r="W24" s="6">
        <f>IF(ISERROR(VLOOKUP($T$24,'TAR FIN'!$A$1:$O$85,15,0)),0,VLOOKUP($T$24,'TAR FIN'!$A$1:$O$85,15,0))</f>
        <v>76.75</v>
      </c>
      <c r="X24" s="6">
        <f>IF(ISERROR(VLOOKUP($U$24,'TAR FIN'!$A$1:$O$85,15,0)),0,VLOOKUP($U$24,'TAR FIN'!$A$1:$O$85,15,0))</f>
        <v>307.08</v>
      </c>
      <c r="Y24" s="6">
        <f ca="1">('TUSD BE'!$AM$6+'TUSD BF'!$AM$6+'TUSD CVA'!$AM$6)*1</f>
        <v>18.371854423657158</v>
      </c>
      <c r="Z24" s="6">
        <f ca="1">('TUSD BE'!$AM$7+'TUSD BF'!$AM$7+'TUSD CVA'!$AM$7)*1</f>
        <v>147.99431148733765</v>
      </c>
      <c r="AA24" s="6">
        <f>('TE BE'!$AB$6+'TE BF'!$AB$6+'TE CVA'!$AB$6)*1</f>
        <v>304.87027853653359</v>
      </c>
      <c r="AB24" s="6">
        <f>$K$24*$V$24</f>
        <v>6755.84</v>
      </c>
      <c r="AC24" s="6">
        <f>$M$24*$W$24</f>
        <v>8104.6464999999998</v>
      </c>
      <c r="AD24" s="6">
        <f>$O$24*$X$24</f>
        <v>32427.033839999996</v>
      </c>
      <c r="AE24" s="6">
        <f ca="1">$K$24*$Y$24</f>
        <v>7458.972896004806</v>
      </c>
      <c r="AF24" s="6">
        <f ca="1">$M$24*$Z$24</f>
        <v>15627.903304439882</v>
      </c>
      <c r="AG24" s="6">
        <f>$O$24*$AA$24</f>
        <v>32193.691672900874</v>
      </c>
    </row>
    <row r="25" spans="1:33" ht="11.25" customHeight="1" x14ac:dyDescent="0.25">
      <c r="A25" s="4" t="s">
        <v>56</v>
      </c>
      <c r="B25" s="4" t="s">
        <v>39</v>
      </c>
      <c r="C25" s="4" t="s">
        <v>42</v>
      </c>
      <c r="D25" s="4" t="s">
        <v>41</v>
      </c>
      <c r="E25" s="4" t="s">
        <v>25</v>
      </c>
      <c r="F25" s="4" t="s">
        <v>25</v>
      </c>
      <c r="G25" s="4" t="s">
        <v>25</v>
      </c>
      <c r="H25" s="4" t="s">
        <v>35</v>
      </c>
      <c r="I25" s="5">
        <v>44774</v>
      </c>
      <c r="J25" s="6">
        <v>38</v>
      </c>
      <c r="K25" s="6">
        <v>38</v>
      </c>
      <c r="L25" s="6">
        <v>5.359</v>
      </c>
      <c r="M25" s="6">
        <v>5.359</v>
      </c>
      <c r="N25" s="6">
        <v>5.359</v>
      </c>
      <c r="O25" s="6">
        <v>5.359</v>
      </c>
      <c r="P25" s="6">
        <v>0</v>
      </c>
      <c r="Q25" s="4" t="s">
        <v>26</v>
      </c>
      <c r="R25" s="4">
        <v>0</v>
      </c>
      <c r="S25" s="6">
        <v>2</v>
      </c>
      <c r="T25" s="6">
        <v>3</v>
      </c>
      <c r="U25" s="6">
        <v>49</v>
      </c>
      <c r="V25" s="6">
        <f>IF(ISERROR(VLOOKUP($S$25,'TAR FIN'!$A$1:$O$85,15,0)),0,VLOOKUP($S$25,'TAR FIN'!$A$1:$O$85,15,0))</f>
        <v>16.64</v>
      </c>
      <c r="W25" s="6">
        <f>IF(ISERROR(VLOOKUP($T$25,'TAR FIN'!$A$1:$O$85,15,0)),0,VLOOKUP($T$25,'TAR FIN'!$A$1:$O$85,15,0))</f>
        <v>76.75</v>
      </c>
      <c r="X25" s="6">
        <f>IF(ISERROR(VLOOKUP($U$25,'TAR FIN'!$A$1:$O$85,15,0)),0,VLOOKUP($U$25,'TAR FIN'!$A$1:$O$85,15,0))</f>
        <v>307.08</v>
      </c>
      <c r="Y25" s="6">
        <f ca="1">('TUSD BE'!$AM$6+'TUSD BF'!$AM$6+'TUSD CVA'!$AM$6)*1</f>
        <v>18.371854423657158</v>
      </c>
      <c r="Z25" s="6">
        <f ca="1">('TUSD BE'!$AM$7+'TUSD BF'!$AM$7+'TUSD CVA'!$AM$7)*1</f>
        <v>147.99431148733765</v>
      </c>
      <c r="AA25" s="6">
        <f>('TE BE'!$AB$6+'TE BF'!$AB$6+'TE CVA'!$AB$6)*1</f>
        <v>304.87027853653359</v>
      </c>
      <c r="AB25" s="6">
        <f>$K$25*$V$25</f>
        <v>632.32000000000005</v>
      </c>
      <c r="AC25" s="6">
        <f>$M$25*$W$25</f>
        <v>411.30324999999999</v>
      </c>
      <c r="AD25" s="6">
        <f>$O$25*$X$25</f>
        <v>1645.6417199999999</v>
      </c>
      <c r="AE25" s="6">
        <f ca="1">$K$25*$Y$25</f>
        <v>698.13046809897196</v>
      </c>
      <c r="AF25" s="6">
        <f ca="1">$M$25*$Z$25</f>
        <v>793.10151526064249</v>
      </c>
      <c r="AG25" s="6">
        <f>$O$25*$AA$25</f>
        <v>1633.7998226772836</v>
      </c>
    </row>
    <row r="26" spans="1:33" ht="11.25" customHeight="1" x14ac:dyDescent="0.25">
      <c r="A26" s="4" t="s">
        <v>21</v>
      </c>
      <c r="B26" s="4" t="s">
        <v>39</v>
      </c>
      <c r="C26" s="4" t="s">
        <v>42</v>
      </c>
      <c r="D26" s="4" t="s">
        <v>41</v>
      </c>
      <c r="E26" s="4" t="s">
        <v>25</v>
      </c>
      <c r="F26" s="4" t="s">
        <v>25</v>
      </c>
      <c r="G26" s="4" t="s">
        <v>25</v>
      </c>
      <c r="H26" s="4" t="s">
        <v>34</v>
      </c>
      <c r="I26" s="5">
        <v>44440</v>
      </c>
      <c r="J26" s="6">
        <v>322</v>
      </c>
      <c r="K26" s="6">
        <v>322</v>
      </c>
      <c r="L26" s="6">
        <v>10.805</v>
      </c>
      <c r="M26" s="6">
        <v>10.805</v>
      </c>
      <c r="N26" s="6">
        <v>10.805</v>
      </c>
      <c r="O26" s="6">
        <v>10.805</v>
      </c>
      <c r="P26" s="6">
        <v>0</v>
      </c>
      <c r="Q26" s="4" t="s">
        <v>26</v>
      </c>
      <c r="R26" s="4">
        <v>0</v>
      </c>
      <c r="S26" s="6">
        <v>1</v>
      </c>
      <c r="T26" s="6">
        <v>3</v>
      </c>
      <c r="U26" s="6">
        <v>48</v>
      </c>
      <c r="V26" s="6">
        <f>IF(ISERROR(VLOOKUP($S$26,'TAR FIN'!$A$1:$O$85,15,0)),0,VLOOKUP($S$26,'TAR FIN'!$A$1:$O$85,15,0))</f>
        <v>51.93</v>
      </c>
      <c r="W26" s="6">
        <f>IF(ISERROR(VLOOKUP($T$26,'TAR FIN'!$A$1:$O$85,15,0)),0,VLOOKUP($T$26,'TAR FIN'!$A$1:$O$85,15,0))</f>
        <v>76.75</v>
      </c>
      <c r="X26" s="6">
        <f>IF(ISERROR(VLOOKUP($U$26,'TAR FIN'!$A$1:$O$85,15,0)),0,VLOOKUP($U$26,'TAR FIN'!$A$1:$O$85,15,0))</f>
        <v>492.64</v>
      </c>
      <c r="Y26" s="6">
        <f ca="1">('TUSD BE'!$AM$5+'TUSD BF'!$AM$5+'TUSD CVA'!$AM$5)*1</f>
        <v>57.5166740764178</v>
      </c>
      <c r="Z26" s="6">
        <f ca="1">('TUSD BE'!$AM$7+'TUSD BF'!$AM$7+'TUSD CVA'!$AM$7)*1</f>
        <v>147.99431148733765</v>
      </c>
      <c r="AA26" s="6">
        <f>('TE BE'!$AB$5+'TE BF'!$AB$5+'TE CVA'!$AB$5)*1</f>
        <v>485.87597641853409</v>
      </c>
      <c r="AB26" s="6">
        <f>$K$26*$V$26</f>
        <v>16721.46</v>
      </c>
      <c r="AC26" s="6">
        <f>$M$26*$W$26</f>
        <v>829.28374999999994</v>
      </c>
      <c r="AD26" s="6">
        <f>$O$26*$X$26</f>
        <v>5322.9751999999999</v>
      </c>
      <c r="AE26" s="6">
        <f ca="1">$K$26*$Y$26</f>
        <v>18520.369052606533</v>
      </c>
      <c r="AF26" s="6">
        <f ca="1">$M$26*$Z$26</f>
        <v>1599.0785356206834</v>
      </c>
      <c r="AG26" s="6">
        <f>$O$26*$AA$26</f>
        <v>5249.8899252022611</v>
      </c>
    </row>
    <row r="27" spans="1:33" ht="11.25" customHeight="1" x14ac:dyDescent="0.25">
      <c r="A27" s="4" t="s">
        <v>28</v>
      </c>
      <c r="B27" s="4" t="s">
        <v>39</v>
      </c>
      <c r="C27" s="4" t="s">
        <v>42</v>
      </c>
      <c r="D27" s="4" t="s">
        <v>41</v>
      </c>
      <c r="E27" s="4" t="s">
        <v>25</v>
      </c>
      <c r="F27" s="4" t="s">
        <v>25</v>
      </c>
      <c r="G27" s="4" t="s">
        <v>25</v>
      </c>
      <c r="H27" s="4" t="s">
        <v>34</v>
      </c>
      <c r="I27" s="5">
        <v>44440</v>
      </c>
      <c r="J27" s="6">
        <v>38</v>
      </c>
      <c r="K27" s="6">
        <v>38</v>
      </c>
      <c r="L27" s="6">
        <v>0.81599999999999995</v>
      </c>
      <c r="M27" s="6">
        <v>0.81599999999999995</v>
      </c>
      <c r="N27" s="6">
        <v>0.81599999999999995</v>
      </c>
      <c r="O27" s="6">
        <v>0.81599999999999995</v>
      </c>
      <c r="P27" s="6">
        <v>0</v>
      </c>
      <c r="Q27" s="4" t="s">
        <v>26</v>
      </c>
      <c r="R27" s="4">
        <v>0</v>
      </c>
      <c r="S27" s="6">
        <v>1</v>
      </c>
      <c r="T27" s="6">
        <v>3</v>
      </c>
      <c r="U27" s="6">
        <v>48</v>
      </c>
      <c r="V27" s="6">
        <f>IF(ISERROR(VLOOKUP($S$27,'TAR FIN'!$A$1:$O$85,15,0)),0,VLOOKUP($S$27,'TAR FIN'!$A$1:$O$85,15,0))</f>
        <v>51.93</v>
      </c>
      <c r="W27" s="6">
        <f>IF(ISERROR(VLOOKUP($T$27,'TAR FIN'!$A$1:$O$85,15,0)),0,VLOOKUP($T$27,'TAR FIN'!$A$1:$O$85,15,0))</f>
        <v>76.75</v>
      </c>
      <c r="X27" s="6">
        <f>IF(ISERROR(VLOOKUP($U$27,'TAR FIN'!$A$1:$O$85,15,0)),0,VLOOKUP($U$27,'TAR FIN'!$A$1:$O$85,15,0))</f>
        <v>492.64</v>
      </c>
      <c r="Y27" s="6">
        <f ca="1">('TUSD BE'!$AM$5+'TUSD BF'!$AM$5+'TUSD CVA'!$AM$5)*1</f>
        <v>57.5166740764178</v>
      </c>
      <c r="Z27" s="6">
        <f ca="1">('TUSD BE'!$AM$7+'TUSD BF'!$AM$7+'TUSD CVA'!$AM$7)*1</f>
        <v>147.99431148733765</v>
      </c>
      <c r="AA27" s="6">
        <f>('TE BE'!$AB$5+'TE BF'!$AB$5+'TE CVA'!$AB$5)*1</f>
        <v>485.87597641853409</v>
      </c>
      <c r="AB27" s="6">
        <f>$K$27*$V$27</f>
        <v>1973.34</v>
      </c>
      <c r="AC27" s="6">
        <f>$M$27*$W$27</f>
        <v>62.627999999999993</v>
      </c>
      <c r="AD27" s="6">
        <f>$O$27*$X$27</f>
        <v>401.99423999999999</v>
      </c>
      <c r="AE27" s="6">
        <f ca="1">$K$27*$Y$27</f>
        <v>2185.6336149038766</v>
      </c>
      <c r="AF27" s="6">
        <f ca="1">$M$27*$Z$27</f>
        <v>120.76335817366751</v>
      </c>
      <c r="AG27" s="6">
        <f>$O$27*$AA$27</f>
        <v>396.47479675752379</v>
      </c>
    </row>
    <row r="28" spans="1:33" ht="11.25" customHeight="1" x14ac:dyDescent="0.25">
      <c r="A28" s="4" t="s">
        <v>21</v>
      </c>
      <c r="B28" s="4" t="s">
        <v>39</v>
      </c>
      <c r="C28" s="4" t="s">
        <v>42</v>
      </c>
      <c r="D28" s="4" t="s">
        <v>41</v>
      </c>
      <c r="E28" s="4" t="s">
        <v>25</v>
      </c>
      <c r="F28" s="4" t="s">
        <v>25</v>
      </c>
      <c r="G28" s="4" t="s">
        <v>25</v>
      </c>
      <c r="H28" s="4" t="s">
        <v>34</v>
      </c>
      <c r="I28" s="5">
        <v>44470</v>
      </c>
      <c r="J28" s="6">
        <v>339</v>
      </c>
      <c r="K28" s="6">
        <v>339</v>
      </c>
      <c r="L28" s="6">
        <v>12.157999999999999</v>
      </c>
      <c r="M28" s="6">
        <v>12.157999999999999</v>
      </c>
      <c r="N28" s="6">
        <v>12.157999999999999</v>
      </c>
      <c r="O28" s="6">
        <v>12.157999999999999</v>
      </c>
      <c r="P28" s="6">
        <v>0</v>
      </c>
      <c r="Q28" s="4" t="s">
        <v>26</v>
      </c>
      <c r="R28" s="4">
        <v>0</v>
      </c>
      <c r="S28" s="6">
        <v>1</v>
      </c>
      <c r="T28" s="6">
        <v>3</v>
      </c>
      <c r="U28" s="6">
        <v>48</v>
      </c>
      <c r="V28" s="6">
        <f>IF(ISERROR(VLOOKUP($S$28,'TAR FIN'!$A$1:$O$85,15,0)),0,VLOOKUP($S$28,'TAR FIN'!$A$1:$O$85,15,0))</f>
        <v>51.93</v>
      </c>
      <c r="W28" s="6">
        <f>IF(ISERROR(VLOOKUP($T$28,'TAR FIN'!$A$1:$O$85,15,0)),0,VLOOKUP($T$28,'TAR FIN'!$A$1:$O$85,15,0))</f>
        <v>76.75</v>
      </c>
      <c r="X28" s="6">
        <f>IF(ISERROR(VLOOKUP($U$28,'TAR FIN'!$A$1:$O$85,15,0)),0,VLOOKUP($U$28,'TAR FIN'!$A$1:$O$85,15,0))</f>
        <v>492.64</v>
      </c>
      <c r="Y28" s="6">
        <f ca="1">('TUSD BE'!$AM$5+'TUSD BF'!$AM$5+'TUSD CVA'!$AM$5)*1</f>
        <v>57.5166740764178</v>
      </c>
      <c r="Z28" s="6">
        <f ca="1">('TUSD BE'!$AM$7+'TUSD BF'!$AM$7+'TUSD CVA'!$AM$7)*1</f>
        <v>147.99431148733765</v>
      </c>
      <c r="AA28" s="6">
        <f>('TE BE'!$AB$5+'TE BF'!$AB$5+'TE CVA'!$AB$5)*1</f>
        <v>485.87597641853409</v>
      </c>
      <c r="AB28" s="6">
        <f>$K$28*$V$28</f>
        <v>17604.27</v>
      </c>
      <c r="AC28" s="6">
        <f>$M$28*$W$28</f>
        <v>933.12649999999996</v>
      </c>
      <c r="AD28" s="6">
        <f>$O$28*$X$28</f>
        <v>5989.5171199999995</v>
      </c>
      <c r="AE28" s="6">
        <f ca="1">$K$28*$Y$28</f>
        <v>19498.152511905635</v>
      </c>
      <c r="AF28" s="6">
        <f ca="1">$M$28*$Z$28</f>
        <v>1799.3148390630511</v>
      </c>
      <c r="AG28" s="6">
        <f>$O$28*$AA$28</f>
        <v>5907.2801212965369</v>
      </c>
    </row>
    <row r="29" spans="1:33" ht="11.25" customHeight="1" x14ac:dyDescent="0.25">
      <c r="A29" s="4" t="s">
        <v>28</v>
      </c>
      <c r="B29" s="4" t="s">
        <v>39</v>
      </c>
      <c r="C29" s="4" t="s">
        <v>42</v>
      </c>
      <c r="D29" s="4" t="s">
        <v>41</v>
      </c>
      <c r="E29" s="4" t="s">
        <v>25</v>
      </c>
      <c r="F29" s="4" t="s">
        <v>25</v>
      </c>
      <c r="G29" s="4" t="s">
        <v>25</v>
      </c>
      <c r="H29" s="4" t="s">
        <v>34</v>
      </c>
      <c r="I29" s="5">
        <v>44470</v>
      </c>
      <c r="J29" s="6">
        <v>38</v>
      </c>
      <c r="K29" s="6">
        <v>38</v>
      </c>
      <c r="L29" s="6">
        <v>0.80400000000000005</v>
      </c>
      <c r="M29" s="6">
        <v>0.80400000000000005</v>
      </c>
      <c r="N29" s="6">
        <v>0.80400000000000005</v>
      </c>
      <c r="O29" s="6">
        <v>0.80400000000000005</v>
      </c>
      <c r="P29" s="6">
        <v>0</v>
      </c>
      <c r="Q29" s="4" t="s">
        <v>26</v>
      </c>
      <c r="R29" s="4">
        <v>0</v>
      </c>
      <c r="S29" s="6">
        <v>1</v>
      </c>
      <c r="T29" s="6">
        <v>3</v>
      </c>
      <c r="U29" s="6">
        <v>48</v>
      </c>
      <c r="V29" s="6">
        <f>IF(ISERROR(VLOOKUP($S$29,'TAR FIN'!$A$1:$O$85,15,0)),0,VLOOKUP($S$29,'TAR FIN'!$A$1:$O$85,15,0))</f>
        <v>51.93</v>
      </c>
      <c r="W29" s="6">
        <f>IF(ISERROR(VLOOKUP($T$29,'TAR FIN'!$A$1:$O$85,15,0)),0,VLOOKUP($T$29,'TAR FIN'!$A$1:$O$85,15,0))</f>
        <v>76.75</v>
      </c>
      <c r="X29" s="6">
        <f>IF(ISERROR(VLOOKUP($U$29,'TAR FIN'!$A$1:$O$85,15,0)),0,VLOOKUP($U$29,'TAR FIN'!$A$1:$O$85,15,0))</f>
        <v>492.64</v>
      </c>
      <c r="Y29" s="6">
        <f ca="1">('TUSD BE'!$AM$5+'TUSD BF'!$AM$5+'TUSD CVA'!$AM$5)*1</f>
        <v>57.5166740764178</v>
      </c>
      <c r="Z29" s="6">
        <f ca="1">('TUSD BE'!$AM$7+'TUSD BF'!$AM$7+'TUSD CVA'!$AM$7)*1</f>
        <v>147.99431148733765</v>
      </c>
      <c r="AA29" s="6">
        <f>('TE BE'!$AB$5+'TE BF'!$AB$5+'TE CVA'!$AB$5)*1</f>
        <v>485.87597641853409</v>
      </c>
      <c r="AB29" s="6">
        <f>$K$29*$V$29</f>
        <v>1973.34</v>
      </c>
      <c r="AC29" s="6">
        <f>$M$29*$W$29</f>
        <v>61.707000000000001</v>
      </c>
      <c r="AD29" s="6">
        <f>$O$29*$X$29</f>
        <v>396.08256</v>
      </c>
      <c r="AE29" s="6">
        <f ca="1">$K$29*$Y$29</f>
        <v>2185.6336149038766</v>
      </c>
      <c r="AF29" s="6">
        <f ca="1">$M$29*$Z$29</f>
        <v>118.98742643581949</v>
      </c>
      <c r="AG29" s="6">
        <f>$O$29*$AA$29</f>
        <v>390.64428504050142</v>
      </c>
    </row>
    <row r="30" spans="1:33" ht="11.25" customHeight="1" x14ac:dyDescent="0.25">
      <c r="A30" s="4" t="s">
        <v>21</v>
      </c>
      <c r="B30" s="4" t="s">
        <v>39</v>
      </c>
      <c r="C30" s="4" t="s">
        <v>42</v>
      </c>
      <c r="D30" s="4" t="s">
        <v>41</v>
      </c>
      <c r="E30" s="4" t="s">
        <v>25</v>
      </c>
      <c r="F30" s="4" t="s">
        <v>25</v>
      </c>
      <c r="G30" s="4" t="s">
        <v>25</v>
      </c>
      <c r="H30" s="4" t="s">
        <v>34</v>
      </c>
      <c r="I30" s="5">
        <v>44501</v>
      </c>
      <c r="J30" s="6">
        <v>378</v>
      </c>
      <c r="K30" s="6">
        <v>378</v>
      </c>
      <c r="L30" s="6">
        <v>12.619</v>
      </c>
      <c r="M30" s="6">
        <v>12.619</v>
      </c>
      <c r="N30" s="6">
        <v>12.619</v>
      </c>
      <c r="O30" s="6">
        <v>12.619</v>
      </c>
      <c r="P30" s="6">
        <v>0</v>
      </c>
      <c r="Q30" s="4" t="s">
        <v>26</v>
      </c>
      <c r="R30" s="4">
        <v>0</v>
      </c>
      <c r="S30" s="6">
        <v>1</v>
      </c>
      <c r="T30" s="6">
        <v>3</v>
      </c>
      <c r="U30" s="6">
        <v>48</v>
      </c>
      <c r="V30" s="6">
        <f>IF(ISERROR(VLOOKUP($S$30,'TAR FIN'!$A$1:$O$85,15,0)),0,VLOOKUP($S$30,'TAR FIN'!$A$1:$O$85,15,0))</f>
        <v>51.93</v>
      </c>
      <c r="W30" s="6">
        <f>IF(ISERROR(VLOOKUP($T$30,'TAR FIN'!$A$1:$O$85,15,0)),0,VLOOKUP($T$30,'TAR FIN'!$A$1:$O$85,15,0))</f>
        <v>76.75</v>
      </c>
      <c r="X30" s="6">
        <f>IF(ISERROR(VLOOKUP($U$30,'TAR FIN'!$A$1:$O$85,15,0)),0,VLOOKUP($U$30,'TAR FIN'!$A$1:$O$85,15,0))</f>
        <v>492.64</v>
      </c>
      <c r="Y30" s="6">
        <f ca="1">('TUSD BE'!$AM$5+'TUSD BF'!$AM$5+'TUSD CVA'!$AM$5)*1</f>
        <v>57.5166740764178</v>
      </c>
      <c r="Z30" s="6">
        <f ca="1">('TUSD BE'!$AM$7+'TUSD BF'!$AM$7+'TUSD CVA'!$AM$7)*1</f>
        <v>147.99431148733765</v>
      </c>
      <c r="AA30" s="6">
        <f>('TE BE'!$AB$5+'TE BF'!$AB$5+'TE CVA'!$AB$5)*1</f>
        <v>485.87597641853409</v>
      </c>
      <c r="AB30" s="6">
        <f>$K$30*$V$30</f>
        <v>19629.54</v>
      </c>
      <c r="AC30" s="6">
        <f>$M$30*$W$30</f>
        <v>968.50824999999998</v>
      </c>
      <c r="AD30" s="6">
        <f>$O$30*$X$30</f>
        <v>6216.6241599999994</v>
      </c>
      <c r="AE30" s="6">
        <f ca="1">$K$30*$Y$30</f>
        <v>21741.302800885929</v>
      </c>
      <c r="AF30" s="6">
        <f ca="1">$M$30*$Z$30</f>
        <v>1867.5402166587139</v>
      </c>
      <c r="AG30" s="6">
        <f>$O$30*$AA$30</f>
        <v>6131.2689464254818</v>
      </c>
    </row>
    <row r="31" spans="1:33" ht="11.25" customHeight="1" x14ac:dyDescent="0.25">
      <c r="A31" s="4" t="s">
        <v>28</v>
      </c>
      <c r="B31" s="4" t="s">
        <v>39</v>
      </c>
      <c r="C31" s="4" t="s">
        <v>42</v>
      </c>
      <c r="D31" s="4" t="s">
        <v>41</v>
      </c>
      <c r="E31" s="4" t="s">
        <v>25</v>
      </c>
      <c r="F31" s="4" t="s">
        <v>25</v>
      </c>
      <c r="G31" s="4" t="s">
        <v>25</v>
      </c>
      <c r="H31" s="4" t="s">
        <v>34</v>
      </c>
      <c r="I31" s="5">
        <v>44501</v>
      </c>
      <c r="J31" s="6">
        <v>38</v>
      </c>
      <c r="K31" s="6">
        <v>38</v>
      </c>
      <c r="L31" s="6">
        <v>0.71499999999999997</v>
      </c>
      <c r="M31" s="6">
        <v>0.71499999999999997</v>
      </c>
      <c r="N31" s="6">
        <v>0.71499999999999997</v>
      </c>
      <c r="O31" s="6">
        <v>0.71499999999999997</v>
      </c>
      <c r="P31" s="6">
        <v>0</v>
      </c>
      <c r="Q31" s="4" t="s">
        <v>26</v>
      </c>
      <c r="R31" s="4">
        <v>0</v>
      </c>
      <c r="S31" s="6">
        <v>1</v>
      </c>
      <c r="T31" s="6">
        <v>3</v>
      </c>
      <c r="U31" s="6">
        <v>48</v>
      </c>
      <c r="V31" s="6">
        <f>IF(ISERROR(VLOOKUP($S$31,'TAR FIN'!$A$1:$O$85,15,0)),0,VLOOKUP($S$31,'TAR FIN'!$A$1:$O$85,15,0))</f>
        <v>51.93</v>
      </c>
      <c r="W31" s="6">
        <f>IF(ISERROR(VLOOKUP($T$31,'TAR FIN'!$A$1:$O$85,15,0)),0,VLOOKUP($T$31,'TAR FIN'!$A$1:$O$85,15,0))</f>
        <v>76.75</v>
      </c>
      <c r="X31" s="6">
        <f>IF(ISERROR(VLOOKUP($U$31,'TAR FIN'!$A$1:$O$85,15,0)),0,VLOOKUP($U$31,'TAR FIN'!$A$1:$O$85,15,0))</f>
        <v>492.64</v>
      </c>
      <c r="Y31" s="6">
        <f ca="1">('TUSD BE'!$AM$5+'TUSD BF'!$AM$5+'TUSD CVA'!$AM$5)*1</f>
        <v>57.5166740764178</v>
      </c>
      <c r="Z31" s="6">
        <f ca="1">('TUSD BE'!$AM$7+'TUSD BF'!$AM$7+'TUSD CVA'!$AM$7)*1</f>
        <v>147.99431148733765</v>
      </c>
      <c r="AA31" s="6">
        <f>('TE BE'!$AB$5+'TE BF'!$AB$5+'TE CVA'!$AB$5)*1</f>
        <v>485.87597641853409</v>
      </c>
      <c r="AB31" s="6">
        <f>$K$31*$V$31</f>
        <v>1973.34</v>
      </c>
      <c r="AC31" s="6">
        <f>$M$31*$W$31</f>
        <v>54.876249999999999</v>
      </c>
      <c r="AD31" s="6">
        <f>$O$31*$X$31</f>
        <v>352.23759999999999</v>
      </c>
      <c r="AE31" s="6">
        <f ca="1">$K$31*$Y$31</f>
        <v>2185.6336149038766</v>
      </c>
      <c r="AF31" s="6">
        <f ca="1">$M$31*$Z$31</f>
        <v>105.81593271344641</v>
      </c>
      <c r="AG31" s="6">
        <f>$O$31*$AA$31</f>
        <v>347.40132313925187</v>
      </c>
    </row>
    <row r="32" spans="1:33" ht="11.25" customHeight="1" x14ac:dyDescent="0.25">
      <c r="A32" s="4" t="s">
        <v>21</v>
      </c>
      <c r="B32" s="4" t="s">
        <v>39</v>
      </c>
      <c r="C32" s="4" t="s">
        <v>42</v>
      </c>
      <c r="D32" s="4" t="s">
        <v>41</v>
      </c>
      <c r="E32" s="4" t="s">
        <v>25</v>
      </c>
      <c r="F32" s="4" t="s">
        <v>25</v>
      </c>
      <c r="G32" s="4" t="s">
        <v>25</v>
      </c>
      <c r="H32" s="4" t="s">
        <v>34</v>
      </c>
      <c r="I32" s="5">
        <v>44531</v>
      </c>
      <c r="J32" s="6">
        <v>379</v>
      </c>
      <c r="K32" s="6">
        <v>379</v>
      </c>
      <c r="L32" s="6">
        <v>12.819000000000001</v>
      </c>
      <c r="M32" s="6">
        <v>12.819000000000001</v>
      </c>
      <c r="N32" s="6">
        <v>12.819000000000001</v>
      </c>
      <c r="O32" s="6">
        <v>12.819000000000001</v>
      </c>
      <c r="P32" s="6">
        <v>0</v>
      </c>
      <c r="Q32" s="4" t="s">
        <v>26</v>
      </c>
      <c r="R32" s="4">
        <v>0</v>
      </c>
      <c r="S32" s="6">
        <v>1</v>
      </c>
      <c r="T32" s="6">
        <v>3</v>
      </c>
      <c r="U32" s="6">
        <v>48</v>
      </c>
      <c r="V32" s="6">
        <f>IF(ISERROR(VLOOKUP($S$32,'TAR FIN'!$A$1:$O$85,15,0)),0,VLOOKUP($S$32,'TAR FIN'!$A$1:$O$85,15,0))</f>
        <v>51.93</v>
      </c>
      <c r="W32" s="6">
        <f>IF(ISERROR(VLOOKUP($T$32,'TAR FIN'!$A$1:$O$85,15,0)),0,VLOOKUP($T$32,'TAR FIN'!$A$1:$O$85,15,0))</f>
        <v>76.75</v>
      </c>
      <c r="X32" s="6">
        <f>IF(ISERROR(VLOOKUP($U$32,'TAR FIN'!$A$1:$O$85,15,0)),0,VLOOKUP($U$32,'TAR FIN'!$A$1:$O$85,15,0))</f>
        <v>492.64</v>
      </c>
      <c r="Y32" s="6">
        <f ca="1">('TUSD BE'!$AM$5+'TUSD BF'!$AM$5+'TUSD CVA'!$AM$5)*1</f>
        <v>57.5166740764178</v>
      </c>
      <c r="Z32" s="6">
        <f ca="1">('TUSD BE'!$AM$7+'TUSD BF'!$AM$7+'TUSD CVA'!$AM$7)*1</f>
        <v>147.99431148733765</v>
      </c>
      <c r="AA32" s="6">
        <f>('TE BE'!$AB$5+'TE BF'!$AB$5+'TE CVA'!$AB$5)*1</f>
        <v>485.87597641853409</v>
      </c>
      <c r="AB32" s="6">
        <f>$K$32*$V$32</f>
        <v>19681.47</v>
      </c>
      <c r="AC32" s="6">
        <f>$M$32*$W$32</f>
        <v>983.85825000000011</v>
      </c>
      <c r="AD32" s="6">
        <f>$O$32*$X$32</f>
        <v>6315.1521600000005</v>
      </c>
      <c r="AE32" s="6">
        <f ca="1">$K$32*$Y$32</f>
        <v>21798.819474962347</v>
      </c>
      <c r="AF32" s="6">
        <f ca="1">$M$32*$Z$32</f>
        <v>1897.1390789561815</v>
      </c>
      <c r="AG32" s="6">
        <f>$O$32*$AA$32</f>
        <v>6228.4441417091894</v>
      </c>
    </row>
    <row r="33" spans="1:33" ht="11.25" customHeight="1" x14ac:dyDescent="0.25">
      <c r="A33" s="4" t="s">
        <v>28</v>
      </c>
      <c r="B33" s="4" t="s">
        <v>39</v>
      </c>
      <c r="C33" s="4" t="s">
        <v>42</v>
      </c>
      <c r="D33" s="4" t="s">
        <v>41</v>
      </c>
      <c r="E33" s="4" t="s">
        <v>25</v>
      </c>
      <c r="F33" s="4" t="s">
        <v>25</v>
      </c>
      <c r="G33" s="4" t="s">
        <v>25</v>
      </c>
      <c r="H33" s="4" t="s">
        <v>34</v>
      </c>
      <c r="I33" s="5">
        <v>44531</v>
      </c>
      <c r="J33" s="6">
        <v>38</v>
      </c>
      <c r="K33" s="6">
        <v>38</v>
      </c>
      <c r="L33" s="6">
        <v>0.96399999999999997</v>
      </c>
      <c r="M33" s="6">
        <v>0.96399999999999997</v>
      </c>
      <c r="N33" s="6">
        <v>0.96399999999999997</v>
      </c>
      <c r="O33" s="6">
        <v>0.96399999999999997</v>
      </c>
      <c r="P33" s="6">
        <v>0</v>
      </c>
      <c r="Q33" s="4" t="s">
        <v>26</v>
      </c>
      <c r="R33" s="4">
        <v>0</v>
      </c>
      <c r="S33" s="6">
        <v>1</v>
      </c>
      <c r="T33" s="6">
        <v>3</v>
      </c>
      <c r="U33" s="6">
        <v>48</v>
      </c>
      <c r="V33" s="6">
        <f>IF(ISERROR(VLOOKUP($S$33,'TAR FIN'!$A$1:$O$85,15,0)),0,VLOOKUP($S$33,'TAR FIN'!$A$1:$O$85,15,0))</f>
        <v>51.93</v>
      </c>
      <c r="W33" s="6">
        <f>IF(ISERROR(VLOOKUP($T$33,'TAR FIN'!$A$1:$O$85,15,0)),0,VLOOKUP($T$33,'TAR FIN'!$A$1:$O$85,15,0))</f>
        <v>76.75</v>
      </c>
      <c r="X33" s="6">
        <f>IF(ISERROR(VLOOKUP($U$33,'TAR FIN'!$A$1:$O$85,15,0)),0,VLOOKUP($U$33,'TAR FIN'!$A$1:$O$85,15,0))</f>
        <v>492.64</v>
      </c>
      <c r="Y33" s="6">
        <f ca="1">('TUSD BE'!$AM$5+'TUSD BF'!$AM$5+'TUSD CVA'!$AM$5)*1</f>
        <v>57.5166740764178</v>
      </c>
      <c r="Z33" s="6">
        <f ca="1">('TUSD BE'!$AM$7+'TUSD BF'!$AM$7+'TUSD CVA'!$AM$7)*1</f>
        <v>147.99431148733765</v>
      </c>
      <c r="AA33" s="6">
        <f>('TE BE'!$AB$5+'TE BF'!$AB$5+'TE CVA'!$AB$5)*1</f>
        <v>485.87597641853409</v>
      </c>
      <c r="AB33" s="6">
        <f>$K$33*$V$33</f>
        <v>1973.34</v>
      </c>
      <c r="AC33" s="6">
        <f>$M$33*$W$33</f>
        <v>73.986999999999995</v>
      </c>
      <c r="AD33" s="6">
        <f>$O$33*$X$33</f>
        <v>474.90495999999996</v>
      </c>
      <c r="AE33" s="6">
        <f ca="1">$K$33*$Y$33</f>
        <v>2185.6336149038766</v>
      </c>
      <c r="AF33" s="6">
        <f ca="1">$M$33*$Z$33</f>
        <v>142.66651627379349</v>
      </c>
      <c r="AG33" s="6">
        <f>$O$33*$AA$33</f>
        <v>468.38444126746685</v>
      </c>
    </row>
    <row r="34" spans="1:33" ht="11.25" customHeight="1" x14ac:dyDescent="0.25">
      <c r="A34" s="4" t="s">
        <v>21</v>
      </c>
      <c r="B34" s="4" t="s">
        <v>39</v>
      </c>
      <c r="C34" s="4" t="s">
        <v>42</v>
      </c>
      <c r="D34" s="4" t="s">
        <v>41</v>
      </c>
      <c r="E34" s="4" t="s">
        <v>25</v>
      </c>
      <c r="F34" s="4" t="s">
        <v>25</v>
      </c>
      <c r="G34" s="4" t="s">
        <v>25</v>
      </c>
      <c r="H34" s="4" t="s">
        <v>34</v>
      </c>
      <c r="I34" s="5">
        <v>44562</v>
      </c>
      <c r="J34" s="6">
        <v>386</v>
      </c>
      <c r="K34" s="6">
        <v>386</v>
      </c>
      <c r="L34" s="6">
        <v>12.451000000000001</v>
      </c>
      <c r="M34" s="6">
        <v>12.451000000000001</v>
      </c>
      <c r="N34" s="6">
        <v>12.451000000000001</v>
      </c>
      <c r="O34" s="6">
        <v>12.451000000000001</v>
      </c>
      <c r="P34" s="6">
        <v>0</v>
      </c>
      <c r="Q34" s="4" t="s">
        <v>26</v>
      </c>
      <c r="R34" s="4">
        <v>0</v>
      </c>
      <c r="S34" s="6">
        <v>1</v>
      </c>
      <c r="T34" s="6">
        <v>3</v>
      </c>
      <c r="U34" s="6">
        <v>48</v>
      </c>
      <c r="V34" s="6">
        <f>IF(ISERROR(VLOOKUP($S$34,'TAR FIN'!$A$1:$O$85,15,0)),0,VLOOKUP($S$34,'TAR FIN'!$A$1:$O$85,15,0))</f>
        <v>51.93</v>
      </c>
      <c r="W34" s="6">
        <f>IF(ISERROR(VLOOKUP($T$34,'TAR FIN'!$A$1:$O$85,15,0)),0,VLOOKUP($T$34,'TAR FIN'!$A$1:$O$85,15,0))</f>
        <v>76.75</v>
      </c>
      <c r="X34" s="6">
        <f>IF(ISERROR(VLOOKUP($U$34,'TAR FIN'!$A$1:$O$85,15,0)),0,VLOOKUP($U$34,'TAR FIN'!$A$1:$O$85,15,0))</f>
        <v>492.64</v>
      </c>
      <c r="Y34" s="6">
        <f ca="1">('TUSD BE'!$AM$5+'TUSD BF'!$AM$5+'TUSD CVA'!$AM$5)*1</f>
        <v>57.5166740764178</v>
      </c>
      <c r="Z34" s="6">
        <f ca="1">('TUSD BE'!$AM$7+'TUSD BF'!$AM$7+'TUSD CVA'!$AM$7)*1</f>
        <v>147.99431148733765</v>
      </c>
      <c r="AA34" s="6">
        <f>('TE BE'!$AB$5+'TE BF'!$AB$5+'TE CVA'!$AB$5)*1</f>
        <v>485.87597641853409</v>
      </c>
      <c r="AB34" s="6">
        <f>$K$34*$V$34</f>
        <v>20044.98</v>
      </c>
      <c r="AC34" s="6">
        <f>$M$34*$W$34</f>
        <v>955.61425000000008</v>
      </c>
      <c r="AD34" s="6">
        <f>$O$34*$X$34</f>
        <v>6133.8606399999999</v>
      </c>
      <c r="AE34" s="6">
        <f ca="1">$K$34*$Y$34</f>
        <v>22201.436193497269</v>
      </c>
      <c r="AF34" s="6">
        <f ca="1">$M$34*$Z$34</f>
        <v>1842.6771723288412</v>
      </c>
      <c r="AG34" s="6">
        <f>$O$34*$AA$34</f>
        <v>6049.641782387168</v>
      </c>
    </row>
    <row r="35" spans="1:33" ht="11.25" customHeight="1" x14ac:dyDescent="0.25">
      <c r="A35" s="4" t="s">
        <v>28</v>
      </c>
      <c r="B35" s="4" t="s">
        <v>39</v>
      </c>
      <c r="C35" s="4" t="s">
        <v>42</v>
      </c>
      <c r="D35" s="4" t="s">
        <v>41</v>
      </c>
      <c r="E35" s="4" t="s">
        <v>25</v>
      </c>
      <c r="F35" s="4" t="s">
        <v>25</v>
      </c>
      <c r="G35" s="4" t="s">
        <v>25</v>
      </c>
      <c r="H35" s="4" t="s">
        <v>34</v>
      </c>
      <c r="I35" s="5">
        <v>44562</v>
      </c>
      <c r="J35" s="6">
        <v>38</v>
      </c>
      <c r="K35" s="6">
        <v>38</v>
      </c>
      <c r="L35" s="6">
        <v>0.88800000000000001</v>
      </c>
      <c r="M35" s="6">
        <v>0.88800000000000001</v>
      </c>
      <c r="N35" s="6">
        <v>0.88800000000000001</v>
      </c>
      <c r="O35" s="6">
        <v>0.88800000000000001</v>
      </c>
      <c r="P35" s="6">
        <v>0</v>
      </c>
      <c r="Q35" s="4" t="s">
        <v>26</v>
      </c>
      <c r="R35" s="4">
        <v>0</v>
      </c>
      <c r="S35" s="6">
        <v>1</v>
      </c>
      <c r="T35" s="6">
        <v>3</v>
      </c>
      <c r="U35" s="6">
        <v>48</v>
      </c>
      <c r="V35" s="6">
        <f>IF(ISERROR(VLOOKUP($S$35,'TAR FIN'!$A$1:$O$85,15,0)),0,VLOOKUP($S$35,'TAR FIN'!$A$1:$O$85,15,0))</f>
        <v>51.93</v>
      </c>
      <c r="W35" s="6">
        <f>IF(ISERROR(VLOOKUP($T$35,'TAR FIN'!$A$1:$O$85,15,0)),0,VLOOKUP($T$35,'TAR FIN'!$A$1:$O$85,15,0))</f>
        <v>76.75</v>
      </c>
      <c r="X35" s="6">
        <f>IF(ISERROR(VLOOKUP($U$35,'TAR FIN'!$A$1:$O$85,15,0)),0,VLOOKUP($U$35,'TAR FIN'!$A$1:$O$85,15,0))</f>
        <v>492.64</v>
      </c>
      <c r="Y35" s="6">
        <f ca="1">('TUSD BE'!$AM$5+'TUSD BF'!$AM$5+'TUSD CVA'!$AM$5)*1</f>
        <v>57.5166740764178</v>
      </c>
      <c r="Z35" s="6">
        <f ca="1">('TUSD BE'!$AM$7+'TUSD BF'!$AM$7+'TUSD CVA'!$AM$7)*1</f>
        <v>147.99431148733765</v>
      </c>
      <c r="AA35" s="6">
        <f>('TE BE'!$AB$5+'TE BF'!$AB$5+'TE CVA'!$AB$5)*1</f>
        <v>485.87597641853409</v>
      </c>
      <c r="AB35" s="6">
        <f>$K$35*$V$35</f>
        <v>1973.34</v>
      </c>
      <c r="AC35" s="6">
        <f>$M$35*$W$35</f>
        <v>68.153999999999996</v>
      </c>
      <c r="AD35" s="6">
        <f>$O$35*$X$35</f>
        <v>437.46431999999999</v>
      </c>
      <c r="AE35" s="6">
        <f ca="1">$K$35*$Y$35</f>
        <v>2185.6336149038766</v>
      </c>
      <c r="AF35" s="6">
        <f ca="1">$M$35*$Z$35</f>
        <v>131.41894860075584</v>
      </c>
      <c r="AG35" s="6">
        <f>$O$35*$AA$35</f>
        <v>431.45786705965827</v>
      </c>
    </row>
    <row r="36" spans="1:33" ht="11.25" customHeight="1" x14ac:dyDescent="0.25">
      <c r="A36" s="4" t="s">
        <v>21</v>
      </c>
      <c r="B36" s="4" t="s">
        <v>39</v>
      </c>
      <c r="C36" s="4" t="s">
        <v>42</v>
      </c>
      <c r="D36" s="4" t="s">
        <v>41</v>
      </c>
      <c r="E36" s="4" t="s">
        <v>25</v>
      </c>
      <c r="F36" s="4" t="s">
        <v>25</v>
      </c>
      <c r="G36" s="4" t="s">
        <v>25</v>
      </c>
      <c r="H36" s="4" t="s">
        <v>34</v>
      </c>
      <c r="I36" s="5">
        <v>44593</v>
      </c>
      <c r="J36" s="6">
        <v>364</v>
      </c>
      <c r="K36" s="6">
        <v>364</v>
      </c>
      <c r="L36" s="6">
        <v>11.98</v>
      </c>
      <c r="M36" s="6">
        <v>11.98</v>
      </c>
      <c r="N36" s="6">
        <v>11.98</v>
      </c>
      <c r="O36" s="6">
        <v>11.98</v>
      </c>
      <c r="P36" s="6">
        <v>0</v>
      </c>
      <c r="Q36" s="4" t="s">
        <v>26</v>
      </c>
      <c r="R36" s="4">
        <v>0</v>
      </c>
      <c r="S36" s="6">
        <v>1</v>
      </c>
      <c r="T36" s="6">
        <v>3</v>
      </c>
      <c r="U36" s="6">
        <v>48</v>
      </c>
      <c r="V36" s="6">
        <f>IF(ISERROR(VLOOKUP($S$36,'TAR FIN'!$A$1:$O$85,15,0)),0,VLOOKUP($S$36,'TAR FIN'!$A$1:$O$85,15,0))</f>
        <v>51.93</v>
      </c>
      <c r="W36" s="6">
        <f>IF(ISERROR(VLOOKUP($T$36,'TAR FIN'!$A$1:$O$85,15,0)),0,VLOOKUP($T$36,'TAR FIN'!$A$1:$O$85,15,0))</f>
        <v>76.75</v>
      </c>
      <c r="X36" s="6">
        <f>IF(ISERROR(VLOOKUP($U$36,'TAR FIN'!$A$1:$O$85,15,0)),0,VLOOKUP($U$36,'TAR FIN'!$A$1:$O$85,15,0))</f>
        <v>492.64</v>
      </c>
      <c r="Y36" s="6">
        <f ca="1">('TUSD BE'!$AM$5+'TUSD BF'!$AM$5+'TUSD CVA'!$AM$5)*1</f>
        <v>57.5166740764178</v>
      </c>
      <c r="Z36" s="6">
        <f ca="1">('TUSD BE'!$AM$7+'TUSD BF'!$AM$7+'TUSD CVA'!$AM$7)*1</f>
        <v>147.99431148733765</v>
      </c>
      <c r="AA36" s="6">
        <f>('TE BE'!$AB$5+'TE BF'!$AB$5+'TE CVA'!$AB$5)*1</f>
        <v>485.87597641853409</v>
      </c>
      <c r="AB36" s="6">
        <f>$K$36*$V$36</f>
        <v>18902.52</v>
      </c>
      <c r="AC36" s="6">
        <f>$M$36*$W$36</f>
        <v>919.46500000000003</v>
      </c>
      <c r="AD36" s="6">
        <f>$O$36*$X$36</f>
        <v>5901.8271999999997</v>
      </c>
      <c r="AE36" s="6">
        <f ca="1">$K$36*$Y$36</f>
        <v>20936.069363816081</v>
      </c>
      <c r="AF36" s="6">
        <f ca="1">$M$36*$Z$36</f>
        <v>1772.9718516183052</v>
      </c>
      <c r="AG36" s="6">
        <f>$O$36*$AA$36</f>
        <v>5820.7941974940386</v>
      </c>
    </row>
    <row r="37" spans="1:33" ht="11.25" customHeight="1" x14ac:dyDescent="0.25">
      <c r="A37" s="4" t="s">
        <v>28</v>
      </c>
      <c r="B37" s="4" t="s">
        <v>39</v>
      </c>
      <c r="C37" s="4" t="s">
        <v>42</v>
      </c>
      <c r="D37" s="4" t="s">
        <v>41</v>
      </c>
      <c r="E37" s="4" t="s">
        <v>25</v>
      </c>
      <c r="F37" s="4" t="s">
        <v>25</v>
      </c>
      <c r="G37" s="4" t="s">
        <v>25</v>
      </c>
      <c r="H37" s="4" t="s">
        <v>34</v>
      </c>
      <c r="I37" s="5">
        <v>44593</v>
      </c>
      <c r="J37" s="6">
        <v>38</v>
      </c>
      <c r="K37" s="6">
        <v>38</v>
      </c>
      <c r="L37" s="6">
        <v>0.88400000000000001</v>
      </c>
      <c r="M37" s="6">
        <v>0.88400000000000001</v>
      </c>
      <c r="N37" s="6">
        <v>0.88400000000000001</v>
      </c>
      <c r="O37" s="6">
        <v>0.88400000000000001</v>
      </c>
      <c r="P37" s="6">
        <v>0</v>
      </c>
      <c r="Q37" s="4" t="s">
        <v>26</v>
      </c>
      <c r="R37" s="4">
        <v>0</v>
      </c>
      <c r="S37" s="6">
        <v>1</v>
      </c>
      <c r="T37" s="6">
        <v>3</v>
      </c>
      <c r="U37" s="6">
        <v>48</v>
      </c>
      <c r="V37" s="6">
        <f>IF(ISERROR(VLOOKUP($S$37,'TAR FIN'!$A$1:$O$85,15,0)),0,VLOOKUP($S$37,'TAR FIN'!$A$1:$O$85,15,0))</f>
        <v>51.93</v>
      </c>
      <c r="W37" s="6">
        <f>IF(ISERROR(VLOOKUP($T$37,'TAR FIN'!$A$1:$O$85,15,0)),0,VLOOKUP($T$37,'TAR FIN'!$A$1:$O$85,15,0))</f>
        <v>76.75</v>
      </c>
      <c r="X37" s="6">
        <f>IF(ISERROR(VLOOKUP($U$37,'TAR FIN'!$A$1:$O$85,15,0)),0,VLOOKUP($U$37,'TAR FIN'!$A$1:$O$85,15,0))</f>
        <v>492.64</v>
      </c>
      <c r="Y37" s="6">
        <f ca="1">('TUSD BE'!$AM$5+'TUSD BF'!$AM$5+'TUSD CVA'!$AM$5)*1</f>
        <v>57.5166740764178</v>
      </c>
      <c r="Z37" s="6">
        <f ca="1">('TUSD BE'!$AM$7+'TUSD BF'!$AM$7+'TUSD CVA'!$AM$7)*1</f>
        <v>147.99431148733765</v>
      </c>
      <c r="AA37" s="6">
        <f>('TE BE'!$AB$5+'TE BF'!$AB$5+'TE CVA'!$AB$5)*1</f>
        <v>485.87597641853409</v>
      </c>
      <c r="AB37" s="6">
        <f>$K$37*$V$37</f>
        <v>1973.34</v>
      </c>
      <c r="AC37" s="6">
        <f>$M$37*$W$37</f>
        <v>67.846999999999994</v>
      </c>
      <c r="AD37" s="6">
        <f>$O$37*$X$37</f>
        <v>435.49376000000001</v>
      </c>
      <c r="AE37" s="6">
        <f ca="1">$K$37*$Y$37</f>
        <v>2185.6336149038766</v>
      </c>
      <c r="AF37" s="6">
        <f ca="1">$M$37*$Z$37</f>
        <v>130.82697135480649</v>
      </c>
      <c r="AG37" s="6">
        <f>$O$37*$AA$37</f>
        <v>429.51436315398416</v>
      </c>
    </row>
    <row r="38" spans="1:33" ht="11.25" customHeight="1" x14ac:dyDescent="0.25">
      <c r="A38" s="4" t="s">
        <v>21</v>
      </c>
      <c r="B38" s="4" t="s">
        <v>39</v>
      </c>
      <c r="C38" s="4" t="s">
        <v>42</v>
      </c>
      <c r="D38" s="4" t="s">
        <v>41</v>
      </c>
      <c r="E38" s="4" t="s">
        <v>25</v>
      </c>
      <c r="F38" s="4" t="s">
        <v>25</v>
      </c>
      <c r="G38" s="4" t="s">
        <v>25</v>
      </c>
      <c r="H38" s="4" t="s">
        <v>34</v>
      </c>
      <c r="I38" s="5">
        <v>44621</v>
      </c>
      <c r="J38" s="6">
        <v>337</v>
      </c>
      <c r="K38" s="6">
        <v>337</v>
      </c>
      <c r="L38" s="6">
        <v>12.975</v>
      </c>
      <c r="M38" s="6">
        <v>12.975</v>
      </c>
      <c r="N38" s="6">
        <v>12.975</v>
      </c>
      <c r="O38" s="6">
        <v>12.975</v>
      </c>
      <c r="P38" s="6">
        <v>0</v>
      </c>
      <c r="Q38" s="4" t="s">
        <v>26</v>
      </c>
      <c r="R38" s="4">
        <v>0</v>
      </c>
      <c r="S38" s="6">
        <v>1</v>
      </c>
      <c r="T38" s="6">
        <v>3</v>
      </c>
      <c r="U38" s="6">
        <v>48</v>
      </c>
      <c r="V38" s="6">
        <f>IF(ISERROR(VLOOKUP($S$38,'TAR FIN'!$A$1:$O$85,15,0)),0,VLOOKUP($S$38,'TAR FIN'!$A$1:$O$85,15,0))</f>
        <v>51.93</v>
      </c>
      <c r="W38" s="6">
        <f>IF(ISERROR(VLOOKUP($T$38,'TAR FIN'!$A$1:$O$85,15,0)),0,VLOOKUP($T$38,'TAR FIN'!$A$1:$O$85,15,0))</f>
        <v>76.75</v>
      </c>
      <c r="X38" s="6">
        <f>IF(ISERROR(VLOOKUP($U$38,'TAR FIN'!$A$1:$O$85,15,0)),0,VLOOKUP($U$38,'TAR FIN'!$A$1:$O$85,15,0))</f>
        <v>492.64</v>
      </c>
      <c r="Y38" s="6">
        <f ca="1">('TUSD BE'!$AM$5+'TUSD BF'!$AM$5+'TUSD CVA'!$AM$5)*1</f>
        <v>57.5166740764178</v>
      </c>
      <c r="Z38" s="6">
        <f ca="1">('TUSD BE'!$AM$7+'TUSD BF'!$AM$7+'TUSD CVA'!$AM$7)*1</f>
        <v>147.99431148733765</v>
      </c>
      <c r="AA38" s="6">
        <f>('TE BE'!$AB$5+'TE BF'!$AB$5+'TE CVA'!$AB$5)*1</f>
        <v>485.87597641853409</v>
      </c>
      <c r="AB38" s="6">
        <f>$K$38*$V$38</f>
        <v>17500.41</v>
      </c>
      <c r="AC38" s="6">
        <f>$M$38*$W$38</f>
        <v>995.83124999999995</v>
      </c>
      <c r="AD38" s="6">
        <f>$O$38*$X$38</f>
        <v>6392.0039999999999</v>
      </c>
      <c r="AE38" s="6">
        <f ca="1">$K$38*$Y$38</f>
        <v>19383.119163752799</v>
      </c>
      <c r="AF38" s="6">
        <f ca="1">$M$38*$Z$38</f>
        <v>1920.2261915482061</v>
      </c>
      <c r="AG38" s="6">
        <f>$O$38*$AA$38</f>
        <v>6304.2407940304793</v>
      </c>
    </row>
    <row r="39" spans="1:33" ht="11.25" customHeight="1" x14ac:dyDescent="0.25">
      <c r="A39" s="4" t="s">
        <v>28</v>
      </c>
      <c r="B39" s="4" t="s">
        <v>39</v>
      </c>
      <c r="C39" s="4" t="s">
        <v>42</v>
      </c>
      <c r="D39" s="4" t="s">
        <v>41</v>
      </c>
      <c r="E39" s="4" t="s">
        <v>25</v>
      </c>
      <c r="F39" s="4" t="s">
        <v>25</v>
      </c>
      <c r="G39" s="4" t="s">
        <v>25</v>
      </c>
      <c r="H39" s="4" t="s">
        <v>34</v>
      </c>
      <c r="I39" s="5">
        <v>44621</v>
      </c>
      <c r="J39" s="6">
        <v>38</v>
      </c>
      <c r="K39" s="6">
        <v>38</v>
      </c>
      <c r="L39" s="6">
        <v>0.95</v>
      </c>
      <c r="M39" s="6">
        <v>0.95</v>
      </c>
      <c r="N39" s="6">
        <v>0.95</v>
      </c>
      <c r="O39" s="6">
        <v>0.95</v>
      </c>
      <c r="P39" s="6">
        <v>0</v>
      </c>
      <c r="Q39" s="4" t="s">
        <v>26</v>
      </c>
      <c r="R39" s="4">
        <v>0</v>
      </c>
      <c r="S39" s="6">
        <v>1</v>
      </c>
      <c r="T39" s="6">
        <v>3</v>
      </c>
      <c r="U39" s="6">
        <v>48</v>
      </c>
      <c r="V39" s="6">
        <f>IF(ISERROR(VLOOKUP($S$39,'TAR FIN'!$A$1:$O$85,15,0)),0,VLOOKUP($S$39,'TAR FIN'!$A$1:$O$85,15,0))</f>
        <v>51.93</v>
      </c>
      <c r="W39" s="6">
        <f>IF(ISERROR(VLOOKUP($T$39,'TAR FIN'!$A$1:$O$85,15,0)),0,VLOOKUP($T$39,'TAR FIN'!$A$1:$O$85,15,0))</f>
        <v>76.75</v>
      </c>
      <c r="X39" s="6">
        <f>IF(ISERROR(VLOOKUP($U$39,'TAR FIN'!$A$1:$O$85,15,0)),0,VLOOKUP($U$39,'TAR FIN'!$A$1:$O$85,15,0))</f>
        <v>492.64</v>
      </c>
      <c r="Y39" s="6">
        <f ca="1">('TUSD BE'!$AM$5+'TUSD BF'!$AM$5+'TUSD CVA'!$AM$5)*1</f>
        <v>57.5166740764178</v>
      </c>
      <c r="Z39" s="6">
        <f ca="1">('TUSD BE'!$AM$7+'TUSD BF'!$AM$7+'TUSD CVA'!$AM$7)*1</f>
        <v>147.99431148733765</v>
      </c>
      <c r="AA39" s="6">
        <f>('TE BE'!$AB$5+'TE BF'!$AB$5+'TE CVA'!$AB$5)*1</f>
        <v>485.87597641853409</v>
      </c>
      <c r="AB39" s="6">
        <f>$K$39*$V$39</f>
        <v>1973.34</v>
      </c>
      <c r="AC39" s="6">
        <f>$M$39*$W$39</f>
        <v>72.912499999999994</v>
      </c>
      <c r="AD39" s="6">
        <f>$O$39*$X$39</f>
        <v>468.00799999999998</v>
      </c>
      <c r="AE39" s="6">
        <f ca="1">$K$39*$Y$39</f>
        <v>2185.6336149038766</v>
      </c>
      <c r="AF39" s="6">
        <f ca="1">$M$39*$Z$39</f>
        <v>140.59459591297076</v>
      </c>
      <c r="AG39" s="6">
        <f>$O$39*$AA$39</f>
        <v>461.58217759760737</v>
      </c>
    </row>
    <row r="40" spans="1:33" ht="11.25" customHeight="1" x14ac:dyDescent="0.25">
      <c r="A40" s="4" t="s">
        <v>21</v>
      </c>
      <c r="B40" s="4" t="s">
        <v>39</v>
      </c>
      <c r="C40" s="4" t="s">
        <v>42</v>
      </c>
      <c r="D40" s="4" t="s">
        <v>41</v>
      </c>
      <c r="E40" s="4" t="s">
        <v>25</v>
      </c>
      <c r="F40" s="4" t="s">
        <v>25</v>
      </c>
      <c r="G40" s="4" t="s">
        <v>25</v>
      </c>
      <c r="H40" s="4" t="s">
        <v>34</v>
      </c>
      <c r="I40" s="5">
        <v>44652</v>
      </c>
      <c r="J40" s="6">
        <v>328</v>
      </c>
      <c r="K40" s="6">
        <v>328</v>
      </c>
      <c r="L40" s="6">
        <v>12.076000000000001</v>
      </c>
      <c r="M40" s="6">
        <v>12.076000000000001</v>
      </c>
      <c r="N40" s="6">
        <v>12.076000000000001</v>
      </c>
      <c r="O40" s="6">
        <v>12.076000000000001</v>
      </c>
      <c r="P40" s="6">
        <v>0</v>
      </c>
      <c r="Q40" s="4" t="s">
        <v>26</v>
      </c>
      <c r="R40" s="4">
        <v>0</v>
      </c>
      <c r="S40" s="6">
        <v>1</v>
      </c>
      <c r="T40" s="6">
        <v>3</v>
      </c>
      <c r="U40" s="6">
        <v>48</v>
      </c>
      <c r="V40" s="6">
        <f>IF(ISERROR(VLOOKUP($S$40,'TAR FIN'!$A$1:$O$85,15,0)),0,VLOOKUP($S$40,'TAR FIN'!$A$1:$O$85,15,0))</f>
        <v>51.93</v>
      </c>
      <c r="W40" s="6">
        <f>IF(ISERROR(VLOOKUP($T$40,'TAR FIN'!$A$1:$O$85,15,0)),0,VLOOKUP($T$40,'TAR FIN'!$A$1:$O$85,15,0))</f>
        <v>76.75</v>
      </c>
      <c r="X40" s="6">
        <f>IF(ISERROR(VLOOKUP($U$40,'TAR FIN'!$A$1:$O$85,15,0)),0,VLOOKUP($U$40,'TAR FIN'!$A$1:$O$85,15,0))</f>
        <v>492.64</v>
      </c>
      <c r="Y40" s="6">
        <f ca="1">('TUSD BE'!$AM$5+'TUSD BF'!$AM$5+'TUSD CVA'!$AM$5)*1</f>
        <v>57.5166740764178</v>
      </c>
      <c r="Z40" s="6">
        <f ca="1">('TUSD BE'!$AM$7+'TUSD BF'!$AM$7+'TUSD CVA'!$AM$7)*1</f>
        <v>147.99431148733765</v>
      </c>
      <c r="AA40" s="6">
        <f>('TE BE'!$AB$5+'TE BF'!$AB$5+'TE CVA'!$AB$5)*1</f>
        <v>485.87597641853409</v>
      </c>
      <c r="AB40" s="6">
        <f>$K$40*$V$40</f>
        <v>17033.04</v>
      </c>
      <c r="AC40" s="6">
        <f>$M$40*$W$40</f>
        <v>926.83300000000008</v>
      </c>
      <c r="AD40" s="6">
        <f>$O$40*$X$40</f>
        <v>5949.1206400000001</v>
      </c>
      <c r="AE40" s="6">
        <f ca="1">$K$40*$Y$40</f>
        <v>18865.469097065037</v>
      </c>
      <c r="AF40" s="6">
        <f ca="1">$M$40*$Z$40</f>
        <v>1787.1793055210896</v>
      </c>
      <c r="AG40" s="6">
        <f>$O$40*$AA$40</f>
        <v>5867.4382912302181</v>
      </c>
    </row>
    <row r="41" spans="1:33" ht="11.25" customHeight="1" x14ac:dyDescent="0.25">
      <c r="A41" s="4" t="s">
        <v>28</v>
      </c>
      <c r="B41" s="4" t="s">
        <v>39</v>
      </c>
      <c r="C41" s="4" t="s">
        <v>42</v>
      </c>
      <c r="D41" s="4" t="s">
        <v>41</v>
      </c>
      <c r="E41" s="4" t="s">
        <v>25</v>
      </c>
      <c r="F41" s="4" t="s">
        <v>25</v>
      </c>
      <c r="G41" s="4" t="s">
        <v>25</v>
      </c>
      <c r="H41" s="4" t="s">
        <v>34</v>
      </c>
      <c r="I41" s="5">
        <v>44652</v>
      </c>
      <c r="J41" s="6">
        <v>38</v>
      </c>
      <c r="K41" s="6">
        <v>38</v>
      </c>
      <c r="L41" s="6">
        <v>0.84299999999999997</v>
      </c>
      <c r="M41" s="6">
        <v>0.84299999999999997</v>
      </c>
      <c r="N41" s="6">
        <v>0.84299999999999997</v>
      </c>
      <c r="O41" s="6">
        <v>0.84299999999999997</v>
      </c>
      <c r="P41" s="6">
        <v>0</v>
      </c>
      <c r="Q41" s="4" t="s">
        <v>26</v>
      </c>
      <c r="R41" s="4">
        <v>0</v>
      </c>
      <c r="S41" s="6">
        <v>1</v>
      </c>
      <c r="T41" s="6">
        <v>3</v>
      </c>
      <c r="U41" s="6">
        <v>48</v>
      </c>
      <c r="V41" s="6">
        <f>IF(ISERROR(VLOOKUP($S$41,'TAR FIN'!$A$1:$O$85,15,0)),0,VLOOKUP($S$41,'TAR FIN'!$A$1:$O$85,15,0))</f>
        <v>51.93</v>
      </c>
      <c r="W41" s="6">
        <f>IF(ISERROR(VLOOKUP($T$41,'TAR FIN'!$A$1:$O$85,15,0)),0,VLOOKUP($T$41,'TAR FIN'!$A$1:$O$85,15,0))</f>
        <v>76.75</v>
      </c>
      <c r="X41" s="6">
        <f>IF(ISERROR(VLOOKUP($U$41,'TAR FIN'!$A$1:$O$85,15,0)),0,VLOOKUP($U$41,'TAR FIN'!$A$1:$O$85,15,0))</f>
        <v>492.64</v>
      </c>
      <c r="Y41" s="6">
        <f ca="1">('TUSD BE'!$AM$5+'TUSD BF'!$AM$5+'TUSD CVA'!$AM$5)*1</f>
        <v>57.5166740764178</v>
      </c>
      <c r="Z41" s="6">
        <f ca="1">('TUSD BE'!$AM$7+'TUSD BF'!$AM$7+'TUSD CVA'!$AM$7)*1</f>
        <v>147.99431148733765</v>
      </c>
      <c r="AA41" s="6">
        <f>('TE BE'!$AB$5+'TE BF'!$AB$5+'TE CVA'!$AB$5)*1</f>
        <v>485.87597641853409</v>
      </c>
      <c r="AB41" s="6">
        <f>$K$41*$V$41</f>
        <v>1973.34</v>
      </c>
      <c r="AC41" s="6">
        <f>$M$41*$W$41</f>
        <v>64.700249999999997</v>
      </c>
      <c r="AD41" s="6">
        <f>$O$41*$X$41</f>
        <v>415.29551999999995</v>
      </c>
      <c r="AE41" s="6">
        <f ca="1">$K$41*$Y$41</f>
        <v>2185.6336149038766</v>
      </c>
      <c r="AF41" s="6">
        <f ca="1">$M$41*$Z$41</f>
        <v>124.75920458382564</v>
      </c>
      <c r="AG41" s="6">
        <f>$O$41*$AA$41</f>
        <v>409.59344812082423</v>
      </c>
    </row>
    <row r="42" spans="1:33" ht="11.25" customHeight="1" x14ac:dyDescent="0.25">
      <c r="A42" s="4" t="s">
        <v>21</v>
      </c>
      <c r="B42" s="4" t="s">
        <v>39</v>
      </c>
      <c r="C42" s="4" t="s">
        <v>42</v>
      </c>
      <c r="D42" s="4" t="s">
        <v>41</v>
      </c>
      <c r="E42" s="4" t="s">
        <v>25</v>
      </c>
      <c r="F42" s="4" t="s">
        <v>25</v>
      </c>
      <c r="G42" s="4" t="s">
        <v>25</v>
      </c>
      <c r="H42" s="4" t="s">
        <v>34</v>
      </c>
      <c r="I42" s="5">
        <v>44682</v>
      </c>
      <c r="J42" s="6">
        <v>320</v>
      </c>
      <c r="K42" s="6">
        <v>320</v>
      </c>
      <c r="L42" s="6">
        <v>9.9960000000000004</v>
      </c>
      <c r="M42" s="6">
        <v>9.9960000000000004</v>
      </c>
      <c r="N42" s="6">
        <v>9.9960000000000004</v>
      </c>
      <c r="O42" s="6">
        <v>9.9960000000000004</v>
      </c>
      <c r="P42" s="6">
        <v>0</v>
      </c>
      <c r="Q42" s="4" t="s">
        <v>26</v>
      </c>
      <c r="R42" s="4">
        <v>0</v>
      </c>
      <c r="S42" s="6">
        <v>1</v>
      </c>
      <c r="T42" s="6">
        <v>3</v>
      </c>
      <c r="U42" s="6">
        <v>48</v>
      </c>
      <c r="V42" s="6">
        <f>IF(ISERROR(VLOOKUP($S$42,'TAR FIN'!$A$1:$O$85,15,0)),0,VLOOKUP($S$42,'TAR FIN'!$A$1:$O$85,15,0))</f>
        <v>51.93</v>
      </c>
      <c r="W42" s="6">
        <f>IF(ISERROR(VLOOKUP($T$42,'TAR FIN'!$A$1:$O$85,15,0)),0,VLOOKUP($T$42,'TAR FIN'!$A$1:$O$85,15,0))</f>
        <v>76.75</v>
      </c>
      <c r="X42" s="6">
        <f>IF(ISERROR(VLOOKUP($U$42,'TAR FIN'!$A$1:$O$85,15,0)),0,VLOOKUP($U$42,'TAR FIN'!$A$1:$O$85,15,0))</f>
        <v>492.64</v>
      </c>
      <c r="Y42" s="6">
        <f ca="1">('TUSD BE'!$AM$5+'TUSD BF'!$AM$5+'TUSD CVA'!$AM$5)*1</f>
        <v>57.5166740764178</v>
      </c>
      <c r="Z42" s="6">
        <f ca="1">('TUSD BE'!$AM$7+'TUSD BF'!$AM$7+'TUSD CVA'!$AM$7)*1</f>
        <v>147.99431148733765</v>
      </c>
      <c r="AA42" s="6">
        <f>('TE BE'!$AB$5+'TE BF'!$AB$5+'TE CVA'!$AB$5)*1</f>
        <v>485.87597641853409</v>
      </c>
      <c r="AB42" s="6">
        <f>$K$42*$V$42</f>
        <v>16617.599999999999</v>
      </c>
      <c r="AC42" s="6">
        <f>$M$42*$W$42</f>
        <v>767.19299999999998</v>
      </c>
      <c r="AD42" s="6">
        <f>$O$42*$X$42</f>
        <v>4924.4294399999999</v>
      </c>
      <c r="AE42" s="6">
        <f ca="1">$K$42*$Y$42</f>
        <v>18405.335704453697</v>
      </c>
      <c r="AF42" s="6">
        <f ca="1">$M$42*$Z$42</f>
        <v>1479.3511376274273</v>
      </c>
      <c r="AG42" s="6">
        <f>$O$42*$AA$42</f>
        <v>4856.8162602796674</v>
      </c>
    </row>
    <row r="43" spans="1:33" ht="11.25" customHeight="1" x14ac:dyDescent="0.25">
      <c r="A43" s="4" t="s">
        <v>28</v>
      </c>
      <c r="B43" s="4" t="s">
        <v>39</v>
      </c>
      <c r="C43" s="4" t="s">
        <v>42</v>
      </c>
      <c r="D43" s="4" t="s">
        <v>41</v>
      </c>
      <c r="E43" s="4" t="s">
        <v>25</v>
      </c>
      <c r="F43" s="4" t="s">
        <v>25</v>
      </c>
      <c r="G43" s="4" t="s">
        <v>25</v>
      </c>
      <c r="H43" s="4" t="s">
        <v>34</v>
      </c>
      <c r="I43" s="5">
        <v>44682</v>
      </c>
      <c r="J43" s="6">
        <v>38</v>
      </c>
      <c r="K43" s="6">
        <v>38</v>
      </c>
      <c r="L43" s="6">
        <v>0.67300000000000004</v>
      </c>
      <c r="M43" s="6">
        <v>0.67300000000000004</v>
      </c>
      <c r="N43" s="6">
        <v>0.67300000000000004</v>
      </c>
      <c r="O43" s="6">
        <v>0.67300000000000004</v>
      </c>
      <c r="P43" s="6">
        <v>0</v>
      </c>
      <c r="Q43" s="4" t="s">
        <v>26</v>
      </c>
      <c r="R43" s="4">
        <v>0</v>
      </c>
      <c r="S43" s="6">
        <v>1</v>
      </c>
      <c r="T43" s="6">
        <v>3</v>
      </c>
      <c r="U43" s="6">
        <v>48</v>
      </c>
      <c r="V43" s="6">
        <f>IF(ISERROR(VLOOKUP($S$43,'TAR FIN'!$A$1:$O$85,15,0)),0,VLOOKUP($S$43,'TAR FIN'!$A$1:$O$85,15,0))</f>
        <v>51.93</v>
      </c>
      <c r="W43" s="6">
        <f>IF(ISERROR(VLOOKUP($T$43,'TAR FIN'!$A$1:$O$85,15,0)),0,VLOOKUP($T$43,'TAR FIN'!$A$1:$O$85,15,0))</f>
        <v>76.75</v>
      </c>
      <c r="X43" s="6">
        <f>IF(ISERROR(VLOOKUP($U$43,'TAR FIN'!$A$1:$O$85,15,0)),0,VLOOKUP($U$43,'TAR FIN'!$A$1:$O$85,15,0))</f>
        <v>492.64</v>
      </c>
      <c r="Y43" s="6">
        <f ca="1">('TUSD BE'!$AM$5+'TUSD BF'!$AM$5+'TUSD CVA'!$AM$5)*1</f>
        <v>57.5166740764178</v>
      </c>
      <c r="Z43" s="6">
        <f ca="1">('TUSD BE'!$AM$7+'TUSD BF'!$AM$7+'TUSD CVA'!$AM$7)*1</f>
        <v>147.99431148733765</v>
      </c>
      <c r="AA43" s="6">
        <f>('TE BE'!$AB$5+'TE BF'!$AB$5+'TE CVA'!$AB$5)*1</f>
        <v>485.87597641853409</v>
      </c>
      <c r="AB43" s="6">
        <f>$K$43*$V$43</f>
        <v>1973.34</v>
      </c>
      <c r="AC43" s="6">
        <f>$M$43*$W$43</f>
        <v>51.652750000000005</v>
      </c>
      <c r="AD43" s="6">
        <f>$O$43*$X$43</f>
        <v>331.54671999999999</v>
      </c>
      <c r="AE43" s="6">
        <f ca="1">$K$43*$Y$43</f>
        <v>2185.6336149038766</v>
      </c>
      <c r="AF43" s="6">
        <f ca="1">$M$43*$Z$43</f>
        <v>99.600171630978252</v>
      </c>
      <c r="AG43" s="6">
        <f>$O$43*$AA$43</f>
        <v>326.99453212967347</v>
      </c>
    </row>
    <row r="44" spans="1:33" ht="11.25" customHeight="1" x14ac:dyDescent="0.25">
      <c r="A44" s="4" t="s">
        <v>21</v>
      </c>
      <c r="B44" s="4" t="s">
        <v>39</v>
      </c>
      <c r="C44" s="4" t="s">
        <v>42</v>
      </c>
      <c r="D44" s="4" t="s">
        <v>41</v>
      </c>
      <c r="E44" s="4" t="s">
        <v>25</v>
      </c>
      <c r="F44" s="4" t="s">
        <v>25</v>
      </c>
      <c r="G44" s="4" t="s">
        <v>25</v>
      </c>
      <c r="H44" s="4" t="s">
        <v>34</v>
      </c>
      <c r="I44" s="5">
        <v>44713</v>
      </c>
      <c r="J44" s="6">
        <v>320</v>
      </c>
      <c r="K44" s="6">
        <v>320</v>
      </c>
      <c r="L44" s="6">
        <v>10.569000000000001</v>
      </c>
      <c r="M44" s="6">
        <v>10.569000000000001</v>
      </c>
      <c r="N44" s="6">
        <v>10.569000000000001</v>
      </c>
      <c r="O44" s="6">
        <v>10.569000000000001</v>
      </c>
      <c r="P44" s="6">
        <v>0</v>
      </c>
      <c r="Q44" s="4" t="s">
        <v>26</v>
      </c>
      <c r="R44" s="4">
        <v>0</v>
      </c>
      <c r="S44" s="6">
        <v>1</v>
      </c>
      <c r="T44" s="6">
        <v>3</v>
      </c>
      <c r="U44" s="6">
        <v>48</v>
      </c>
      <c r="V44" s="6">
        <f>IF(ISERROR(VLOOKUP($S$44,'TAR FIN'!$A$1:$O$85,15,0)),0,VLOOKUP($S$44,'TAR FIN'!$A$1:$O$85,15,0))</f>
        <v>51.93</v>
      </c>
      <c r="W44" s="6">
        <f>IF(ISERROR(VLOOKUP($T$44,'TAR FIN'!$A$1:$O$85,15,0)),0,VLOOKUP($T$44,'TAR FIN'!$A$1:$O$85,15,0))</f>
        <v>76.75</v>
      </c>
      <c r="X44" s="6">
        <f>IF(ISERROR(VLOOKUP($U$44,'TAR FIN'!$A$1:$O$85,15,0)),0,VLOOKUP($U$44,'TAR FIN'!$A$1:$O$85,15,0))</f>
        <v>492.64</v>
      </c>
      <c r="Y44" s="6">
        <f ca="1">('TUSD BE'!$AM$5+'TUSD BF'!$AM$5+'TUSD CVA'!$AM$5)*1</f>
        <v>57.5166740764178</v>
      </c>
      <c r="Z44" s="6">
        <f ca="1">('TUSD BE'!$AM$7+'TUSD BF'!$AM$7+'TUSD CVA'!$AM$7)*1</f>
        <v>147.99431148733765</v>
      </c>
      <c r="AA44" s="6">
        <f>('TE BE'!$AB$5+'TE BF'!$AB$5+'TE CVA'!$AB$5)*1</f>
        <v>485.87597641853409</v>
      </c>
      <c r="AB44" s="6">
        <f>$K$44*$V$44</f>
        <v>16617.599999999999</v>
      </c>
      <c r="AC44" s="6">
        <f>$M$44*$W$44</f>
        <v>811.17075000000011</v>
      </c>
      <c r="AD44" s="6">
        <f>$O$44*$X$44</f>
        <v>5206.71216</v>
      </c>
      <c r="AE44" s="6">
        <f ca="1">$K$44*$Y$44</f>
        <v>18405.335704453697</v>
      </c>
      <c r="AF44" s="6">
        <f ca="1">$M$44*$Z$44</f>
        <v>1564.1518781096718</v>
      </c>
      <c r="AG44" s="6">
        <f>$O$44*$AA$44</f>
        <v>5135.2231947674873</v>
      </c>
    </row>
    <row r="45" spans="1:33" ht="11.25" customHeight="1" x14ac:dyDescent="0.25">
      <c r="A45" s="4" t="s">
        <v>28</v>
      </c>
      <c r="B45" s="4" t="s">
        <v>39</v>
      </c>
      <c r="C45" s="4" t="s">
        <v>42</v>
      </c>
      <c r="D45" s="4" t="s">
        <v>41</v>
      </c>
      <c r="E45" s="4" t="s">
        <v>25</v>
      </c>
      <c r="F45" s="4" t="s">
        <v>25</v>
      </c>
      <c r="G45" s="4" t="s">
        <v>25</v>
      </c>
      <c r="H45" s="4" t="s">
        <v>34</v>
      </c>
      <c r="I45" s="5">
        <v>44713</v>
      </c>
      <c r="J45" s="6">
        <v>38</v>
      </c>
      <c r="K45" s="6">
        <v>38</v>
      </c>
      <c r="L45" s="6">
        <v>0.66600000000000004</v>
      </c>
      <c r="M45" s="6">
        <v>0.66600000000000004</v>
      </c>
      <c r="N45" s="6">
        <v>0.66600000000000004</v>
      </c>
      <c r="O45" s="6">
        <v>0.66600000000000004</v>
      </c>
      <c r="P45" s="6">
        <v>0</v>
      </c>
      <c r="Q45" s="4" t="s">
        <v>26</v>
      </c>
      <c r="R45" s="4">
        <v>0</v>
      </c>
      <c r="S45" s="6">
        <v>1</v>
      </c>
      <c r="T45" s="6">
        <v>3</v>
      </c>
      <c r="U45" s="6">
        <v>48</v>
      </c>
      <c r="V45" s="6">
        <f>IF(ISERROR(VLOOKUP($S$45,'TAR FIN'!$A$1:$O$85,15,0)),0,VLOOKUP($S$45,'TAR FIN'!$A$1:$O$85,15,0))</f>
        <v>51.93</v>
      </c>
      <c r="W45" s="6">
        <f>IF(ISERROR(VLOOKUP($T$45,'TAR FIN'!$A$1:$O$85,15,0)),0,VLOOKUP($T$45,'TAR FIN'!$A$1:$O$85,15,0))</f>
        <v>76.75</v>
      </c>
      <c r="X45" s="6">
        <f>IF(ISERROR(VLOOKUP($U$45,'TAR FIN'!$A$1:$O$85,15,0)),0,VLOOKUP($U$45,'TAR FIN'!$A$1:$O$85,15,0))</f>
        <v>492.64</v>
      </c>
      <c r="Y45" s="6">
        <f ca="1">('TUSD BE'!$AM$5+'TUSD BF'!$AM$5+'TUSD CVA'!$AM$5)*1</f>
        <v>57.5166740764178</v>
      </c>
      <c r="Z45" s="6">
        <f ca="1">('TUSD BE'!$AM$7+'TUSD BF'!$AM$7+'TUSD CVA'!$AM$7)*1</f>
        <v>147.99431148733765</v>
      </c>
      <c r="AA45" s="6">
        <f>('TE BE'!$AB$5+'TE BF'!$AB$5+'TE CVA'!$AB$5)*1</f>
        <v>485.87597641853409</v>
      </c>
      <c r="AB45" s="6">
        <f>$K$45*$V$45</f>
        <v>1973.34</v>
      </c>
      <c r="AC45" s="6">
        <f>$M$45*$W$45</f>
        <v>51.115500000000004</v>
      </c>
      <c r="AD45" s="6">
        <f>$O$45*$X$45</f>
        <v>328.09824000000003</v>
      </c>
      <c r="AE45" s="6">
        <f ca="1">$K$45*$Y$45</f>
        <v>2185.6336149038766</v>
      </c>
      <c r="AF45" s="6">
        <f ca="1">$M$45*$Z$45</f>
        <v>98.564211450566887</v>
      </c>
      <c r="AG45" s="6">
        <f>$O$45*$AA$45</f>
        <v>323.59340029474373</v>
      </c>
    </row>
    <row r="46" spans="1:33" ht="11.25" customHeight="1" x14ac:dyDescent="0.25">
      <c r="A46" s="4" t="s">
        <v>21</v>
      </c>
      <c r="B46" s="4" t="s">
        <v>39</v>
      </c>
      <c r="C46" s="4" t="s">
        <v>42</v>
      </c>
      <c r="D46" s="4" t="s">
        <v>41</v>
      </c>
      <c r="E46" s="4" t="s">
        <v>25</v>
      </c>
      <c r="F46" s="4" t="s">
        <v>25</v>
      </c>
      <c r="G46" s="4" t="s">
        <v>25</v>
      </c>
      <c r="H46" s="4" t="s">
        <v>34</v>
      </c>
      <c r="I46" s="5">
        <v>44743</v>
      </c>
      <c r="J46" s="6">
        <v>320</v>
      </c>
      <c r="K46" s="6">
        <v>320</v>
      </c>
      <c r="L46" s="6">
        <v>10.477</v>
      </c>
      <c r="M46" s="6">
        <v>10.477</v>
      </c>
      <c r="N46" s="6">
        <v>10.477</v>
      </c>
      <c r="O46" s="6">
        <v>10.477</v>
      </c>
      <c r="P46" s="6">
        <v>0</v>
      </c>
      <c r="Q46" s="4" t="s">
        <v>26</v>
      </c>
      <c r="R46" s="4">
        <v>0</v>
      </c>
      <c r="S46" s="6">
        <v>1</v>
      </c>
      <c r="T46" s="6">
        <v>3</v>
      </c>
      <c r="U46" s="6">
        <v>48</v>
      </c>
      <c r="V46" s="6">
        <f>IF(ISERROR(VLOOKUP($S$46,'TAR FIN'!$A$1:$O$85,15,0)),0,VLOOKUP($S$46,'TAR FIN'!$A$1:$O$85,15,0))</f>
        <v>51.93</v>
      </c>
      <c r="W46" s="6">
        <f>IF(ISERROR(VLOOKUP($T$46,'TAR FIN'!$A$1:$O$85,15,0)),0,VLOOKUP($T$46,'TAR FIN'!$A$1:$O$85,15,0))</f>
        <v>76.75</v>
      </c>
      <c r="X46" s="6">
        <f>IF(ISERROR(VLOOKUP($U$46,'TAR FIN'!$A$1:$O$85,15,0)),0,VLOOKUP($U$46,'TAR FIN'!$A$1:$O$85,15,0))</f>
        <v>492.64</v>
      </c>
      <c r="Y46" s="6">
        <f ca="1">('TUSD BE'!$AM$5+'TUSD BF'!$AM$5+'TUSD CVA'!$AM$5)*1</f>
        <v>57.5166740764178</v>
      </c>
      <c r="Z46" s="6">
        <f ca="1">('TUSD BE'!$AM$7+'TUSD BF'!$AM$7+'TUSD CVA'!$AM$7)*1</f>
        <v>147.99431148733765</v>
      </c>
      <c r="AA46" s="6">
        <f>('TE BE'!$AB$5+'TE BF'!$AB$5+'TE CVA'!$AB$5)*1</f>
        <v>485.87597641853409</v>
      </c>
      <c r="AB46" s="6">
        <f>$K$46*$V$46</f>
        <v>16617.599999999999</v>
      </c>
      <c r="AC46" s="6">
        <f>$M$46*$W$46</f>
        <v>804.10975000000008</v>
      </c>
      <c r="AD46" s="6">
        <f>$O$46*$X$46</f>
        <v>5161.3892800000003</v>
      </c>
      <c r="AE46" s="6">
        <f ca="1">$K$46*$Y$46</f>
        <v>18405.335704453697</v>
      </c>
      <c r="AF46" s="6">
        <f ca="1">$M$46*$Z$46</f>
        <v>1550.5364014528366</v>
      </c>
      <c r="AG46" s="6">
        <f>$O$46*$AA$46</f>
        <v>5090.5226049369821</v>
      </c>
    </row>
    <row r="47" spans="1:33" ht="11.25" customHeight="1" x14ac:dyDescent="0.25">
      <c r="A47" s="4" t="s">
        <v>28</v>
      </c>
      <c r="B47" s="4" t="s">
        <v>39</v>
      </c>
      <c r="C47" s="4" t="s">
        <v>42</v>
      </c>
      <c r="D47" s="4" t="s">
        <v>41</v>
      </c>
      <c r="E47" s="4" t="s">
        <v>25</v>
      </c>
      <c r="F47" s="4" t="s">
        <v>25</v>
      </c>
      <c r="G47" s="4" t="s">
        <v>25</v>
      </c>
      <c r="H47" s="4" t="s">
        <v>34</v>
      </c>
      <c r="I47" s="5">
        <v>44743</v>
      </c>
      <c r="J47" s="6">
        <v>38</v>
      </c>
      <c r="K47" s="6">
        <v>38</v>
      </c>
      <c r="L47" s="6">
        <v>0.67800000000000005</v>
      </c>
      <c r="M47" s="6">
        <v>0.67800000000000005</v>
      </c>
      <c r="N47" s="6">
        <v>0.67800000000000005</v>
      </c>
      <c r="O47" s="6">
        <v>0.67800000000000005</v>
      </c>
      <c r="P47" s="6">
        <v>0</v>
      </c>
      <c r="Q47" s="4" t="s">
        <v>26</v>
      </c>
      <c r="R47" s="4">
        <v>0</v>
      </c>
      <c r="S47" s="6">
        <v>1</v>
      </c>
      <c r="T47" s="6">
        <v>3</v>
      </c>
      <c r="U47" s="6">
        <v>48</v>
      </c>
      <c r="V47" s="6">
        <f>IF(ISERROR(VLOOKUP($S$47,'TAR FIN'!$A$1:$O$85,15,0)),0,VLOOKUP($S$47,'TAR FIN'!$A$1:$O$85,15,0))</f>
        <v>51.93</v>
      </c>
      <c r="W47" s="6">
        <f>IF(ISERROR(VLOOKUP($T$47,'TAR FIN'!$A$1:$O$85,15,0)),0,VLOOKUP($T$47,'TAR FIN'!$A$1:$O$85,15,0))</f>
        <v>76.75</v>
      </c>
      <c r="X47" s="6">
        <f>IF(ISERROR(VLOOKUP($U$47,'TAR FIN'!$A$1:$O$85,15,0)),0,VLOOKUP($U$47,'TAR FIN'!$A$1:$O$85,15,0))</f>
        <v>492.64</v>
      </c>
      <c r="Y47" s="6">
        <f ca="1">('TUSD BE'!$AM$5+'TUSD BF'!$AM$5+'TUSD CVA'!$AM$5)*1</f>
        <v>57.5166740764178</v>
      </c>
      <c r="Z47" s="6">
        <f ca="1">('TUSD BE'!$AM$7+'TUSD BF'!$AM$7+'TUSD CVA'!$AM$7)*1</f>
        <v>147.99431148733765</v>
      </c>
      <c r="AA47" s="6">
        <f>('TE BE'!$AB$5+'TE BF'!$AB$5+'TE CVA'!$AB$5)*1</f>
        <v>485.87597641853409</v>
      </c>
      <c r="AB47" s="6">
        <f>$K$47*$V$47</f>
        <v>1973.34</v>
      </c>
      <c r="AC47" s="6">
        <f>$M$47*$W$47</f>
        <v>52.036500000000004</v>
      </c>
      <c r="AD47" s="6">
        <f>$O$47*$X$47</f>
        <v>334.00992000000002</v>
      </c>
      <c r="AE47" s="6">
        <f ca="1">$K$47*$Y$47</f>
        <v>2185.6336149038766</v>
      </c>
      <c r="AF47" s="6">
        <f ca="1">$M$47*$Z$47</f>
        <v>100.34014318841494</v>
      </c>
      <c r="AG47" s="6">
        <f>$O$47*$AA$47</f>
        <v>329.42391201176616</v>
      </c>
    </row>
    <row r="48" spans="1:33" ht="11.25" customHeight="1" x14ac:dyDescent="0.25">
      <c r="A48" s="4" t="s">
        <v>56</v>
      </c>
      <c r="B48" s="4" t="s">
        <v>39</v>
      </c>
      <c r="C48" s="4" t="s">
        <v>42</v>
      </c>
      <c r="D48" s="4" t="s">
        <v>41</v>
      </c>
      <c r="E48" s="4" t="s">
        <v>25</v>
      </c>
      <c r="F48" s="4" t="s">
        <v>25</v>
      </c>
      <c r="G48" s="4" t="s">
        <v>25</v>
      </c>
      <c r="H48" s="4" t="s">
        <v>34</v>
      </c>
      <c r="I48" s="5">
        <v>44774</v>
      </c>
      <c r="J48" s="6">
        <v>320</v>
      </c>
      <c r="K48" s="6">
        <v>320</v>
      </c>
      <c r="L48" s="6">
        <v>10.477</v>
      </c>
      <c r="M48" s="6">
        <v>10.477</v>
      </c>
      <c r="N48" s="6">
        <v>10.477</v>
      </c>
      <c r="O48" s="6">
        <v>10.477</v>
      </c>
      <c r="P48" s="6">
        <v>0</v>
      </c>
      <c r="Q48" s="4" t="s">
        <v>26</v>
      </c>
      <c r="R48" s="4">
        <v>0</v>
      </c>
      <c r="S48" s="6">
        <v>1</v>
      </c>
      <c r="T48" s="6">
        <v>3</v>
      </c>
      <c r="U48" s="6">
        <v>48</v>
      </c>
      <c r="V48" s="6">
        <f>IF(ISERROR(VLOOKUP($S$48,'TAR FIN'!$A$1:$O$85,15,0)),0,VLOOKUP($S$48,'TAR FIN'!$A$1:$O$85,15,0))</f>
        <v>51.93</v>
      </c>
      <c r="W48" s="6">
        <f>IF(ISERROR(VLOOKUP($T$48,'TAR FIN'!$A$1:$O$85,15,0)),0,VLOOKUP($T$48,'TAR FIN'!$A$1:$O$85,15,0))</f>
        <v>76.75</v>
      </c>
      <c r="X48" s="6">
        <f>IF(ISERROR(VLOOKUP($U$48,'TAR FIN'!$A$1:$O$85,15,0)),0,VLOOKUP($U$48,'TAR FIN'!$A$1:$O$85,15,0))</f>
        <v>492.64</v>
      </c>
      <c r="Y48" s="6">
        <f ca="1">('TUSD BE'!$AM$5+'TUSD BF'!$AM$5+'TUSD CVA'!$AM$5)*1</f>
        <v>57.5166740764178</v>
      </c>
      <c r="Z48" s="6">
        <f ca="1">('TUSD BE'!$AM$7+'TUSD BF'!$AM$7+'TUSD CVA'!$AM$7)*1</f>
        <v>147.99431148733765</v>
      </c>
      <c r="AA48" s="6">
        <f>('TE BE'!$AB$5+'TE BF'!$AB$5+'TE CVA'!$AB$5)*1</f>
        <v>485.87597641853409</v>
      </c>
      <c r="AB48" s="6">
        <f>$K$48*$V$48</f>
        <v>16617.599999999999</v>
      </c>
      <c r="AC48" s="6">
        <f>$M$48*$W$48</f>
        <v>804.10975000000008</v>
      </c>
      <c r="AD48" s="6">
        <f>$O$48*$X$48</f>
        <v>5161.3892800000003</v>
      </c>
      <c r="AE48" s="6">
        <f ca="1">$K$48*$Y$48</f>
        <v>18405.335704453697</v>
      </c>
      <c r="AF48" s="6">
        <f ca="1">$M$48*$Z$48</f>
        <v>1550.5364014528366</v>
      </c>
      <c r="AG48" s="6">
        <f>$O$48*$AA$48</f>
        <v>5090.5226049369821</v>
      </c>
    </row>
    <row r="49" spans="1:33" ht="11.25" customHeight="1" x14ac:dyDescent="0.25">
      <c r="A49" s="4" t="s">
        <v>56</v>
      </c>
      <c r="B49" s="4" t="s">
        <v>39</v>
      </c>
      <c r="C49" s="4" t="s">
        <v>42</v>
      </c>
      <c r="D49" s="4" t="s">
        <v>41</v>
      </c>
      <c r="E49" s="4" t="s">
        <v>25</v>
      </c>
      <c r="F49" s="4" t="s">
        <v>25</v>
      </c>
      <c r="G49" s="4" t="s">
        <v>25</v>
      </c>
      <c r="H49" s="4" t="s">
        <v>34</v>
      </c>
      <c r="I49" s="5">
        <v>44774</v>
      </c>
      <c r="J49" s="6">
        <v>38</v>
      </c>
      <c r="K49" s="6">
        <v>38</v>
      </c>
      <c r="L49" s="6">
        <v>0.67800000000000005</v>
      </c>
      <c r="M49" s="6">
        <v>0.67800000000000005</v>
      </c>
      <c r="N49" s="6">
        <v>0.67800000000000005</v>
      </c>
      <c r="O49" s="6">
        <v>0.67800000000000005</v>
      </c>
      <c r="P49" s="6">
        <v>0</v>
      </c>
      <c r="Q49" s="4" t="s">
        <v>26</v>
      </c>
      <c r="R49" s="4">
        <v>0</v>
      </c>
      <c r="S49" s="6">
        <v>1</v>
      </c>
      <c r="T49" s="6">
        <v>3</v>
      </c>
      <c r="U49" s="6">
        <v>48</v>
      </c>
      <c r="V49" s="6">
        <f>IF(ISERROR(VLOOKUP($S$49,'TAR FIN'!$A$1:$O$85,15,0)),0,VLOOKUP($S$49,'TAR FIN'!$A$1:$O$85,15,0))</f>
        <v>51.93</v>
      </c>
      <c r="W49" s="6">
        <f>IF(ISERROR(VLOOKUP($T$49,'TAR FIN'!$A$1:$O$85,15,0)),0,VLOOKUP($T$49,'TAR FIN'!$A$1:$O$85,15,0))</f>
        <v>76.75</v>
      </c>
      <c r="X49" s="6">
        <f>IF(ISERROR(VLOOKUP($U$49,'TAR FIN'!$A$1:$O$85,15,0)),0,VLOOKUP($U$49,'TAR FIN'!$A$1:$O$85,15,0))</f>
        <v>492.64</v>
      </c>
      <c r="Y49" s="6">
        <f ca="1">('TUSD BE'!$AM$5+'TUSD BF'!$AM$5+'TUSD CVA'!$AM$5)*1</f>
        <v>57.5166740764178</v>
      </c>
      <c r="Z49" s="6">
        <f ca="1">('TUSD BE'!$AM$7+'TUSD BF'!$AM$7+'TUSD CVA'!$AM$7)*1</f>
        <v>147.99431148733765</v>
      </c>
      <c r="AA49" s="6">
        <f>('TE BE'!$AB$5+'TE BF'!$AB$5+'TE CVA'!$AB$5)*1</f>
        <v>485.87597641853409</v>
      </c>
      <c r="AB49" s="6">
        <f>$K$49*$V$49</f>
        <v>1973.34</v>
      </c>
      <c r="AC49" s="6">
        <f>$M$49*$W$49</f>
        <v>52.036500000000004</v>
      </c>
      <c r="AD49" s="6">
        <f>$O$49*$X$49</f>
        <v>334.00992000000002</v>
      </c>
      <c r="AE49" s="6">
        <f ca="1">$K$49*$Y$49</f>
        <v>2185.6336149038766</v>
      </c>
      <c r="AF49" s="6">
        <f ca="1">$M$49*$Z$49</f>
        <v>100.34014318841494</v>
      </c>
      <c r="AG49" s="6">
        <f>$O$49*$AA$49</f>
        <v>329.42391201176616</v>
      </c>
    </row>
    <row r="50" spans="1:33" ht="11.25" customHeight="1" x14ac:dyDescent="0.25">
      <c r="A50" s="4" t="s">
        <v>21</v>
      </c>
      <c r="B50" s="4" t="s">
        <v>39</v>
      </c>
      <c r="C50" s="4" t="s">
        <v>42</v>
      </c>
      <c r="D50" s="4" t="s">
        <v>38</v>
      </c>
      <c r="E50" s="4" t="s">
        <v>25</v>
      </c>
      <c r="F50" s="4" t="s">
        <v>57</v>
      </c>
      <c r="G50" s="4" t="s">
        <v>25</v>
      </c>
      <c r="H50" s="4" t="s">
        <v>35</v>
      </c>
      <c r="I50" s="5">
        <v>44440</v>
      </c>
      <c r="J50" s="6">
        <v>3080</v>
      </c>
      <c r="K50" s="6">
        <v>1540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58</v>
      </c>
      <c r="R50" s="4">
        <v>0</v>
      </c>
      <c r="S50" s="6">
        <v>2</v>
      </c>
      <c r="T50" s="6">
        <v>0</v>
      </c>
      <c r="U50" s="6">
        <v>0</v>
      </c>
      <c r="V50" s="6">
        <f>IF(ISERROR(VLOOKUP($S$50,'TAR FIN'!$A$1:$O$85,15,0)),0,VLOOKUP($S$50,'TAR FIN'!$A$1:$O$85,15,0))</f>
        <v>16.64</v>
      </c>
      <c r="W50" s="6">
        <f>IF(ISERROR(VLOOKUP($T$50,'TAR FIN'!$A$1:$O$85,15,0)),0,VLOOKUP($T$50,'TAR FIN'!$A$1:$O$85,15,0))</f>
        <v>0</v>
      </c>
      <c r="X50" s="6">
        <f>IF(ISERROR(VLOOKUP($U$50,'TAR FIN'!$A$1:$O$85,15,0)),0,VLOOKUP($U$50,'TAR FIN'!$A$1:$O$85,15,0))</f>
        <v>0</v>
      </c>
      <c r="Y50" s="6">
        <f ca="1">('TUSD BE'!$AM$6+'TUSD BF'!$AM$6+'TUSD CVA'!$AM$6)*1</f>
        <v>18.371854423657158</v>
      </c>
      <c r="Z50" s="6">
        <f ca="1">('TUSD BE'!$AM$7+'TUSD BF'!$AM$7+'TUSD CVA'!$AM$7)*1</f>
        <v>147.99431148733765</v>
      </c>
      <c r="AA50" s="6"/>
      <c r="AB50" s="6">
        <f>$K$50*$V$50</f>
        <v>25625.600000000002</v>
      </c>
      <c r="AC50" s="6">
        <f>$M$50*$W$50</f>
        <v>0</v>
      </c>
      <c r="AD50" s="6">
        <f>$O$50*$X$50</f>
        <v>0</v>
      </c>
      <c r="AE50" s="6">
        <f ca="1">$K$50*$Y$50</f>
        <v>28292.655812432022</v>
      </c>
      <c r="AF50" s="6">
        <f ca="1">$M$50*$Z$50</f>
        <v>0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39</v>
      </c>
      <c r="C51" s="4" t="s">
        <v>42</v>
      </c>
      <c r="D51" s="4" t="s">
        <v>38</v>
      </c>
      <c r="E51" s="4" t="s">
        <v>25</v>
      </c>
      <c r="F51" s="4" t="s">
        <v>57</v>
      </c>
      <c r="G51" s="4" t="s">
        <v>25</v>
      </c>
      <c r="H51" s="4" t="s">
        <v>35</v>
      </c>
      <c r="I51" s="5">
        <v>44470</v>
      </c>
      <c r="J51" s="6">
        <v>3080</v>
      </c>
      <c r="K51" s="6">
        <v>1544.62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58</v>
      </c>
      <c r="R51" s="4">
        <v>0</v>
      </c>
      <c r="S51" s="6">
        <v>2</v>
      </c>
      <c r="T51" s="6">
        <v>0</v>
      </c>
      <c r="U51" s="6">
        <v>0</v>
      </c>
      <c r="V51" s="6">
        <f>IF(ISERROR(VLOOKUP($S$51,'TAR FIN'!$A$1:$O$85,15,0)),0,VLOOKUP($S$51,'TAR FIN'!$A$1:$O$85,15,0))</f>
        <v>16.64</v>
      </c>
      <c r="W51" s="6">
        <f>IF(ISERROR(VLOOKUP($T$51,'TAR FIN'!$A$1:$O$85,15,0)),0,VLOOKUP($T$51,'TAR FIN'!$A$1:$O$85,15,0))</f>
        <v>0</v>
      </c>
      <c r="X51" s="6">
        <f>IF(ISERROR(VLOOKUP($U$51,'TAR FIN'!$A$1:$O$85,15,0)),0,VLOOKUP($U$51,'TAR FIN'!$A$1:$O$85,15,0))</f>
        <v>0</v>
      </c>
      <c r="Y51" s="6">
        <f ca="1">('TUSD BE'!$AM$6+'TUSD BF'!$AM$6+'TUSD CVA'!$AM$6)*1</f>
        <v>18.371854423657158</v>
      </c>
      <c r="Z51" s="6">
        <f ca="1">('TUSD BE'!$AM$7+'TUSD BF'!$AM$7+'TUSD CVA'!$AM$7)*1</f>
        <v>147.99431148733765</v>
      </c>
      <c r="AA51" s="6"/>
      <c r="AB51" s="6">
        <f>$K$51*$V$51</f>
        <v>25702.4768</v>
      </c>
      <c r="AC51" s="6">
        <f>$M$51*$W$51</f>
        <v>0</v>
      </c>
      <c r="AD51" s="6">
        <f>$O$51*$X$51</f>
        <v>0</v>
      </c>
      <c r="AE51" s="6">
        <f ca="1">$K$51*$Y$51</f>
        <v>28377.533779869318</v>
      </c>
      <c r="AF51" s="6">
        <f ca="1">$M$51*$Z$51</f>
        <v>0</v>
      </c>
      <c r="AG51" s="6">
        <f>$O$51*$AA$51</f>
        <v>0</v>
      </c>
    </row>
    <row r="52" spans="1:33" ht="11.25" customHeight="1" x14ac:dyDescent="0.25">
      <c r="A52" s="4" t="s">
        <v>21</v>
      </c>
      <c r="B52" s="4" t="s">
        <v>39</v>
      </c>
      <c r="C52" s="4" t="s">
        <v>42</v>
      </c>
      <c r="D52" s="4" t="s">
        <v>38</v>
      </c>
      <c r="E52" s="4" t="s">
        <v>25</v>
      </c>
      <c r="F52" s="4" t="s">
        <v>57</v>
      </c>
      <c r="G52" s="4" t="s">
        <v>25</v>
      </c>
      <c r="H52" s="4" t="s">
        <v>35</v>
      </c>
      <c r="I52" s="5">
        <v>44501</v>
      </c>
      <c r="J52" s="6">
        <v>3232</v>
      </c>
      <c r="K52" s="6">
        <v>1618.9087999999999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58</v>
      </c>
      <c r="R52" s="4">
        <v>0</v>
      </c>
      <c r="S52" s="6">
        <v>2</v>
      </c>
      <c r="T52" s="6">
        <v>0</v>
      </c>
      <c r="U52" s="6">
        <v>0</v>
      </c>
      <c r="V52" s="6">
        <f>IF(ISERROR(VLOOKUP($S$52,'TAR FIN'!$A$1:$O$85,15,0)),0,VLOOKUP($S$52,'TAR FIN'!$A$1:$O$85,15,0))</f>
        <v>16.64</v>
      </c>
      <c r="W52" s="6">
        <f>IF(ISERROR(VLOOKUP($T$52,'TAR FIN'!$A$1:$O$85,15,0)),0,VLOOKUP($T$52,'TAR FIN'!$A$1:$O$85,15,0))</f>
        <v>0</v>
      </c>
      <c r="X52" s="6">
        <f>IF(ISERROR(VLOOKUP($U$52,'TAR FIN'!$A$1:$O$85,15,0)),0,VLOOKUP($U$52,'TAR FIN'!$A$1:$O$85,15,0))</f>
        <v>0</v>
      </c>
      <c r="Y52" s="6">
        <f ca="1">('TUSD BE'!$AM$6+'TUSD BF'!$AM$6+'TUSD CVA'!$AM$6)*1</f>
        <v>18.371854423657158</v>
      </c>
      <c r="Z52" s="6">
        <f ca="1">('TUSD BE'!$AM$7+'TUSD BF'!$AM$7+'TUSD CVA'!$AM$7)*1</f>
        <v>147.99431148733765</v>
      </c>
      <c r="AA52" s="6"/>
      <c r="AB52" s="6">
        <f>$K$52*$V$52</f>
        <v>26938.642432000001</v>
      </c>
      <c r="AC52" s="6">
        <f>$M$52*$W$52</f>
        <v>0</v>
      </c>
      <c r="AD52" s="6">
        <f>$O$52*$X$52</f>
        <v>0</v>
      </c>
      <c r="AE52" s="6">
        <f ca="1">$K$52*$Y$52</f>
        <v>29742.356798777499</v>
      </c>
      <c r="AF52" s="6">
        <f ca="1">$M$52*$Z$52</f>
        <v>0</v>
      </c>
      <c r="AG52" s="6">
        <f>$O$52*$AA$52</f>
        <v>0</v>
      </c>
    </row>
    <row r="53" spans="1:33" ht="11.25" customHeight="1" x14ac:dyDescent="0.25">
      <c r="A53" s="4" t="s">
        <v>21</v>
      </c>
      <c r="B53" s="4" t="s">
        <v>39</v>
      </c>
      <c r="C53" s="4" t="s">
        <v>42</v>
      </c>
      <c r="D53" s="4" t="s">
        <v>38</v>
      </c>
      <c r="E53" s="4" t="s">
        <v>25</v>
      </c>
      <c r="F53" s="4" t="s">
        <v>57</v>
      </c>
      <c r="G53" s="4" t="s">
        <v>25</v>
      </c>
      <c r="H53" s="4" t="s">
        <v>35</v>
      </c>
      <c r="I53" s="5">
        <v>44531</v>
      </c>
      <c r="J53" s="6">
        <v>3080</v>
      </c>
      <c r="K53" s="6">
        <v>1549.24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58</v>
      </c>
      <c r="R53" s="4">
        <v>0</v>
      </c>
      <c r="S53" s="6">
        <v>2</v>
      </c>
      <c r="T53" s="6">
        <v>0</v>
      </c>
      <c r="U53" s="6">
        <v>0</v>
      </c>
      <c r="V53" s="6">
        <f>IF(ISERROR(VLOOKUP($S$53,'TAR FIN'!$A$1:$O$85,15,0)),0,VLOOKUP($S$53,'TAR FIN'!$A$1:$O$85,15,0))</f>
        <v>16.64</v>
      </c>
      <c r="W53" s="6">
        <f>IF(ISERROR(VLOOKUP($T$53,'TAR FIN'!$A$1:$O$85,15,0)),0,VLOOKUP($T$53,'TAR FIN'!$A$1:$O$85,15,0))</f>
        <v>0</v>
      </c>
      <c r="X53" s="6">
        <f>IF(ISERROR(VLOOKUP($U$53,'TAR FIN'!$A$1:$O$85,15,0)),0,VLOOKUP($U$53,'TAR FIN'!$A$1:$O$85,15,0))</f>
        <v>0</v>
      </c>
      <c r="Y53" s="6">
        <f ca="1">('TUSD BE'!$AM$6+'TUSD BF'!$AM$6+'TUSD CVA'!$AM$6)*1</f>
        <v>18.371854423657158</v>
      </c>
      <c r="Z53" s="6">
        <f ca="1">('TUSD BE'!$AM$7+'TUSD BF'!$AM$7+'TUSD CVA'!$AM$7)*1</f>
        <v>147.99431148733765</v>
      </c>
      <c r="AA53" s="6"/>
      <c r="AB53" s="6">
        <f>$K$53*$V$53</f>
        <v>25779.353600000002</v>
      </c>
      <c r="AC53" s="6">
        <f>$M$53*$W$53</f>
        <v>0</v>
      </c>
      <c r="AD53" s="6">
        <f>$O$53*$X$53</f>
        <v>0</v>
      </c>
      <c r="AE53" s="6">
        <f ca="1">$K$53*$Y$53</f>
        <v>28462.411747306614</v>
      </c>
      <c r="AF53" s="6">
        <f ca="1">$M$53*$Z$53</f>
        <v>0</v>
      </c>
      <c r="AG53" s="6">
        <f>$O$53*$AA$53</f>
        <v>0</v>
      </c>
    </row>
    <row r="54" spans="1:33" ht="11.25" customHeight="1" x14ac:dyDescent="0.25">
      <c r="A54" s="4" t="s">
        <v>21</v>
      </c>
      <c r="B54" s="4" t="s">
        <v>39</v>
      </c>
      <c r="C54" s="4" t="s">
        <v>42</v>
      </c>
      <c r="D54" s="4" t="s">
        <v>38</v>
      </c>
      <c r="E54" s="4" t="s">
        <v>25</v>
      </c>
      <c r="F54" s="4" t="s">
        <v>57</v>
      </c>
      <c r="G54" s="4" t="s">
        <v>25</v>
      </c>
      <c r="H54" s="4" t="s">
        <v>35</v>
      </c>
      <c r="I54" s="5">
        <v>44562</v>
      </c>
      <c r="J54" s="6">
        <v>3216</v>
      </c>
      <c r="K54" s="6">
        <v>1612.5024000000001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58</v>
      </c>
      <c r="R54" s="4">
        <v>0</v>
      </c>
      <c r="S54" s="6">
        <v>2</v>
      </c>
      <c r="T54" s="6">
        <v>0</v>
      </c>
      <c r="U54" s="6">
        <v>0</v>
      </c>
      <c r="V54" s="6">
        <f>IF(ISERROR(VLOOKUP($S$54,'TAR FIN'!$A$1:$O$85,15,0)),0,VLOOKUP($S$54,'TAR FIN'!$A$1:$O$85,15,0))</f>
        <v>16.64</v>
      </c>
      <c r="W54" s="6">
        <f>IF(ISERROR(VLOOKUP($T$54,'TAR FIN'!$A$1:$O$85,15,0)),0,VLOOKUP($T$54,'TAR FIN'!$A$1:$O$85,15,0))</f>
        <v>0</v>
      </c>
      <c r="X54" s="6">
        <f>IF(ISERROR(VLOOKUP($U$54,'TAR FIN'!$A$1:$O$85,15,0)),0,VLOOKUP($U$54,'TAR FIN'!$A$1:$O$85,15,0))</f>
        <v>0</v>
      </c>
      <c r="Y54" s="6">
        <f ca="1">('TUSD BE'!$AM$6+'TUSD BF'!$AM$6+'TUSD CVA'!$AM$6)*1</f>
        <v>18.371854423657158</v>
      </c>
      <c r="Z54" s="6">
        <f ca="1">('TUSD BE'!$AM$7+'TUSD BF'!$AM$7+'TUSD CVA'!$AM$7)*1</f>
        <v>147.99431148733765</v>
      </c>
      <c r="AA54" s="6"/>
      <c r="AB54" s="6">
        <f>$K$54*$V$54</f>
        <v>26832.039936000001</v>
      </c>
      <c r="AC54" s="6">
        <f>$M$54*$W$54</f>
        <v>0</v>
      </c>
      <c r="AD54" s="6">
        <f>$O$54*$X$54</f>
        <v>0</v>
      </c>
      <c r="AE54" s="6">
        <f ca="1">$K$54*$Y$54</f>
        <v>29624.659350597787</v>
      </c>
      <c r="AF54" s="6">
        <f ca="1">$M$54*$Z$54</f>
        <v>0</v>
      </c>
      <c r="AG54" s="6">
        <f>$O$54*$AA$54</f>
        <v>0</v>
      </c>
    </row>
    <row r="55" spans="1:33" ht="11.25" customHeight="1" x14ac:dyDescent="0.25">
      <c r="A55" s="4" t="s">
        <v>21</v>
      </c>
      <c r="B55" s="4" t="s">
        <v>39</v>
      </c>
      <c r="C55" s="4" t="s">
        <v>42</v>
      </c>
      <c r="D55" s="4" t="s">
        <v>38</v>
      </c>
      <c r="E55" s="4" t="s">
        <v>25</v>
      </c>
      <c r="F55" s="4" t="s">
        <v>57</v>
      </c>
      <c r="G55" s="4" t="s">
        <v>25</v>
      </c>
      <c r="H55" s="4" t="s">
        <v>35</v>
      </c>
      <c r="I55" s="5">
        <v>44593</v>
      </c>
      <c r="J55" s="6">
        <v>3097</v>
      </c>
      <c r="K55" s="6">
        <v>1555.6231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58</v>
      </c>
      <c r="R55" s="4">
        <v>0</v>
      </c>
      <c r="S55" s="6">
        <v>2</v>
      </c>
      <c r="T55" s="6">
        <v>0</v>
      </c>
      <c r="U55" s="6">
        <v>0</v>
      </c>
      <c r="V55" s="6">
        <f>IF(ISERROR(VLOOKUP($S$55,'TAR FIN'!$A$1:$O$85,15,0)),0,VLOOKUP($S$55,'TAR FIN'!$A$1:$O$85,15,0))</f>
        <v>16.64</v>
      </c>
      <c r="W55" s="6">
        <f>IF(ISERROR(VLOOKUP($T$55,'TAR FIN'!$A$1:$O$85,15,0)),0,VLOOKUP($T$55,'TAR FIN'!$A$1:$O$85,15,0))</f>
        <v>0</v>
      </c>
      <c r="X55" s="6">
        <f>IF(ISERROR(VLOOKUP($U$55,'TAR FIN'!$A$1:$O$85,15,0)),0,VLOOKUP($U$55,'TAR FIN'!$A$1:$O$85,15,0))</f>
        <v>0</v>
      </c>
      <c r="Y55" s="6">
        <f ca="1">('TUSD BE'!$AM$6+'TUSD BF'!$AM$6+'TUSD CVA'!$AM$6)*1</f>
        <v>18.371854423657158</v>
      </c>
      <c r="Z55" s="6">
        <f ca="1">('TUSD BE'!$AM$7+'TUSD BF'!$AM$7+'TUSD CVA'!$AM$7)*1</f>
        <v>147.99431148733765</v>
      </c>
      <c r="AA55" s="6"/>
      <c r="AB55" s="6">
        <f>$K$55*$V$55</f>
        <v>25885.568384000002</v>
      </c>
      <c r="AC55" s="6">
        <f>$M$55*$W$55</f>
        <v>0</v>
      </c>
      <c r="AD55" s="6">
        <f>$O$55*$X$55</f>
        <v>0</v>
      </c>
      <c r="AE55" s="6">
        <f ca="1">$K$55*$Y$55</f>
        <v>28579.681131278263</v>
      </c>
      <c r="AF55" s="6">
        <f ca="1">$M$55*$Z$55</f>
        <v>0</v>
      </c>
      <c r="AG55" s="6">
        <f>$O$55*$AA$55</f>
        <v>0</v>
      </c>
    </row>
    <row r="56" spans="1:33" ht="11.25" customHeight="1" x14ac:dyDescent="0.25">
      <c r="A56" s="4" t="s">
        <v>21</v>
      </c>
      <c r="B56" s="4" t="s">
        <v>39</v>
      </c>
      <c r="C56" s="4" t="s">
        <v>42</v>
      </c>
      <c r="D56" s="4" t="s">
        <v>38</v>
      </c>
      <c r="E56" s="4" t="s">
        <v>25</v>
      </c>
      <c r="F56" s="4" t="s">
        <v>57</v>
      </c>
      <c r="G56" s="4" t="s">
        <v>25</v>
      </c>
      <c r="H56" s="4" t="s">
        <v>35</v>
      </c>
      <c r="I56" s="5">
        <v>44621</v>
      </c>
      <c r="J56" s="6">
        <v>3232</v>
      </c>
      <c r="K56" s="6">
        <v>1619.5552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58</v>
      </c>
      <c r="R56" s="4">
        <v>0</v>
      </c>
      <c r="S56" s="6">
        <v>2</v>
      </c>
      <c r="T56" s="6">
        <v>0</v>
      </c>
      <c r="U56" s="6">
        <v>0</v>
      </c>
      <c r="V56" s="6">
        <f>IF(ISERROR(VLOOKUP($S$56,'TAR FIN'!$A$1:$O$85,15,0)),0,VLOOKUP($S$56,'TAR FIN'!$A$1:$O$85,15,0))</f>
        <v>16.64</v>
      </c>
      <c r="W56" s="6">
        <f>IF(ISERROR(VLOOKUP($T$56,'TAR FIN'!$A$1:$O$85,15,0)),0,VLOOKUP($T$56,'TAR FIN'!$A$1:$O$85,15,0))</f>
        <v>0</v>
      </c>
      <c r="X56" s="6">
        <f>IF(ISERROR(VLOOKUP($U$56,'TAR FIN'!$A$1:$O$85,15,0)),0,VLOOKUP($U$56,'TAR FIN'!$A$1:$O$85,15,0))</f>
        <v>0</v>
      </c>
      <c r="Y56" s="6">
        <f ca="1">('TUSD BE'!$AM$6+'TUSD BF'!$AM$6+'TUSD CVA'!$AM$6)*1</f>
        <v>18.371854423657158</v>
      </c>
      <c r="Z56" s="6">
        <f ca="1">('TUSD BE'!$AM$7+'TUSD BF'!$AM$7+'TUSD CVA'!$AM$7)*1</f>
        <v>147.99431148733765</v>
      </c>
      <c r="AA56" s="6"/>
      <c r="AB56" s="6">
        <f>$K$56*$V$56</f>
        <v>26949.398528000002</v>
      </c>
      <c r="AC56" s="6">
        <f>$M$56*$W$56</f>
        <v>0</v>
      </c>
      <c r="AD56" s="6">
        <f>$O$56*$X$56</f>
        <v>0</v>
      </c>
      <c r="AE56" s="6">
        <f ca="1">$K$56*$Y$56</f>
        <v>29754.232365476953</v>
      </c>
      <c r="AF56" s="6">
        <f ca="1">$M$56*$Z$56</f>
        <v>0</v>
      </c>
      <c r="AG56" s="6">
        <f>$O$56*$AA$56</f>
        <v>0</v>
      </c>
    </row>
    <row r="57" spans="1:33" ht="11.25" customHeight="1" x14ac:dyDescent="0.25">
      <c r="A57" s="4" t="s">
        <v>21</v>
      </c>
      <c r="B57" s="4" t="s">
        <v>39</v>
      </c>
      <c r="C57" s="4" t="s">
        <v>42</v>
      </c>
      <c r="D57" s="4" t="s">
        <v>38</v>
      </c>
      <c r="E57" s="4" t="s">
        <v>25</v>
      </c>
      <c r="F57" s="4" t="s">
        <v>57</v>
      </c>
      <c r="G57" s="4" t="s">
        <v>25</v>
      </c>
      <c r="H57" s="4" t="s">
        <v>35</v>
      </c>
      <c r="I57" s="5">
        <v>44652</v>
      </c>
      <c r="J57" s="6">
        <v>3296</v>
      </c>
      <c r="K57" s="6">
        <v>1662.5024000000001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58</v>
      </c>
      <c r="R57" s="4">
        <v>0</v>
      </c>
      <c r="S57" s="6">
        <v>2</v>
      </c>
      <c r="T57" s="6">
        <v>0</v>
      </c>
      <c r="U57" s="6">
        <v>0</v>
      </c>
      <c r="V57" s="6">
        <f>IF(ISERROR(VLOOKUP($S$57,'TAR FIN'!$A$1:$O$85,15,0)),0,VLOOKUP($S$57,'TAR FIN'!$A$1:$O$85,15,0))</f>
        <v>16.64</v>
      </c>
      <c r="W57" s="6">
        <f>IF(ISERROR(VLOOKUP($T$57,'TAR FIN'!$A$1:$O$85,15,0)),0,VLOOKUP($T$57,'TAR FIN'!$A$1:$O$85,15,0))</f>
        <v>0</v>
      </c>
      <c r="X57" s="6">
        <f>IF(ISERROR(VLOOKUP($U$57,'TAR FIN'!$A$1:$O$85,15,0)),0,VLOOKUP($U$57,'TAR FIN'!$A$1:$O$85,15,0))</f>
        <v>0</v>
      </c>
      <c r="Y57" s="6">
        <f ca="1">('TUSD BE'!$AM$6+'TUSD BF'!$AM$6+'TUSD CVA'!$AM$6)*1</f>
        <v>18.371854423657158</v>
      </c>
      <c r="Z57" s="6">
        <f ca="1">('TUSD BE'!$AM$7+'TUSD BF'!$AM$7+'TUSD CVA'!$AM$7)*1</f>
        <v>147.99431148733765</v>
      </c>
      <c r="AA57" s="6"/>
      <c r="AB57" s="6">
        <f>$K$57*$V$57</f>
        <v>27664.039936000001</v>
      </c>
      <c r="AC57" s="6">
        <f>$M$57*$W$57</f>
        <v>0</v>
      </c>
      <c r="AD57" s="6">
        <f>$O$57*$X$57</f>
        <v>0</v>
      </c>
      <c r="AE57" s="6">
        <f ca="1">$K$57*$Y$57</f>
        <v>30543.252071780644</v>
      </c>
      <c r="AF57" s="6">
        <f ca="1">$M$57*$Z$57</f>
        <v>0</v>
      </c>
      <c r="AG57" s="6">
        <f>$O$57*$AA$57</f>
        <v>0</v>
      </c>
    </row>
    <row r="58" spans="1:33" ht="11.25" customHeight="1" x14ac:dyDescent="0.25">
      <c r="A58" s="4" t="s">
        <v>21</v>
      </c>
      <c r="B58" s="4" t="s">
        <v>39</v>
      </c>
      <c r="C58" s="4" t="s">
        <v>42</v>
      </c>
      <c r="D58" s="4" t="s">
        <v>38</v>
      </c>
      <c r="E58" s="4" t="s">
        <v>25</v>
      </c>
      <c r="F58" s="4" t="s">
        <v>57</v>
      </c>
      <c r="G58" s="4" t="s">
        <v>25</v>
      </c>
      <c r="H58" s="4" t="s">
        <v>35</v>
      </c>
      <c r="I58" s="5">
        <v>44682</v>
      </c>
      <c r="J58" s="6">
        <v>3378</v>
      </c>
      <c r="K58" s="6">
        <v>1695.4182000000001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58</v>
      </c>
      <c r="R58" s="4">
        <v>0</v>
      </c>
      <c r="S58" s="6">
        <v>2</v>
      </c>
      <c r="T58" s="6">
        <v>0</v>
      </c>
      <c r="U58" s="6">
        <v>0</v>
      </c>
      <c r="V58" s="6">
        <f>IF(ISERROR(VLOOKUP($S$58,'TAR FIN'!$A$1:$O$85,15,0)),0,VLOOKUP($S$58,'TAR FIN'!$A$1:$O$85,15,0))</f>
        <v>16.64</v>
      </c>
      <c r="W58" s="6">
        <f>IF(ISERROR(VLOOKUP($T$58,'TAR FIN'!$A$1:$O$85,15,0)),0,VLOOKUP($T$58,'TAR FIN'!$A$1:$O$85,15,0))</f>
        <v>0</v>
      </c>
      <c r="X58" s="6">
        <f>IF(ISERROR(VLOOKUP($U$58,'TAR FIN'!$A$1:$O$85,15,0)),0,VLOOKUP($U$58,'TAR FIN'!$A$1:$O$85,15,0))</f>
        <v>0</v>
      </c>
      <c r="Y58" s="6">
        <f ca="1">('TUSD BE'!$AM$6+'TUSD BF'!$AM$6+'TUSD CVA'!$AM$6)*1</f>
        <v>18.371854423657158</v>
      </c>
      <c r="Z58" s="6">
        <f ca="1">('TUSD BE'!$AM$7+'TUSD BF'!$AM$7+'TUSD CVA'!$AM$7)*1</f>
        <v>147.99431148733765</v>
      </c>
      <c r="AA58" s="6"/>
      <c r="AB58" s="6">
        <f>$K$58*$V$58</f>
        <v>28211.758848000001</v>
      </c>
      <c r="AC58" s="6">
        <f>$M$58*$W$58</f>
        <v>0</v>
      </c>
      <c r="AD58" s="6">
        <f>$O$58*$X$58</f>
        <v>0</v>
      </c>
      <c r="AE58" s="6">
        <f ca="1">$K$58*$Y$58</f>
        <v>31147.976357618856</v>
      </c>
      <c r="AF58" s="6">
        <f ca="1">$M$58*$Z$58</f>
        <v>0</v>
      </c>
      <c r="AG58" s="6">
        <f>$O$58*$AA$58</f>
        <v>0</v>
      </c>
    </row>
    <row r="59" spans="1:33" ht="11.25" customHeight="1" x14ac:dyDescent="0.25">
      <c r="A59" s="4" t="s">
        <v>21</v>
      </c>
      <c r="B59" s="4" t="s">
        <v>39</v>
      </c>
      <c r="C59" s="4" t="s">
        <v>42</v>
      </c>
      <c r="D59" s="4" t="s">
        <v>38</v>
      </c>
      <c r="E59" s="4" t="s">
        <v>25</v>
      </c>
      <c r="F59" s="4" t="s">
        <v>57</v>
      </c>
      <c r="G59" s="4" t="s">
        <v>25</v>
      </c>
      <c r="H59" s="4" t="s">
        <v>35</v>
      </c>
      <c r="I59" s="5">
        <v>44713</v>
      </c>
      <c r="J59" s="6">
        <v>3302</v>
      </c>
      <c r="K59" s="6">
        <v>1653.9718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58</v>
      </c>
      <c r="R59" s="4">
        <v>0</v>
      </c>
      <c r="S59" s="6">
        <v>2</v>
      </c>
      <c r="T59" s="6">
        <v>0</v>
      </c>
      <c r="U59" s="6">
        <v>0</v>
      </c>
      <c r="V59" s="6">
        <f>IF(ISERROR(VLOOKUP($S$59,'TAR FIN'!$A$1:$O$85,15,0)),0,VLOOKUP($S$59,'TAR FIN'!$A$1:$O$85,15,0))</f>
        <v>16.64</v>
      </c>
      <c r="W59" s="6">
        <f>IF(ISERROR(VLOOKUP($T$59,'TAR FIN'!$A$1:$O$85,15,0)),0,VLOOKUP($T$59,'TAR FIN'!$A$1:$O$85,15,0))</f>
        <v>0</v>
      </c>
      <c r="X59" s="6">
        <f>IF(ISERROR(VLOOKUP($U$59,'TAR FIN'!$A$1:$O$85,15,0)),0,VLOOKUP($U$59,'TAR FIN'!$A$1:$O$85,15,0))</f>
        <v>0</v>
      </c>
      <c r="Y59" s="6">
        <f ca="1">('TUSD BE'!$AM$6+'TUSD BF'!$AM$6+'TUSD CVA'!$AM$6)*1</f>
        <v>18.371854423657158</v>
      </c>
      <c r="Z59" s="6">
        <f ca="1">('TUSD BE'!$AM$7+'TUSD BF'!$AM$7+'TUSD CVA'!$AM$7)*1</f>
        <v>147.99431148733765</v>
      </c>
      <c r="AA59" s="6"/>
      <c r="AB59" s="6">
        <f>$K$59*$V$59</f>
        <v>27522.090752</v>
      </c>
      <c r="AC59" s="6">
        <f>$M$59*$W$59</f>
        <v>0</v>
      </c>
      <c r="AD59" s="6">
        <f>$O$59*$X$59</f>
        <v>0</v>
      </c>
      <c r="AE59" s="6">
        <f ca="1">$K$59*$Y$59</f>
        <v>30386.529130434192</v>
      </c>
      <c r="AF59" s="6">
        <f ca="1">$M$59*$Z$59</f>
        <v>0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39</v>
      </c>
      <c r="C60" s="4" t="s">
        <v>42</v>
      </c>
      <c r="D60" s="4" t="s">
        <v>38</v>
      </c>
      <c r="E60" s="4" t="s">
        <v>25</v>
      </c>
      <c r="F60" s="4" t="s">
        <v>57</v>
      </c>
      <c r="G60" s="4" t="s">
        <v>25</v>
      </c>
      <c r="H60" s="4" t="s">
        <v>35</v>
      </c>
      <c r="I60" s="5">
        <v>44743</v>
      </c>
      <c r="J60" s="6">
        <v>3300</v>
      </c>
      <c r="K60" s="6">
        <v>1663.2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58</v>
      </c>
      <c r="R60" s="4">
        <v>0</v>
      </c>
      <c r="S60" s="6">
        <v>2</v>
      </c>
      <c r="T60" s="6">
        <v>0</v>
      </c>
      <c r="U60" s="6">
        <v>0</v>
      </c>
      <c r="V60" s="6">
        <f>IF(ISERROR(VLOOKUP($S$60,'TAR FIN'!$A$1:$O$85,15,0)),0,VLOOKUP($S$60,'TAR FIN'!$A$1:$O$85,15,0))</f>
        <v>16.64</v>
      </c>
      <c r="W60" s="6">
        <f>IF(ISERROR(VLOOKUP($T$60,'TAR FIN'!$A$1:$O$85,15,0)),0,VLOOKUP($T$60,'TAR FIN'!$A$1:$O$85,15,0))</f>
        <v>0</v>
      </c>
      <c r="X60" s="6">
        <f>IF(ISERROR(VLOOKUP($U$60,'TAR FIN'!$A$1:$O$85,15,0)),0,VLOOKUP($U$60,'TAR FIN'!$A$1:$O$85,15,0))</f>
        <v>0</v>
      </c>
      <c r="Y60" s="6">
        <f ca="1">('TUSD BE'!$AM$6+'TUSD BF'!$AM$6+'TUSD CVA'!$AM$6)*1</f>
        <v>18.371854423657158</v>
      </c>
      <c r="Z60" s="6">
        <f ca="1">('TUSD BE'!$AM$7+'TUSD BF'!$AM$7+'TUSD CVA'!$AM$7)*1</f>
        <v>147.99431148733765</v>
      </c>
      <c r="AA60" s="6"/>
      <c r="AB60" s="6">
        <f>$K$60*$V$60</f>
        <v>27675.648000000001</v>
      </c>
      <c r="AC60" s="6">
        <f>$M$60*$W$60</f>
        <v>0</v>
      </c>
      <c r="AD60" s="6">
        <f>$O$60*$X$60</f>
        <v>0</v>
      </c>
      <c r="AE60" s="6">
        <f ca="1">$K$60*$Y$60</f>
        <v>30556.068277426588</v>
      </c>
      <c r="AF60" s="6">
        <f ca="1">$M$60*$Z$60</f>
        <v>0</v>
      </c>
      <c r="AG60" s="6">
        <f>$O$60*$AA$60</f>
        <v>0</v>
      </c>
    </row>
    <row r="61" spans="1:33" ht="11.25" customHeight="1" x14ac:dyDescent="0.25">
      <c r="A61" s="4" t="s">
        <v>56</v>
      </c>
      <c r="B61" s="4" t="s">
        <v>39</v>
      </c>
      <c r="C61" s="4" t="s">
        <v>42</v>
      </c>
      <c r="D61" s="4" t="s">
        <v>38</v>
      </c>
      <c r="E61" s="4" t="s">
        <v>25</v>
      </c>
      <c r="F61" s="4" t="s">
        <v>57</v>
      </c>
      <c r="G61" s="4" t="s">
        <v>25</v>
      </c>
      <c r="H61" s="4" t="s">
        <v>35</v>
      </c>
      <c r="I61" s="5">
        <v>44774</v>
      </c>
      <c r="J61" s="6">
        <v>3300</v>
      </c>
      <c r="K61" s="6">
        <v>1663.2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58</v>
      </c>
      <c r="R61" s="4">
        <v>0</v>
      </c>
      <c r="S61" s="6">
        <v>2</v>
      </c>
      <c r="T61" s="6">
        <v>0</v>
      </c>
      <c r="U61" s="6">
        <v>0</v>
      </c>
      <c r="V61" s="6">
        <f>IF(ISERROR(VLOOKUP($S$61,'TAR FIN'!$A$1:$O$85,15,0)),0,VLOOKUP($S$61,'TAR FIN'!$A$1:$O$85,15,0))</f>
        <v>16.64</v>
      </c>
      <c r="W61" s="6">
        <f>IF(ISERROR(VLOOKUP($T$61,'TAR FIN'!$A$1:$O$85,15,0)),0,VLOOKUP($T$61,'TAR FIN'!$A$1:$O$85,15,0))</f>
        <v>0</v>
      </c>
      <c r="X61" s="6">
        <f>IF(ISERROR(VLOOKUP($U$61,'TAR FIN'!$A$1:$O$85,15,0)),0,VLOOKUP($U$61,'TAR FIN'!$A$1:$O$85,15,0))</f>
        <v>0</v>
      </c>
      <c r="Y61" s="6">
        <f ca="1">('TUSD BE'!$AM$6+'TUSD BF'!$AM$6+'TUSD CVA'!$AM$6)*1</f>
        <v>18.371854423657158</v>
      </c>
      <c r="Z61" s="6">
        <f ca="1">('TUSD BE'!$AM$7+'TUSD BF'!$AM$7+'TUSD CVA'!$AM$7)*1</f>
        <v>147.99431148733765</v>
      </c>
      <c r="AA61" s="6"/>
      <c r="AB61" s="6">
        <f>$K$61*$V$61</f>
        <v>27675.648000000001</v>
      </c>
      <c r="AC61" s="6">
        <f>$M$61*$W$61</f>
        <v>0</v>
      </c>
      <c r="AD61" s="6">
        <f>$O$61*$X$61</f>
        <v>0</v>
      </c>
      <c r="AE61" s="6">
        <f ca="1">$K$61*$Y$61</f>
        <v>30556.068277426588</v>
      </c>
      <c r="AF61" s="6">
        <f ca="1">$M$61*$Z$61</f>
        <v>0</v>
      </c>
      <c r="AG61" s="6">
        <f>$O$61*$AA$61</f>
        <v>0</v>
      </c>
    </row>
    <row r="62" spans="1:33" ht="11.25" customHeight="1" x14ac:dyDescent="0.25">
      <c r="A62" s="4" t="s">
        <v>21</v>
      </c>
      <c r="B62" s="4" t="s">
        <v>39</v>
      </c>
      <c r="C62" s="4" t="s">
        <v>42</v>
      </c>
      <c r="D62" s="4" t="s">
        <v>38</v>
      </c>
      <c r="E62" s="4" t="s">
        <v>25</v>
      </c>
      <c r="F62" s="4" t="s">
        <v>57</v>
      </c>
      <c r="G62" s="4" t="s">
        <v>25</v>
      </c>
      <c r="H62" s="4" t="s">
        <v>25</v>
      </c>
      <c r="I62" s="5">
        <v>44440</v>
      </c>
      <c r="J62" s="6">
        <v>0</v>
      </c>
      <c r="K62" s="6">
        <v>0</v>
      </c>
      <c r="L62" s="6">
        <v>1381.643</v>
      </c>
      <c r="M62" s="6">
        <v>1381.643</v>
      </c>
      <c r="N62" s="6">
        <v>0</v>
      </c>
      <c r="O62" s="6">
        <v>0</v>
      </c>
      <c r="P62" s="6">
        <v>1</v>
      </c>
      <c r="Q62" s="4" t="s">
        <v>58</v>
      </c>
      <c r="R62" s="4">
        <v>0</v>
      </c>
      <c r="S62" s="6">
        <v>0</v>
      </c>
      <c r="T62" s="6">
        <v>3</v>
      </c>
      <c r="U62" s="6">
        <v>0</v>
      </c>
      <c r="V62" s="6">
        <f>IF(ISERROR(VLOOKUP($S$62,'TAR FIN'!$A$1:$O$85,15,0)),0,VLOOKUP($S$62,'TAR FIN'!$A$1:$O$85,15,0))</f>
        <v>0</v>
      </c>
      <c r="W62" s="6">
        <f>IF(ISERROR(VLOOKUP($T$62,'TAR FIN'!$A$1:$O$85,15,0)),0,VLOOKUP($T$62,'TAR FIN'!$A$1:$O$85,15,0))</f>
        <v>76.75</v>
      </c>
      <c r="X62" s="6">
        <f>IF(ISERROR(VLOOKUP($U$62,'TAR FIN'!$A$1:$O$85,15,0)),0,VLOOKUP($U$62,'TAR FIN'!$A$1:$O$85,15,0))</f>
        <v>0</v>
      </c>
      <c r="Y62" s="6"/>
      <c r="Z62" s="6">
        <f ca="1">('TUSD BE'!$AM$7+'TUSD BF'!$AM$7+'TUSD CVA'!$AM$7)*1</f>
        <v>147.99431148733765</v>
      </c>
      <c r="AA62" s="6"/>
      <c r="AB62" s="6">
        <f>$K$62*$V$62</f>
        <v>0</v>
      </c>
      <c r="AC62" s="6">
        <f>$M$62*$W$62</f>
        <v>106041.10025</v>
      </c>
      <c r="AD62" s="6">
        <f>$O$62*$X$62</f>
        <v>0</v>
      </c>
      <c r="AE62" s="6">
        <f>$K$62*$Y$62</f>
        <v>0</v>
      </c>
      <c r="AF62" s="6">
        <f ca="1">$M$62*$Z$62</f>
        <v>204475.30450629967</v>
      </c>
      <c r="AG62" s="6">
        <f>$O$62*$AA$62</f>
        <v>0</v>
      </c>
    </row>
    <row r="63" spans="1:33" ht="11.25" customHeight="1" x14ac:dyDescent="0.25">
      <c r="A63" s="4" t="s">
        <v>21</v>
      </c>
      <c r="B63" s="4" t="s">
        <v>39</v>
      </c>
      <c r="C63" s="4" t="s">
        <v>42</v>
      </c>
      <c r="D63" s="4" t="s">
        <v>38</v>
      </c>
      <c r="E63" s="4" t="s">
        <v>25</v>
      </c>
      <c r="F63" s="4" t="s">
        <v>57</v>
      </c>
      <c r="G63" s="4" t="s">
        <v>25</v>
      </c>
      <c r="H63" s="4" t="s">
        <v>25</v>
      </c>
      <c r="I63" s="5">
        <v>44470</v>
      </c>
      <c r="J63" s="6">
        <v>0</v>
      </c>
      <c r="K63" s="6">
        <v>0</v>
      </c>
      <c r="L63" s="6">
        <v>1397.3150000000001</v>
      </c>
      <c r="M63" s="6">
        <v>1397.3150000000001</v>
      </c>
      <c r="N63" s="6">
        <v>0</v>
      </c>
      <c r="O63" s="6">
        <v>0</v>
      </c>
      <c r="P63" s="6">
        <v>1</v>
      </c>
      <c r="Q63" s="4" t="s">
        <v>58</v>
      </c>
      <c r="R63" s="4">
        <v>0</v>
      </c>
      <c r="S63" s="6">
        <v>0</v>
      </c>
      <c r="T63" s="6">
        <v>3</v>
      </c>
      <c r="U63" s="6">
        <v>0</v>
      </c>
      <c r="V63" s="6">
        <f>IF(ISERROR(VLOOKUP($S$63,'TAR FIN'!$A$1:$O$85,15,0)),0,VLOOKUP($S$63,'TAR FIN'!$A$1:$O$85,15,0))</f>
        <v>0</v>
      </c>
      <c r="W63" s="6">
        <f>IF(ISERROR(VLOOKUP($T$63,'TAR FIN'!$A$1:$O$85,15,0)),0,VLOOKUP($T$63,'TAR FIN'!$A$1:$O$85,15,0))</f>
        <v>76.75</v>
      </c>
      <c r="X63" s="6">
        <f>IF(ISERROR(VLOOKUP($U$63,'TAR FIN'!$A$1:$O$85,15,0)),0,VLOOKUP($U$63,'TAR FIN'!$A$1:$O$85,15,0))</f>
        <v>0</v>
      </c>
      <c r="Y63" s="6"/>
      <c r="Z63" s="6">
        <f ca="1">('TUSD BE'!$AM$7+'TUSD BF'!$AM$7+'TUSD CVA'!$AM$7)*1</f>
        <v>147.99431148733765</v>
      </c>
      <c r="AA63" s="6"/>
      <c r="AB63" s="6">
        <f>$K$63*$V$63</f>
        <v>0</v>
      </c>
      <c r="AC63" s="6">
        <f>$M$63*$W$63</f>
        <v>107243.92625</v>
      </c>
      <c r="AD63" s="6">
        <f>$O$63*$X$63</f>
        <v>0</v>
      </c>
      <c r="AE63" s="6">
        <f>$K$63*$Y$63</f>
        <v>0</v>
      </c>
      <c r="AF63" s="6">
        <f ca="1">$M$63*$Z$63</f>
        <v>206794.67135592923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39</v>
      </c>
      <c r="C64" s="4" t="s">
        <v>42</v>
      </c>
      <c r="D64" s="4" t="s">
        <v>38</v>
      </c>
      <c r="E64" s="4" t="s">
        <v>25</v>
      </c>
      <c r="F64" s="4" t="s">
        <v>57</v>
      </c>
      <c r="G64" s="4" t="s">
        <v>25</v>
      </c>
      <c r="H64" s="4" t="s">
        <v>25</v>
      </c>
      <c r="I64" s="5">
        <v>44501</v>
      </c>
      <c r="J64" s="6">
        <v>0</v>
      </c>
      <c r="K64" s="6">
        <v>0</v>
      </c>
      <c r="L64" s="6">
        <v>1422.104</v>
      </c>
      <c r="M64" s="6">
        <v>1422.104</v>
      </c>
      <c r="N64" s="6">
        <v>0</v>
      </c>
      <c r="O64" s="6">
        <v>0</v>
      </c>
      <c r="P64" s="6">
        <v>1</v>
      </c>
      <c r="Q64" s="4" t="s">
        <v>58</v>
      </c>
      <c r="R64" s="4">
        <v>0</v>
      </c>
      <c r="S64" s="6">
        <v>0</v>
      </c>
      <c r="T64" s="6">
        <v>3</v>
      </c>
      <c r="U64" s="6">
        <v>0</v>
      </c>
      <c r="V64" s="6">
        <f>IF(ISERROR(VLOOKUP($S$64,'TAR FIN'!$A$1:$O$85,15,0)),0,VLOOKUP($S$64,'TAR FIN'!$A$1:$O$85,15,0))</f>
        <v>0</v>
      </c>
      <c r="W64" s="6">
        <f>IF(ISERROR(VLOOKUP($T$64,'TAR FIN'!$A$1:$O$85,15,0)),0,VLOOKUP($T$64,'TAR FIN'!$A$1:$O$85,15,0))</f>
        <v>76.75</v>
      </c>
      <c r="X64" s="6">
        <f>IF(ISERROR(VLOOKUP($U$64,'TAR FIN'!$A$1:$O$85,15,0)),0,VLOOKUP($U$64,'TAR FIN'!$A$1:$O$85,15,0))</f>
        <v>0</v>
      </c>
      <c r="Y64" s="6"/>
      <c r="Z64" s="6">
        <f ca="1">('TUSD BE'!$AM$7+'TUSD BF'!$AM$7+'TUSD CVA'!$AM$7)*1</f>
        <v>147.99431148733765</v>
      </c>
      <c r="AA64" s="6"/>
      <c r="AB64" s="6">
        <f>$K$64*$V$64</f>
        <v>0</v>
      </c>
      <c r="AC64" s="6">
        <f>$M$64*$W$64</f>
        <v>109146.482</v>
      </c>
      <c r="AD64" s="6">
        <f>$O$64*$X$64</f>
        <v>0</v>
      </c>
      <c r="AE64" s="6">
        <f>$K$64*$Y$64</f>
        <v>0</v>
      </c>
      <c r="AF64" s="6">
        <f ca="1">$M$64*$Z$64</f>
        <v>210463.30234338884</v>
      </c>
      <c r="AG64" s="6">
        <f>$O$64*$AA$64</f>
        <v>0</v>
      </c>
    </row>
    <row r="65" spans="1:33" ht="11.25" customHeight="1" x14ac:dyDescent="0.25">
      <c r="A65" s="4" t="s">
        <v>21</v>
      </c>
      <c r="B65" s="4" t="s">
        <v>39</v>
      </c>
      <c r="C65" s="4" t="s">
        <v>42</v>
      </c>
      <c r="D65" s="4" t="s">
        <v>38</v>
      </c>
      <c r="E65" s="4" t="s">
        <v>25</v>
      </c>
      <c r="F65" s="4" t="s">
        <v>57</v>
      </c>
      <c r="G65" s="4" t="s">
        <v>25</v>
      </c>
      <c r="H65" s="4" t="s">
        <v>25</v>
      </c>
      <c r="I65" s="5">
        <v>44531</v>
      </c>
      <c r="J65" s="6">
        <v>0</v>
      </c>
      <c r="K65" s="6">
        <v>0</v>
      </c>
      <c r="L65" s="6">
        <v>1390.7560000000001</v>
      </c>
      <c r="M65" s="6">
        <v>1390.7560000000001</v>
      </c>
      <c r="N65" s="6">
        <v>0</v>
      </c>
      <c r="O65" s="6">
        <v>0</v>
      </c>
      <c r="P65" s="6">
        <v>1</v>
      </c>
      <c r="Q65" s="4" t="s">
        <v>58</v>
      </c>
      <c r="R65" s="4">
        <v>0</v>
      </c>
      <c r="S65" s="6">
        <v>0</v>
      </c>
      <c r="T65" s="6">
        <v>3</v>
      </c>
      <c r="U65" s="6">
        <v>0</v>
      </c>
      <c r="V65" s="6">
        <f>IF(ISERROR(VLOOKUP($S$65,'TAR FIN'!$A$1:$O$85,15,0)),0,VLOOKUP($S$65,'TAR FIN'!$A$1:$O$85,15,0))</f>
        <v>0</v>
      </c>
      <c r="W65" s="6">
        <f>IF(ISERROR(VLOOKUP($T$65,'TAR FIN'!$A$1:$O$85,15,0)),0,VLOOKUP($T$65,'TAR FIN'!$A$1:$O$85,15,0))</f>
        <v>76.75</v>
      </c>
      <c r="X65" s="6">
        <f>IF(ISERROR(VLOOKUP($U$65,'TAR FIN'!$A$1:$O$85,15,0)),0,VLOOKUP($U$65,'TAR FIN'!$A$1:$O$85,15,0))</f>
        <v>0</v>
      </c>
      <c r="Y65" s="6"/>
      <c r="Z65" s="6">
        <f ca="1">('TUSD BE'!$AM$7+'TUSD BF'!$AM$7+'TUSD CVA'!$AM$7)*1</f>
        <v>147.99431148733765</v>
      </c>
      <c r="AA65" s="6"/>
      <c r="AB65" s="6">
        <f>$K$65*$V$65</f>
        <v>0</v>
      </c>
      <c r="AC65" s="6">
        <f>$M$65*$W$65</f>
        <v>106740.523</v>
      </c>
      <c r="AD65" s="6">
        <f>$O$65*$X$65</f>
        <v>0</v>
      </c>
      <c r="AE65" s="6">
        <f>$K$65*$Y$65</f>
        <v>0</v>
      </c>
      <c r="AF65" s="6">
        <f ca="1">$M$65*$Z$65</f>
        <v>205823.97666688377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39</v>
      </c>
      <c r="C66" s="4" t="s">
        <v>42</v>
      </c>
      <c r="D66" s="4" t="s">
        <v>38</v>
      </c>
      <c r="E66" s="4" t="s">
        <v>25</v>
      </c>
      <c r="F66" s="4" t="s">
        <v>57</v>
      </c>
      <c r="G66" s="4" t="s">
        <v>25</v>
      </c>
      <c r="H66" s="4" t="s">
        <v>25</v>
      </c>
      <c r="I66" s="5">
        <v>44562</v>
      </c>
      <c r="J66" s="6">
        <v>0</v>
      </c>
      <c r="K66" s="6">
        <v>0</v>
      </c>
      <c r="L66" s="6">
        <v>1568.508</v>
      </c>
      <c r="M66" s="6">
        <v>1568.508</v>
      </c>
      <c r="N66" s="6">
        <v>0</v>
      </c>
      <c r="O66" s="6">
        <v>0</v>
      </c>
      <c r="P66" s="6">
        <v>1</v>
      </c>
      <c r="Q66" s="4" t="s">
        <v>58</v>
      </c>
      <c r="R66" s="4">
        <v>0</v>
      </c>
      <c r="S66" s="6">
        <v>0</v>
      </c>
      <c r="T66" s="6">
        <v>3</v>
      </c>
      <c r="U66" s="6">
        <v>0</v>
      </c>
      <c r="V66" s="6">
        <f>IF(ISERROR(VLOOKUP($S$66,'TAR FIN'!$A$1:$O$85,15,0)),0,VLOOKUP($S$66,'TAR FIN'!$A$1:$O$85,15,0))</f>
        <v>0</v>
      </c>
      <c r="W66" s="6">
        <f>IF(ISERROR(VLOOKUP($T$66,'TAR FIN'!$A$1:$O$85,15,0)),0,VLOOKUP($T$66,'TAR FIN'!$A$1:$O$85,15,0))</f>
        <v>76.75</v>
      </c>
      <c r="X66" s="6">
        <f>IF(ISERROR(VLOOKUP($U$66,'TAR FIN'!$A$1:$O$85,15,0)),0,VLOOKUP($U$66,'TAR FIN'!$A$1:$O$85,15,0))</f>
        <v>0</v>
      </c>
      <c r="Y66" s="6"/>
      <c r="Z66" s="6">
        <f ca="1">('TUSD BE'!$AM$7+'TUSD BF'!$AM$7+'TUSD CVA'!$AM$7)*1</f>
        <v>147.99431148733765</v>
      </c>
      <c r="AA66" s="6"/>
      <c r="AB66" s="6">
        <f>$K$66*$V$66</f>
        <v>0</v>
      </c>
      <c r="AC66" s="6">
        <f>$M$66*$W$66</f>
        <v>120382.989</v>
      </c>
      <c r="AD66" s="6">
        <f>$O$66*$X$66</f>
        <v>0</v>
      </c>
      <c r="AE66" s="6">
        <f>$K$66*$Y$66</f>
        <v>0</v>
      </c>
      <c r="AF66" s="6">
        <f ca="1">$M$66*$Z$66</f>
        <v>232130.26152238101</v>
      </c>
      <c r="AG66" s="6">
        <f>$O$66*$AA$66</f>
        <v>0</v>
      </c>
    </row>
    <row r="67" spans="1:33" ht="11.25" customHeight="1" x14ac:dyDescent="0.25">
      <c r="A67" s="4" t="s">
        <v>21</v>
      </c>
      <c r="B67" s="4" t="s">
        <v>39</v>
      </c>
      <c r="C67" s="4" t="s">
        <v>42</v>
      </c>
      <c r="D67" s="4" t="s">
        <v>38</v>
      </c>
      <c r="E67" s="4" t="s">
        <v>25</v>
      </c>
      <c r="F67" s="4" t="s">
        <v>57</v>
      </c>
      <c r="G67" s="4" t="s">
        <v>25</v>
      </c>
      <c r="H67" s="4" t="s">
        <v>25</v>
      </c>
      <c r="I67" s="5">
        <v>44593</v>
      </c>
      <c r="J67" s="6">
        <v>0</v>
      </c>
      <c r="K67" s="6">
        <v>0</v>
      </c>
      <c r="L67" s="6">
        <v>1495.627</v>
      </c>
      <c r="M67" s="6">
        <v>1495.627</v>
      </c>
      <c r="N67" s="6">
        <v>0</v>
      </c>
      <c r="O67" s="6">
        <v>0</v>
      </c>
      <c r="P67" s="6">
        <v>1</v>
      </c>
      <c r="Q67" s="4" t="s">
        <v>58</v>
      </c>
      <c r="R67" s="4">
        <v>0</v>
      </c>
      <c r="S67" s="6">
        <v>0</v>
      </c>
      <c r="T67" s="6">
        <v>3</v>
      </c>
      <c r="U67" s="6">
        <v>0</v>
      </c>
      <c r="V67" s="6">
        <f>IF(ISERROR(VLOOKUP($S$67,'TAR FIN'!$A$1:$O$85,15,0)),0,VLOOKUP($S$67,'TAR FIN'!$A$1:$O$85,15,0))</f>
        <v>0</v>
      </c>
      <c r="W67" s="6">
        <f>IF(ISERROR(VLOOKUP($T$67,'TAR FIN'!$A$1:$O$85,15,0)),0,VLOOKUP($T$67,'TAR FIN'!$A$1:$O$85,15,0))</f>
        <v>76.75</v>
      </c>
      <c r="X67" s="6">
        <f>IF(ISERROR(VLOOKUP($U$67,'TAR FIN'!$A$1:$O$85,15,0)),0,VLOOKUP($U$67,'TAR FIN'!$A$1:$O$85,15,0))</f>
        <v>0</v>
      </c>
      <c r="Y67" s="6"/>
      <c r="Z67" s="6">
        <f ca="1">('TUSD BE'!$AM$7+'TUSD BF'!$AM$7+'TUSD CVA'!$AM$7)*1</f>
        <v>147.99431148733765</v>
      </c>
      <c r="AA67" s="6"/>
      <c r="AB67" s="6">
        <f>$K$67*$V$67</f>
        <v>0</v>
      </c>
      <c r="AC67" s="6">
        <f>$M$67*$W$67</f>
        <v>114789.37225</v>
      </c>
      <c r="AD67" s="6">
        <f>$O$67*$X$67</f>
        <v>0</v>
      </c>
      <c r="AE67" s="6">
        <f>$K$67*$Y$67</f>
        <v>0</v>
      </c>
      <c r="AF67" s="6">
        <f ca="1">$M$67*$Z$67</f>
        <v>221344.28810687235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39</v>
      </c>
      <c r="C68" s="4" t="s">
        <v>42</v>
      </c>
      <c r="D68" s="4" t="s">
        <v>38</v>
      </c>
      <c r="E68" s="4" t="s">
        <v>25</v>
      </c>
      <c r="F68" s="4" t="s">
        <v>57</v>
      </c>
      <c r="G68" s="4" t="s">
        <v>25</v>
      </c>
      <c r="H68" s="4" t="s">
        <v>25</v>
      </c>
      <c r="I68" s="5">
        <v>44621</v>
      </c>
      <c r="J68" s="6">
        <v>0</v>
      </c>
      <c r="K68" s="6">
        <v>0</v>
      </c>
      <c r="L68" s="6">
        <v>1423.7270000000001</v>
      </c>
      <c r="M68" s="6">
        <v>1423.7270000000001</v>
      </c>
      <c r="N68" s="6">
        <v>0</v>
      </c>
      <c r="O68" s="6">
        <v>0</v>
      </c>
      <c r="P68" s="6">
        <v>1</v>
      </c>
      <c r="Q68" s="4" t="s">
        <v>58</v>
      </c>
      <c r="R68" s="4">
        <v>0</v>
      </c>
      <c r="S68" s="6">
        <v>0</v>
      </c>
      <c r="T68" s="6">
        <v>3</v>
      </c>
      <c r="U68" s="6">
        <v>0</v>
      </c>
      <c r="V68" s="6">
        <f>IF(ISERROR(VLOOKUP($S$68,'TAR FIN'!$A$1:$O$85,15,0)),0,VLOOKUP($S$68,'TAR FIN'!$A$1:$O$85,15,0))</f>
        <v>0</v>
      </c>
      <c r="W68" s="6">
        <f>IF(ISERROR(VLOOKUP($T$68,'TAR FIN'!$A$1:$O$85,15,0)),0,VLOOKUP($T$68,'TAR FIN'!$A$1:$O$85,15,0))</f>
        <v>76.75</v>
      </c>
      <c r="X68" s="6">
        <f>IF(ISERROR(VLOOKUP($U$68,'TAR FIN'!$A$1:$O$85,15,0)),0,VLOOKUP($U$68,'TAR FIN'!$A$1:$O$85,15,0))</f>
        <v>0</v>
      </c>
      <c r="Y68" s="6"/>
      <c r="Z68" s="6">
        <f ca="1">('TUSD BE'!$AM$7+'TUSD BF'!$AM$7+'TUSD CVA'!$AM$7)*1</f>
        <v>147.99431148733765</v>
      </c>
      <c r="AA68" s="6"/>
      <c r="AB68" s="6">
        <f>$K$68*$V$68</f>
        <v>0</v>
      </c>
      <c r="AC68" s="6">
        <f>$M$68*$W$68</f>
        <v>109271.04725</v>
      </c>
      <c r="AD68" s="6">
        <f>$O$68*$X$68</f>
        <v>0</v>
      </c>
      <c r="AE68" s="6">
        <f>$K$68*$Y$68</f>
        <v>0</v>
      </c>
      <c r="AF68" s="6">
        <f ca="1">$M$68*$Z$68</f>
        <v>210703.4971109328</v>
      </c>
      <c r="AG68" s="6">
        <f>$O$68*$AA$68</f>
        <v>0</v>
      </c>
    </row>
    <row r="69" spans="1:33" ht="11.25" customHeight="1" x14ac:dyDescent="0.25">
      <c r="A69" s="4" t="s">
        <v>21</v>
      </c>
      <c r="B69" s="4" t="s">
        <v>39</v>
      </c>
      <c r="C69" s="4" t="s">
        <v>42</v>
      </c>
      <c r="D69" s="4" t="s">
        <v>38</v>
      </c>
      <c r="E69" s="4" t="s">
        <v>25</v>
      </c>
      <c r="F69" s="4" t="s">
        <v>57</v>
      </c>
      <c r="G69" s="4" t="s">
        <v>25</v>
      </c>
      <c r="H69" s="4" t="s">
        <v>25</v>
      </c>
      <c r="I69" s="5">
        <v>44652</v>
      </c>
      <c r="J69" s="6">
        <v>0</v>
      </c>
      <c r="K69" s="6">
        <v>0</v>
      </c>
      <c r="L69" s="6">
        <v>1682.0219999999999</v>
      </c>
      <c r="M69" s="6">
        <v>1682.0219999999999</v>
      </c>
      <c r="N69" s="6">
        <v>0</v>
      </c>
      <c r="O69" s="6">
        <v>0</v>
      </c>
      <c r="P69" s="6">
        <v>1</v>
      </c>
      <c r="Q69" s="4" t="s">
        <v>58</v>
      </c>
      <c r="R69" s="4">
        <v>0</v>
      </c>
      <c r="S69" s="6">
        <v>0</v>
      </c>
      <c r="T69" s="6">
        <v>3</v>
      </c>
      <c r="U69" s="6">
        <v>0</v>
      </c>
      <c r="V69" s="6">
        <f>IF(ISERROR(VLOOKUP($S$69,'TAR FIN'!$A$1:$O$85,15,0)),0,VLOOKUP($S$69,'TAR FIN'!$A$1:$O$85,15,0))</f>
        <v>0</v>
      </c>
      <c r="W69" s="6">
        <f>IF(ISERROR(VLOOKUP($T$69,'TAR FIN'!$A$1:$O$85,15,0)),0,VLOOKUP($T$69,'TAR FIN'!$A$1:$O$85,15,0))</f>
        <v>76.75</v>
      </c>
      <c r="X69" s="6">
        <f>IF(ISERROR(VLOOKUP($U$69,'TAR FIN'!$A$1:$O$85,15,0)),0,VLOOKUP($U$69,'TAR FIN'!$A$1:$O$85,15,0))</f>
        <v>0</v>
      </c>
      <c r="Y69" s="6"/>
      <c r="Z69" s="6">
        <f ca="1">('TUSD BE'!$AM$7+'TUSD BF'!$AM$7+'TUSD CVA'!$AM$7)*1</f>
        <v>147.99431148733765</v>
      </c>
      <c r="AA69" s="6"/>
      <c r="AB69" s="6">
        <f>$K$69*$V$69</f>
        <v>0</v>
      </c>
      <c r="AC69" s="6">
        <f>$M$69*$W$69</f>
        <v>129095.18849999999</v>
      </c>
      <c r="AD69" s="6">
        <f>$O$69*$X$69</f>
        <v>0</v>
      </c>
      <c r="AE69" s="6">
        <f>$K$69*$Y$69</f>
        <v>0</v>
      </c>
      <c r="AF69" s="6">
        <f ca="1">$M$69*$Z$69</f>
        <v>248929.68779655464</v>
      </c>
      <c r="AG69" s="6">
        <f>$O$69*$AA$69</f>
        <v>0</v>
      </c>
    </row>
    <row r="70" spans="1:33" ht="11.25" customHeight="1" x14ac:dyDescent="0.25">
      <c r="A70" s="4" t="s">
        <v>21</v>
      </c>
      <c r="B70" s="4" t="s">
        <v>39</v>
      </c>
      <c r="C70" s="4" t="s">
        <v>42</v>
      </c>
      <c r="D70" s="4" t="s">
        <v>38</v>
      </c>
      <c r="E70" s="4" t="s">
        <v>25</v>
      </c>
      <c r="F70" s="4" t="s">
        <v>57</v>
      </c>
      <c r="G70" s="4" t="s">
        <v>25</v>
      </c>
      <c r="H70" s="4" t="s">
        <v>25</v>
      </c>
      <c r="I70" s="5">
        <v>44682</v>
      </c>
      <c r="J70" s="6">
        <v>0</v>
      </c>
      <c r="K70" s="6">
        <v>0</v>
      </c>
      <c r="L70" s="6">
        <v>1448.614</v>
      </c>
      <c r="M70" s="6">
        <v>1448.614</v>
      </c>
      <c r="N70" s="6">
        <v>0</v>
      </c>
      <c r="O70" s="6">
        <v>0</v>
      </c>
      <c r="P70" s="6">
        <v>1</v>
      </c>
      <c r="Q70" s="4" t="s">
        <v>58</v>
      </c>
      <c r="R70" s="4">
        <v>0</v>
      </c>
      <c r="S70" s="6">
        <v>0</v>
      </c>
      <c r="T70" s="6">
        <v>3</v>
      </c>
      <c r="U70" s="6">
        <v>0</v>
      </c>
      <c r="V70" s="6">
        <f>IF(ISERROR(VLOOKUP($S$70,'TAR FIN'!$A$1:$O$85,15,0)),0,VLOOKUP($S$70,'TAR FIN'!$A$1:$O$85,15,0))</f>
        <v>0</v>
      </c>
      <c r="W70" s="6">
        <f>IF(ISERROR(VLOOKUP($T$70,'TAR FIN'!$A$1:$O$85,15,0)),0,VLOOKUP($T$70,'TAR FIN'!$A$1:$O$85,15,0))</f>
        <v>76.75</v>
      </c>
      <c r="X70" s="6">
        <f>IF(ISERROR(VLOOKUP($U$70,'TAR FIN'!$A$1:$O$85,15,0)),0,VLOOKUP($U$70,'TAR FIN'!$A$1:$O$85,15,0))</f>
        <v>0</v>
      </c>
      <c r="Y70" s="6"/>
      <c r="Z70" s="6">
        <f ca="1">('TUSD BE'!$AM$7+'TUSD BF'!$AM$7+'TUSD CVA'!$AM$7)*1</f>
        <v>147.99431148733765</v>
      </c>
      <c r="AA70" s="6"/>
      <c r="AB70" s="6">
        <f>$K$70*$V$70</f>
        <v>0</v>
      </c>
      <c r="AC70" s="6">
        <f>$M$70*$W$70</f>
        <v>111181.12450000001</v>
      </c>
      <c r="AD70" s="6">
        <f>$O$70*$X$70</f>
        <v>0</v>
      </c>
      <c r="AE70" s="6">
        <f>$K$70*$Y$70</f>
        <v>0</v>
      </c>
      <c r="AF70" s="6">
        <f ca="1">$M$70*$Z$70</f>
        <v>214386.63154091814</v>
      </c>
      <c r="AG70" s="6">
        <f>$O$70*$AA$70</f>
        <v>0</v>
      </c>
    </row>
    <row r="71" spans="1:33" ht="11.25" customHeight="1" x14ac:dyDescent="0.25">
      <c r="A71" s="4" t="s">
        <v>21</v>
      </c>
      <c r="B71" s="4" t="s">
        <v>39</v>
      </c>
      <c r="C71" s="4" t="s">
        <v>42</v>
      </c>
      <c r="D71" s="4" t="s">
        <v>38</v>
      </c>
      <c r="E71" s="4" t="s">
        <v>25</v>
      </c>
      <c r="F71" s="4" t="s">
        <v>57</v>
      </c>
      <c r="G71" s="4" t="s">
        <v>25</v>
      </c>
      <c r="H71" s="4" t="s">
        <v>25</v>
      </c>
      <c r="I71" s="5">
        <v>44713</v>
      </c>
      <c r="J71" s="6">
        <v>0</v>
      </c>
      <c r="K71" s="6">
        <v>0</v>
      </c>
      <c r="L71" s="6">
        <v>1654.537</v>
      </c>
      <c r="M71" s="6">
        <v>1654.537</v>
      </c>
      <c r="N71" s="6">
        <v>0</v>
      </c>
      <c r="O71" s="6">
        <v>0</v>
      </c>
      <c r="P71" s="6">
        <v>1</v>
      </c>
      <c r="Q71" s="4" t="s">
        <v>58</v>
      </c>
      <c r="R71" s="4">
        <v>0</v>
      </c>
      <c r="S71" s="6">
        <v>0</v>
      </c>
      <c r="T71" s="6">
        <v>3</v>
      </c>
      <c r="U71" s="6">
        <v>0</v>
      </c>
      <c r="V71" s="6">
        <f>IF(ISERROR(VLOOKUP($S$71,'TAR FIN'!$A$1:$O$85,15,0)),0,VLOOKUP($S$71,'TAR FIN'!$A$1:$O$85,15,0))</f>
        <v>0</v>
      </c>
      <c r="W71" s="6">
        <f>IF(ISERROR(VLOOKUP($T$71,'TAR FIN'!$A$1:$O$85,15,0)),0,VLOOKUP($T$71,'TAR FIN'!$A$1:$O$85,15,0))</f>
        <v>76.75</v>
      </c>
      <c r="X71" s="6">
        <f>IF(ISERROR(VLOOKUP($U$71,'TAR FIN'!$A$1:$O$85,15,0)),0,VLOOKUP($U$71,'TAR FIN'!$A$1:$O$85,15,0))</f>
        <v>0</v>
      </c>
      <c r="Y71" s="6"/>
      <c r="Z71" s="6">
        <f ca="1">('TUSD BE'!$AM$7+'TUSD BF'!$AM$7+'TUSD CVA'!$AM$7)*1</f>
        <v>147.99431148733765</v>
      </c>
      <c r="AA71" s="6"/>
      <c r="AB71" s="6">
        <f>$K$71*$V$71</f>
        <v>0</v>
      </c>
      <c r="AC71" s="6">
        <f>$M$71*$W$71</f>
        <v>126985.71475</v>
      </c>
      <c r="AD71" s="6">
        <f>$O$71*$X$71</f>
        <v>0</v>
      </c>
      <c r="AE71" s="6">
        <f>$K$71*$Y$71</f>
        <v>0</v>
      </c>
      <c r="AF71" s="6">
        <f ca="1">$M$71*$Z$71</f>
        <v>244862.06414532519</v>
      </c>
      <c r="AG71" s="6">
        <f>$O$71*$AA$71</f>
        <v>0</v>
      </c>
    </row>
    <row r="72" spans="1:33" ht="11.25" customHeight="1" x14ac:dyDescent="0.25">
      <c r="A72" s="4" t="s">
        <v>21</v>
      </c>
      <c r="B72" s="4" t="s">
        <v>39</v>
      </c>
      <c r="C72" s="4" t="s">
        <v>42</v>
      </c>
      <c r="D72" s="4" t="s">
        <v>38</v>
      </c>
      <c r="E72" s="4" t="s">
        <v>25</v>
      </c>
      <c r="F72" s="4" t="s">
        <v>57</v>
      </c>
      <c r="G72" s="4" t="s">
        <v>25</v>
      </c>
      <c r="H72" s="4" t="s">
        <v>25</v>
      </c>
      <c r="I72" s="5">
        <v>44743</v>
      </c>
      <c r="J72" s="6">
        <v>0</v>
      </c>
      <c r="K72" s="6">
        <v>0</v>
      </c>
      <c r="L72" s="6">
        <v>1529.9929999999999</v>
      </c>
      <c r="M72" s="6">
        <v>1529.9929999999999</v>
      </c>
      <c r="N72" s="6">
        <v>0</v>
      </c>
      <c r="O72" s="6">
        <v>0</v>
      </c>
      <c r="P72" s="6">
        <v>1</v>
      </c>
      <c r="Q72" s="4" t="s">
        <v>58</v>
      </c>
      <c r="R72" s="4">
        <v>0</v>
      </c>
      <c r="S72" s="6">
        <v>0</v>
      </c>
      <c r="T72" s="6">
        <v>3</v>
      </c>
      <c r="U72" s="6">
        <v>0</v>
      </c>
      <c r="V72" s="6">
        <f>IF(ISERROR(VLOOKUP($S$72,'TAR FIN'!$A$1:$O$85,15,0)),0,VLOOKUP($S$72,'TAR FIN'!$A$1:$O$85,15,0))</f>
        <v>0</v>
      </c>
      <c r="W72" s="6">
        <f>IF(ISERROR(VLOOKUP($T$72,'TAR FIN'!$A$1:$O$85,15,0)),0,VLOOKUP($T$72,'TAR FIN'!$A$1:$O$85,15,0))</f>
        <v>76.75</v>
      </c>
      <c r="X72" s="6">
        <f>IF(ISERROR(VLOOKUP($U$72,'TAR FIN'!$A$1:$O$85,15,0)),0,VLOOKUP($U$72,'TAR FIN'!$A$1:$O$85,15,0))</f>
        <v>0</v>
      </c>
      <c r="Y72" s="6"/>
      <c r="Z72" s="6">
        <f ca="1">('TUSD BE'!$AM$7+'TUSD BF'!$AM$7+'TUSD CVA'!$AM$7)*1</f>
        <v>147.99431148733765</v>
      </c>
      <c r="AA72" s="6"/>
      <c r="AB72" s="6">
        <f>$K$72*$V$72</f>
        <v>0</v>
      </c>
      <c r="AC72" s="6">
        <f>$M$72*$W$72</f>
        <v>117426.96274999999</v>
      </c>
      <c r="AD72" s="6">
        <f>$O$72*$X$72</f>
        <v>0</v>
      </c>
      <c r="AE72" s="6">
        <f>$K$72*$Y$72</f>
        <v>0</v>
      </c>
      <c r="AF72" s="6">
        <f ca="1">$M$72*$Z$72</f>
        <v>226430.2606154462</v>
      </c>
      <c r="AG72" s="6">
        <f>$O$72*$AA$72</f>
        <v>0</v>
      </c>
    </row>
    <row r="73" spans="1:33" ht="11.25" customHeight="1" x14ac:dyDescent="0.25">
      <c r="A73" s="4" t="s">
        <v>56</v>
      </c>
      <c r="B73" s="4" t="s">
        <v>39</v>
      </c>
      <c r="C73" s="4" t="s">
        <v>42</v>
      </c>
      <c r="D73" s="4" t="s">
        <v>38</v>
      </c>
      <c r="E73" s="4" t="s">
        <v>25</v>
      </c>
      <c r="F73" s="4" t="s">
        <v>57</v>
      </c>
      <c r="G73" s="4" t="s">
        <v>25</v>
      </c>
      <c r="H73" s="4" t="s">
        <v>25</v>
      </c>
      <c r="I73" s="5">
        <v>44774</v>
      </c>
      <c r="J73" s="6">
        <v>0</v>
      </c>
      <c r="K73" s="6">
        <v>0</v>
      </c>
      <c r="L73" s="6">
        <v>1529.9929999999999</v>
      </c>
      <c r="M73" s="6">
        <v>1529.9929999999999</v>
      </c>
      <c r="N73" s="6">
        <v>0</v>
      </c>
      <c r="O73" s="6">
        <v>0</v>
      </c>
      <c r="P73" s="6">
        <v>1</v>
      </c>
      <c r="Q73" s="4" t="s">
        <v>58</v>
      </c>
      <c r="R73" s="4">
        <v>0</v>
      </c>
      <c r="S73" s="6">
        <v>0</v>
      </c>
      <c r="T73" s="6">
        <v>3</v>
      </c>
      <c r="U73" s="6">
        <v>0</v>
      </c>
      <c r="V73" s="6">
        <f>IF(ISERROR(VLOOKUP($S$73,'TAR FIN'!$A$1:$O$85,15,0)),0,VLOOKUP($S$73,'TAR FIN'!$A$1:$O$85,15,0))</f>
        <v>0</v>
      </c>
      <c r="W73" s="6">
        <f>IF(ISERROR(VLOOKUP($T$73,'TAR FIN'!$A$1:$O$85,15,0)),0,VLOOKUP($T$73,'TAR FIN'!$A$1:$O$85,15,0))</f>
        <v>76.75</v>
      </c>
      <c r="X73" s="6">
        <f>IF(ISERROR(VLOOKUP($U$73,'TAR FIN'!$A$1:$O$85,15,0)),0,VLOOKUP($U$73,'TAR FIN'!$A$1:$O$85,15,0))</f>
        <v>0</v>
      </c>
      <c r="Y73" s="6"/>
      <c r="Z73" s="6">
        <f ca="1">('TUSD BE'!$AM$7+'TUSD BF'!$AM$7+'TUSD CVA'!$AM$7)*1</f>
        <v>147.99431148733765</v>
      </c>
      <c r="AA73" s="6"/>
      <c r="AB73" s="6">
        <f>$K$73*$V$73</f>
        <v>0</v>
      </c>
      <c r="AC73" s="6">
        <f>$M$73*$W$73</f>
        <v>117426.96274999999</v>
      </c>
      <c r="AD73" s="6">
        <f>$O$73*$X$73</f>
        <v>0</v>
      </c>
      <c r="AE73" s="6">
        <f>$K$73*$Y$73</f>
        <v>0</v>
      </c>
      <c r="AF73" s="6">
        <f ca="1">$M$73*$Z$73</f>
        <v>226430.2606154462</v>
      </c>
      <c r="AG73" s="6">
        <f>$O$73*$AA$73</f>
        <v>0</v>
      </c>
    </row>
    <row r="74" spans="1:33" ht="11.25" customHeight="1" x14ac:dyDescent="0.25">
      <c r="A74" s="4" t="s">
        <v>21</v>
      </c>
      <c r="B74" s="4" t="s">
        <v>39</v>
      </c>
      <c r="C74" s="4" t="s">
        <v>42</v>
      </c>
      <c r="D74" s="4" t="s">
        <v>38</v>
      </c>
      <c r="E74" s="4" t="s">
        <v>25</v>
      </c>
      <c r="F74" s="4" t="s">
        <v>57</v>
      </c>
      <c r="G74" s="4" t="s">
        <v>25</v>
      </c>
      <c r="H74" s="4" t="s">
        <v>34</v>
      </c>
      <c r="I74" s="5">
        <v>44440</v>
      </c>
      <c r="J74" s="6">
        <v>2805</v>
      </c>
      <c r="K74" s="6">
        <v>1402.5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58</v>
      </c>
      <c r="R74" s="4">
        <v>0</v>
      </c>
      <c r="S74" s="6">
        <v>1</v>
      </c>
      <c r="T74" s="6">
        <v>0</v>
      </c>
      <c r="U74" s="6">
        <v>0</v>
      </c>
      <c r="V74" s="6">
        <f>IF(ISERROR(VLOOKUP($S$74,'TAR FIN'!$A$1:$O$85,15,0)),0,VLOOKUP($S$74,'TAR FIN'!$A$1:$O$85,15,0))</f>
        <v>51.93</v>
      </c>
      <c r="W74" s="6">
        <f>IF(ISERROR(VLOOKUP($T$74,'TAR FIN'!$A$1:$O$85,15,0)),0,VLOOKUP($T$74,'TAR FIN'!$A$1:$O$85,15,0))</f>
        <v>0</v>
      </c>
      <c r="X74" s="6">
        <f>IF(ISERROR(VLOOKUP($U$74,'TAR FIN'!$A$1:$O$85,15,0)),0,VLOOKUP($U$74,'TAR FIN'!$A$1:$O$85,15,0))</f>
        <v>0</v>
      </c>
      <c r="Y74" s="6">
        <f ca="1">('TUSD BE'!$AM$5+'TUSD BF'!$AM$5+'TUSD CVA'!$AM$5)*1</f>
        <v>57.5166740764178</v>
      </c>
      <c r="Z74" s="6">
        <f ca="1">('TUSD BE'!$AM$7+'TUSD BF'!$AM$7+'TUSD CVA'!$AM$7)*1</f>
        <v>147.99431148733765</v>
      </c>
      <c r="AA74" s="6"/>
      <c r="AB74" s="6">
        <f>$K$74*$V$74</f>
        <v>72831.824999999997</v>
      </c>
      <c r="AC74" s="6">
        <f>$M$74*$W$74</f>
        <v>0</v>
      </c>
      <c r="AD74" s="6">
        <f>$O$74*$X$74</f>
        <v>0</v>
      </c>
      <c r="AE74" s="6">
        <f ca="1">$K$74*$Y$74</f>
        <v>80667.135392175958</v>
      </c>
      <c r="AF74" s="6">
        <f ca="1">$M$74*$Z$74</f>
        <v>0</v>
      </c>
      <c r="AG74" s="6">
        <f>$O$74*$AA$74</f>
        <v>0</v>
      </c>
    </row>
    <row r="75" spans="1:33" ht="11.25" customHeight="1" x14ac:dyDescent="0.25">
      <c r="A75" s="4" t="s">
        <v>21</v>
      </c>
      <c r="B75" s="4" t="s">
        <v>39</v>
      </c>
      <c r="C75" s="4" t="s">
        <v>42</v>
      </c>
      <c r="D75" s="4" t="s">
        <v>38</v>
      </c>
      <c r="E75" s="4" t="s">
        <v>25</v>
      </c>
      <c r="F75" s="4" t="s">
        <v>57</v>
      </c>
      <c r="G75" s="4" t="s">
        <v>25</v>
      </c>
      <c r="H75" s="4" t="s">
        <v>34</v>
      </c>
      <c r="I75" s="5">
        <v>44470</v>
      </c>
      <c r="J75" s="6">
        <v>2805</v>
      </c>
      <c r="K75" s="6">
        <v>1406.7075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58</v>
      </c>
      <c r="R75" s="4">
        <v>0</v>
      </c>
      <c r="S75" s="6">
        <v>1</v>
      </c>
      <c r="T75" s="6">
        <v>0</v>
      </c>
      <c r="U75" s="6">
        <v>0</v>
      </c>
      <c r="V75" s="6">
        <f>IF(ISERROR(VLOOKUP($S$75,'TAR FIN'!$A$1:$O$85,15,0)),0,VLOOKUP($S$75,'TAR FIN'!$A$1:$O$85,15,0))</f>
        <v>51.93</v>
      </c>
      <c r="W75" s="6">
        <f>IF(ISERROR(VLOOKUP($T$75,'TAR FIN'!$A$1:$O$85,15,0)),0,VLOOKUP($T$75,'TAR FIN'!$A$1:$O$85,15,0))</f>
        <v>0</v>
      </c>
      <c r="X75" s="6">
        <f>IF(ISERROR(VLOOKUP($U$75,'TAR FIN'!$A$1:$O$85,15,0)),0,VLOOKUP($U$75,'TAR FIN'!$A$1:$O$85,15,0))</f>
        <v>0</v>
      </c>
      <c r="Y75" s="6">
        <f ca="1">('TUSD BE'!$AM$5+'TUSD BF'!$AM$5+'TUSD CVA'!$AM$5)*1</f>
        <v>57.5166740764178</v>
      </c>
      <c r="Z75" s="6">
        <f ca="1">('TUSD BE'!$AM$7+'TUSD BF'!$AM$7+'TUSD CVA'!$AM$7)*1</f>
        <v>147.99431148733765</v>
      </c>
      <c r="AA75" s="6"/>
      <c r="AB75" s="6">
        <f>$K$75*$V$75</f>
        <v>73050.320475</v>
      </c>
      <c r="AC75" s="6">
        <f>$M$75*$W$75</f>
        <v>0</v>
      </c>
      <c r="AD75" s="6">
        <f>$O$75*$X$75</f>
        <v>0</v>
      </c>
      <c r="AE75" s="6">
        <f ca="1">$K$75*$Y$75</f>
        <v>80909.136798352498</v>
      </c>
      <c r="AF75" s="6">
        <f ca="1">$M$75*$Z$75</f>
        <v>0</v>
      </c>
      <c r="AG75" s="6">
        <f>$O$75*$AA$75</f>
        <v>0</v>
      </c>
    </row>
    <row r="76" spans="1:33" ht="11.25" customHeight="1" x14ac:dyDescent="0.25">
      <c r="A76" s="4" t="s">
        <v>21</v>
      </c>
      <c r="B76" s="4" t="s">
        <v>39</v>
      </c>
      <c r="C76" s="4" t="s">
        <v>42</v>
      </c>
      <c r="D76" s="4" t="s">
        <v>38</v>
      </c>
      <c r="E76" s="4" t="s">
        <v>25</v>
      </c>
      <c r="F76" s="4" t="s">
        <v>57</v>
      </c>
      <c r="G76" s="4" t="s">
        <v>25</v>
      </c>
      <c r="H76" s="4" t="s">
        <v>34</v>
      </c>
      <c r="I76" s="5">
        <v>44501</v>
      </c>
      <c r="J76" s="6">
        <v>2805</v>
      </c>
      <c r="K76" s="6">
        <v>1405.0245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58</v>
      </c>
      <c r="R76" s="4">
        <v>0</v>
      </c>
      <c r="S76" s="6">
        <v>1</v>
      </c>
      <c r="T76" s="6">
        <v>0</v>
      </c>
      <c r="U76" s="6">
        <v>0</v>
      </c>
      <c r="V76" s="6">
        <f>IF(ISERROR(VLOOKUP($S$76,'TAR FIN'!$A$1:$O$85,15,0)),0,VLOOKUP($S$76,'TAR FIN'!$A$1:$O$85,15,0))</f>
        <v>51.93</v>
      </c>
      <c r="W76" s="6">
        <f>IF(ISERROR(VLOOKUP($T$76,'TAR FIN'!$A$1:$O$85,15,0)),0,VLOOKUP($T$76,'TAR FIN'!$A$1:$O$85,15,0))</f>
        <v>0</v>
      </c>
      <c r="X76" s="6">
        <f>IF(ISERROR(VLOOKUP($U$76,'TAR FIN'!$A$1:$O$85,15,0)),0,VLOOKUP($U$76,'TAR FIN'!$A$1:$O$85,15,0))</f>
        <v>0</v>
      </c>
      <c r="Y76" s="6">
        <f ca="1">('TUSD BE'!$AM$5+'TUSD BF'!$AM$5+'TUSD CVA'!$AM$5)*1</f>
        <v>57.5166740764178</v>
      </c>
      <c r="Z76" s="6">
        <f ca="1">('TUSD BE'!$AM$7+'TUSD BF'!$AM$7+'TUSD CVA'!$AM$7)*1</f>
        <v>147.99431148733765</v>
      </c>
      <c r="AA76" s="6"/>
      <c r="AB76" s="6">
        <f>$K$76*$V$76</f>
        <v>72962.922284999993</v>
      </c>
      <c r="AC76" s="6">
        <f>$M$76*$W$76</f>
        <v>0</v>
      </c>
      <c r="AD76" s="6">
        <f>$O$76*$X$76</f>
        <v>0</v>
      </c>
      <c r="AE76" s="6">
        <f ca="1">$K$76*$Y$76</f>
        <v>80812.336235881885</v>
      </c>
      <c r="AF76" s="6">
        <f ca="1">$M$76*$Z$76</f>
        <v>0</v>
      </c>
      <c r="AG76" s="6">
        <f>$O$76*$AA$76</f>
        <v>0</v>
      </c>
    </row>
    <row r="77" spans="1:33" ht="11.25" customHeight="1" x14ac:dyDescent="0.25">
      <c r="A77" s="4" t="s">
        <v>21</v>
      </c>
      <c r="B77" s="4" t="s">
        <v>39</v>
      </c>
      <c r="C77" s="4" t="s">
        <v>42</v>
      </c>
      <c r="D77" s="4" t="s">
        <v>38</v>
      </c>
      <c r="E77" s="4" t="s">
        <v>25</v>
      </c>
      <c r="F77" s="4" t="s">
        <v>57</v>
      </c>
      <c r="G77" s="4" t="s">
        <v>25</v>
      </c>
      <c r="H77" s="4" t="s">
        <v>34</v>
      </c>
      <c r="I77" s="5">
        <v>44531</v>
      </c>
      <c r="J77" s="6">
        <v>2805</v>
      </c>
      <c r="K77" s="6">
        <v>1410.915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58</v>
      </c>
      <c r="R77" s="4">
        <v>0</v>
      </c>
      <c r="S77" s="6">
        <v>1</v>
      </c>
      <c r="T77" s="6">
        <v>0</v>
      </c>
      <c r="U77" s="6">
        <v>0</v>
      </c>
      <c r="V77" s="6">
        <f>IF(ISERROR(VLOOKUP($S$77,'TAR FIN'!$A$1:$O$85,15,0)),0,VLOOKUP($S$77,'TAR FIN'!$A$1:$O$85,15,0))</f>
        <v>51.93</v>
      </c>
      <c r="W77" s="6">
        <f>IF(ISERROR(VLOOKUP($T$77,'TAR FIN'!$A$1:$O$85,15,0)),0,VLOOKUP($T$77,'TAR FIN'!$A$1:$O$85,15,0))</f>
        <v>0</v>
      </c>
      <c r="X77" s="6">
        <f>IF(ISERROR(VLOOKUP($U$77,'TAR FIN'!$A$1:$O$85,15,0)),0,VLOOKUP($U$77,'TAR FIN'!$A$1:$O$85,15,0))</f>
        <v>0</v>
      </c>
      <c r="Y77" s="6">
        <f ca="1">('TUSD BE'!$AM$5+'TUSD BF'!$AM$5+'TUSD CVA'!$AM$5)*1</f>
        <v>57.5166740764178</v>
      </c>
      <c r="Z77" s="6">
        <f ca="1">('TUSD BE'!$AM$7+'TUSD BF'!$AM$7+'TUSD CVA'!$AM$7)*1</f>
        <v>147.99431148733765</v>
      </c>
      <c r="AA77" s="6"/>
      <c r="AB77" s="6">
        <f>$K$77*$V$77</f>
        <v>73268.815950000004</v>
      </c>
      <c r="AC77" s="6">
        <f>$M$77*$W$77</f>
        <v>0</v>
      </c>
      <c r="AD77" s="6">
        <f>$O$77*$X$77</f>
        <v>0</v>
      </c>
      <c r="AE77" s="6">
        <f ca="1">$K$77*$Y$77</f>
        <v>81151.138204529023</v>
      </c>
      <c r="AF77" s="6">
        <f ca="1">$M$77*$Z$77</f>
        <v>0</v>
      </c>
      <c r="AG77" s="6">
        <f>$O$77*$AA$77</f>
        <v>0</v>
      </c>
    </row>
    <row r="78" spans="1:33" ht="11.25" customHeight="1" x14ac:dyDescent="0.25">
      <c r="A78" s="4" t="s">
        <v>21</v>
      </c>
      <c r="B78" s="4" t="s">
        <v>39</v>
      </c>
      <c r="C78" s="4" t="s">
        <v>42</v>
      </c>
      <c r="D78" s="4" t="s">
        <v>38</v>
      </c>
      <c r="E78" s="4" t="s">
        <v>25</v>
      </c>
      <c r="F78" s="4" t="s">
        <v>57</v>
      </c>
      <c r="G78" s="4" t="s">
        <v>25</v>
      </c>
      <c r="H78" s="4" t="s">
        <v>34</v>
      </c>
      <c r="I78" s="5">
        <v>44562</v>
      </c>
      <c r="J78" s="6">
        <v>2805</v>
      </c>
      <c r="K78" s="6">
        <v>1406.4269999999999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58</v>
      </c>
      <c r="R78" s="4">
        <v>0</v>
      </c>
      <c r="S78" s="6">
        <v>1</v>
      </c>
      <c r="T78" s="6">
        <v>0</v>
      </c>
      <c r="U78" s="6">
        <v>0</v>
      </c>
      <c r="V78" s="6">
        <f>IF(ISERROR(VLOOKUP($S$78,'TAR FIN'!$A$1:$O$85,15,0)),0,VLOOKUP($S$78,'TAR FIN'!$A$1:$O$85,15,0))</f>
        <v>51.93</v>
      </c>
      <c r="W78" s="6">
        <f>IF(ISERROR(VLOOKUP($T$78,'TAR FIN'!$A$1:$O$85,15,0)),0,VLOOKUP($T$78,'TAR FIN'!$A$1:$O$85,15,0))</f>
        <v>0</v>
      </c>
      <c r="X78" s="6">
        <f>IF(ISERROR(VLOOKUP($U$78,'TAR FIN'!$A$1:$O$85,15,0)),0,VLOOKUP($U$78,'TAR FIN'!$A$1:$O$85,15,0))</f>
        <v>0</v>
      </c>
      <c r="Y78" s="6">
        <f ca="1">('TUSD BE'!$AM$5+'TUSD BF'!$AM$5+'TUSD CVA'!$AM$5)*1</f>
        <v>57.5166740764178</v>
      </c>
      <c r="Z78" s="6">
        <f ca="1">('TUSD BE'!$AM$7+'TUSD BF'!$AM$7+'TUSD CVA'!$AM$7)*1</f>
        <v>147.99431148733765</v>
      </c>
      <c r="AA78" s="6"/>
      <c r="AB78" s="6">
        <f>$K$78*$V$78</f>
        <v>73035.754109999994</v>
      </c>
      <c r="AC78" s="6">
        <f>$M$78*$W$78</f>
        <v>0</v>
      </c>
      <c r="AD78" s="6">
        <f>$O$78*$X$78</f>
        <v>0</v>
      </c>
      <c r="AE78" s="6">
        <f ca="1">$K$78*$Y$78</f>
        <v>80893.003371274055</v>
      </c>
      <c r="AF78" s="6">
        <f ca="1">$M$78*$Z$78</f>
        <v>0</v>
      </c>
      <c r="AG78" s="6">
        <f>$O$78*$AA$78</f>
        <v>0</v>
      </c>
    </row>
    <row r="79" spans="1:33" ht="11.25" customHeight="1" x14ac:dyDescent="0.25">
      <c r="A79" s="4" t="s">
        <v>21</v>
      </c>
      <c r="B79" s="4" t="s">
        <v>39</v>
      </c>
      <c r="C79" s="4" t="s">
        <v>42</v>
      </c>
      <c r="D79" s="4" t="s">
        <v>38</v>
      </c>
      <c r="E79" s="4" t="s">
        <v>25</v>
      </c>
      <c r="F79" s="4" t="s">
        <v>57</v>
      </c>
      <c r="G79" s="4" t="s">
        <v>25</v>
      </c>
      <c r="H79" s="4" t="s">
        <v>34</v>
      </c>
      <c r="I79" s="5">
        <v>44593</v>
      </c>
      <c r="J79" s="6">
        <v>2870</v>
      </c>
      <c r="K79" s="6">
        <v>1441.6010000000001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58</v>
      </c>
      <c r="R79" s="4">
        <v>0</v>
      </c>
      <c r="S79" s="6">
        <v>1</v>
      </c>
      <c r="T79" s="6">
        <v>0</v>
      </c>
      <c r="U79" s="6">
        <v>0</v>
      </c>
      <c r="V79" s="6">
        <f>IF(ISERROR(VLOOKUP($S$79,'TAR FIN'!$A$1:$O$85,15,0)),0,VLOOKUP($S$79,'TAR FIN'!$A$1:$O$85,15,0))</f>
        <v>51.93</v>
      </c>
      <c r="W79" s="6">
        <f>IF(ISERROR(VLOOKUP($T$79,'TAR FIN'!$A$1:$O$85,15,0)),0,VLOOKUP($T$79,'TAR FIN'!$A$1:$O$85,15,0))</f>
        <v>0</v>
      </c>
      <c r="X79" s="6">
        <f>IF(ISERROR(VLOOKUP($U$79,'TAR FIN'!$A$1:$O$85,15,0)),0,VLOOKUP($U$79,'TAR FIN'!$A$1:$O$85,15,0))</f>
        <v>0</v>
      </c>
      <c r="Y79" s="6">
        <f ca="1">('TUSD BE'!$AM$5+'TUSD BF'!$AM$5+'TUSD CVA'!$AM$5)*1</f>
        <v>57.5166740764178</v>
      </c>
      <c r="Z79" s="6">
        <f ca="1">('TUSD BE'!$AM$7+'TUSD BF'!$AM$7+'TUSD CVA'!$AM$7)*1</f>
        <v>147.99431148733765</v>
      </c>
      <c r="AA79" s="6"/>
      <c r="AB79" s="6">
        <f>$K$79*$V$79</f>
        <v>74862.339930000002</v>
      </c>
      <c r="AC79" s="6">
        <f>$M$79*$W$79</f>
        <v>0</v>
      </c>
      <c r="AD79" s="6">
        <f>$O$79*$X$79</f>
        <v>0</v>
      </c>
      <c r="AE79" s="6">
        <f ca="1">$K$79*$Y$79</f>
        <v>82916.094865237988</v>
      </c>
      <c r="AF79" s="6">
        <f ca="1">$M$79*$Z$79</f>
        <v>0</v>
      </c>
      <c r="AG79" s="6">
        <f>$O$79*$AA$79</f>
        <v>0</v>
      </c>
    </row>
    <row r="80" spans="1:33" ht="11.25" customHeight="1" x14ac:dyDescent="0.25">
      <c r="A80" s="4" t="s">
        <v>21</v>
      </c>
      <c r="B80" s="4" t="s">
        <v>39</v>
      </c>
      <c r="C80" s="4" t="s">
        <v>42</v>
      </c>
      <c r="D80" s="4" t="s">
        <v>38</v>
      </c>
      <c r="E80" s="4" t="s">
        <v>25</v>
      </c>
      <c r="F80" s="4" t="s">
        <v>57</v>
      </c>
      <c r="G80" s="4" t="s">
        <v>25</v>
      </c>
      <c r="H80" s="4" t="s">
        <v>34</v>
      </c>
      <c r="I80" s="5">
        <v>44621</v>
      </c>
      <c r="J80" s="6">
        <v>2805</v>
      </c>
      <c r="K80" s="6">
        <v>1405.5854999999999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58</v>
      </c>
      <c r="R80" s="4">
        <v>0</v>
      </c>
      <c r="S80" s="6">
        <v>1</v>
      </c>
      <c r="T80" s="6">
        <v>0</v>
      </c>
      <c r="U80" s="6">
        <v>0</v>
      </c>
      <c r="V80" s="6">
        <f>IF(ISERROR(VLOOKUP($S$80,'TAR FIN'!$A$1:$O$85,15,0)),0,VLOOKUP($S$80,'TAR FIN'!$A$1:$O$85,15,0))</f>
        <v>51.93</v>
      </c>
      <c r="W80" s="6">
        <f>IF(ISERROR(VLOOKUP($T$80,'TAR FIN'!$A$1:$O$85,15,0)),0,VLOOKUP($T$80,'TAR FIN'!$A$1:$O$85,15,0))</f>
        <v>0</v>
      </c>
      <c r="X80" s="6">
        <f>IF(ISERROR(VLOOKUP($U$80,'TAR FIN'!$A$1:$O$85,15,0)),0,VLOOKUP($U$80,'TAR FIN'!$A$1:$O$85,15,0))</f>
        <v>0</v>
      </c>
      <c r="Y80" s="6">
        <f ca="1">('TUSD BE'!$AM$5+'TUSD BF'!$AM$5+'TUSD CVA'!$AM$5)*1</f>
        <v>57.5166740764178</v>
      </c>
      <c r="Z80" s="6">
        <f ca="1">('TUSD BE'!$AM$7+'TUSD BF'!$AM$7+'TUSD CVA'!$AM$7)*1</f>
        <v>147.99431148733765</v>
      </c>
      <c r="AA80" s="6"/>
      <c r="AB80" s="6">
        <f>$K$80*$V$80</f>
        <v>72992.055014999991</v>
      </c>
      <c r="AC80" s="6">
        <f>$M$80*$W$80</f>
        <v>0</v>
      </c>
      <c r="AD80" s="6">
        <f>$O$80*$X$80</f>
        <v>0</v>
      </c>
      <c r="AE80" s="6">
        <f ca="1">$K$80*$Y$80</f>
        <v>80844.603090038741</v>
      </c>
      <c r="AF80" s="6">
        <f ca="1">$M$80*$Z$80</f>
        <v>0</v>
      </c>
      <c r="AG80" s="6">
        <f>$O$80*$AA$80</f>
        <v>0</v>
      </c>
    </row>
    <row r="81" spans="1:33" ht="11.25" customHeight="1" x14ac:dyDescent="0.25">
      <c r="A81" s="4" t="s">
        <v>21</v>
      </c>
      <c r="B81" s="4" t="s">
        <v>39</v>
      </c>
      <c r="C81" s="4" t="s">
        <v>42</v>
      </c>
      <c r="D81" s="4" t="s">
        <v>38</v>
      </c>
      <c r="E81" s="4" t="s">
        <v>25</v>
      </c>
      <c r="F81" s="4" t="s">
        <v>57</v>
      </c>
      <c r="G81" s="4" t="s">
        <v>25</v>
      </c>
      <c r="H81" s="4" t="s">
        <v>34</v>
      </c>
      <c r="I81" s="5">
        <v>44652</v>
      </c>
      <c r="J81" s="6">
        <v>2865</v>
      </c>
      <c r="K81" s="6">
        <v>1445.106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58</v>
      </c>
      <c r="R81" s="4">
        <v>0</v>
      </c>
      <c r="S81" s="6">
        <v>1</v>
      </c>
      <c r="T81" s="6">
        <v>0</v>
      </c>
      <c r="U81" s="6">
        <v>0</v>
      </c>
      <c r="V81" s="6">
        <f>IF(ISERROR(VLOOKUP($S$81,'TAR FIN'!$A$1:$O$85,15,0)),0,VLOOKUP($S$81,'TAR FIN'!$A$1:$O$85,15,0))</f>
        <v>51.93</v>
      </c>
      <c r="W81" s="6">
        <f>IF(ISERROR(VLOOKUP($T$81,'TAR FIN'!$A$1:$O$85,15,0)),0,VLOOKUP($T$81,'TAR FIN'!$A$1:$O$85,15,0))</f>
        <v>0</v>
      </c>
      <c r="X81" s="6">
        <f>IF(ISERROR(VLOOKUP($U$81,'TAR FIN'!$A$1:$O$85,15,0)),0,VLOOKUP($U$81,'TAR FIN'!$A$1:$O$85,15,0))</f>
        <v>0</v>
      </c>
      <c r="Y81" s="6">
        <f ca="1">('TUSD BE'!$AM$5+'TUSD BF'!$AM$5+'TUSD CVA'!$AM$5)*1</f>
        <v>57.5166740764178</v>
      </c>
      <c r="Z81" s="6">
        <f ca="1">('TUSD BE'!$AM$7+'TUSD BF'!$AM$7+'TUSD CVA'!$AM$7)*1</f>
        <v>147.99431148733765</v>
      </c>
      <c r="AA81" s="6"/>
      <c r="AB81" s="6">
        <f>$K$81*$V$81</f>
        <v>75044.354579999999</v>
      </c>
      <c r="AC81" s="6">
        <f>$M$81*$W$81</f>
        <v>0</v>
      </c>
      <c r="AD81" s="6">
        <f>$O$81*$X$81</f>
        <v>0</v>
      </c>
      <c r="AE81" s="6">
        <f ca="1">$K$81*$Y$81</f>
        <v>83117.690807875828</v>
      </c>
      <c r="AF81" s="6">
        <f ca="1">$M$81*$Z$81</f>
        <v>0</v>
      </c>
      <c r="AG81" s="6">
        <f>$O$81*$AA$81</f>
        <v>0</v>
      </c>
    </row>
    <row r="82" spans="1:33" ht="11.25" customHeight="1" x14ac:dyDescent="0.25">
      <c r="A82" s="4" t="s">
        <v>21</v>
      </c>
      <c r="B82" s="4" t="s">
        <v>39</v>
      </c>
      <c r="C82" s="4" t="s">
        <v>42</v>
      </c>
      <c r="D82" s="4" t="s">
        <v>38</v>
      </c>
      <c r="E82" s="4" t="s">
        <v>25</v>
      </c>
      <c r="F82" s="4" t="s">
        <v>57</v>
      </c>
      <c r="G82" s="4" t="s">
        <v>25</v>
      </c>
      <c r="H82" s="4" t="s">
        <v>34</v>
      </c>
      <c r="I82" s="5">
        <v>44682</v>
      </c>
      <c r="J82" s="6">
        <v>2966</v>
      </c>
      <c r="K82" s="6">
        <v>1488.6353999999999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58</v>
      </c>
      <c r="R82" s="4">
        <v>0</v>
      </c>
      <c r="S82" s="6">
        <v>1</v>
      </c>
      <c r="T82" s="6">
        <v>0</v>
      </c>
      <c r="U82" s="6">
        <v>0</v>
      </c>
      <c r="V82" s="6">
        <f>IF(ISERROR(VLOOKUP($S$82,'TAR FIN'!$A$1:$O$85,15,0)),0,VLOOKUP($S$82,'TAR FIN'!$A$1:$O$85,15,0))</f>
        <v>51.93</v>
      </c>
      <c r="W82" s="6">
        <f>IF(ISERROR(VLOOKUP($T$82,'TAR FIN'!$A$1:$O$85,15,0)),0,VLOOKUP($T$82,'TAR FIN'!$A$1:$O$85,15,0))</f>
        <v>0</v>
      </c>
      <c r="X82" s="6">
        <f>IF(ISERROR(VLOOKUP($U$82,'TAR FIN'!$A$1:$O$85,15,0)),0,VLOOKUP($U$82,'TAR FIN'!$A$1:$O$85,15,0))</f>
        <v>0</v>
      </c>
      <c r="Y82" s="6">
        <f ca="1">('TUSD BE'!$AM$5+'TUSD BF'!$AM$5+'TUSD CVA'!$AM$5)*1</f>
        <v>57.5166740764178</v>
      </c>
      <c r="Z82" s="6">
        <f ca="1">('TUSD BE'!$AM$7+'TUSD BF'!$AM$7+'TUSD CVA'!$AM$7)*1</f>
        <v>147.99431148733765</v>
      </c>
      <c r="AA82" s="6"/>
      <c r="AB82" s="6">
        <f>$K$82*$V$82</f>
        <v>77304.836321999988</v>
      </c>
      <c r="AC82" s="6">
        <f>$M$82*$W$82</f>
        <v>0</v>
      </c>
      <c r="AD82" s="6">
        <f>$O$82*$X$82</f>
        <v>0</v>
      </c>
      <c r="AE82" s="6">
        <f ca="1">$K$82*$Y$82</f>
        <v>85621.35712041783</v>
      </c>
      <c r="AF82" s="6">
        <f ca="1">$M$82*$Z$82</f>
        <v>0</v>
      </c>
      <c r="AG82" s="6">
        <f>$O$82*$AA$82</f>
        <v>0</v>
      </c>
    </row>
    <row r="83" spans="1:33" ht="11.25" customHeight="1" x14ac:dyDescent="0.25">
      <c r="A83" s="4" t="s">
        <v>21</v>
      </c>
      <c r="B83" s="4" t="s">
        <v>39</v>
      </c>
      <c r="C83" s="4" t="s">
        <v>42</v>
      </c>
      <c r="D83" s="4" t="s">
        <v>38</v>
      </c>
      <c r="E83" s="4" t="s">
        <v>25</v>
      </c>
      <c r="F83" s="4" t="s">
        <v>57</v>
      </c>
      <c r="G83" s="4" t="s">
        <v>25</v>
      </c>
      <c r="H83" s="4" t="s">
        <v>34</v>
      </c>
      <c r="I83" s="5">
        <v>44713</v>
      </c>
      <c r="J83" s="6">
        <v>2900</v>
      </c>
      <c r="K83" s="6">
        <v>1452.61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58</v>
      </c>
      <c r="R83" s="4">
        <v>0</v>
      </c>
      <c r="S83" s="6">
        <v>1</v>
      </c>
      <c r="T83" s="6">
        <v>0</v>
      </c>
      <c r="U83" s="6">
        <v>0</v>
      </c>
      <c r="V83" s="6">
        <f>IF(ISERROR(VLOOKUP($S$83,'TAR FIN'!$A$1:$O$85,15,0)),0,VLOOKUP($S$83,'TAR FIN'!$A$1:$O$85,15,0))</f>
        <v>51.93</v>
      </c>
      <c r="W83" s="6">
        <f>IF(ISERROR(VLOOKUP($T$83,'TAR FIN'!$A$1:$O$85,15,0)),0,VLOOKUP($T$83,'TAR FIN'!$A$1:$O$85,15,0))</f>
        <v>0</v>
      </c>
      <c r="X83" s="6">
        <f>IF(ISERROR(VLOOKUP($U$83,'TAR FIN'!$A$1:$O$85,15,0)),0,VLOOKUP($U$83,'TAR FIN'!$A$1:$O$85,15,0))</f>
        <v>0</v>
      </c>
      <c r="Y83" s="6">
        <f ca="1">('TUSD BE'!$AM$5+'TUSD BF'!$AM$5+'TUSD CVA'!$AM$5)*1</f>
        <v>57.5166740764178</v>
      </c>
      <c r="Z83" s="6">
        <f ca="1">('TUSD BE'!$AM$7+'TUSD BF'!$AM$7+'TUSD CVA'!$AM$7)*1</f>
        <v>147.99431148733765</v>
      </c>
      <c r="AA83" s="6"/>
      <c r="AB83" s="6">
        <f>$K$83*$V$83</f>
        <v>75434.037299999996</v>
      </c>
      <c r="AC83" s="6">
        <f>$M$83*$W$83</f>
        <v>0</v>
      </c>
      <c r="AD83" s="6">
        <f>$O$83*$X$83</f>
        <v>0</v>
      </c>
      <c r="AE83" s="6">
        <f ca="1">$K$83*$Y$83</f>
        <v>83549.29593014525</v>
      </c>
      <c r="AF83" s="6">
        <f ca="1">$M$83*$Z$83</f>
        <v>0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39</v>
      </c>
      <c r="C84" s="4" t="s">
        <v>42</v>
      </c>
      <c r="D84" s="4" t="s">
        <v>38</v>
      </c>
      <c r="E84" s="4" t="s">
        <v>25</v>
      </c>
      <c r="F84" s="4" t="s">
        <v>57</v>
      </c>
      <c r="G84" s="4" t="s">
        <v>25</v>
      </c>
      <c r="H84" s="4" t="s">
        <v>34</v>
      </c>
      <c r="I84" s="5">
        <v>44743</v>
      </c>
      <c r="J84" s="6">
        <v>2900</v>
      </c>
      <c r="K84" s="6">
        <v>1461.6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58</v>
      </c>
      <c r="R84" s="4">
        <v>0</v>
      </c>
      <c r="S84" s="6">
        <v>1</v>
      </c>
      <c r="T84" s="6">
        <v>0</v>
      </c>
      <c r="U84" s="6">
        <v>0</v>
      </c>
      <c r="V84" s="6">
        <f>IF(ISERROR(VLOOKUP($S$84,'TAR FIN'!$A$1:$O$85,15,0)),0,VLOOKUP($S$84,'TAR FIN'!$A$1:$O$85,15,0))</f>
        <v>51.93</v>
      </c>
      <c r="W84" s="6">
        <f>IF(ISERROR(VLOOKUP($T$84,'TAR FIN'!$A$1:$O$85,15,0)),0,VLOOKUP($T$84,'TAR FIN'!$A$1:$O$85,15,0))</f>
        <v>0</v>
      </c>
      <c r="X84" s="6">
        <f>IF(ISERROR(VLOOKUP($U$84,'TAR FIN'!$A$1:$O$85,15,0)),0,VLOOKUP($U$84,'TAR FIN'!$A$1:$O$85,15,0))</f>
        <v>0</v>
      </c>
      <c r="Y84" s="6">
        <f ca="1">('TUSD BE'!$AM$5+'TUSD BF'!$AM$5+'TUSD CVA'!$AM$5)*1</f>
        <v>57.5166740764178</v>
      </c>
      <c r="Z84" s="6">
        <f ca="1">('TUSD BE'!$AM$7+'TUSD BF'!$AM$7+'TUSD CVA'!$AM$7)*1</f>
        <v>147.99431148733765</v>
      </c>
      <c r="AA84" s="6"/>
      <c r="AB84" s="6">
        <f>$K$84*$V$84</f>
        <v>75900.887999999992</v>
      </c>
      <c r="AC84" s="6">
        <f>$M$84*$W$84</f>
        <v>0</v>
      </c>
      <c r="AD84" s="6">
        <f>$O$84*$X$84</f>
        <v>0</v>
      </c>
      <c r="AE84" s="6">
        <f ca="1">$K$84*$Y$84</f>
        <v>84066.370830092244</v>
      </c>
      <c r="AF84" s="6">
        <f ca="1">$M$84*$Z$84</f>
        <v>0</v>
      </c>
      <c r="AG84" s="6">
        <f>$O$84*$AA$84</f>
        <v>0</v>
      </c>
    </row>
    <row r="85" spans="1:33" ht="11.25" customHeight="1" x14ac:dyDescent="0.25">
      <c r="A85" s="4" t="s">
        <v>56</v>
      </c>
      <c r="B85" s="4" t="s">
        <v>39</v>
      </c>
      <c r="C85" s="4" t="s">
        <v>42</v>
      </c>
      <c r="D85" s="4" t="s">
        <v>38</v>
      </c>
      <c r="E85" s="4" t="s">
        <v>25</v>
      </c>
      <c r="F85" s="4" t="s">
        <v>57</v>
      </c>
      <c r="G85" s="4" t="s">
        <v>25</v>
      </c>
      <c r="H85" s="4" t="s">
        <v>34</v>
      </c>
      <c r="I85" s="5">
        <v>44774</v>
      </c>
      <c r="J85" s="6">
        <v>2900</v>
      </c>
      <c r="K85" s="6">
        <v>1461.6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58</v>
      </c>
      <c r="R85" s="4">
        <v>0</v>
      </c>
      <c r="S85" s="6">
        <v>1</v>
      </c>
      <c r="T85" s="6">
        <v>0</v>
      </c>
      <c r="U85" s="6">
        <v>0</v>
      </c>
      <c r="V85" s="6">
        <f>IF(ISERROR(VLOOKUP($S$85,'TAR FIN'!$A$1:$O$85,15,0)),0,VLOOKUP($S$85,'TAR FIN'!$A$1:$O$85,15,0))</f>
        <v>51.93</v>
      </c>
      <c r="W85" s="6">
        <f>IF(ISERROR(VLOOKUP($T$85,'TAR FIN'!$A$1:$O$85,15,0)),0,VLOOKUP($T$85,'TAR FIN'!$A$1:$O$85,15,0))</f>
        <v>0</v>
      </c>
      <c r="X85" s="6">
        <f>IF(ISERROR(VLOOKUP($U$85,'TAR FIN'!$A$1:$O$85,15,0)),0,VLOOKUP($U$85,'TAR FIN'!$A$1:$O$85,15,0))</f>
        <v>0</v>
      </c>
      <c r="Y85" s="6">
        <f ca="1">('TUSD BE'!$AM$5+'TUSD BF'!$AM$5+'TUSD CVA'!$AM$5)*1</f>
        <v>57.5166740764178</v>
      </c>
      <c r="Z85" s="6">
        <f ca="1">('TUSD BE'!$AM$7+'TUSD BF'!$AM$7+'TUSD CVA'!$AM$7)*1</f>
        <v>147.99431148733765</v>
      </c>
      <c r="AA85" s="6"/>
      <c r="AB85" s="6">
        <f>$K$85*$V$85</f>
        <v>75900.887999999992</v>
      </c>
      <c r="AC85" s="6">
        <f>$M$85*$W$85</f>
        <v>0</v>
      </c>
      <c r="AD85" s="6">
        <f>$O$85*$X$85</f>
        <v>0</v>
      </c>
      <c r="AE85" s="6">
        <f ca="1">$K$85*$Y$85</f>
        <v>84066.370830092244</v>
      </c>
      <c r="AF85" s="6">
        <f ca="1">$M$85*$Z$85</f>
        <v>0</v>
      </c>
      <c r="AG85" s="6">
        <f>$O$85*$AA$85</f>
        <v>0</v>
      </c>
    </row>
    <row r="86" spans="1:33" ht="11.25" customHeight="1" x14ac:dyDescent="0.25">
      <c r="A86" s="4" t="s">
        <v>21</v>
      </c>
      <c r="B86" s="4" t="s">
        <v>39</v>
      </c>
      <c r="C86" s="4" t="s">
        <v>42</v>
      </c>
      <c r="D86" s="4" t="s">
        <v>45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44440</v>
      </c>
      <c r="J86" s="6">
        <v>219</v>
      </c>
      <c r="K86" s="6">
        <v>219</v>
      </c>
      <c r="L86" s="6">
        <v>56.886000000000003</v>
      </c>
      <c r="M86" s="6">
        <v>56.886000000000003</v>
      </c>
      <c r="N86" s="6">
        <v>56.886000000000003</v>
      </c>
      <c r="O86" s="6">
        <v>56.886000000000003</v>
      </c>
      <c r="P86" s="6">
        <v>0</v>
      </c>
      <c r="Q86" s="4" t="s">
        <v>26</v>
      </c>
      <c r="R86" s="4">
        <v>0</v>
      </c>
      <c r="S86" s="6">
        <v>2</v>
      </c>
      <c r="T86" s="6">
        <v>3</v>
      </c>
      <c r="U86" s="6">
        <v>49</v>
      </c>
      <c r="V86" s="6">
        <f>IF(ISERROR(VLOOKUP($S$86,'TAR FIN'!$A$1:$O$85,15,0)),0,VLOOKUP($S$86,'TAR FIN'!$A$1:$O$85,15,0))</f>
        <v>16.64</v>
      </c>
      <c r="W86" s="6">
        <f>IF(ISERROR(VLOOKUP($T$86,'TAR FIN'!$A$1:$O$85,15,0)),0,VLOOKUP($T$86,'TAR FIN'!$A$1:$O$85,15,0))</f>
        <v>76.75</v>
      </c>
      <c r="X86" s="6">
        <f>IF(ISERROR(VLOOKUP($U$86,'TAR FIN'!$A$1:$O$85,15,0)),0,VLOOKUP($U$86,'TAR FIN'!$A$1:$O$85,15,0))</f>
        <v>307.08</v>
      </c>
      <c r="Y86" s="6">
        <f ca="1">('TUSD BE'!$AM$6+'TUSD BF'!$AM$6+'TUSD CVA'!$AM$6)*1</f>
        <v>18.371854423657158</v>
      </c>
      <c r="Z86" s="6">
        <f ca="1">('TUSD BE'!$AM$7+'TUSD BF'!$AM$7+'TUSD CVA'!$AM$7)*1</f>
        <v>147.99431148733765</v>
      </c>
      <c r="AA86" s="6">
        <f>('TE BE'!$AB$6+'TE BF'!$AB$6+'TE CVA'!$AB$6)*1</f>
        <v>304.87027853653359</v>
      </c>
      <c r="AB86" s="6">
        <f>$K$86*$V$86</f>
        <v>3644.1600000000003</v>
      </c>
      <c r="AC86" s="6">
        <f>$M$86*$W$86</f>
        <v>4366.0005000000001</v>
      </c>
      <c r="AD86" s="6">
        <f>$O$86*$X$86</f>
        <v>17468.552879999999</v>
      </c>
      <c r="AE86" s="6">
        <f ca="1">$K$86*$Y$86</f>
        <v>4023.4361187809177</v>
      </c>
      <c r="AF86" s="6">
        <f ca="1">$M$86*$Z$86</f>
        <v>8418.8044032686903</v>
      </c>
      <c r="AG86" s="6">
        <f>$O$86*$AA$86</f>
        <v>17342.85066482925</v>
      </c>
    </row>
    <row r="87" spans="1:33" ht="11.25" customHeight="1" x14ac:dyDescent="0.25">
      <c r="A87" s="4" t="s">
        <v>28</v>
      </c>
      <c r="B87" s="4" t="s">
        <v>39</v>
      </c>
      <c r="C87" s="4" t="s">
        <v>42</v>
      </c>
      <c r="D87" s="4" t="s">
        <v>45</v>
      </c>
      <c r="E87" s="4" t="s">
        <v>25</v>
      </c>
      <c r="F87" s="4" t="s">
        <v>25</v>
      </c>
      <c r="G87" s="4" t="s">
        <v>25</v>
      </c>
      <c r="H87" s="4" t="s">
        <v>35</v>
      </c>
      <c r="I87" s="5">
        <v>44440</v>
      </c>
      <c r="J87" s="6">
        <v>79</v>
      </c>
      <c r="K87" s="6">
        <v>79</v>
      </c>
      <c r="L87" s="6">
        <v>7.5</v>
      </c>
      <c r="M87" s="6">
        <v>7.5</v>
      </c>
      <c r="N87" s="6">
        <v>7.5</v>
      </c>
      <c r="O87" s="6">
        <v>7.5</v>
      </c>
      <c r="P87" s="6">
        <v>0</v>
      </c>
      <c r="Q87" s="4" t="s">
        <v>26</v>
      </c>
      <c r="R87" s="4">
        <v>0</v>
      </c>
      <c r="S87" s="6">
        <v>2</v>
      </c>
      <c r="T87" s="6">
        <v>3</v>
      </c>
      <c r="U87" s="6">
        <v>49</v>
      </c>
      <c r="V87" s="6">
        <f>IF(ISERROR(VLOOKUP($S$87,'TAR FIN'!$A$1:$O$85,15,0)),0,VLOOKUP($S$87,'TAR FIN'!$A$1:$O$85,15,0))</f>
        <v>16.64</v>
      </c>
      <c r="W87" s="6">
        <f>IF(ISERROR(VLOOKUP($T$87,'TAR FIN'!$A$1:$O$85,15,0)),0,VLOOKUP($T$87,'TAR FIN'!$A$1:$O$85,15,0))</f>
        <v>76.75</v>
      </c>
      <c r="X87" s="6">
        <f>IF(ISERROR(VLOOKUP($U$87,'TAR FIN'!$A$1:$O$85,15,0)),0,VLOOKUP($U$87,'TAR FIN'!$A$1:$O$85,15,0))</f>
        <v>307.08</v>
      </c>
      <c r="Y87" s="6">
        <f ca="1">('TUSD BE'!$AM$6+'TUSD BF'!$AM$6+'TUSD CVA'!$AM$6)*1</f>
        <v>18.371854423657158</v>
      </c>
      <c r="Z87" s="6">
        <f ca="1">('TUSD BE'!$AM$7+'TUSD BF'!$AM$7+'TUSD CVA'!$AM$7)*1</f>
        <v>147.99431148733765</v>
      </c>
      <c r="AA87" s="6">
        <f>('TE BE'!$AB$6+'TE BF'!$AB$6+'TE CVA'!$AB$6)*1</f>
        <v>304.87027853653359</v>
      </c>
      <c r="AB87" s="6">
        <f>$K$87*$V$87</f>
        <v>1314.56</v>
      </c>
      <c r="AC87" s="6">
        <f>$M$87*$W$87</f>
        <v>575.625</v>
      </c>
      <c r="AD87" s="6">
        <f>$O$87*$X$87</f>
        <v>2303.1</v>
      </c>
      <c r="AE87" s="6">
        <f ca="1">$K$87*$Y$87</f>
        <v>1451.3764994689154</v>
      </c>
      <c r="AF87" s="6">
        <f ca="1">$M$87*$Z$87</f>
        <v>1109.9573361550324</v>
      </c>
      <c r="AG87" s="6">
        <f>$O$87*$AA$87</f>
        <v>2286.5270890240017</v>
      </c>
    </row>
    <row r="88" spans="1:33" ht="11.25" customHeight="1" x14ac:dyDescent="0.25">
      <c r="A88" s="4" t="s">
        <v>21</v>
      </c>
      <c r="B88" s="4" t="s">
        <v>39</v>
      </c>
      <c r="C88" s="4" t="s">
        <v>42</v>
      </c>
      <c r="D88" s="4" t="s">
        <v>45</v>
      </c>
      <c r="E88" s="4" t="s">
        <v>25</v>
      </c>
      <c r="F88" s="4" t="s">
        <v>25</v>
      </c>
      <c r="G88" s="4" t="s">
        <v>25</v>
      </c>
      <c r="H88" s="4" t="s">
        <v>35</v>
      </c>
      <c r="I88" s="5">
        <v>44470</v>
      </c>
      <c r="J88" s="6">
        <v>225</v>
      </c>
      <c r="K88" s="6">
        <v>225</v>
      </c>
      <c r="L88" s="6">
        <v>61.927</v>
      </c>
      <c r="M88" s="6">
        <v>61.927</v>
      </c>
      <c r="N88" s="6">
        <v>61.927</v>
      </c>
      <c r="O88" s="6">
        <v>61.927</v>
      </c>
      <c r="P88" s="6">
        <v>0</v>
      </c>
      <c r="Q88" s="4" t="s">
        <v>26</v>
      </c>
      <c r="R88" s="4">
        <v>0</v>
      </c>
      <c r="S88" s="6">
        <v>2</v>
      </c>
      <c r="T88" s="6">
        <v>3</v>
      </c>
      <c r="U88" s="6">
        <v>49</v>
      </c>
      <c r="V88" s="6">
        <f>IF(ISERROR(VLOOKUP($S$88,'TAR FIN'!$A$1:$O$85,15,0)),0,VLOOKUP($S$88,'TAR FIN'!$A$1:$O$85,15,0))</f>
        <v>16.64</v>
      </c>
      <c r="W88" s="6">
        <f>IF(ISERROR(VLOOKUP($T$88,'TAR FIN'!$A$1:$O$85,15,0)),0,VLOOKUP($T$88,'TAR FIN'!$A$1:$O$85,15,0))</f>
        <v>76.75</v>
      </c>
      <c r="X88" s="6">
        <f>IF(ISERROR(VLOOKUP($U$88,'TAR FIN'!$A$1:$O$85,15,0)),0,VLOOKUP($U$88,'TAR FIN'!$A$1:$O$85,15,0))</f>
        <v>307.08</v>
      </c>
      <c r="Y88" s="6">
        <f ca="1">('TUSD BE'!$AM$6+'TUSD BF'!$AM$6+'TUSD CVA'!$AM$6)*1</f>
        <v>18.371854423657158</v>
      </c>
      <c r="Z88" s="6">
        <f ca="1">('TUSD BE'!$AM$7+'TUSD BF'!$AM$7+'TUSD CVA'!$AM$7)*1</f>
        <v>147.99431148733765</v>
      </c>
      <c r="AA88" s="6">
        <f>('TE BE'!$AB$6+'TE BF'!$AB$6+'TE CVA'!$AB$6)*1</f>
        <v>304.87027853653359</v>
      </c>
      <c r="AB88" s="6">
        <f>$K$88*$V$88</f>
        <v>3744</v>
      </c>
      <c r="AC88" s="6">
        <f>$M$88*$W$88</f>
        <v>4752.89725</v>
      </c>
      <c r="AD88" s="6">
        <f>$O$88*$X$88</f>
        <v>19016.543159999997</v>
      </c>
      <c r="AE88" s="6">
        <f ca="1">$K$88*$Y$88</f>
        <v>4133.6672453228603</v>
      </c>
      <c r="AF88" s="6">
        <f ca="1">$M$88*$Z$88</f>
        <v>9164.8437274763583</v>
      </c>
      <c r="AG88" s="6">
        <f>$O$88*$AA$88</f>
        <v>18879.701738931915</v>
      </c>
    </row>
    <row r="89" spans="1:33" ht="11.25" customHeight="1" x14ac:dyDescent="0.25">
      <c r="A89" s="4" t="s">
        <v>28</v>
      </c>
      <c r="B89" s="4" t="s">
        <v>39</v>
      </c>
      <c r="C89" s="4" t="s">
        <v>42</v>
      </c>
      <c r="D89" s="4" t="s">
        <v>45</v>
      </c>
      <c r="E89" s="4" t="s">
        <v>25</v>
      </c>
      <c r="F89" s="4" t="s">
        <v>25</v>
      </c>
      <c r="G89" s="4" t="s">
        <v>25</v>
      </c>
      <c r="H89" s="4" t="s">
        <v>35</v>
      </c>
      <c r="I89" s="5">
        <v>44470</v>
      </c>
      <c r="J89" s="6">
        <v>138</v>
      </c>
      <c r="K89" s="6">
        <v>138</v>
      </c>
      <c r="L89" s="6">
        <v>17.484999999999999</v>
      </c>
      <c r="M89" s="6">
        <v>17.484999999999999</v>
      </c>
      <c r="N89" s="6">
        <v>17.484999999999999</v>
      </c>
      <c r="O89" s="6">
        <v>17.484999999999999</v>
      </c>
      <c r="P89" s="6">
        <v>0</v>
      </c>
      <c r="Q89" s="4" t="s">
        <v>26</v>
      </c>
      <c r="R89" s="4">
        <v>0</v>
      </c>
      <c r="S89" s="6">
        <v>2</v>
      </c>
      <c r="T89" s="6">
        <v>3</v>
      </c>
      <c r="U89" s="6">
        <v>49</v>
      </c>
      <c r="V89" s="6">
        <f>IF(ISERROR(VLOOKUP($S$89,'TAR FIN'!$A$1:$O$85,15,0)),0,VLOOKUP($S$89,'TAR FIN'!$A$1:$O$85,15,0))</f>
        <v>16.64</v>
      </c>
      <c r="W89" s="6">
        <f>IF(ISERROR(VLOOKUP($T$89,'TAR FIN'!$A$1:$O$85,15,0)),0,VLOOKUP($T$89,'TAR FIN'!$A$1:$O$85,15,0))</f>
        <v>76.75</v>
      </c>
      <c r="X89" s="6">
        <f>IF(ISERROR(VLOOKUP($U$89,'TAR FIN'!$A$1:$O$85,15,0)),0,VLOOKUP($U$89,'TAR FIN'!$A$1:$O$85,15,0))</f>
        <v>307.08</v>
      </c>
      <c r="Y89" s="6">
        <f ca="1">('TUSD BE'!$AM$6+'TUSD BF'!$AM$6+'TUSD CVA'!$AM$6)*1</f>
        <v>18.371854423657158</v>
      </c>
      <c r="Z89" s="6">
        <f ca="1">('TUSD BE'!$AM$7+'TUSD BF'!$AM$7+'TUSD CVA'!$AM$7)*1</f>
        <v>147.99431148733765</v>
      </c>
      <c r="AA89" s="6">
        <f>('TE BE'!$AB$6+'TE BF'!$AB$6+'TE CVA'!$AB$6)*1</f>
        <v>304.87027853653359</v>
      </c>
      <c r="AB89" s="6">
        <f>$K$89*$V$89</f>
        <v>2296.3200000000002</v>
      </c>
      <c r="AC89" s="6">
        <f>$M$89*$W$89</f>
        <v>1341.9737499999999</v>
      </c>
      <c r="AD89" s="6">
        <f>$O$89*$X$89</f>
        <v>5369.2937999999995</v>
      </c>
      <c r="AE89" s="6">
        <f ca="1">$K$89*$Y$89</f>
        <v>2535.3159104646879</v>
      </c>
      <c r="AF89" s="6">
        <f ca="1">$M$89*$Z$89</f>
        <v>2587.6805363560989</v>
      </c>
      <c r="AG89" s="6">
        <f>$O$89*$AA$89</f>
        <v>5330.6568202112894</v>
      </c>
    </row>
    <row r="90" spans="1:33" ht="11.25" customHeight="1" x14ac:dyDescent="0.25">
      <c r="A90" s="4" t="s">
        <v>21</v>
      </c>
      <c r="B90" s="4" t="s">
        <v>39</v>
      </c>
      <c r="C90" s="4" t="s">
        <v>42</v>
      </c>
      <c r="D90" s="4" t="s">
        <v>45</v>
      </c>
      <c r="E90" s="4" t="s">
        <v>25</v>
      </c>
      <c r="F90" s="4" t="s">
        <v>25</v>
      </c>
      <c r="G90" s="4" t="s">
        <v>25</v>
      </c>
      <c r="H90" s="4" t="s">
        <v>35</v>
      </c>
      <c r="I90" s="5">
        <v>44501</v>
      </c>
      <c r="J90" s="6">
        <v>208</v>
      </c>
      <c r="K90" s="6">
        <v>208</v>
      </c>
      <c r="L90" s="6">
        <v>56.749000000000002</v>
      </c>
      <c r="M90" s="6">
        <v>56.749000000000002</v>
      </c>
      <c r="N90" s="6">
        <v>56.749000000000002</v>
      </c>
      <c r="O90" s="6">
        <v>56.749000000000002</v>
      </c>
      <c r="P90" s="6">
        <v>0</v>
      </c>
      <c r="Q90" s="4" t="s">
        <v>26</v>
      </c>
      <c r="R90" s="4">
        <v>0</v>
      </c>
      <c r="S90" s="6">
        <v>2</v>
      </c>
      <c r="T90" s="6">
        <v>3</v>
      </c>
      <c r="U90" s="6">
        <v>49</v>
      </c>
      <c r="V90" s="6">
        <f>IF(ISERROR(VLOOKUP($S$90,'TAR FIN'!$A$1:$O$85,15,0)),0,VLOOKUP($S$90,'TAR FIN'!$A$1:$O$85,15,0))</f>
        <v>16.64</v>
      </c>
      <c r="W90" s="6">
        <f>IF(ISERROR(VLOOKUP($T$90,'TAR FIN'!$A$1:$O$85,15,0)),0,VLOOKUP($T$90,'TAR FIN'!$A$1:$O$85,15,0))</f>
        <v>76.75</v>
      </c>
      <c r="X90" s="6">
        <f>IF(ISERROR(VLOOKUP($U$90,'TAR FIN'!$A$1:$O$85,15,0)),0,VLOOKUP($U$90,'TAR FIN'!$A$1:$O$85,15,0))</f>
        <v>307.08</v>
      </c>
      <c r="Y90" s="6">
        <f ca="1">('TUSD BE'!$AM$6+'TUSD BF'!$AM$6+'TUSD CVA'!$AM$6)*1</f>
        <v>18.371854423657158</v>
      </c>
      <c r="Z90" s="6">
        <f ca="1">('TUSD BE'!$AM$7+'TUSD BF'!$AM$7+'TUSD CVA'!$AM$7)*1</f>
        <v>147.99431148733765</v>
      </c>
      <c r="AA90" s="6">
        <f>('TE BE'!$AB$6+'TE BF'!$AB$6+'TE CVA'!$AB$6)*1</f>
        <v>304.87027853653359</v>
      </c>
      <c r="AB90" s="6">
        <f>$K$90*$V$90</f>
        <v>3461.12</v>
      </c>
      <c r="AC90" s="6">
        <f>$M$90*$W$90</f>
        <v>4355.4857499999998</v>
      </c>
      <c r="AD90" s="6">
        <f>$O$90*$X$90</f>
        <v>17426.482919999999</v>
      </c>
      <c r="AE90" s="6">
        <f ca="1">$K$90*$Y$90</f>
        <v>3821.3457201206888</v>
      </c>
      <c r="AF90" s="6">
        <f ca="1">$M$90*$Z$90</f>
        <v>8398.5291825949244</v>
      </c>
      <c r="AG90" s="6">
        <f>$O$90*$AA$90</f>
        <v>17301.083436669745</v>
      </c>
    </row>
    <row r="91" spans="1:33" ht="11.25" customHeight="1" x14ac:dyDescent="0.25">
      <c r="A91" s="4" t="s">
        <v>28</v>
      </c>
      <c r="B91" s="4" t="s">
        <v>39</v>
      </c>
      <c r="C91" s="4" t="s">
        <v>42</v>
      </c>
      <c r="D91" s="4" t="s">
        <v>45</v>
      </c>
      <c r="E91" s="4" t="s">
        <v>25</v>
      </c>
      <c r="F91" s="4" t="s">
        <v>25</v>
      </c>
      <c r="G91" s="4" t="s">
        <v>25</v>
      </c>
      <c r="H91" s="4" t="s">
        <v>35</v>
      </c>
      <c r="I91" s="5">
        <v>44501</v>
      </c>
      <c r="J91" s="6">
        <v>157</v>
      </c>
      <c r="K91" s="6">
        <v>157</v>
      </c>
      <c r="L91" s="6">
        <v>16.108000000000001</v>
      </c>
      <c r="M91" s="6">
        <v>16.108000000000001</v>
      </c>
      <c r="N91" s="6">
        <v>16.108000000000001</v>
      </c>
      <c r="O91" s="6">
        <v>16.108000000000001</v>
      </c>
      <c r="P91" s="6">
        <v>0</v>
      </c>
      <c r="Q91" s="4" t="s">
        <v>26</v>
      </c>
      <c r="R91" s="4">
        <v>0</v>
      </c>
      <c r="S91" s="6">
        <v>2</v>
      </c>
      <c r="T91" s="6">
        <v>3</v>
      </c>
      <c r="U91" s="6">
        <v>49</v>
      </c>
      <c r="V91" s="6">
        <f>IF(ISERROR(VLOOKUP($S$91,'TAR FIN'!$A$1:$O$85,15,0)),0,VLOOKUP($S$91,'TAR FIN'!$A$1:$O$85,15,0))</f>
        <v>16.64</v>
      </c>
      <c r="W91" s="6">
        <f>IF(ISERROR(VLOOKUP($T$91,'TAR FIN'!$A$1:$O$85,15,0)),0,VLOOKUP($T$91,'TAR FIN'!$A$1:$O$85,15,0))</f>
        <v>76.75</v>
      </c>
      <c r="X91" s="6">
        <f>IF(ISERROR(VLOOKUP($U$91,'TAR FIN'!$A$1:$O$85,15,0)),0,VLOOKUP($U$91,'TAR FIN'!$A$1:$O$85,15,0))</f>
        <v>307.08</v>
      </c>
      <c r="Y91" s="6">
        <f ca="1">('TUSD BE'!$AM$6+'TUSD BF'!$AM$6+'TUSD CVA'!$AM$6)*1</f>
        <v>18.371854423657158</v>
      </c>
      <c r="Z91" s="6">
        <f ca="1">('TUSD BE'!$AM$7+'TUSD BF'!$AM$7+'TUSD CVA'!$AM$7)*1</f>
        <v>147.99431148733765</v>
      </c>
      <c r="AA91" s="6">
        <f>('TE BE'!$AB$6+'TE BF'!$AB$6+'TE CVA'!$AB$6)*1</f>
        <v>304.87027853653359</v>
      </c>
      <c r="AB91" s="6">
        <f>$K$91*$V$91</f>
        <v>2612.48</v>
      </c>
      <c r="AC91" s="6">
        <f>$M$91*$W$91</f>
        <v>1236.289</v>
      </c>
      <c r="AD91" s="6">
        <f>$O$91*$X$91</f>
        <v>4946.4446399999997</v>
      </c>
      <c r="AE91" s="6">
        <f ca="1">$K$91*$Y$91</f>
        <v>2884.3811445141737</v>
      </c>
      <c r="AF91" s="6">
        <f ca="1">$M$91*$Z$91</f>
        <v>2383.8923694380351</v>
      </c>
      <c r="AG91" s="6">
        <f>$O$91*$AA$91</f>
        <v>4910.8504466664835</v>
      </c>
    </row>
    <row r="92" spans="1:33" ht="11.25" customHeight="1" x14ac:dyDescent="0.25">
      <c r="A92" s="4" t="s">
        <v>21</v>
      </c>
      <c r="B92" s="4" t="s">
        <v>39</v>
      </c>
      <c r="C92" s="4" t="s">
        <v>42</v>
      </c>
      <c r="D92" s="4" t="s">
        <v>45</v>
      </c>
      <c r="E92" s="4" t="s">
        <v>25</v>
      </c>
      <c r="F92" s="4" t="s">
        <v>25</v>
      </c>
      <c r="G92" s="4" t="s">
        <v>25</v>
      </c>
      <c r="H92" s="4" t="s">
        <v>35</v>
      </c>
      <c r="I92" s="5">
        <v>44531</v>
      </c>
      <c r="J92" s="6">
        <v>211</v>
      </c>
      <c r="K92" s="6">
        <v>211</v>
      </c>
      <c r="L92" s="6">
        <v>61.174999999999997</v>
      </c>
      <c r="M92" s="6">
        <v>61.174999999999997</v>
      </c>
      <c r="N92" s="6">
        <v>61.174999999999997</v>
      </c>
      <c r="O92" s="6">
        <v>61.174999999999997</v>
      </c>
      <c r="P92" s="6">
        <v>0</v>
      </c>
      <c r="Q92" s="4" t="s">
        <v>26</v>
      </c>
      <c r="R92" s="4">
        <v>0</v>
      </c>
      <c r="S92" s="6">
        <v>2</v>
      </c>
      <c r="T92" s="6">
        <v>3</v>
      </c>
      <c r="U92" s="6">
        <v>49</v>
      </c>
      <c r="V92" s="6">
        <f>IF(ISERROR(VLOOKUP($S$92,'TAR FIN'!$A$1:$O$85,15,0)),0,VLOOKUP($S$92,'TAR FIN'!$A$1:$O$85,15,0))</f>
        <v>16.64</v>
      </c>
      <c r="W92" s="6">
        <f>IF(ISERROR(VLOOKUP($T$92,'TAR FIN'!$A$1:$O$85,15,0)),0,VLOOKUP($T$92,'TAR FIN'!$A$1:$O$85,15,0))</f>
        <v>76.75</v>
      </c>
      <c r="X92" s="6">
        <f>IF(ISERROR(VLOOKUP($U$92,'TAR FIN'!$A$1:$O$85,15,0)),0,VLOOKUP($U$92,'TAR FIN'!$A$1:$O$85,15,0))</f>
        <v>307.08</v>
      </c>
      <c r="Y92" s="6">
        <f ca="1">('TUSD BE'!$AM$6+'TUSD BF'!$AM$6+'TUSD CVA'!$AM$6)*1</f>
        <v>18.371854423657158</v>
      </c>
      <c r="Z92" s="6">
        <f ca="1">('TUSD BE'!$AM$7+'TUSD BF'!$AM$7+'TUSD CVA'!$AM$7)*1</f>
        <v>147.99431148733765</v>
      </c>
      <c r="AA92" s="6">
        <f>('TE BE'!$AB$6+'TE BF'!$AB$6+'TE CVA'!$AB$6)*1</f>
        <v>304.87027853653359</v>
      </c>
      <c r="AB92" s="6">
        <f>$K$92*$V$92</f>
        <v>3511.04</v>
      </c>
      <c r="AC92" s="6">
        <f>$M$92*$W$92</f>
        <v>4695.1812499999996</v>
      </c>
      <c r="AD92" s="6">
        <f>$O$92*$X$92</f>
        <v>18785.618999999999</v>
      </c>
      <c r="AE92" s="6">
        <f ca="1">$K$92*$Y$92</f>
        <v>3876.4612833916603</v>
      </c>
      <c r="AF92" s="6">
        <f ca="1">$M$92*$Z$92</f>
        <v>9053.5520052378797</v>
      </c>
      <c r="AG92" s="6">
        <f>$O$92*$AA$92</f>
        <v>18650.439289472441</v>
      </c>
    </row>
    <row r="93" spans="1:33" ht="11.25" customHeight="1" x14ac:dyDescent="0.25">
      <c r="A93" s="4" t="s">
        <v>28</v>
      </c>
      <c r="B93" s="4" t="s">
        <v>39</v>
      </c>
      <c r="C93" s="4" t="s">
        <v>42</v>
      </c>
      <c r="D93" s="4" t="s">
        <v>45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44531</v>
      </c>
      <c r="J93" s="6">
        <v>165</v>
      </c>
      <c r="K93" s="6">
        <v>165</v>
      </c>
      <c r="L93" s="6">
        <v>14.747</v>
      </c>
      <c r="M93" s="6">
        <v>14.747</v>
      </c>
      <c r="N93" s="6">
        <v>14.747</v>
      </c>
      <c r="O93" s="6">
        <v>14.747</v>
      </c>
      <c r="P93" s="6">
        <v>0</v>
      </c>
      <c r="Q93" s="4" t="s">
        <v>26</v>
      </c>
      <c r="R93" s="4">
        <v>0</v>
      </c>
      <c r="S93" s="6">
        <v>2</v>
      </c>
      <c r="T93" s="6">
        <v>3</v>
      </c>
      <c r="U93" s="6">
        <v>49</v>
      </c>
      <c r="V93" s="6">
        <f>IF(ISERROR(VLOOKUP($S$93,'TAR FIN'!$A$1:$O$85,15,0)),0,VLOOKUP($S$93,'TAR FIN'!$A$1:$O$85,15,0))</f>
        <v>16.64</v>
      </c>
      <c r="W93" s="6">
        <f>IF(ISERROR(VLOOKUP($T$93,'TAR FIN'!$A$1:$O$85,15,0)),0,VLOOKUP($T$93,'TAR FIN'!$A$1:$O$85,15,0))</f>
        <v>76.75</v>
      </c>
      <c r="X93" s="6">
        <f>IF(ISERROR(VLOOKUP($U$93,'TAR FIN'!$A$1:$O$85,15,0)),0,VLOOKUP($U$93,'TAR FIN'!$A$1:$O$85,15,0))</f>
        <v>307.08</v>
      </c>
      <c r="Y93" s="6">
        <f ca="1">('TUSD BE'!$AM$6+'TUSD BF'!$AM$6+'TUSD CVA'!$AM$6)*1</f>
        <v>18.371854423657158</v>
      </c>
      <c r="Z93" s="6">
        <f ca="1">('TUSD BE'!$AM$7+'TUSD BF'!$AM$7+'TUSD CVA'!$AM$7)*1</f>
        <v>147.99431148733765</v>
      </c>
      <c r="AA93" s="6">
        <f>('TE BE'!$AB$6+'TE BF'!$AB$6+'TE CVA'!$AB$6)*1</f>
        <v>304.87027853653359</v>
      </c>
      <c r="AB93" s="6">
        <f>$K$93*$V$93</f>
        <v>2745.6</v>
      </c>
      <c r="AC93" s="6">
        <f>$M$93*$W$93</f>
        <v>1131.8322499999999</v>
      </c>
      <c r="AD93" s="6">
        <f>$O$93*$X$93</f>
        <v>4528.5087599999997</v>
      </c>
      <c r="AE93" s="6">
        <f ca="1">$K$93*$Y$93</f>
        <v>3031.355979903431</v>
      </c>
      <c r="AF93" s="6">
        <f ca="1">$M$93*$Z$93</f>
        <v>2182.4721115037682</v>
      </c>
      <c r="AG93" s="6">
        <f>$O$93*$AA$93</f>
        <v>4495.9219975782607</v>
      </c>
    </row>
    <row r="94" spans="1:33" ht="11.25" customHeight="1" x14ac:dyDescent="0.25">
      <c r="A94" s="4" t="s">
        <v>21</v>
      </c>
      <c r="B94" s="4" t="s">
        <v>39</v>
      </c>
      <c r="C94" s="4" t="s">
        <v>42</v>
      </c>
      <c r="D94" s="4" t="s">
        <v>45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44562</v>
      </c>
      <c r="J94" s="6">
        <v>212</v>
      </c>
      <c r="K94" s="6">
        <v>212</v>
      </c>
      <c r="L94" s="6">
        <v>59.747999999999998</v>
      </c>
      <c r="M94" s="6">
        <v>59.747999999999998</v>
      </c>
      <c r="N94" s="6">
        <v>59.747999999999998</v>
      </c>
      <c r="O94" s="6">
        <v>59.747999999999998</v>
      </c>
      <c r="P94" s="6">
        <v>0</v>
      </c>
      <c r="Q94" s="4" t="s">
        <v>26</v>
      </c>
      <c r="R94" s="4">
        <v>0</v>
      </c>
      <c r="S94" s="6">
        <v>2</v>
      </c>
      <c r="T94" s="6">
        <v>3</v>
      </c>
      <c r="U94" s="6">
        <v>49</v>
      </c>
      <c r="V94" s="6">
        <f>IF(ISERROR(VLOOKUP($S$94,'TAR FIN'!$A$1:$O$85,15,0)),0,VLOOKUP($S$94,'TAR FIN'!$A$1:$O$85,15,0))</f>
        <v>16.64</v>
      </c>
      <c r="W94" s="6">
        <f>IF(ISERROR(VLOOKUP($T$94,'TAR FIN'!$A$1:$O$85,15,0)),0,VLOOKUP($T$94,'TAR FIN'!$A$1:$O$85,15,0))</f>
        <v>76.75</v>
      </c>
      <c r="X94" s="6">
        <f>IF(ISERROR(VLOOKUP($U$94,'TAR FIN'!$A$1:$O$85,15,0)),0,VLOOKUP($U$94,'TAR FIN'!$A$1:$O$85,15,0))</f>
        <v>307.08</v>
      </c>
      <c r="Y94" s="6">
        <f ca="1">('TUSD BE'!$AM$6+'TUSD BF'!$AM$6+'TUSD CVA'!$AM$6)*1</f>
        <v>18.371854423657158</v>
      </c>
      <c r="Z94" s="6">
        <f ca="1">('TUSD BE'!$AM$7+'TUSD BF'!$AM$7+'TUSD CVA'!$AM$7)*1</f>
        <v>147.99431148733765</v>
      </c>
      <c r="AA94" s="6">
        <f>('TE BE'!$AB$6+'TE BF'!$AB$6+'TE CVA'!$AB$6)*1</f>
        <v>304.87027853653359</v>
      </c>
      <c r="AB94" s="6">
        <f>$K$94*$V$94</f>
        <v>3527.6800000000003</v>
      </c>
      <c r="AC94" s="6">
        <f>$M$94*$W$94</f>
        <v>4585.6589999999997</v>
      </c>
      <c r="AD94" s="6">
        <f>$O$94*$X$94</f>
        <v>18347.415839999998</v>
      </c>
      <c r="AE94" s="6">
        <f ca="1">$K$94*$Y$94</f>
        <v>3894.8331378153175</v>
      </c>
      <c r="AF94" s="6">
        <f ca="1">$M$94*$Z$94</f>
        <v>8842.36412274545</v>
      </c>
      <c r="AG94" s="6">
        <f>$O$94*$AA$94</f>
        <v>18215.389402000808</v>
      </c>
    </row>
    <row r="95" spans="1:33" ht="11.25" customHeight="1" x14ac:dyDescent="0.25">
      <c r="A95" s="4" t="s">
        <v>28</v>
      </c>
      <c r="B95" s="4" t="s">
        <v>39</v>
      </c>
      <c r="C95" s="4" t="s">
        <v>42</v>
      </c>
      <c r="D95" s="4" t="s">
        <v>45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44562</v>
      </c>
      <c r="J95" s="6">
        <v>56</v>
      </c>
      <c r="K95" s="6">
        <v>56</v>
      </c>
      <c r="L95" s="6">
        <v>2.44</v>
      </c>
      <c r="M95" s="6">
        <v>2.44</v>
      </c>
      <c r="N95" s="6">
        <v>2.44</v>
      </c>
      <c r="O95" s="6">
        <v>2.44</v>
      </c>
      <c r="P95" s="6">
        <v>0</v>
      </c>
      <c r="Q95" s="4" t="s">
        <v>26</v>
      </c>
      <c r="R95" s="4">
        <v>0</v>
      </c>
      <c r="S95" s="6">
        <v>2</v>
      </c>
      <c r="T95" s="6">
        <v>3</v>
      </c>
      <c r="U95" s="6">
        <v>49</v>
      </c>
      <c r="V95" s="6">
        <f>IF(ISERROR(VLOOKUP($S$95,'TAR FIN'!$A$1:$O$85,15,0)),0,VLOOKUP($S$95,'TAR FIN'!$A$1:$O$85,15,0))</f>
        <v>16.64</v>
      </c>
      <c r="W95" s="6">
        <f>IF(ISERROR(VLOOKUP($T$95,'TAR FIN'!$A$1:$O$85,15,0)),0,VLOOKUP($T$95,'TAR FIN'!$A$1:$O$85,15,0))</f>
        <v>76.75</v>
      </c>
      <c r="X95" s="6">
        <f>IF(ISERROR(VLOOKUP($U$95,'TAR FIN'!$A$1:$O$85,15,0)),0,VLOOKUP($U$95,'TAR FIN'!$A$1:$O$85,15,0))</f>
        <v>307.08</v>
      </c>
      <c r="Y95" s="6">
        <f ca="1">('TUSD BE'!$AM$6+'TUSD BF'!$AM$6+'TUSD CVA'!$AM$6)*1</f>
        <v>18.371854423657158</v>
      </c>
      <c r="Z95" s="6">
        <f ca="1">('TUSD BE'!$AM$7+'TUSD BF'!$AM$7+'TUSD CVA'!$AM$7)*1</f>
        <v>147.99431148733765</v>
      </c>
      <c r="AA95" s="6">
        <f>('TE BE'!$AB$6+'TE BF'!$AB$6+'TE CVA'!$AB$6)*1</f>
        <v>304.87027853653359</v>
      </c>
      <c r="AB95" s="6">
        <f>$K$95*$V$95</f>
        <v>931.84</v>
      </c>
      <c r="AC95" s="6">
        <f>$M$95*$W$95</f>
        <v>187.26999999999998</v>
      </c>
      <c r="AD95" s="6">
        <f>$O$95*$X$95</f>
        <v>749.27519999999993</v>
      </c>
      <c r="AE95" s="6">
        <f ca="1">$K$95*$Y$95</f>
        <v>1028.8238477248008</v>
      </c>
      <c r="AF95" s="6">
        <f ca="1">$M$95*$Z$95</f>
        <v>361.10612002910386</v>
      </c>
      <c r="AG95" s="6">
        <f>$O$95*$AA$95</f>
        <v>743.8834796291419</v>
      </c>
    </row>
    <row r="96" spans="1:33" ht="11.25" customHeight="1" x14ac:dyDescent="0.25">
      <c r="A96" s="4" t="s">
        <v>21</v>
      </c>
      <c r="B96" s="4" t="s">
        <v>39</v>
      </c>
      <c r="C96" s="4" t="s">
        <v>42</v>
      </c>
      <c r="D96" s="4" t="s">
        <v>45</v>
      </c>
      <c r="E96" s="4" t="s">
        <v>25</v>
      </c>
      <c r="F96" s="4" t="s">
        <v>25</v>
      </c>
      <c r="G96" s="4" t="s">
        <v>25</v>
      </c>
      <c r="H96" s="4" t="s">
        <v>35</v>
      </c>
      <c r="I96" s="5">
        <v>44593</v>
      </c>
      <c r="J96" s="6">
        <v>224</v>
      </c>
      <c r="K96" s="6">
        <v>224</v>
      </c>
      <c r="L96" s="6">
        <v>62.795000000000002</v>
      </c>
      <c r="M96" s="6">
        <v>62.795000000000002</v>
      </c>
      <c r="N96" s="6">
        <v>62.795000000000002</v>
      </c>
      <c r="O96" s="6">
        <v>62.795000000000002</v>
      </c>
      <c r="P96" s="6">
        <v>0</v>
      </c>
      <c r="Q96" s="4" t="s">
        <v>26</v>
      </c>
      <c r="R96" s="4">
        <v>0</v>
      </c>
      <c r="S96" s="6">
        <v>2</v>
      </c>
      <c r="T96" s="6">
        <v>3</v>
      </c>
      <c r="U96" s="6">
        <v>49</v>
      </c>
      <c r="V96" s="6">
        <f>IF(ISERROR(VLOOKUP($S$96,'TAR FIN'!$A$1:$O$85,15,0)),0,VLOOKUP($S$96,'TAR FIN'!$A$1:$O$85,15,0))</f>
        <v>16.64</v>
      </c>
      <c r="W96" s="6">
        <f>IF(ISERROR(VLOOKUP($T$96,'TAR FIN'!$A$1:$O$85,15,0)),0,VLOOKUP($T$96,'TAR FIN'!$A$1:$O$85,15,0))</f>
        <v>76.75</v>
      </c>
      <c r="X96" s="6">
        <f>IF(ISERROR(VLOOKUP($U$96,'TAR FIN'!$A$1:$O$85,15,0)),0,VLOOKUP($U$96,'TAR FIN'!$A$1:$O$85,15,0))</f>
        <v>307.08</v>
      </c>
      <c r="Y96" s="6">
        <f ca="1">('TUSD BE'!$AM$6+'TUSD BF'!$AM$6+'TUSD CVA'!$AM$6)*1</f>
        <v>18.371854423657158</v>
      </c>
      <c r="Z96" s="6">
        <f ca="1">('TUSD BE'!$AM$7+'TUSD BF'!$AM$7+'TUSD CVA'!$AM$7)*1</f>
        <v>147.99431148733765</v>
      </c>
      <c r="AA96" s="6">
        <f>('TE BE'!$AB$6+'TE BF'!$AB$6+'TE CVA'!$AB$6)*1</f>
        <v>304.87027853653359</v>
      </c>
      <c r="AB96" s="6">
        <f>$K$96*$V$96</f>
        <v>3727.36</v>
      </c>
      <c r="AC96" s="6">
        <f>$M$96*$W$96</f>
        <v>4819.5162500000006</v>
      </c>
      <c r="AD96" s="6">
        <f>$O$96*$X$96</f>
        <v>19283.088599999999</v>
      </c>
      <c r="AE96" s="6">
        <f ca="1">$K$96*$Y$96</f>
        <v>4115.2953908992031</v>
      </c>
      <c r="AF96" s="6">
        <f ca="1">$M$96*$Z$96</f>
        <v>9293.3027898473683</v>
      </c>
      <c r="AG96" s="6">
        <f>$O$96*$AA$96</f>
        <v>19144.329140701626</v>
      </c>
    </row>
    <row r="97" spans="1:33" ht="11.25" customHeight="1" x14ac:dyDescent="0.25">
      <c r="A97" s="4" t="s">
        <v>28</v>
      </c>
      <c r="B97" s="4" t="s">
        <v>39</v>
      </c>
      <c r="C97" s="4" t="s">
        <v>42</v>
      </c>
      <c r="D97" s="4" t="s">
        <v>45</v>
      </c>
      <c r="E97" s="4" t="s">
        <v>25</v>
      </c>
      <c r="F97" s="4" t="s">
        <v>25</v>
      </c>
      <c r="G97" s="4" t="s">
        <v>25</v>
      </c>
      <c r="H97" s="4" t="s">
        <v>35</v>
      </c>
      <c r="I97" s="5">
        <v>44593</v>
      </c>
      <c r="J97" s="6">
        <v>144</v>
      </c>
      <c r="K97" s="6">
        <v>144</v>
      </c>
      <c r="L97" s="6">
        <v>19.504000000000001</v>
      </c>
      <c r="M97" s="6">
        <v>19.504000000000001</v>
      </c>
      <c r="N97" s="6">
        <v>19.504000000000001</v>
      </c>
      <c r="O97" s="6">
        <v>19.504000000000001</v>
      </c>
      <c r="P97" s="6">
        <v>0</v>
      </c>
      <c r="Q97" s="4" t="s">
        <v>26</v>
      </c>
      <c r="R97" s="4">
        <v>0</v>
      </c>
      <c r="S97" s="6">
        <v>2</v>
      </c>
      <c r="T97" s="6">
        <v>3</v>
      </c>
      <c r="U97" s="6">
        <v>49</v>
      </c>
      <c r="V97" s="6">
        <f>IF(ISERROR(VLOOKUP($S$97,'TAR FIN'!$A$1:$O$85,15,0)),0,VLOOKUP($S$97,'TAR FIN'!$A$1:$O$85,15,0))</f>
        <v>16.64</v>
      </c>
      <c r="W97" s="6">
        <f>IF(ISERROR(VLOOKUP($T$97,'TAR FIN'!$A$1:$O$85,15,0)),0,VLOOKUP($T$97,'TAR FIN'!$A$1:$O$85,15,0))</f>
        <v>76.75</v>
      </c>
      <c r="X97" s="6">
        <f>IF(ISERROR(VLOOKUP($U$97,'TAR FIN'!$A$1:$O$85,15,0)),0,VLOOKUP($U$97,'TAR FIN'!$A$1:$O$85,15,0))</f>
        <v>307.08</v>
      </c>
      <c r="Y97" s="6">
        <f ca="1">('TUSD BE'!$AM$6+'TUSD BF'!$AM$6+'TUSD CVA'!$AM$6)*1</f>
        <v>18.371854423657158</v>
      </c>
      <c r="Z97" s="6">
        <f ca="1">('TUSD BE'!$AM$7+'TUSD BF'!$AM$7+'TUSD CVA'!$AM$7)*1</f>
        <v>147.99431148733765</v>
      </c>
      <c r="AA97" s="6">
        <f>('TE BE'!$AB$6+'TE BF'!$AB$6+'TE CVA'!$AB$6)*1</f>
        <v>304.87027853653359</v>
      </c>
      <c r="AB97" s="6">
        <f>$K$97*$V$97</f>
        <v>2396.16</v>
      </c>
      <c r="AC97" s="6">
        <f>$M$97*$W$97</f>
        <v>1496.932</v>
      </c>
      <c r="AD97" s="6">
        <f>$O$97*$X$97</f>
        <v>5989.2883199999997</v>
      </c>
      <c r="AE97" s="6">
        <f ca="1">$K$97*$Y$97</f>
        <v>2645.5470370066309</v>
      </c>
      <c r="AF97" s="6">
        <f ca="1">$M$97*$Z$97</f>
        <v>2886.481051249034</v>
      </c>
      <c r="AG97" s="6">
        <f>$O$97*$AA$97</f>
        <v>5946.1899125765513</v>
      </c>
    </row>
    <row r="98" spans="1:33" ht="11.25" customHeight="1" x14ac:dyDescent="0.25">
      <c r="A98" s="4" t="s">
        <v>21</v>
      </c>
      <c r="B98" s="4" t="s">
        <v>39</v>
      </c>
      <c r="C98" s="4" t="s">
        <v>42</v>
      </c>
      <c r="D98" s="4" t="s">
        <v>45</v>
      </c>
      <c r="E98" s="4" t="s">
        <v>25</v>
      </c>
      <c r="F98" s="4" t="s">
        <v>25</v>
      </c>
      <c r="G98" s="4" t="s">
        <v>25</v>
      </c>
      <c r="H98" s="4" t="s">
        <v>35</v>
      </c>
      <c r="I98" s="5">
        <v>44621</v>
      </c>
      <c r="J98" s="6">
        <v>222</v>
      </c>
      <c r="K98" s="6">
        <v>222</v>
      </c>
      <c r="L98" s="6">
        <v>74.301000000000002</v>
      </c>
      <c r="M98" s="6">
        <v>74.301000000000002</v>
      </c>
      <c r="N98" s="6">
        <v>74.301000000000002</v>
      </c>
      <c r="O98" s="6">
        <v>74.301000000000002</v>
      </c>
      <c r="P98" s="6">
        <v>0</v>
      </c>
      <c r="Q98" s="4" t="s">
        <v>26</v>
      </c>
      <c r="R98" s="4">
        <v>0</v>
      </c>
      <c r="S98" s="6">
        <v>2</v>
      </c>
      <c r="T98" s="6">
        <v>3</v>
      </c>
      <c r="U98" s="6">
        <v>49</v>
      </c>
      <c r="V98" s="6">
        <f>IF(ISERROR(VLOOKUP($S$98,'TAR FIN'!$A$1:$O$85,15,0)),0,VLOOKUP($S$98,'TAR FIN'!$A$1:$O$85,15,0))</f>
        <v>16.64</v>
      </c>
      <c r="W98" s="6">
        <f>IF(ISERROR(VLOOKUP($T$98,'TAR FIN'!$A$1:$O$85,15,0)),0,VLOOKUP($T$98,'TAR FIN'!$A$1:$O$85,15,0))</f>
        <v>76.75</v>
      </c>
      <c r="X98" s="6">
        <f>IF(ISERROR(VLOOKUP($U$98,'TAR FIN'!$A$1:$O$85,15,0)),0,VLOOKUP($U$98,'TAR FIN'!$A$1:$O$85,15,0))</f>
        <v>307.08</v>
      </c>
      <c r="Y98" s="6">
        <f ca="1">('TUSD BE'!$AM$6+'TUSD BF'!$AM$6+'TUSD CVA'!$AM$6)*1</f>
        <v>18.371854423657158</v>
      </c>
      <c r="Z98" s="6">
        <f ca="1">('TUSD BE'!$AM$7+'TUSD BF'!$AM$7+'TUSD CVA'!$AM$7)*1</f>
        <v>147.99431148733765</v>
      </c>
      <c r="AA98" s="6">
        <f>('TE BE'!$AB$6+'TE BF'!$AB$6+'TE CVA'!$AB$6)*1</f>
        <v>304.87027853653359</v>
      </c>
      <c r="AB98" s="6">
        <f>$K$98*$V$98</f>
        <v>3694.08</v>
      </c>
      <c r="AC98" s="6">
        <f>$M$98*$W$98</f>
        <v>5702.6017499999998</v>
      </c>
      <c r="AD98" s="6">
        <f>$O$98*$X$98</f>
        <v>22816.35108</v>
      </c>
      <c r="AE98" s="6">
        <f ca="1">$K$98*$Y$98</f>
        <v>4078.5516820518892</v>
      </c>
      <c r="AF98" s="6">
        <f ca="1">$M$98*$Z$98</f>
        <v>10996.125337820675</v>
      </c>
      <c r="AG98" s="6">
        <f>$O$98*$AA$98</f>
        <v>22652.166565542982</v>
      </c>
    </row>
    <row r="99" spans="1:33" ht="11.25" customHeight="1" x14ac:dyDescent="0.25">
      <c r="A99" s="4" t="s">
        <v>28</v>
      </c>
      <c r="B99" s="4" t="s">
        <v>39</v>
      </c>
      <c r="C99" s="4" t="s">
        <v>42</v>
      </c>
      <c r="D99" s="4" t="s">
        <v>45</v>
      </c>
      <c r="E99" s="4" t="s">
        <v>25</v>
      </c>
      <c r="F99" s="4" t="s">
        <v>25</v>
      </c>
      <c r="G99" s="4" t="s">
        <v>25</v>
      </c>
      <c r="H99" s="4" t="s">
        <v>35</v>
      </c>
      <c r="I99" s="5">
        <v>44621</v>
      </c>
      <c r="J99" s="6">
        <v>181</v>
      </c>
      <c r="K99" s="6">
        <v>181</v>
      </c>
      <c r="L99" s="6">
        <v>27.297000000000001</v>
      </c>
      <c r="M99" s="6">
        <v>27.297000000000001</v>
      </c>
      <c r="N99" s="6">
        <v>27.297000000000001</v>
      </c>
      <c r="O99" s="6">
        <v>27.297000000000001</v>
      </c>
      <c r="P99" s="6">
        <v>0</v>
      </c>
      <c r="Q99" s="4" t="s">
        <v>26</v>
      </c>
      <c r="R99" s="4">
        <v>0</v>
      </c>
      <c r="S99" s="6">
        <v>2</v>
      </c>
      <c r="T99" s="6">
        <v>3</v>
      </c>
      <c r="U99" s="6">
        <v>49</v>
      </c>
      <c r="V99" s="6">
        <f>IF(ISERROR(VLOOKUP($S$99,'TAR FIN'!$A$1:$O$85,15,0)),0,VLOOKUP($S$99,'TAR FIN'!$A$1:$O$85,15,0))</f>
        <v>16.64</v>
      </c>
      <c r="W99" s="6">
        <f>IF(ISERROR(VLOOKUP($T$99,'TAR FIN'!$A$1:$O$85,15,0)),0,VLOOKUP($T$99,'TAR FIN'!$A$1:$O$85,15,0))</f>
        <v>76.75</v>
      </c>
      <c r="X99" s="6">
        <f>IF(ISERROR(VLOOKUP($U$99,'TAR FIN'!$A$1:$O$85,15,0)),0,VLOOKUP($U$99,'TAR FIN'!$A$1:$O$85,15,0))</f>
        <v>307.08</v>
      </c>
      <c r="Y99" s="6">
        <f ca="1">('TUSD BE'!$AM$6+'TUSD BF'!$AM$6+'TUSD CVA'!$AM$6)*1</f>
        <v>18.371854423657158</v>
      </c>
      <c r="Z99" s="6">
        <f ca="1">('TUSD BE'!$AM$7+'TUSD BF'!$AM$7+'TUSD CVA'!$AM$7)*1</f>
        <v>147.99431148733765</v>
      </c>
      <c r="AA99" s="6">
        <f>('TE BE'!$AB$6+'TE BF'!$AB$6+'TE CVA'!$AB$6)*1</f>
        <v>304.87027853653359</v>
      </c>
      <c r="AB99" s="6">
        <f>$K$99*$V$99</f>
        <v>3011.84</v>
      </c>
      <c r="AC99" s="6">
        <f>$M$99*$W$99</f>
        <v>2095.04475</v>
      </c>
      <c r="AD99" s="6">
        <f>$O$99*$X$99</f>
        <v>8382.36276</v>
      </c>
      <c r="AE99" s="6">
        <f ca="1">$K$99*$Y$99</f>
        <v>3325.3056506819457</v>
      </c>
      <c r="AF99" s="6">
        <f ca="1">$M$99*$Z$99</f>
        <v>4039.8007206698562</v>
      </c>
      <c r="AG99" s="6">
        <f>$O$99*$AA$99</f>
        <v>8322.043993211757</v>
      </c>
    </row>
    <row r="100" spans="1:33" ht="11.25" customHeight="1" x14ac:dyDescent="0.25">
      <c r="A100" s="4" t="s">
        <v>21</v>
      </c>
      <c r="B100" s="4" t="s">
        <v>39</v>
      </c>
      <c r="C100" s="4" t="s">
        <v>42</v>
      </c>
      <c r="D100" s="4" t="s">
        <v>45</v>
      </c>
      <c r="E100" s="4" t="s">
        <v>25</v>
      </c>
      <c r="F100" s="4" t="s">
        <v>25</v>
      </c>
      <c r="G100" s="4" t="s">
        <v>25</v>
      </c>
      <c r="H100" s="4" t="s">
        <v>35</v>
      </c>
      <c r="I100" s="5">
        <v>44652</v>
      </c>
      <c r="J100" s="6">
        <v>227</v>
      </c>
      <c r="K100" s="6">
        <v>227</v>
      </c>
      <c r="L100" s="6">
        <v>68.061000000000007</v>
      </c>
      <c r="M100" s="6">
        <v>68.061000000000007</v>
      </c>
      <c r="N100" s="6">
        <v>68.061000000000007</v>
      </c>
      <c r="O100" s="6">
        <v>68.061000000000007</v>
      </c>
      <c r="P100" s="6">
        <v>0</v>
      </c>
      <c r="Q100" s="4" t="s">
        <v>26</v>
      </c>
      <c r="R100" s="4">
        <v>0</v>
      </c>
      <c r="S100" s="6">
        <v>2</v>
      </c>
      <c r="T100" s="6">
        <v>3</v>
      </c>
      <c r="U100" s="6">
        <v>49</v>
      </c>
      <c r="V100" s="6">
        <f>IF(ISERROR(VLOOKUP($S$100,'TAR FIN'!$A$1:$O$85,15,0)),0,VLOOKUP($S$100,'TAR FIN'!$A$1:$O$85,15,0))</f>
        <v>16.64</v>
      </c>
      <c r="W100" s="6">
        <f>IF(ISERROR(VLOOKUP($T$100,'TAR FIN'!$A$1:$O$85,15,0)),0,VLOOKUP($T$100,'TAR FIN'!$A$1:$O$85,15,0))</f>
        <v>76.75</v>
      </c>
      <c r="X100" s="6">
        <f>IF(ISERROR(VLOOKUP($U$100,'TAR FIN'!$A$1:$O$85,15,0)),0,VLOOKUP($U$100,'TAR FIN'!$A$1:$O$85,15,0))</f>
        <v>307.08</v>
      </c>
      <c r="Y100" s="6">
        <f ca="1">('TUSD BE'!$AM$6+'TUSD BF'!$AM$6+'TUSD CVA'!$AM$6)*1</f>
        <v>18.371854423657158</v>
      </c>
      <c r="Z100" s="6">
        <f ca="1">('TUSD BE'!$AM$7+'TUSD BF'!$AM$7+'TUSD CVA'!$AM$7)*1</f>
        <v>147.99431148733765</v>
      </c>
      <c r="AA100" s="6">
        <f>('TE BE'!$AB$6+'TE BF'!$AB$6+'TE CVA'!$AB$6)*1</f>
        <v>304.87027853653359</v>
      </c>
      <c r="AB100" s="6">
        <f>$K$100*$V$100</f>
        <v>3777.28</v>
      </c>
      <c r="AC100" s="6">
        <f>$M$100*$W$100</f>
        <v>5223.6817500000006</v>
      </c>
      <c r="AD100" s="6">
        <f>$O$100*$X$100</f>
        <v>20900.171880000002</v>
      </c>
      <c r="AE100" s="6">
        <f ca="1">$K$100*$Y$100</f>
        <v>4170.4109541701746</v>
      </c>
      <c r="AF100" s="6">
        <f ca="1">$M$100*$Z$100</f>
        <v>10072.640834139689</v>
      </c>
      <c r="AG100" s="6">
        <f>$O$100*$AA$100</f>
        <v>20749.776027475014</v>
      </c>
    </row>
    <row r="101" spans="1:33" ht="11.25" customHeight="1" x14ac:dyDescent="0.25">
      <c r="A101" s="4" t="s">
        <v>28</v>
      </c>
      <c r="B101" s="4" t="s">
        <v>39</v>
      </c>
      <c r="C101" s="4" t="s">
        <v>42</v>
      </c>
      <c r="D101" s="4" t="s">
        <v>45</v>
      </c>
      <c r="E101" s="4" t="s">
        <v>25</v>
      </c>
      <c r="F101" s="4" t="s">
        <v>25</v>
      </c>
      <c r="G101" s="4" t="s">
        <v>25</v>
      </c>
      <c r="H101" s="4" t="s">
        <v>35</v>
      </c>
      <c r="I101" s="5">
        <v>44652</v>
      </c>
      <c r="J101" s="6">
        <v>189</v>
      </c>
      <c r="K101" s="6">
        <v>189</v>
      </c>
      <c r="L101" s="6">
        <v>25.547000000000001</v>
      </c>
      <c r="M101" s="6">
        <v>25.547000000000001</v>
      </c>
      <c r="N101" s="6">
        <v>25.547000000000001</v>
      </c>
      <c r="O101" s="6">
        <v>25.547000000000001</v>
      </c>
      <c r="P101" s="6">
        <v>0</v>
      </c>
      <c r="Q101" s="4" t="s">
        <v>26</v>
      </c>
      <c r="R101" s="4">
        <v>0</v>
      </c>
      <c r="S101" s="6">
        <v>2</v>
      </c>
      <c r="T101" s="6">
        <v>3</v>
      </c>
      <c r="U101" s="6">
        <v>49</v>
      </c>
      <c r="V101" s="6">
        <f>IF(ISERROR(VLOOKUP($S$101,'TAR FIN'!$A$1:$O$85,15,0)),0,VLOOKUP($S$101,'TAR FIN'!$A$1:$O$85,15,0))</f>
        <v>16.64</v>
      </c>
      <c r="W101" s="6">
        <f>IF(ISERROR(VLOOKUP($T$101,'TAR FIN'!$A$1:$O$85,15,0)),0,VLOOKUP($T$101,'TAR FIN'!$A$1:$O$85,15,0))</f>
        <v>76.75</v>
      </c>
      <c r="X101" s="6">
        <f>IF(ISERROR(VLOOKUP($U$101,'TAR FIN'!$A$1:$O$85,15,0)),0,VLOOKUP($U$101,'TAR FIN'!$A$1:$O$85,15,0))</f>
        <v>307.08</v>
      </c>
      <c r="Y101" s="6">
        <f ca="1">('TUSD BE'!$AM$6+'TUSD BF'!$AM$6+'TUSD CVA'!$AM$6)*1</f>
        <v>18.371854423657158</v>
      </c>
      <c r="Z101" s="6">
        <f ca="1">('TUSD BE'!$AM$7+'TUSD BF'!$AM$7+'TUSD CVA'!$AM$7)*1</f>
        <v>147.99431148733765</v>
      </c>
      <c r="AA101" s="6">
        <f>('TE BE'!$AB$6+'TE BF'!$AB$6+'TE CVA'!$AB$6)*1</f>
        <v>304.87027853653359</v>
      </c>
      <c r="AB101" s="6">
        <f>$K$101*$V$101</f>
        <v>3144.96</v>
      </c>
      <c r="AC101" s="6">
        <f>$M$101*$W$101</f>
        <v>1960.73225</v>
      </c>
      <c r="AD101" s="6">
        <f>$O$101*$X$101</f>
        <v>7844.9727599999997</v>
      </c>
      <c r="AE101" s="6">
        <f ca="1">$K$101*$Y$101</f>
        <v>3472.2804860712031</v>
      </c>
      <c r="AF101" s="6">
        <f ca="1">$M$101*$Z$101</f>
        <v>3780.8106755670151</v>
      </c>
      <c r="AG101" s="6">
        <f>$O$101*$AA$101</f>
        <v>7788.5210057728236</v>
      </c>
    </row>
    <row r="102" spans="1:33" ht="11.25" customHeight="1" x14ac:dyDescent="0.25">
      <c r="A102" s="4" t="s">
        <v>21</v>
      </c>
      <c r="B102" s="4" t="s">
        <v>39</v>
      </c>
      <c r="C102" s="4" t="s">
        <v>42</v>
      </c>
      <c r="D102" s="4" t="s">
        <v>45</v>
      </c>
      <c r="E102" s="4" t="s">
        <v>25</v>
      </c>
      <c r="F102" s="4" t="s">
        <v>25</v>
      </c>
      <c r="G102" s="4" t="s">
        <v>25</v>
      </c>
      <c r="H102" s="4" t="s">
        <v>35</v>
      </c>
      <c r="I102" s="5">
        <v>44682</v>
      </c>
      <c r="J102" s="6">
        <v>213</v>
      </c>
      <c r="K102" s="6">
        <v>213</v>
      </c>
      <c r="L102" s="6">
        <v>50.048999999999999</v>
      </c>
      <c r="M102" s="6">
        <v>50.048999999999999</v>
      </c>
      <c r="N102" s="6">
        <v>50.048999999999999</v>
      </c>
      <c r="O102" s="6">
        <v>50.048999999999999</v>
      </c>
      <c r="P102" s="6">
        <v>0</v>
      </c>
      <c r="Q102" s="4" t="s">
        <v>26</v>
      </c>
      <c r="R102" s="4">
        <v>0</v>
      </c>
      <c r="S102" s="6">
        <v>2</v>
      </c>
      <c r="T102" s="6">
        <v>3</v>
      </c>
      <c r="U102" s="6">
        <v>49</v>
      </c>
      <c r="V102" s="6">
        <f>IF(ISERROR(VLOOKUP($S$102,'TAR FIN'!$A$1:$O$85,15,0)),0,VLOOKUP($S$102,'TAR FIN'!$A$1:$O$85,15,0))</f>
        <v>16.64</v>
      </c>
      <c r="W102" s="6">
        <f>IF(ISERROR(VLOOKUP($T$102,'TAR FIN'!$A$1:$O$85,15,0)),0,VLOOKUP($T$102,'TAR FIN'!$A$1:$O$85,15,0))</f>
        <v>76.75</v>
      </c>
      <c r="X102" s="6">
        <f>IF(ISERROR(VLOOKUP($U$102,'TAR FIN'!$A$1:$O$85,15,0)),0,VLOOKUP($U$102,'TAR FIN'!$A$1:$O$85,15,0))</f>
        <v>307.08</v>
      </c>
      <c r="Y102" s="6">
        <f ca="1">('TUSD BE'!$AM$6+'TUSD BF'!$AM$6+'TUSD CVA'!$AM$6)*1</f>
        <v>18.371854423657158</v>
      </c>
      <c r="Z102" s="6">
        <f ca="1">('TUSD BE'!$AM$7+'TUSD BF'!$AM$7+'TUSD CVA'!$AM$7)*1</f>
        <v>147.99431148733765</v>
      </c>
      <c r="AA102" s="6">
        <f>('TE BE'!$AB$6+'TE BF'!$AB$6+'TE CVA'!$AB$6)*1</f>
        <v>304.87027853653359</v>
      </c>
      <c r="AB102" s="6">
        <f>$K$102*$V$102</f>
        <v>3544.32</v>
      </c>
      <c r="AC102" s="6">
        <f>$M$102*$W$102</f>
        <v>3841.2607499999999</v>
      </c>
      <c r="AD102" s="6">
        <f>$O$102*$X$102</f>
        <v>15369.046919999999</v>
      </c>
      <c r="AE102" s="6">
        <f ca="1">$K$102*$Y$102</f>
        <v>3913.2049922389747</v>
      </c>
      <c r="AF102" s="6">
        <f ca="1">$M$102*$Z$102</f>
        <v>7406.9672956297618</v>
      </c>
      <c r="AG102" s="6">
        <f>$O$102*$AA$102</f>
        <v>15258.45257047497</v>
      </c>
    </row>
    <row r="103" spans="1:33" ht="11.25" customHeight="1" x14ac:dyDescent="0.25">
      <c r="A103" s="4" t="s">
        <v>28</v>
      </c>
      <c r="B103" s="4" t="s">
        <v>39</v>
      </c>
      <c r="C103" s="4" t="s">
        <v>42</v>
      </c>
      <c r="D103" s="4" t="s">
        <v>45</v>
      </c>
      <c r="E103" s="4" t="s">
        <v>25</v>
      </c>
      <c r="F103" s="4" t="s">
        <v>25</v>
      </c>
      <c r="G103" s="4" t="s">
        <v>25</v>
      </c>
      <c r="H103" s="4" t="s">
        <v>35</v>
      </c>
      <c r="I103" s="5">
        <v>44682</v>
      </c>
      <c r="J103" s="6">
        <v>184</v>
      </c>
      <c r="K103" s="6">
        <v>184</v>
      </c>
      <c r="L103" s="6">
        <v>20.768000000000001</v>
      </c>
      <c r="M103" s="6">
        <v>20.768000000000001</v>
      </c>
      <c r="N103" s="6">
        <v>20.768000000000001</v>
      </c>
      <c r="O103" s="6">
        <v>20.768000000000001</v>
      </c>
      <c r="P103" s="6">
        <v>0</v>
      </c>
      <c r="Q103" s="4" t="s">
        <v>26</v>
      </c>
      <c r="R103" s="4">
        <v>0</v>
      </c>
      <c r="S103" s="6">
        <v>2</v>
      </c>
      <c r="T103" s="6">
        <v>3</v>
      </c>
      <c r="U103" s="6">
        <v>49</v>
      </c>
      <c r="V103" s="6">
        <f>IF(ISERROR(VLOOKUP($S$103,'TAR FIN'!$A$1:$O$85,15,0)),0,VLOOKUP($S$103,'TAR FIN'!$A$1:$O$85,15,0))</f>
        <v>16.64</v>
      </c>
      <c r="W103" s="6">
        <f>IF(ISERROR(VLOOKUP($T$103,'TAR FIN'!$A$1:$O$85,15,0)),0,VLOOKUP($T$103,'TAR FIN'!$A$1:$O$85,15,0))</f>
        <v>76.75</v>
      </c>
      <c r="X103" s="6">
        <f>IF(ISERROR(VLOOKUP($U$103,'TAR FIN'!$A$1:$O$85,15,0)),0,VLOOKUP($U$103,'TAR FIN'!$A$1:$O$85,15,0))</f>
        <v>307.08</v>
      </c>
      <c r="Y103" s="6">
        <f ca="1">('TUSD BE'!$AM$6+'TUSD BF'!$AM$6+'TUSD CVA'!$AM$6)*1</f>
        <v>18.371854423657158</v>
      </c>
      <c r="Z103" s="6">
        <f ca="1">('TUSD BE'!$AM$7+'TUSD BF'!$AM$7+'TUSD CVA'!$AM$7)*1</f>
        <v>147.99431148733765</v>
      </c>
      <c r="AA103" s="6">
        <f>('TE BE'!$AB$6+'TE BF'!$AB$6+'TE CVA'!$AB$6)*1</f>
        <v>304.87027853653359</v>
      </c>
      <c r="AB103" s="6">
        <f>$K$103*$V$103</f>
        <v>3061.76</v>
      </c>
      <c r="AC103" s="6">
        <f>$M$103*$W$103</f>
        <v>1593.944</v>
      </c>
      <c r="AD103" s="6">
        <f>$O$103*$X$103</f>
        <v>6377.4374399999997</v>
      </c>
      <c r="AE103" s="6">
        <f ca="1">$K$103*$Y$103</f>
        <v>3380.4212139529172</v>
      </c>
      <c r="AF103" s="6">
        <f ca="1">$M$103*$Z$103</f>
        <v>3073.5458609690286</v>
      </c>
      <c r="AG103" s="6">
        <f>$O$103*$AA$103</f>
        <v>6331.5459446467294</v>
      </c>
    </row>
    <row r="104" spans="1:33" ht="11.25" customHeight="1" x14ac:dyDescent="0.25">
      <c r="A104" s="4" t="s">
        <v>21</v>
      </c>
      <c r="B104" s="4" t="s">
        <v>39</v>
      </c>
      <c r="C104" s="4" t="s">
        <v>42</v>
      </c>
      <c r="D104" s="4" t="s">
        <v>45</v>
      </c>
      <c r="E104" s="4" t="s">
        <v>25</v>
      </c>
      <c r="F104" s="4" t="s">
        <v>25</v>
      </c>
      <c r="G104" s="4" t="s">
        <v>25</v>
      </c>
      <c r="H104" s="4" t="s">
        <v>35</v>
      </c>
      <c r="I104" s="5">
        <v>44713</v>
      </c>
      <c r="J104" s="6">
        <v>180</v>
      </c>
      <c r="K104" s="6">
        <v>180</v>
      </c>
      <c r="L104" s="6">
        <v>37.116999999999997</v>
      </c>
      <c r="M104" s="6">
        <v>37.116999999999997</v>
      </c>
      <c r="N104" s="6">
        <v>37.116999999999997</v>
      </c>
      <c r="O104" s="6">
        <v>37.116999999999997</v>
      </c>
      <c r="P104" s="6">
        <v>0</v>
      </c>
      <c r="Q104" s="4" t="s">
        <v>26</v>
      </c>
      <c r="R104" s="4">
        <v>0</v>
      </c>
      <c r="S104" s="6">
        <v>2</v>
      </c>
      <c r="T104" s="6">
        <v>3</v>
      </c>
      <c r="U104" s="6">
        <v>49</v>
      </c>
      <c r="V104" s="6">
        <f>IF(ISERROR(VLOOKUP($S$104,'TAR FIN'!$A$1:$O$85,15,0)),0,VLOOKUP($S$104,'TAR FIN'!$A$1:$O$85,15,0))</f>
        <v>16.64</v>
      </c>
      <c r="W104" s="6">
        <f>IF(ISERROR(VLOOKUP($T$104,'TAR FIN'!$A$1:$O$85,15,0)),0,VLOOKUP($T$104,'TAR FIN'!$A$1:$O$85,15,0))</f>
        <v>76.75</v>
      </c>
      <c r="X104" s="6">
        <f>IF(ISERROR(VLOOKUP($U$104,'TAR FIN'!$A$1:$O$85,15,0)),0,VLOOKUP($U$104,'TAR FIN'!$A$1:$O$85,15,0))</f>
        <v>307.08</v>
      </c>
      <c r="Y104" s="6">
        <f ca="1">('TUSD BE'!$AM$6+'TUSD BF'!$AM$6+'TUSD CVA'!$AM$6)*1</f>
        <v>18.371854423657158</v>
      </c>
      <c r="Z104" s="6">
        <f ca="1">('TUSD BE'!$AM$7+'TUSD BF'!$AM$7+'TUSD CVA'!$AM$7)*1</f>
        <v>147.99431148733765</v>
      </c>
      <c r="AA104" s="6">
        <f>('TE BE'!$AB$6+'TE BF'!$AB$6+'TE CVA'!$AB$6)*1</f>
        <v>304.87027853653359</v>
      </c>
      <c r="AB104" s="6">
        <f>$K$104*$V$104</f>
        <v>2995.2000000000003</v>
      </c>
      <c r="AC104" s="6">
        <f>$M$104*$W$104</f>
        <v>2848.72975</v>
      </c>
      <c r="AD104" s="6">
        <f>$O$104*$X$104</f>
        <v>11397.888359999999</v>
      </c>
      <c r="AE104" s="6">
        <f ca="1">$K$104*$Y$104</f>
        <v>3306.9337962582886</v>
      </c>
      <c r="AF104" s="6">
        <f ca="1">$M$104*$Z$104</f>
        <v>5493.1048594755111</v>
      </c>
      <c r="AG104" s="6">
        <f>$O$104*$AA$104</f>
        <v>11315.870128440516</v>
      </c>
    </row>
    <row r="105" spans="1:33" ht="11.25" customHeight="1" x14ac:dyDescent="0.25">
      <c r="A105" s="4" t="s">
        <v>28</v>
      </c>
      <c r="B105" s="4" t="s">
        <v>39</v>
      </c>
      <c r="C105" s="4" t="s">
        <v>42</v>
      </c>
      <c r="D105" s="4" t="s">
        <v>45</v>
      </c>
      <c r="E105" s="4" t="s">
        <v>25</v>
      </c>
      <c r="F105" s="4" t="s">
        <v>25</v>
      </c>
      <c r="G105" s="4" t="s">
        <v>25</v>
      </c>
      <c r="H105" s="4" t="s">
        <v>35</v>
      </c>
      <c r="I105" s="5">
        <v>44713</v>
      </c>
      <c r="J105" s="6">
        <v>160</v>
      </c>
      <c r="K105" s="6">
        <v>160</v>
      </c>
      <c r="L105" s="6">
        <v>12.603</v>
      </c>
      <c r="M105" s="6">
        <v>12.603</v>
      </c>
      <c r="N105" s="6">
        <v>12.603</v>
      </c>
      <c r="O105" s="6">
        <v>12.603</v>
      </c>
      <c r="P105" s="6">
        <v>0</v>
      </c>
      <c r="Q105" s="4" t="s">
        <v>26</v>
      </c>
      <c r="R105" s="4">
        <v>0</v>
      </c>
      <c r="S105" s="6">
        <v>2</v>
      </c>
      <c r="T105" s="6">
        <v>3</v>
      </c>
      <c r="U105" s="6">
        <v>49</v>
      </c>
      <c r="V105" s="6">
        <f>IF(ISERROR(VLOOKUP($S$105,'TAR FIN'!$A$1:$O$85,15,0)),0,VLOOKUP($S$105,'TAR FIN'!$A$1:$O$85,15,0))</f>
        <v>16.64</v>
      </c>
      <c r="W105" s="6">
        <f>IF(ISERROR(VLOOKUP($T$105,'TAR FIN'!$A$1:$O$85,15,0)),0,VLOOKUP($T$105,'TAR FIN'!$A$1:$O$85,15,0))</f>
        <v>76.75</v>
      </c>
      <c r="X105" s="6">
        <f>IF(ISERROR(VLOOKUP($U$105,'TAR FIN'!$A$1:$O$85,15,0)),0,VLOOKUP($U$105,'TAR FIN'!$A$1:$O$85,15,0))</f>
        <v>307.08</v>
      </c>
      <c r="Y105" s="6">
        <f ca="1">('TUSD BE'!$AM$6+'TUSD BF'!$AM$6+'TUSD CVA'!$AM$6)*1</f>
        <v>18.371854423657158</v>
      </c>
      <c r="Z105" s="6">
        <f ca="1">('TUSD BE'!$AM$7+'TUSD BF'!$AM$7+'TUSD CVA'!$AM$7)*1</f>
        <v>147.99431148733765</v>
      </c>
      <c r="AA105" s="6">
        <f>('TE BE'!$AB$6+'TE BF'!$AB$6+'TE CVA'!$AB$6)*1</f>
        <v>304.87027853653359</v>
      </c>
      <c r="AB105" s="6">
        <f>$K$105*$V$105</f>
        <v>2662.4</v>
      </c>
      <c r="AC105" s="6">
        <f>$M$105*$W$105</f>
        <v>967.28025000000002</v>
      </c>
      <c r="AD105" s="6">
        <f>$O$105*$X$105</f>
        <v>3870.1292399999998</v>
      </c>
      <c r="AE105" s="6">
        <f ca="1">$K$105*$Y$105</f>
        <v>2939.4967077851452</v>
      </c>
      <c r="AF105" s="6">
        <f ca="1">$M$105*$Z$105</f>
        <v>1865.1723076749165</v>
      </c>
      <c r="AG105" s="6">
        <f>$O$105*$AA$105</f>
        <v>3842.280120395933</v>
      </c>
    </row>
    <row r="106" spans="1:33" ht="11.25" customHeight="1" x14ac:dyDescent="0.25">
      <c r="A106" s="4" t="s">
        <v>21</v>
      </c>
      <c r="B106" s="4" t="s">
        <v>39</v>
      </c>
      <c r="C106" s="4" t="s">
        <v>42</v>
      </c>
      <c r="D106" s="4" t="s">
        <v>45</v>
      </c>
      <c r="E106" s="4" t="s">
        <v>25</v>
      </c>
      <c r="F106" s="4" t="s">
        <v>25</v>
      </c>
      <c r="G106" s="4" t="s">
        <v>25</v>
      </c>
      <c r="H106" s="4" t="s">
        <v>35</v>
      </c>
      <c r="I106" s="5">
        <v>44743</v>
      </c>
      <c r="J106" s="6">
        <v>181</v>
      </c>
      <c r="K106" s="6">
        <v>181</v>
      </c>
      <c r="L106" s="6">
        <v>40.564</v>
      </c>
      <c r="M106" s="6">
        <v>40.564</v>
      </c>
      <c r="N106" s="6">
        <v>40.564</v>
      </c>
      <c r="O106" s="6">
        <v>40.564</v>
      </c>
      <c r="P106" s="6">
        <v>0</v>
      </c>
      <c r="Q106" s="4" t="s">
        <v>26</v>
      </c>
      <c r="R106" s="4">
        <v>0</v>
      </c>
      <c r="S106" s="6">
        <v>2</v>
      </c>
      <c r="T106" s="6">
        <v>3</v>
      </c>
      <c r="U106" s="6">
        <v>49</v>
      </c>
      <c r="V106" s="6">
        <f>IF(ISERROR(VLOOKUP($S$106,'TAR FIN'!$A$1:$O$85,15,0)),0,VLOOKUP($S$106,'TAR FIN'!$A$1:$O$85,15,0))</f>
        <v>16.64</v>
      </c>
      <c r="W106" s="6">
        <f>IF(ISERROR(VLOOKUP($T$106,'TAR FIN'!$A$1:$O$85,15,0)),0,VLOOKUP($T$106,'TAR FIN'!$A$1:$O$85,15,0))</f>
        <v>76.75</v>
      </c>
      <c r="X106" s="6">
        <f>IF(ISERROR(VLOOKUP($U$106,'TAR FIN'!$A$1:$O$85,15,0)),0,VLOOKUP($U$106,'TAR FIN'!$A$1:$O$85,15,0))</f>
        <v>307.08</v>
      </c>
      <c r="Y106" s="6">
        <f ca="1">('TUSD BE'!$AM$6+'TUSD BF'!$AM$6+'TUSD CVA'!$AM$6)*1</f>
        <v>18.371854423657158</v>
      </c>
      <c r="Z106" s="6">
        <f ca="1">('TUSD BE'!$AM$7+'TUSD BF'!$AM$7+'TUSD CVA'!$AM$7)*1</f>
        <v>147.99431148733765</v>
      </c>
      <c r="AA106" s="6">
        <f>('TE BE'!$AB$6+'TE BF'!$AB$6+'TE CVA'!$AB$6)*1</f>
        <v>304.87027853653359</v>
      </c>
      <c r="AB106" s="6">
        <f>$K$106*$V$106</f>
        <v>3011.84</v>
      </c>
      <c r="AC106" s="6">
        <f>$M$106*$W$106</f>
        <v>3113.2869999999998</v>
      </c>
      <c r="AD106" s="6">
        <f>$O$106*$X$106</f>
        <v>12456.393119999999</v>
      </c>
      <c r="AE106" s="6">
        <f ca="1">$K$106*$Y$106</f>
        <v>3325.3056506819457</v>
      </c>
      <c r="AF106" s="6">
        <f ca="1">$M$106*$Z$106</f>
        <v>6003.2412511723642</v>
      </c>
      <c r="AG106" s="6">
        <f>$O$106*$AA$106</f>
        <v>12366.757978555948</v>
      </c>
    </row>
    <row r="107" spans="1:33" ht="11.25" customHeight="1" x14ac:dyDescent="0.25">
      <c r="A107" s="4" t="s">
        <v>28</v>
      </c>
      <c r="B107" s="4" t="s">
        <v>39</v>
      </c>
      <c r="C107" s="4" t="s">
        <v>42</v>
      </c>
      <c r="D107" s="4" t="s">
        <v>45</v>
      </c>
      <c r="E107" s="4" t="s">
        <v>25</v>
      </c>
      <c r="F107" s="4" t="s">
        <v>25</v>
      </c>
      <c r="G107" s="4" t="s">
        <v>25</v>
      </c>
      <c r="H107" s="4" t="s">
        <v>35</v>
      </c>
      <c r="I107" s="5">
        <v>44743</v>
      </c>
      <c r="J107" s="6">
        <v>160</v>
      </c>
      <c r="K107" s="6">
        <v>160</v>
      </c>
      <c r="L107" s="6">
        <v>7.3109999999999999</v>
      </c>
      <c r="M107" s="6">
        <v>7.3109999999999999</v>
      </c>
      <c r="N107" s="6">
        <v>7.3109999999999999</v>
      </c>
      <c r="O107" s="6">
        <v>7.3109999999999999</v>
      </c>
      <c r="P107" s="6">
        <v>0</v>
      </c>
      <c r="Q107" s="4" t="s">
        <v>26</v>
      </c>
      <c r="R107" s="4">
        <v>0</v>
      </c>
      <c r="S107" s="6">
        <v>2</v>
      </c>
      <c r="T107" s="6">
        <v>3</v>
      </c>
      <c r="U107" s="6">
        <v>49</v>
      </c>
      <c r="V107" s="6">
        <f>IF(ISERROR(VLOOKUP($S$107,'TAR FIN'!$A$1:$O$85,15,0)),0,VLOOKUP($S$107,'TAR FIN'!$A$1:$O$85,15,0))</f>
        <v>16.64</v>
      </c>
      <c r="W107" s="6">
        <f>IF(ISERROR(VLOOKUP($T$107,'TAR FIN'!$A$1:$O$85,15,0)),0,VLOOKUP($T$107,'TAR FIN'!$A$1:$O$85,15,0))</f>
        <v>76.75</v>
      </c>
      <c r="X107" s="6">
        <f>IF(ISERROR(VLOOKUP($U$107,'TAR FIN'!$A$1:$O$85,15,0)),0,VLOOKUP($U$107,'TAR FIN'!$A$1:$O$85,15,0))</f>
        <v>307.08</v>
      </c>
      <c r="Y107" s="6">
        <f ca="1">('TUSD BE'!$AM$6+'TUSD BF'!$AM$6+'TUSD CVA'!$AM$6)*1</f>
        <v>18.371854423657158</v>
      </c>
      <c r="Z107" s="6">
        <f ca="1">('TUSD BE'!$AM$7+'TUSD BF'!$AM$7+'TUSD CVA'!$AM$7)*1</f>
        <v>147.99431148733765</v>
      </c>
      <c r="AA107" s="6">
        <f>('TE BE'!$AB$6+'TE BF'!$AB$6+'TE CVA'!$AB$6)*1</f>
        <v>304.87027853653359</v>
      </c>
      <c r="AB107" s="6">
        <f>$K$107*$V$107</f>
        <v>2662.4</v>
      </c>
      <c r="AC107" s="6">
        <f>$M$107*$W$107</f>
        <v>561.11924999999997</v>
      </c>
      <c r="AD107" s="6">
        <f>$O$107*$X$107</f>
        <v>2245.0618799999997</v>
      </c>
      <c r="AE107" s="6">
        <f ca="1">$K$107*$Y$107</f>
        <v>2939.4967077851452</v>
      </c>
      <c r="AF107" s="6">
        <f ca="1">$M$107*$Z$107</f>
        <v>1081.9864112839257</v>
      </c>
      <c r="AG107" s="6">
        <f>$O$107*$AA$107</f>
        <v>2228.9066063805972</v>
      </c>
    </row>
    <row r="108" spans="1:33" ht="11.25" customHeight="1" x14ac:dyDescent="0.25">
      <c r="A108" s="4" t="s">
        <v>56</v>
      </c>
      <c r="B108" s="4" t="s">
        <v>39</v>
      </c>
      <c r="C108" s="4" t="s">
        <v>42</v>
      </c>
      <c r="D108" s="4" t="s">
        <v>45</v>
      </c>
      <c r="E108" s="4" t="s">
        <v>25</v>
      </c>
      <c r="F108" s="4" t="s">
        <v>25</v>
      </c>
      <c r="G108" s="4" t="s">
        <v>25</v>
      </c>
      <c r="H108" s="4" t="s">
        <v>35</v>
      </c>
      <c r="I108" s="5">
        <v>44774</v>
      </c>
      <c r="J108" s="6">
        <v>181</v>
      </c>
      <c r="K108" s="6">
        <v>181</v>
      </c>
      <c r="L108" s="6">
        <v>40.564</v>
      </c>
      <c r="M108" s="6">
        <v>40.564</v>
      </c>
      <c r="N108" s="6">
        <v>40.564</v>
      </c>
      <c r="O108" s="6">
        <v>40.564</v>
      </c>
      <c r="P108" s="6">
        <v>0</v>
      </c>
      <c r="Q108" s="4" t="s">
        <v>26</v>
      </c>
      <c r="R108" s="4">
        <v>0</v>
      </c>
      <c r="S108" s="6">
        <v>2</v>
      </c>
      <c r="T108" s="6">
        <v>3</v>
      </c>
      <c r="U108" s="6">
        <v>49</v>
      </c>
      <c r="V108" s="6">
        <f>IF(ISERROR(VLOOKUP($S$108,'TAR FIN'!$A$1:$O$85,15,0)),0,VLOOKUP($S$108,'TAR FIN'!$A$1:$O$85,15,0))</f>
        <v>16.64</v>
      </c>
      <c r="W108" s="6">
        <f>IF(ISERROR(VLOOKUP($T$108,'TAR FIN'!$A$1:$O$85,15,0)),0,VLOOKUP($T$108,'TAR FIN'!$A$1:$O$85,15,0))</f>
        <v>76.75</v>
      </c>
      <c r="X108" s="6">
        <f>IF(ISERROR(VLOOKUP($U$108,'TAR FIN'!$A$1:$O$85,15,0)),0,VLOOKUP($U$108,'TAR FIN'!$A$1:$O$85,15,0))</f>
        <v>307.08</v>
      </c>
      <c r="Y108" s="6">
        <f ca="1">('TUSD BE'!$AM$6+'TUSD BF'!$AM$6+'TUSD CVA'!$AM$6)*1</f>
        <v>18.371854423657158</v>
      </c>
      <c r="Z108" s="6">
        <f ca="1">('TUSD BE'!$AM$7+'TUSD BF'!$AM$7+'TUSD CVA'!$AM$7)*1</f>
        <v>147.99431148733765</v>
      </c>
      <c r="AA108" s="6">
        <f>('TE BE'!$AB$6+'TE BF'!$AB$6+'TE CVA'!$AB$6)*1</f>
        <v>304.87027853653359</v>
      </c>
      <c r="AB108" s="6">
        <f>$K$108*$V$108</f>
        <v>3011.84</v>
      </c>
      <c r="AC108" s="6">
        <f>$M$108*$W$108</f>
        <v>3113.2869999999998</v>
      </c>
      <c r="AD108" s="6">
        <f>$O$108*$X$108</f>
        <v>12456.393119999999</v>
      </c>
      <c r="AE108" s="6">
        <f ca="1">$K$108*$Y$108</f>
        <v>3325.3056506819457</v>
      </c>
      <c r="AF108" s="6">
        <f ca="1">$M$108*$Z$108</f>
        <v>6003.2412511723642</v>
      </c>
      <c r="AG108" s="6">
        <f>$O$108*$AA$108</f>
        <v>12366.757978555948</v>
      </c>
    </row>
    <row r="109" spans="1:33" ht="11.25" customHeight="1" x14ac:dyDescent="0.25">
      <c r="A109" s="4" t="s">
        <v>56</v>
      </c>
      <c r="B109" s="4" t="s">
        <v>39</v>
      </c>
      <c r="C109" s="4" t="s">
        <v>42</v>
      </c>
      <c r="D109" s="4" t="s">
        <v>45</v>
      </c>
      <c r="E109" s="4" t="s">
        <v>25</v>
      </c>
      <c r="F109" s="4" t="s">
        <v>25</v>
      </c>
      <c r="G109" s="4" t="s">
        <v>25</v>
      </c>
      <c r="H109" s="4" t="s">
        <v>35</v>
      </c>
      <c r="I109" s="5">
        <v>44774</v>
      </c>
      <c r="J109" s="6">
        <v>160</v>
      </c>
      <c r="K109" s="6">
        <v>160</v>
      </c>
      <c r="L109" s="6">
        <v>7.3109999999999999</v>
      </c>
      <c r="M109" s="6">
        <v>7.3109999999999999</v>
      </c>
      <c r="N109" s="6">
        <v>7.3109999999999999</v>
      </c>
      <c r="O109" s="6">
        <v>7.3109999999999999</v>
      </c>
      <c r="P109" s="6">
        <v>0</v>
      </c>
      <c r="Q109" s="4" t="s">
        <v>26</v>
      </c>
      <c r="R109" s="4">
        <v>0</v>
      </c>
      <c r="S109" s="6">
        <v>2</v>
      </c>
      <c r="T109" s="6">
        <v>3</v>
      </c>
      <c r="U109" s="6">
        <v>49</v>
      </c>
      <c r="V109" s="6">
        <f>IF(ISERROR(VLOOKUP($S$109,'TAR FIN'!$A$1:$O$85,15,0)),0,VLOOKUP($S$109,'TAR FIN'!$A$1:$O$85,15,0))</f>
        <v>16.64</v>
      </c>
      <c r="W109" s="6">
        <f>IF(ISERROR(VLOOKUP($T$109,'TAR FIN'!$A$1:$O$85,15,0)),0,VLOOKUP($T$109,'TAR FIN'!$A$1:$O$85,15,0))</f>
        <v>76.75</v>
      </c>
      <c r="X109" s="6">
        <f>IF(ISERROR(VLOOKUP($U$109,'TAR FIN'!$A$1:$O$85,15,0)),0,VLOOKUP($U$109,'TAR FIN'!$A$1:$O$85,15,0))</f>
        <v>307.08</v>
      </c>
      <c r="Y109" s="6">
        <f ca="1">('TUSD BE'!$AM$6+'TUSD BF'!$AM$6+'TUSD CVA'!$AM$6)*1</f>
        <v>18.371854423657158</v>
      </c>
      <c r="Z109" s="6">
        <f ca="1">('TUSD BE'!$AM$7+'TUSD BF'!$AM$7+'TUSD CVA'!$AM$7)*1</f>
        <v>147.99431148733765</v>
      </c>
      <c r="AA109" s="6">
        <f>('TE BE'!$AB$6+'TE BF'!$AB$6+'TE CVA'!$AB$6)*1</f>
        <v>304.87027853653359</v>
      </c>
      <c r="AB109" s="6">
        <f>$K$109*$V$109</f>
        <v>2662.4</v>
      </c>
      <c r="AC109" s="6">
        <f>$M$109*$W$109</f>
        <v>561.11924999999997</v>
      </c>
      <c r="AD109" s="6">
        <f>$O$109*$X$109</f>
        <v>2245.0618799999997</v>
      </c>
      <c r="AE109" s="6">
        <f ca="1">$K$109*$Y$109</f>
        <v>2939.4967077851452</v>
      </c>
      <c r="AF109" s="6">
        <f ca="1">$M$109*$Z$109</f>
        <v>1081.9864112839257</v>
      </c>
      <c r="AG109" s="6">
        <f>$O$109*$AA$109</f>
        <v>2228.9066063805972</v>
      </c>
    </row>
    <row r="110" spans="1:33" ht="11.25" customHeight="1" x14ac:dyDescent="0.25">
      <c r="A110" s="4" t="s">
        <v>21</v>
      </c>
      <c r="B110" s="4" t="s">
        <v>39</v>
      </c>
      <c r="C110" s="4" t="s">
        <v>42</v>
      </c>
      <c r="D110" s="4" t="s">
        <v>45</v>
      </c>
      <c r="E110" s="4" t="s">
        <v>25</v>
      </c>
      <c r="F110" s="4" t="s">
        <v>25</v>
      </c>
      <c r="G110" s="4" t="s">
        <v>25</v>
      </c>
      <c r="H110" s="4" t="s">
        <v>34</v>
      </c>
      <c r="I110" s="5">
        <v>44440</v>
      </c>
      <c r="J110" s="6">
        <v>216</v>
      </c>
      <c r="K110" s="6">
        <v>216</v>
      </c>
      <c r="L110" s="6">
        <v>6.6310000000000002</v>
      </c>
      <c r="M110" s="6">
        <v>6.6310000000000002</v>
      </c>
      <c r="N110" s="6">
        <v>6.6310000000000002</v>
      </c>
      <c r="O110" s="6">
        <v>6.6310000000000002</v>
      </c>
      <c r="P110" s="6">
        <v>0</v>
      </c>
      <c r="Q110" s="4" t="s">
        <v>26</v>
      </c>
      <c r="R110" s="4">
        <v>0</v>
      </c>
      <c r="S110" s="6">
        <v>1</v>
      </c>
      <c r="T110" s="6">
        <v>3</v>
      </c>
      <c r="U110" s="6">
        <v>48</v>
      </c>
      <c r="V110" s="6">
        <f>IF(ISERROR(VLOOKUP($S$110,'TAR FIN'!$A$1:$O$85,15,0)),0,VLOOKUP($S$110,'TAR FIN'!$A$1:$O$85,15,0))</f>
        <v>51.93</v>
      </c>
      <c r="W110" s="6">
        <f>IF(ISERROR(VLOOKUP($T$110,'TAR FIN'!$A$1:$O$85,15,0)),0,VLOOKUP($T$110,'TAR FIN'!$A$1:$O$85,15,0))</f>
        <v>76.75</v>
      </c>
      <c r="X110" s="6">
        <f>IF(ISERROR(VLOOKUP($U$110,'TAR FIN'!$A$1:$O$85,15,0)),0,VLOOKUP($U$110,'TAR FIN'!$A$1:$O$85,15,0))</f>
        <v>492.64</v>
      </c>
      <c r="Y110" s="6">
        <f ca="1">('TUSD BE'!$AM$5+'TUSD BF'!$AM$5+'TUSD CVA'!$AM$5)*1</f>
        <v>57.5166740764178</v>
      </c>
      <c r="Z110" s="6">
        <f ca="1">('TUSD BE'!$AM$7+'TUSD BF'!$AM$7+'TUSD CVA'!$AM$7)*1</f>
        <v>147.99431148733765</v>
      </c>
      <c r="AA110" s="6">
        <f>('TE BE'!$AB$5+'TE BF'!$AB$5+'TE CVA'!$AB$5)*1</f>
        <v>485.87597641853409</v>
      </c>
      <c r="AB110" s="6">
        <f>$K$110*$V$110</f>
        <v>11216.88</v>
      </c>
      <c r="AC110" s="6">
        <f>$M$110*$W$110</f>
        <v>508.92925000000002</v>
      </c>
      <c r="AD110" s="6">
        <f>$O$110*$X$110</f>
        <v>3266.6958399999999</v>
      </c>
      <c r="AE110" s="6">
        <f ca="1">$K$110*$Y$110</f>
        <v>12423.601600506245</v>
      </c>
      <c r="AF110" s="6">
        <f ca="1">$M$110*$Z$110</f>
        <v>981.35027947253604</v>
      </c>
      <c r="AG110" s="6">
        <f>$O$110*$AA$110</f>
        <v>3221.8435996312996</v>
      </c>
    </row>
    <row r="111" spans="1:33" ht="11.25" customHeight="1" x14ac:dyDescent="0.25">
      <c r="A111" s="4" t="s">
        <v>28</v>
      </c>
      <c r="B111" s="4" t="s">
        <v>39</v>
      </c>
      <c r="C111" s="4" t="s">
        <v>42</v>
      </c>
      <c r="D111" s="4" t="s">
        <v>45</v>
      </c>
      <c r="E111" s="4" t="s">
        <v>25</v>
      </c>
      <c r="F111" s="4" t="s">
        <v>25</v>
      </c>
      <c r="G111" s="4" t="s">
        <v>25</v>
      </c>
      <c r="H111" s="4" t="s">
        <v>34</v>
      </c>
      <c r="I111" s="5">
        <v>44440</v>
      </c>
      <c r="J111" s="6">
        <v>81</v>
      </c>
      <c r="K111" s="6">
        <v>81</v>
      </c>
      <c r="L111" s="6">
        <v>2.5110000000000001</v>
      </c>
      <c r="M111" s="6">
        <v>2.5110000000000001</v>
      </c>
      <c r="N111" s="6">
        <v>2.5110000000000001</v>
      </c>
      <c r="O111" s="6">
        <v>2.5110000000000001</v>
      </c>
      <c r="P111" s="6">
        <v>0</v>
      </c>
      <c r="Q111" s="4" t="s">
        <v>26</v>
      </c>
      <c r="R111" s="4">
        <v>0</v>
      </c>
      <c r="S111" s="6">
        <v>1</v>
      </c>
      <c r="T111" s="6">
        <v>3</v>
      </c>
      <c r="U111" s="6">
        <v>48</v>
      </c>
      <c r="V111" s="6">
        <f>IF(ISERROR(VLOOKUP($S$111,'TAR FIN'!$A$1:$O$85,15,0)),0,VLOOKUP($S$111,'TAR FIN'!$A$1:$O$85,15,0))</f>
        <v>51.93</v>
      </c>
      <c r="W111" s="6">
        <f>IF(ISERROR(VLOOKUP($T$111,'TAR FIN'!$A$1:$O$85,15,0)),0,VLOOKUP($T$111,'TAR FIN'!$A$1:$O$85,15,0))</f>
        <v>76.75</v>
      </c>
      <c r="X111" s="6">
        <f>IF(ISERROR(VLOOKUP($U$111,'TAR FIN'!$A$1:$O$85,15,0)),0,VLOOKUP($U$111,'TAR FIN'!$A$1:$O$85,15,0))</f>
        <v>492.64</v>
      </c>
      <c r="Y111" s="6">
        <f ca="1">('TUSD BE'!$AM$5+'TUSD BF'!$AM$5+'TUSD CVA'!$AM$5)*1</f>
        <v>57.5166740764178</v>
      </c>
      <c r="Z111" s="6">
        <f ca="1">('TUSD BE'!$AM$7+'TUSD BF'!$AM$7+'TUSD CVA'!$AM$7)*1</f>
        <v>147.99431148733765</v>
      </c>
      <c r="AA111" s="6">
        <f>('TE BE'!$AB$5+'TE BF'!$AB$5+'TE CVA'!$AB$5)*1</f>
        <v>485.87597641853409</v>
      </c>
      <c r="AB111" s="6">
        <f>$K$111*$V$111</f>
        <v>4206.33</v>
      </c>
      <c r="AC111" s="6">
        <f>$M$111*$W$111</f>
        <v>192.71925000000002</v>
      </c>
      <c r="AD111" s="6">
        <f>$O$111*$X$111</f>
        <v>1237.0190400000001</v>
      </c>
      <c r="AE111" s="6">
        <f ca="1">$K$111*$Y$111</f>
        <v>4658.8506001898422</v>
      </c>
      <c r="AF111" s="6">
        <f ca="1">$M$111*$Z$111</f>
        <v>371.61371614470488</v>
      </c>
      <c r="AG111" s="6">
        <f>$O$111*$AA$111</f>
        <v>1220.0345767869392</v>
      </c>
    </row>
    <row r="112" spans="1:33" ht="11.25" customHeight="1" x14ac:dyDescent="0.25">
      <c r="A112" s="4" t="s">
        <v>21</v>
      </c>
      <c r="B112" s="4" t="s">
        <v>39</v>
      </c>
      <c r="C112" s="4" t="s">
        <v>42</v>
      </c>
      <c r="D112" s="4" t="s">
        <v>45</v>
      </c>
      <c r="E112" s="4" t="s">
        <v>25</v>
      </c>
      <c r="F112" s="4" t="s">
        <v>25</v>
      </c>
      <c r="G112" s="4" t="s">
        <v>25</v>
      </c>
      <c r="H112" s="4" t="s">
        <v>34</v>
      </c>
      <c r="I112" s="5">
        <v>44470</v>
      </c>
      <c r="J112" s="6">
        <v>207</v>
      </c>
      <c r="K112" s="6">
        <v>207</v>
      </c>
      <c r="L112" s="6">
        <v>6.633</v>
      </c>
      <c r="M112" s="6">
        <v>6.633</v>
      </c>
      <c r="N112" s="6">
        <v>6.633</v>
      </c>
      <c r="O112" s="6">
        <v>6.633</v>
      </c>
      <c r="P112" s="6">
        <v>0</v>
      </c>
      <c r="Q112" s="4" t="s">
        <v>26</v>
      </c>
      <c r="R112" s="4">
        <v>0</v>
      </c>
      <c r="S112" s="6">
        <v>1</v>
      </c>
      <c r="T112" s="6">
        <v>3</v>
      </c>
      <c r="U112" s="6">
        <v>48</v>
      </c>
      <c r="V112" s="6">
        <f>IF(ISERROR(VLOOKUP($S$112,'TAR FIN'!$A$1:$O$85,15,0)),0,VLOOKUP($S$112,'TAR FIN'!$A$1:$O$85,15,0))</f>
        <v>51.93</v>
      </c>
      <c r="W112" s="6">
        <f>IF(ISERROR(VLOOKUP($T$112,'TAR FIN'!$A$1:$O$85,15,0)),0,VLOOKUP($T$112,'TAR FIN'!$A$1:$O$85,15,0))</f>
        <v>76.75</v>
      </c>
      <c r="X112" s="6">
        <f>IF(ISERROR(VLOOKUP($U$112,'TAR FIN'!$A$1:$O$85,15,0)),0,VLOOKUP($U$112,'TAR FIN'!$A$1:$O$85,15,0))</f>
        <v>492.64</v>
      </c>
      <c r="Y112" s="6">
        <f ca="1">('TUSD BE'!$AM$5+'TUSD BF'!$AM$5+'TUSD CVA'!$AM$5)*1</f>
        <v>57.5166740764178</v>
      </c>
      <c r="Z112" s="6">
        <f ca="1">('TUSD BE'!$AM$7+'TUSD BF'!$AM$7+'TUSD CVA'!$AM$7)*1</f>
        <v>147.99431148733765</v>
      </c>
      <c r="AA112" s="6">
        <f>('TE BE'!$AB$5+'TE BF'!$AB$5+'TE CVA'!$AB$5)*1</f>
        <v>485.87597641853409</v>
      </c>
      <c r="AB112" s="6">
        <f>$K$112*$V$112</f>
        <v>10749.51</v>
      </c>
      <c r="AC112" s="6">
        <f>$M$112*$W$112</f>
        <v>509.08274999999998</v>
      </c>
      <c r="AD112" s="6">
        <f>$O$112*$X$112</f>
        <v>3267.6811199999997</v>
      </c>
      <c r="AE112" s="6">
        <f ca="1">$K$112*$Y$112</f>
        <v>11905.951533818485</v>
      </c>
      <c r="AF112" s="6">
        <f ca="1">$M$112*$Z$112</f>
        <v>981.64626809551066</v>
      </c>
      <c r="AG112" s="6">
        <f>$O$112*$AA$112</f>
        <v>3222.8153515841368</v>
      </c>
    </row>
    <row r="113" spans="1:33" ht="11.25" customHeight="1" x14ac:dyDescent="0.25">
      <c r="A113" s="4" t="s">
        <v>28</v>
      </c>
      <c r="B113" s="4" t="s">
        <v>39</v>
      </c>
      <c r="C113" s="4" t="s">
        <v>42</v>
      </c>
      <c r="D113" s="4" t="s">
        <v>45</v>
      </c>
      <c r="E113" s="4" t="s">
        <v>25</v>
      </c>
      <c r="F113" s="4" t="s">
        <v>25</v>
      </c>
      <c r="G113" s="4" t="s">
        <v>25</v>
      </c>
      <c r="H113" s="4" t="s">
        <v>34</v>
      </c>
      <c r="I113" s="5">
        <v>44470</v>
      </c>
      <c r="J113" s="6">
        <v>110</v>
      </c>
      <c r="K113" s="6">
        <v>110</v>
      </c>
      <c r="L113" s="6">
        <v>3.2629999999999999</v>
      </c>
      <c r="M113" s="6">
        <v>3.2629999999999999</v>
      </c>
      <c r="N113" s="6">
        <v>3.2629999999999999</v>
      </c>
      <c r="O113" s="6">
        <v>3.2629999999999999</v>
      </c>
      <c r="P113" s="6">
        <v>0</v>
      </c>
      <c r="Q113" s="4" t="s">
        <v>26</v>
      </c>
      <c r="R113" s="4">
        <v>0</v>
      </c>
      <c r="S113" s="6">
        <v>1</v>
      </c>
      <c r="T113" s="6">
        <v>3</v>
      </c>
      <c r="U113" s="6">
        <v>48</v>
      </c>
      <c r="V113" s="6">
        <f>IF(ISERROR(VLOOKUP($S$113,'TAR FIN'!$A$1:$O$85,15,0)),0,VLOOKUP($S$113,'TAR FIN'!$A$1:$O$85,15,0))</f>
        <v>51.93</v>
      </c>
      <c r="W113" s="6">
        <f>IF(ISERROR(VLOOKUP($T$113,'TAR FIN'!$A$1:$O$85,15,0)),0,VLOOKUP($T$113,'TAR FIN'!$A$1:$O$85,15,0))</f>
        <v>76.75</v>
      </c>
      <c r="X113" s="6">
        <f>IF(ISERROR(VLOOKUP($U$113,'TAR FIN'!$A$1:$O$85,15,0)),0,VLOOKUP($U$113,'TAR FIN'!$A$1:$O$85,15,0))</f>
        <v>492.64</v>
      </c>
      <c r="Y113" s="6">
        <f ca="1">('TUSD BE'!$AM$5+'TUSD BF'!$AM$5+'TUSD CVA'!$AM$5)*1</f>
        <v>57.5166740764178</v>
      </c>
      <c r="Z113" s="6">
        <f ca="1">('TUSD BE'!$AM$7+'TUSD BF'!$AM$7+'TUSD CVA'!$AM$7)*1</f>
        <v>147.99431148733765</v>
      </c>
      <c r="AA113" s="6">
        <f>('TE BE'!$AB$5+'TE BF'!$AB$5+'TE CVA'!$AB$5)*1</f>
        <v>485.87597641853409</v>
      </c>
      <c r="AB113" s="6">
        <f>$K$113*$V$113</f>
        <v>5712.3</v>
      </c>
      <c r="AC113" s="6">
        <f>$M$113*$W$113</f>
        <v>250.43525</v>
      </c>
      <c r="AD113" s="6">
        <f>$O$113*$X$113</f>
        <v>1607.4843199999998</v>
      </c>
      <c r="AE113" s="6">
        <f ca="1">$K$113*$Y$113</f>
        <v>6326.8341484059583</v>
      </c>
      <c r="AF113" s="6">
        <f ca="1">$M$113*$Z$113</f>
        <v>482.90543838318274</v>
      </c>
      <c r="AG113" s="6">
        <f>$O$113*$AA$113</f>
        <v>1585.4133110536768</v>
      </c>
    </row>
    <row r="114" spans="1:33" ht="11.25" customHeight="1" x14ac:dyDescent="0.25">
      <c r="A114" s="4" t="s">
        <v>21</v>
      </c>
      <c r="B114" s="4" t="s">
        <v>39</v>
      </c>
      <c r="C114" s="4" t="s">
        <v>42</v>
      </c>
      <c r="D114" s="4" t="s">
        <v>45</v>
      </c>
      <c r="E114" s="4" t="s">
        <v>25</v>
      </c>
      <c r="F114" s="4" t="s">
        <v>25</v>
      </c>
      <c r="G114" s="4" t="s">
        <v>25</v>
      </c>
      <c r="H114" s="4" t="s">
        <v>34</v>
      </c>
      <c r="I114" s="5">
        <v>44501</v>
      </c>
      <c r="J114" s="6">
        <v>188</v>
      </c>
      <c r="K114" s="6">
        <v>188</v>
      </c>
      <c r="L114" s="6">
        <v>5.9749999999999996</v>
      </c>
      <c r="M114" s="6">
        <v>5.9749999999999996</v>
      </c>
      <c r="N114" s="6">
        <v>5.9749999999999996</v>
      </c>
      <c r="O114" s="6">
        <v>5.9749999999999996</v>
      </c>
      <c r="P114" s="6">
        <v>0</v>
      </c>
      <c r="Q114" s="4" t="s">
        <v>26</v>
      </c>
      <c r="R114" s="4">
        <v>0</v>
      </c>
      <c r="S114" s="6">
        <v>1</v>
      </c>
      <c r="T114" s="6">
        <v>3</v>
      </c>
      <c r="U114" s="6">
        <v>48</v>
      </c>
      <c r="V114" s="6">
        <f>IF(ISERROR(VLOOKUP($S$114,'TAR FIN'!$A$1:$O$85,15,0)),0,VLOOKUP($S$114,'TAR FIN'!$A$1:$O$85,15,0))</f>
        <v>51.93</v>
      </c>
      <c r="W114" s="6">
        <f>IF(ISERROR(VLOOKUP($T$114,'TAR FIN'!$A$1:$O$85,15,0)),0,VLOOKUP($T$114,'TAR FIN'!$A$1:$O$85,15,0))</f>
        <v>76.75</v>
      </c>
      <c r="X114" s="6">
        <f>IF(ISERROR(VLOOKUP($U$114,'TAR FIN'!$A$1:$O$85,15,0)),0,VLOOKUP($U$114,'TAR FIN'!$A$1:$O$85,15,0))</f>
        <v>492.64</v>
      </c>
      <c r="Y114" s="6">
        <f ca="1">('TUSD BE'!$AM$5+'TUSD BF'!$AM$5+'TUSD CVA'!$AM$5)*1</f>
        <v>57.5166740764178</v>
      </c>
      <c r="Z114" s="6">
        <f ca="1">('TUSD BE'!$AM$7+'TUSD BF'!$AM$7+'TUSD CVA'!$AM$7)*1</f>
        <v>147.99431148733765</v>
      </c>
      <c r="AA114" s="6">
        <f>('TE BE'!$AB$5+'TE BF'!$AB$5+'TE CVA'!$AB$5)*1</f>
        <v>485.87597641853409</v>
      </c>
      <c r="AB114" s="6">
        <f>$K$114*$V$114</f>
        <v>9762.84</v>
      </c>
      <c r="AC114" s="6">
        <f>$M$114*$W$114</f>
        <v>458.58124999999995</v>
      </c>
      <c r="AD114" s="6">
        <f>$O$114*$X$114</f>
        <v>2943.5239999999999</v>
      </c>
      <c r="AE114" s="6">
        <f ca="1">$K$114*$Y$114</f>
        <v>10813.134726366547</v>
      </c>
      <c r="AF114" s="6">
        <f ca="1">$M$114*$Z$114</f>
        <v>884.26601113684239</v>
      </c>
      <c r="AG114" s="6">
        <f>$O$114*$AA$114</f>
        <v>2903.1089591007412</v>
      </c>
    </row>
    <row r="115" spans="1:33" ht="11.25" customHeight="1" x14ac:dyDescent="0.25">
      <c r="A115" s="4" t="s">
        <v>28</v>
      </c>
      <c r="B115" s="4" t="s">
        <v>39</v>
      </c>
      <c r="C115" s="4" t="s">
        <v>42</v>
      </c>
      <c r="D115" s="4" t="s">
        <v>45</v>
      </c>
      <c r="E115" s="4" t="s">
        <v>25</v>
      </c>
      <c r="F115" s="4" t="s">
        <v>25</v>
      </c>
      <c r="G115" s="4" t="s">
        <v>25</v>
      </c>
      <c r="H115" s="4" t="s">
        <v>34</v>
      </c>
      <c r="I115" s="5">
        <v>44501</v>
      </c>
      <c r="J115" s="6">
        <v>103</v>
      </c>
      <c r="K115" s="6">
        <v>103</v>
      </c>
      <c r="L115" s="6">
        <v>3.3439999999999999</v>
      </c>
      <c r="M115" s="6">
        <v>3.3439999999999999</v>
      </c>
      <c r="N115" s="6">
        <v>3.3439999999999999</v>
      </c>
      <c r="O115" s="6">
        <v>3.3439999999999999</v>
      </c>
      <c r="P115" s="6">
        <v>0</v>
      </c>
      <c r="Q115" s="4" t="s">
        <v>26</v>
      </c>
      <c r="R115" s="4">
        <v>0</v>
      </c>
      <c r="S115" s="6">
        <v>1</v>
      </c>
      <c r="T115" s="6">
        <v>3</v>
      </c>
      <c r="U115" s="6">
        <v>48</v>
      </c>
      <c r="V115" s="6">
        <f>IF(ISERROR(VLOOKUP($S$115,'TAR FIN'!$A$1:$O$85,15,0)),0,VLOOKUP($S$115,'TAR FIN'!$A$1:$O$85,15,0))</f>
        <v>51.93</v>
      </c>
      <c r="W115" s="6">
        <f>IF(ISERROR(VLOOKUP($T$115,'TAR FIN'!$A$1:$O$85,15,0)),0,VLOOKUP($T$115,'TAR FIN'!$A$1:$O$85,15,0))</f>
        <v>76.75</v>
      </c>
      <c r="X115" s="6">
        <f>IF(ISERROR(VLOOKUP($U$115,'TAR FIN'!$A$1:$O$85,15,0)),0,VLOOKUP($U$115,'TAR FIN'!$A$1:$O$85,15,0))</f>
        <v>492.64</v>
      </c>
      <c r="Y115" s="6">
        <f ca="1">('TUSD BE'!$AM$5+'TUSD BF'!$AM$5+'TUSD CVA'!$AM$5)*1</f>
        <v>57.5166740764178</v>
      </c>
      <c r="Z115" s="6">
        <f ca="1">('TUSD BE'!$AM$7+'TUSD BF'!$AM$7+'TUSD CVA'!$AM$7)*1</f>
        <v>147.99431148733765</v>
      </c>
      <c r="AA115" s="6">
        <f>('TE BE'!$AB$5+'TE BF'!$AB$5+'TE CVA'!$AB$5)*1</f>
        <v>485.87597641853409</v>
      </c>
      <c r="AB115" s="6">
        <f>$K$115*$V$115</f>
        <v>5348.79</v>
      </c>
      <c r="AC115" s="6">
        <f>$M$115*$W$115</f>
        <v>256.65199999999999</v>
      </c>
      <c r="AD115" s="6">
        <f>$O$115*$X$115</f>
        <v>1647.38816</v>
      </c>
      <c r="AE115" s="6">
        <f ca="1">$K$115*$Y$115</f>
        <v>5924.2174298710333</v>
      </c>
      <c r="AF115" s="6">
        <f ca="1">$M$115*$Z$115</f>
        <v>494.89297761365708</v>
      </c>
      <c r="AG115" s="6">
        <f>$O$115*$AA$115</f>
        <v>1624.769265143578</v>
      </c>
    </row>
    <row r="116" spans="1:33" ht="11.25" customHeight="1" x14ac:dyDescent="0.25">
      <c r="A116" s="4" t="s">
        <v>21</v>
      </c>
      <c r="B116" s="4" t="s">
        <v>39</v>
      </c>
      <c r="C116" s="4" t="s">
        <v>42</v>
      </c>
      <c r="D116" s="4" t="s">
        <v>45</v>
      </c>
      <c r="E116" s="4" t="s">
        <v>25</v>
      </c>
      <c r="F116" s="4" t="s">
        <v>25</v>
      </c>
      <c r="G116" s="4" t="s">
        <v>25</v>
      </c>
      <c r="H116" s="4" t="s">
        <v>34</v>
      </c>
      <c r="I116" s="5">
        <v>44531</v>
      </c>
      <c r="J116" s="6">
        <v>192</v>
      </c>
      <c r="K116" s="6">
        <v>192</v>
      </c>
      <c r="L116" s="6">
        <v>7.1040000000000001</v>
      </c>
      <c r="M116" s="6">
        <v>7.1040000000000001</v>
      </c>
      <c r="N116" s="6">
        <v>7.1040000000000001</v>
      </c>
      <c r="O116" s="6">
        <v>7.1040000000000001</v>
      </c>
      <c r="P116" s="6">
        <v>0</v>
      </c>
      <c r="Q116" s="4" t="s">
        <v>26</v>
      </c>
      <c r="R116" s="4">
        <v>0</v>
      </c>
      <c r="S116" s="6">
        <v>1</v>
      </c>
      <c r="T116" s="6">
        <v>3</v>
      </c>
      <c r="U116" s="6">
        <v>48</v>
      </c>
      <c r="V116" s="6">
        <f>IF(ISERROR(VLOOKUP($S$116,'TAR FIN'!$A$1:$O$85,15,0)),0,VLOOKUP($S$116,'TAR FIN'!$A$1:$O$85,15,0))</f>
        <v>51.93</v>
      </c>
      <c r="W116" s="6">
        <f>IF(ISERROR(VLOOKUP($T$116,'TAR FIN'!$A$1:$O$85,15,0)),0,VLOOKUP($T$116,'TAR FIN'!$A$1:$O$85,15,0))</f>
        <v>76.75</v>
      </c>
      <c r="X116" s="6">
        <f>IF(ISERROR(VLOOKUP($U$116,'TAR FIN'!$A$1:$O$85,15,0)),0,VLOOKUP($U$116,'TAR FIN'!$A$1:$O$85,15,0))</f>
        <v>492.64</v>
      </c>
      <c r="Y116" s="6">
        <f ca="1">('TUSD BE'!$AM$5+'TUSD BF'!$AM$5+'TUSD CVA'!$AM$5)*1</f>
        <v>57.5166740764178</v>
      </c>
      <c r="Z116" s="6">
        <f ca="1">('TUSD BE'!$AM$7+'TUSD BF'!$AM$7+'TUSD CVA'!$AM$7)*1</f>
        <v>147.99431148733765</v>
      </c>
      <c r="AA116" s="6">
        <f>('TE BE'!$AB$5+'TE BF'!$AB$5+'TE CVA'!$AB$5)*1</f>
        <v>485.87597641853409</v>
      </c>
      <c r="AB116" s="6">
        <f>$K$116*$V$116</f>
        <v>9970.56</v>
      </c>
      <c r="AC116" s="6">
        <f>$M$116*$W$116</f>
        <v>545.23199999999997</v>
      </c>
      <c r="AD116" s="6">
        <f>$O$116*$X$116</f>
        <v>3499.7145599999999</v>
      </c>
      <c r="AE116" s="6">
        <f ca="1">$K$116*$Y$116</f>
        <v>11043.201422672217</v>
      </c>
      <c r="AF116" s="6">
        <f ca="1">$M$116*$Z$116</f>
        <v>1051.3515888060467</v>
      </c>
      <c r="AG116" s="6">
        <f>$O$116*$AA$116</f>
        <v>3451.6629364772662</v>
      </c>
    </row>
    <row r="117" spans="1:33" ht="11.25" customHeight="1" x14ac:dyDescent="0.25">
      <c r="A117" s="4" t="s">
        <v>28</v>
      </c>
      <c r="B117" s="4" t="s">
        <v>39</v>
      </c>
      <c r="C117" s="4" t="s">
        <v>42</v>
      </c>
      <c r="D117" s="4" t="s">
        <v>45</v>
      </c>
      <c r="E117" s="4" t="s">
        <v>25</v>
      </c>
      <c r="F117" s="4" t="s">
        <v>25</v>
      </c>
      <c r="G117" s="4" t="s">
        <v>25</v>
      </c>
      <c r="H117" s="4" t="s">
        <v>34</v>
      </c>
      <c r="I117" s="5">
        <v>44531</v>
      </c>
      <c r="J117" s="6">
        <v>112</v>
      </c>
      <c r="K117" s="6">
        <v>112</v>
      </c>
      <c r="L117" s="6">
        <v>3.496</v>
      </c>
      <c r="M117" s="6">
        <v>3.496</v>
      </c>
      <c r="N117" s="6">
        <v>3.496</v>
      </c>
      <c r="O117" s="6">
        <v>3.496</v>
      </c>
      <c r="P117" s="6">
        <v>0</v>
      </c>
      <c r="Q117" s="4" t="s">
        <v>26</v>
      </c>
      <c r="R117" s="4">
        <v>0</v>
      </c>
      <c r="S117" s="6">
        <v>1</v>
      </c>
      <c r="T117" s="6">
        <v>3</v>
      </c>
      <c r="U117" s="6">
        <v>48</v>
      </c>
      <c r="V117" s="6">
        <f>IF(ISERROR(VLOOKUP($S$117,'TAR FIN'!$A$1:$O$85,15,0)),0,VLOOKUP($S$117,'TAR FIN'!$A$1:$O$85,15,0))</f>
        <v>51.93</v>
      </c>
      <c r="W117" s="6">
        <f>IF(ISERROR(VLOOKUP($T$117,'TAR FIN'!$A$1:$O$85,15,0)),0,VLOOKUP($T$117,'TAR FIN'!$A$1:$O$85,15,0))</f>
        <v>76.75</v>
      </c>
      <c r="X117" s="6">
        <f>IF(ISERROR(VLOOKUP($U$117,'TAR FIN'!$A$1:$O$85,15,0)),0,VLOOKUP($U$117,'TAR FIN'!$A$1:$O$85,15,0))</f>
        <v>492.64</v>
      </c>
      <c r="Y117" s="6">
        <f ca="1">('TUSD BE'!$AM$5+'TUSD BF'!$AM$5+'TUSD CVA'!$AM$5)*1</f>
        <v>57.5166740764178</v>
      </c>
      <c r="Z117" s="6">
        <f ca="1">('TUSD BE'!$AM$7+'TUSD BF'!$AM$7+'TUSD CVA'!$AM$7)*1</f>
        <v>147.99431148733765</v>
      </c>
      <c r="AA117" s="6">
        <f>('TE BE'!$AB$5+'TE BF'!$AB$5+'TE CVA'!$AB$5)*1</f>
        <v>485.87597641853409</v>
      </c>
      <c r="AB117" s="6">
        <f>$K$117*$V$117</f>
        <v>5816.16</v>
      </c>
      <c r="AC117" s="6">
        <f>$M$117*$W$117</f>
        <v>268.31799999999998</v>
      </c>
      <c r="AD117" s="6">
        <f>$O$117*$X$117</f>
        <v>1722.26944</v>
      </c>
      <c r="AE117" s="6">
        <f ca="1">$K$117*$Y$117</f>
        <v>6441.8674965587934</v>
      </c>
      <c r="AF117" s="6">
        <f ca="1">$M$117*$Z$117</f>
        <v>517.38811295973244</v>
      </c>
      <c r="AG117" s="6">
        <f>$O$117*$AA$117</f>
        <v>1698.6224135591951</v>
      </c>
    </row>
    <row r="118" spans="1:33" ht="11.25" customHeight="1" x14ac:dyDescent="0.25">
      <c r="A118" s="4" t="s">
        <v>21</v>
      </c>
      <c r="B118" s="4" t="s">
        <v>39</v>
      </c>
      <c r="C118" s="4" t="s">
        <v>42</v>
      </c>
      <c r="D118" s="4" t="s">
        <v>45</v>
      </c>
      <c r="E118" s="4" t="s">
        <v>25</v>
      </c>
      <c r="F118" s="4" t="s">
        <v>25</v>
      </c>
      <c r="G118" s="4" t="s">
        <v>25</v>
      </c>
      <c r="H118" s="4" t="s">
        <v>34</v>
      </c>
      <c r="I118" s="5">
        <v>44562</v>
      </c>
      <c r="J118" s="6">
        <v>196</v>
      </c>
      <c r="K118" s="6">
        <v>196</v>
      </c>
      <c r="L118" s="6">
        <v>6.194</v>
      </c>
      <c r="M118" s="6">
        <v>6.194</v>
      </c>
      <c r="N118" s="6">
        <v>6.194</v>
      </c>
      <c r="O118" s="6">
        <v>6.194</v>
      </c>
      <c r="P118" s="6">
        <v>0</v>
      </c>
      <c r="Q118" s="4" t="s">
        <v>26</v>
      </c>
      <c r="R118" s="4">
        <v>0</v>
      </c>
      <c r="S118" s="6">
        <v>1</v>
      </c>
      <c r="T118" s="6">
        <v>3</v>
      </c>
      <c r="U118" s="6">
        <v>48</v>
      </c>
      <c r="V118" s="6">
        <f>IF(ISERROR(VLOOKUP($S$118,'TAR FIN'!$A$1:$O$85,15,0)),0,VLOOKUP($S$118,'TAR FIN'!$A$1:$O$85,15,0))</f>
        <v>51.93</v>
      </c>
      <c r="W118" s="6">
        <f>IF(ISERROR(VLOOKUP($T$118,'TAR FIN'!$A$1:$O$85,15,0)),0,VLOOKUP($T$118,'TAR FIN'!$A$1:$O$85,15,0))</f>
        <v>76.75</v>
      </c>
      <c r="X118" s="6">
        <f>IF(ISERROR(VLOOKUP($U$118,'TAR FIN'!$A$1:$O$85,15,0)),0,VLOOKUP($U$118,'TAR FIN'!$A$1:$O$85,15,0))</f>
        <v>492.64</v>
      </c>
      <c r="Y118" s="6">
        <f ca="1">('TUSD BE'!$AM$5+'TUSD BF'!$AM$5+'TUSD CVA'!$AM$5)*1</f>
        <v>57.5166740764178</v>
      </c>
      <c r="Z118" s="6">
        <f ca="1">('TUSD BE'!$AM$7+'TUSD BF'!$AM$7+'TUSD CVA'!$AM$7)*1</f>
        <v>147.99431148733765</v>
      </c>
      <c r="AA118" s="6">
        <f>('TE BE'!$AB$5+'TE BF'!$AB$5+'TE CVA'!$AB$5)*1</f>
        <v>485.87597641853409</v>
      </c>
      <c r="AB118" s="6">
        <f>$K$118*$V$118</f>
        <v>10178.280000000001</v>
      </c>
      <c r="AC118" s="6">
        <f>$M$118*$W$118</f>
        <v>475.3895</v>
      </c>
      <c r="AD118" s="6">
        <f>$O$118*$X$118</f>
        <v>3051.4121599999999</v>
      </c>
      <c r="AE118" s="6">
        <f ca="1">$K$118*$Y$118</f>
        <v>11273.268118977889</v>
      </c>
      <c r="AF118" s="6">
        <f ca="1">$M$118*$Z$118</f>
        <v>916.67676535256942</v>
      </c>
      <c r="AG118" s="6">
        <f>$O$118*$AA$118</f>
        <v>3009.5157979364003</v>
      </c>
    </row>
    <row r="119" spans="1:33" ht="11.25" customHeight="1" x14ac:dyDescent="0.25">
      <c r="A119" s="4" t="s">
        <v>28</v>
      </c>
      <c r="B119" s="4" t="s">
        <v>39</v>
      </c>
      <c r="C119" s="4" t="s">
        <v>42</v>
      </c>
      <c r="D119" s="4" t="s">
        <v>45</v>
      </c>
      <c r="E119" s="4" t="s">
        <v>25</v>
      </c>
      <c r="F119" s="4" t="s">
        <v>25</v>
      </c>
      <c r="G119" s="4" t="s">
        <v>25</v>
      </c>
      <c r="H119" s="4" t="s">
        <v>34</v>
      </c>
      <c r="I119" s="5">
        <v>44562</v>
      </c>
      <c r="J119" s="6">
        <v>46</v>
      </c>
      <c r="K119" s="6">
        <v>46</v>
      </c>
      <c r="L119" s="6">
        <v>1.45</v>
      </c>
      <c r="M119" s="6">
        <v>1.45</v>
      </c>
      <c r="N119" s="6">
        <v>1.45</v>
      </c>
      <c r="O119" s="6">
        <v>1.45</v>
      </c>
      <c r="P119" s="6">
        <v>0</v>
      </c>
      <c r="Q119" s="4" t="s">
        <v>26</v>
      </c>
      <c r="R119" s="4">
        <v>0</v>
      </c>
      <c r="S119" s="6">
        <v>1</v>
      </c>
      <c r="T119" s="6">
        <v>3</v>
      </c>
      <c r="U119" s="6">
        <v>48</v>
      </c>
      <c r="V119" s="6">
        <f>IF(ISERROR(VLOOKUP($S$119,'TAR FIN'!$A$1:$O$85,15,0)),0,VLOOKUP($S$119,'TAR FIN'!$A$1:$O$85,15,0))</f>
        <v>51.93</v>
      </c>
      <c r="W119" s="6">
        <f>IF(ISERROR(VLOOKUP($T$119,'TAR FIN'!$A$1:$O$85,15,0)),0,VLOOKUP($T$119,'TAR FIN'!$A$1:$O$85,15,0))</f>
        <v>76.75</v>
      </c>
      <c r="X119" s="6">
        <f>IF(ISERROR(VLOOKUP($U$119,'TAR FIN'!$A$1:$O$85,15,0)),0,VLOOKUP($U$119,'TAR FIN'!$A$1:$O$85,15,0))</f>
        <v>492.64</v>
      </c>
      <c r="Y119" s="6">
        <f ca="1">('TUSD BE'!$AM$5+'TUSD BF'!$AM$5+'TUSD CVA'!$AM$5)*1</f>
        <v>57.5166740764178</v>
      </c>
      <c r="Z119" s="6">
        <f ca="1">('TUSD BE'!$AM$7+'TUSD BF'!$AM$7+'TUSD CVA'!$AM$7)*1</f>
        <v>147.99431148733765</v>
      </c>
      <c r="AA119" s="6">
        <f>('TE BE'!$AB$5+'TE BF'!$AB$5+'TE CVA'!$AB$5)*1</f>
        <v>485.87597641853409</v>
      </c>
      <c r="AB119" s="6">
        <f>$K$119*$V$119</f>
        <v>2388.7800000000002</v>
      </c>
      <c r="AC119" s="6">
        <f>$M$119*$W$119</f>
        <v>111.28749999999999</v>
      </c>
      <c r="AD119" s="6">
        <f>$O$119*$X$119</f>
        <v>714.32799999999997</v>
      </c>
      <c r="AE119" s="6">
        <f ca="1">$K$119*$Y$119</f>
        <v>2645.7670075152187</v>
      </c>
      <c r="AF119" s="6">
        <f ca="1">$M$119*$Z$119</f>
        <v>214.59175165663959</v>
      </c>
      <c r="AG119" s="6">
        <f>$O$119*$AA$119</f>
        <v>704.52016580687439</v>
      </c>
    </row>
    <row r="120" spans="1:33" ht="11.25" customHeight="1" x14ac:dyDescent="0.25">
      <c r="A120" s="4" t="s">
        <v>21</v>
      </c>
      <c r="B120" s="4" t="s">
        <v>39</v>
      </c>
      <c r="C120" s="4" t="s">
        <v>42</v>
      </c>
      <c r="D120" s="4" t="s">
        <v>45</v>
      </c>
      <c r="E120" s="4" t="s">
        <v>25</v>
      </c>
      <c r="F120" s="4" t="s">
        <v>25</v>
      </c>
      <c r="G120" s="4" t="s">
        <v>25</v>
      </c>
      <c r="H120" s="4" t="s">
        <v>34</v>
      </c>
      <c r="I120" s="5">
        <v>44593</v>
      </c>
      <c r="J120" s="6">
        <v>200</v>
      </c>
      <c r="K120" s="6">
        <v>200</v>
      </c>
      <c r="L120" s="6">
        <v>7.3529999999999998</v>
      </c>
      <c r="M120" s="6">
        <v>7.3529999999999998</v>
      </c>
      <c r="N120" s="6">
        <v>7.3529999999999998</v>
      </c>
      <c r="O120" s="6">
        <v>7.3529999999999998</v>
      </c>
      <c r="P120" s="6">
        <v>0</v>
      </c>
      <c r="Q120" s="4" t="s">
        <v>26</v>
      </c>
      <c r="R120" s="4">
        <v>0</v>
      </c>
      <c r="S120" s="6">
        <v>1</v>
      </c>
      <c r="T120" s="6">
        <v>3</v>
      </c>
      <c r="U120" s="6">
        <v>48</v>
      </c>
      <c r="V120" s="6">
        <f>IF(ISERROR(VLOOKUP($S$120,'TAR FIN'!$A$1:$O$85,15,0)),0,VLOOKUP($S$120,'TAR FIN'!$A$1:$O$85,15,0))</f>
        <v>51.93</v>
      </c>
      <c r="W120" s="6">
        <f>IF(ISERROR(VLOOKUP($T$120,'TAR FIN'!$A$1:$O$85,15,0)),0,VLOOKUP($T$120,'TAR FIN'!$A$1:$O$85,15,0))</f>
        <v>76.75</v>
      </c>
      <c r="X120" s="6">
        <f>IF(ISERROR(VLOOKUP($U$120,'TAR FIN'!$A$1:$O$85,15,0)),0,VLOOKUP($U$120,'TAR FIN'!$A$1:$O$85,15,0))</f>
        <v>492.64</v>
      </c>
      <c r="Y120" s="6">
        <f ca="1">('TUSD BE'!$AM$5+'TUSD BF'!$AM$5+'TUSD CVA'!$AM$5)*1</f>
        <v>57.5166740764178</v>
      </c>
      <c r="Z120" s="6">
        <f ca="1">('TUSD BE'!$AM$7+'TUSD BF'!$AM$7+'TUSD CVA'!$AM$7)*1</f>
        <v>147.99431148733765</v>
      </c>
      <c r="AA120" s="6">
        <f>('TE BE'!$AB$5+'TE BF'!$AB$5+'TE CVA'!$AB$5)*1</f>
        <v>485.87597641853409</v>
      </c>
      <c r="AB120" s="6">
        <f>$K$120*$V$120</f>
        <v>10386</v>
      </c>
      <c r="AC120" s="6">
        <f>$M$120*$W$120</f>
        <v>564.34275000000002</v>
      </c>
      <c r="AD120" s="6">
        <f>$O$120*$X$120</f>
        <v>3622.3819199999998</v>
      </c>
      <c r="AE120" s="6">
        <f ca="1">$K$120*$Y$120</f>
        <v>11503.334815283561</v>
      </c>
      <c r="AF120" s="6">
        <f ca="1">$M$120*$Z$120</f>
        <v>1088.2021723663938</v>
      </c>
      <c r="AG120" s="6">
        <f>$O$120*$AA$120</f>
        <v>3572.6460546054809</v>
      </c>
    </row>
    <row r="121" spans="1:33" ht="11.25" customHeight="1" x14ac:dyDescent="0.25">
      <c r="A121" s="4" t="s">
        <v>28</v>
      </c>
      <c r="B121" s="4" t="s">
        <v>39</v>
      </c>
      <c r="C121" s="4" t="s">
        <v>42</v>
      </c>
      <c r="D121" s="4" t="s">
        <v>45</v>
      </c>
      <c r="E121" s="4" t="s">
        <v>25</v>
      </c>
      <c r="F121" s="4" t="s">
        <v>25</v>
      </c>
      <c r="G121" s="4" t="s">
        <v>25</v>
      </c>
      <c r="H121" s="4" t="s">
        <v>34</v>
      </c>
      <c r="I121" s="5">
        <v>44593</v>
      </c>
      <c r="J121" s="6">
        <v>98</v>
      </c>
      <c r="K121" s="6">
        <v>98</v>
      </c>
      <c r="L121" s="6">
        <v>3.3929999999999998</v>
      </c>
      <c r="M121" s="6">
        <v>3.3929999999999998</v>
      </c>
      <c r="N121" s="6">
        <v>3.3929999999999998</v>
      </c>
      <c r="O121" s="6">
        <v>3.3929999999999998</v>
      </c>
      <c r="P121" s="6">
        <v>0</v>
      </c>
      <c r="Q121" s="4" t="s">
        <v>26</v>
      </c>
      <c r="R121" s="4">
        <v>0</v>
      </c>
      <c r="S121" s="6">
        <v>1</v>
      </c>
      <c r="T121" s="6">
        <v>3</v>
      </c>
      <c r="U121" s="6">
        <v>48</v>
      </c>
      <c r="V121" s="6">
        <f>IF(ISERROR(VLOOKUP($S$121,'TAR FIN'!$A$1:$O$85,15,0)),0,VLOOKUP($S$121,'TAR FIN'!$A$1:$O$85,15,0))</f>
        <v>51.93</v>
      </c>
      <c r="W121" s="6">
        <f>IF(ISERROR(VLOOKUP($T$121,'TAR FIN'!$A$1:$O$85,15,0)),0,VLOOKUP($T$121,'TAR FIN'!$A$1:$O$85,15,0))</f>
        <v>76.75</v>
      </c>
      <c r="X121" s="6">
        <f>IF(ISERROR(VLOOKUP($U$121,'TAR FIN'!$A$1:$O$85,15,0)),0,VLOOKUP($U$121,'TAR FIN'!$A$1:$O$85,15,0))</f>
        <v>492.64</v>
      </c>
      <c r="Y121" s="6">
        <f ca="1">('TUSD BE'!$AM$5+'TUSD BF'!$AM$5+'TUSD CVA'!$AM$5)*1</f>
        <v>57.5166740764178</v>
      </c>
      <c r="Z121" s="6">
        <f ca="1">('TUSD BE'!$AM$7+'TUSD BF'!$AM$7+'TUSD CVA'!$AM$7)*1</f>
        <v>147.99431148733765</v>
      </c>
      <c r="AA121" s="6">
        <f>('TE BE'!$AB$5+'TE BF'!$AB$5+'TE CVA'!$AB$5)*1</f>
        <v>485.87597641853409</v>
      </c>
      <c r="AB121" s="6">
        <f>$K$121*$V$121</f>
        <v>5089.1400000000003</v>
      </c>
      <c r="AC121" s="6">
        <f>$M$121*$W$121</f>
        <v>260.41274999999996</v>
      </c>
      <c r="AD121" s="6">
        <f>$O$121*$X$121</f>
        <v>1671.5275199999999</v>
      </c>
      <c r="AE121" s="6">
        <f ca="1">$K$121*$Y$121</f>
        <v>5636.6340594889443</v>
      </c>
      <c r="AF121" s="6">
        <f ca="1">$M$121*$Z$121</f>
        <v>502.14469887653661</v>
      </c>
      <c r="AG121" s="6">
        <f>$O$121*$AA$121</f>
        <v>1648.5771879880861</v>
      </c>
    </row>
    <row r="122" spans="1:33" ht="11.25" customHeight="1" x14ac:dyDescent="0.25">
      <c r="A122" s="4" t="s">
        <v>21</v>
      </c>
      <c r="B122" s="4" t="s">
        <v>39</v>
      </c>
      <c r="C122" s="4" t="s">
        <v>42</v>
      </c>
      <c r="D122" s="4" t="s">
        <v>45</v>
      </c>
      <c r="E122" s="4" t="s">
        <v>25</v>
      </c>
      <c r="F122" s="4" t="s">
        <v>25</v>
      </c>
      <c r="G122" s="4" t="s">
        <v>25</v>
      </c>
      <c r="H122" s="4" t="s">
        <v>34</v>
      </c>
      <c r="I122" s="5">
        <v>44621</v>
      </c>
      <c r="J122" s="6">
        <v>206</v>
      </c>
      <c r="K122" s="6">
        <v>206</v>
      </c>
      <c r="L122" s="6">
        <v>8.798</v>
      </c>
      <c r="M122" s="6">
        <v>8.798</v>
      </c>
      <c r="N122" s="6">
        <v>8.798</v>
      </c>
      <c r="O122" s="6">
        <v>8.798</v>
      </c>
      <c r="P122" s="6">
        <v>0</v>
      </c>
      <c r="Q122" s="4" t="s">
        <v>26</v>
      </c>
      <c r="R122" s="4">
        <v>0</v>
      </c>
      <c r="S122" s="6">
        <v>1</v>
      </c>
      <c r="T122" s="6">
        <v>3</v>
      </c>
      <c r="U122" s="6">
        <v>48</v>
      </c>
      <c r="V122" s="6">
        <f>IF(ISERROR(VLOOKUP($S$122,'TAR FIN'!$A$1:$O$85,15,0)),0,VLOOKUP($S$122,'TAR FIN'!$A$1:$O$85,15,0))</f>
        <v>51.93</v>
      </c>
      <c r="W122" s="6">
        <f>IF(ISERROR(VLOOKUP($T$122,'TAR FIN'!$A$1:$O$85,15,0)),0,VLOOKUP($T$122,'TAR FIN'!$A$1:$O$85,15,0))</f>
        <v>76.75</v>
      </c>
      <c r="X122" s="6">
        <f>IF(ISERROR(VLOOKUP($U$122,'TAR FIN'!$A$1:$O$85,15,0)),0,VLOOKUP($U$122,'TAR FIN'!$A$1:$O$85,15,0))</f>
        <v>492.64</v>
      </c>
      <c r="Y122" s="6">
        <f ca="1">('TUSD BE'!$AM$5+'TUSD BF'!$AM$5+'TUSD CVA'!$AM$5)*1</f>
        <v>57.5166740764178</v>
      </c>
      <c r="Z122" s="6">
        <f ca="1">('TUSD BE'!$AM$7+'TUSD BF'!$AM$7+'TUSD CVA'!$AM$7)*1</f>
        <v>147.99431148733765</v>
      </c>
      <c r="AA122" s="6">
        <f>('TE BE'!$AB$5+'TE BF'!$AB$5+'TE CVA'!$AB$5)*1</f>
        <v>485.87597641853409</v>
      </c>
      <c r="AB122" s="6">
        <f>$K$122*$V$122</f>
        <v>10697.58</v>
      </c>
      <c r="AC122" s="6">
        <f>$M$122*$W$122</f>
        <v>675.24649999999997</v>
      </c>
      <c r="AD122" s="6">
        <f>$O$122*$X$122</f>
        <v>4334.2467200000001</v>
      </c>
      <c r="AE122" s="6">
        <f ca="1">$K$122*$Y$122</f>
        <v>11848.434859742067</v>
      </c>
      <c r="AF122" s="6">
        <f ca="1">$M$122*$Z$122</f>
        <v>1302.0539524655967</v>
      </c>
      <c r="AG122" s="6">
        <f>$O$122*$AA$122</f>
        <v>4274.7368405302632</v>
      </c>
    </row>
    <row r="123" spans="1:33" ht="11.25" customHeight="1" x14ac:dyDescent="0.25">
      <c r="A123" s="4" t="s">
        <v>28</v>
      </c>
      <c r="B123" s="4" t="s">
        <v>39</v>
      </c>
      <c r="C123" s="4" t="s">
        <v>42</v>
      </c>
      <c r="D123" s="4" t="s">
        <v>45</v>
      </c>
      <c r="E123" s="4" t="s">
        <v>25</v>
      </c>
      <c r="F123" s="4" t="s">
        <v>25</v>
      </c>
      <c r="G123" s="4" t="s">
        <v>25</v>
      </c>
      <c r="H123" s="4" t="s">
        <v>34</v>
      </c>
      <c r="I123" s="5">
        <v>44621</v>
      </c>
      <c r="J123" s="6">
        <v>137</v>
      </c>
      <c r="K123" s="6">
        <v>137</v>
      </c>
      <c r="L123" s="6">
        <v>5.3719999999999999</v>
      </c>
      <c r="M123" s="6">
        <v>5.3719999999999999</v>
      </c>
      <c r="N123" s="6">
        <v>5.3719999999999999</v>
      </c>
      <c r="O123" s="6">
        <v>5.3719999999999999</v>
      </c>
      <c r="P123" s="6">
        <v>0</v>
      </c>
      <c r="Q123" s="4" t="s">
        <v>26</v>
      </c>
      <c r="R123" s="4">
        <v>0</v>
      </c>
      <c r="S123" s="6">
        <v>1</v>
      </c>
      <c r="T123" s="6">
        <v>3</v>
      </c>
      <c r="U123" s="6">
        <v>48</v>
      </c>
      <c r="V123" s="6">
        <f>IF(ISERROR(VLOOKUP($S$123,'TAR FIN'!$A$1:$O$85,15,0)),0,VLOOKUP($S$123,'TAR FIN'!$A$1:$O$85,15,0))</f>
        <v>51.93</v>
      </c>
      <c r="W123" s="6">
        <f>IF(ISERROR(VLOOKUP($T$123,'TAR FIN'!$A$1:$O$85,15,0)),0,VLOOKUP($T$123,'TAR FIN'!$A$1:$O$85,15,0))</f>
        <v>76.75</v>
      </c>
      <c r="X123" s="6">
        <f>IF(ISERROR(VLOOKUP($U$123,'TAR FIN'!$A$1:$O$85,15,0)),0,VLOOKUP($U$123,'TAR FIN'!$A$1:$O$85,15,0))</f>
        <v>492.64</v>
      </c>
      <c r="Y123" s="6">
        <f ca="1">('TUSD BE'!$AM$5+'TUSD BF'!$AM$5+'TUSD CVA'!$AM$5)*1</f>
        <v>57.5166740764178</v>
      </c>
      <c r="Z123" s="6">
        <f ca="1">('TUSD BE'!$AM$7+'TUSD BF'!$AM$7+'TUSD CVA'!$AM$7)*1</f>
        <v>147.99431148733765</v>
      </c>
      <c r="AA123" s="6">
        <f>('TE BE'!$AB$5+'TE BF'!$AB$5+'TE CVA'!$AB$5)*1</f>
        <v>485.87597641853409</v>
      </c>
      <c r="AB123" s="6">
        <f>$K$123*$V$123</f>
        <v>7114.41</v>
      </c>
      <c r="AC123" s="6">
        <f>$M$123*$W$123</f>
        <v>412.30099999999999</v>
      </c>
      <c r="AD123" s="6">
        <f>$O$123*$X$123</f>
        <v>2646.4620799999998</v>
      </c>
      <c r="AE123" s="6">
        <f ca="1">$K$123*$Y$123</f>
        <v>7879.7843484692385</v>
      </c>
      <c r="AF123" s="6">
        <f ca="1">$M$123*$Z$123</f>
        <v>795.02544130997785</v>
      </c>
      <c r="AG123" s="6">
        <f>$O$123*$AA$123</f>
        <v>2610.1257453203652</v>
      </c>
    </row>
    <row r="124" spans="1:33" ht="11.25" customHeight="1" x14ac:dyDescent="0.25">
      <c r="A124" s="4" t="s">
        <v>21</v>
      </c>
      <c r="B124" s="4" t="s">
        <v>39</v>
      </c>
      <c r="C124" s="4" t="s">
        <v>42</v>
      </c>
      <c r="D124" s="4" t="s">
        <v>45</v>
      </c>
      <c r="E124" s="4" t="s">
        <v>25</v>
      </c>
      <c r="F124" s="4" t="s">
        <v>25</v>
      </c>
      <c r="G124" s="4" t="s">
        <v>25</v>
      </c>
      <c r="H124" s="4" t="s">
        <v>34</v>
      </c>
      <c r="I124" s="5">
        <v>44652</v>
      </c>
      <c r="J124" s="6">
        <v>207</v>
      </c>
      <c r="K124" s="6">
        <v>207</v>
      </c>
      <c r="L124" s="6">
        <v>8.1839999999999993</v>
      </c>
      <c r="M124" s="6">
        <v>8.1839999999999993</v>
      </c>
      <c r="N124" s="6">
        <v>8.1839999999999993</v>
      </c>
      <c r="O124" s="6">
        <v>8.1839999999999993</v>
      </c>
      <c r="P124" s="6">
        <v>0</v>
      </c>
      <c r="Q124" s="4" t="s">
        <v>26</v>
      </c>
      <c r="R124" s="4">
        <v>0</v>
      </c>
      <c r="S124" s="6">
        <v>1</v>
      </c>
      <c r="T124" s="6">
        <v>3</v>
      </c>
      <c r="U124" s="6">
        <v>48</v>
      </c>
      <c r="V124" s="6">
        <f>IF(ISERROR(VLOOKUP($S$124,'TAR FIN'!$A$1:$O$85,15,0)),0,VLOOKUP($S$124,'TAR FIN'!$A$1:$O$85,15,0))</f>
        <v>51.93</v>
      </c>
      <c r="W124" s="6">
        <f>IF(ISERROR(VLOOKUP($T$124,'TAR FIN'!$A$1:$O$85,15,0)),0,VLOOKUP($T$124,'TAR FIN'!$A$1:$O$85,15,0))</f>
        <v>76.75</v>
      </c>
      <c r="X124" s="6">
        <f>IF(ISERROR(VLOOKUP($U$124,'TAR FIN'!$A$1:$O$85,15,0)),0,VLOOKUP($U$124,'TAR FIN'!$A$1:$O$85,15,0))</f>
        <v>492.64</v>
      </c>
      <c r="Y124" s="6">
        <f ca="1">('TUSD BE'!$AM$5+'TUSD BF'!$AM$5+'TUSD CVA'!$AM$5)*1</f>
        <v>57.5166740764178</v>
      </c>
      <c r="Z124" s="6">
        <f ca="1">('TUSD BE'!$AM$7+'TUSD BF'!$AM$7+'TUSD CVA'!$AM$7)*1</f>
        <v>147.99431148733765</v>
      </c>
      <c r="AA124" s="6">
        <f>('TE BE'!$AB$5+'TE BF'!$AB$5+'TE CVA'!$AB$5)*1</f>
        <v>485.87597641853409</v>
      </c>
      <c r="AB124" s="6">
        <f>$K$124*$V$124</f>
        <v>10749.51</v>
      </c>
      <c r="AC124" s="6">
        <f>$M$124*$W$124</f>
        <v>628.12199999999996</v>
      </c>
      <c r="AD124" s="6">
        <f>$O$124*$X$124</f>
        <v>4031.7657599999993</v>
      </c>
      <c r="AE124" s="6">
        <f ca="1">$K$124*$Y$124</f>
        <v>11905.951533818485</v>
      </c>
      <c r="AF124" s="6">
        <f ca="1">$M$124*$Z$124</f>
        <v>1211.1854452123712</v>
      </c>
      <c r="AG124" s="6">
        <f>$O$124*$AA$124</f>
        <v>3976.4089910092825</v>
      </c>
    </row>
    <row r="125" spans="1:33" ht="11.25" customHeight="1" x14ac:dyDescent="0.25">
      <c r="A125" s="4" t="s">
        <v>28</v>
      </c>
      <c r="B125" s="4" t="s">
        <v>39</v>
      </c>
      <c r="C125" s="4" t="s">
        <v>42</v>
      </c>
      <c r="D125" s="4" t="s">
        <v>45</v>
      </c>
      <c r="E125" s="4" t="s">
        <v>25</v>
      </c>
      <c r="F125" s="4" t="s">
        <v>25</v>
      </c>
      <c r="G125" s="4" t="s">
        <v>25</v>
      </c>
      <c r="H125" s="4" t="s">
        <v>34</v>
      </c>
      <c r="I125" s="5">
        <v>44652</v>
      </c>
      <c r="J125" s="6">
        <v>130</v>
      </c>
      <c r="K125" s="6">
        <v>130</v>
      </c>
      <c r="L125" s="6">
        <v>4.6459999999999999</v>
      </c>
      <c r="M125" s="6">
        <v>4.6459999999999999</v>
      </c>
      <c r="N125" s="6">
        <v>4.6459999999999999</v>
      </c>
      <c r="O125" s="6">
        <v>4.6459999999999999</v>
      </c>
      <c r="P125" s="6">
        <v>0</v>
      </c>
      <c r="Q125" s="4" t="s">
        <v>26</v>
      </c>
      <c r="R125" s="4">
        <v>0</v>
      </c>
      <c r="S125" s="6">
        <v>1</v>
      </c>
      <c r="T125" s="6">
        <v>3</v>
      </c>
      <c r="U125" s="6">
        <v>48</v>
      </c>
      <c r="V125" s="6">
        <f>IF(ISERROR(VLOOKUP($S$125,'TAR FIN'!$A$1:$O$85,15,0)),0,VLOOKUP($S$125,'TAR FIN'!$A$1:$O$85,15,0))</f>
        <v>51.93</v>
      </c>
      <c r="W125" s="6">
        <f>IF(ISERROR(VLOOKUP($T$125,'TAR FIN'!$A$1:$O$85,15,0)),0,VLOOKUP($T$125,'TAR FIN'!$A$1:$O$85,15,0))</f>
        <v>76.75</v>
      </c>
      <c r="X125" s="6">
        <f>IF(ISERROR(VLOOKUP($U$125,'TAR FIN'!$A$1:$O$85,15,0)),0,VLOOKUP($U$125,'TAR FIN'!$A$1:$O$85,15,0))</f>
        <v>492.64</v>
      </c>
      <c r="Y125" s="6">
        <f ca="1">('TUSD BE'!$AM$5+'TUSD BF'!$AM$5+'TUSD CVA'!$AM$5)*1</f>
        <v>57.5166740764178</v>
      </c>
      <c r="Z125" s="6">
        <f ca="1">('TUSD BE'!$AM$7+'TUSD BF'!$AM$7+'TUSD CVA'!$AM$7)*1</f>
        <v>147.99431148733765</v>
      </c>
      <c r="AA125" s="6">
        <f>('TE BE'!$AB$5+'TE BF'!$AB$5+'TE CVA'!$AB$5)*1</f>
        <v>485.87597641853409</v>
      </c>
      <c r="AB125" s="6">
        <f>$K$125*$V$125</f>
        <v>6750.9</v>
      </c>
      <c r="AC125" s="6">
        <f>$M$125*$W$125</f>
        <v>356.58049999999997</v>
      </c>
      <c r="AD125" s="6">
        <f>$O$125*$X$125</f>
        <v>2288.8054400000001</v>
      </c>
      <c r="AE125" s="6">
        <f ca="1">$K$125*$Y$125</f>
        <v>7477.1676299343144</v>
      </c>
      <c r="AF125" s="6">
        <f ca="1">$M$125*$Z$125</f>
        <v>687.58157117017072</v>
      </c>
      <c r="AG125" s="6">
        <f>$O$125*$AA$125</f>
        <v>2257.3797864405092</v>
      </c>
    </row>
    <row r="126" spans="1:33" ht="11.25" customHeight="1" x14ac:dyDescent="0.25">
      <c r="A126" s="4" t="s">
        <v>21</v>
      </c>
      <c r="B126" s="4" t="s">
        <v>39</v>
      </c>
      <c r="C126" s="4" t="s">
        <v>42</v>
      </c>
      <c r="D126" s="4" t="s">
        <v>45</v>
      </c>
      <c r="E126" s="4" t="s">
        <v>25</v>
      </c>
      <c r="F126" s="4" t="s">
        <v>25</v>
      </c>
      <c r="G126" s="4" t="s">
        <v>25</v>
      </c>
      <c r="H126" s="4" t="s">
        <v>34</v>
      </c>
      <c r="I126" s="5">
        <v>44682</v>
      </c>
      <c r="J126" s="6">
        <v>191</v>
      </c>
      <c r="K126" s="6">
        <v>191</v>
      </c>
      <c r="L126" s="6">
        <v>6.0069999999999997</v>
      </c>
      <c r="M126" s="6">
        <v>6.0069999999999997</v>
      </c>
      <c r="N126" s="6">
        <v>6.0069999999999997</v>
      </c>
      <c r="O126" s="6">
        <v>6.0069999999999997</v>
      </c>
      <c r="P126" s="6">
        <v>0</v>
      </c>
      <c r="Q126" s="4" t="s">
        <v>26</v>
      </c>
      <c r="R126" s="4">
        <v>0</v>
      </c>
      <c r="S126" s="6">
        <v>1</v>
      </c>
      <c r="T126" s="6">
        <v>3</v>
      </c>
      <c r="U126" s="6">
        <v>48</v>
      </c>
      <c r="V126" s="6">
        <f>IF(ISERROR(VLOOKUP($S$126,'TAR FIN'!$A$1:$O$85,15,0)),0,VLOOKUP($S$126,'TAR FIN'!$A$1:$O$85,15,0))</f>
        <v>51.93</v>
      </c>
      <c r="W126" s="6">
        <f>IF(ISERROR(VLOOKUP($T$126,'TAR FIN'!$A$1:$O$85,15,0)),0,VLOOKUP($T$126,'TAR FIN'!$A$1:$O$85,15,0))</f>
        <v>76.75</v>
      </c>
      <c r="X126" s="6">
        <f>IF(ISERROR(VLOOKUP($U$126,'TAR FIN'!$A$1:$O$85,15,0)),0,VLOOKUP($U$126,'TAR FIN'!$A$1:$O$85,15,0))</f>
        <v>492.64</v>
      </c>
      <c r="Y126" s="6">
        <f ca="1">('TUSD BE'!$AM$5+'TUSD BF'!$AM$5+'TUSD CVA'!$AM$5)*1</f>
        <v>57.5166740764178</v>
      </c>
      <c r="Z126" s="6">
        <f ca="1">('TUSD BE'!$AM$7+'TUSD BF'!$AM$7+'TUSD CVA'!$AM$7)*1</f>
        <v>147.99431148733765</v>
      </c>
      <c r="AA126" s="6">
        <f>('TE BE'!$AB$5+'TE BF'!$AB$5+'TE CVA'!$AB$5)*1</f>
        <v>485.87597641853409</v>
      </c>
      <c r="AB126" s="6">
        <f>$K$126*$V$126</f>
        <v>9918.6299999999992</v>
      </c>
      <c r="AC126" s="6">
        <f>$M$126*$W$126</f>
        <v>461.03724999999997</v>
      </c>
      <c r="AD126" s="6">
        <f>$O$126*$X$126</f>
        <v>2959.2884799999997</v>
      </c>
      <c r="AE126" s="6">
        <f ca="1">$K$126*$Y$126</f>
        <v>10985.684748595801</v>
      </c>
      <c r="AF126" s="6">
        <f ca="1">$M$126*$Z$126</f>
        <v>889.00182910443721</v>
      </c>
      <c r="AG126" s="6">
        <f>$O$126*$AA$126</f>
        <v>2918.6569903461341</v>
      </c>
    </row>
    <row r="127" spans="1:33" ht="11.25" customHeight="1" x14ac:dyDescent="0.25">
      <c r="A127" s="4" t="s">
        <v>28</v>
      </c>
      <c r="B127" s="4" t="s">
        <v>39</v>
      </c>
      <c r="C127" s="4" t="s">
        <v>42</v>
      </c>
      <c r="D127" s="4" t="s">
        <v>45</v>
      </c>
      <c r="E127" s="4" t="s">
        <v>25</v>
      </c>
      <c r="F127" s="4" t="s">
        <v>25</v>
      </c>
      <c r="G127" s="4" t="s">
        <v>25</v>
      </c>
      <c r="H127" s="4" t="s">
        <v>34</v>
      </c>
      <c r="I127" s="5">
        <v>44682</v>
      </c>
      <c r="J127" s="6">
        <v>110</v>
      </c>
      <c r="K127" s="6">
        <v>110</v>
      </c>
      <c r="L127" s="6">
        <v>3.8519999999999999</v>
      </c>
      <c r="M127" s="6">
        <v>3.8519999999999999</v>
      </c>
      <c r="N127" s="6">
        <v>3.8519999999999999</v>
      </c>
      <c r="O127" s="6">
        <v>3.8519999999999999</v>
      </c>
      <c r="P127" s="6">
        <v>0</v>
      </c>
      <c r="Q127" s="4" t="s">
        <v>26</v>
      </c>
      <c r="R127" s="4">
        <v>0</v>
      </c>
      <c r="S127" s="6">
        <v>1</v>
      </c>
      <c r="T127" s="6">
        <v>3</v>
      </c>
      <c r="U127" s="6">
        <v>48</v>
      </c>
      <c r="V127" s="6">
        <f>IF(ISERROR(VLOOKUP($S$127,'TAR FIN'!$A$1:$O$85,15,0)),0,VLOOKUP($S$127,'TAR FIN'!$A$1:$O$85,15,0))</f>
        <v>51.93</v>
      </c>
      <c r="W127" s="6">
        <f>IF(ISERROR(VLOOKUP($T$127,'TAR FIN'!$A$1:$O$85,15,0)),0,VLOOKUP($T$127,'TAR FIN'!$A$1:$O$85,15,0))</f>
        <v>76.75</v>
      </c>
      <c r="X127" s="6">
        <f>IF(ISERROR(VLOOKUP($U$127,'TAR FIN'!$A$1:$O$85,15,0)),0,VLOOKUP($U$127,'TAR FIN'!$A$1:$O$85,15,0))</f>
        <v>492.64</v>
      </c>
      <c r="Y127" s="6">
        <f ca="1">('TUSD BE'!$AM$5+'TUSD BF'!$AM$5+'TUSD CVA'!$AM$5)*1</f>
        <v>57.5166740764178</v>
      </c>
      <c r="Z127" s="6">
        <f ca="1">('TUSD BE'!$AM$7+'TUSD BF'!$AM$7+'TUSD CVA'!$AM$7)*1</f>
        <v>147.99431148733765</v>
      </c>
      <c r="AA127" s="6">
        <f>('TE BE'!$AB$5+'TE BF'!$AB$5+'TE CVA'!$AB$5)*1</f>
        <v>485.87597641853409</v>
      </c>
      <c r="AB127" s="6">
        <f>$K$127*$V$127</f>
        <v>5712.3</v>
      </c>
      <c r="AC127" s="6">
        <f>$M$127*$W$127</f>
        <v>295.64099999999996</v>
      </c>
      <c r="AD127" s="6">
        <f>$O$127*$X$127</f>
        <v>1897.6492799999999</v>
      </c>
      <c r="AE127" s="6">
        <f ca="1">$K$127*$Y$127</f>
        <v>6326.8341484059583</v>
      </c>
      <c r="AF127" s="6">
        <f ca="1">$M$127*$Z$127</f>
        <v>570.07408784922461</v>
      </c>
      <c r="AG127" s="6">
        <f>$O$127*$AA$127</f>
        <v>1871.5942611641933</v>
      </c>
    </row>
    <row r="128" spans="1:33" ht="11.25" customHeight="1" x14ac:dyDescent="0.25">
      <c r="A128" s="4" t="s">
        <v>21</v>
      </c>
      <c r="B128" s="4" t="s">
        <v>39</v>
      </c>
      <c r="C128" s="4" t="s">
        <v>42</v>
      </c>
      <c r="D128" s="4" t="s">
        <v>45</v>
      </c>
      <c r="E128" s="4" t="s">
        <v>25</v>
      </c>
      <c r="F128" s="4" t="s">
        <v>25</v>
      </c>
      <c r="G128" s="4" t="s">
        <v>25</v>
      </c>
      <c r="H128" s="4" t="s">
        <v>34</v>
      </c>
      <c r="I128" s="5">
        <v>44713</v>
      </c>
      <c r="J128" s="6">
        <v>180</v>
      </c>
      <c r="K128" s="6">
        <v>180</v>
      </c>
      <c r="L128" s="6">
        <v>4.9050000000000002</v>
      </c>
      <c r="M128" s="6">
        <v>4.9050000000000002</v>
      </c>
      <c r="N128" s="6">
        <v>4.9050000000000002</v>
      </c>
      <c r="O128" s="6">
        <v>4.9050000000000002</v>
      </c>
      <c r="P128" s="6">
        <v>0</v>
      </c>
      <c r="Q128" s="4" t="s">
        <v>26</v>
      </c>
      <c r="R128" s="4">
        <v>0</v>
      </c>
      <c r="S128" s="6">
        <v>1</v>
      </c>
      <c r="T128" s="6">
        <v>3</v>
      </c>
      <c r="U128" s="6">
        <v>48</v>
      </c>
      <c r="V128" s="6">
        <f>IF(ISERROR(VLOOKUP($S$128,'TAR FIN'!$A$1:$O$85,15,0)),0,VLOOKUP($S$128,'TAR FIN'!$A$1:$O$85,15,0))</f>
        <v>51.93</v>
      </c>
      <c r="W128" s="6">
        <f>IF(ISERROR(VLOOKUP($T$128,'TAR FIN'!$A$1:$O$85,15,0)),0,VLOOKUP($T$128,'TAR FIN'!$A$1:$O$85,15,0))</f>
        <v>76.75</v>
      </c>
      <c r="X128" s="6">
        <f>IF(ISERROR(VLOOKUP($U$128,'TAR FIN'!$A$1:$O$85,15,0)),0,VLOOKUP($U$128,'TAR FIN'!$A$1:$O$85,15,0))</f>
        <v>492.64</v>
      </c>
      <c r="Y128" s="6">
        <f ca="1">('TUSD BE'!$AM$5+'TUSD BF'!$AM$5+'TUSD CVA'!$AM$5)*1</f>
        <v>57.5166740764178</v>
      </c>
      <c r="Z128" s="6">
        <f ca="1">('TUSD BE'!$AM$7+'TUSD BF'!$AM$7+'TUSD CVA'!$AM$7)*1</f>
        <v>147.99431148733765</v>
      </c>
      <c r="AA128" s="6">
        <f>('TE BE'!$AB$5+'TE BF'!$AB$5+'TE CVA'!$AB$5)*1</f>
        <v>485.87597641853409</v>
      </c>
      <c r="AB128" s="6">
        <f>$K$128*$V$128</f>
        <v>9347.4</v>
      </c>
      <c r="AC128" s="6">
        <f>$M$128*$W$128</f>
        <v>376.45875000000001</v>
      </c>
      <c r="AD128" s="6">
        <f>$O$128*$X$128</f>
        <v>2416.3991999999998</v>
      </c>
      <c r="AE128" s="6">
        <f ca="1">$K$128*$Y$128</f>
        <v>10353.001333755205</v>
      </c>
      <c r="AF128" s="6">
        <f ca="1">$M$128*$Z$128</f>
        <v>725.91209784539126</v>
      </c>
      <c r="AG128" s="6">
        <f>$O$128*$AA$128</f>
        <v>2383.2216643329098</v>
      </c>
    </row>
    <row r="129" spans="1:33" ht="11.25" customHeight="1" x14ac:dyDescent="0.25">
      <c r="A129" s="4" t="s">
        <v>28</v>
      </c>
      <c r="B129" s="4" t="s">
        <v>39</v>
      </c>
      <c r="C129" s="4" t="s">
        <v>42</v>
      </c>
      <c r="D129" s="4" t="s">
        <v>45</v>
      </c>
      <c r="E129" s="4" t="s">
        <v>25</v>
      </c>
      <c r="F129" s="4" t="s">
        <v>25</v>
      </c>
      <c r="G129" s="4" t="s">
        <v>25</v>
      </c>
      <c r="H129" s="4" t="s">
        <v>34</v>
      </c>
      <c r="I129" s="5">
        <v>44713</v>
      </c>
      <c r="J129" s="6">
        <v>110</v>
      </c>
      <c r="K129" s="6">
        <v>110</v>
      </c>
      <c r="L129" s="6">
        <v>3.16</v>
      </c>
      <c r="M129" s="6">
        <v>3.16</v>
      </c>
      <c r="N129" s="6">
        <v>3.16</v>
      </c>
      <c r="O129" s="6">
        <v>3.16</v>
      </c>
      <c r="P129" s="6">
        <v>0</v>
      </c>
      <c r="Q129" s="4" t="s">
        <v>26</v>
      </c>
      <c r="R129" s="4">
        <v>0</v>
      </c>
      <c r="S129" s="6">
        <v>1</v>
      </c>
      <c r="T129" s="6">
        <v>3</v>
      </c>
      <c r="U129" s="6">
        <v>48</v>
      </c>
      <c r="V129" s="6">
        <f>IF(ISERROR(VLOOKUP($S$129,'TAR FIN'!$A$1:$O$85,15,0)),0,VLOOKUP($S$129,'TAR FIN'!$A$1:$O$85,15,0))</f>
        <v>51.93</v>
      </c>
      <c r="W129" s="6">
        <f>IF(ISERROR(VLOOKUP($T$129,'TAR FIN'!$A$1:$O$85,15,0)),0,VLOOKUP($T$129,'TAR FIN'!$A$1:$O$85,15,0))</f>
        <v>76.75</v>
      </c>
      <c r="X129" s="6">
        <f>IF(ISERROR(VLOOKUP($U$129,'TAR FIN'!$A$1:$O$85,15,0)),0,VLOOKUP($U$129,'TAR FIN'!$A$1:$O$85,15,0))</f>
        <v>492.64</v>
      </c>
      <c r="Y129" s="6">
        <f ca="1">('TUSD BE'!$AM$5+'TUSD BF'!$AM$5+'TUSD CVA'!$AM$5)*1</f>
        <v>57.5166740764178</v>
      </c>
      <c r="Z129" s="6">
        <f ca="1">('TUSD BE'!$AM$7+'TUSD BF'!$AM$7+'TUSD CVA'!$AM$7)*1</f>
        <v>147.99431148733765</v>
      </c>
      <c r="AA129" s="6">
        <f>('TE BE'!$AB$5+'TE BF'!$AB$5+'TE CVA'!$AB$5)*1</f>
        <v>485.87597641853409</v>
      </c>
      <c r="AB129" s="6">
        <f>$K$129*$V$129</f>
        <v>5712.3</v>
      </c>
      <c r="AC129" s="6">
        <f>$M$129*$W$129</f>
        <v>242.53</v>
      </c>
      <c r="AD129" s="6">
        <f>$O$129*$X$129</f>
        <v>1556.7424000000001</v>
      </c>
      <c r="AE129" s="6">
        <f ca="1">$K$129*$Y$129</f>
        <v>6326.8341484059583</v>
      </c>
      <c r="AF129" s="6">
        <f ca="1">$M$129*$Z$129</f>
        <v>467.66202429998702</v>
      </c>
      <c r="AG129" s="6">
        <f>$O$129*$AA$129</f>
        <v>1535.3680854825677</v>
      </c>
    </row>
    <row r="130" spans="1:33" ht="11.25" customHeight="1" x14ac:dyDescent="0.25">
      <c r="A130" s="4" t="s">
        <v>21</v>
      </c>
      <c r="B130" s="4" t="s">
        <v>39</v>
      </c>
      <c r="C130" s="4" t="s">
        <v>42</v>
      </c>
      <c r="D130" s="4" t="s">
        <v>45</v>
      </c>
      <c r="E130" s="4" t="s">
        <v>25</v>
      </c>
      <c r="F130" s="4" t="s">
        <v>25</v>
      </c>
      <c r="G130" s="4" t="s">
        <v>25</v>
      </c>
      <c r="H130" s="4" t="s">
        <v>34</v>
      </c>
      <c r="I130" s="5">
        <v>44743</v>
      </c>
      <c r="J130" s="6">
        <v>180</v>
      </c>
      <c r="K130" s="6">
        <v>180</v>
      </c>
      <c r="L130" s="6">
        <v>5.2530000000000001</v>
      </c>
      <c r="M130" s="6">
        <v>5.2530000000000001</v>
      </c>
      <c r="N130" s="6">
        <v>5.2530000000000001</v>
      </c>
      <c r="O130" s="6">
        <v>5.2530000000000001</v>
      </c>
      <c r="P130" s="6">
        <v>0</v>
      </c>
      <c r="Q130" s="4" t="s">
        <v>26</v>
      </c>
      <c r="R130" s="4">
        <v>0</v>
      </c>
      <c r="S130" s="6">
        <v>1</v>
      </c>
      <c r="T130" s="6">
        <v>3</v>
      </c>
      <c r="U130" s="6">
        <v>48</v>
      </c>
      <c r="V130" s="6">
        <f>IF(ISERROR(VLOOKUP($S$130,'TAR FIN'!$A$1:$O$85,15,0)),0,VLOOKUP($S$130,'TAR FIN'!$A$1:$O$85,15,0))</f>
        <v>51.93</v>
      </c>
      <c r="W130" s="6">
        <f>IF(ISERROR(VLOOKUP($T$130,'TAR FIN'!$A$1:$O$85,15,0)),0,VLOOKUP($T$130,'TAR FIN'!$A$1:$O$85,15,0))</f>
        <v>76.75</v>
      </c>
      <c r="X130" s="6">
        <f>IF(ISERROR(VLOOKUP($U$130,'TAR FIN'!$A$1:$O$85,15,0)),0,VLOOKUP($U$130,'TAR FIN'!$A$1:$O$85,15,0))</f>
        <v>492.64</v>
      </c>
      <c r="Y130" s="6">
        <f ca="1">('TUSD BE'!$AM$5+'TUSD BF'!$AM$5+'TUSD CVA'!$AM$5)*1</f>
        <v>57.5166740764178</v>
      </c>
      <c r="Z130" s="6">
        <f ca="1">('TUSD BE'!$AM$7+'TUSD BF'!$AM$7+'TUSD CVA'!$AM$7)*1</f>
        <v>147.99431148733765</v>
      </c>
      <c r="AA130" s="6">
        <f>('TE BE'!$AB$5+'TE BF'!$AB$5+'TE CVA'!$AB$5)*1</f>
        <v>485.87597641853409</v>
      </c>
      <c r="AB130" s="6">
        <f>$K$130*$V$130</f>
        <v>9347.4</v>
      </c>
      <c r="AC130" s="6">
        <f>$M$130*$W$130</f>
        <v>403.16775000000001</v>
      </c>
      <c r="AD130" s="6">
        <f>$O$130*$X$130</f>
        <v>2587.8379199999999</v>
      </c>
      <c r="AE130" s="6">
        <f ca="1">$K$130*$Y$130</f>
        <v>10353.001333755205</v>
      </c>
      <c r="AF130" s="6">
        <f ca="1">$M$130*$Z$130</f>
        <v>777.41411824298473</v>
      </c>
      <c r="AG130" s="6">
        <f>$O$130*$AA$130</f>
        <v>2552.3065041265595</v>
      </c>
    </row>
    <row r="131" spans="1:33" ht="11.25" customHeight="1" x14ac:dyDescent="0.25">
      <c r="A131" s="4" t="s">
        <v>28</v>
      </c>
      <c r="B131" s="4" t="s">
        <v>39</v>
      </c>
      <c r="C131" s="4" t="s">
        <v>42</v>
      </c>
      <c r="D131" s="4" t="s">
        <v>45</v>
      </c>
      <c r="E131" s="4" t="s">
        <v>25</v>
      </c>
      <c r="F131" s="4" t="s">
        <v>25</v>
      </c>
      <c r="G131" s="4" t="s">
        <v>25</v>
      </c>
      <c r="H131" s="4" t="s">
        <v>34</v>
      </c>
      <c r="I131" s="5">
        <v>44743</v>
      </c>
      <c r="J131" s="6">
        <v>110</v>
      </c>
      <c r="K131" s="6">
        <v>110</v>
      </c>
      <c r="L131" s="6">
        <v>2.242</v>
      </c>
      <c r="M131" s="6">
        <v>2.242</v>
      </c>
      <c r="N131" s="6">
        <v>2.242</v>
      </c>
      <c r="O131" s="6">
        <v>2.242</v>
      </c>
      <c r="P131" s="6">
        <v>0</v>
      </c>
      <c r="Q131" s="4" t="s">
        <v>26</v>
      </c>
      <c r="R131" s="4">
        <v>0</v>
      </c>
      <c r="S131" s="6">
        <v>1</v>
      </c>
      <c r="T131" s="6">
        <v>3</v>
      </c>
      <c r="U131" s="6">
        <v>48</v>
      </c>
      <c r="V131" s="6">
        <f>IF(ISERROR(VLOOKUP($S$131,'TAR FIN'!$A$1:$O$85,15,0)),0,VLOOKUP($S$131,'TAR FIN'!$A$1:$O$85,15,0))</f>
        <v>51.93</v>
      </c>
      <c r="W131" s="6">
        <f>IF(ISERROR(VLOOKUP($T$131,'TAR FIN'!$A$1:$O$85,15,0)),0,VLOOKUP($T$131,'TAR FIN'!$A$1:$O$85,15,0))</f>
        <v>76.75</v>
      </c>
      <c r="X131" s="6">
        <f>IF(ISERROR(VLOOKUP($U$131,'TAR FIN'!$A$1:$O$85,15,0)),0,VLOOKUP($U$131,'TAR FIN'!$A$1:$O$85,15,0))</f>
        <v>492.64</v>
      </c>
      <c r="Y131" s="6">
        <f ca="1">('TUSD BE'!$AM$5+'TUSD BF'!$AM$5+'TUSD CVA'!$AM$5)*1</f>
        <v>57.5166740764178</v>
      </c>
      <c r="Z131" s="6">
        <f ca="1">('TUSD BE'!$AM$7+'TUSD BF'!$AM$7+'TUSD CVA'!$AM$7)*1</f>
        <v>147.99431148733765</v>
      </c>
      <c r="AA131" s="6">
        <f>('TE BE'!$AB$5+'TE BF'!$AB$5+'TE CVA'!$AB$5)*1</f>
        <v>485.87597641853409</v>
      </c>
      <c r="AB131" s="6">
        <f>$K$131*$V$131</f>
        <v>5712.3</v>
      </c>
      <c r="AC131" s="6">
        <f>$M$131*$W$131</f>
        <v>172.0735</v>
      </c>
      <c r="AD131" s="6">
        <f>$O$131*$X$131</f>
        <v>1104.4988799999999</v>
      </c>
      <c r="AE131" s="6">
        <f ca="1">$K$131*$Y$131</f>
        <v>6326.8341484059583</v>
      </c>
      <c r="AF131" s="6">
        <f ca="1">$M$131*$Z$131</f>
        <v>331.80324635461102</v>
      </c>
      <c r="AG131" s="6">
        <f>$O$131*$AA$131</f>
        <v>1089.3339391303534</v>
      </c>
    </row>
    <row r="132" spans="1:33" ht="11.25" customHeight="1" x14ac:dyDescent="0.25">
      <c r="A132" s="4" t="s">
        <v>56</v>
      </c>
      <c r="B132" s="4" t="s">
        <v>39</v>
      </c>
      <c r="C132" s="4" t="s">
        <v>42</v>
      </c>
      <c r="D132" s="4" t="s">
        <v>45</v>
      </c>
      <c r="E132" s="4" t="s">
        <v>25</v>
      </c>
      <c r="F132" s="4" t="s">
        <v>25</v>
      </c>
      <c r="G132" s="4" t="s">
        <v>25</v>
      </c>
      <c r="H132" s="4" t="s">
        <v>34</v>
      </c>
      <c r="I132" s="5">
        <v>44774</v>
      </c>
      <c r="J132" s="6">
        <v>180</v>
      </c>
      <c r="K132" s="6">
        <v>180</v>
      </c>
      <c r="L132" s="6">
        <v>5.2530000000000001</v>
      </c>
      <c r="M132" s="6">
        <v>5.2530000000000001</v>
      </c>
      <c r="N132" s="6">
        <v>5.2530000000000001</v>
      </c>
      <c r="O132" s="6">
        <v>5.2530000000000001</v>
      </c>
      <c r="P132" s="6">
        <v>0</v>
      </c>
      <c r="Q132" s="4" t="s">
        <v>26</v>
      </c>
      <c r="R132" s="4">
        <v>0</v>
      </c>
      <c r="S132" s="6">
        <v>1</v>
      </c>
      <c r="T132" s="6">
        <v>3</v>
      </c>
      <c r="U132" s="6">
        <v>48</v>
      </c>
      <c r="V132" s="6">
        <f>IF(ISERROR(VLOOKUP($S$132,'TAR FIN'!$A$1:$O$85,15,0)),0,VLOOKUP($S$132,'TAR FIN'!$A$1:$O$85,15,0))</f>
        <v>51.93</v>
      </c>
      <c r="W132" s="6">
        <f>IF(ISERROR(VLOOKUP($T$132,'TAR FIN'!$A$1:$O$85,15,0)),0,VLOOKUP($T$132,'TAR FIN'!$A$1:$O$85,15,0))</f>
        <v>76.75</v>
      </c>
      <c r="X132" s="6">
        <f>IF(ISERROR(VLOOKUP($U$132,'TAR FIN'!$A$1:$O$85,15,0)),0,VLOOKUP($U$132,'TAR FIN'!$A$1:$O$85,15,0))</f>
        <v>492.64</v>
      </c>
      <c r="Y132" s="6">
        <f ca="1">('TUSD BE'!$AM$5+'TUSD BF'!$AM$5+'TUSD CVA'!$AM$5)*1</f>
        <v>57.5166740764178</v>
      </c>
      <c r="Z132" s="6">
        <f ca="1">('TUSD BE'!$AM$7+'TUSD BF'!$AM$7+'TUSD CVA'!$AM$7)*1</f>
        <v>147.99431148733765</v>
      </c>
      <c r="AA132" s="6">
        <f>('TE BE'!$AB$5+'TE BF'!$AB$5+'TE CVA'!$AB$5)*1</f>
        <v>485.87597641853409</v>
      </c>
      <c r="AB132" s="6">
        <f>$K$132*$V$132</f>
        <v>9347.4</v>
      </c>
      <c r="AC132" s="6">
        <f>$M$132*$W$132</f>
        <v>403.16775000000001</v>
      </c>
      <c r="AD132" s="6">
        <f>$O$132*$X$132</f>
        <v>2587.8379199999999</v>
      </c>
      <c r="AE132" s="6">
        <f ca="1">$K$132*$Y$132</f>
        <v>10353.001333755205</v>
      </c>
      <c r="AF132" s="6">
        <f ca="1">$M$132*$Z$132</f>
        <v>777.41411824298473</v>
      </c>
      <c r="AG132" s="6">
        <f>$O$132*$AA$132</f>
        <v>2552.3065041265595</v>
      </c>
    </row>
    <row r="133" spans="1:33" ht="11.25" customHeight="1" x14ac:dyDescent="0.25">
      <c r="A133" s="4" t="s">
        <v>56</v>
      </c>
      <c r="B133" s="4" t="s">
        <v>39</v>
      </c>
      <c r="C133" s="4" t="s">
        <v>42</v>
      </c>
      <c r="D133" s="4" t="s">
        <v>45</v>
      </c>
      <c r="E133" s="4" t="s">
        <v>25</v>
      </c>
      <c r="F133" s="4" t="s">
        <v>25</v>
      </c>
      <c r="G133" s="4" t="s">
        <v>25</v>
      </c>
      <c r="H133" s="4" t="s">
        <v>34</v>
      </c>
      <c r="I133" s="5">
        <v>44774</v>
      </c>
      <c r="J133" s="6">
        <v>110</v>
      </c>
      <c r="K133" s="6">
        <v>110</v>
      </c>
      <c r="L133" s="6">
        <v>2.242</v>
      </c>
      <c r="M133" s="6">
        <v>2.242</v>
      </c>
      <c r="N133" s="6">
        <v>2.242</v>
      </c>
      <c r="O133" s="6">
        <v>2.242</v>
      </c>
      <c r="P133" s="6">
        <v>0</v>
      </c>
      <c r="Q133" s="4" t="s">
        <v>26</v>
      </c>
      <c r="R133" s="4">
        <v>0</v>
      </c>
      <c r="S133" s="6">
        <v>1</v>
      </c>
      <c r="T133" s="6">
        <v>3</v>
      </c>
      <c r="U133" s="6">
        <v>48</v>
      </c>
      <c r="V133" s="6">
        <f>IF(ISERROR(VLOOKUP($S$133,'TAR FIN'!$A$1:$O$85,15,0)),0,VLOOKUP($S$133,'TAR FIN'!$A$1:$O$85,15,0))</f>
        <v>51.93</v>
      </c>
      <c r="W133" s="6">
        <f>IF(ISERROR(VLOOKUP($T$133,'TAR FIN'!$A$1:$O$85,15,0)),0,VLOOKUP($T$133,'TAR FIN'!$A$1:$O$85,15,0))</f>
        <v>76.75</v>
      </c>
      <c r="X133" s="6">
        <f>IF(ISERROR(VLOOKUP($U$133,'TAR FIN'!$A$1:$O$85,15,0)),0,VLOOKUP($U$133,'TAR FIN'!$A$1:$O$85,15,0))</f>
        <v>492.64</v>
      </c>
      <c r="Y133" s="6">
        <f ca="1">('TUSD BE'!$AM$5+'TUSD BF'!$AM$5+'TUSD CVA'!$AM$5)*1</f>
        <v>57.5166740764178</v>
      </c>
      <c r="Z133" s="6">
        <f ca="1">('TUSD BE'!$AM$7+'TUSD BF'!$AM$7+'TUSD CVA'!$AM$7)*1</f>
        <v>147.99431148733765</v>
      </c>
      <c r="AA133" s="6">
        <f>('TE BE'!$AB$5+'TE BF'!$AB$5+'TE CVA'!$AB$5)*1</f>
        <v>485.87597641853409</v>
      </c>
      <c r="AB133" s="6">
        <f>$K$133*$V$133</f>
        <v>5712.3</v>
      </c>
      <c r="AC133" s="6">
        <f>$M$133*$W$133</f>
        <v>172.0735</v>
      </c>
      <c r="AD133" s="6">
        <f>$O$133*$X$133</f>
        <v>1104.4988799999999</v>
      </c>
      <c r="AE133" s="6">
        <f ca="1">$K$133*$Y$133</f>
        <v>6326.8341484059583</v>
      </c>
      <c r="AF133" s="6">
        <f ca="1">$M$133*$Z$133</f>
        <v>331.80324635461102</v>
      </c>
      <c r="AG133" s="6">
        <f>$O$133*$AA$133</f>
        <v>1089.3339391303534</v>
      </c>
    </row>
    <row r="134" spans="1:33" ht="11.25" customHeight="1" x14ac:dyDescent="0.25">
      <c r="A134" s="4" t="s">
        <v>21</v>
      </c>
      <c r="B134" s="4" t="s">
        <v>39</v>
      </c>
      <c r="C134" s="4" t="s">
        <v>42</v>
      </c>
      <c r="D134" s="4" t="s">
        <v>44</v>
      </c>
      <c r="E134" s="4" t="s">
        <v>25</v>
      </c>
      <c r="F134" s="4" t="s">
        <v>25</v>
      </c>
      <c r="G134" s="4" t="s">
        <v>25</v>
      </c>
      <c r="H134" s="4" t="s">
        <v>35</v>
      </c>
      <c r="I134" s="5">
        <v>44440</v>
      </c>
      <c r="J134" s="6">
        <v>243</v>
      </c>
      <c r="K134" s="70">
        <v>243</v>
      </c>
      <c r="L134" s="6">
        <v>77.897999999999996</v>
      </c>
      <c r="M134" s="70">
        <v>77.897999999999996</v>
      </c>
      <c r="N134" s="6">
        <v>77.897999999999996</v>
      </c>
      <c r="O134" s="70">
        <v>77.897999999999996</v>
      </c>
      <c r="P134" s="6">
        <v>0</v>
      </c>
      <c r="Q134" s="4" t="s">
        <v>26</v>
      </c>
      <c r="R134" s="4">
        <v>0</v>
      </c>
      <c r="S134" s="6">
        <v>2</v>
      </c>
      <c r="T134" s="6">
        <v>3</v>
      </c>
      <c r="U134" s="6">
        <v>49</v>
      </c>
      <c r="V134" s="70">
        <f>IF(ISERROR(VLOOKUP($S$134,'TAR FIN'!$A$1:$O$85,15,0)),0,VLOOKUP($S$134,'TAR FIN'!$A$1:$O$85,15,0))*(1-0.04)</f>
        <v>15.974399999999999</v>
      </c>
      <c r="W134" s="70">
        <f>IF(ISERROR(VLOOKUP($T$134,'TAR FIN'!$A$1:$O$85,15,0)),0,VLOOKUP($T$134,'TAR FIN'!$A$1:$O$85,15,0))*(1-0.04)</f>
        <v>73.679999999999993</v>
      </c>
      <c r="X134" s="70">
        <f>IF(ISERROR(VLOOKUP($U$134,'TAR FIN'!$A$1:$O$85,15,0)),0,VLOOKUP($U$134,'TAR FIN'!$A$1:$O$85,15,0))*(1-0.04)</f>
        <v>294.79679999999996</v>
      </c>
      <c r="Y134" s="70">
        <f ca="1">('TUSD BE'!$AM$6+'TUSD BF'!$AM$6+'TUSD CVA'!$AM$6)*1*(1-0.02)</f>
        <v>18.004417335184016</v>
      </c>
      <c r="Z134" s="70">
        <f ca="1">('TUSD BE'!$AM$7+'TUSD BF'!$AM$7+'TUSD CVA'!$AM$7)*1*(1-0.02)</f>
        <v>145.0344252575909</v>
      </c>
      <c r="AA134" s="70">
        <f>('TE BE'!$AB$6+'TE BF'!$AB$6+'TE CVA'!$AB$6)*1*(1-0.02)</f>
        <v>298.77287296580289</v>
      </c>
      <c r="AB134" s="6">
        <f>$K$134*$V$134</f>
        <v>3881.7791999999999</v>
      </c>
      <c r="AC134" s="6">
        <f>$M$134*$W$134</f>
        <v>5739.5246399999987</v>
      </c>
      <c r="AD134" s="6">
        <f>$O$134*$X$134</f>
        <v>22964.081126399997</v>
      </c>
      <c r="AE134" s="6">
        <f ca="1">$K$134*$Y$134</f>
        <v>4375.0734124497158</v>
      </c>
      <c r="AF134" s="6">
        <f ca="1">$M$134*$Z$134</f>
        <v>11297.891658715815</v>
      </c>
      <c r="AG134" s="6">
        <f>$O$134*$AA$134</f>
        <v>23273.809258290112</v>
      </c>
    </row>
    <row r="135" spans="1:33" ht="11.25" customHeight="1" x14ac:dyDescent="0.25">
      <c r="A135" s="4" t="s">
        <v>21</v>
      </c>
      <c r="B135" s="4" t="s">
        <v>39</v>
      </c>
      <c r="C135" s="4" t="s">
        <v>42</v>
      </c>
      <c r="D135" s="4" t="s">
        <v>44</v>
      </c>
      <c r="E135" s="4" t="s">
        <v>25</v>
      </c>
      <c r="F135" s="4" t="s">
        <v>25</v>
      </c>
      <c r="G135" s="4" t="s">
        <v>25</v>
      </c>
      <c r="H135" s="4" t="s">
        <v>35</v>
      </c>
      <c r="I135" s="5">
        <v>44470</v>
      </c>
      <c r="J135" s="6">
        <v>327</v>
      </c>
      <c r="K135" s="70">
        <v>327</v>
      </c>
      <c r="L135" s="6">
        <v>97.45</v>
      </c>
      <c r="M135" s="70">
        <v>97.45</v>
      </c>
      <c r="N135" s="6">
        <v>97.45</v>
      </c>
      <c r="O135" s="70">
        <v>97.45</v>
      </c>
      <c r="P135" s="6">
        <v>0</v>
      </c>
      <c r="Q135" s="4" t="s">
        <v>26</v>
      </c>
      <c r="R135" s="4">
        <v>0</v>
      </c>
      <c r="S135" s="6">
        <v>2</v>
      </c>
      <c r="T135" s="6">
        <v>3</v>
      </c>
      <c r="U135" s="6">
        <v>49</v>
      </c>
      <c r="V135" s="70">
        <f>IF(ISERROR(VLOOKUP($S$135,'TAR FIN'!$A$1:$O$85,15,0)),0,VLOOKUP($S$135,'TAR FIN'!$A$1:$O$85,15,0))*(1-0.04)</f>
        <v>15.974399999999999</v>
      </c>
      <c r="W135" s="70">
        <f>IF(ISERROR(VLOOKUP($T$135,'TAR FIN'!$A$1:$O$85,15,0)),0,VLOOKUP($T$135,'TAR FIN'!$A$1:$O$85,15,0))*(1-0.04)</f>
        <v>73.679999999999993</v>
      </c>
      <c r="X135" s="70">
        <f>IF(ISERROR(VLOOKUP($U$135,'TAR FIN'!$A$1:$O$85,15,0)),0,VLOOKUP($U$135,'TAR FIN'!$A$1:$O$85,15,0))*(1-0.04)</f>
        <v>294.79679999999996</v>
      </c>
      <c r="Y135" s="70">
        <f ca="1">('TUSD BE'!$AM$6+'TUSD BF'!$AM$6+'TUSD CVA'!$AM$6)*1*(1-0.02)</f>
        <v>18.004417335184016</v>
      </c>
      <c r="Z135" s="70">
        <f ca="1">('TUSD BE'!$AM$7+'TUSD BF'!$AM$7+'TUSD CVA'!$AM$7)*1*(1-0.02)</f>
        <v>145.0344252575909</v>
      </c>
      <c r="AA135" s="70">
        <f>('TE BE'!$AB$6+'TE BF'!$AB$6+'TE CVA'!$AB$6)*1*(1-0.02)</f>
        <v>298.77287296580289</v>
      </c>
      <c r="AB135" s="6">
        <f>$K$135*$V$135</f>
        <v>5223.6287999999995</v>
      </c>
      <c r="AC135" s="6">
        <f>$M$135*$W$135</f>
        <v>7180.1159999999991</v>
      </c>
      <c r="AD135" s="6">
        <f>$O$135*$X$135</f>
        <v>28727.948159999996</v>
      </c>
      <c r="AE135" s="6">
        <f ca="1">$K$135*$Y$135</f>
        <v>5887.4444686051729</v>
      </c>
      <c r="AF135" s="6">
        <f ca="1">$M$135*$Z$135</f>
        <v>14133.604741352234</v>
      </c>
      <c r="AG135" s="6">
        <f>$O$135*$AA$135</f>
        <v>29115.416470517492</v>
      </c>
    </row>
    <row r="136" spans="1:33" ht="11.25" customHeight="1" x14ac:dyDescent="0.25">
      <c r="A136" s="4" t="s">
        <v>21</v>
      </c>
      <c r="B136" s="4" t="s">
        <v>39</v>
      </c>
      <c r="C136" s="4" t="s">
        <v>42</v>
      </c>
      <c r="D136" s="4" t="s">
        <v>44</v>
      </c>
      <c r="E136" s="4" t="s">
        <v>25</v>
      </c>
      <c r="F136" s="4" t="s">
        <v>25</v>
      </c>
      <c r="G136" s="4" t="s">
        <v>25</v>
      </c>
      <c r="H136" s="4" t="s">
        <v>35</v>
      </c>
      <c r="I136" s="5">
        <v>44501</v>
      </c>
      <c r="J136" s="6">
        <v>375</v>
      </c>
      <c r="K136" s="70">
        <v>375</v>
      </c>
      <c r="L136" s="6">
        <v>99.433000000000007</v>
      </c>
      <c r="M136" s="70">
        <v>99.433000000000007</v>
      </c>
      <c r="N136" s="6">
        <v>99.433000000000007</v>
      </c>
      <c r="O136" s="70">
        <v>99.433000000000007</v>
      </c>
      <c r="P136" s="6">
        <v>0</v>
      </c>
      <c r="Q136" s="4" t="s">
        <v>26</v>
      </c>
      <c r="R136" s="4">
        <v>0</v>
      </c>
      <c r="S136" s="6">
        <v>2</v>
      </c>
      <c r="T136" s="6">
        <v>3</v>
      </c>
      <c r="U136" s="6">
        <v>49</v>
      </c>
      <c r="V136" s="70">
        <f>IF(ISERROR(VLOOKUP($S$136,'TAR FIN'!$A$1:$O$85,15,0)),0,VLOOKUP($S$136,'TAR FIN'!$A$1:$O$85,15,0))*(1-0.04)</f>
        <v>15.974399999999999</v>
      </c>
      <c r="W136" s="70">
        <f>IF(ISERROR(VLOOKUP($T$136,'TAR FIN'!$A$1:$O$85,15,0)),0,VLOOKUP($T$136,'TAR FIN'!$A$1:$O$85,15,0))*(1-0.04)</f>
        <v>73.679999999999993</v>
      </c>
      <c r="X136" s="70">
        <f>IF(ISERROR(VLOOKUP($U$136,'TAR FIN'!$A$1:$O$85,15,0)),0,VLOOKUP($U$136,'TAR FIN'!$A$1:$O$85,15,0))*(1-0.04)</f>
        <v>294.79679999999996</v>
      </c>
      <c r="Y136" s="70">
        <f ca="1">('TUSD BE'!$AM$6+'TUSD BF'!$AM$6+'TUSD CVA'!$AM$6)*1*(1-0.02)</f>
        <v>18.004417335184016</v>
      </c>
      <c r="Z136" s="70">
        <f ca="1">('TUSD BE'!$AM$7+'TUSD BF'!$AM$7+'TUSD CVA'!$AM$7)*1*(1-0.02)</f>
        <v>145.0344252575909</v>
      </c>
      <c r="AA136" s="70">
        <f>('TE BE'!$AB$6+'TE BF'!$AB$6+'TE CVA'!$AB$6)*1*(1-0.02)</f>
        <v>298.77287296580289</v>
      </c>
      <c r="AB136" s="6">
        <f>$K$136*$V$136</f>
        <v>5990.4</v>
      </c>
      <c r="AC136" s="6">
        <f>$M$136*$W$136</f>
        <v>7326.2234399999998</v>
      </c>
      <c r="AD136" s="6">
        <f>$O$136*$X$136</f>
        <v>29312.530214399998</v>
      </c>
      <c r="AE136" s="6">
        <f ca="1">$K$136*$Y$136</f>
        <v>6751.6565006940064</v>
      </c>
      <c r="AF136" s="6">
        <f ca="1">$M$136*$Z$136</f>
        <v>14421.208006638037</v>
      </c>
      <c r="AG136" s="6">
        <f>$O$136*$AA$136</f>
        <v>29707.88307760868</v>
      </c>
    </row>
    <row r="137" spans="1:33" ht="11.25" customHeight="1" x14ac:dyDescent="0.25">
      <c r="A137" s="4" t="s">
        <v>21</v>
      </c>
      <c r="B137" s="4" t="s">
        <v>39</v>
      </c>
      <c r="C137" s="4" t="s">
        <v>42</v>
      </c>
      <c r="D137" s="4" t="s">
        <v>44</v>
      </c>
      <c r="E137" s="4" t="s">
        <v>25</v>
      </c>
      <c r="F137" s="4" t="s">
        <v>25</v>
      </c>
      <c r="G137" s="4" t="s">
        <v>25</v>
      </c>
      <c r="H137" s="4" t="s">
        <v>35</v>
      </c>
      <c r="I137" s="5">
        <v>44531</v>
      </c>
      <c r="J137" s="6">
        <v>372</v>
      </c>
      <c r="K137" s="70">
        <v>372</v>
      </c>
      <c r="L137" s="6">
        <v>105.24</v>
      </c>
      <c r="M137" s="70">
        <v>105.24</v>
      </c>
      <c r="N137" s="6">
        <v>105.24</v>
      </c>
      <c r="O137" s="70">
        <v>105.24</v>
      </c>
      <c r="P137" s="6">
        <v>0</v>
      </c>
      <c r="Q137" s="4" t="s">
        <v>26</v>
      </c>
      <c r="R137" s="4">
        <v>0</v>
      </c>
      <c r="S137" s="6">
        <v>2</v>
      </c>
      <c r="T137" s="6">
        <v>3</v>
      </c>
      <c r="U137" s="6">
        <v>49</v>
      </c>
      <c r="V137" s="70">
        <f>IF(ISERROR(VLOOKUP($S$137,'TAR FIN'!$A$1:$O$85,15,0)),0,VLOOKUP($S$137,'TAR FIN'!$A$1:$O$85,15,0))*(1-0.04)</f>
        <v>15.974399999999999</v>
      </c>
      <c r="W137" s="70">
        <f>IF(ISERROR(VLOOKUP($T$137,'TAR FIN'!$A$1:$O$85,15,0)),0,VLOOKUP($T$137,'TAR FIN'!$A$1:$O$85,15,0))*(1-0.04)</f>
        <v>73.679999999999993</v>
      </c>
      <c r="X137" s="70">
        <f>IF(ISERROR(VLOOKUP($U$137,'TAR FIN'!$A$1:$O$85,15,0)),0,VLOOKUP($U$137,'TAR FIN'!$A$1:$O$85,15,0))*(1-0.04)</f>
        <v>294.79679999999996</v>
      </c>
      <c r="Y137" s="70">
        <f ca="1">('TUSD BE'!$AM$6+'TUSD BF'!$AM$6+'TUSD CVA'!$AM$6)*1*(1-0.02)</f>
        <v>18.004417335184016</v>
      </c>
      <c r="Z137" s="70">
        <f ca="1">('TUSD BE'!$AM$7+'TUSD BF'!$AM$7+'TUSD CVA'!$AM$7)*1*(1-0.02)</f>
        <v>145.0344252575909</v>
      </c>
      <c r="AA137" s="70">
        <f>('TE BE'!$AB$6+'TE BF'!$AB$6+'TE CVA'!$AB$6)*1*(1-0.02)</f>
        <v>298.77287296580289</v>
      </c>
      <c r="AB137" s="6">
        <f>$K$137*$V$137</f>
        <v>5942.4767999999995</v>
      </c>
      <c r="AC137" s="6">
        <f>$M$137*$W$137</f>
        <v>7754.0831999999991</v>
      </c>
      <c r="AD137" s="6">
        <f>$O$137*$X$137</f>
        <v>31024.415231999996</v>
      </c>
      <c r="AE137" s="6">
        <f ca="1">$K$137*$Y$137</f>
        <v>6697.6432486884542</v>
      </c>
      <c r="AF137" s="6">
        <f ca="1">$M$137*$Z$137</f>
        <v>15263.422914108865</v>
      </c>
      <c r="AG137" s="6">
        <f>$O$137*$AA$137</f>
        <v>31442.857150921096</v>
      </c>
    </row>
    <row r="138" spans="1:33" ht="11.25" customHeight="1" x14ac:dyDescent="0.25">
      <c r="A138" s="4" t="s">
        <v>21</v>
      </c>
      <c r="B138" s="4" t="s">
        <v>39</v>
      </c>
      <c r="C138" s="4" t="s">
        <v>42</v>
      </c>
      <c r="D138" s="4" t="s">
        <v>44</v>
      </c>
      <c r="E138" s="4" t="s">
        <v>25</v>
      </c>
      <c r="F138" s="4" t="s">
        <v>25</v>
      </c>
      <c r="G138" s="4" t="s">
        <v>25</v>
      </c>
      <c r="H138" s="4" t="s">
        <v>35</v>
      </c>
      <c r="I138" s="5">
        <v>44562</v>
      </c>
      <c r="J138" s="6">
        <v>428</v>
      </c>
      <c r="K138" s="70">
        <v>428</v>
      </c>
      <c r="L138" s="6">
        <v>94.23</v>
      </c>
      <c r="M138" s="70">
        <v>94.23</v>
      </c>
      <c r="N138" s="6">
        <v>94.23</v>
      </c>
      <c r="O138" s="70">
        <v>94.23</v>
      </c>
      <c r="P138" s="6">
        <v>0</v>
      </c>
      <c r="Q138" s="4" t="s">
        <v>26</v>
      </c>
      <c r="R138" s="4">
        <v>0</v>
      </c>
      <c r="S138" s="6">
        <v>2</v>
      </c>
      <c r="T138" s="6">
        <v>3</v>
      </c>
      <c r="U138" s="6">
        <v>49</v>
      </c>
      <c r="V138" s="70">
        <f>IF(ISERROR(VLOOKUP($S$138,'TAR FIN'!$A$1:$O$85,15,0)),0,VLOOKUP($S$138,'TAR FIN'!$A$1:$O$85,15,0))*(1-0.04)</f>
        <v>15.974399999999999</v>
      </c>
      <c r="W138" s="70">
        <f>IF(ISERROR(VLOOKUP($T$138,'TAR FIN'!$A$1:$O$85,15,0)),0,VLOOKUP($T$138,'TAR FIN'!$A$1:$O$85,15,0))*(1-0.04)</f>
        <v>73.679999999999993</v>
      </c>
      <c r="X138" s="70">
        <f>IF(ISERROR(VLOOKUP($U$138,'TAR FIN'!$A$1:$O$85,15,0)),0,VLOOKUP($U$138,'TAR FIN'!$A$1:$O$85,15,0))*(1-0.04)</f>
        <v>294.79679999999996</v>
      </c>
      <c r="Y138" s="70">
        <f ca="1">('TUSD BE'!$AM$6+'TUSD BF'!$AM$6+'TUSD CVA'!$AM$6)*1*(1-0.02)</f>
        <v>18.004417335184016</v>
      </c>
      <c r="Z138" s="70">
        <f ca="1">('TUSD BE'!$AM$7+'TUSD BF'!$AM$7+'TUSD CVA'!$AM$7)*1*(1-0.02)</f>
        <v>145.0344252575909</v>
      </c>
      <c r="AA138" s="70">
        <f>('TE BE'!$AB$6+'TE BF'!$AB$6+'TE CVA'!$AB$6)*1*(1-0.02)</f>
        <v>298.77287296580289</v>
      </c>
      <c r="AB138" s="6">
        <f>$K$138*$V$138</f>
        <v>6837.0432000000001</v>
      </c>
      <c r="AC138" s="6">
        <f>$M$138*$W$138</f>
        <v>6942.8663999999999</v>
      </c>
      <c r="AD138" s="6">
        <f>$O$138*$X$138</f>
        <v>27778.702463999998</v>
      </c>
      <c r="AE138" s="6">
        <f ca="1">$K$138*$Y$138</f>
        <v>7705.8906194587589</v>
      </c>
      <c r="AF138" s="6">
        <f ca="1">$M$138*$Z$138</f>
        <v>13666.593892022791</v>
      </c>
      <c r="AG138" s="6">
        <f>$O$138*$AA$138</f>
        <v>28153.367819567608</v>
      </c>
    </row>
    <row r="139" spans="1:33" ht="11.25" customHeight="1" x14ac:dyDescent="0.25">
      <c r="A139" s="4" t="s">
        <v>21</v>
      </c>
      <c r="B139" s="4" t="s">
        <v>39</v>
      </c>
      <c r="C139" s="4" t="s">
        <v>42</v>
      </c>
      <c r="D139" s="4" t="s">
        <v>44</v>
      </c>
      <c r="E139" s="4" t="s">
        <v>25</v>
      </c>
      <c r="F139" s="4" t="s">
        <v>25</v>
      </c>
      <c r="G139" s="4" t="s">
        <v>25</v>
      </c>
      <c r="H139" s="4" t="s">
        <v>35</v>
      </c>
      <c r="I139" s="5">
        <v>44593</v>
      </c>
      <c r="J139" s="6">
        <v>476</v>
      </c>
      <c r="K139" s="70">
        <v>476</v>
      </c>
      <c r="L139" s="6">
        <v>110.241</v>
      </c>
      <c r="M139" s="70">
        <v>110.241</v>
      </c>
      <c r="N139" s="6">
        <v>110.241</v>
      </c>
      <c r="O139" s="70">
        <v>110.241</v>
      </c>
      <c r="P139" s="6">
        <v>0</v>
      </c>
      <c r="Q139" s="4" t="s">
        <v>26</v>
      </c>
      <c r="R139" s="4">
        <v>0</v>
      </c>
      <c r="S139" s="6">
        <v>2</v>
      </c>
      <c r="T139" s="6">
        <v>3</v>
      </c>
      <c r="U139" s="6">
        <v>49</v>
      </c>
      <c r="V139" s="70">
        <f>IF(ISERROR(VLOOKUP($S$139,'TAR FIN'!$A$1:$O$85,15,0)),0,VLOOKUP($S$139,'TAR FIN'!$A$1:$O$85,15,0))*(1-0.04)</f>
        <v>15.974399999999999</v>
      </c>
      <c r="W139" s="70">
        <f>IF(ISERROR(VLOOKUP($T$139,'TAR FIN'!$A$1:$O$85,15,0)),0,VLOOKUP($T$139,'TAR FIN'!$A$1:$O$85,15,0))*(1-0.04)</f>
        <v>73.679999999999993</v>
      </c>
      <c r="X139" s="70">
        <f>IF(ISERROR(VLOOKUP($U$139,'TAR FIN'!$A$1:$O$85,15,0)),0,VLOOKUP($U$139,'TAR FIN'!$A$1:$O$85,15,0))*(1-0.04)</f>
        <v>294.79679999999996</v>
      </c>
      <c r="Y139" s="70">
        <f ca="1">('TUSD BE'!$AM$6+'TUSD BF'!$AM$6+'TUSD CVA'!$AM$6)*1*(1-0.02)</f>
        <v>18.004417335184016</v>
      </c>
      <c r="Z139" s="70">
        <f ca="1">('TUSD BE'!$AM$7+'TUSD BF'!$AM$7+'TUSD CVA'!$AM$7)*1*(1-0.02)</f>
        <v>145.0344252575909</v>
      </c>
      <c r="AA139" s="70">
        <f>('TE BE'!$AB$6+'TE BF'!$AB$6+'TE CVA'!$AB$6)*1*(1-0.02)</f>
        <v>298.77287296580289</v>
      </c>
      <c r="AB139" s="6">
        <f>$K$139*$V$139</f>
        <v>7603.8143999999993</v>
      </c>
      <c r="AC139" s="6">
        <f>$M$139*$W$139</f>
        <v>8122.5568799999992</v>
      </c>
      <c r="AD139" s="6">
        <f>$O$139*$X$139</f>
        <v>32498.694028799997</v>
      </c>
      <c r="AE139" s="6">
        <f ca="1">$K$139*$Y$139</f>
        <v>8570.1026515475914</v>
      </c>
      <c r="AF139" s="6">
        <f ca="1">$M$139*$Z$139</f>
        <v>15988.740074822079</v>
      </c>
      <c r="AG139" s="6">
        <f>$O$139*$AA$139</f>
        <v>32937.020288623076</v>
      </c>
    </row>
    <row r="140" spans="1:33" ht="11.25" customHeight="1" x14ac:dyDescent="0.25">
      <c r="A140" s="4" t="s">
        <v>21</v>
      </c>
      <c r="B140" s="4" t="s">
        <v>39</v>
      </c>
      <c r="C140" s="4" t="s">
        <v>42</v>
      </c>
      <c r="D140" s="4" t="s">
        <v>44</v>
      </c>
      <c r="E140" s="4" t="s">
        <v>25</v>
      </c>
      <c r="F140" s="4" t="s">
        <v>25</v>
      </c>
      <c r="G140" s="4" t="s">
        <v>25</v>
      </c>
      <c r="H140" s="4" t="s">
        <v>35</v>
      </c>
      <c r="I140" s="5">
        <v>44621</v>
      </c>
      <c r="J140" s="6">
        <v>538</v>
      </c>
      <c r="K140" s="70">
        <v>538</v>
      </c>
      <c r="L140" s="6">
        <v>126.678</v>
      </c>
      <c r="M140" s="70">
        <v>126.678</v>
      </c>
      <c r="N140" s="6">
        <v>126.678</v>
      </c>
      <c r="O140" s="70">
        <v>126.678</v>
      </c>
      <c r="P140" s="6">
        <v>0</v>
      </c>
      <c r="Q140" s="4" t="s">
        <v>26</v>
      </c>
      <c r="R140" s="4">
        <v>0</v>
      </c>
      <c r="S140" s="6">
        <v>2</v>
      </c>
      <c r="T140" s="6">
        <v>3</v>
      </c>
      <c r="U140" s="6">
        <v>49</v>
      </c>
      <c r="V140" s="70">
        <f>IF(ISERROR(VLOOKUP($S$140,'TAR FIN'!$A$1:$O$85,15,0)),0,VLOOKUP($S$140,'TAR FIN'!$A$1:$O$85,15,0))*(1-0.04)</f>
        <v>15.974399999999999</v>
      </c>
      <c r="W140" s="70">
        <f>IF(ISERROR(VLOOKUP($T$140,'TAR FIN'!$A$1:$O$85,15,0)),0,VLOOKUP($T$140,'TAR FIN'!$A$1:$O$85,15,0))*(1-0.04)</f>
        <v>73.679999999999993</v>
      </c>
      <c r="X140" s="70">
        <f>IF(ISERROR(VLOOKUP($U$140,'TAR FIN'!$A$1:$O$85,15,0)),0,VLOOKUP($U$140,'TAR FIN'!$A$1:$O$85,15,0))*(1-0.04)</f>
        <v>294.79679999999996</v>
      </c>
      <c r="Y140" s="70">
        <f ca="1">('TUSD BE'!$AM$6+'TUSD BF'!$AM$6+'TUSD CVA'!$AM$6)*1*(1-0.02)</f>
        <v>18.004417335184016</v>
      </c>
      <c r="Z140" s="70">
        <f ca="1">('TUSD BE'!$AM$7+'TUSD BF'!$AM$7+'TUSD CVA'!$AM$7)*1*(1-0.02)</f>
        <v>145.0344252575909</v>
      </c>
      <c r="AA140" s="70">
        <f>('TE BE'!$AB$6+'TE BF'!$AB$6+'TE CVA'!$AB$6)*1*(1-0.02)</f>
        <v>298.77287296580289</v>
      </c>
      <c r="AB140" s="6">
        <f>$K$140*$V$140</f>
        <v>8594.2271999999994</v>
      </c>
      <c r="AC140" s="6">
        <f>$M$140*$W$140</f>
        <v>9333.6350399999992</v>
      </c>
      <c r="AD140" s="6">
        <f>$O$140*$X$140</f>
        <v>37344.269030399992</v>
      </c>
      <c r="AE140" s="6">
        <f ca="1">$K$140*$Y$140</f>
        <v>9686.3765263290006</v>
      </c>
      <c r="AF140" s="6">
        <f ca="1">$M$140*$Z$140</f>
        <v>18372.670922781101</v>
      </c>
      <c r="AG140" s="6">
        <f>$O$140*$AA$140</f>
        <v>37847.950001561978</v>
      </c>
    </row>
    <row r="141" spans="1:33" ht="11.25" customHeight="1" x14ac:dyDescent="0.25">
      <c r="A141" s="4" t="s">
        <v>21</v>
      </c>
      <c r="B141" s="4" t="s">
        <v>39</v>
      </c>
      <c r="C141" s="4" t="s">
        <v>42</v>
      </c>
      <c r="D141" s="4" t="s">
        <v>44</v>
      </c>
      <c r="E141" s="4" t="s">
        <v>25</v>
      </c>
      <c r="F141" s="4" t="s">
        <v>25</v>
      </c>
      <c r="G141" s="4" t="s">
        <v>25</v>
      </c>
      <c r="H141" s="4" t="s">
        <v>35</v>
      </c>
      <c r="I141" s="5">
        <v>44652</v>
      </c>
      <c r="J141" s="6">
        <v>614</v>
      </c>
      <c r="K141" s="70">
        <v>614</v>
      </c>
      <c r="L141" s="6">
        <v>132.88300000000001</v>
      </c>
      <c r="M141" s="70">
        <v>132.88300000000001</v>
      </c>
      <c r="N141" s="6">
        <v>132.88300000000001</v>
      </c>
      <c r="O141" s="70">
        <v>132.88300000000001</v>
      </c>
      <c r="P141" s="6">
        <v>0</v>
      </c>
      <c r="Q141" s="4" t="s">
        <v>26</v>
      </c>
      <c r="R141" s="4">
        <v>0</v>
      </c>
      <c r="S141" s="6">
        <v>2</v>
      </c>
      <c r="T141" s="6">
        <v>3</v>
      </c>
      <c r="U141" s="6">
        <v>49</v>
      </c>
      <c r="V141" s="70">
        <f>IF(ISERROR(VLOOKUP($S$141,'TAR FIN'!$A$1:$O$85,15,0)),0,VLOOKUP($S$141,'TAR FIN'!$A$1:$O$85,15,0))*(1-0.04)</f>
        <v>15.974399999999999</v>
      </c>
      <c r="W141" s="70">
        <f>IF(ISERROR(VLOOKUP($T$141,'TAR FIN'!$A$1:$O$85,15,0)),0,VLOOKUP($T$141,'TAR FIN'!$A$1:$O$85,15,0))*(1-0.04)</f>
        <v>73.679999999999993</v>
      </c>
      <c r="X141" s="70">
        <f>IF(ISERROR(VLOOKUP($U$141,'TAR FIN'!$A$1:$O$85,15,0)),0,VLOOKUP($U$141,'TAR FIN'!$A$1:$O$85,15,0))*(1-0.04)</f>
        <v>294.79679999999996</v>
      </c>
      <c r="Y141" s="70">
        <f ca="1">('TUSD BE'!$AM$6+'TUSD BF'!$AM$6+'TUSD CVA'!$AM$6)*1*(1-0.02)</f>
        <v>18.004417335184016</v>
      </c>
      <c r="Z141" s="70">
        <f ca="1">('TUSD BE'!$AM$7+'TUSD BF'!$AM$7+'TUSD CVA'!$AM$7)*1*(1-0.02)</f>
        <v>145.0344252575909</v>
      </c>
      <c r="AA141" s="70">
        <f>('TE BE'!$AB$6+'TE BF'!$AB$6+'TE CVA'!$AB$6)*1*(1-0.02)</f>
        <v>298.77287296580289</v>
      </c>
      <c r="AB141" s="6">
        <f>$K$141*$V$141</f>
        <v>9808.2816000000003</v>
      </c>
      <c r="AC141" s="6">
        <f>$M$141*$W$141</f>
        <v>9790.8194399999993</v>
      </c>
      <c r="AD141" s="6">
        <f>$O$141*$X$141</f>
        <v>39173.483174399997</v>
      </c>
      <c r="AE141" s="6">
        <f ca="1">$K$141*$Y$141</f>
        <v>11054.712243802986</v>
      </c>
      <c r="AF141" s="6">
        <f ca="1">$M$141*$Z$141</f>
        <v>19272.609531504451</v>
      </c>
      <c r="AG141" s="6">
        <f>$O$141*$AA$141</f>
        <v>39701.83567831479</v>
      </c>
    </row>
    <row r="142" spans="1:33" ht="11.25" customHeight="1" x14ac:dyDescent="0.25">
      <c r="A142" s="4" t="s">
        <v>21</v>
      </c>
      <c r="B142" s="4" t="s">
        <v>39</v>
      </c>
      <c r="C142" s="4" t="s">
        <v>42</v>
      </c>
      <c r="D142" s="4" t="s">
        <v>44</v>
      </c>
      <c r="E142" s="4" t="s">
        <v>25</v>
      </c>
      <c r="F142" s="4" t="s">
        <v>25</v>
      </c>
      <c r="G142" s="4" t="s">
        <v>25</v>
      </c>
      <c r="H142" s="4" t="s">
        <v>35</v>
      </c>
      <c r="I142" s="5">
        <v>44682</v>
      </c>
      <c r="J142" s="6">
        <v>544</v>
      </c>
      <c r="K142" s="70">
        <v>544</v>
      </c>
      <c r="L142" s="6">
        <v>131.101</v>
      </c>
      <c r="M142" s="70">
        <v>131.101</v>
      </c>
      <c r="N142" s="6">
        <v>131.101</v>
      </c>
      <c r="O142" s="70">
        <v>131.101</v>
      </c>
      <c r="P142" s="6">
        <v>0</v>
      </c>
      <c r="Q142" s="4" t="s">
        <v>26</v>
      </c>
      <c r="R142" s="4">
        <v>0</v>
      </c>
      <c r="S142" s="6">
        <v>2</v>
      </c>
      <c r="T142" s="6">
        <v>3</v>
      </c>
      <c r="U142" s="6">
        <v>49</v>
      </c>
      <c r="V142" s="70">
        <f>IF(ISERROR(VLOOKUP($S$142,'TAR FIN'!$A$1:$O$85,15,0)),0,VLOOKUP($S$142,'TAR FIN'!$A$1:$O$85,15,0))*(1-0.04)</f>
        <v>15.974399999999999</v>
      </c>
      <c r="W142" s="70">
        <f>IF(ISERROR(VLOOKUP($T$142,'TAR FIN'!$A$1:$O$85,15,0)),0,VLOOKUP($T$142,'TAR FIN'!$A$1:$O$85,15,0))*(1-0.04)</f>
        <v>73.679999999999993</v>
      </c>
      <c r="X142" s="70">
        <f>IF(ISERROR(VLOOKUP($U$142,'TAR FIN'!$A$1:$O$85,15,0)),0,VLOOKUP($U$142,'TAR FIN'!$A$1:$O$85,15,0))*(1-0.04)</f>
        <v>294.79679999999996</v>
      </c>
      <c r="Y142" s="70">
        <f ca="1">('TUSD BE'!$AM$6+'TUSD BF'!$AM$6+'TUSD CVA'!$AM$6)*1*(1-0.02)</f>
        <v>18.004417335184016</v>
      </c>
      <c r="Z142" s="70">
        <f ca="1">('TUSD BE'!$AM$7+'TUSD BF'!$AM$7+'TUSD CVA'!$AM$7)*1*(1-0.02)</f>
        <v>145.0344252575909</v>
      </c>
      <c r="AA142" s="70">
        <f>('TE BE'!$AB$6+'TE BF'!$AB$6+'TE CVA'!$AB$6)*1*(1-0.02)</f>
        <v>298.77287296580289</v>
      </c>
      <c r="AB142" s="6">
        <f>$K$142*$V$142</f>
        <v>8690.0735999999997</v>
      </c>
      <c r="AC142" s="6">
        <f>$M$142*$W$142</f>
        <v>9659.5216799999998</v>
      </c>
      <c r="AD142" s="6">
        <f>$O$142*$X$142</f>
        <v>38648.155276799996</v>
      </c>
      <c r="AE142" s="6">
        <f ca="1">$K$142*$Y$142</f>
        <v>9794.403030340105</v>
      </c>
      <c r="AF142" s="6">
        <f ca="1">$M$142*$Z$142</f>
        <v>19014.158185695425</v>
      </c>
      <c r="AG142" s="6">
        <f>$O$142*$AA$142</f>
        <v>39169.422418689726</v>
      </c>
    </row>
    <row r="143" spans="1:33" ht="11.25" customHeight="1" x14ac:dyDescent="0.25">
      <c r="A143" s="4" t="s">
        <v>21</v>
      </c>
      <c r="B143" s="4" t="s">
        <v>39</v>
      </c>
      <c r="C143" s="4" t="s">
        <v>42</v>
      </c>
      <c r="D143" s="4" t="s">
        <v>44</v>
      </c>
      <c r="E143" s="4" t="s">
        <v>25</v>
      </c>
      <c r="F143" s="4" t="s">
        <v>25</v>
      </c>
      <c r="G143" s="4" t="s">
        <v>25</v>
      </c>
      <c r="H143" s="4" t="s">
        <v>35</v>
      </c>
      <c r="I143" s="5">
        <v>44713</v>
      </c>
      <c r="J143" s="6">
        <v>419</v>
      </c>
      <c r="K143" s="70">
        <v>419</v>
      </c>
      <c r="L143" s="6">
        <v>106.90300000000001</v>
      </c>
      <c r="M143" s="70">
        <v>106.90300000000001</v>
      </c>
      <c r="N143" s="6">
        <v>106.90300000000001</v>
      </c>
      <c r="O143" s="70">
        <v>106.90300000000001</v>
      </c>
      <c r="P143" s="6">
        <v>0</v>
      </c>
      <c r="Q143" s="4" t="s">
        <v>26</v>
      </c>
      <c r="R143" s="4">
        <v>0</v>
      </c>
      <c r="S143" s="6">
        <v>2</v>
      </c>
      <c r="T143" s="6">
        <v>3</v>
      </c>
      <c r="U143" s="6">
        <v>49</v>
      </c>
      <c r="V143" s="70">
        <f>IF(ISERROR(VLOOKUP($S$143,'TAR FIN'!$A$1:$O$85,15,0)),0,VLOOKUP($S$143,'TAR FIN'!$A$1:$O$85,15,0))*(1-0.04)</f>
        <v>15.974399999999999</v>
      </c>
      <c r="W143" s="70">
        <f>IF(ISERROR(VLOOKUP($T$143,'TAR FIN'!$A$1:$O$85,15,0)),0,VLOOKUP($T$143,'TAR FIN'!$A$1:$O$85,15,0))*(1-0.04)</f>
        <v>73.679999999999993</v>
      </c>
      <c r="X143" s="70">
        <f>IF(ISERROR(VLOOKUP($U$143,'TAR FIN'!$A$1:$O$85,15,0)),0,VLOOKUP($U$143,'TAR FIN'!$A$1:$O$85,15,0))*(1-0.04)</f>
        <v>294.79679999999996</v>
      </c>
      <c r="Y143" s="70">
        <f ca="1">('TUSD BE'!$AM$6+'TUSD BF'!$AM$6+'TUSD CVA'!$AM$6)*1*(1-0.02)</f>
        <v>18.004417335184016</v>
      </c>
      <c r="Z143" s="70">
        <f ca="1">('TUSD BE'!$AM$7+'TUSD BF'!$AM$7+'TUSD CVA'!$AM$7)*1*(1-0.02)</f>
        <v>145.0344252575909</v>
      </c>
      <c r="AA143" s="70">
        <f>('TE BE'!$AB$6+'TE BF'!$AB$6+'TE CVA'!$AB$6)*1*(1-0.02)</f>
        <v>298.77287296580289</v>
      </c>
      <c r="AB143" s="6">
        <f>$K$143*$V$143</f>
        <v>6693.2735999999995</v>
      </c>
      <c r="AC143" s="6">
        <f>$M$143*$W$143</f>
        <v>7876.6130399999993</v>
      </c>
      <c r="AD143" s="6">
        <f>$O$143*$X$143</f>
        <v>31514.662310399999</v>
      </c>
      <c r="AE143" s="6">
        <f ca="1">$K$143*$Y$143</f>
        <v>7543.8508634421023</v>
      </c>
      <c r="AF143" s="6">
        <f ca="1">$M$143*$Z$143</f>
        <v>15504.615163312241</v>
      </c>
      <c r="AG143" s="6">
        <f>$O$143*$AA$143</f>
        <v>31939.716438663228</v>
      </c>
    </row>
    <row r="144" spans="1:33" ht="11.25" customHeight="1" x14ac:dyDescent="0.25">
      <c r="A144" s="4" t="s">
        <v>21</v>
      </c>
      <c r="B144" s="4" t="s">
        <v>39</v>
      </c>
      <c r="C144" s="4" t="s">
        <v>42</v>
      </c>
      <c r="D144" s="4" t="s">
        <v>44</v>
      </c>
      <c r="E144" s="4" t="s">
        <v>25</v>
      </c>
      <c r="F144" s="4" t="s">
        <v>25</v>
      </c>
      <c r="G144" s="4" t="s">
        <v>25</v>
      </c>
      <c r="H144" s="4" t="s">
        <v>35</v>
      </c>
      <c r="I144" s="5">
        <v>44743</v>
      </c>
      <c r="J144" s="6">
        <v>394</v>
      </c>
      <c r="K144" s="70">
        <v>394</v>
      </c>
      <c r="L144" s="6">
        <v>110.07299999999999</v>
      </c>
      <c r="M144" s="70">
        <v>110.07299999999999</v>
      </c>
      <c r="N144" s="6">
        <v>110.07299999999999</v>
      </c>
      <c r="O144" s="70">
        <v>110.07299999999999</v>
      </c>
      <c r="P144" s="6">
        <v>0</v>
      </c>
      <c r="Q144" s="4" t="s">
        <v>26</v>
      </c>
      <c r="R144" s="4">
        <v>0</v>
      </c>
      <c r="S144" s="6">
        <v>2</v>
      </c>
      <c r="T144" s="6">
        <v>3</v>
      </c>
      <c r="U144" s="6">
        <v>49</v>
      </c>
      <c r="V144" s="70">
        <f>IF(ISERROR(VLOOKUP($S$144,'TAR FIN'!$A$1:$O$85,15,0)),0,VLOOKUP($S$144,'TAR FIN'!$A$1:$O$85,15,0))*(1-0.04)</f>
        <v>15.974399999999999</v>
      </c>
      <c r="W144" s="70">
        <f>IF(ISERROR(VLOOKUP($T$144,'TAR FIN'!$A$1:$O$85,15,0)),0,VLOOKUP($T$144,'TAR FIN'!$A$1:$O$85,15,0))*(1-0.04)</f>
        <v>73.679999999999993</v>
      </c>
      <c r="X144" s="70">
        <f>IF(ISERROR(VLOOKUP($U$144,'TAR FIN'!$A$1:$O$85,15,0)),0,VLOOKUP($U$144,'TAR FIN'!$A$1:$O$85,15,0))*(1-0.04)</f>
        <v>294.79679999999996</v>
      </c>
      <c r="Y144" s="70">
        <f ca="1">('TUSD BE'!$AM$6+'TUSD BF'!$AM$6+'TUSD CVA'!$AM$6)*1*(1-0.02)</f>
        <v>18.004417335184016</v>
      </c>
      <c r="Z144" s="70">
        <f ca="1">('TUSD BE'!$AM$7+'TUSD BF'!$AM$7+'TUSD CVA'!$AM$7)*1*(1-0.02)</f>
        <v>145.0344252575909</v>
      </c>
      <c r="AA144" s="70">
        <f>('TE BE'!$AB$6+'TE BF'!$AB$6+'TE CVA'!$AB$6)*1*(1-0.02)</f>
        <v>298.77287296580289</v>
      </c>
      <c r="AB144" s="6">
        <f>$K$144*$V$144</f>
        <v>6293.9135999999999</v>
      </c>
      <c r="AC144" s="6">
        <f>$M$144*$W$144</f>
        <v>8110.1786399999983</v>
      </c>
      <c r="AD144" s="6">
        <f>$O$144*$X$144</f>
        <v>32449.168166399995</v>
      </c>
      <c r="AE144" s="6">
        <f ca="1">$K$144*$Y$144</f>
        <v>7093.7404300625021</v>
      </c>
      <c r="AF144" s="6">
        <f ca="1">$M$144*$Z$144</f>
        <v>15964.374291378801</v>
      </c>
      <c r="AG144" s="6">
        <f>$O$144*$AA$144</f>
        <v>32886.82644596482</v>
      </c>
    </row>
    <row r="145" spans="1:33" ht="11.25" customHeight="1" x14ac:dyDescent="0.25">
      <c r="A145" s="4" t="s">
        <v>56</v>
      </c>
      <c r="B145" s="4" t="s">
        <v>39</v>
      </c>
      <c r="C145" s="4" t="s">
        <v>42</v>
      </c>
      <c r="D145" s="4" t="s">
        <v>44</v>
      </c>
      <c r="E145" s="4" t="s">
        <v>25</v>
      </c>
      <c r="F145" s="4" t="s">
        <v>25</v>
      </c>
      <c r="G145" s="4" t="s">
        <v>25</v>
      </c>
      <c r="H145" s="4" t="s">
        <v>35</v>
      </c>
      <c r="I145" s="5">
        <v>44774</v>
      </c>
      <c r="J145" s="6">
        <v>394</v>
      </c>
      <c r="K145" s="70">
        <v>394</v>
      </c>
      <c r="L145" s="6">
        <v>110.07299999999999</v>
      </c>
      <c r="M145" s="70">
        <v>110.07299999999999</v>
      </c>
      <c r="N145" s="6">
        <v>110.07299999999999</v>
      </c>
      <c r="O145" s="70">
        <v>110.07299999999999</v>
      </c>
      <c r="P145" s="6">
        <v>0</v>
      </c>
      <c r="Q145" s="4" t="s">
        <v>26</v>
      </c>
      <c r="R145" s="4">
        <v>0</v>
      </c>
      <c r="S145" s="6">
        <v>2</v>
      </c>
      <c r="T145" s="6">
        <v>3</v>
      </c>
      <c r="U145" s="6">
        <v>49</v>
      </c>
      <c r="V145" s="70">
        <f>IF(ISERROR(VLOOKUP($S$145,'TAR FIN'!$A$1:$O$85,15,0)),0,VLOOKUP($S$145,'TAR FIN'!$A$1:$O$85,15,0))*(1-0.04)</f>
        <v>15.974399999999999</v>
      </c>
      <c r="W145" s="70">
        <f>IF(ISERROR(VLOOKUP($T$145,'TAR FIN'!$A$1:$O$85,15,0)),0,VLOOKUP($T$145,'TAR FIN'!$A$1:$O$85,15,0))*(1-0.04)</f>
        <v>73.679999999999993</v>
      </c>
      <c r="X145" s="70">
        <f>IF(ISERROR(VLOOKUP($U$145,'TAR FIN'!$A$1:$O$85,15,0)),0,VLOOKUP($U$145,'TAR FIN'!$A$1:$O$85,15,0))*(1-0.04)</f>
        <v>294.79679999999996</v>
      </c>
      <c r="Y145" s="70">
        <f ca="1">('TUSD BE'!$AM$6+'TUSD BF'!$AM$6+'TUSD CVA'!$AM$6)*1*(1-0.02)</f>
        <v>18.004417335184016</v>
      </c>
      <c r="Z145" s="70">
        <f ca="1">('TUSD BE'!$AM$7+'TUSD BF'!$AM$7+'TUSD CVA'!$AM$7)*1*(1-0.02)</f>
        <v>145.0344252575909</v>
      </c>
      <c r="AA145" s="70">
        <f>('TE BE'!$AB$6+'TE BF'!$AB$6+'TE CVA'!$AB$6)*1*(1-0.02)</f>
        <v>298.77287296580289</v>
      </c>
      <c r="AB145" s="6">
        <f>$K$145*$V$145</f>
        <v>6293.9135999999999</v>
      </c>
      <c r="AC145" s="6">
        <f>$M$145*$W$145</f>
        <v>8110.1786399999983</v>
      </c>
      <c r="AD145" s="6">
        <f>$O$145*$X$145</f>
        <v>32449.168166399995</v>
      </c>
      <c r="AE145" s="6">
        <f ca="1">$K$145*$Y$145</f>
        <v>7093.7404300625021</v>
      </c>
      <c r="AF145" s="6">
        <f ca="1">$M$145*$Z$145</f>
        <v>15964.374291378801</v>
      </c>
      <c r="AG145" s="6">
        <f>$O$145*$AA$145</f>
        <v>32886.82644596482</v>
      </c>
    </row>
    <row r="146" spans="1:33" ht="11.25" customHeight="1" x14ac:dyDescent="0.25">
      <c r="A146" s="4" t="s">
        <v>21</v>
      </c>
      <c r="B146" s="4" t="s">
        <v>39</v>
      </c>
      <c r="C146" s="4" t="s">
        <v>42</v>
      </c>
      <c r="D146" s="4" t="s">
        <v>44</v>
      </c>
      <c r="E146" s="4" t="s">
        <v>25</v>
      </c>
      <c r="F146" s="4" t="s">
        <v>25</v>
      </c>
      <c r="G146" s="4" t="s">
        <v>25</v>
      </c>
      <c r="H146" s="4" t="s">
        <v>34</v>
      </c>
      <c r="I146" s="5">
        <v>44440</v>
      </c>
      <c r="J146" s="6">
        <v>158</v>
      </c>
      <c r="K146" s="70">
        <v>158</v>
      </c>
      <c r="L146" s="6">
        <v>7.8620000000000001</v>
      </c>
      <c r="M146" s="70">
        <v>7.8620000000000001</v>
      </c>
      <c r="N146" s="6">
        <v>7.8620000000000001</v>
      </c>
      <c r="O146" s="70">
        <v>7.8620000000000001</v>
      </c>
      <c r="P146" s="6">
        <v>0</v>
      </c>
      <c r="Q146" s="4" t="s">
        <v>26</v>
      </c>
      <c r="R146" s="4">
        <v>0</v>
      </c>
      <c r="S146" s="6">
        <v>1</v>
      </c>
      <c r="T146" s="6">
        <v>3</v>
      </c>
      <c r="U146" s="6">
        <v>48</v>
      </c>
      <c r="V146" s="70">
        <f>IF(ISERROR(VLOOKUP($S$146,'TAR FIN'!$A$1:$O$85,15,0)),0,VLOOKUP($S$146,'TAR FIN'!$A$1:$O$85,15,0))*(1-0.04)</f>
        <v>49.852799999999995</v>
      </c>
      <c r="W146" s="70">
        <f>IF(ISERROR(VLOOKUP($T$146,'TAR FIN'!$A$1:$O$85,15,0)),0,VLOOKUP($T$146,'TAR FIN'!$A$1:$O$85,15,0))*(1-0.04)</f>
        <v>73.679999999999993</v>
      </c>
      <c r="X146" s="70">
        <f>IF(ISERROR(VLOOKUP($U$146,'TAR FIN'!$A$1:$O$85,15,0)),0,VLOOKUP($U$146,'TAR FIN'!$A$1:$O$85,15,0))*(1-0.04)</f>
        <v>472.93439999999998</v>
      </c>
      <c r="Y146" s="70">
        <f ca="1">('TUSD BE'!$AM$5+'TUSD BF'!$AM$5+'TUSD CVA'!$AM$5)*1*(1-0.02)</f>
        <v>56.366340594889444</v>
      </c>
      <c r="Z146" s="70">
        <f ca="1">('TUSD BE'!$AM$7+'TUSD BF'!$AM$7+'TUSD CVA'!$AM$7)*1*(1-0.02)</f>
        <v>145.0344252575909</v>
      </c>
      <c r="AA146" s="70">
        <f>('TE BE'!$AB$5+'TE BF'!$AB$5+'TE CVA'!$AB$5)*1*(1-0.02)</f>
        <v>476.15845689016339</v>
      </c>
      <c r="AB146" s="6">
        <f>$K$146*$V$146</f>
        <v>7876.7423999999992</v>
      </c>
      <c r="AC146" s="6">
        <f>$M$146*$W$146</f>
        <v>579.27215999999999</v>
      </c>
      <c r="AD146" s="6">
        <f>$O$146*$X$146</f>
        <v>3718.2102528</v>
      </c>
      <c r="AE146" s="6">
        <f ca="1">$K$146*$Y$146</f>
        <v>8905.8818139925315</v>
      </c>
      <c r="AF146" s="6">
        <f ca="1">$M$146*$Z$146</f>
        <v>1140.2606513751796</v>
      </c>
      <c r="AG146" s="6">
        <f>$O$146*$AA$146</f>
        <v>3743.5577880704645</v>
      </c>
    </row>
    <row r="147" spans="1:33" ht="11.25" customHeight="1" x14ac:dyDescent="0.25">
      <c r="A147" s="4" t="s">
        <v>21</v>
      </c>
      <c r="B147" s="4" t="s">
        <v>39</v>
      </c>
      <c r="C147" s="4" t="s">
        <v>42</v>
      </c>
      <c r="D147" s="4" t="s">
        <v>44</v>
      </c>
      <c r="E147" s="4" t="s">
        <v>25</v>
      </c>
      <c r="F147" s="4" t="s">
        <v>25</v>
      </c>
      <c r="G147" s="4" t="s">
        <v>25</v>
      </c>
      <c r="H147" s="4" t="s">
        <v>34</v>
      </c>
      <c r="I147" s="5">
        <v>44470</v>
      </c>
      <c r="J147" s="6">
        <v>217</v>
      </c>
      <c r="K147" s="70">
        <v>217</v>
      </c>
      <c r="L147" s="6">
        <v>10.103999999999999</v>
      </c>
      <c r="M147" s="70">
        <v>10.103999999999999</v>
      </c>
      <c r="N147" s="6">
        <v>10.103999999999999</v>
      </c>
      <c r="O147" s="70">
        <v>10.103999999999999</v>
      </c>
      <c r="P147" s="6">
        <v>0</v>
      </c>
      <c r="Q147" s="4" t="s">
        <v>26</v>
      </c>
      <c r="R147" s="4">
        <v>0</v>
      </c>
      <c r="S147" s="6">
        <v>1</v>
      </c>
      <c r="T147" s="6">
        <v>3</v>
      </c>
      <c r="U147" s="6">
        <v>48</v>
      </c>
      <c r="V147" s="70">
        <f>IF(ISERROR(VLOOKUP($S$147,'TAR FIN'!$A$1:$O$85,15,0)),0,VLOOKUP($S$147,'TAR FIN'!$A$1:$O$85,15,0))*(1-0.04)</f>
        <v>49.852799999999995</v>
      </c>
      <c r="W147" s="70">
        <f>IF(ISERROR(VLOOKUP($T$147,'TAR FIN'!$A$1:$O$85,15,0)),0,VLOOKUP($T$147,'TAR FIN'!$A$1:$O$85,15,0))*(1-0.04)</f>
        <v>73.679999999999993</v>
      </c>
      <c r="X147" s="70">
        <f>IF(ISERROR(VLOOKUP($U$147,'TAR FIN'!$A$1:$O$85,15,0)),0,VLOOKUP($U$147,'TAR FIN'!$A$1:$O$85,15,0))*(1-0.04)</f>
        <v>472.93439999999998</v>
      </c>
      <c r="Y147" s="70">
        <f ca="1">('TUSD BE'!$AM$5+'TUSD BF'!$AM$5+'TUSD CVA'!$AM$5)*1*(1-0.02)</f>
        <v>56.366340594889444</v>
      </c>
      <c r="Z147" s="70">
        <f ca="1">('TUSD BE'!$AM$7+'TUSD BF'!$AM$7+'TUSD CVA'!$AM$7)*1*(1-0.02)</f>
        <v>145.0344252575909</v>
      </c>
      <c r="AA147" s="70">
        <f>('TE BE'!$AB$5+'TE BF'!$AB$5+'TE CVA'!$AB$5)*1*(1-0.02)</f>
        <v>476.15845689016339</v>
      </c>
      <c r="AB147" s="6">
        <f>$K$147*$V$147</f>
        <v>10818.057599999998</v>
      </c>
      <c r="AC147" s="6">
        <f>$M$147*$W$147</f>
        <v>744.46271999999988</v>
      </c>
      <c r="AD147" s="6">
        <f>$O$147*$X$147</f>
        <v>4778.5291775999995</v>
      </c>
      <c r="AE147" s="6">
        <f ca="1">$K$147*$Y$147</f>
        <v>12231.495909091009</v>
      </c>
      <c r="AF147" s="6">
        <f ca="1">$M$147*$Z$147</f>
        <v>1465.4278328026983</v>
      </c>
      <c r="AG147" s="6">
        <f>$O$147*$AA$147</f>
        <v>4811.1050484182106</v>
      </c>
    </row>
    <row r="148" spans="1:33" ht="11.25" customHeight="1" x14ac:dyDescent="0.25">
      <c r="A148" s="4" t="s">
        <v>21</v>
      </c>
      <c r="B148" s="4" t="s">
        <v>39</v>
      </c>
      <c r="C148" s="4" t="s">
        <v>42</v>
      </c>
      <c r="D148" s="4" t="s">
        <v>44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44501</v>
      </c>
      <c r="J148" s="6">
        <v>245</v>
      </c>
      <c r="K148" s="70">
        <v>245</v>
      </c>
      <c r="L148" s="6">
        <v>9.9130000000000003</v>
      </c>
      <c r="M148" s="70">
        <v>9.9130000000000003</v>
      </c>
      <c r="N148" s="6">
        <v>9.9130000000000003</v>
      </c>
      <c r="O148" s="70">
        <v>9.9130000000000003</v>
      </c>
      <c r="P148" s="6">
        <v>0</v>
      </c>
      <c r="Q148" s="4" t="s">
        <v>26</v>
      </c>
      <c r="R148" s="4">
        <v>0</v>
      </c>
      <c r="S148" s="6">
        <v>1</v>
      </c>
      <c r="T148" s="6">
        <v>3</v>
      </c>
      <c r="U148" s="6">
        <v>48</v>
      </c>
      <c r="V148" s="70">
        <f>IF(ISERROR(VLOOKUP($S$148,'TAR FIN'!$A$1:$O$85,15,0)),0,VLOOKUP($S$148,'TAR FIN'!$A$1:$O$85,15,0))*(1-0.04)</f>
        <v>49.852799999999995</v>
      </c>
      <c r="W148" s="70">
        <f>IF(ISERROR(VLOOKUP($T$148,'TAR FIN'!$A$1:$O$85,15,0)),0,VLOOKUP($T$148,'TAR FIN'!$A$1:$O$85,15,0))*(1-0.04)</f>
        <v>73.679999999999993</v>
      </c>
      <c r="X148" s="70">
        <f>IF(ISERROR(VLOOKUP($U$148,'TAR FIN'!$A$1:$O$85,15,0)),0,VLOOKUP($U$148,'TAR FIN'!$A$1:$O$85,15,0))*(1-0.04)</f>
        <v>472.93439999999998</v>
      </c>
      <c r="Y148" s="70">
        <f ca="1">('TUSD BE'!$AM$5+'TUSD BF'!$AM$5+'TUSD CVA'!$AM$5)*1*(1-0.02)</f>
        <v>56.366340594889444</v>
      </c>
      <c r="Z148" s="70">
        <f ca="1">('TUSD BE'!$AM$7+'TUSD BF'!$AM$7+'TUSD CVA'!$AM$7)*1*(1-0.02)</f>
        <v>145.0344252575909</v>
      </c>
      <c r="AA148" s="70">
        <f>('TE BE'!$AB$5+'TE BF'!$AB$5+'TE CVA'!$AB$5)*1*(1-0.02)</f>
        <v>476.15845689016339</v>
      </c>
      <c r="AB148" s="6">
        <f>$K$148*$V$148</f>
        <v>12213.935999999998</v>
      </c>
      <c r="AC148" s="6">
        <f>$M$148*$W$148</f>
        <v>730.38983999999994</v>
      </c>
      <c r="AD148" s="6">
        <f>$O$148*$X$148</f>
        <v>4688.1987072000002</v>
      </c>
      <c r="AE148" s="6">
        <f ca="1">$K$148*$Y$148</f>
        <v>13809.753445747914</v>
      </c>
      <c r="AF148" s="6">
        <f ca="1">$M$148*$Z$148</f>
        <v>1437.7262575784987</v>
      </c>
      <c r="AG148" s="6">
        <f>$O$148*$AA$148</f>
        <v>4720.1587831521902</v>
      </c>
    </row>
    <row r="149" spans="1:33" ht="11.25" customHeight="1" x14ac:dyDescent="0.25">
      <c r="A149" s="4" t="s">
        <v>21</v>
      </c>
      <c r="B149" s="4" t="s">
        <v>39</v>
      </c>
      <c r="C149" s="4" t="s">
        <v>42</v>
      </c>
      <c r="D149" s="4" t="s">
        <v>44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44531</v>
      </c>
      <c r="J149" s="6">
        <v>229</v>
      </c>
      <c r="K149" s="70">
        <v>229</v>
      </c>
      <c r="L149" s="6">
        <v>11.015000000000001</v>
      </c>
      <c r="M149" s="70">
        <v>11.015000000000001</v>
      </c>
      <c r="N149" s="6">
        <v>11.015000000000001</v>
      </c>
      <c r="O149" s="70">
        <v>11.015000000000001</v>
      </c>
      <c r="P149" s="6">
        <v>0</v>
      </c>
      <c r="Q149" s="4" t="s">
        <v>26</v>
      </c>
      <c r="R149" s="4">
        <v>0</v>
      </c>
      <c r="S149" s="6">
        <v>1</v>
      </c>
      <c r="T149" s="6">
        <v>3</v>
      </c>
      <c r="U149" s="6">
        <v>48</v>
      </c>
      <c r="V149" s="70">
        <f>IF(ISERROR(VLOOKUP($S$149,'TAR FIN'!$A$1:$O$85,15,0)),0,VLOOKUP($S$149,'TAR FIN'!$A$1:$O$85,15,0))*(1-0.04)</f>
        <v>49.852799999999995</v>
      </c>
      <c r="W149" s="70">
        <f>IF(ISERROR(VLOOKUP($T$149,'TAR FIN'!$A$1:$O$85,15,0)),0,VLOOKUP($T$149,'TAR FIN'!$A$1:$O$85,15,0))*(1-0.04)</f>
        <v>73.679999999999993</v>
      </c>
      <c r="X149" s="70">
        <f>IF(ISERROR(VLOOKUP($U$149,'TAR FIN'!$A$1:$O$85,15,0)),0,VLOOKUP($U$149,'TAR FIN'!$A$1:$O$85,15,0))*(1-0.04)</f>
        <v>472.93439999999998</v>
      </c>
      <c r="Y149" s="70">
        <f ca="1">('TUSD BE'!$AM$5+'TUSD BF'!$AM$5+'TUSD CVA'!$AM$5)*1*(1-0.02)</f>
        <v>56.366340594889444</v>
      </c>
      <c r="Z149" s="70">
        <f ca="1">('TUSD BE'!$AM$7+'TUSD BF'!$AM$7+'TUSD CVA'!$AM$7)*1*(1-0.02)</f>
        <v>145.0344252575909</v>
      </c>
      <c r="AA149" s="70">
        <f>('TE BE'!$AB$5+'TE BF'!$AB$5+'TE CVA'!$AB$5)*1*(1-0.02)</f>
        <v>476.15845689016339</v>
      </c>
      <c r="AB149" s="6">
        <f>$K$149*$V$149</f>
        <v>11416.2912</v>
      </c>
      <c r="AC149" s="6">
        <f>$M$149*$W$149</f>
        <v>811.58519999999999</v>
      </c>
      <c r="AD149" s="6">
        <f>$O$149*$X$149</f>
        <v>5209.3724160000002</v>
      </c>
      <c r="AE149" s="6">
        <f ca="1">$K$149*$Y$149</f>
        <v>12907.891996229682</v>
      </c>
      <c r="AF149" s="6">
        <f ca="1">$M$149*$Z$149</f>
        <v>1597.5541942123639</v>
      </c>
      <c r="AG149" s="6">
        <f>$O$149*$AA$149</f>
        <v>5244.88540264515</v>
      </c>
    </row>
    <row r="150" spans="1:33" ht="11.25" customHeight="1" x14ac:dyDescent="0.25">
      <c r="A150" s="4" t="s">
        <v>21</v>
      </c>
      <c r="B150" s="4" t="s">
        <v>39</v>
      </c>
      <c r="C150" s="4" t="s">
        <v>42</v>
      </c>
      <c r="D150" s="4" t="s">
        <v>44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44562</v>
      </c>
      <c r="J150" s="6">
        <v>239</v>
      </c>
      <c r="K150" s="70">
        <v>239</v>
      </c>
      <c r="L150" s="6">
        <v>8.8510000000000009</v>
      </c>
      <c r="M150" s="70">
        <v>8.8510000000000009</v>
      </c>
      <c r="N150" s="6">
        <v>8.8510000000000009</v>
      </c>
      <c r="O150" s="70">
        <v>8.8510000000000009</v>
      </c>
      <c r="P150" s="6">
        <v>0</v>
      </c>
      <c r="Q150" s="4" t="s">
        <v>26</v>
      </c>
      <c r="R150" s="4">
        <v>0</v>
      </c>
      <c r="S150" s="6">
        <v>1</v>
      </c>
      <c r="T150" s="6">
        <v>3</v>
      </c>
      <c r="U150" s="6">
        <v>48</v>
      </c>
      <c r="V150" s="70">
        <f>IF(ISERROR(VLOOKUP($S$150,'TAR FIN'!$A$1:$O$85,15,0)),0,VLOOKUP($S$150,'TAR FIN'!$A$1:$O$85,15,0))*(1-0.04)</f>
        <v>49.852799999999995</v>
      </c>
      <c r="W150" s="70">
        <f>IF(ISERROR(VLOOKUP($T$150,'TAR FIN'!$A$1:$O$85,15,0)),0,VLOOKUP($T$150,'TAR FIN'!$A$1:$O$85,15,0))*(1-0.04)</f>
        <v>73.679999999999993</v>
      </c>
      <c r="X150" s="70">
        <f>IF(ISERROR(VLOOKUP($U$150,'TAR FIN'!$A$1:$O$85,15,0)),0,VLOOKUP($U$150,'TAR FIN'!$A$1:$O$85,15,0))*(1-0.04)</f>
        <v>472.93439999999998</v>
      </c>
      <c r="Y150" s="70">
        <f ca="1">('TUSD BE'!$AM$5+'TUSD BF'!$AM$5+'TUSD CVA'!$AM$5)*1*(1-0.02)</f>
        <v>56.366340594889444</v>
      </c>
      <c r="Z150" s="70">
        <f ca="1">('TUSD BE'!$AM$7+'TUSD BF'!$AM$7+'TUSD CVA'!$AM$7)*1*(1-0.02)</f>
        <v>145.0344252575909</v>
      </c>
      <c r="AA150" s="70">
        <f>('TE BE'!$AB$5+'TE BF'!$AB$5+'TE CVA'!$AB$5)*1*(1-0.02)</f>
        <v>476.15845689016339</v>
      </c>
      <c r="AB150" s="6">
        <f>$K$150*$V$150</f>
        <v>11914.819199999998</v>
      </c>
      <c r="AC150" s="6">
        <f>$M$150*$W$150</f>
        <v>652.14167999999995</v>
      </c>
      <c r="AD150" s="6">
        <f>$O$150*$X$150</f>
        <v>4185.9423744000005</v>
      </c>
      <c r="AE150" s="6">
        <f ca="1">$K$150*$Y$150</f>
        <v>13471.555402178577</v>
      </c>
      <c r="AF150" s="6">
        <f ca="1">$M$150*$Z$150</f>
        <v>1283.6996979549372</v>
      </c>
      <c r="AG150" s="6">
        <f>$O$150*$AA$150</f>
        <v>4214.4785019348365</v>
      </c>
    </row>
    <row r="151" spans="1:33" ht="11.25" customHeight="1" x14ac:dyDescent="0.25">
      <c r="A151" s="4" t="s">
        <v>21</v>
      </c>
      <c r="B151" s="4" t="s">
        <v>39</v>
      </c>
      <c r="C151" s="4" t="s">
        <v>42</v>
      </c>
      <c r="D151" s="4" t="s">
        <v>44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44593</v>
      </c>
      <c r="J151" s="6">
        <v>251</v>
      </c>
      <c r="K151" s="70">
        <v>251</v>
      </c>
      <c r="L151" s="6">
        <v>10.644</v>
      </c>
      <c r="M151" s="70">
        <v>10.644</v>
      </c>
      <c r="N151" s="6">
        <v>10.644</v>
      </c>
      <c r="O151" s="70">
        <v>10.644</v>
      </c>
      <c r="P151" s="6">
        <v>0</v>
      </c>
      <c r="Q151" s="4" t="s">
        <v>26</v>
      </c>
      <c r="R151" s="4">
        <v>0</v>
      </c>
      <c r="S151" s="6">
        <v>1</v>
      </c>
      <c r="T151" s="6">
        <v>3</v>
      </c>
      <c r="U151" s="6">
        <v>48</v>
      </c>
      <c r="V151" s="70">
        <f>IF(ISERROR(VLOOKUP($S$151,'TAR FIN'!$A$1:$O$85,15,0)),0,VLOOKUP($S$151,'TAR FIN'!$A$1:$O$85,15,0))*(1-0.04)</f>
        <v>49.852799999999995</v>
      </c>
      <c r="W151" s="70">
        <f>IF(ISERROR(VLOOKUP($T$151,'TAR FIN'!$A$1:$O$85,15,0)),0,VLOOKUP($T$151,'TAR FIN'!$A$1:$O$85,15,0))*(1-0.04)</f>
        <v>73.679999999999993</v>
      </c>
      <c r="X151" s="70">
        <f>IF(ISERROR(VLOOKUP($U$151,'TAR FIN'!$A$1:$O$85,15,0)),0,VLOOKUP($U$151,'TAR FIN'!$A$1:$O$85,15,0))*(1-0.04)</f>
        <v>472.93439999999998</v>
      </c>
      <c r="Y151" s="70">
        <f ca="1">('TUSD BE'!$AM$5+'TUSD BF'!$AM$5+'TUSD CVA'!$AM$5)*1*(1-0.02)</f>
        <v>56.366340594889444</v>
      </c>
      <c r="Z151" s="70">
        <f ca="1">('TUSD BE'!$AM$7+'TUSD BF'!$AM$7+'TUSD CVA'!$AM$7)*1*(1-0.02)</f>
        <v>145.0344252575909</v>
      </c>
      <c r="AA151" s="70">
        <f>('TE BE'!$AB$5+'TE BF'!$AB$5+'TE CVA'!$AB$5)*1*(1-0.02)</f>
        <v>476.15845689016339</v>
      </c>
      <c r="AB151" s="6">
        <f>$K$151*$V$151</f>
        <v>12513.052799999999</v>
      </c>
      <c r="AC151" s="6">
        <f>$M$151*$W$151</f>
        <v>784.24991999999997</v>
      </c>
      <c r="AD151" s="6">
        <f>$O$151*$X$151</f>
        <v>5033.9137535999998</v>
      </c>
      <c r="AE151" s="6">
        <f ca="1">$K$151*$Y$151</f>
        <v>14147.951489317251</v>
      </c>
      <c r="AF151" s="6">
        <f ca="1">$M$151*$Z$151</f>
        <v>1543.7464224417974</v>
      </c>
      <c r="AG151" s="6">
        <f>$O$151*$AA$151</f>
        <v>5068.2306151388993</v>
      </c>
    </row>
    <row r="152" spans="1:33" ht="11.25" customHeight="1" x14ac:dyDescent="0.25">
      <c r="A152" s="4" t="s">
        <v>21</v>
      </c>
      <c r="B152" s="4" t="s">
        <v>39</v>
      </c>
      <c r="C152" s="4" t="s">
        <v>42</v>
      </c>
      <c r="D152" s="4" t="s">
        <v>44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44621</v>
      </c>
      <c r="J152" s="6">
        <v>318</v>
      </c>
      <c r="K152" s="70">
        <v>318</v>
      </c>
      <c r="L152" s="6">
        <v>12.198</v>
      </c>
      <c r="M152" s="70">
        <v>12.198</v>
      </c>
      <c r="N152" s="6">
        <v>12.198</v>
      </c>
      <c r="O152" s="70">
        <v>12.198</v>
      </c>
      <c r="P152" s="6">
        <v>0</v>
      </c>
      <c r="Q152" s="4" t="s">
        <v>26</v>
      </c>
      <c r="R152" s="4">
        <v>0</v>
      </c>
      <c r="S152" s="6">
        <v>1</v>
      </c>
      <c r="T152" s="6">
        <v>3</v>
      </c>
      <c r="U152" s="6">
        <v>48</v>
      </c>
      <c r="V152" s="70">
        <f>IF(ISERROR(VLOOKUP($S$152,'TAR FIN'!$A$1:$O$85,15,0)),0,VLOOKUP($S$152,'TAR FIN'!$A$1:$O$85,15,0))*(1-0.04)</f>
        <v>49.852799999999995</v>
      </c>
      <c r="W152" s="70">
        <f>IF(ISERROR(VLOOKUP($T$152,'TAR FIN'!$A$1:$O$85,15,0)),0,VLOOKUP($T$152,'TAR FIN'!$A$1:$O$85,15,0))*(1-0.04)</f>
        <v>73.679999999999993</v>
      </c>
      <c r="X152" s="70">
        <f>IF(ISERROR(VLOOKUP($U$152,'TAR FIN'!$A$1:$O$85,15,0)),0,VLOOKUP($U$152,'TAR FIN'!$A$1:$O$85,15,0))*(1-0.04)</f>
        <v>472.93439999999998</v>
      </c>
      <c r="Y152" s="70">
        <f ca="1">('TUSD BE'!$AM$5+'TUSD BF'!$AM$5+'TUSD CVA'!$AM$5)*1*(1-0.02)</f>
        <v>56.366340594889444</v>
      </c>
      <c r="Z152" s="70">
        <f ca="1">('TUSD BE'!$AM$7+'TUSD BF'!$AM$7+'TUSD CVA'!$AM$7)*1*(1-0.02)</f>
        <v>145.0344252575909</v>
      </c>
      <c r="AA152" s="70">
        <f>('TE BE'!$AB$5+'TE BF'!$AB$5+'TE CVA'!$AB$5)*1*(1-0.02)</f>
        <v>476.15845689016339</v>
      </c>
      <c r="AB152" s="6">
        <f>$K$152*$V$152</f>
        <v>15853.190399999998</v>
      </c>
      <c r="AC152" s="6">
        <f>$M$152*$W$152</f>
        <v>898.74863999999991</v>
      </c>
      <c r="AD152" s="6">
        <f>$O$152*$X$152</f>
        <v>5768.8538111999997</v>
      </c>
      <c r="AE152" s="6">
        <f ca="1">$K$152*$Y$152</f>
        <v>17924.496309174843</v>
      </c>
      <c r="AF152" s="6">
        <f ca="1">$M$152*$Z$152</f>
        <v>1769.1299192920937</v>
      </c>
      <c r="AG152" s="6">
        <f>$O$152*$AA$152</f>
        <v>5808.1808571462134</v>
      </c>
    </row>
    <row r="153" spans="1:33" ht="11.25" customHeight="1" x14ac:dyDescent="0.25">
      <c r="A153" s="4" t="s">
        <v>21</v>
      </c>
      <c r="B153" s="4" t="s">
        <v>39</v>
      </c>
      <c r="C153" s="4" t="s">
        <v>42</v>
      </c>
      <c r="D153" s="4" t="s">
        <v>44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44652</v>
      </c>
      <c r="J153" s="6">
        <v>344</v>
      </c>
      <c r="K153" s="70">
        <v>344</v>
      </c>
      <c r="L153" s="6">
        <v>13.52</v>
      </c>
      <c r="M153" s="70">
        <v>13.52</v>
      </c>
      <c r="N153" s="6">
        <v>13.52</v>
      </c>
      <c r="O153" s="70">
        <v>13.52</v>
      </c>
      <c r="P153" s="6">
        <v>0</v>
      </c>
      <c r="Q153" s="4" t="s">
        <v>26</v>
      </c>
      <c r="R153" s="4">
        <v>0</v>
      </c>
      <c r="S153" s="6">
        <v>1</v>
      </c>
      <c r="T153" s="6">
        <v>3</v>
      </c>
      <c r="U153" s="6">
        <v>48</v>
      </c>
      <c r="V153" s="70">
        <f>IF(ISERROR(VLOOKUP($S$153,'TAR FIN'!$A$1:$O$85,15,0)),0,VLOOKUP($S$153,'TAR FIN'!$A$1:$O$85,15,0))*(1-0.04)</f>
        <v>49.852799999999995</v>
      </c>
      <c r="W153" s="70">
        <f>IF(ISERROR(VLOOKUP($T$153,'TAR FIN'!$A$1:$O$85,15,0)),0,VLOOKUP($T$153,'TAR FIN'!$A$1:$O$85,15,0))*(1-0.04)</f>
        <v>73.679999999999993</v>
      </c>
      <c r="X153" s="70">
        <f>IF(ISERROR(VLOOKUP($U$153,'TAR FIN'!$A$1:$O$85,15,0)),0,VLOOKUP($U$153,'TAR FIN'!$A$1:$O$85,15,0))*(1-0.04)</f>
        <v>472.93439999999998</v>
      </c>
      <c r="Y153" s="70">
        <f ca="1">('TUSD BE'!$AM$5+'TUSD BF'!$AM$5+'TUSD CVA'!$AM$5)*1*(1-0.02)</f>
        <v>56.366340594889444</v>
      </c>
      <c r="Z153" s="70">
        <f ca="1">('TUSD BE'!$AM$7+'TUSD BF'!$AM$7+'TUSD CVA'!$AM$7)*1*(1-0.02)</f>
        <v>145.0344252575909</v>
      </c>
      <c r="AA153" s="70">
        <f>('TE BE'!$AB$5+'TE BF'!$AB$5+'TE CVA'!$AB$5)*1*(1-0.02)</f>
        <v>476.15845689016339</v>
      </c>
      <c r="AB153" s="6">
        <f>$K$153*$V$153</f>
        <v>17149.3632</v>
      </c>
      <c r="AC153" s="6">
        <f>$M$153*$W$153</f>
        <v>996.15359999999987</v>
      </c>
      <c r="AD153" s="6">
        <f>$O$153*$X$153</f>
        <v>6394.0730879999992</v>
      </c>
      <c r="AE153" s="6">
        <f ca="1">$K$153*$Y$153</f>
        <v>19390.02116464197</v>
      </c>
      <c r="AF153" s="6">
        <f ca="1">$M$153*$Z$153</f>
        <v>1960.8654294826288</v>
      </c>
      <c r="AG153" s="6">
        <f>$O$153*$AA$153</f>
        <v>6437.6623371550086</v>
      </c>
    </row>
    <row r="154" spans="1:33" ht="11.25" customHeight="1" x14ac:dyDescent="0.25">
      <c r="A154" s="4" t="s">
        <v>21</v>
      </c>
      <c r="B154" s="4" t="s">
        <v>39</v>
      </c>
      <c r="C154" s="4" t="s">
        <v>42</v>
      </c>
      <c r="D154" s="4" t="s">
        <v>44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44682</v>
      </c>
      <c r="J154" s="6">
        <v>342</v>
      </c>
      <c r="K154" s="70">
        <v>342</v>
      </c>
      <c r="L154" s="6">
        <v>14.01</v>
      </c>
      <c r="M154" s="70">
        <v>14.01</v>
      </c>
      <c r="N154" s="6">
        <v>14.01</v>
      </c>
      <c r="O154" s="70">
        <v>14.01</v>
      </c>
      <c r="P154" s="6">
        <v>0</v>
      </c>
      <c r="Q154" s="4" t="s">
        <v>26</v>
      </c>
      <c r="R154" s="4">
        <v>0</v>
      </c>
      <c r="S154" s="6">
        <v>1</v>
      </c>
      <c r="T154" s="6">
        <v>3</v>
      </c>
      <c r="U154" s="6">
        <v>48</v>
      </c>
      <c r="V154" s="70">
        <f>IF(ISERROR(VLOOKUP($S$154,'TAR FIN'!$A$1:$O$85,15,0)),0,VLOOKUP($S$154,'TAR FIN'!$A$1:$O$85,15,0))*(1-0.04)</f>
        <v>49.852799999999995</v>
      </c>
      <c r="W154" s="70">
        <f>IF(ISERROR(VLOOKUP($T$154,'TAR FIN'!$A$1:$O$85,15,0)),0,VLOOKUP($T$154,'TAR FIN'!$A$1:$O$85,15,0))*(1-0.04)</f>
        <v>73.679999999999993</v>
      </c>
      <c r="X154" s="70">
        <f>IF(ISERROR(VLOOKUP($U$154,'TAR FIN'!$A$1:$O$85,15,0)),0,VLOOKUP($U$154,'TAR FIN'!$A$1:$O$85,15,0))*(1-0.04)</f>
        <v>472.93439999999998</v>
      </c>
      <c r="Y154" s="70">
        <f ca="1">('TUSD BE'!$AM$5+'TUSD BF'!$AM$5+'TUSD CVA'!$AM$5)*1*(1-0.02)</f>
        <v>56.366340594889444</v>
      </c>
      <c r="Z154" s="70">
        <f ca="1">('TUSD BE'!$AM$7+'TUSD BF'!$AM$7+'TUSD CVA'!$AM$7)*1*(1-0.02)</f>
        <v>145.0344252575909</v>
      </c>
      <c r="AA154" s="70">
        <f>('TE BE'!$AB$5+'TE BF'!$AB$5+'TE CVA'!$AB$5)*1*(1-0.02)</f>
        <v>476.15845689016339</v>
      </c>
      <c r="AB154" s="6">
        <f>$K$154*$V$154</f>
        <v>17049.657599999999</v>
      </c>
      <c r="AC154" s="6">
        <f>$M$154*$W$154</f>
        <v>1032.2567999999999</v>
      </c>
      <c r="AD154" s="6">
        <f>$O$154*$X$154</f>
        <v>6625.8109439999998</v>
      </c>
      <c r="AE154" s="6">
        <f ca="1">$K$154*$Y$154</f>
        <v>19277.28848345219</v>
      </c>
      <c r="AF154" s="6">
        <f ca="1">$M$154*$Z$154</f>
        <v>2031.9322978588484</v>
      </c>
      <c r="AG154" s="6">
        <f>$O$154*$AA$154</f>
        <v>6670.9799810311888</v>
      </c>
    </row>
    <row r="155" spans="1:33" ht="11.25" customHeight="1" x14ac:dyDescent="0.25">
      <c r="A155" s="4" t="s">
        <v>21</v>
      </c>
      <c r="B155" s="4" t="s">
        <v>39</v>
      </c>
      <c r="C155" s="4" t="s">
        <v>42</v>
      </c>
      <c r="D155" s="4" t="s">
        <v>44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44713</v>
      </c>
      <c r="J155" s="6">
        <v>276</v>
      </c>
      <c r="K155" s="70">
        <v>276</v>
      </c>
      <c r="L155" s="6">
        <v>12.08</v>
      </c>
      <c r="M155" s="70">
        <v>12.08</v>
      </c>
      <c r="N155" s="6">
        <v>12.08</v>
      </c>
      <c r="O155" s="70">
        <v>12.08</v>
      </c>
      <c r="P155" s="6">
        <v>0</v>
      </c>
      <c r="Q155" s="4" t="s">
        <v>26</v>
      </c>
      <c r="R155" s="4">
        <v>0</v>
      </c>
      <c r="S155" s="6">
        <v>1</v>
      </c>
      <c r="T155" s="6">
        <v>3</v>
      </c>
      <c r="U155" s="6">
        <v>48</v>
      </c>
      <c r="V155" s="70">
        <f>IF(ISERROR(VLOOKUP($S$155,'TAR FIN'!$A$1:$O$85,15,0)),0,VLOOKUP($S$155,'TAR FIN'!$A$1:$O$85,15,0))*(1-0.04)</f>
        <v>49.852799999999995</v>
      </c>
      <c r="W155" s="70">
        <f>IF(ISERROR(VLOOKUP($T$155,'TAR FIN'!$A$1:$O$85,15,0)),0,VLOOKUP($T$155,'TAR FIN'!$A$1:$O$85,15,0))*(1-0.04)</f>
        <v>73.679999999999993</v>
      </c>
      <c r="X155" s="70">
        <f>IF(ISERROR(VLOOKUP($U$155,'TAR FIN'!$A$1:$O$85,15,0)),0,VLOOKUP($U$155,'TAR FIN'!$A$1:$O$85,15,0))*(1-0.04)</f>
        <v>472.93439999999998</v>
      </c>
      <c r="Y155" s="70">
        <f ca="1">('TUSD BE'!$AM$5+'TUSD BF'!$AM$5+'TUSD CVA'!$AM$5)*1*(1-0.02)</f>
        <v>56.366340594889444</v>
      </c>
      <c r="Z155" s="70">
        <f ca="1">('TUSD BE'!$AM$7+'TUSD BF'!$AM$7+'TUSD CVA'!$AM$7)*1*(1-0.02)</f>
        <v>145.0344252575909</v>
      </c>
      <c r="AA155" s="70">
        <f>('TE BE'!$AB$5+'TE BF'!$AB$5+'TE CVA'!$AB$5)*1*(1-0.02)</f>
        <v>476.15845689016339</v>
      </c>
      <c r="AB155" s="6">
        <f>$K$155*$V$155</f>
        <v>13759.372799999999</v>
      </c>
      <c r="AC155" s="6">
        <f>$M$155*$W$155</f>
        <v>890.05439999999987</v>
      </c>
      <c r="AD155" s="6">
        <f>$O$155*$X$155</f>
        <v>5713.047552</v>
      </c>
      <c r="AE155" s="6">
        <f ca="1">$K$155*$Y$155</f>
        <v>15557.110004189486</v>
      </c>
      <c r="AF155" s="6">
        <f ca="1">$M$155*$Z$155</f>
        <v>1752.0158571116981</v>
      </c>
      <c r="AG155" s="6">
        <f>$O$155*$AA$155</f>
        <v>5751.9941592331734</v>
      </c>
    </row>
    <row r="156" spans="1:33" ht="11.25" customHeight="1" x14ac:dyDescent="0.25">
      <c r="A156" s="4" t="s">
        <v>21</v>
      </c>
      <c r="B156" s="4" t="s">
        <v>39</v>
      </c>
      <c r="C156" s="4" t="s">
        <v>42</v>
      </c>
      <c r="D156" s="4" t="s">
        <v>44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44743</v>
      </c>
      <c r="J156" s="6">
        <v>272</v>
      </c>
      <c r="K156" s="70">
        <v>272</v>
      </c>
      <c r="L156" s="6">
        <v>12.196999999999999</v>
      </c>
      <c r="M156" s="70">
        <v>12.196999999999999</v>
      </c>
      <c r="N156" s="6">
        <v>12.196999999999999</v>
      </c>
      <c r="O156" s="70">
        <v>12.196999999999999</v>
      </c>
      <c r="P156" s="6">
        <v>0</v>
      </c>
      <c r="Q156" s="4" t="s">
        <v>26</v>
      </c>
      <c r="R156" s="4">
        <v>0</v>
      </c>
      <c r="S156" s="6">
        <v>1</v>
      </c>
      <c r="T156" s="6">
        <v>3</v>
      </c>
      <c r="U156" s="6">
        <v>48</v>
      </c>
      <c r="V156" s="70">
        <f>IF(ISERROR(VLOOKUP($S$156,'TAR FIN'!$A$1:$O$85,15,0)),0,VLOOKUP($S$156,'TAR FIN'!$A$1:$O$85,15,0))*(1-0.04)</f>
        <v>49.852799999999995</v>
      </c>
      <c r="W156" s="70">
        <f>IF(ISERROR(VLOOKUP($T$156,'TAR FIN'!$A$1:$O$85,15,0)),0,VLOOKUP($T$156,'TAR FIN'!$A$1:$O$85,15,0))*(1-0.04)</f>
        <v>73.679999999999993</v>
      </c>
      <c r="X156" s="70">
        <f>IF(ISERROR(VLOOKUP($U$156,'TAR FIN'!$A$1:$O$85,15,0)),0,VLOOKUP($U$156,'TAR FIN'!$A$1:$O$85,15,0))*(1-0.04)</f>
        <v>472.93439999999998</v>
      </c>
      <c r="Y156" s="70">
        <f ca="1">('TUSD BE'!$AM$5+'TUSD BF'!$AM$5+'TUSD CVA'!$AM$5)*1*(1-0.02)</f>
        <v>56.366340594889444</v>
      </c>
      <c r="Z156" s="70">
        <f ca="1">('TUSD BE'!$AM$7+'TUSD BF'!$AM$7+'TUSD CVA'!$AM$7)*1*(1-0.02)</f>
        <v>145.0344252575909</v>
      </c>
      <c r="AA156" s="70">
        <f>('TE BE'!$AB$5+'TE BF'!$AB$5+'TE CVA'!$AB$5)*1*(1-0.02)</f>
        <v>476.15845689016339</v>
      </c>
      <c r="AB156" s="6">
        <f>$K$156*$V$156</f>
        <v>13559.961599999999</v>
      </c>
      <c r="AC156" s="6">
        <f>$M$156*$W$156</f>
        <v>898.67495999999983</v>
      </c>
      <c r="AD156" s="6">
        <f>$O$156*$X$156</f>
        <v>5768.380876799999</v>
      </c>
      <c r="AE156" s="6">
        <f ca="1">$K$156*$Y$156</f>
        <v>15331.644641809929</v>
      </c>
      <c r="AF156" s="6">
        <f ca="1">$M$156*$Z$156</f>
        <v>1768.984884866836</v>
      </c>
      <c r="AG156" s="6">
        <f>$O$156*$AA$156</f>
        <v>5807.7046986893229</v>
      </c>
    </row>
    <row r="157" spans="1:33" ht="11.25" customHeight="1" x14ac:dyDescent="0.25">
      <c r="A157" s="4" t="s">
        <v>56</v>
      </c>
      <c r="B157" s="4" t="s">
        <v>39</v>
      </c>
      <c r="C157" s="4" t="s">
        <v>42</v>
      </c>
      <c r="D157" s="4" t="s">
        <v>44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44774</v>
      </c>
      <c r="J157" s="6">
        <v>272</v>
      </c>
      <c r="K157" s="70">
        <v>272</v>
      </c>
      <c r="L157" s="6">
        <v>12.196999999999999</v>
      </c>
      <c r="M157" s="70">
        <v>12.196999999999999</v>
      </c>
      <c r="N157" s="6">
        <v>12.196999999999999</v>
      </c>
      <c r="O157" s="70">
        <v>12.196999999999999</v>
      </c>
      <c r="P157" s="6">
        <v>0</v>
      </c>
      <c r="Q157" s="4" t="s">
        <v>26</v>
      </c>
      <c r="R157" s="4">
        <v>0</v>
      </c>
      <c r="S157" s="6">
        <v>1</v>
      </c>
      <c r="T157" s="6">
        <v>3</v>
      </c>
      <c r="U157" s="6">
        <v>48</v>
      </c>
      <c r="V157" s="70">
        <f>IF(ISERROR(VLOOKUP($S$157,'TAR FIN'!$A$1:$O$85,15,0)),0,VLOOKUP($S$157,'TAR FIN'!$A$1:$O$85,15,0))*(1-0.04)</f>
        <v>49.852799999999995</v>
      </c>
      <c r="W157" s="70">
        <f>IF(ISERROR(VLOOKUP($T$157,'TAR FIN'!$A$1:$O$85,15,0)),0,VLOOKUP($T$157,'TAR FIN'!$A$1:$O$85,15,0))*(1-0.04)</f>
        <v>73.679999999999993</v>
      </c>
      <c r="X157" s="70">
        <f>IF(ISERROR(VLOOKUP($U$157,'TAR FIN'!$A$1:$O$85,15,0)),0,VLOOKUP($U$157,'TAR FIN'!$A$1:$O$85,15,0))*(1-0.04)</f>
        <v>472.93439999999998</v>
      </c>
      <c r="Y157" s="70">
        <f ca="1">('TUSD BE'!$AM$5+'TUSD BF'!$AM$5+'TUSD CVA'!$AM$5)*1*(1-0.02)</f>
        <v>56.366340594889444</v>
      </c>
      <c r="Z157" s="70">
        <f ca="1">('TUSD BE'!$AM$7+'TUSD BF'!$AM$7+'TUSD CVA'!$AM$7)*1*(1-0.02)</f>
        <v>145.0344252575909</v>
      </c>
      <c r="AA157" s="70">
        <f>('TE BE'!$AB$5+'TE BF'!$AB$5+'TE CVA'!$AB$5)*1*(1-0.02)</f>
        <v>476.15845689016339</v>
      </c>
      <c r="AB157" s="6">
        <f>$K$157*$V$157</f>
        <v>13559.961599999999</v>
      </c>
      <c r="AC157" s="6">
        <f>$M$157*$W$157</f>
        <v>898.67495999999983</v>
      </c>
      <c r="AD157" s="6">
        <f>$O$157*$X$157</f>
        <v>5768.380876799999</v>
      </c>
      <c r="AE157" s="6">
        <f ca="1">$K$157*$Y$157</f>
        <v>15331.644641809929</v>
      </c>
      <c r="AF157" s="6">
        <f ca="1">$M$157*$Z$157</f>
        <v>1768.984884866836</v>
      </c>
      <c r="AG157" s="6">
        <f>$O$157*$AA$157</f>
        <v>5807.7046986893229</v>
      </c>
    </row>
    <row r="158" spans="1:33" ht="11.25" customHeight="1" x14ac:dyDescent="0.25">
      <c r="A158" s="4" t="s">
        <v>21</v>
      </c>
      <c r="B158" s="4" t="s">
        <v>39</v>
      </c>
      <c r="C158" s="4" t="s">
        <v>42</v>
      </c>
      <c r="D158" s="4" t="s">
        <v>49</v>
      </c>
      <c r="E158" s="4" t="s">
        <v>50</v>
      </c>
      <c r="F158" s="4" t="s">
        <v>25</v>
      </c>
      <c r="G158" s="4" t="s">
        <v>25</v>
      </c>
      <c r="H158" s="4" t="s">
        <v>35</v>
      </c>
      <c r="I158" s="5">
        <v>44440</v>
      </c>
      <c r="J158" s="6">
        <v>1520</v>
      </c>
      <c r="K158" s="71">
        <v>1520</v>
      </c>
      <c r="L158" s="6">
        <v>614.70299999999997</v>
      </c>
      <c r="M158" s="70">
        <v>614.70299999999997</v>
      </c>
      <c r="N158" s="6">
        <v>614.70299999999997</v>
      </c>
      <c r="O158" s="70">
        <v>614.70299999999997</v>
      </c>
      <c r="P158" s="6">
        <v>0</v>
      </c>
      <c r="Q158" s="4" t="s">
        <v>26</v>
      </c>
      <c r="R158" s="4">
        <v>0</v>
      </c>
      <c r="S158" s="6">
        <v>2</v>
      </c>
      <c r="T158" s="6">
        <v>3</v>
      </c>
      <c r="U158" s="6">
        <v>49</v>
      </c>
      <c r="V158" s="70">
        <f>IF(ISERROR(VLOOKUP($S$158,'TAR FIN'!$A$1:$O$85,15,0)),0,VLOOKUP($S$158,'TAR FIN'!$A$1:$O$85,15,0))*(1-0.06)</f>
        <v>15.6416</v>
      </c>
      <c r="W158" s="70">
        <f>IF(ISERROR(VLOOKUP($T$158,'TAR FIN'!$A$1:$O$85,15,0)),0,VLOOKUP($T$158,'TAR FIN'!$A$1:$O$85,15,0))*(1-0.06)</f>
        <v>72.144999999999996</v>
      </c>
      <c r="X158" s="70">
        <f>IF(ISERROR(VLOOKUP($U$158,'TAR FIN'!$A$1:$O$85,15,0)),0,VLOOKUP($U$158,'TAR FIN'!$A$1:$O$85,15,0))*(1-0.06)</f>
        <v>288.65519999999998</v>
      </c>
      <c r="Y158" s="70">
        <f ca="1">('TUSD BE'!$AM$6+'TUSD BF'!$AM$6+'TUSD CVA'!$AM$6)*1*(1-0.03)</f>
        <v>17.820698790947443</v>
      </c>
      <c r="Z158" s="70">
        <f ca="1">('TUSD BE'!$AM$7+'TUSD BF'!$AM$7+'TUSD CVA'!$AM$7)*1*(1-0.03)</f>
        <v>143.55448214271752</v>
      </c>
      <c r="AA158" s="70">
        <f>('TE BE'!$AB$6+'TE BF'!$AB$6+'TE CVA'!$AB$6)*1*(1-0.03)</f>
        <v>295.72417018043757</v>
      </c>
      <c r="AB158" s="6">
        <f>$K$158*$V$158</f>
        <v>23775.232</v>
      </c>
      <c r="AC158" s="6">
        <f>$M$158*$W$158</f>
        <v>44347.747934999992</v>
      </c>
      <c r="AD158" s="6">
        <f>$O$158*$X$158</f>
        <v>177437.21740559998</v>
      </c>
      <c r="AE158" s="6">
        <f ca="1">$K$158*$Y$158</f>
        <v>27087.462162240114</v>
      </c>
      <c r="AF158" s="6">
        <f ca="1">$M$158*$Z$158</f>
        <v>88243.37083657489</v>
      </c>
      <c r="AG158" s="6">
        <f>$O$158*$AA$158</f>
        <v>181782.53458242552</v>
      </c>
    </row>
    <row r="159" spans="1:33" ht="11.25" customHeight="1" x14ac:dyDescent="0.25">
      <c r="A159" s="4" t="s">
        <v>21</v>
      </c>
      <c r="B159" s="4" t="s">
        <v>39</v>
      </c>
      <c r="C159" s="4" t="s">
        <v>42</v>
      </c>
      <c r="D159" s="4" t="s">
        <v>49</v>
      </c>
      <c r="E159" s="4" t="s">
        <v>50</v>
      </c>
      <c r="F159" s="4" t="s">
        <v>25</v>
      </c>
      <c r="G159" s="4" t="s">
        <v>25</v>
      </c>
      <c r="H159" s="4" t="s">
        <v>35</v>
      </c>
      <c r="I159" s="5">
        <v>44470</v>
      </c>
      <c r="J159" s="6">
        <v>1534</v>
      </c>
      <c r="K159" s="71">
        <v>1534</v>
      </c>
      <c r="L159" s="6">
        <v>632.85599999999999</v>
      </c>
      <c r="M159" s="70">
        <v>632.85599999999999</v>
      </c>
      <c r="N159" s="6">
        <v>632.85599999999999</v>
      </c>
      <c r="O159" s="70">
        <v>632.85599999999999</v>
      </c>
      <c r="P159" s="6">
        <v>0</v>
      </c>
      <c r="Q159" s="4" t="s">
        <v>26</v>
      </c>
      <c r="R159" s="4">
        <v>0</v>
      </c>
      <c r="S159" s="6">
        <v>2</v>
      </c>
      <c r="T159" s="6">
        <v>3</v>
      </c>
      <c r="U159" s="6">
        <v>49</v>
      </c>
      <c r="V159" s="70">
        <f>IF(ISERROR(VLOOKUP($S$159,'TAR FIN'!$A$1:$O$85,15,0)),0,VLOOKUP($S$159,'TAR FIN'!$A$1:$O$85,15,0))*(1-0.06)</f>
        <v>15.6416</v>
      </c>
      <c r="W159" s="70">
        <f>IF(ISERROR(VLOOKUP($T$159,'TAR FIN'!$A$1:$O$85,15,0)),0,VLOOKUP($T$159,'TAR FIN'!$A$1:$O$85,15,0))*(1-0.06)</f>
        <v>72.144999999999996</v>
      </c>
      <c r="X159" s="70">
        <f>IF(ISERROR(VLOOKUP($U$159,'TAR FIN'!$A$1:$O$85,15,0)),0,VLOOKUP($U$159,'TAR FIN'!$A$1:$O$85,15,0))*(1-0.06)</f>
        <v>288.65519999999998</v>
      </c>
      <c r="Y159" s="70">
        <f ca="1">('TUSD BE'!$AM$6+'TUSD BF'!$AM$6+'TUSD CVA'!$AM$6)*1*(1-0.03)</f>
        <v>17.820698790947443</v>
      </c>
      <c r="Z159" s="70">
        <f ca="1">('TUSD BE'!$AM$7+'TUSD BF'!$AM$7+'TUSD CVA'!$AM$7)*1*(1-0.03)</f>
        <v>143.55448214271752</v>
      </c>
      <c r="AA159" s="70">
        <f>('TE BE'!$AB$6+'TE BF'!$AB$6+'TE CVA'!$AB$6)*1*(1-0.03)</f>
        <v>295.72417018043757</v>
      </c>
      <c r="AB159" s="6">
        <f>$K$159*$V$159</f>
        <v>23994.214400000001</v>
      </c>
      <c r="AC159" s="6">
        <f>$M$159*$W$159</f>
        <v>45657.396119999998</v>
      </c>
      <c r="AD159" s="6">
        <f>$O$159*$X$159</f>
        <v>182677.17525119998</v>
      </c>
      <c r="AE159" s="6">
        <f ca="1">$K$159*$Y$159</f>
        <v>27336.951945313376</v>
      </c>
      <c r="AF159" s="6">
        <f ca="1">$M$159*$Z$159</f>
        <v>90849.315350911638</v>
      </c>
      <c r="AG159" s="6">
        <f>$O$159*$AA$159</f>
        <v>187150.81544371101</v>
      </c>
    </row>
    <row r="160" spans="1:33" ht="11.25" customHeight="1" x14ac:dyDescent="0.25">
      <c r="A160" s="4" t="s">
        <v>21</v>
      </c>
      <c r="B160" s="4" t="s">
        <v>39</v>
      </c>
      <c r="C160" s="4" t="s">
        <v>42</v>
      </c>
      <c r="D160" s="4" t="s">
        <v>49</v>
      </c>
      <c r="E160" s="4" t="s">
        <v>50</v>
      </c>
      <c r="F160" s="4" t="s">
        <v>25</v>
      </c>
      <c r="G160" s="4" t="s">
        <v>25</v>
      </c>
      <c r="H160" s="4" t="s">
        <v>35</v>
      </c>
      <c r="I160" s="5">
        <v>44501</v>
      </c>
      <c r="J160" s="6">
        <v>1504</v>
      </c>
      <c r="K160" s="71">
        <v>1504</v>
      </c>
      <c r="L160" s="6">
        <v>579.31700000000001</v>
      </c>
      <c r="M160" s="70">
        <v>579.31700000000001</v>
      </c>
      <c r="N160" s="6">
        <v>579.31700000000001</v>
      </c>
      <c r="O160" s="70">
        <v>579.31700000000001</v>
      </c>
      <c r="P160" s="6">
        <v>0</v>
      </c>
      <c r="Q160" s="4" t="s">
        <v>26</v>
      </c>
      <c r="R160" s="4">
        <v>0</v>
      </c>
      <c r="S160" s="6">
        <v>2</v>
      </c>
      <c r="T160" s="6">
        <v>3</v>
      </c>
      <c r="U160" s="6">
        <v>49</v>
      </c>
      <c r="V160" s="70">
        <f>IF(ISERROR(VLOOKUP($S$160,'TAR FIN'!$A$1:$O$85,15,0)),0,VLOOKUP($S$160,'TAR FIN'!$A$1:$O$85,15,0))*(1-0.06)</f>
        <v>15.6416</v>
      </c>
      <c r="W160" s="70">
        <f>IF(ISERROR(VLOOKUP($T$160,'TAR FIN'!$A$1:$O$85,15,0)),0,VLOOKUP($T$160,'TAR FIN'!$A$1:$O$85,15,0))*(1-0.06)</f>
        <v>72.144999999999996</v>
      </c>
      <c r="X160" s="70">
        <f>IF(ISERROR(VLOOKUP($U$160,'TAR FIN'!$A$1:$O$85,15,0)),0,VLOOKUP($U$160,'TAR FIN'!$A$1:$O$85,15,0))*(1-0.06)</f>
        <v>288.65519999999998</v>
      </c>
      <c r="Y160" s="70">
        <f ca="1">('TUSD BE'!$AM$6+'TUSD BF'!$AM$6+'TUSD CVA'!$AM$6)*1*(1-0.03)</f>
        <v>17.820698790947443</v>
      </c>
      <c r="Z160" s="70">
        <f ca="1">('TUSD BE'!$AM$7+'TUSD BF'!$AM$7+'TUSD CVA'!$AM$7)*1*(1-0.03)</f>
        <v>143.55448214271752</v>
      </c>
      <c r="AA160" s="70">
        <f>('TE BE'!$AB$6+'TE BF'!$AB$6+'TE CVA'!$AB$6)*1*(1-0.03)</f>
        <v>295.72417018043757</v>
      </c>
      <c r="AB160" s="6">
        <f>$K$160*$V$160</f>
        <v>23524.966400000001</v>
      </c>
      <c r="AC160" s="6">
        <f>$M$160*$W$160</f>
        <v>41794.824965</v>
      </c>
      <c r="AD160" s="6">
        <f>$O$160*$X$160</f>
        <v>167222.86449839998</v>
      </c>
      <c r="AE160" s="6">
        <f ca="1">$K$160*$Y$160</f>
        <v>26802.330981584953</v>
      </c>
      <c r="AF160" s="6">
        <f ca="1">$M$160*$Z$160</f>
        <v>83163.551931472684</v>
      </c>
      <c r="AG160" s="6">
        <f>$O$160*$AA$160</f>
        <v>171318.03909642054</v>
      </c>
    </row>
    <row r="161" spans="1:33" ht="11.25" customHeight="1" x14ac:dyDescent="0.25">
      <c r="A161" s="4" t="s">
        <v>27</v>
      </c>
      <c r="B161" s="4" t="s">
        <v>39</v>
      </c>
      <c r="C161" s="4" t="s">
        <v>42</v>
      </c>
      <c r="D161" s="4" t="s">
        <v>49</v>
      </c>
      <c r="E161" s="4" t="s">
        <v>50</v>
      </c>
      <c r="F161" s="4" t="s">
        <v>25</v>
      </c>
      <c r="G161" s="4" t="s">
        <v>25</v>
      </c>
      <c r="H161" s="4" t="s">
        <v>35</v>
      </c>
      <c r="I161" s="5">
        <v>44501</v>
      </c>
      <c r="J161" s="6">
        <v>-57</v>
      </c>
      <c r="K161" s="71">
        <v>-57</v>
      </c>
      <c r="L161" s="6">
        <v>-28.565000000000001</v>
      </c>
      <c r="M161" s="70">
        <v>-28.565000000000001</v>
      </c>
      <c r="N161" s="6">
        <v>-28.565000000000001</v>
      </c>
      <c r="O161" s="70">
        <v>-28.565000000000001</v>
      </c>
      <c r="P161" s="6">
        <v>0</v>
      </c>
      <c r="Q161" s="4" t="s">
        <v>26</v>
      </c>
      <c r="R161" s="4">
        <v>0</v>
      </c>
      <c r="S161" s="6">
        <v>2</v>
      </c>
      <c r="T161" s="6">
        <v>3</v>
      </c>
      <c r="U161" s="6">
        <v>49</v>
      </c>
      <c r="V161" s="70">
        <f>IF(ISERROR(VLOOKUP($S$161,'TAR FIN'!$A$1:$O$85,15,0)),0,VLOOKUP($S$161,'TAR FIN'!$A$1:$O$85,15,0))*(1-0.06)</f>
        <v>15.6416</v>
      </c>
      <c r="W161" s="70">
        <f>IF(ISERROR(VLOOKUP($T$161,'TAR FIN'!$A$1:$O$85,15,0)),0,VLOOKUP($T$161,'TAR FIN'!$A$1:$O$85,15,0))*(1-0.06)</f>
        <v>72.144999999999996</v>
      </c>
      <c r="X161" s="70">
        <f>IF(ISERROR(VLOOKUP($U$161,'TAR FIN'!$A$1:$O$85,15,0)),0,VLOOKUP($U$161,'TAR FIN'!$A$1:$O$85,15,0))*(1-0.06)</f>
        <v>288.65519999999998</v>
      </c>
      <c r="Y161" s="70">
        <f ca="1">('TUSD BE'!$AM$6+'TUSD BF'!$AM$6+'TUSD CVA'!$AM$6)*1*(1-0.03)</f>
        <v>17.820698790947443</v>
      </c>
      <c r="Z161" s="70">
        <f ca="1">('TUSD BE'!$AM$7+'TUSD BF'!$AM$7+'TUSD CVA'!$AM$7)*1*(1-0.03)</f>
        <v>143.55448214271752</v>
      </c>
      <c r="AA161" s="70">
        <f>('TE BE'!$AB$6+'TE BF'!$AB$6+'TE CVA'!$AB$6)*1*(1-0.03)</f>
        <v>295.72417018043757</v>
      </c>
      <c r="AB161" s="6">
        <f>$K$161*$V$161</f>
        <v>-891.57119999999998</v>
      </c>
      <c r="AC161" s="6">
        <f>$M$161*$W$161</f>
        <v>-2060.8219250000002</v>
      </c>
      <c r="AD161" s="6">
        <f>$O$161*$X$161</f>
        <v>-8245.4357880000007</v>
      </c>
      <c r="AE161" s="6">
        <f ca="1">$K$161*$Y$161</f>
        <v>-1015.7798310840043</v>
      </c>
      <c r="AF161" s="6">
        <f ca="1">$M$161*$Z$161</f>
        <v>-4100.6337824067259</v>
      </c>
      <c r="AG161" s="6">
        <f>$O$161*$AA$161</f>
        <v>-8447.3609212041993</v>
      </c>
    </row>
    <row r="162" spans="1:33" ht="11.25" customHeight="1" x14ac:dyDescent="0.25">
      <c r="A162" s="4" t="s">
        <v>21</v>
      </c>
      <c r="B162" s="4" t="s">
        <v>39</v>
      </c>
      <c r="C162" s="4" t="s">
        <v>42</v>
      </c>
      <c r="D162" s="4" t="s">
        <v>49</v>
      </c>
      <c r="E162" s="4" t="s">
        <v>50</v>
      </c>
      <c r="F162" s="4" t="s">
        <v>25</v>
      </c>
      <c r="G162" s="4" t="s">
        <v>25</v>
      </c>
      <c r="H162" s="4" t="s">
        <v>35</v>
      </c>
      <c r="I162" s="5">
        <v>44531</v>
      </c>
      <c r="J162" s="6">
        <v>1473</v>
      </c>
      <c r="K162" s="71">
        <v>1473</v>
      </c>
      <c r="L162" s="6">
        <v>585.63499999999999</v>
      </c>
      <c r="M162" s="70">
        <v>585.63499999999999</v>
      </c>
      <c r="N162" s="6">
        <v>585.63499999999999</v>
      </c>
      <c r="O162" s="70">
        <v>585.63499999999999</v>
      </c>
      <c r="P162" s="6">
        <v>0</v>
      </c>
      <c r="Q162" s="4" t="s">
        <v>26</v>
      </c>
      <c r="R162" s="4">
        <v>0</v>
      </c>
      <c r="S162" s="6">
        <v>2</v>
      </c>
      <c r="T162" s="6">
        <v>3</v>
      </c>
      <c r="U162" s="6">
        <v>49</v>
      </c>
      <c r="V162" s="70">
        <f>IF(ISERROR(VLOOKUP($S$162,'TAR FIN'!$A$1:$O$85,15,0)),0,VLOOKUP($S$162,'TAR FIN'!$A$1:$O$85,15,0))*(1-0.06)</f>
        <v>15.6416</v>
      </c>
      <c r="W162" s="70">
        <f>IF(ISERROR(VLOOKUP($T$162,'TAR FIN'!$A$1:$O$85,15,0)),0,VLOOKUP($T$162,'TAR FIN'!$A$1:$O$85,15,0))*(1-0.06)</f>
        <v>72.144999999999996</v>
      </c>
      <c r="X162" s="70">
        <f>IF(ISERROR(VLOOKUP($U$162,'TAR FIN'!$A$1:$O$85,15,0)),0,VLOOKUP($U$162,'TAR FIN'!$A$1:$O$85,15,0))*(1-0.06)</f>
        <v>288.65519999999998</v>
      </c>
      <c r="Y162" s="70">
        <f ca="1">('TUSD BE'!$AM$6+'TUSD BF'!$AM$6+'TUSD CVA'!$AM$6)*1*(1-0.03)</f>
        <v>17.820698790947443</v>
      </c>
      <c r="Z162" s="70">
        <f ca="1">('TUSD BE'!$AM$7+'TUSD BF'!$AM$7+'TUSD CVA'!$AM$7)*1*(1-0.03)</f>
        <v>143.55448214271752</v>
      </c>
      <c r="AA162" s="70">
        <f>('TE BE'!$AB$6+'TE BF'!$AB$6+'TE CVA'!$AB$6)*1*(1-0.03)</f>
        <v>295.72417018043757</v>
      </c>
      <c r="AB162" s="6">
        <f>$K$162*$V$162</f>
        <v>23040.076799999999</v>
      </c>
      <c r="AC162" s="6">
        <f>$M$162*$W$162</f>
        <v>42250.637074999999</v>
      </c>
      <c r="AD162" s="6">
        <f>$O$162*$X$162</f>
        <v>169046.58805199998</v>
      </c>
      <c r="AE162" s="6">
        <f ca="1">$K$162*$Y$162</f>
        <v>26249.889319065584</v>
      </c>
      <c r="AF162" s="6">
        <f ca="1">$M$162*$Z$162</f>
        <v>84070.529149650378</v>
      </c>
      <c r="AG162" s="6">
        <f>$O$162*$AA$162</f>
        <v>173186.42440362056</v>
      </c>
    </row>
    <row r="163" spans="1:33" ht="11.25" customHeight="1" x14ac:dyDescent="0.25">
      <c r="A163" s="4" t="s">
        <v>21</v>
      </c>
      <c r="B163" s="4" t="s">
        <v>39</v>
      </c>
      <c r="C163" s="4" t="s">
        <v>42</v>
      </c>
      <c r="D163" s="4" t="s">
        <v>49</v>
      </c>
      <c r="E163" s="4" t="s">
        <v>50</v>
      </c>
      <c r="F163" s="4" t="s">
        <v>25</v>
      </c>
      <c r="G163" s="4" t="s">
        <v>25</v>
      </c>
      <c r="H163" s="4" t="s">
        <v>35</v>
      </c>
      <c r="I163" s="5">
        <v>44562</v>
      </c>
      <c r="J163" s="6">
        <v>1504</v>
      </c>
      <c r="K163" s="71">
        <v>1504</v>
      </c>
      <c r="L163" s="6">
        <v>606.64</v>
      </c>
      <c r="M163" s="70">
        <v>606.64</v>
      </c>
      <c r="N163" s="6">
        <v>606.64</v>
      </c>
      <c r="O163" s="70">
        <v>606.64</v>
      </c>
      <c r="P163" s="6">
        <v>0</v>
      </c>
      <c r="Q163" s="4" t="s">
        <v>26</v>
      </c>
      <c r="R163" s="4">
        <v>0</v>
      </c>
      <c r="S163" s="6">
        <v>2</v>
      </c>
      <c r="T163" s="6">
        <v>3</v>
      </c>
      <c r="U163" s="6">
        <v>49</v>
      </c>
      <c r="V163" s="70">
        <f>IF(ISERROR(VLOOKUP($S$163,'TAR FIN'!$A$1:$O$85,15,0)),0,VLOOKUP($S$163,'TAR FIN'!$A$1:$O$85,15,0))*(1-0.06)</f>
        <v>15.6416</v>
      </c>
      <c r="W163" s="70">
        <f>IF(ISERROR(VLOOKUP($T$163,'TAR FIN'!$A$1:$O$85,15,0)),0,VLOOKUP($T$163,'TAR FIN'!$A$1:$O$85,15,0))*(1-0.06)</f>
        <v>72.144999999999996</v>
      </c>
      <c r="X163" s="70">
        <f>IF(ISERROR(VLOOKUP($U$163,'TAR FIN'!$A$1:$O$85,15,0)),0,VLOOKUP($U$163,'TAR FIN'!$A$1:$O$85,15,0))*(1-0.06)</f>
        <v>288.65519999999998</v>
      </c>
      <c r="Y163" s="70">
        <f ca="1">('TUSD BE'!$AM$6+'TUSD BF'!$AM$6+'TUSD CVA'!$AM$6)*1*(1-0.03)</f>
        <v>17.820698790947443</v>
      </c>
      <c r="Z163" s="70">
        <f ca="1">('TUSD BE'!$AM$7+'TUSD BF'!$AM$7+'TUSD CVA'!$AM$7)*1*(1-0.03)</f>
        <v>143.55448214271752</v>
      </c>
      <c r="AA163" s="70">
        <f>('TE BE'!$AB$6+'TE BF'!$AB$6+'TE CVA'!$AB$6)*1*(1-0.03)</f>
        <v>295.72417018043757</v>
      </c>
      <c r="AB163" s="6">
        <f>$K$163*$V$163</f>
        <v>23524.966400000001</v>
      </c>
      <c r="AC163" s="6">
        <f>$M$163*$W$163</f>
        <v>43766.042799999996</v>
      </c>
      <c r="AD163" s="6">
        <f>$O$163*$X$163</f>
        <v>175109.79052799998</v>
      </c>
      <c r="AE163" s="6">
        <f ca="1">$K$163*$Y$163</f>
        <v>26802.330981584953</v>
      </c>
      <c r="AF163" s="6">
        <f ca="1">$M$163*$Z$163</f>
        <v>87085.891047058147</v>
      </c>
      <c r="AG163" s="6">
        <f>$O$163*$AA$163</f>
        <v>179398.11059826065</v>
      </c>
    </row>
    <row r="164" spans="1:33" ht="11.25" customHeight="1" x14ac:dyDescent="0.25">
      <c r="A164" s="4" t="s">
        <v>21</v>
      </c>
      <c r="B164" s="4" t="s">
        <v>39</v>
      </c>
      <c r="C164" s="4" t="s">
        <v>42</v>
      </c>
      <c r="D164" s="4" t="s">
        <v>49</v>
      </c>
      <c r="E164" s="4" t="s">
        <v>50</v>
      </c>
      <c r="F164" s="4" t="s">
        <v>25</v>
      </c>
      <c r="G164" s="4" t="s">
        <v>25</v>
      </c>
      <c r="H164" s="4" t="s">
        <v>35</v>
      </c>
      <c r="I164" s="5">
        <v>44593</v>
      </c>
      <c r="J164" s="6">
        <v>1489</v>
      </c>
      <c r="K164" s="71">
        <v>1489</v>
      </c>
      <c r="L164" s="6">
        <v>549.12300000000005</v>
      </c>
      <c r="M164" s="70">
        <v>549.12300000000005</v>
      </c>
      <c r="N164" s="6">
        <v>549.12300000000005</v>
      </c>
      <c r="O164" s="70">
        <v>549.12300000000005</v>
      </c>
      <c r="P164" s="6">
        <v>0</v>
      </c>
      <c r="Q164" s="4" t="s">
        <v>26</v>
      </c>
      <c r="R164" s="4">
        <v>0</v>
      </c>
      <c r="S164" s="6">
        <v>2</v>
      </c>
      <c r="T164" s="6">
        <v>3</v>
      </c>
      <c r="U164" s="6">
        <v>49</v>
      </c>
      <c r="V164" s="70">
        <f>IF(ISERROR(VLOOKUP($S$164,'TAR FIN'!$A$1:$O$85,15,0)),0,VLOOKUP($S$164,'TAR FIN'!$A$1:$O$85,15,0))*(1-0.06)</f>
        <v>15.6416</v>
      </c>
      <c r="W164" s="70">
        <f>IF(ISERROR(VLOOKUP($T$164,'TAR FIN'!$A$1:$O$85,15,0)),0,VLOOKUP($T$164,'TAR FIN'!$A$1:$O$85,15,0))*(1-0.06)</f>
        <v>72.144999999999996</v>
      </c>
      <c r="X164" s="70">
        <f>IF(ISERROR(VLOOKUP($U$164,'TAR FIN'!$A$1:$O$85,15,0)),0,VLOOKUP($U$164,'TAR FIN'!$A$1:$O$85,15,0))*(1-0.06)</f>
        <v>288.65519999999998</v>
      </c>
      <c r="Y164" s="70">
        <f ca="1">('TUSD BE'!$AM$6+'TUSD BF'!$AM$6+'TUSD CVA'!$AM$6)*1*(1-0.03)</f>
        <v>17.820698790947443</v>
      </c>
      <c r="Z164" s="70">
        <f ca="1">('TUSD BE'!$AM$7+'TUSD BF'!$AM$7+'TUSD CVA'!$AM$7)*1*(1-0.03)</f>
        <v>143.55448214271752</v>
      </c>
      <c r="AA164" s="70">
        <f>('TE BE'!$AB$6+'TE BF'!$AB$6+'TE CVA'!$AB$6)*1*(1-0.03)</f>
        <v>295.72417018043757</v>
      </c>
      <c r="AB164" s="6">
        <f>$K$164*$V$164</f>
        <v>23290.342400000001</v>
      </c>
      <c r="AC164" s="6">
        <f>$M$164*$W$164</f>
        <v>39616.478835000002</v>
      </c>
      <c r="AD164" s="6">
        <f>$O$164*$X$164</f>
        <v>158507.2093896</v>
      </c>
      <c r="AE164" s="6">
        <f ca="1">$K$164*$Y$164</f>
        <v>26535.020499720744</v>
      </c>
      <c r="AF164" s="6">
        <f ca="1">$M$164*$Z$164</f>
        <v>78829.067897655477</v>
      </c>
      <c r="AG164" s="6">
        <f>$O$164*$AA$164</f>
        <v>162388.94350199244</v>
      </c>
    </row>
    <row r="165" spans="1:33" ht="11.25" customHeight="1" x14ac:dyDescent="0.25">
      <c r="A165" s="4" t="s">
        <v>21</v>
      </c>
      <c r="B165" s="4" t="s">
        <v>39</v>
      </c>
      <c r="C165" s="4" t="s">
        <v>42</v>
      </c>
      <c r="D165" s="4" t="s">
        <v>49</v>
      </c>
      <c r="E165" s="4" t="s">
        <v>50</v>
      </c>
      <c r="F165" s="4" t="s">
        <v>25</v>
      </c>
      <c r="G165" s="4" t="s">
        <v>25</v>
      </c>
      <c r="H165" s="4" t="s">
        <v>35</v>
      </c>
      <c r="I165" s="5">
        <v>44621</v>
      </c>
      <c r="J165" s="6">
        <v>1539</v>
      </c>
      <c r="K165" s="71">
        <v>1539</v>
      </c>
      <c r="L165" s="6">
        <v>638.077</v>
      </c>
      <c r="M165" s="70">
        <v>638.077</v>
      </c>
      <c r="N165" s="6">
        <v>638.077</v>
      </c>
      <c r="O165" s="70">
        <v>638.077</v>
      </c>
      <c r="P165" s="6">
        <v>0</v>
      </c>
      <c r="Q165" s="4" t="s">
        <v>26</v>
      </c>
      <c r="R165" s="4">
        <v>0</v>
      </c>
      <c r="S165" s="6">
        <v>2</v>
      </c>
      <c r="T165" s="6">
        <v>3</v>
      </c>
      <c r="U165" s="6">
        <v>49</v>
      </c>
      <c r="V165" s="70">
        <f>IF(ISERROR(VLOOKUP($S$165,'TAR FIN'!$A$1:$O$85,15,0)),0,VLOOKUP($S$165,'TAR FIN'!$A$1:$O$85,15,0))*(1-0.06)</f>
        <v>15.6416</v>
      </c>
      <c r="W165" s="70">
        <f>IF(ISERROR(VLOOKUP($T$165,'TAR FIN'!$A$1:$O$85,15,0)),0,VLOOKUP($T$165,'TAR FIN'!$A$1:$O$85,15,0))*(1-0.06)</f>
        <v>72.144999999999996</v>
      </c>
      <c r="X165" s="70">
        <f>IF(ISERROR(VLOOKUP($U$165,'TAR FIN'!$A$1:$O$85,15,0)),0,VLOOKUP($U$165,'TAR FIN'!$A$1:$O$85,15,0))*(1-0.06)</f>
        <v>288.65519999999998</v>
      </c>
      <c r="Y165" s="70">
        <f ca="1">('TUSD BE'!$AM$6+'TUSD BF'!$AM$6+'TUSD CVA'!$AM$6)*1*(1-0.03)</f>
        <v>17.820698790947443</v>
      </c>
      <c r="Z165" s="70">
        <f ca="1">('TUSD BE'!$AM$7+'TUSD BF'!$AM$7+'TUSD CVA'!$AM$7)*1*(1-0.03)</f>
        <v>143.55448214271752</v>
      </c>
      <c r="AA165" s="70">
        <f>('TE BE'!$AB$6+'TE BF'!$AB$6+'TE CVA'!$AB$6)*1*(1-0.03)</f>
        <v>295.72417018043757</v>
      </c>
      <c r="AB165" s="6">
        <f>$K$165*$V$165</f>
        <v>24072.422399999999</v>
      </c>
      <c r="AC165" s="6">
        <f>$M$165*$W$165</f>
        <v>46034.065165</v>
      </c>
      <c r="AD165" s="6">
        <f>$O$165*$X$165</f>
        <v>184184.24405039998</v>
      </c>
      <c r="AE165" s="6">
        <f ca="1">$K$165*$Y$165</f>
        <v>27426.055439268115</v>
      </c>
      <c r="AF165" s="6">
        <f ca="1">$M$165*$Z$165</f>
        <v>91598.813302178765</v>
      </c>
      <c r="AG165" s="6">
        <f>$O$165*$AA$165</f>
        <v>188694.79133622308</v>
      </c>
    </row>
    <row r="166" spans="1:33" ht="11.25" customHeight="1" x14ac:dyDescent="0.25">
      <c r="A166" s="4" t="s">
        <v>21</v>
      </c>
      <c r="B166" s="4" t="s">
        <v>39</v>
      </c>
      <c r="C166" s="4" t="s">
        <v>42</v>
      </c>
      <c r="D166" s="4" t="s">
        <v>49</v>
      </c>
      <c r="E166" s="4" t="s">
        <v>50</v>
      </c>
      <c r="F166" s="4" t="s">
        <v>25</v>
      </c>
      <c r="G166" s="4" t="s">
        <v>25</v>
      </c>
      <c r="H166" s="4" t="s">
        <v>35</v>
      </c>
      <c r="I166" s="5">
        <v>44652</v>
      </c>
      <c r="J166" s="6">
        <v>1530</v>
      </c>
      <c r="K166" s="71">
        <v>1530</v>
      </c>
      <c r="L166" s="6">
        <v>609.19799999999998</v>
      </c>
      <c r="M166" s="70">
        <v>609.19799999999998</v>
      </c>
      <c r="N166" s="6">
        <v>609.19799999999998</v>
      </c>
      <c r="O166" s="70">
        <v>609.19799999999998</v>
      </c>
      <c r="P166" s="6">
        <v>0</v>
      </c>
      <c r="Q166" s="4" t="s">
        <v>26</v>
      </c>
      <c r="R166" s="4">
        <v>0</v>
      </c>
      <c r="S166" s="6">
        <v>2</v>
      </c>
      <c r="T166" s="6">
        <v>3</v>
      </c>
      <c r="U166" s="6">
        <v>49</v>
      </c>
      <c r="V166" s="70">
        <f>IF(ISERROR(VLOOKUP($S$166,'TAR FIN'!$A$1:$O$85,15,0)),0,VLOOKUP($S$166,'TAR FIN'!$A$1:$O$85,15,0))*(1-0.06)</f>
        <v>15.6416</v>
      </c>
      <c r="W166" s="70">
        <f>IF(ISERROR(VLOOKUP($T$166,'TAR FIN'!$A$1:$O$85,15,0)),0,VLOOKUP($T$166,'TAR FIN'!$A$1:$O$85,15,0))*(1-0.06)</f>
        <v>72.144999999999996</v>
      </c>
      <c r="X166" s="70">
        <f>IF(ISERROR(VLOOKUP($U$166,'TAR FIN'!$A$1:$O$85,15,0)),0,VLOOKUP($U$166,'TAR FIN'!$A$1:$O$85,15,0))*(1-0.06)</f>
        <v>288.65519999999998</v>
      </c>
      <c r="Y166" s="70">
        <f ca="1">('TUSD BE'!$AM$6+'TUSD BF'!$AM$6+'TUSD CVA'!$AM$6)*1*(1-0.03)</f>
        <v>17.820698790947443</v>
      </c>
      <c r="Z166" s="70">
        <f ca="1">('TUSD BE'!$AM$7+'TUSD BF'!$AM$7+'TUSD CVA'!$AM$7)*1*(1-0.03)</f>
        <v>143.55448214271752</v>
      </c>
      <c r="AA166" s="70">
        <f>('TE BE'!$AB$6+'TE BF'!$AB$6+'TE CVA'!$AB$6)*1*(1-0.03)</f>
        <v>295.72417018043757</v>
      </c>
      <c r="AB166" s="6">
        <f>$K$166*$V$166</f>
        <v>23931.648000000001</v>
      </c>
      <c r="AC166" s="6">
        <f>$M$166*$W$166</f>
        <v>43950.589709999993</v>
      </c>
      <c r="AD166" s="6">
        <f>$O$166*$X$166</f>
        <v>175848.17052959997</v>
      </c>
      <c r="AE166" s="6">
        <f ca="1">$K$166*$Y$166</f>
        <v>27265.669150149588</v>
      </c>
      <c r="AF166" s="6">
        <f ca="1">$M$166*$Z$166</f>
        <v>87453.10341237922</v>
      </c>
      <c r="AG166" s="6">
        <f>$O$166*$AA$166</f>
        <v>180154.57302558221</v>
      </c>
    </row>
    <row r="167" spans="1:33" ht="11.25" customHeight="1" x14ac:dyDescent="0.25">
      <c r="A167" s="4" t="s">
        <v>21</v>
      </c>
      <c r="B167" s="4" t="s">
        <v>39</v>
      </c>
      <c r="C167" s="4" t="s">
        <v>42</v>
      </c>
      <c r="D167" s="4" t="s">
        <v>49</v>
      </c>
      <c r="E167" s="4" t="s">
        <v>50</v>
      </c>
      <c r="F167" s="4" t="s">
        <v>25</v>
      </c>
      <c r="G167" s="4" t="s">
        <v>25</v>
      </c>
      <c r="H167" s="4" t="s">
        <v>35</v>
      </c>
      <c r="I167" s="5">
        <v>44682</v>
      </c>
      <c r="J167" s="6">
        <v>1512</v>
      </c>
      <c r="K167" s="71">
        <v>1512</v>
      </c>
      <c r="L167" s="6">
        <v>633.83399999999995</v>
      </c>
      <c r="M167" s="70">
        <v>633.83399999999995</v>
      </c>
      <c r="N167" s="6">
        <v>633.83399999999995</v>
      </c>
      <c r="O167" s="70">
        <v>633.83399999999995</v>
      </c>
      <c r="P167" s="6">
        <v>0</v>
      </c>
      <c r="Q167" s="4" t="s">
        <v>26</v>
      </c>
      <c r="R167" s="4">
        <v>0</v>
      </c>
      <c r="S167" s="6">
        <v>2</v>
      </c>
      <c r="T167" s="6">
        <v>3</v>
      </c>
      <c r="U167" s="6">
        <v>49</v>
      </c>
      <c r="V167" s="70">
        <f>IF(ISERROR(VLOOKUP($S$167,'TAR FIN'!$A$1:$O$85,15,0)),0,VLOOKUP($S$167,'TAR FIN'!$A$1:$O$85,15,0))*(1-0.06)</f>
        <v>15.6416</v>
      </c>
      <c r="W167" s="70">
        <f>IF(ISERROR(VLOOKUP($T$167,'TAR FIN'!$A$1:$O$85,15,0)),0,VLOOKUP($T$167,'TAR FIN'!$A$1:$O$85,15,0))*(1-0.06)</f>
        <v>72.144999999999996</v>
      </c>
      <c r="X167" s="70">
        <f>IF(ISERROR(VLOOKUP($U$167,'TAR FIN'!$A$1:$O$85,15,0)),0,VLOOKUP($U$167,'TAR FIN'!$A$1:$O$85,15,0))*(1-0.06)</f>
        <v>288.65519999999998</v>
      </c>
      <c r="Y167" s="70">
        <f ca="1">('TUSD BE'!$AM$6+'TUSD BF'!$AM$6+'TUSD CVA'!$AM$6)*1*(1-0.03)</f>
        <v>17.820698790947443</v>
      </c>
      <c r="Z167" s="70">
        <f ca="1">('TUSD BE'!$AM$7+'TUSD BF'!$AM$7+'TUSD CVA'!$AM$7)*1*(1-0.03)</f>
        <v>143.55448214271752</v>
      </c>
      <c r="AA167" s="70">
        <f>('TE BE'!$AB$6+'TE BF'!$AB$6+'TE CVA'!$AB$6)*1*(1-0.03)</f>
        <v>295.72417018043757</v>
      </c>
      <c r="AB167" s="6">
        <f>$K$167*$V$167</f>
        <v>23650.099200000001</v>
      </c>
      <c r="AC167" s="6">
        <f>$M$167*$W$167</f>
        <v>45727.953929999996</v>
      </c>
      <c r="AD167" s="6">
        <f>$O$167*$X$167</f>
        <v>182959.48003679997</v>
      </c>
      <c r="AE167" s="6">
        <f ca="1">$K$167*$Y$167</f>
        <v>26944.896571912534</v>
      </c>
      <c r="AF167" s="6">
        <f ca="1">$M$167*$Z$167</f>
        <v>90989.711634447202</v>
      </c>
      <c r="AG167" s="6">
        <f>$O$167*$AA$167</f>
        <v>187440.03368214745</v>
      </c>
    </row>
    <row r="168" spans="1:33" ht="11.25" customHeight="1" x14ac:dyDescent="0.25">
      <c r="A168" s="4" t="s">
        <v>21</v>
      </c>
      <c r="B168" s="4" t="s">
        <v>39</v>
      </c>
      <c r="C168" s="4" t="s">
        <v>42</v>
      </c>
      <c r="D168" s="4" t="s">
        <v>49</v>
      </c>
      <c r="E168" s="4" t="s">
        <v>50</v>
      </c>
      <c r="F168" s="4" t="s">
        <v>25</v>
      </c>
      <c r="G168" s="4" t="s">
        <v>25</v>
      </c>
      <c r="H168" s="4" t="s">
        <v>35</v>
      </c>
      <c r="I168" s="5">
        <v>44713</v>
      </c>
      <c r="J168" s="6">
        <v>1525</v>
      </c>
      <c r="K168" s="71">
        <v>1525</v>
      </c>
      <c r="L168" s="6">
        <v>599.97</v>
      </c>
      <c r="M168" s="70">
        <v>599.97</v>
      </c>
      <c r="N168" s="6">
        <v>599.97</v>
      </c>
      <c r="O168" s="70">
        <v>599.97</v>
      </c>
      <c r="P168" s="6">
        <v>0</v>
      </c>
      <c r="Q168" s="4" t="s">
        <v>26</v>
      </c>
      <c r="R168" s="4">
        <v>0</v>
      </c>
      <c r="S168" s="6">
        <v>2</v>
      </c>
      <c r="T168" s="6">
        <v>3</v>
      </c>
      <c r="U168" s="6">
        <v>49</v>
      </c>
      <c r="V168" s="70">
        <f>IF(ISERROR(VLOOKUP($S$168,'TAR FIN'!$A$1:$O$85,15,0)),0,VLOOKUP($S$168,'TAR FIN'!$A$1:$O$85,15,0))*(1-0.06)</f>
        <v>15.6416</v>
      </c>
      <c r="W168" s="70">
        <f>IF(ISERROR(VLOOKUP($T$168,'TAR FIN'!$A$1:$O$85,15,0)),0,VLOOKUP($T$168,'TAR FIN'!$A$1:$O$85,15,0))*(1-0.06)</f>
        <v>72.144999999999996</v>
      </c>
      <c r="X168" s="70">
        <f>IF(ISERROR(VLOOKUP($U$168,'TAR FIN'!$A$1:$O$85,15,0)),0,VLOOKUP($U$168,'TAR FIN'!$A$1:$O$85,15,0))*(1-0.06)</f>
        <v>288.65519999999998</v>
      </c>
      <c r="Y168" s="70">
        <f ca="1">('TUSD BE'!$AM$6+'TUSD BF'!$AM$6+'TUSD CVA'!$AM$6)*1*(1-0.03)</f>
        <v>17.820698790947443</v>
      </c>
      <c r="Z168" s="70">
        <f ca="1">('TUSD BE'!$AM$7+'TUSD BF'!$AM$7+'TUSD CVA'!$AM$7)*1*(1-0.03)</f>
        <v>143.55448214271752</v>
      </c>
      <c r="AA168" s="70">
        <f>('TE BE'!$AB$6+'TE BF'!$AB$6+'TE CVA'!$AB$6)*1*(1-0.03)</f>
        <v>295.72417018043757</v>
      </c>
      <c r="AB168" s="6">
        <f>$K$168*$V$168</f>
        <v>23853.440000000002</v>
      </c>
      <c r="AC168" s="6">
        <f>$M$168*$W$168</f>
        <v>43284.835650000001</v>
      </c>
      <c r="AD168" s="6">
        <f>$O$168*$X$168</f>
        <v>173184.46034399999</v>
      </c>
      <c r="AE168" s="6">
        <f ca="1">$K$168*$Y$168</f>
        <v>27176.565656194849</v>
      </c>
      <c r="AF168" s="6">
        <f ca="1">$M$168*$Z$168</f>
        <v>86128.382651166234</v>
      </c>
      <c r="AG168" s="6">
        <f>$O$168*$AA$168</f>
        <v>177425.63038315714</v>
      </c>
    </row>
    <row r="169" spans="1:33" ht="11.25" customHeight="1" x14ac:dyDescent="0.25">
      <c r="A169" s="4" t="s">
        <v>21</v>
      </c>
      <c r="B169" s="4" t="s">
        <v>39</v>
      </c>
      <c r="C169" s="4" t="s">
        <v>42</v>
      </c>
      <c r="D169" s="4" t="s">
        <v>49</v>
      </c>
      <c r="E169" s="4" t="s">
        <v>50</v>
      </c>
      <c r="F169" s="4" t="s">
        <v>25</v>
      </c>
      <c r="G169" s="4" t="s">
        <v>25</v>
      </c>
      <c r="H169" s="4" t="s">
        <v>35</v>
      </c>
      <c r="I169" s="5">
        <v>44743</v>
      </c>
      <c r="J169" s="6">
        <v>1532</v>
      </c>
      <c r="K169" s="71">
        <v>1532</v>
      </c>
      <c r="L169" s="6">
        <v>638.24699999999996</v>
      </c>
      <c r="M169" s="70">
        <v>638.24699999999996</v>
      </c>
      <c r="N169" s="6">
        <v>638.24699999999996</v>
      </c>
      <c r="O169" s="70">
        <v>638.24699999999996</v>
      </c>
      <c r="P169" s="6">
        <v>0</v>
      </c>
      <c r="Q169" s="4" t="s">
        <v>26</v>
      </c>
      <c r="R169" s="4">
        <v>0</v>
      </c>
      <c r="S169" s="6">
        <v>2</v>
      </c>
      <c r="T169" s="6">
        <v>3</v>
      </c>
      <c r="U169" s="6">
        <v>49</v>
      </c>
      <c r="V169" s="70">
        <f>IF(ISERROR(VLOOKUP($S$169,'TAR FIN'!$A$1:$O$85,15,0)),0,VLOOKUP($S$169,'TAR FIN'!$A$1:$O$85,15,0))*(1-0.06)</f>
        <v>15.6416</v>
      </c>
      <c r="W169" s="70">
        <f>IF(ISERROR(VLOOKUP($T$169,'TAR FIN'!$A$1:$O$85,15,0)),0,VLOOKUP($T$169,'TAR FIN'!$A$1:$O$85,15,0))*(1-0.06)</f>
        <v>72.144999999999996</v>
      </c>
      <c r="X169" s="70">
        <f>IF(ISERROR(VLOOKUP($U$169,'TAR FIN'!$A$1:$O$85,15,0)),0,VLOOKUP($U$169,'TAR FIN'!$A$1:$O$85,15,0))*(1-0.06)</f>
        <v>288.65519999999998</v>
      </c>
      <c r="Y169" s="70">
        <f ca="1">('TUSD BE'!$AM$6+'TUSD BF'!$AM$6+'TUSD CVA'!$AM$6)*1*(1-0.03)</f>
        <v>17.820698790947443</v>
      </c>
      <c r="Z169" s="70">
        <f ca="1">('TUSD BE'!$AM$7+'TUSD BF'!$AM$7+'TUSD CVA'!$AM$7)*1*(1-0.03)</f>
        <v>143.55448214271752</v>
      </c>
      <c r="AA169" s="70">
        <f>('TE BE'!$AB$6+'TE BF'!$AB$6+'TE CVA'!$AB$6)*1*(1-0.03)</f>
        <v>295.72417018043757</v>
      </c>
      <c r="AB169" s="6">
        <f>$K$169*$V$169</f>
        <v>23962.931199999999</v>
      </c>
      <c r="AC169" s="6">
        <f>$M$169*$W$169</f>
        <v>46046.329814999997</v>
      </c>
      <c r="AD169" s="6">
        <f>$O$169*$X$169</f>
        <v>184233.31543439996</v>
      </c>
      <c r="AE169" s="6">
        <f ca="1">$K$169*$Y$169</f>
        <v>27301.310547731482</v>
      </c>
      <c r="AF169" s="6">
        <f ca="1">$M$169*$Z$169</f>
        <v>91623.217564143022</v>
      </c>
      <c r="AG169" s="6">
        <f>$O$169*$AA$169</f>
        <v>188745.06444515372</v>
      </c>
    </row>
    <row r="170" spans="1:33" ht="11.25" customHeight="1" x14ac:dyDescent="0.25">
      <c r="A170" s="4" t="s">
        <v>56</v>
      </c>
      <c r="B170" s="4" t="s">
        <v>39</v>
      </c>
      <c r="C170" s="4" t="s">
        <v>42</v>
      </c>
      <c r="D170" s="4" t="s">
        <v>49</v>
      </c>
      <c r="E170" s="4" t="s">
        <v>50</v>
      </c>
      <c r="F170" s="4" t="s">
        <v>25</v>
      </c>
      <c r="G170" s="4" t="s">
        <v>25</v>
      </c>
      <c r="H170" s="4" t="s">
        <v>35</v>
      </c>
      <c r="I170" s="5">
        <v>44774</v>
      </c>
      <c r="J170" s="6">
        <v>1532</v>
      </c>
      <c r="K170" s="71">
        <v>1532</v>
      </c>
      <c r="L170" s="6">
        <v>638.24699999999996</v>
      </c>
      <c r="M170" s="70">
        <v>638.24699999999996</v>
      </c>
      <c r="N170" s="6">
        <v>638.24699999999996</v>
      </c>
      <c r="O170" s="70">
        <v>638.24699999999996</v>
      </c>
      <c r="P170" s="6">
        <v>0</v>
      </c>
      <c r="Q170" s="4" t="s">
        <v>26</v>
      </c>
      <c r="R170" s="4">
        <v>0</v>
      </c>
      <c r="S170" s="6">
        <v>2</v>
      </c>
      <c r="T170" s="6">
        <v>3</v>
      </c>
      <c r="U170" s="6">
        <v>49</v>
      </c>
      <c r="V170" s="70">
        <f>IF(ISERROR(VLOOKUP($S$170,'TAR FIN'!$A$1:$O$85,15,0)),0,VLOOKUP($S$170,'TAR FIN'!$A$1:$O$85,15,0))*(1-0.06)</f>
        <v>15.6416</v>
      </c>
      <c r="W170" s="70">
        <f>IF(ISERROR(VLOOKUP($T$170,'TAR FIN'!$A$1:$O$85,15,0)),0,VLOOKUP($T$170,'TAR FIN'!$A$1:$O$85,15,0))*(1-0.06)</f>
        <v>72.144999999999996</v>
      </c>
      <c r="X170" s="70">
        <f>IF(ISERROR(VLOOKUP($U$170,'TAR FIN'!$A$1:$O$85,15,0)),0,VLOOKUP($U$170,'TAR FIN'!$A$1:$O$85,15,0))*(1-0.06)</f>
        <v>288.65519999999998</v>
      </c>
      <c r="Y170" s="70">
        <f ca="1">('TUSD BE'!$AM$6+'TUSD BF'!$AM$6+'TUSD CVA'!$AM$6)*1*(1-0.03)</f>
        <v>17.820698790947443</v>
      </c>
      <c r="Z170" s="70">
        <f ca="1">('TUSD BE'!$AM$7+'TUSD BF'!$AM$7+'TUSD CVA'!$AM$7)*1*(1-0.03)</f>
        <v>143.55448214271752</v>
      </c>
      <c r="AA170" s="70">
        <f>('TE BE'!$AB$6+'TE BF'!$AB$6+'TE CVA'!$AB$6)*1*(1-0.03)</f>
        <v>295.72417018043757</v>
      </c>
      <c r="AB170" s="6">
        <f>$K$170*$V$170</f>
        <v>23962.931199999999</v>
      </c>
      <c r="AC170" s="6">
        <f>$M$170*$W$170</f>
        <v>46046.329814999997</v>
      </c>
      <c r="AD170" s="6">
        <f>$O$170*$X$170</f>
        <v>184233.31543439996</v>
      </c>
      <c r="AE170" s="6">
        <f ca="1">$K$170*$Y$170</f>
        <v>27301.310547731482</v>
      </c>
      <c r="AF170" s="6">
        <f ca="1">$M$170*$Z$170</f>
        <v>91623.217564143022</v>
      </c>
      <c r="AG170" s="6">
        <f>$O$170*$AA$170</f>
        <v>188745.06444515372</v>
      </c>
    </row>
    <row r="171" spans="1:33" ht="11.25" customHeight="1" x14ac:dyDescent="0.25">
      <c r="A171" s="4" t="s">
        <v>21</v>
      </c>
      <c r="B171" s="4" t="s">
        <v>39</v>
      </c>
      <c r="C171" s="4" t="s">
        <v>42</v>
      </c>
      <c r="D171" s="4" t="s">
        <v>49</v>
      </c>
      <c r="E171" s="4" t="s">
        <v>50</v>
      </c>
      <c r="F171" s="4" t="s">
        <v>25</v>
      </c>
      <c r="G171" s="4" t="s">
        <v>25</v>
      </c>
      <c r="H171" s="4" t="s">
        <v>34</v>
      </c>
      <c r="I171" s="5">
        <v>44440</v>
      </c>
      <c r="J171" s="6">
        <v>1506</v>
      </c>
      <c r="K171" s="71">
        <v>1506</v>
      </c>
      <c r="L171" s="6">
        <v>75.120999999999995</v>
      </c>
      <c r="M171" s="70">
        <v>75.120999999999995</v>
      </c>
      <c r="N171" s="6">
        <v>75.120999999999995</v>
      </c>
      <c r="O171" s="70">
        <v>75.120999999999995</v>
      </c>
      <c r="P171" s="6">
        <v>0</v>
      </c>
      <c r="Q171" s="4" t="s">
        <v>26</v>
      </c>
      <c r="R171" s="4">
        <v>0</v>
      </c>
      <c r="S171" s="6">
        <v>1</v>
      </c>
      <c r="T171" s="6">
        <v>3</v>
      </c>
      <c r="U171" s="6">
        <v>48</v>
      </c>
      <c r="V171" s="70">
        <f>IF(ISERROR(VLOOKUP($S$171,'TAR FIN'!$A$1:$O$85,15,0)),0,VLOOKUP($S$171,'TAR FIN'!$A$1:$O$85,15,0))*(1-0.06)</f>
        <v>48.8142</v>
      </c>
      <c r="W171" s="70">
        <f>IF(ISERROR(VLOOKUP($T$171,'TAR FIN'!$A$1:$O$85,15,0)),0,VLOOKUP($T$171,'TAR FIN'!$A$1:$O$85,15,0))*(1-0.06)</f>
        <v>72.144999999999996</v>
      </c>
      <c r="X171" s="70">
        <f>IF(ISERROR(VLOOKUP($U$171,'TAR FIN'!$A$1:$O$85,15,0)),0,VLOOKUP($U$171,'TAR FIN'!$A$1:$O$85,15,0))*(1-0.06)</f>
        <v>463.08159999999998</v>
      </c>
      <c r="Y171" s="70">
        <f ca="1">('TUSD BE'!$AM$5+'TUSD BF'!$AM$5+'TUSD CVA'!$AM$5)*1*(1-0.03)</f>
        <v>55.791173854125262</v>
      </c>
      <c r="Z171" s="70">
        <f ca="1">('TUSD BE'!$AM$7+'TUSD BF'!$AM$7+'TUSD CVA'!$AM$7)*1*(1-0.03)</f>
        <v>143.55448214271752</v>
      </c>
      <c r="AA171" s="70">
        <f>('TE BE'!$AB$5+'TE BF'!$AB$5+'TE CVA'!$AB$5)*1*(1-0.03)</f>
        <v>471.29969712597807</v>
      </c>
      <c r="AB171" s="6">
        <f>$K$171*$V$171</f>
        <v>73514.185199999993</v>
      </c>
      <c r="AC171" s="6">
        <f>$M$171*$W$171</f>
        <v>5419.6045449999992</v>
      </c>
      <c r="AD171" s="6">
        <f>$O$171*$X$171</f>
        <v>34787.152873599996</v>
      </c>
      <c r="AE171" s="6">
        <f ca="1">$K$171*$Y$171</f>
        <v>84021.507824312648</v>
      </c>
      <c r="AF171" s="6">
        <f ca="1">$M$171*$Z$171</f>
        <v>10783.956253043081</v>
      </c>
      <c r="AG171" s="6">
        <f>$O$171*$AA$171</f>
        <v>35404.5045478006</v>
      </c>
    </row>
    <row r="172" spans="1:33" ht="11.25" customHeight="1" x14ac:dyDescent="0.25">
      <c r="A172" s="4" t="s">
        <v>21</v>
      </c>
      <c r="B172" s="4" t="s">
        <v>39</v>
      </c>
      <c r="C172" s="4" t="s">
        <v>42</v>
      </c>
      <c r="D172" s="4" t="s">
        <v>49</v>
      </c>
      <c r="E172" s="4" t="s">
        <v>50</v>
      </c>
      <c r="F172" s="4" t="s">
        <v>25</v>
      </c>
      <c r="G172" s="4" t="s">
        <v>25</v>
      </c>
      <c r="H172" s="4" t="s">
        <v>34</v>
      </c>
      <c r="I172" s="5">
        <v>44470</v>
      </c>
      <c r="J172" s="6">
        <v>1525</v>
      </c>
      <c r="K172" s="71">
        <v>1525</v>
      </c>
      <c r="L172" s="6">
        <v>74.183999999999997</v>
      </c>
      <c r="M172" s="70">
        <v>74.183999999999997</v>
      </c>
      <c r="N172" s="6">
        <v>74.183999999999997</v>
      </c>
      <c r="O172" s="70">
        <v>74.183999999999997</v>
      </c>
      <c r="P172" s="6">
        <v>0</v>
      </c>
      <c r="Q172" s="4" t="s">
        <v>26</v>
      </c>
      <c r="R172" s="4">
        <v>0</v>
      </c>
      <c r="S172" s="6">
        <v>1</v>
      </c>
      <c r="T172" s="6">
        <v>3</v>
      </c>
      <c r="U172" s="6">
        <v>48</v>
      </c>
      <c r="V172" s="70">
        <f>IF(ISERROR(VLOOKUP($S$172,'TAR FIN'!$A$1:$O$85,15,0)),0,VLOOKUP($S$172,'TAR FIN'!$A$1:$O$85,15,0))*(1-0.06)</f>
        <v>48.8142</v>
      </c>
      <c r="W172" s="70">
        <f>IF(ISERROR(VLOOKUP($T$172,'TAR FIN'!$A$1:$O$85,15,0)),0,VLOOKUP($T$172,'TAR FIN'!$A$1:$O$85,15,0))*(1-0.06)</f>
        <v>72.144999999999996</v>
      </c>
      <c r="X172" s="70">
        <f>IF(ISERROR(VLOOKUP($U$172,'TAR FIN'!$A$1:$O$85,15,0)),0,VLOOKUP($U$172,'TAR FIN'!$A$1:$O$85,15,0))*(1-0.06)</f>
        <v>463.08159999999998</v>
      </c>
      <c r="Y172" s="70">
        <f ca="1">('TUSD BE'!$AM$5+'TUSD BF'!$AM$5+'TUSD CVA'!$AM$5)*1*(1-0.03)</f>
        <v>55.791173854125262</v>
      </c>
      <c r="Z172" s="70">
        <f ca="1">('TUSD BE'!$AM$7+'TUSD BF'!$AM$7+'TUSD CVA'!$AM$7)*1*(1-0.03)</f>
        <v>143.55448214271752</v>
      </c>
      <c r="AA172" s="70">
        <f>('TE BE'!$AB$5+'TE BF'!$AB$5+'TE CVA'!$AB$5)*1*(1-0.03)</f>
        <v>471.29969712597807</v>
      </c>
      <c r="AB172" s="6">
        <f>$K$172*$V$172</f>
        <v>74441.654999999999</v>
      </c>
      <c r="AC172" s="6">
        <f>$M$172*$W$172</f>
        <v>5352.0046799999991</v>
      </c>
      <c r="AD172" s="6">
        <f>$O$172*$X$172</f>
        <v>34353.2454144</v>
      </c>
      <c r="AE172" s="6">
        <f ca="1">$K$172*$Y$172</f>
        <v>85081.540127541026</v>
      </c>
      <c r="AF172" s="6">
        <f ca="1">$M$172*$Z$172</f>
        <v>10649.445703275356</v>
      </c>
      <c r="AG172" s="6">
        <f>$O$172*$AA$172</f>
        <v>34962.896731593559</v>
      </c>
    </row>
    <row r="173" spans="1:33" ht="11.25" customHeight="1" x14ac:dyDescent="0.25">
      <c r="A173" s="4" t="s">
        <v>21</v>
      </c>
      <c r="B173" s="4" t="s">
        <v>39</v>
      </c>
      <c r="C173" s="4" t="s">
        <v>42</v>
      </c>
      <c r="D173" s="4" t="s">
        <v>49</v>
      </c>
      <c r="E173" s="4" t="s">
        <v>50</v>
      </c>
      <c r="F173" s="4" t="s">
        <v>25</v>
      </c>
      <c r="G173" s="4" t="s">
        <v>25</v>
      </c>
      <c r="H173" s="4" t="s">
        <v>34</v>
      </c>
      <c r="I173" s="5">
        <v>44501</v>
      </c>
      <c r="J173" s="6">
        <v>1461</v>
      </c>
      <c r="K173" s="71">
        <v>1461</v>
      </c>
      <c r="L173" s="6">
        <v>62.348999999999997</v>
      </c>
      <c r="M173" s="70">
        <v>62.348999999999997</v>
      </c>
      <c r="N173" s="6">
        <v>62.348999999999997</v>
      </c>
      <c r="O173" s="70">
        <v>62.348999999999997</v>
      </c>
      <c r="P173" s="6">
        <v>0</v>
      </c>
      <c r="Q173" s="4" t="s">
        <v>26</v>
      </c>
      <c r="R173" s="4">
        <v>0</v>
      </c>
      <c r="S173" s="6">
        <v>1</v>
      </c>
      <c r="T173" s="6">
        <v>3</v>
      </c>
      <c r="U173" s="6">
        <v>48</v>
      </c>
      <c r="V173" s="70">
        <f>IF(ISERROR(VLOOKUP($S$173,'TAR FIN'!$A$1:$O$85,15,0)),0,VLOOKUP($S$173,'TAR FIN'!$A$1:$O$85,15,0))*(1-0.06)</f>
        <v>48.8142</v>
      </c>
      <c r="W173" s="70">
        <f>IF(ISERROR(VLOOKUP($T$173,'TAR FIN'!$A$1:$O$85,15,0)),0,VLOOKUP($T$173,'TAR FIN'!$A$1:$O$85,15,0))*(1-0.06)</f>
        <v>72.144999999999996</v>
      </c>
      <c r="X173" s="70">
        <f>IF(ISERROR(VLOOKUP($U$173,'TAR FIN'!$A$1:$O$85,15,0)),0,VLOOKUP($U$173,'TAR FIN'!$A$1:$O$85,15,0))*(1-0.06)</f>
        <v>463.08159999999998</v>
      </c>
      <c r="Y173" s="70">
        <f ca="1">('TUSD BE'!$AM$5+'TUSD BF'!$AM$5+'TUSD CVA'!$AM$5)*1*(1-0.03)</f>
        <v>55.791173854125262</v>
      </c>
      <c r="Z173" s="70">
        <f ca="1">('TUSD BE'!$AM$7+'TUSD BF'!$AM$7+'TUSD CVA'!$AM$7)*1*(1-0.03)</f>
        <v>143.55448214271752</v>
      </c>
      <c r="AA173" s="70">
        <f>('TE BE'!$AB$5+'TE BF'!$AB$5+'TE CVA'!$AB$5)*1*(1-0.03)</f>
        <v>471.29969712597807</v>
      </c>
      <c r="AB173" s="6">
        <f>$K$173*$V$173</f>
        <v>71317.546199999997</v>
      </c>
      <c r="AC173" s="6">
        <f>$M$173*$W$173</f>
        <v>4498.1686049999998</v>
      </c>
      <c r="AD173" s="6">
        <f>$O$173*$X$173</f>
        <v>28872.674678399999</v>
      </c>
      <c r="AE173" s="6">
        <f ca="1">$K$173*$Y$173</f>
        <v>81510.905000877014</v>
      </c>
      <c r="AF173" s="6">
        <f ca="1">$M$173*$Z$173</f>
        <v>8950.478407116294</v>
      </c>
      <c r="AG173" s="6">
        <f>$O$173*$AA$173</f>
        <v>29385.064816107606</v>
      </c>
    </row>
    <row r="174" spans="1:33" ht="11.25" customHeight="1" x14ac:dyDescent="0.25">
      <c r="A174" s="4" t="s">
        <v>27</v>
      </c>
      <c r="B174" s="4" t="s">
        <v>39</v>
      </c>
      <c r="C174" s="4" t="s">
        <v>42</v>
      </c>
      <c r="D174" s="4" t="s">
        <v>49</v>
      </c>
      <c r="E174" s="4" t="s">
        <v>50</v>
      </c>
      <c r="F174" s="4" t="s">
        <v>25</v>
      </c>
      <c r="G174" s="4" t="s">
        <v>25</v>
      </c>
      <c r="H174" s="4" t="s">
        <v>34</v>
      </c>
      <c r="I174" s="5">
        <v>44501</v>
      </c>
      <c r="J174" s="6">
        <v>-55</v>
      </c>
      <c r="K174" s="71">
        <v>-55</v>
      </c>
      <c r="L174" s="6">
        <v>-3.3559999999999999</v>
      </c>
      <c r="M174" s="70">
        <v>-3.3559999999999999</v>
      </c>
      <c r="N174" s="6">
        <v>-3.3559999999999999</v>
      </c>
      <c r="O174" s="70">
        <v>-3.3559999999999999</v>
      </c>
      <c r="P174" s="6">
        <v>0</v>
      </c>
      <c r="Q174" s="4" t="s">
        <v>26</v>
      </c>
      <c r="R174" s="4">
        <v>0</v>
      </c>
      <c r="S174" s="6">
        <v>1</v>
      </c>
      <c r="T174" s="6">
        <v>3</v>
      </c>
      <c r="U174" s="6">
        <v>48</v>
      </c>
      <c r="V174" s="70">
        <f>IF(ISERROR(VLOOKUP($S$174,'TAR FIN'!$A$1:$O$85,15,0)),0,VLOOKUP($S$174,'TAR FIN'!$A$1:$O$85,15,0))*(1-0.06)</f>
        <v>48.8142</v>
      </c>
      <c r="W174" s="70">
        <f>IF(ISERROR(VLOOKUP($T$174,'TAR FIN'!$A$1:$O$85,15,0)),0,VLOOKUP($T$174,'TAR FIN'!$A$1:$O$85,15,0))*(1-0.06)</f>
        <v>72.144999999999996</v>
      </c>
      <c r="X174" s="70">
        <f>IF(ISERROR(VLOOKUP($U$174,'TAR FIN'!$A$1:$O$85,15,0)),0,VLOOKUP($U$174,'TAR FIN'!$A$1:$O$85,15,0))*(1-0.06)</f>
        <v>463.08159999999998</v>
      </c>
      <c r="Y174" s="70">
        <f ca="1">('TUSD BE'!$AM$5+'TUSD BF'!$AM$5+'TUSD CVA'!$AM$5)*1*(1-0.03)</f>
        <v>55.791173854125262</v>
      </c>
      <c r="Z174" s="70">
        <f ca="1">('TUSD BE'!$AM$7+'TUSD BF'!$AM$7+'TUSD CVA'!$AM$7)*1*(1-0.03)</f>
        <v>143.55448214271752</v>
      </c>
      <c r="AA174" s="70">
        <f>('TE BE'!$AB$5+'TE BF'!$AB$5+'TE CVA'!$AB$5)*1*(1-0.03)</f>
        <v>471.29969712597807</v>
      </c>
      <c r="AB174" s="6">
        <f>$K$174*$V$174</f>
        <v>-2684.7809999999999</v>
      </c>
      <c r="AC174" s="6">
        <f>$M$174*$W$174</f>
        <v>-242.11861999999996</v>
      </c>
      <c r="AD174" s="6">
        <f>$O$174*$X$174</f>
        <v>-1554.1018495999999</v>
      </c>
      <c r="AE174" s="6">
        <f ca="1">$K$174*$Y$174</f>
        <v>-3068.5145619768896</v>
      </c>
      <c r="AF174" s="6">
        <f ca="1">$M$174*$Z$174</f>
        <v>-481.76884207095998</v>
      </c>
      <c r="AG174" s="6">
        <f>$O$174*$AA$174</f>
        <v>-1581.6817835547824</v>
      </c>
    </row>
    <row r="175" spans="1:33" ht="11.25" customHeight="1" x14ac:dyDescent="0.25">
      <c r="A175" s="4" t="s">
        <v>21</v>
      </c>
      <c r="B175" s="4" t="s">
        <v>39</v>
      </c>
      <c r="C175" s="4" t="s">
        <v>42</v>
      </c>
      <c r="D175" s="4" t="s">
        <v>49</v>
      </c>
      <c r="E175" s="4" t="s">
        <v>50</v>
      </c>
      <c r="F175" s="4" t="s">
        <v>25</v>
      </c>
      <c r="G175" s="4" t="s">
        <v>25</v>
      </c>
      <c r="H175" s="4" t="s">
        <v>34</v>
      </c>
      <c r="I175" s="5">
        <v>44531</v>
      </c>
      <c r="J175" s="6">
        <v>1432</v>
      </c>
      <c r="K175" s="71">
        <v>1432</v>
      </c>
      <c r="L175" s="6">
        <v>75.16</v>
      </c>
      <c r="M175" s="70">
        <v>75.16</v>
      </c>
      <c r="N175" s="6">
        <v>75.16</v>
      </c>
      <c r="O175" s="70">
        <v>75.16</v>
      </c>
      <c r="P175" s="6">
        <v>0</v>
      </c>
      <c r="Q175" s="4" t="s">
        <v>26</v>
      </c>
      <c r="R175" s="4">
        <v>0</v>
      </c>
      <c r="S175" s="6">
        <v>1</v>
      </c>
      <c r="T175" s="6">
        <v>3</v>
      </c>
      <c r="U175" s="6">
        <v>48</v>
      </c>
      <c r="V175" s="70">
        <f>IF(ISERROR(VLOOKUP($S$175,'TAR FIN'!$A$1:$O$85,15,0)),0,VLOOKUP($S$175,'TAR FIN'!$A$1:$O$85,15,0))*(1-0.06)</f>
        <v>48.8142</v>
      </c>
      <c r="W175" s="70">
        <f>IF(ISERROR(VLOOKUP($T$175,'TAR FIN'!$A$1:$O$85,15,0)),0,VLOOKUP($T$175,'TAR FIN'!$A$1:$O$85,15,0))*(1-0.06)</f>
        <v>72.144999999999996</v>
      </c>
      <c r="X175" s="70">
        <f>IF(ISERROR(VLOOKUP($U$175,'TAR FIN'!$A$1:$O$85,15,0)),0,VLOOKUP($U$175,'TAR FIN'!$A$1:$O$85,15,0))*(1-0.06)</f>
        <v>463.08159999999998</v>
      </c>
      <c r="Y175" s="70">
        <f ca="1">('TUSD BE'!$AM$5+'TUSD BF'!$AM$5+'TUSD CVA'!$AM$5)*1*(1-0.03)</f>
        <v>55.791173854125262</v>
      </c>
      <c r="Z175" s="70">
        <f ca="1">('TUSD BE'!$AM$7+'TUSD BF'!$AM$7+'TUSD CVA'!$AM$7)*1*(1-0.03)</f>
        <v>143.55448214271752</v>
      </c>
      <c r="AA175" s="70">
        <f>('TE BE'!$AB$5+'TE BF'!$AB$5+'TE CVA'!$AB$5)*1*(1-0.03)</f>
        <v>471.29969712597807</v>
      </c>
      <c r="AB175" s="6">
        <f>$K$175*$V$175</f>
        <v>69901.934399999998</v>
      </c>
      <c r="AC175" s="6">
        <f>$M$175*$W$175</f>
        <v>5422.4181999999992</v>
      </c>
      <c r="AD175" s="6">
        <f>$O$175*$X$175</f>
        <v>34805.213056000001</v>
      </c>
      <c r="AE175" s="6">
        <f ca="1">$K$175*$Y$175</f>
        <v>79892.960959107368</v>
      </c>
      <c r="AF175" s="6">
        <f ca="1">$M$175*$Z$175</f>
        <v>10789.554877846647</v>
      </c>
      <c r="AG175" s="6">
        <f>$O$175*$AA$175</f>
        <v>35422.885235988513</v>
      </c>
    </row>
    <row r="176" spans="1:33" ht="11.25" customHeight="1" x14ac:dyDescent="0.25">
      <c r="A176" s="4" t="s">
        <v>21</v>
      </c>
      <c r="B176" s="4" t="s">
        <v>39</v>
      </c>
      <c r="C176" s="4" t="s">
        <v>42</v>
      </c>
      <c r="D176" s="4" t="s">
        <v>49</v>
      </c>
      <c r="E176" s="4" t="s">
        <v>50</v>
      </c>
      <c r="F176" s="4" t="s">
        <v>25</v>
      </c>
      <c r="G176" s="4" t="s">
        <v>25</v>
      </c>
      <c r="H176" s="4" t="s">
        <v>34</v>
      </c>
      <c r="I176" s="5">
        <v>44562</v>
      </c>
      <c r="J176" s="6">
        <v>1480</v>
      </c>
      <c r="K176" s="71">
        <v>1480</v>
      </c>
      <c r="L176" s="6">
        <v>71.073999999999998</v>
      </c>
      <c r="M176" s="70">
        <v>71.073999999999998</v>
      </c>
      <c r="N176" s="6">
        <v>71.073999999999998</v>
      </c>
      <c r="O176" s="70">
        <v>71.073999999999998</v>
      </c>
      <c r="P176" s="6">
        <v>0</v>
      </c>
      <c r="Q176" s="4" t="s">
        <v>26</v>
      </c>
      <c r="R176" s="4">
        <v>0</v>
      </c>
      <c r="S176" s="6">
        <v>1</v>
      </c>
      <c r="T176" s="6">
        <v>3</v>
      </c>
      <c r="U176" s="6">
        <v>48</v>
      </c>
      <c r="V176" s="70">
        <f>IF(ISERROR(VLOOKUP($S$176,'TAR FIN'!$A$1:$O$85,15,0)),0,VLOOKUP($S$176,'TAR FIN'!$A$1:$O$85,15,0))*(1-0.06)</f>
        <v>48.8142</v>
      </c>
      <c r="W176" s="70">
        <f>IF(ISERROR(VLOOKUP($T$176,'TAR FIN'!$A$1:$O$85,15,0)),0,VLOOKUP($T$176,'TAR FIN'!$A$1:$O$85,15,0))*(1-0.06)</f>
        <v>72.144999999999996</v>
      </c>
      <c r="X176" s="70">
        <f>IF(ISERROR(VLOOKUP($U$176,'TAR FIN'!$A$1:$O$85,15,0)),0,VLOOKUP($U$176,'TAR FIN'!$A$1:$O$85,15,0))*(1-0.06)</f>
        <v>463.08159999999998</v>
      </c>
      <c r="Y176" s="70">
        <f ca="1">('TUSD BE'!$AM$5+'TUSD BF'!$AM$5+'TUSD CVA'!$AM$5)*1*(1-0.03)</f>
        <v>55.791173854125262</v>
      </c>
      <c r="Z176" s="70">
        <f ca="1">('TUSD BE'!$AM$7+'TUSD BF'!$AM$7+'TUSD CVA'!$AM$7)*1*(1-0.03)</f>
        <v>143.55448214271752</v>
      </c>
      <c r="AA176" s="70">
        <f>('TE BE'!$AB$5+'TE BF'!$AB$5+'TE CVA'!$AB$5)*1*(1-0.03)</f>
        <v>471.29969712597807</v>
      </c>
      <c r="AB176" s="6">
        <f>$K$176*$V$176</f>
        <v>72245.016000000003</v>
      </c>
      <c r="AC176" s="6">
        <f>$M$176*$W$176</f>
        <v>5127.6337299999996</v>
      </c>
      <c r="AD176" s="6">
        <f>$O$176*$X$176</f>
        <v>32913.061638399995</v>
      </c>
      <c r="AE176" s="6">
        <f ca="1">$K$176*$Y$176</f>
        <v>82570.937304105391</v>
      </c>
      <c r="AF176" s="6">
        <f ca="1">$M$176*$Z$176</f>
        <v>10202.991263811504</v>
      </c>
      <c r="AG176" s="6">
        <f>$O$176*$AA$176</f>
        <v>33497.154673531768</v>
      </c>
    </row>
    <row r="177" spans="1:33" ht="11.25" customHeight="1" x14ac:dyDescent="0.25">
      <c r="A177" s="4" t="s">
        <v>21</v>
      </c>
      <c r="B177" s="4" t="s">
        <v>39</v>
      </c>
      <c r="C177" s="4" t="s">
        <v>42</v>
      </c>
      <c r="D177" s="4" t="s">
        <v>49</v>
      </c>
      <c r="E177" s="4" t="s">
        <v>50</v>
      </c>
      <c r="F177" s="4" t="s">
        <v>25</v>
      </c>
      <c r="G177" s="4" t="s">
        <v>25</v>
      </c>
      <c r="H177" s="4" t="s">
        <v>34</v>
      </c>
      <c r="I177" s="5">
        <v>44593</v>
      </c>
      <c r="J177" s="6">
        <v>1440</v>
      </c>
      <c r="K177" s="71">
        <v>1440</v>
      </c>
      <c r="L177" s="6">
        <v>67.515000000000001</v>
      </c>
      <c r="M177" s="70">
        <v>67.515000000000001</v>
      </c>
      <c r="N177" s="6">
        <v>67.515000000000001</v>
      </c>
      <c r="O177" s="70">
        <v>67.515000000000001</v>
      </c>
      <c r="P177" s="6">
        <v>0</v>
      </c>
      <c r="Q177" s="4" t="s">
        <v>26</v>
      </c>
      <c r="R177" s="4">
        <v>0</v>
      </c>
      <c r="S177" s="6">
        <v>1</v>
      </c>
      <c r="T177" s="6">
        <v>3</v>
      </c>
      <c r="U177" s="6">
        <v>48</v>
      </c>
      <c r="V177" s="70">
        <f>IF(ISERROR(VLOOKUP($S$177,'TAR FIN'!$A$1:$O$85,15,0)),0,VLOOKUP($S$177,'TAR FIN'!$A$1:$O$85,15,0))*(1-0.06)</f>
        <v>48.8142</v>
      </c>
      <c r="W177" s="70">
        <f>IF(ISERROR(VLOOKUP($T$177,'TAR FIN'!$A$1:$O$85,15,0)),0,VLOOKUP($T$177,'TAR FIN'!$A$1:$O$85,15,0))*(1-0.06)</f>
        <v>72.144999999999996</v>
      </c>
      <c r="X177" s="70">
        <f>IF(ISERROR(VLOOKUP($U$177,'TAR FIN'!$A$1:$O$85,15,0)),0,VLOOKUP($U$177,'TAR FIN'!$A$1:$O$85,15,0))*(1-0.06)</f>
        <v>463.08159999999998</v>
      </c>
      <c r="Y177" s="70">
        <f ca="1">('TUSD BE'!$AM$5+'TUSD BF'!$AM$5+'TUSD CVA'!$AM$5)*1*(1-0.03)</f>
        <v>55.791173854125262</v>
      </c>
      <c r="Z177" s="70">
        <f ca="1">('TUSD BE'!$AM$7+'TUSD BF'!$AM$7+'TUSD CVA'!$AM$7)*1*(1-0.03)</f>
        <v>143.55448214271752</v>
      </c>
      <c r="AA177" s="70">
        <f>('TE BE'!$AB$5+'TE BF'!$AB$5+'TE CVA'!$AB$5)*1*(1-0.03)</f>
        <v>471.29969712597807</v>
      </c>
      <c r="AB177" s="6">
        <f>$K$177*$V$177</f>
        <v>70292.448000000004</v>
      </c>
      <c r="AC177" s="6">
        <f>$M$177*$W$177</f>
        <v>4870.8696749999999</v>
      </c>
      <c r="AD177" s="6">
        <f>$O$177*$X$177</f>
        <v>31264.954223999997</v>
      </c>
      <c r="AE177" s="6">
        <f ca="1">$K$177*$Y$177</f>
        <v>80339.290349940376</v>
      </c>
      <c r="AF177" s="6">
        <f ca="1">$M$177*$Z$177</f>
        <v>9692.0808618655738</v>
      </c>
      <c r="AG177" s="6">
        <f>$O$177*$AA$177</f>
        <v>31819.79905146041</v>
      </c>
    </row>
    <row r="178" spans="1:33" ht="11.25" customHeight="1" x14ac:dyDescent="0.25">
      <c r="A178" s="4" t="s">
        <v>21</v>
      </c>
      <c r="B178" s="4" t="s">
        <v>39</v>
      </c>
      <c r="C178" s="4" t="s">
        <v>42</v>
      </c>
      <c r="D178" s="4" t="s">
        <v>49</v>
      </c>
      <c r="E178" s="4" t="s">
        <v>50</v>
      </c>
      <c r="F178" s="4" t="s">
        <v>25</v>
      </c>
      <c r="G178" s="4" t="s">
        <v>25</v>
      </c>
      <c r="H178" s="4" t="s">
        <v>34</v>
      </c>
      <c r="I178" s="5">
        <v>44621</v>
      </c>
      <c r="J178" s="6">
        <v>1483</v>
      </c>
      <c r="K178" s="71">
        <v>1483</v>
      </c>
      <c r="L178" s="6">
        <v>80.646000000000001</v>
      </c>
      <c r="M178" s="70">
        <v>80.646000000000001</v>
      </c>
      <c r="N178" s="6">
        <v>80.646000000000001</v>
      </c>
      <c r="O178" s="70">
        <v>80.646000000000001</v>
      </c>
      <c r="P178" s="6">
        <v>0</v>
      </c>
      <c r="Q178" s="4" t="s">
        <v>26</v>
      </c>
      <c r="R178" s="4">
        <v>0</v>
      </c>
      <c r="S178" s="6">
        <v>1</v>
      </c>
      <c r="T178" s="6">
        <v>3</v>
      </c>
      <c r="U178" s="6">
        <v>48</v>
      </c>
      <c r="V178" s="70">
        <f>IF(ISERROR(VLOOKUP($S$178,'TAR FIN'!$A$1:$O$85,15,0)),0,VLOOKUP($S$178,'TAR FIN'!$A$1:$O$85,15,0))*(1-0.06)</f>
        <v>48.8142</v>
      </c>
      <c r="W178" s="70">
        <f>IF(ISERROR(VLOOKUP($T$178,'TAR FIN'!$A$1:$O$85,15,0)),0,VLOOKUP($T$178,'TAR FIN'!$A$1:$O$85,15,0))*(1-0.06)</f>
        <v>72.144999999999996</v>
      </c>
      <c r="X178" s="70">
        <f>IF(ISERROR(VLOOKUP($U$178,'TAR FIN'!$A$1:$O$85,15,0)),0,VLOOKUP($U$178,'TAR FIN'!$A$1:$O$85,15,0))*(1-0.06)</f>
        <v>463.08159999999998</v>
      </c>
      <c r="Y178" s="70">
        <f ca="1">('TUSD BE'!$AM$5+'TUSD BF'!$AM$5+'TUSD CVA'!$AM$5)*1*(1-0.03)</f>
        <v>55.791173854125262</v>
      </c>
      <c r="Z178" s="70">
        <f ca="1">('TUSD BE'!$AM$7+'TUSD BF'!$AM$7+'TUSD CVA'!$AM$7)*1*(1-0.03)</f>
        <v>143.55448214271752</v>
      </c>
      <c r="AA178" s="70">
        <f>('TE BE'!$AB$5+'TE BF'!$AB$5+'TE CVA'!$AB$5)*1*(1-0.03)</f>
        <v>471.29969712597807</v>
      </c>
      <c r="AB178" s="6">
        <f>$K$178*$V$178</f>
        <v>72391.458599999998</v>
      </c>
      <c r="AC178" s="6">
        <f>$M$178*$W$178</f>
        <v>5818.2056699999994</v>
      </c>
      <c r="AD178" s="6">
        <f>$O$178*$X$178</f>
        <v>37345.678713599998</v>
      </c>
      <c r="AE178" s="6">
        <f ca="1">$K$178*$Y$178</f>
        <v>82738.310825667766</v>
      </c>
      <c r="AF178" s="6">
        <f ca="1">$M$178*$Z$178</f>
        <v>11577.094766881597</v>
      </c>
      <c r="AG178" s="6">
        <f>$O$178*$AA$178</f>
        <v>38008.435374421628</v>
      </c>
    </row>
    <row r="179" spans="1:33" ht="11.25" customHeight="1" x14ac:dyDescent="0.25">
      <c r="A179" s="4" t="s">
        <v>21</v>
      </c>
      <c r="B179" s="4" t="s">
        <v>39</v>
      </c>
      <c r="C179" s="4" t="s">
        <v>42</v>
      </c>
      <c r="D179" s="4" t="s">
        <v>49</v>
      </c>
      <c r="E179" s="4" t="s">
        <v>50</v>
      </c>
      <c r="F179" s="4" t="s">
        <v>25</v>
      </c>
      <c r="G179" s="4" t="s">
        <v>25</v>
      </c>
      <c r="H179" s="4" t="s">
        <v>34</v>
      </c>
      <c r="I179" s="5">
        <v>44652</v>
      </c>
      <c r="J179" s="6">
        <v>1463</v>
      </c>
      <c r="K179" s="71">
        <v>1463</v>
      </c>
      <c r="L179" s="6">
        <v>75.522999999999996</v>
      </c>
      <c r="M179" s="70">
        <v>75.522999999999996</v>
      </c>
      <c r="N179" s="6">
        <v>75.522999999999996</v>
      </c>
      <c r="O179" s="70">
        <v>75.522999999999996</v>
      </c>
      <c r="P179" s="6">
        <v>0</v>
      </c>
      <c r="Q179" s="4" t="s">
        <v>26</v>
      </c>
      <c r="R179" s="4">
        <v>0</v>
      </c>
      <c r="S179" s="6">
        <v>1</v>
      </c>
      <c r="T179" s="6">
        <v>3</v>
      </c>
      <c r="U179" s="6">
        <v>48</v>
      </c>
      <c r="V179" s="70">
        <f>IF(ISERROR(VLOOKUP($S$179,'TAR FIN'!$A$1:$O$85,15,0)),0,VLOOKUP($S$179,'TAR FIN'!$A$1:$O$85,15,0))*(1-0.06)</f>
        <v>48.8142</v>
      </c>
      <c r="W179" s="70">
        <f>IF(ISERROR(VLOOKUP($T$179,'TAR FIN'!$A$1:$O$85,15,0)),0,VLOOKUP($T$179,'TAR FIN'!$A$1:$O$85,15,0))*(1-0.06)</f>
        <v>72.144999999999996</v>
      </c>
      <c r="X179" s="70">
        <f>IF(ISERROR(VLOOKUP($U$179,'TAR FIN'!$A$1:$O$85,15,0)),0,VLOOKUP($U$179,'TAR FIN'!$A$1:$O$85,15,0))*(1-0.06)</f>
        <v>463.08159999999998</v>
      </c>
      <c r="Y179" s="70">
        <f ca="1">('TUSD BE'!$AM$5+'TUSD BF'!$AM$5+'TUSD CVA'!$AM$5)*1*(1-0.03)</f>
        <v>55.791173854125262</v>
      </c>
      <c r="Z179" s="70">
        <f ca="1">('TUSD BE'!$AM$7+'TUSD BF'!$AM$7+'TUSD CVA'!$AM$7)*1*(1-0.03)</f>
        <v>143.55448214271752</v>
      </c>
      <c r="AA179" s="70">
        <f>('TE BE'!$AB$5+'TE BF'!$AB$5+'TE CVA'!$AB$5)*1*(1-0.03)</f>
        <v>471.29969712597807</v>
      </c>
      <c r="AB179" s="6">
        <f>$K$179*$V$179</f>
        <v>71415.174599999998</v>
      </c>
      <c r="AC179" s="6">
        <f>$M$179*$W$179</f>
        <v>5448.6068349999996</v>
      </c>
      <c r="AD179" s="6">
        <f>$O$179*$X$179</f>
        <v>34973.311676799996</v>
      </c>
      <c r="AE179" s="6">
        <f ca="1">$K$179*$Y$179</f>
        <v>81622.487348585259</v>
      </c>
      <c r="AF179" s="6">
        <f ca="1">$M$179*$Z$179</f>
        <v>10841.665154864455</v>
      </c>
      <c r="AG179" s="6">
        <f>$O$179*$AA$179</f>
        <v>35593.96702604524</v>
      </c>
    </row>
    <row r="180" spans="1:33" ht="11.25" customHeight="1" x14ac:dyDescent="0.25">
      <c r="A180" s="4" t="s">
        <v>21</v>
      </c>
      <c r="B180" s="4" t="s">
        <v>39</v>
      </c>
      <c r="C180" s="4" t="s">
        <v>42</v>
      </c>
      <c r="D180" s="4" t="s">
        <v>49</v>
      </c>
      <c r="E180" s="4" t="s">
        <v>50</v>
      </c>
      <c r="F180" s="4" t="s">
        <v>25</v>
      </c>
      <c r="G180" s="4" t="s">
        <v>25</v>
      </c>
      <c r="H180" s="4" t="s">
        <v>34</v>
      </c>
      <c r="I180" s="5">
        <v>44682</v>
      </c>
      <c r="J180" s="6">
        <v>1460</v>
      </c>
      <c r="K180" s="71">
        <v>1460</v>
      </c>
      <c r="L180" s="6">
        <v>72.590999999999994</v>
      </c>
      <c r="M180" s="70">
        <v>72.590999999999994</v>
      </c>
      <c r="N180" s="6">
        <v>72.590999999999994</v>
      </c>
      <c r="O180" s="70">
        <v>72.590999999999994</v>
      </c>
      <c r="P180" s="6">
        <v>0</v>
      </c>
      <c r="Q180" s="4" t="s">
        <v>26</v>
      </c>
      <c r="R180" s="4">
        <v>0</v>
      </c>
      <c r="S180" s="6">
        <v>1</v>
      </c>
      <c r="T180" s="6">
        <v>3</v>
      </c>
      <c r="U180" s="6">
        <v>48</v>
      </c>
      <c r="V180" s="70">
        <f>IF(ISERROR(VLOOKUP($S$180,'TAR FIN'!$A$1:$O$85,15,0)),0,VLOOKUP($S$180,'TAR FIN'!$A$1:$O$85,15,0))*(1-0.06)</f>
        <v>48.8142</v>
      </c>
      <c r="W180" s="70">
        <f>IF(ISERROR(VLOOKUP($T$180,'TAR FIN'!$A$1:$O$85,15,0)),0,VLOOKUP($T$180,'TAR FIN'!$A$1:$O$85,15,0))*(1-0.06)</f>
        <v>72.144999999999996</v>
      </c>
      <c r="X180" s="70">
        <f>IF(ISERROR(VLOOKUP($U$180,'TAR FIN'!$A$1:$O$85,15,0)),0,VLOOKUP($U$180,'TAR FIN'!$A$1:$O$85,15,0))*(1-0.06)</f>
        <v>463.08159999999998</v>
      </c>
      <c r="Y180" s="70">
        <f ca="1">('TUSD BE'!$AM$5+'TUSD BF'!$AM$5+'TUSD CVA'!$AM$5)*1*(1-0.03)</f>
        <v>55.791173854125262</v>
      </c>
      <c r="Z180" s="70">
        <f ca="1">('TUSD BE'!$AM$7+'TUSD BF'!$AM$7+'TUSD CVA'!$AM$7)*1*(1-0.03)</f>
        <v>143.55448214271752</v>
      </c>
      <c r="AA180" s="70">
        <f>('TE BE'!$AB$5+'TE BF'!$AB$5+'TE CVA'!$AB$5)*1*(1-0.03)</f>
        <v>471.29969712597807</v>
      </c>
      <c r="AB180" s="6">
        <f>$K$180*$V$180</f>
        <v>71268.732000000004</v>
      </c>
      <c r="AC180" s="6">
        <f>$M$180*$W$180</f>
        <v>5237.077694999999</v>
      </c>
      <c r="AD180" s="6">
        <f>$O$180*$X$180</f>
        <v>33615.556425599993</v>
      </c>
      <c r="AE180" s="6">
        <f ca="1">$K$180*$Y$180</f>
        <v>81455.113827022884</v>
      </c>
      <c r="AF180" s="6">
        <f ca="1">$M$180*$Z$180</f>
        <v>10420.763413222006</v>
      </c>
      <c r="AG180" s="6">
        <f>$O$180*$AA$180</f>
        <v>34212.116314071871</v>
      </c>
    </row>
    <row r="181" spans="1:33" ht="11.25" customHeight="1" x14ac:dyDescent="0.25">
      <c r="A181" s="4" t="s">
        <v>21</v>
      </c>
      <c r="B181" s="4" t="s">
        <v>39</v>
      </c>
      <c r="C181" s="4" t="s">
        <v>42</v>
      </c>
      <c r="D181" s="4" t="s">
        <v>49</v>
      </c>
      <c r="E181" s="4" t="s">
        <v>50</v>
      </c>
      <c r="F181" s="4" t="s">
        <v>25</v>
      </c>
      <c r="G181" s="4" t="s">
        <v>25</v>
      </c>
      <c r="H181" s="4" t="s">
        <v>34</v>
      </c>
      <c r="I181" s="5">
        <v>44713</v>
      </c>
      <c r="J181" s="6">
        <v>1439</v>
      </c>
      <c r="K181" s="71">
        <v>1439</v>
      </c>
      <c r="L181" s="6">
        <v>75.111000000000004</v>
      </c>
      <c r="M181" s="70">
        <v>75.111000000000004</v>
      </c>
      <c r="N181" s="6">
        <v>75.111000000000004</v>
      </c>
      <c r="O181" s="70">
        <v>75.111000000000004</v>
      </c>
      <c r="P181" s="6">
        <v>0</v>
      </c>
      <c r="Q181" s="4" t="s">
        <v>26</v>
      </c>
      <c r="R181" s="4">
        <v>0</v>
      </c>
      <c r="S181" s="6">
        <v>1</v>
      </c>
      <c r="T181" s="6">
        <v>3</v>
      </c>
      <c r="U181" s="6">
        <v>48</v>
      </c>
      <c r="V181" s="70">
        <f>IF(ISERROR(VLOOKUP($S$181,'TAR FIN'!$A$1:$O$85,15,0)),0,VLOOKUP($S$181,'TAR FIN'!$A$1:$O$85,15,0))*(1-0.06)</f>
        <v>48.8142</v>
      </c>
      <c r="W181" s="70">
        <f>IF(ISERROR(VLOOKUP($T$181,'TAR FIN'!$A$1:$O$85,15,0)),0,VLOOKUP($T$181,'TAR FIN'!$A$1:$O$85,15,0))*(1-0.06)</f>
        <v>72.144999999999996</v>
      </c>
      <c r="X181" s="70">
        <f>IF(ISERROR(VLOOKUP($U$181,'TAR FIN'!$A$1:$O$85,15,0)),0,VLOOKUP($U$181,'TAR FIN'!$A$1:$O$85,15,0))*(1-0.06)</f>
        <v>463.08159999999998</v>
      </c>
      <c r="Y181" s="70">
        <f ca="1">('TUSD BE'!$AM$5+'TUSD BF'!$AM$5+'TUSD CVA'!$AM$5)*1*(1-0.03)</f>
        <v>55.791173854125262</v>
      </c>
      <c r="Z181" s="70">
        <f ca="1">('TUSD BE'!$AM$7+'TUSD BF'!$AM$7+'TUSD CVA'!$AM$7)*1*(1-0.03)</f>
        <v>143.55448214271752</v>
      </c>
      <c r="AA181" s="70">
        <f>('TE BE'!$AB$5+'TE BF'!$AB$5+'TE CVA'!$AB$5)*1*(1-0.03)</f>
        <v>471.29969712597807</v>
      </c>
      <c r="AB181" s="6">
        <f>$K$181*$V$181</f>
        <v>70243.633799999996</v>
      </c>
      <c r="AC181" s="6">
        <f>$M$181*$W$181</f>
        <v>5418.8830950000001</v>
      </c>
      <c r="AD181" s="6">
        <f>$O$181*$X$181</f>
        <v>34782.522057599999</v>
      </c>
      <c r="AE181" s="6">
        <f ca="1">$K$181*$Y$181</f>
        <v>80283.499176086247</v>
      </c>
      <c r="AF181" s="6">
        <f ca="1">$M$181*$Z$181</f>
        <v>10782.520708221657</v>
      </c>
      <c r="AG181" s="6">
        <f>$O$181*$AA$181</f>
        <v>35399.791550829344</v>
      </c>
    </row>
    <row r="182" spans="1:33" ht="11.25" customHeight="1" x14ac:dyDescent="0.25">
      <c r="A182" s="4" t="s">
        <v>21</v>
      </c>
      <c r="B182" s="4" t="s">
        <v>39</v>
      </c>
      <c r="C182" s="4" t="s">
        <v>42</v>
      </c>
      <c r="D182" s="4" t="s">
        <v>49</v>
      </c>
      <c r="E182" s="4" t="s">
        <v>50</v>
      </c>
      <c r="F182" s="4" t="s">
        <v>25</v>
      </c>
      <c r="G182" s="4" t="s">
        <v>25</v>
      </c>
      <c r="H182" s="4" t="s">
        <v>34</v>
      </c>
      <c r="I182" s="5">
        <v>44743</v>
      </c>
      <c r="J182" s="6">
        <v>1469</v>
      </c>
      <c r="K182" s="71">
        <v>1469</v>
      </c>
      <c r="L182" s="6">
        <v>76.551000000000002</v>
      </c>
      <c r="M182" s="70">
        <v>76.551000000000002</v>
      </c>
      <c r="N182" s="6">
        <v>76.551000000000002</v>
      </c>
      <c r="O182" s="70">
        <v>76.551000000000002</v>
      </c>
      <c r="P182" s="6">
        <v>0</v>
      </c>
      <c r="Q182" s="4" t="s">
        <v>26</v>
      </c>
      <c r="R182" s="4">
        <v>0</v>
      </c>
      <c r="S182" s="6">
        <v>1</v>
      </c>
      <c r="T182" s="6">
        <v>3</v>
      </c>
      <c r="U182" s="6">
        <v>48</v>
      </c>
      <c r="V182" s="70">
        <f>IF(ISERROR(VLOOKUP($S$182,'TAR FIN'!$A$1:$O$85,15,0)),0,VLOOKUP($S$182,'TAR FIN'!$A$1:$O$85,15,0))*(1-0.06)</f>
        <v>48.8142</v>
      </c>
      <c r="W182" s="70">
        <f>IF(ISERROR(VLOOKUP($T$182,'TAR FIN'!$A$1:$O$85,15,0)),0,VLOOKUP($T$182,'TAR FIN'!$A$1:$O$85,15,0))*(1-0.06)</f>
        <v>72.144999999999996</v>
      </c>
      <c r="X182" s="70">
        <f>IF(ISERROR(VLOOKUP($U$182,'TAR FIN'!$A$1:$O$85,15,0)),0,VLOOKUP($U$182,'TAR FIN'!$A$1:$O$85,15,0))*(1-0.06)</f>
        <v>463.08159999999998</v>
      </c>
      <c r="Y182" s="70">
        <f ca="1">('TUSD BE'!$AM$5+'TUSD BF'!$AM$5+'TUSD CVA'!$AM$5)*1*(1-0.03)</f>
        <v>55.791173854125262</v>
      </c>
      <c r="Z182" s="70">
        <f ca="1">('TUSD BE'!$AM$7+'TUSD BF'!$AM$7+'TUSD CVA'!$AM$7)*1*(1-0.03)</f>
        <v>143.55448214271752</v>
      </c>
      <c r="AA182" s="70">
        <f>('TE BE'!$AB$5+'TE BF'!$AB$5+'TE CVA'!$AB$5)*1*(1-0.03)</f>
        <v>471.29969712597807</v>
      </c>
      <c r="AB182" s="6">
        <f>$K$182*$V$182</f>
        <v>71708.059800000003</v>
      </c>
      <c r="AC182" s="6">
        <f>$M$182*$W$182</f>
        <v>5522.7718949999999</v>
      </c>
      <c r="AD182" s="6">
        <f>$O$182*$X$182</f>
        <v>35449.359561600002</v>
      </c>
      <c r="AE182" s="6">
        <f ca="1">$K$182*$Y$182</f>
        <v>81957.234391710008</v>
      </c>
      <c r="AF182" s="6">
        <f ca="1">$M$182*$Z$182</f>
        <v>10989.239162507169</v>
      </c>
      <c r="AG182" s="6">
        <f>$O$182*$AA$182</f>
        <v>36078.463114690749</v>
      </c>
    </row>
    <row r="183" spans="1:33" ht="11.25" customHeight="1" x14ac:dyDescent="0.25">
      <c r="A183" s="4" t="s">
        <v>56</v>
      </c>
      <c r="B183" s="4" t="s">
        <v>39</v>
      </c>
      <c r="C183" s="4" t="s">
        <v>42</v>
      </c>
      <c r="D183" s="4" t="s">
        <v>49</v>
      </c>
      <c r="E183" s="4" t="s">
        <v>50</v>
      </c>
      <c r="F183" s="4" t="s">
        <v>25</v>
      </c>
      <c r="G183" s="4" t="s">
        <v>25</v>
      </c>
      <c r="H183" s="4" t="s">
        <v>34</v>
      </c>
      <c r="I183" s="5">
        <v>44774</v>
      </c>
      <c r="J183" s="6">
        <v>1469</v>
      </c>
      <c r="K183" s="71">
        <v>1469</v>
      </c>
      <c r="L183" s="6">
        <v>76.551000000000002</v>
      </c>
      <c r="M183" s="70">
        <v>76.551000000000002</v>
      </c>
      <c r="N183" s="6">
        <v>76.551000000000002</v>
      </c>
      <c r="O183" s="70">
        <v>76.551000000000002</v>
      </c>
      <c r="P183" s="6">
        <v>0</v>
      </c>
      <c r="Q183" s="4" t="s">
        <v>26</v>
      </c>
      <c r="R183" s="4">
        <v>0</v>
      </c>
      <c r="S183" s="6">
        <v>1</v>
      </c>
      <c r="T183" s="6">
        <v>3</v>
      </c>
      <c r="U183" s="6">
        <v>48</v>
      </c>
      <c r="V183" s="70">
        <f>IF(ISERROR(VLOOKUP($S$183,'TAR FIN'!$A$1:$O$85,15,0)),0,VLOOKUP($S$183,'TAR FIN'!$A$1:$O$85,15,0))*(1-0.06)</f>
        <v>48.8142</v>
      </c>
      <c r="W183" s="70">
        <f>IF(ISERROR(VLOOKUP($T$183,'TAR FIN'!$A$1:$O$85,15,0)),0,VLOOKUP($T$183,'TAR FIN'!$A$1:$O$85,15,0))*(1-0.06)</f>
        <v>72.144999999999996</v>
      </c>
      <c r="X183" s="70">
        <f>IF(ISERROR(VLOOKUP($U$183,'TAR FIN'!$A$1:$O$85,15,0)),0,VLOOKUP($U$183,'TAR FIN'!$A$1:$O$85,15,0))*(1-0.06)</f>
        <v>463.08159999999998</v>
      </c>
      <c r="Y183" s="70">
        <f ca="1">('TUSD BE'!$AM$5+'TUSD BF'!$AM$5+'TUSD CVA'!$AM$5)*1*(1-0.03)</f>
        <v>55.791173854125262</v>
      </c>
      <c r="Z183" s="70">
        <f ca="1">('TUSD BE'!$AM$7+'TUSD BF'!$AM$7+'TUSD CVA'!$AM$7)*1*(1-0.03)</f>
        <v>143.55448214271752</v>
      </c>
      <c r="AA183" s="70">
        <f>('TE BE'!$AB$5+'TE BF'!$AB$5+'TE CVA'!$AB$5)*1*(1-0.03)</f>
        <v>471.29969712597807</v>
      </c>
      <c r="AB183" s="6">
        <f>$K$183*$V$183</f>
        <v>71708.059800000003</v>
      </c>
      <c r="AC183" s="6">
        <f>$M$183*$W$183</f>
        <v>5522.7718949999999</v>
      </c>
      <c r="AD183" s="6">
        <f>$O$183*$X$183</f>
        <v>35449.359561600002</v>
      </c>
      <c r="AE183" s="6">
        <f ca="1">$K$183*$Y$183</f>
        <v>81957.234391710008</v>
      </c>
      <c r="AF183" s="6">
        <f ca="1">$M$183*$Z$183</f>
        <v>10989.239162507169</v>
      </c>
      <c r="AG183" s="6">
        <f>$O$183*$AA$183</f>
        <v>36078.463114690749</v>
      </c>
    </row>
    <row r="184" spans="1:33" ht="11.25" customHeight="1" x14ac:dyDescent="0.25">
      <c r="A184" s="4" t="s">
        <v>21</v>
      </c>
      <c r="B184" s="4" t="s">
        <v>39</v>
      </c>
      <c r="C184" s="4" t="s">
        <v>59</v>
      </c>
      <c r="D184" s="4" t="s">
        <v>25</v>
      </c>
      <c r="E184" s="4" t="s">
        <v>25</v>
      </c>
      <c r="F184" s="4" t="s">
        <v>25</v>
      </c>
      <c r="G184" s="4" t="s">
        <v>60</v>
      </c>
      <c r="H184" s="4" t="s">
        <v>25</v>
      </c>
      <c r="I184" s="5">
        <v>44440</v>
      </c>
      <c r="J184" s="6">
        <v>900</v>
      </c>
      <c r="K184" s="6">
        <v>450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61</v>
      </c>
      <c r="S184" s="6">
        <v>5</v>
      </c>
      <c r="T184" s="6">
        <v>0</v>
      </c>
      <c r="U184" s="6">
        <v>0</v>
      </c>
      <c r="V184" s="6">
        <f>IF(ISERROR(VLOOKUP($S$184,'TAR FIN'!$A$1:$O$85,15,0)),0,VLOOKUP($S$184,'TAR FIN'!$A$1:$O$85,15,0))</f>
        <v>11.13</v>
      </c>
      <c r="W184" s="6">
        <f>IF(ISERROR(VLOOKUP($T$184,'TAR FIN'!$A$1:$O$85,15,0)),0,VLOOKUP($T$184,'TAR FIN'!$A$1:$O$85,15,0))</f>
        <v>0</v>
      </c>
      <c r="X184" s="6">
        <f>IF(ISERROR(VLOOKUP($U$184,'TAR FIN'!$A$1:$O$85,15,0)),0,VLOOKUP($U$184,'TAR FIN'!$A$1:$O$85,15,0))</f>
        <v>0</v>
      </c>
      <c r="Y184" s="6">
        <f ca="1">('TUSD BE'!$AM$9+'TUSD BF'!$AM$9+'TUSD CVA'!$AM$9)*1</f>
        <v>11.800643871721787</v>
      </c>
      <c r="Z184" s="6"/>
      <c r="AA184" s="6"/>
      <c r="AB184" s="6">
        <f>$K$184*$V$184</f>
        <v>5008.5</v>
      </c>
      <c r="AC184" s="6">
        <f>$M$184*$W$184</f>
        <v>0</v>
      </c>
      <c r="AD184" s="6">
        <f>$O$184*$X$184</f>
        <v>0</v>
      </c>
      <c r="AE184" s="6">
        <f ca="1">$K$184*$Y$184</f>
        <v>5310.2897422748047</v>
      </c>
      <c r="AF184" s="6">
        <f>$M$184*$Z$184</f>
        <v>0</v>
      </c>
      <c r="AG184" s="6">
        <f>$O$184*$AA$184</f>
        <v>0</v>
      </c>
    </row>
    <row r="185" spans="1:33" ht="11.25" customHeight="1" x14ac:dyDescent="0.25">
      <c r="A185" s="4" t="s">
        <v>21</v>
      </c>
      <c r="B185" s="4" t="s">
        <v>39</v>
      </c>
      <c r="C185" s="4" t="s">
        <v>59</v>
      </c>
      <c r="D185" s="4" t="s">
        <v>25</v>
      </c>
      <c r="E185" s="4" t="s">
        <v>25</v>
      </c>
      <c r="F185" s="4" t="s">
        <v>25</v>
      </c>
      <c r="G185" s="4" t="s">
        <v>62</v>
      </c>
      <c r="H185" s="4" t="s">
        <v>25</v>
      </c>
      <c r="I185" s="5">
        <v>44440</v>
      </c>
      <c r="J185" s="6">
        <v>206</v>
      </c>
      <c r="K185" s="6">
        <v>103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61</v>
      </c>
      <c r="R185" s="4">
        <v>491</v>
      </c>
      <c r="S185" s="6">
        <v>5</v>
      </c>
      <c r="T185" s="6">
        <v>0</v>
      </c>
      <c r="U185" s="6">
        <v>0</v>
      </c>
      <c r="V185" s="6">
        <f>IF(ISERROR(VLOOKUP($S$185,'TAR FIN'!$A$1:$O$85,15,0)),0,VLOOKUP($S$185,'TAR FIN'!$A$1:$O$85,15,0))</f>
        <v>11.13</v>
      </c>
      <c r="W185" s="6">
        <f>IF(ISERROR(VLOOKUP($T$185,'TAR FIN'!$A$1:$O$85,15,0)),0,VLOOKUP($T$185,'TAR FIN'!$A$1:$O$85,15,0))</f>
        <v>0</v>
      </c>
      <c r="X185" s="6">
        <f>IF(ISERROR(VLOOKUP($U$185,'TAR FIN'!$A$1:$O$85,15,0)),0,VLOOKUP($U$185,'TAR FIN'!$A$1:$O$85,15,0))</f>
        <v>0</v>
      </c>
      <c r="Y185" s="6">
        <f ca="1">('TUSD BE'!$AM$9+'TUSD BF'!$AM$9+'TUSD CVA'!$AM$9)*1</f>
        <v>11.800643871721787</v>
      </c>
      <c r="Z185" s="6"/>
      <c r="AA185" s="6"/>
      <c r="AB185" s="6">
        <f>$K$185*$V$185</f>
        <v>1146.3900000000001</v>
      </c>
      <c r="AC185" s="6">
        <f>$M$185*$W$185</f>
        <v>0</v>
      </c>
      <c r="AD185" s="6">
        <f>$O$185*$X$185</f>
        <v>0</v>
      </c>
      <c r="AE185" s="6">
        <f ca="1">$K$185*$Y$185</f>
        <v>1215.4663187873441</v>
      </c>
      <c r="AF185" s="6">
        <f>$M$185*$Z$185</f>
        <v>0</v>
      </c>
      <c r="AG185" s="6">
        <f>$O$185*$AA$185</f>
        <v>0</v>
      </c>
    </row>
    <row r="186" spans="1:33" ht="11.25" customHeight="1" x14ac:dyDescent="0.25">
      <c r="A186" s="4" t="s">
        <v>21</v>
      </c>
      <c r="B186" s="4" t="s">
        <v>39</v>
      </c>
      <c r="C186" s="4" t="s">
        <v>59</v>
      </c>
      <c r="D186" s="4" t="s">
        <v>25</v>
      </c>
      <c r="E186" s="4" t="s">
        <v>25</v>
      </c>
      <c r="F186" s="4" t="s">
        <v>25</v>
      </c>
      <c r="G186" s="4" t="s">
        <v>63</v>
      </c>
      <c r="H186" s="4" t="s">
        <v>25</v>
      </c>
      <c r="I186" s="5">
        <v>44440</v>
      </c>
      <c r="J186" s="6">
        <v>240</v>
      </c>
      <c r="K186" s="6">
        <v>120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61</v>
      </c>
      <c r="R186" s="4">
        <v>27182</v>
      </c>
      <c r="S186" s="6">
        <v>5</v>
      </c>
      <c r="T186" s="6">
        <v>0</v>
      </c>
      <c r="U186" s="6">
        <v>0</v>
      </c>
      <c r="V186" s="6">
        <f>IF(ISERROR(VLOOKUP($S$186,'TAR FIN'!$A$1:$O$85,15,0)),0,VLOOKUP($S$186,'TAR FIN'!$A$1:$O$85,15,0))</f>
        <v>11.13</v>
      </c>
      <c r="W186" s="6">
        <f>IF(ISERROR(VLOOKUP($T$186,'TAR FIN'!$A$1:$O$85,15,0)),0,VLOOKUP($T$186,'TAR FIN'!$A$1:$O$85,15,0))</f>
        <v>0</v>
      </c>
      <c r="X186" s="6">
        <f>IF(ISERROR(VLOOKUP($U$186,'TAR FIN'!$A$1:$O$85,15,0)),0,VLOOKUP($U$186,'TAR FIN'!$A$1:$O$85,15,0))</f>
        <v>0</v>
      </c>
      <c r="Y186" s="6">
        <f ca="1">('TUSD BE'!$AM$9+'TUSD BF'!$AM$9+'TUSD CVA'!$AM$9)*1</f>
        <v>11.800643871721787</v>
      </c>
      <c r="Z186" s="6"/>
      <c r="AA186" s="6"/>
      <c r="AB186" s="6">
        <f>$K$186*$V$186</f>
        <v>1335.6000000000001</v>
      </c>
      <c r="AC186" s="6">
        <f>$M$186*$W$186</f>
        <v>0</v>
      </c>
      <c r="AD186" s="6">
        <f>$O$186*$X$186</f>
        <v>0</v>
      </c>
      <c r="AE186" s="6">
        <f ca="1">$K$186*$Y$186</f>
        <v>1416.0772646066146</v>
      </c>
      <c r="AF186" s="6">
        <f>$M$186*$Z$186</f>
        <v>0</v>
      </c>
      <c r="AG186" s="6">
        <f>$O$186*$AA$186</f>
        <v>0</v>
      </c>
    </row>
    <row r="187" spans="1:33" ht="11.25" customHeight="1" x14ac:dyDescent="0.25">
      <c r="A187" s="4" t="s">
        <v>21</v>
      </c>
      <c r="B187" s="4" t="s">
        <v>39</v>
      </c>
      <c r="C187" s="4" t="s">
        <v>59</v>
      </c>
      <c r="D187" s="4" t="s">
        <v>25</v>
      </c>
      <c r="E187" s="4" t="s">
        <v>25</v>
      </c>
      <c r="F187" s="4" t="s">
        <v>25</v>
      </c>
      <c r="G187" s="4" t="s">
        <v>60</v>
      </c>
      <c r="H187" s="4" t="s">
        <v>25</v>
      </c>
      <c r="I187" s="5">
        <v>44470</v>
      </c>
      <c r="J187" s="6">
        <v>900</v>
      </c>
      <c r="K187" s="6">
        <v>450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61</v>
      </c>
      <c r="S187" s="6">
        <v>5</v>
      </c>
      <c r="T187" s="6">
        <v>0</v>
      </c>
      <c r="U187" s="6">
        <v>0</v>
      </c>
      <c r="V187" s="6">
        <f>IF(ISERROR(VLOOKUP($S$187,'TAR FIN'!$A$1:$O$85,15,0)),0,VLOOKUP($S$187,'TAR FIN'!$A$1:$O$85,15,0))</f>
        <v>11.13</v>
      </c>
      <c r="W187" s="6">
        <f>IF(ISERROR(VLOOKUP($T$187,'TAR FIN'!$A$1:$O$85,15,0)),0,VLOOKUP($T$187,'TAR FIN'!$A$1:$O$85,15,0))</f>
        <v>0</v>
      </c>
      <c r="X187" s="6">
        <f>IF(ISERROR(VLOOKUP($U$187,'TAR FIN'!$A$1:$O$85,15,0)),0,VLOOKUP($U$187,'TAR FIN'!$A$1:$O$85,15,0))</f>
        <v>0</v>
      </c>
      <c r="Y187" s="6">
        <f ca="1">('TUSD BE'!$AM$9+'TUSD BF'!$AM$9+'TUSD CVA'!$AM$9)*1</f>
        <v>11.800643871721787</v>
      </c>
      <c r="Z187" s="6"/>
      <c r="AA187" s="6"/>
      <c r="AB187" s="6">
        <f>$K$187*$V$187</f>
        <v>5008.5</v>
      </c>
      <c r="AC187" s="6">
        <f>$M$187*$W$187</f>
        <v>0</v>
      </c>
      <c r="AD187" s="6">
        <f>$O$187*$X$187</f>
        <v>0</v>
      </c>
      <c r="AE187" s="6">
        <f ca="1">$K$187*$Y$187</f>
        <v>5310.2897422748047</v>
      </c>
      <c r="AF187" s="6">
        <f>$M$187*$Z$187</f>
        <v>0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39</v>
      </c>
      <c r="C188" s="4" t="s">
        <v>59</v>
      </c>
      <c r="D188" s="4" t="s">
        <v>25</v>
      </c>
      <c r="E188" s="4" t="s">
        <v>25</v>
      </c>
      <c r="F188" s="4" t="s">
        <v>25</v>
      </c>
      <c r="G188" s="4" t="s">
        <v>62</v>
      </c>
      <c r="H188" s="4" t="s">
        <v>25</v>
      </c>
      <c r="I188" s="5">
        <v>44470</v>
      </c>
      <c r="J188" s="6">
        <v>206</v>
      </c>
      <c r="K188" s="6">
        <v>103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61</v>
      </c>
      <c r="R188" s="4">
        <v>491</v>
      </c>
      <c r="S188" s="6">
        <v>5</v>
      </c>
      <c r="T188" s="6">
        <v>0</v>
      </c>
      <c r="U188" s="6">
        <v>0</v>
      </c>
      <c r="V188" s="6">
        <f>IF(ISERROR(VLOOKUP($S$188,'TAR FIN'!$A$1:$O$85,15,0)),0,VLOOKUP($S$188,'TAR FIN'!$A$1:$O$85,15,0))</f>
        <v>11.13</v>
      </c>
      <c r="W188" s="6">
        <f>IF(ISERROR(VLOOKUP($T$188,'TAR FIN'!$A$1:$O$85,15,0)),0,VLOOKUP($T$188,'TAR FIN'!$A$1:$O$85,15,0))</f>
        <v>0</v>
      </c>
      <c r="X188" s="6">
        <f>IF(ISERROR(VLOOKUP($U$188,'TAR FIN'!$A$1:$O$85,15,0)),0,VLOOKUP($U$188,'TAR FIN'!$A$1:$O$85,15,0))</f>
        <v>0</v>
      </c>
      <c r="Y188" s="6">
        <f ca="1">('TUSD BE'!$AM$9+'TUSD BF'!$AM$9+'TUSD CVA'!$AM$9)*1</f>
        <v>11.800643871721787</v>
      </c>
      <c r="Z188" s="6"/>
      <c r="AA188" s="6"/>
      <c r="AB188" s="6">
        <f>$K$188*$V$188</f>
        <v>1146.3900000000001</v>
      </c>
      <c r="AC188" s="6">
        <f>$M$188*$W$188</f>
        <v>0</v>
      </c>
      <c r="AD188" s="6">
        <f>$O$188*$X$188</f>
        <v>0</v>
      </c>
      <c r="AE188" s="6">
        <f ca="1">$K$188*$Y$188</f>
        <v>1215.4663187873441</v>
      </c>
      <c r="AF188" s="6">
        <f>$M$188*$Z$188</f>
        <v>0</v>
      </c>
      <c r="AG188" s="6">
        <f>$O$188*$AA$188</f>
        <v>0</v>
      </c>
    </row>
    <row r="189" spans="1:33" ht="11.25" customHeight="1" x14ac:dyDescent="0.25">
      <c r="A189" s="4" t="s">
        <v>21</v>
      </c>
      <c r="B189" s="4" t="s">
        <v>39</v>
      </c>
      <c r="C189" s="4" t="s">
        <v>59</v>
      </c>
      <c r="D189" s="4" t="s">
        <v>25</v>
      </c>
      <c r="E189" s="4" t="s">
        <v>25</v>
      </c>
      <c r="F189" s="4" t="s">
        <v>25</v>
      </c>
      <c r="G189" s="4" t="s">
        <v>63</v>
      </c>
      <c r="H189" s="4" t="s">
        <v>25</v>
      </c>
      <c r="I189" s="5">
        <v>44470</v>
      </c>
      <c r="J189" s="6">
        <v>240</v>
      </c>
      <c r="K189" s="6">
        <v>120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61</v>
      </c>
      <c r="R189" s="4">
        <v>27182</v>
      </c>
      <c r="S189" s="6">
        <v>5</v>
      </c>
      <c r="T189" s="6">
        <v>0</v>
      </c>
      <c r="U189" s="6">
        <v>0</v>
      </c>
      <c r="V189" s="6">
        <f>IF(ISERROR(VLOOKUP($S$189,'TAR FIN'!$A$1:$O$85,15,0)),0,VLOOKUP($S$189,'TAR FIN'!$A$1:$O$85,15,0))</f>
        <v>11.13</v>
      </c>
      <c r="W189" s="6">
        <f>IF(ISERROR(VLOOKUP($T$189,'TAR FIN'!$A$1:$O$85,15,0)),0,VLOOKUP($T$189,'TAR FIN'!$A$1:$O$85,15,0))</f>
        <v>0</v>
      </c>
      <c r="X189" s="6">
        <f>IF(ISERROR(VLOOKUP($U$189,'TAR FIN'!$A$1:$O$85,15,0)),0,VLOOKUP($U$189,'TAR FIN'!$A$1:$O$85,15,0))</f>
        <v>0</v>
      </c>
      <c r="Y189" s="6">
        <f ca="1">('TUSD BE'!$AM$9+'TUSD BF'!$AM$9+'TUSD CVA'!$AM$9)*1</f>
        <v>11.800643871721787</v>
      </c>
      <c r="Z189" s="6"/>
      <c r="AA189" s="6"/>
      <c r="AB189" s="6">
        <f>$K$189*$V$189</f>
        <v>1335.6000000000001</v>
      </c>
      <c r="AC189" s="6">
        <f>$M$189*$W$189</f>
        <v>0</v>
      </c>
      <c r="AD189" s="6">
        <f>$O$189*$X$189</f>
        <v>0</v>
      </c>
      <c r="AE189" s="6">
        <f ca="1">$K$189*$Y$189</f>
        <v>1416.0772646066146</v>
      </c>
      <c r="AF189" s="6">
        <f>$M$189*$Z$189</f>
        <v>0</v>
      </c>
      <c r="AG189" s="6">
        <f>$O$189*$AA$189</f>
        <v>0</v>
      </c>
    </row>
    <row r="190" spans="1:33" ht="11.25" customHeight="1" x14ac:dyDescent="0.25">
      <c r="A190" s="4" t="s">
        <v>21</v>
      </c>
      <c r="B190" s="4" t="s">
        <v>39</v>
      </c>
      <c r="C190" s="4" t="s">
        <v>59</v>
      </c>
      <c r="D190" s="4" t="s">
        <v>25</v>
      </c>
      <c r="E190" s="4" t="s">
        <v>25</v>
      </c>
      <c r="F190" s="4" t="s">
        <v>25</v>
      </c>
      <c r="G190" s="4" t="s">
        <v>60</v>
      </c>
      <c r="H190" s="4" t="s">
        <v>25</v>
      </c>
      <c r="I190" s="5">
        <v>44501</v>
      </c>
      <c r="J190" s="6">
        <v>900</v>
      </c>
      <c r="K190" s="6">
        <v>450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61</v>
      </c>
      <c r="S190" s="6">
        <v>5</v>
      </c>
      <c r="T190" s="6">
        <v>0</v>
      </c>
      <c r="U190" s="6">
        <v>0</v>
      </c>
      <c r="V190" s="6">
        <f>IF(ISERROR(VLOOKUP($S$190,'TAR FIN'!$A$1:$O$85,15,0)),0,VLOOKUP($S$190,'TAR FIN'!$A$1:$O$85,15,0))</f>
        <v>11.13</v>
      </c>
      <c r="W190" s="6">
        <f>IF(ISERROR(VLOOKUP($T$190,'TAR FIN'!$A$1:$O$85,15,0)),0,VLOOKUP($T$190,'TAR FIN'!$A$1:$O$85,15,0))</f>
        <v>0</v>
      </c>
      <c r="X190" s="6">
        <f>IF(ISERROR(VLOOKUP($U$190,'TAR FIN'!$A$1:$O$85,15,0)),0,VLOOKUP($U$190,'TAR FIN'!$A$1:$O$85,15,0))</f>
        <v>0</v>
      </c>
      <c r="Y190" s="6">
        <f ca="1">('TUSD BE'!$AM$9+'TUSD BF'!$AM$9+'TUSD CVA'!$AM$9)*1</f>
        <v>11.800643871721787</v>
      </c>
      <c r="Z190" s="6"/>
      <c r="AA190" s="6"/>
      <c r="AB190" s="6">
        <f>$K$190*$V$190</f>
        <v>5008.5</v>
      </c>
      <c r="AC190" s="6">
        <f>$M$190*$W$190</f>
        <v>0</v>
      </c>
      <c r="AD190" s="6">
        <f>$O$190*$X$190</f>
        <v>0</v>
      </c>
      <c r="AE190" s="6">
        <f ca="1">$K$190*$Y$190</f>
        <v>5310.2897422748047</v>
      </c>
      <c r="AF190" s="6">
        <f>$M$190*$Z$190</f>
        <v>0</v>
      </c>
      <c r="AG190" s="6">
        <f>$O$190*$AA$190</f>
        <v>0</v>
      </c>
    </row>
    <row r="191" spans="1:33" ht="11.25" customHeight="1" x14ac:dyDescent="0.25">
      <c r="A191" s="4" t="s">
        <v>21</v>
      </c>
      <c r="B191" s="4" t="s">
        <v>39</v>
      </c>
      <c r="C191" s="4" t="s">
        <v>59</v>
      </c>
      <c r="D191" s="4" t="s">
        <v>25</v>
      </c>
      <c r="E191" s="4" t="s">
        <v>25</v>
      </c>
      <c r="F191" s="4" t="s">
        <v>25</v>
      </c>
      <c r="G191" s="4" t="s">
        <v>62</v>
      </c>
      <c r="H191" s="4" t="s">
        <v>25</v>
      </c>
      <c r="I191" s="5">
        <v>44501</v>
      </c>
      <c r="J191" s="6">
        <v>206</v>
      </c>
      <c r="K191" s="6">
        <v>103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61</v>
      </c>
      <c r="R191" s="4">
        <v>491</v>
      </c>
      <c r="S191" s="6">
        <v>5</v>
      </c>
      <c r="T191" s="6">
        <v>0</v>
      </c>
      <c r="U191" s="6">
        <v>0</v>
      </c>
      <c r="V191" s="6">
        <f>IF(ISERROR(VLOOKUP($S$191,'TAR FIN'!$A$1:$O$85,15,0)),0,VLOOKUP($S$191,'TAR FIN'!$A$1:$O$85,15,0))</f>
        <v>11.13</v>
      </c>
      <c r="W191" s="6">
        <f>IF(ISERROR(VLOOKUP($T$191,'TAR FIN'!$A$1:$O$85,15,0)),0,VLOOKUP($T$191,'TAR FIN'!$A$1:$O$85,15,0))</f>
        <v>0</v>
      </c>
      <c r="X191" s="6">
        <f>IF(ISERROR(VLOOKUP($U$191,'TAR FIN'!$A$1:$O$85,15,0)),0,VLOOKUP($U$191,'TAR FIN'!$A$1:$O$85,15,0))</f>
        <v>0</v>
      </c>
      <c r="Y191" s="6">
        <f ca="1">('TUSD BE'!$AM$9+'TUSD BF'!$AM$9+'TUSD CVA'!$AM$9)*1</f>
        <v>11.800643871721787</v>
      </c>
      <c r="Z191" s="6"/>
      <c r="AA191" s="6"/>
      <c r="AB191" s="6">
        <f>$K$191*$V$191</f>
        <v>1146.3900000000001</v>
      </c>
      <c r="AC191" s="6">
        <f>$M$191*$W$191</f>
        <v>0</v>
      </c>
      <c r="AD191" s="6">
        <f>$O$191*$X$191</f>
        <v>0</v>
      </c>
      <c r="AE191" s="6">
        <f ca="1">$K$191*$Y$191</f>
        <v>1215.4663187873441</v>
      </c>
      <c r="AF191" s="6">
        <f>$M$191*$Z$191</f>
        <v>0</v>
      </c>
      <c r="AG191" s="6">
        <f>$O$191*$AA$191</f>
        <v>0</v>
      </c>
    </row>
    <row r="192" spans="1:33" ht="11.25" customHeight="1" x14ac:dyDescent="0.25">
      <c r="A192" s="4" t="s">
        <v>21</v>
      </c>
      <c r="B192" s="4" t="s">
        <v>39</v>
      </c>
      <c r="C192" s="4" t="s">
        <v>59</v>
      </c>
      <c r="D192" s="4" t="s">
        <v>25</v>
      </c>
      <c r="E192" s="4" t="s">
        <v>25</v>
      </c>
      <c r="F192" s="4" t="s">
        <v>25</v>
      </c>
      <c r="G192" s="4" t="s">
        <v>63</v>
      </c>
      <c r="H192" s="4" t="s">
        <v>25</v>
      </c>
      <c r="I192" s="5">
        <v>44501</v>
      </c>
      <c r="J192" s="6">
        <v>240</v>
      </c>
      <c r="K192" s="6">
        <v>120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61</v>
      </c>
      <c r="R192" s="4">
        <v>27182</v>
      </c>
      <c r="S192" s="6">
        <v>5</v>
      </c>
      <c r="T192" s="6">
        <v>0</v>
      </c>
      <c r="U192" s="6">
        <v>0</v>
      </c>
      <c r="V192" s="6">
        <f>IF(ISERROR(VLOOKUP($S$192,'TAR FIN'!$A$1:$O$85,15,0)),0,VLOOKUP($S$192,'TAR FIN'!$A$1:$O$85,15,0))</f>
        <v>11.13</v>
      </c>
      <c r="W192" s="6">
        <f>IF(ISERROR(VLOOKUP($T$192,'TAR FIN'!$A$1:$O$85,15,0)),0,VLOOKUP($T$192,'TAR FIN'!$A$1:$O$85,15,0))</f>
        <v>0</v>
      </c>
      <c r="X192" s="6">
        <f>IF(ISERROR(VLOOKUP($U$192,'TAR FIN'!$A$1:$O$85,15,0)),0,VLOOKUP($U$192,'TAR FIN'!$A$1:$O$85,15,0))</f>
        <v>0</v>
      </c>
      <c r="Y192" s="6">
        <f ca="1">('TUSD BE'!$AM$9+'TUSD BF'!$AM$9+'TUSD CVA'!$AM$9)*1</f>
        <v>11.800643871721787</v>
      </c>
      <c r="Z192" s="6"/>
      <c r="AA192" s="6"/>
      <c r="AB192" s="6">
        <f>$K$192*$V$192</f>
        <v>1335.6000000000001</v>
      </c>
      <c r="AC192" s="6">
        <f>$M$192*$W$192</f>
        <v>0</v>
      </c>
      <c r="AD192" s="6">
        <f>$O$192*$X$192</f>
        <v>0</v>
      </c>
      <c r="AE192" s="6">
        <f ca="1">$K$192*$Y$192</f>
        <v>1416.0772646066146</v>
      </c>
      <c r="AF192" s="6">
        <f>$M$192*$Z$192</f>
        <v>0</v>
      </c>
      <c r="AG192" s="6">
        <f>$O$192*$AA$192</f>
        <v>0</v>
      </c>
    </row>
    <row r="193" spans="1:33" ht="11.25" customHeight="1" x14ac:dyDescent="0.25">
      <c r="A193" s="4" t="s">
        <v>21</v>
      </c>
      <c r="B193" s="4" t="s">
        <v>39</v>
      </c>
      <c r="C193" s="4" t="s">
        <v>59</v>
      </c>
      <c r="D193" s="4" t="s">
        <v>25</v>
      </c>
      <c r="E193" s="4" t="s">
        <v>25</v>
      </c>
      <c r="F193" s="4" t="s">
        <v>25</v>
      </c>
      <c r="G193" s="4" t="s">
        <v>60</v>
      </c>
      <c r="H193" s="4" t="s">
        <v>25</v>
      </c>
      <c r="I193" s="5">
        <v>44531</v>
      </c>
      <c r="J193" s="6">
        <v>900</v>
      </c>
      <c r="K193" s="6">
        <v>450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61</v>
      </c>
      <c r="S193" s="6">
        <v>5</v>
      </c>
      <c r="T193" s="6">
        <v>0</v>
      </c>
      <c r="U193" s="6">
        <v>0</v>
      </c>
      <c r="V193" s="6">
        <f>IF(ISERROR(VLOOKUP($S$193,'TAR FIN'!$A$1:$O$85,15,0)),0,VLOOKUP($S$193,'TAR FIN'!$A$1:$O$85,15,0))</f>
        <v>11.13</v>
      </c>
      <c r="W193" s="6">
        <f>IF(ISERROR(VLOOKUP($T$193,'TAR FIN'!$A$1:$O$85,15,0)),0,VLOOKUP($T$193,'TAR FIN'!$A$1:$O$85,15,0))</f>
        <v>0</v>
      </c>
      <c r="X193" s="6">
        <f>IF(ISERROR(VLOOKUP($U$193,'TAR FIN'!$A$1:$O$85,15,0)),0,VLOOKUP($U$193,'TAR FIN'!$A$1:$O$85,15,0))</f>
        <v>0</v>
      </c>
      <c r="Y193" s="6">
        <f ca="1">('TUSD BE'!$AM$9+'TUSD BF'!$AM$9+'TUSD CVA'!$AM$9)*1</f>
        <v>11.800643871721787</v>
      </c>
      <c r="Z193" s="6"/>
      <c r="AA193" s="6"/>
      <c r="AB193" s="6">
        <f>$K$193*$V$193</f>
        <v>5008.5</v>
      </c>
      <c r="AC193" s="6">
        <f>$M$193*$W$193</f>
        <v>0</v>
      </c>
      <c r="AD193" s="6">
        <f>$O$193*$X$193</f>
        <v>0</v>
      </c>
      <c r="AE193" s="6">
        <f ca="1">$K$193*$Y$193</f>
        <v>5310.2897422748047</v>
      </c>
      <c r="AF193" s="6">
        <f>$M$193*$Z$193</f>
        <v>0</v>
      </c>
      <c r="AG193" s="6">
        <f>$O$193*$AA$193</f>
        <v>0</v>
      </c>
    </row>
    <row r="194" spans="1:33" ht="11.25" customHeight="1" x14ac:dyDescent="0.25">
      <c r="A194" s="4" t="s">
        <v>21</v>
      </c>
      <c r="B194" s="4" t="s">
        <v>39</v>
      </c>
      <c r="C194" s="4" t="s">
        <v>59</v>
      </c>
      <c r="D194" s="4" t="s">
        <v>25</v>
      </c>
      <c r="E194" s="4" t="s">
        <v>25</v>
      </c>
      <c r="F194" s="4" t="s">
        <v>25</v>
      </c>
      <c r="G194" s="4" t="s">
        <v>62</v>
      </c>
      <c r="H194" s="4" t="s">
        <v>25</v>
      </c>
      <c r="I194" s="5">
        <v>44531</v>
      </c>
      <c r="J194" s="6">
        <v>206</v>
      </c>
      <c r="K194" s="6">
        <v>103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4" t="s">
        <v>61</v>
      </c>
      <c r="R194" s="4">
        <v>491</v>
      </c>
      <c r="S194" s="6">
        <v>5</v>
      </c>
      <c r="T194" s="6">
        <v>0</v>
      </c>
      <c r="U194" s="6">
        <v>0</v>
      </c>
      <c r="V194" s="6">
        <f>IF(ISERROR(VLOOKUP($S$194,'TAR FIN'!$A$1:$O$85,15,0)),0,VLOOKUP($S$194,'TAR FIN'!$A$1:$O$85,15,0))</f>
        <v>11.13</v>
      </c>
      <c r="W194" s="6">
        <f>IF(ISERROR(VLOOKUP($T$194,'TAR FIN'!$A$1:$O$85,15,0)),0,VLOOKUP($T$194,'TAR FIN'!$A$1:$O$85,15,0))</f>
        <v>0</v>
      </c>
      <c r="X194" s="6">
        <f>IF(ISERROR(VLOOKUP($U$194,'TAR FIN'!$A$1:$O$85,15,0)),0,VLOOKUP($U$194,'TAR FIN'!$A$1:$O$85,15,0))</f>
        <v>0</v>
      </c>
      <c r="Y194" s="6">
        <f ca="1">('TUSD BE'!$AM$9+'TUSD BF'!$AM$9+'TUSD CVA'!$AM$9)*1</f>
        <v>11.800643871721787</v>
      </c>
      <c r="Z194" s="6"/>
      <c r="AA194" s="6"/>
      <c r="AB194" s="6">
        <f>$K$194*$V$194</f>
        <v>1146.3900000000001</v>
      </c>
      <c r="AC194" s="6">
        <f>$M$194*$W$194</f>
        <v>0</v>
      </c>
      <c r="AD194" s="6">
        <f>$O$194*$X$194</f>
        <v>0</v>
      </c>
      <c r="AE194" s="6">
        <f ca="1">$K$194*$Y$194</f>
        <v>1215.4663187873441</v>
      </c>
      <c r="AF194" s="6">
        <f>$M$194*$Z$194</f>
        <v>0</v>
      </c>
      <c r="AG194" s="6">
        <f>$O$194*$AA$194</f>
        <v>0</v>
      </c>
    </row>
    <row r="195" spans="1:33" ht="11.25" customHeight="1" x14ac:dyDescent="0.25">
      <c r="A195" s="4" t="s">
        <v>21</v>
      </c>
      <c r="B195" s="4" t="s">
        <v>39</v>
      </c>
      <c r="C195" s="4" t="s">
        <v>59</v>
      </c>
      <c r="D195" s="4" t="s">
        <v>25</v>
      </c>
      <c r="E195" s="4" t="s">
        <v>25</v>
      </c>
      <c r="F195" s="4" t="s">
        <v>25</v>
      </c>
      <c r="G195" s="4" t="s">
        <v>63</v>
      </c>
      <c r="H195" s="4" t="s">
        <v>25</v>
      </c>
      <c r="I195" s="5">
        <v>44531</v>
      </c>
      <c r="J195" s="6">
        <v>240</v>
      </c>
      <c r="K195" s="6">
        <v>120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61</v>
      </c>
      <c r="R195" s="4">
        <v>27182</v>
      </c>
      <c r="S195" s="6">
        <v>5</v>
      </c>
      <c r="T195" s="6">
        <v>0</v>
      </c>
      <c r="U195" s="6">
        <v>0</v>
      </c>
      <c r="V195" s="6">
        <f>IF(ISERROR(VLOOKUP($S$195,'TAR FIN'!$A$1:$O$85,15,0)),0,VLOOKUP($S$195,'TAR FIN'!$A$1:$O$85,15,0))</f>
        <v>11.13</v>
      </c>
      <c r="W195" s="6">
        <f>IF(ISERROR(VLOOKUP($T$195,'TAR FIN'!$A$1:$O$85,15,0)),0,VLOOKUP($T$195,'TAR FIN'!$A$1:$O$85,15,0))</f>
        <v>0</v>
      </c>
      <c r="X195" s="6">
        <f>IF(ISERROR(VLOOKUP($U$195,'TAR FIN'!$A$1:$O$85,15,0)),0,VLOOKUP($U$195,'TAR FIN'!$A$1:$O$85,15,0))</f>
        <v>0</v>
      </c>
      <c r="Y195" s="6">
        <f ca="1">('TUSD BE'!$AM$9+'TUSD BF'!$AM$9+'TUSD CVA'!$AM$9)*1</f>
        <v>11.800643871721787</v>
      </c>
      <c r="Z195" s="6"/>
      <c r="AA195" s="6"/>
      <c r="AB195" s="6">
        <f>$K$195*$V$195</f>
        <v>1335.6000000000001</v>
      </c>
      <c r="AC195" s="6">
        <f>$M$195*$W$195</f>
        <v>0</v>
      </c>
      <c r="AD195" s="6">
        <f>$O$195*$X$195</f>
        <v>0</v>
      </c>
      <c r="AE195" s="6">
        <f ca="1">$K$195*$Y$195</f>
        <v>1416.0772646066146</v>
      </c>
      <c r="AF195" s="6">
        <f>$M$195*$Z$195</f>
        <v>0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39</v>
      </c>
      <c r="C196" s="4" t="s">
        <v>59</v>
      </c>
      <c r="D196" s="4" t="s">
        <v>25</v>
      </c>
      <c r="E196" s="4" t="s">
        <v>25</v>
      </c>
      <c r="F196" s="4" t="s">
        <v>25</v>
      </c>
      <c r="G196" s="4" t="s">
        <v>60</v>
      </c>
      <c r="H196" s="4" t="s">
        <v>25</v>
      </c>
      <c r="I196" s="5">
        <v>44562</v>
      </c>
      <c r="J196" s="6">
        <v>900</v>
      </c>
      <c r="K196" s="6">
        <v>450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4" t="s">
        <v>61</v>
      </c>
      <c r="S196" s="6">
        <v>5</v>
      </c>
      <c r="T196" s="6">
        <v>0</v>
      </c>
      <c r="U196" s="6">
        <v>0</v>
      </c>
      <c r="V196" s="6">
        <f>IF(ISERROR(VLOOKUP($S$196,'TAR FIN'!$A$1:$O$85,15,0)),0,VLOOKUP($S$196,'TAR FIN'!$A$1:$O$85,15,0))</f>
        <v>11.13</v>
      </c>
      <c r="W196" s="6">
        <f>IF(ISERROR(VLOOKUP($T$196,'TAR FIN'!$A$1:$O$85,15,0)),0,VLOOKUP($T$196,'TAR FIN'!$A$1:$O$85,15,0))</f>
        <v>0</v>
      </c>
      <c r="X196" s="6">
        <f>IF(ISERROR(VLOOKUP($U$196,'TAR FIN'!$A$1:$O$85,15,0)),0,VLOOKUP($U$196,'TAR FIN'!$A$1:$O$85,15,0))</f>
        <v>0</v>
      </c>
      <c r="Y196" s="6">
        <f ca="1">('TUSD BE'!$AM$9+'TUSD BF'!$AM$9+'TUSD CVA'!$AM$9)*1</f>
        <v>11.800643871721787</v>
      </c>
      <c r="Z196" s="6"/>
      <c r="AA196" s="6"/>
      <c r="AB196" s="6">
        <f>$K$196*$V$196</f>
        <v>5008.5</v>
      </c>
      <c r="AC196" s="6">
        <f>$M$196*$W$196</f>
        <v>0</v>
      </c>
      <c r="AD196" s="6">
        <f>$O$196*$X$196</f>
        <v>0</v>
      </c>
      <c r="AE196" s="6">
        <f ca="1">$K$196*$Y$196</f>
        <v>5310.2897422748047</v>
      </c>
      <c r="AF196" s="6">
        <f>$M$196*$Z$196</f>
        <v>0</v>
      </c>
      <c r="AG196" s="6">
        <f>$O$196*$AA$196</f>
        <v>0</v>
      </c>
    </row>
    <row r="197" spans="1:33" ht="11.25" customHeight="1" x14ac:dyDescent="0.25">
      <c r="A197" s="4" t="s">
        <v>21</v>
      </c>
      <c r="B197" s="4" t="s">
        <v>39</v>
      </c>
      <c r="C197" s="4" t="s">
        <v>59</v>
      </c>
      <c r="D197" s="4" t="s">
        <v>25</v>
      </c>
      <c r="E197" s="4" t="s">
        <v>25</v>
      </c>
      <c r="F197" s="4" t="s">
        <v>25</v>
      </c>
      <c r="G197" s="4" t="s">
        <v>62</v>
      </c>
      <c r="H197" s="4" t="s">
        <v>25</v>
      </c>
      <c r="I197" s="5">
        <v>44562</v>
      </c>
      <c r="J197" s="6">
        <v>206</v>
      </c>
      <c r="K197" s="6">
        <v>103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4" t="s">
        <v>61</v>
      </c>
      <c r="R197" s="4">
        <v>491</v>
      </c>
      <c r="S197" s="6">
        <v>5</v>
      </c>
      <c r="T197" s="6">
        <v>0</v>
      </c>
      <c r="U197" s="6">
        <v>0</v>
      </c>
      <c r="V197" s="6">
        <f>IF(ISERROR(VLOOKUP($S$197,'TAR FIN'!$A$1:$O$85,15,0)),0,VLOOKUP($S$197,'TAR FIN'!$A$1:$O$85,15,0))</f>
        <v>11.13</v>
      </c>
      <c r="W197" s="6">
        <f>IF(ISERROR(VLOOKUP($T$197,'TAR FIN'!$A$1:$O$85,15,0)),0,VLOOKUP($T$197,'TAR FIN'!$A$1:$O$85,15,0))</f>
        <v>0</v>
      </c>
      <c r="X197" s="6">
        <f>IF(ISERROR(VLOOKUP($U$197,'TAR FIN'!$A$1:$O$85,15,0)),0,VLOOKUP($U$197,'TAR FIN'!$A$1:$O$85,15,0))</f>
        <v>0</v>
      </c>
      <c r="Y197" s="6">
        <f ca="1">('TUSD BE'!$AM$9+'TUSD BF'!$AM$9+'TUSD CVA'!$AM$9)*1</f>
        <v>11.800643871721787</v>
      </c>
      <c r="Z197" s="6"/>
      <c r="AA197" s="6"/>
      <c r="AB197" s="6">
        <f>$K$197*$V$197</f>
        <v>1146.3900000000001</v>
      </c>
      <c r="AC197" s="6">
        <f>$M$197*$W$197</f>
        <v>0</v>
      </c>
      <c r="AD197" s="6">
        <f>$O$197*$X$197</f>
        <v>0</v>
      </c>
      <c r="AE197" s="6">
        <f ca="1">$K$197*$Y$197</f>
        <v>1215.4663187873441</v>
      </c>
      <c r="AF197" s="6">
        <f>$M$197*$Z$197</f>
        <v>0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39</v>
      </c>
      <c r="C198" s="4" t="s">
        <v>59</v>
      </c>
      <c r="D198" s="4" t="s">
        <v>25</v>
      </c>
      <c r="E198" s="4" t="s">
        <v>25</v>
      </c>
      <c r="F198" s="4" t="s">
        <v>25</v>
      </c>
      <c r="G198" s="4" t="s">
        <v>63</v>
      </c>
      <c r="H198" s="4" t="s">
        <v>25</v>
      </c>
      <c r="I198" s="5">
        <v>44562</v>
      </c>
      <c r="J198" s="6">
        <v>240</v>
      </c>
      <c r="K198" s="6">
        <v>120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61</v>
      </c>
      <c r="R198" s="4">
        <v>27182</v>
      </c>
      <c r="S198" s="6">
        <v>5</v>
      </c>
      <c r="T198" s="6">
        <v>0</v>
      </c>
      <c r="U198" s="6">
        <v>0</v>
      </c>
      <c r="V198" s="6">
        <f>IF(ISERROR(VLOOKUP($S$198,'TAR FIN'!$A$1:$O$85,15,0)),0,VLOOKUP($S$198,'TAR FIN'!$A$1:$O$85,15,0))</f>
        <v>11.13</v>
      </c>
      <c r="W198" s="6">
        <f>IF(ISERROR(VLOOKUP($T$198,'TAR FIN'!$A$1:$O$85,15,0)),0,VLOOKUP($T$198,'TAR FIN'!$A$1:$O$85,15,0))</f>
        <v>0</v>
      </c>
      <c r="X198" s="6">
        <f>IF(ISERROR(VLOOKUP($U$198,'TAR FIN'!$A$1:$O$85,15,0)),0,VLOOKUP($U$198,'TAR FIN'!$A$1:$O$85,15,0))</f>
        <v>0</v>
      </c>
      <c r="Y198" s="6">
        <f ca="1">('TUSD BE'!$AM$9+'TUSD BF'!$AM$9+'TUSD CVA'!$AM$9)*1</f>
        <v>11.800643871721787</v>
      </c>
      <c r="Z198" s="6"/>
      <c r="AA198" s="6"/>
      <c r="AB198" s="6">
        <f>$K$198*$V$198</f>
        <v>1335.6000000000001</v>
      </c>
      <c r="AC198" s="6">
        <f>$M$198*$W$198</f>
        <v>0</v>
      </c>
      <c r="AD198" s="6">
        <f>$O$198*$X$198</f>
        <v>0</v>
      </c>
      <c r="AE198" s="6">
        <f ca="1">$K$198*$Y$198</f>
        <v>1416.0772646066146</v>
      </c>
      <c r="AF198" s="6">
        <f>$M$198*$Z$198</f>
        <v>0</v>
      </c>
      <c r="AG198" s="6">
        <f>$O$198*$AA$198</f>
        <v>0</v>
      </c>
    </row>
    <row r="199" spans="1:33" ht="11.25" customHeight="1" x14ac:dyDescent="0.25">
      <c r="A199" s="4" t="s">
        <v>21</v>
      </c>
      <c r="B199" s="4" t="s">
        <v>39</v>
      </c>
      <c r="C199" s="4" t="s">
        <v>59</v>
      </c>
      <c r="D199" s="4" t="s">
        <v>25</v>
      </c>
      <c r="E199" s="4" t="s">
        <v>25</v>
      </c>
      <c r="F199" s="4" t="s">
        <v>25</v>
      </c>
      <c r="G199" s="4" t="s">
        <v>60</v>
      </c>
      <c r="H199" s="4" t="s">
        <v>25</v>
      </c>
      <c r="I199" s="5">
        <v>44593</v>
      </c>
      <c r="J199" s="6">
        <v>900</v>
      </c>
      <c r="K199" s="6">
        <v>450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61</v>
      </c>
      <c r="S199" s="6">
        <v>5</v>
      </c>
      <c r="T199" s="6">
        <v>0</v>
      </c>
      <c r="U199" s="6">
        <v>0</v>
      </c>
      <c r="V199" s="6">
        <f>IF(ISERROR(VLOOKUP($S$199,'TAR FIN'!$A$1:$O$85,15,0)),0,VLOOKUP($S$199,'TAR FIN'!$A$1:$O$85,15,0))</f>
        <v>11.13</v>
      </c>
      <c r="W199" s="6">
        <f>IF(ISERROR(VLOOKUP($T$199,'TAR FIN'!$A$1:$O$85,15,0)),0,VLOOKUP($T$199,'TAR FIN'!$A$1:$O$85,15,0))</f>
        <v>0</v>
      </c>
      <c r="X199" s="6">
        <f>IF(ISERROR(VLOOKUP($U$199,'TAR FIN'!$A$1:$O$85,15,0)),0,VLOOKUP($U$199,'TAR FIN'!$A$1:$O$85,15,0))</f>
        <v>0</v>
      </c>
      <c r="Y199" s="6">
        <f ca="1">('TUSD BE'!$AM$9+'TUSD BF'!$AM$9+'TUSD CVA'!$AM$9)*1</f>
        <v>11.800643871721787</v>
      </c>
      <c r="Z199" s="6"/>
      <c r="AA199" s="6"/>
      <c r="AB199" s="6">
        <f>$K$199*$V$199</f>
        <v>5008.5</v>
      </c>
      <c r="AC199" s="6">
        <f>$M$199*$W$199</f>
        <v>0</v>
      </c>
      <c r="AD199" s="6">
        <f>$O$199*$X$199</f>
        <v>0</v>
      </c>
      <c r="AE199" s="6">
        <f ca="1">$K$199*$Y$199</f>
        <v>5310.2897422748047</v>
      </c>
      <c r="AF199" s="6">
        <f>$M$199*$Z$199</f>
        <v>0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39</v>
      </c>
      <c r="C200" s="4" t="s">
        <v>59</v>
      </c>
      <c r="D200" s="4" t="s">
        <v>25</v>
      </c>
      <c r="E200" s="4" t="s">
        <v>25</v>
      </c>
      <c r="F200" s="4" t="s">
        <v>25</v>
      </c>
      <c r="G200" s="4" t="s">
        <v>62</v>
      </c>
      <c r="H200" s="4" t="s">
        <v>25</v>
      </c>
      <c r="I200" s="5">
        <v>44593</v>
      </c>
      <c r="J200" s="6">
        <v>206</v>
      </c>
      <c r="K200" s="6">
        <v>103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61</v>
      </c>
      <c r="R200" s="4">
        <v>491</v>
      </c>
      <c r="S200" s="6">
        <v>5</v>
      </c>
      <c r="T200" s="6">
        <v>0</v>
      </c>
      <c r="U200" s="6">
        <v>0</v>
      </c>
      <c r="V200" s="6">
        <f>IF(ISERROR(VLOOKUP($S$200,'TAR FIN'!$A$1:$O$85,15,0)),0,VLOOKUP($S$200,'TAR FIN'!$A$1:$O$85,15,0))</f>
        <v>11.13</v>
      </c>
      <c r="W200" s="6">
        <f>IF(ISERROR(VLOOKUP($T$200,'TAR FIN'!$A$1:$O$85,15,0)),0,VLOOKUP($T$200,'TAR FIN'!$A$1:$O$85,15,0))</f>
        <v>0</v>
      </c>
      <c r="X200" s="6">
        <f>IF(ISERROR(VLOOKUP($U$200,'TAR FIN'!$A$1:$O$85,15,0)),0,VLOOKUP($U$200,'TAR FIN'!$A$1:$O$85,15,0))</f>
        <v>0</v>
      </c>
      <c r="Y200" s="6">
        <f ca="1">('TUSD BE'!$AM$9+'TUSD BF'!$AM$9+'TUSD CVA'!$AM$9)*1</f>
        <v>11.800643871721787</v>
      </c>
      <c r="Z200" s="6"/>
      <c r="AA200" s="6"/>
      <c r="AB200" s="6">
        <f>$K$200*$V$200</f>
        <v>1146.3900000000001</v>
      </c>
      <c r="AC200" s="6">
        <f>$M$200*$W$200</f>
        <v>0</v>
      </c>
      <c r="AD200" s="6">
        <f>$O$200*$X$200</f>
        <v>0</v>
      </c>
      <c r="AE200" s="6">
        <f ca="1">$K$200*$Y$200</f>
        <v>1215.4663187873441</v>
      </c>
      <c r="AF200" s="6">
        <f>$M$200*$Z$200</f>
        <v>0</v>
      </c>
      <c r="AG200" s="6">
        <f>$O$200*$AA$200</f>
        <v>0</v>
      </c>
    </row>
    <row r="201" spans="1:33" ht="11.25" customHeight="1" x14ac:dyDescent="0.25">
      <c r="A201" s="4" t="s">
        <v>21</v>
      </c>
      <c r="B201" s="4" t="s">
        <v>39</v>
      </c>
      <c r="C201" s="4" t="s">
        <v>59</v>
      </c>
      <c r="D201" s="4" t="s">
        <v>25</v>
      </c>
      <c r="E201" s="4" t="s">
        <v>25</v>
      </c>
      <c r="F201" s="4" t="s">
        <v>25</v>
      </c>
      <c r="G201" s="4" t="s">
        <v>63</v>
      </c>
      <c r="H201" s="4" t="s">
        <v>25</v>
      </c>
      <c r="I201" s="5">
        <v>44593</v>
      </c>
      <c r="J201" s="6">
        <v>240</v>
      </c>
      <c r="K201" s="6">
        <v>120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61</v>
      </c>
      <c r="R201" s="4">
        <v>27182</v>
      </c>
      <c r="S201" s="6">
        <v>5</v>
      </c>
      <c r="T201" s="6">
        <v>0</v>
      </c>
      <c r="U201" s="6">
        <v>0</v>
      </c>
      <c r="V201" s="6">
        <f>IF(ISERROR(VLOOKUP($S$201,'TAR FIN'!$A$1:$O$85,15,0)),0,VLOOKUP($S$201,'TAR FIN'!$A$1:$O$85,15,0))</f>
        <v>11.13</v>
      </c>
      <c r="W201" s="6">
        <f>IF(ISERROR(VLOOKUP($T$201,'TAR FIN'!$A$1:$O$85,15,0)),0,VLOOKUP($T$201,'TAR FIN'!$A$1:$O$85,15,0))</f>
        <v>0</v>
      </c>
      <c r="X201" s="6">
        <f>IF(ISERROR(VLOOKUP($U$201,'TAR FIN'!$A$1:$O$85,15,0)),0,VLOOKUP($U$201,'TAR FIN'!$A$1:$O$85,15,0))</f>
        <v>0</v>
      </c>
      <c r="Y201" s="6">
        <f ca="1">('TUSD BE'!$AM$9+'TUSD BF'!$AM$9+'TUSD CVA'!$AM$9)*1</f>
        <v>11.800643871721787</v>
      </c>
      <c r="Z201" s="6"/>
      <c r="AA201" s="6"/>
      <c r="AB201" s="6">
        <f>$K$201*$V$201</f>
        <v>1335.6000000000001</v>
      </c>
      <c r="AC201" s="6">
        <f>$M$201*$W$201</f>
        <v>0</v>
      </c>
      <c r="AD201" s="6">
        <f>$O$201*$X$201</f>
        <v>0</v>
      </c>
      <c r="AE201" s="6">
        <f ca="1">$K$201*$Y$201</f>
        <v>1416.0772646066146</v>
      </c>
      <c r="AF201" s="6">
        <f>$M$201*$Z$201</f>
        <v>0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39</v>
      </c>
      <c r="C202" s="4" t="s">
        <v>59</v>
      </c>
      <c r="D202" s="4" t="s">
        <v>25</v>
      </c>
      <c r="E202" s="4" t="s">
        <v>25</v>
      </c>
      <c r="F202" s="4" t="s">
        <v>25</v>
      </c>
      <c r="G202" s="4" t="s">
        <v>60</v>
      </c>
      <c r="H202" s="4" t="s">
        <v>25</v>
      </c>
      <c r="I202" s="5">
        <v>44621</v>
      </c>
      <c r="J202" s="6">
        <v>900</v>
      </c>
      <c r="K202" s="6">
        <v>450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61</v>
      </c>
      <c r="S202" s="6">
        <v>5</v>
      </c>
      <c r="T202" s="6">
        <v>0</v>
      </c>
      <c r="U202" s="6">
        <v>0</v>
      </c>
      <c r="V202" s="6">
        <f>IF(ISERROR(VLOOKUP($S$202,'TAR FIN'!$A$1:$O$85,15,0)),0,VLOOKUP($S$202,'TAR FIN'!$A$1:$O$85,15,0))</f>
        <v>11.13</v>
      </c>
      <c r="W202" s="6">
        <f>IF(ISERROR(VLOOKUP($T$202,'TAR FIN'!$A$1:$O$85,15,0)),0,VLOOKUP($T$202,'TAR FIN'!$A$1:$O$85,15,0))</f>
        <v>0</v>
      </c>
      <c r="X202" s="6">
        <f>IF(ISERROR(VLOOKUP($U$202,'TAR FIN'!$A$1:$O$85,15,0)),0,VLOOKUP($U$202,'TAR FIN'!$A$1:$O$85,15,0))</f>
        <v>0</v>
      </c>
      <c r="Y202" s="6">
        <f ca="1">('TUSD BE'!$AM$9+'TUSD BF'!$AM$9+'TUSD CVA'!$AM$9)*1</f>
        <v>11.800643871721787</v>
      </c>
      <c r="Z202" s="6"/>
      <c r="AA202" s="6"/>
      <c r="AB202" s="6">
        <f>$K$202*$V$202</f>
        <v>5008.5</v>
      </c>
      <c r="AC202" s="6">
        <f>$M$202*$W$202</f>
        <v>0</v>
      </c>
      <c r="AD202" s="6">
        <f>$O$202*$X$202</f>
        <v>0</v>
      </c>
      <c r="AE202" s="6">
        <f ca="1">$K$202*$Y$202</f>
        <v>5310.2897422748047</v>
      </c>
      <c r="AF202" s="6">
        <f>$M$202*$Z$202</f>
        <v>0</v>
      </c>
      <c r="AG202" s="6">
        <f>$O$202*$AA$202</f>
        <v>0</v>
      </c>
    </row>
    <row r="203" spans="1:33" ht="11.25" customHeight="1" x14ac:dyDescent="0.25">
      <c r="A203" s="4" t="s">
        <v>21</v>
      </c>
      <c r="B203" s="4" t="s">
        <v>39</v>
      </c>
      <c r="C203" s="4" t="s">
        <v>59</v>
      </c>
      <c r="D203" s="4" t="s">
        <v>25</v>
      </c>
      <c r="E203" s="4" t="s">
        <v>25</v>
      </c>
      <c r="F203" s="4" t="s">
        <v>25</v>
      </c>
      <c r="G203" s="4" t="s">
        <v>62</v>
      </c>
      <c r="H203" s="4" t="s">
        <v>25</v>
      </c>
      <c r="I203" s="5">
        <v>44621</v>
      </c>
      <c r="J203" s="6">
        <v>206</v>
      </c>
      <c r="K203" s="6">
        <v>103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61</v>
      </c>
      <c r="R203" s="4">
        <v>491</v>
      </c>
      <c r="S203" s="6">
        <v>5</v>
      </c>
      <c r="T203" s="6">
        <v>0</v>
      </c>
      <c r="U203" s="6">
        <v>0</v>
      </c>
      <c r="V203" s="6">
        <f>IF(ISERROR(VLOOKUP($S$203,'TAR FIN'!$A$1:$O$85,15,0)),0,VLOOKUP($S$203,'TAR FIN'!$A$1:$O$85,15,0))</f>
        <v>11.13</v>
      </c>
      <c r="W203" s="6">
        <f>IF(ISERROR(VLOOKUP($T$203,'TAR FIN'!$A$1:$O$85,15,0)),0,VLOOKUP($T$203,'TAR FIN'!$A$1:$O$85,15,0))</f>
        <v>0</v>
      </c>
      <c r="X203" s="6">
        <f>IF(ISERROR(VLOOKUP($U$203,'TAR FIN'!$A$1:$O$85,15,0)),0,VLOOKUP($U$203,'TAR FIN'!$A$1:$O$85,15,0))</f>
        <v>0</v>
      </c>
      <c r="Y203" s="6">
        <f ca="1">('TUSD BE'!$AM$9+'TUSD BF'!$AM$9+'TUSD CVA'!$AM$9)*1</f>
        <v>11.800643871721787</v>
      </c>
      <c r="Z203" s="6"/>
      <c r="AA203" s="6"/>
      <c r="AB203" s="6">
        <f>$K$203*$V$203</f>
        <v>1146.3900000000001</v>
      </c>
      <c r="AC203" s="6">
        <f>$M$203*$W$203</f>
        <v>0</v>
      </c>
      <c r="AD203" s="6">
        <f>$O$203*$X$203</f>
        <v>0</v>
      </c>
      <c r="AE203" s="6">
        <f ca="1">$K$203*$Y$203</f>
        <v>1215.4663187873441</v>
      </c>
      <c r="AF203" s="6">
        <f>$M$203*$Z$203</f>
        <v>0</v>
      </c>
      <c r="AG203" s="6">
        <f>$O$203*$AA$203</f>
        <v>0</v>
      </c>
    </row>
    <row r="204" spans="1:33" ht="11.25" customHeight="1" x14ac:dyDescent="0.25">
      <c r="A204" s="4" t="s">
        <v>21</v>
      </c>
      <c r="B204" s="4" t="s">
        <v>39</v>
      </c>
      <c r="C204" s="4" t="s">
        <v>59</v>
      </c>
      <c r="D204" s="4" t="s">
        <v>25</v>
      </c>
      <c r="E204" s="4" t="s">
        <v>25</v>
      </c>
      <c r="F204" s="4" t="s">
        <v>25</v>
      </c>
      <c r="G204" s="4" t="s">
        <v>63</v>
      </c>
      <c r="H204" s="4" t="s">
        <v>25</v>
      </c>
      <c r="I204" s="5">
        <v>44621</v>
      </c>
      <c r="J204" s="6">
        <v>240</v>
      </c>
      <c r="K204" s="6">
        <v>120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4" t="s">
        <v>61</v>
      </c>
      <c r="R204" s="4">
        <v>27182</v>
      </c>
      <c r="S204" s="6">
        <v>5</v>
      </c>
      <c r="T204" s="6">
        <v>0</v>
      </c>
      <c r="U204" s="6">
        <v>0</v>
      </c>
      <c r="V204" s="6">
        <f>IF(ISERROR(VLOOKUP($S$204,'TAR FIN'!$A$1:$O$85,15,0)),0,VLOOKUP($S$204,'TAR FIN'!$A$1:$O$85,15,0))</f>
        <v>11.13</v>
      </c>
      <c r="W204" s="6">
        <f>IF(ISERROR(VLOOKUP($T$204,'TAR FIN'!$A$1:$O$85,15,0)),0,VLOOKUP($T$204,'TAR FIN'!$A$1:$O$85,15,0))</f>
        <v>0</v>
      </c>
      <c r="X204" s="6">
        <f>IF(ISERROR(VLOOKUP($U$204,'TAR FIN'!$A$1:$O$85,15,0)),0,VLOOKUP($U$204,'TAR FIN'!$A$1:$O$85,15,0))</f>
        <v>0</v>
      </c>
      <c r="Y204" s="6">
        <f ca="1">('TUSD BE'!$AM$9+'TUSD BF'!$AM$9+'TUSD CVA'!$AM$9)*1</f>
        <v>11.800643871721787</v>
      </c>
      <c r="Z204" s="6"/>
      <c r="AA204" s="6"/>
      <c r="AB204" s="6">
        <f>$K$204*$V$204</f>
        <v>1335.6000000000001</v>
      </c>
      <c r="AC204" s="6">
        <f>$M$204*$W$204</f>
        <v>0</v>
      </c>
      <c r="AD204" s="6">
        <f>$O$204*$X$204</f>
        <v>0</v>
      </c>
      <c r="AE204" s="6">
        <f ca="1">$K$204*$Y$204</f>
        <v>1416.0772646066146</v>
      </c>
      <c r="AF204" s="6">
        <f>$M$204*$Z$204</f>
        <v>0</v>
      </c>
      <c r="AG204" s="6">
        <f>$O$204*$AA$204</f>
        <v>0</v>
      </c>
    </row>
    <row r="205" spans="1:33" ht="11.25" customHeight="1" x14ac:dyDescent="0.25">
      <c r="A205" s="4" t="s">
        <v>21</v>
      </c>
      <c r="B205" s="4" t="s">
        <v>39</v>
      </c>
      <c r="C205" s="4" t="s">
        <v>59</v>
      </c>
      <c r="D205" s="4" t="s">
        <v>25</v>
      </c>
      <c r="E205" s="4" t="s">
        <v>25</v>
      </c>
      <c r="F205" s="4" t="s">
        <v>25</v>
      </c>
      <c r="G205" s="4" t="s">
        <v>60</v>
      </c>
      <c r="H205" s="4" t="s">
        <v>25</v>
      </c>
      <c r="I205" s="5">
        <v>44652</v>
      </c>
      <c r="J205" s="6">
        <v>900</v>
      </c>
      <c r="K205" s="6">
        <v>450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4" t="s">
        <v>61</v>
      </c>
      <c r="S205" s="6">
        <v>5</v>
      </c>
      <c r="T205" s="6">
        <v>0</v>
      </c>
      <c r="U205" s="6">
        <v>0</v>
      </c>
      <c r="V205" s="6">
        <f>IF(ISERROR(VLOOKUP($S$205,'TAR FIN'!$A$1:$O$85,15,0)),0,VLOOKUP($S$205,'TAR FIN'!$A$1:$O$85,15,0))</f>
        <v>11.13</v>
      </c>
      <c r="W205" s="6">
        <f>IF(ISERROR(VLOOKUP($T$205,'TAR FIN'!$A$1:$O$85,15,0)),0,VLOOKUP($T$205,'TAR FIN'!$A$1:$O$85,15,0))</f>
        <v>0</v>
      </c>
      <c r="X205" s="6">
        <f>IF(ISERROR(VLOOKUP($U$205,'TAR FIN'!$A$1:$O$85,15,0)),0,VLOOKUP($U$205,'TAR FIN'!$A$1:$O$85,15,0))</f>
        <v>0</v>
      </c>
      <c r="Y205" s="6">
        <f ca="1">('TUSD BE'!$AM$9+'TUSD BF'!$AM$9+'TUSD CVA'!$AM$9)*1</f>
        <v>11.800643871721787</v>
      </c>
      <c r="Z205" s="6"/>
      <c r="AA205" s="6"/>
      <c r="AB205" s="6">
        <f>$K$205*$V$205</f>
        <v>5008.5</v>
      </c>
      <c r="AC205" s="6">
        <f>$M$205*$W$205</f>
        <v>0</v>
      </c>
      <c r="AD205" s="6">
        <f>$O$205*$X$205</f>
        <v>0</v>
      </c>
      <c r="AE205" s="6">
        <f ca="1">$K$205*$Y$205</f>
        <v>5310.2897422748047</v>
      </c>
      <c r="AF205" s="6">
        <f>$M$205*$Z$205</f>
        <v>0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39</v>
      </c>
      <c r="C206" s="4" t="s">
        <v>59</v>
      </c>
      <c r="D206" s="4" t="s">
        <v>25</v>
      </c>
      <c r="E206" s="4" t="s">
        <v>25</v>
      </c>
      <c r="F206" s="4" t="s">
        <v>25</v>
      </c>
      <c r="G206" s="4" t="s">
        <v>62</v>
      </c>
      <c r="H206" s="4" t="s">
        <v>25</v>
      </c>
      <c r="I206" s="5">
        <v>44652</v>
      </c>
      <c r="J206" s="6">
        <v>206</v>
      </c>
      <c r="K206" s="6">
        <v>103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4" t="s">
        <v>61</v>
      </c>
      <c r="R206" s="4">
        <v>491</v>
      </c>
      <c r="S206" s="6">
        <v>5</v>
      </c>
      <c r="T206" s="6">
        <v>0</v>
      </c>
      <c r="U206" s="6">
        <v>0</v>
      </c>
      <c r="V206" s="6">
        <f>IF(ISERROR(VLOOKUP($S$206,'TAR FIN'!$A$1:$O$85,15,0)),0,VLOOKUP($S$206,'TAR FIN'!$A$1:$O$85,15,0))</f>
        <v>11.13</v>
      </c>
      <c r="W206" s="6">
        <f>IF(ISERROR(VLOOKUP($T$206,'TAR FIN'!$A$1:$O$85,15,0)),0,VLOOKUP($T$206,'TAR FIN'!$A$1:$O$85,15,0))</f>
        <v>0</v>
      </c>
      <c r="X206" s="6">
        <f>IF(ISERROR(VLOOKUP($U$206,'TAR FIN'!$A$1:$O$85,15,0)),0,VLOOKUP($U$206,'TAR FIN'!$A$1:$O$85,15,0))</f>
        <v>0</v>
      </c>
      <c r="Y206" s="6">
        <f ca="1">('TUSD BE'!$AM$9+'TUSD BF'!$AM$9+'TUSD CVA'!$AM$9)*1</f>
        <v>11.800643871721787</v>
      </c>
      <c r="Z206" s="6"/>
      <c r="AA206" s="6"/>
      <c r="AB206" s="6">
        <f>$K$206*$V$206</f>
        <v>1146.3900000000001</v>
      </c>
      <c r="AC206" s="6">
        <f>$M$206*$W$206</f>
        <v>0</v>
      </c>
      <c r="AD206" s="6">
        <f>$O$206*$X$206</f>
        <v>0</v>
      </c>
      <c r="AE206" s="6">
        <f ca="1">$K$206*$Y$206</f>
        <v>1215.4663187873441</v>
      </c>
      <c r="AF206" s="6">
        <f>$M$206*$Z$206</f>
        <v>0</v>
      </c>
      <c r="AG206" s="6">
        <f>$O$206*$AA$206</f>
        <v>0</v>
      </c>
    </row>
    <row r="207" spans="1:33" ht="11.25" customHeight="1" x14ac:dyDescent="0.25">
      <c r="A207" s="4" t="s">
        <v>21</v>
      </c>
      <c r="B207" s="4" t="s">
        <v>39</v>
      </c>
      <c r="C207" s="4" t="s">
        <v>59</v>
      </c>
      <c r="D207" s="4" t="s">
        <v>25</v>
      </c>
      <c r="E207" s="4" t="s">
        <v>25</v>
      </c>
      <c r="F207" s="4" t="s">
        <v>25</v>
      </c>
      <c r="G207" s="4" t="s">
        <v>63</v>
      </c>
      <c r="H207" s="4" t="s">
        <v>25</v>
      </c>
      <c r="I207" s="5">
        <v>44652</v>
      </c>
      <c r="J207" s="6">
        <v>240</v>
      </c>
      <c r="K207" s="6">
        <v>120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4" t="s">
        <v>61</v>
      </c>
      <c r="R207" s="4">
        <v>27182</v>
      </c>
      <c r="S207" s="6">
        <v>5</v>
      </c>
      <c r="T207" s="6">
        <v>0</v>
      </c>
      <c r="U207" s="6">
        <v>0</v>
      </c>
      <c r="V207" s="6">
        <f>IF(ISERROR(VLOOKUP($S$207,'TAR FIN'!$A$1:$O$85,15,0)),0,VLOOKUP($S$207,'TAR FIN'!$A$1:$O$85,15,0))</f>
        <v>11.13</v>
      </c>
      <c r="W207" s="6">
        <f>IF(ISERROR(VLOOKUP($T$207,'TAR FIN'!$A$1:$O$85,15,0)),0,VLOOKUP($T$207,'TAR FIN'!$A$1:$O$85,15,0))</f>
        <v>0</v>
      </c>
      <c r="X207" s="6">
        <f>IF(ISERROR(VLOOKUP($U$207,'TAR FIN'!$A$1:$O$85,15,0)),0,VLOOKUP($U$207,'TAR FIN'!$A$1:$O$85,15,0))</f>
        <v>0</v>
      </c>
      <c r="Y207" s="6">
        <f ca="1">('TUSD BE'!$AM$9+'TUSD BF'!$AM$9+'TUSD CVA'!$AM$9)*1</f>
        <v>11.800643871721787</v>
      </c>
      <c r="Z207" s="6"/>
      <c r="AA207" s="6"/>
      <c r="AB207" s="6">
        <f>$K$207*$V$207</f>
        <v>1335.6000000000001</v>
      </c>
      <c r="AC207" s="6">
        <f>$M$207*$W$207</f>
        <v>0</v>
      </c>
      <c r="AD207" s="6">
        <f>$O$207*$X$207</f>
        <v>0</v>
      </c>
      <c r="AE207" s="6">
        <f ca="1">$K$207*$Y$207</f>
        <v>1416.0772646066146</v>
      </c>
      <c r="AF207" s="6">
        <f>$M$207*$Z$207</f>
        <v>0</v>
      </c>
      <c r="AG207" s="6">
        <f>$O$207*$AA$207</f>
        <v>0</v>
      </c>
    </row>
    <row r="208" spans="1:33" ht="11.25" customHeight="1" x14ac:dyDescent="0.25">
      <c r="A208" s="4" t="s">
        <v>21</v>
      </c>
      <c r="B208" s="4" t="s">
        <v>39</v>
      </c>
      <c r="C208" s="4" t="s">
        <v>59</v>
      </c>
      <c r="D208" s="4" t="s">
        <v>25</v>
      </c>
      <c r="E208" s="4" t="s">
        <v>25</v>
      </c>
      <c r="F208" s="4" t="s">
        <v>25</v>
      </c>
      <c r="G208" s="4" t="s">
        <v>60</v>
      </c>
      <c r="H208" s="4" t="s">
        <v>25</v>
      </c>
      <c r="I208" s="5">
        <v>44682</v>
      </c>
      <c r="J208" s="6">
        <v>900</v>
      </c>
      <c r="K208" s="6">
        <v>450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61</v>
      </c>
      <c r="S208" s="6">
        <v>5</v>
      </c>
      <c r="T208" s="6">
        <v>0</v>
      </c>
      <c r="U208" s="6">
        <v>0</v>
      </c>
      <c r="V208" s="6">
        <f>IF(ISERROR(VLOOKUP($S$208,'TAR FIN'!$A$1:$O$85,15,0)),0,VLOOKUP($S$208,'TAR FIN'!$A$1:$O$85,15,0))</f>
        <v>11.13</v>
      </c>
      <c r="W208" s="6">
        <f>IF(ISERROR(VLOOKUP($T$208,'TAR FIN'!$A$1:$O$85,15,0)),0,VLOOKUP($T$208,'TAR FIN'!$A$1:$O$85,15,0))</f>
        <v>0</v>
      </c>
      <c r="X208" s="6">
        <f>IF(ISERROR(VLOOKUP($U$208,'TAR FIN'!$A$1:$O$85,15,0)),0,VLOOKUP($U$208,'TAR FIN'!$A$1:$O$85,15,0))</f>
        <v>0</v>
      </c>
      <c r="Y208" s="6">
        <f ca="1">('TUSD BE'!$AM$9+'TUSD BF'!$AM$9+'TUSD CVA'!$AM$9)*1</f>
        <v>11.800643871721787</v>
      </c>
      <c r="Z208" s="6"/>
      <c r="AA208" s="6"/>
      <c r="AB208" s="6">
        <f>$K$208*$V$208</f>
        <v>5008.5</v>
      </c>
      <c r="AC208" s="6">
        <f>$M$208*$W$208</f>
        <v>0</v>
      </c>
      <c r="AD208" s="6">
        <f>$O$208*$X$208</f>
        <v>0</v>
      </c>
      <c r="AE208" s="6">
        <f ca="1">$K$208*$Y$208</f>
        <v>5310.2897422748047</v>
      </c>
      <c r="AF208" s="6">
        <f>$M$208*$Z$208</f>
        <v>0</v>
      </c>
      <c r="AG208" s="6">
        <f>$O$208*$AA$208</f>
        <v>0</v>
      </c>
    </row>
    <row r="209" spans="1:33" ht="11.25" customHeight="1" x14ac:dyDescent="0.25">
      <c r="A209" s="4" t="s">
        <v>21</v>
      </c>
      <c r="B209" s="4" t="s">
        <v>39</v>
      </c>
      <c r="C209" s="4" t="s">
        <v>59</v>
      </c>
      <c r="D209" s="4" t="s">
        <v>25</v>
      </c>
      <c r="E209" s="4" t="s">
        <v>25</v>
      </c>
      <c r="F209" s="4" t="s">
        <v>25</v>
      </c>
      <c r="G209" s="4" t="s">
        <v>62</v>
      </c>
      <c r="H209" s="4" t="s">
        <v>25</v>
      </c>
      <c r="I209" s="5">
        <v>44682</v>
      </c>
      <c r="J209" s="6">
        <v>206</v>
      </c>
      <c r="K209" s="6">
        <v>103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61</v>
      </c>
      <c r="R209" s="4">
        <v>491</v>
      </c>
      <c r="S209" s="6">
        <v>5</v>
      </c>
      <c r="T209" s="6">
        <v>0</v>
      </c>
      <c r="U209" s="6">
        <v>0</v>
      </c>
      <c r="V209" s="6">
        <f>IF(ISERROR(VLOOKUP($S$209,'TAR FIN'!$A$1:$O$85,15,0)),0,VLOOKUP($S$209,'TAR FIN'!$A$1:$O$85,15,0))</f>
        <v>11.13</v>
      </c>
      <c r="W209" s="6">
        <f>IF(ISERROR(VLOOKUP($T$209,'TAR FIN'!$A$1:$O$85,15,0)),0,VLOOKUP($T$209,'TAR FIN'!$A$1:$O$85,15,0))</f>
        <v>0</v>
      </c>
      <c r="X209" s="6">
        <f>IF(ISERROR(VLOOKUP($U$209,'TAR FIN'!$A$1:$O$85,15,0)),0,VLOOKUP($U$209,'TAR FIN'!$A$1:$O$85,15,0))</f>
        <v>0</v>
      </c>
      <c r="Y209" s="6">
        <f ca="1">('TUSD BE'!$AM$9+'TUSD BF'!$AM$9+'TUSD CVA'!$AM$9)*1</f>
        <v>11.800643871721787</v>
      </c>
      <c r="Z209" s="6"/>
      <c r="AA209" s="6"/>
      <c r="AB209" s="6">
        <f>$K$209*$V$209</f>
        <v>1146.3900000000001</v>
      </c>
      <c r="AC209" s="6">
        <f>$M$209*$W$209</f>
        <v>0</v>
      </c>
      <c r="AD209" s="6">
        <f>$O$209*$X$209</f>
        <v>0</v>
      </c>
      <c r="AE209" s="6">
        <f ca="1">$K$209*$Y$209</f>
        <v>1215.4663187873441</v>
      </c>
      <c r="AF209" s="6">
        <f>$M$209*$Z$209</f>
        <v>0</v>
      </c>
      <c r="AG209" s="6">
        <f>$O$209*$AA$209</f>
        <v>0</v>
      </c>
    </row>
    <row r="210" spans="1:33" ht="11.25" customHeight="1" x14ac:dyDescent="0.25">
      <c r="A210" s="4" t="s">
        <v>21</v>
      </c>
      <c r="B210" s="4" t="s">
        <v>39</v>
      </c>
      <c r="C210" s="4" t="s">
        <v>59</v>
      </c>
      <c r="D210" s="4" t="s">
        <v>25</v>
      </c>
      <c r="E210" s="4" t="s">
        <v>25</v>
      </c>
      <c r="F210" s="4" t="s">
        <v>25</v>
      </c>
      <c r="G210" s="4" t="s">
        <v>63</v>
      </c>
      <c r="H210" s="4" t="s">
        <v>25</v>
      </c>
      <c r="I210" s="5">
        <v>44682</v>
      </c>
      <c r="J210" s="6">
        <v>240</v>
      </c>
      <c r="K210" s="6">
        <v>120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4" t="s">
        <v>61</v>
      </c>
      <c r="R210" s="4">
        <v>27182</v>
      </c>
      <c r="S210" s="6">
        <v>5</v>
      </c>
      <c r="T210" s="6">
        <v>0</v>
      </c>
      <c r="U210" s="6">
        <v>0</v>
      </c>
      <c r="V210" s="6">
        <f>IF(ISERROR(VLOOKUP($S$210,'TAR FIN'!$A$1:$O$85,15,0)),0,VLOOKUP($S$210,'TAR FIN'!$A$1:$O$85,15,0))</f>
        <v>11.13</v>
      </c>
      <c r="W210" s="6">
        <f>IF(ISERROR(VLOOKUP($T$210,'TAR FIN'!$A$1:$O$85,15,0)),0,VLOOKUP($T$210,'TAR FIN'!$A$1:$O$85,15,0))</f>
        <v>0</v>
      </c>
      <c r="X210" s="6">
        <f>IF(ISERROR(VLOOKUP($U$210,'TAR FIN'!$A$1:$O$85,15,0)),0,VLOOKUP($U$210,'TAR FIN'!$A$1:$O$85,15,0))</f>
        <v>0</v>
      </c>
      <c r="Y210" s="6">
        <f ca="1">('TUSD BE'!$AM$9+'TUSD BF'!$AM$9+'TUSD CVA'!$AM$9)*1</f>
        <v>11.800643871721787</v>
      </c>
      <c r="Z210" s="6"/>
      <c r="AA210" s="6"/>
      <c r="AB210" s="6">
        <f>$K$210*$V$210</f>
        <v>1335.6000000000001</v>
      </c>
      <c r="AC210" s="6">
        <f>$M$210*$W$210</f>
        <v>0</v>
      </c>
      <c r="AD210" s="6">
        <f>$O$210*$X$210</f>
        <v>0</v>
      </c>
      <c r="AE210" s="6">
        <f ca="1">$K$210*$Y$210</f>
        <v>1416.0772646066146</v>
      </c>
      <c r="AF210" s="6">
        <f>$M$210*$Z$210</f>
        <v>0</v>
      </c>
      <c r="AG210" s="6">
        <f>$O$210*$AA$210</f>
        <v>0</v>
      </c>
    </row>
    <row r="211" spans="1:33" ht="11.25" customHeight="1" x14ac:dyDescent="0.25">
      <c r="A211" s="4" t="s">
        <v>21</v>
      </c>
      <c r="B211" s="4" t="s">
        <v>39</v>
      </c>
      <c r="C211" s="4" t="s">
        <v>59</v>
      </c>
      <c r="D211" s="4" t="s">
        <v>25</v>
      </c>
      <c r="E211" s="4" t="s">
        <v>25</v>
      </c>
      <c r="F211" s="4" t="s">
        <v>25</v>
      </c>
      <c r="G211" s="4" t="s">
        <v>60</v>
      </c>
      <c r="H211" s="4" t="s">
        <v>25</v>
      </c>
      <c r="I211" s="5">
        <v>44713</v>
      </c>
      <c r="J211" s="6">
        <v>900</v>
      </c>
      <c r="K211" s="6">
        <v>450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4" t="s">
        <v>61</v>
      </c>
      <c r="S211" s="6">
        <v>5</v>
      </c>
      <c r="T211" s="6">
        <v>0</v>
      </c>
      <c r="U211" s="6">
        <v>0</v>
      </c>
      <c r="V211" s="6">
        <f>IF(ISERROR(VLOOKUP($S$211,'TAR FIN'!$A$1:$O$85,15,0)),0,VLOOKUP($S$211,'TAR FIN'!$A$1:$O$85,15,0))</f>
        <v>11.13</v>
      </c>
      <c r="W211" s="6">
        <f>IF(ISERROR(VLOOKUP($T$211,'TAR FIN'!$A$1:$O$85,15,0)),0,VLOOKUP($T$211,'TAR FIN'!$A$1:$O$85,15,0))</f>
        <v>0</v>
      </c>
      <c r="X211" s="6">
        <f>IF(ISERROR(VLOOKUP($U$211,'TAR FIN'!$A$1:$O$85,15,0)),0,VLOOKUP($U$211,'TAR FIN'!$A$1:$O$85,15,0))</f>
        <v>0</v>
      </c>
      <c r="Y211" s="6">
        <f ca="1">('TUSD BE'!$AM$9+'TUSD BF'!$AM$9+'TUSD CVA'!$AM$9)*1</f>
        <v>11.800643871721787</v>
      </c>
      <c r="Z211" s="6"/>
      <c r="AA211" s="6"/>
      <c r="AB211" s="6">
        <f>$K$211*$V$211</f>
        <v>5008.5</v>
      </c>
      <c r="AC211" s="6">
        <f>$M$211*$W$211</f>
        <v>0</v>
      </c>
      <c r="AD211" s="6">
        <f>$O$211*$X$211</f>
        <v>0</v>
      </c>
      <c r="AE211" s="6">
        <f ca="1">$K$211*$Y$211</f>
        <v>5310.2897422748047</v>
      </c>
      <c r="AF211" s="6">
        <f>$M$211*$Z$211</f>
        <v>0</v>
      </c>
      <c r="AG211" s="6">
        <f>$O$211*$AA$211</f>
        <v>0</v>
      </c>
    </row>
    <row r="212" spans="1:33" ht="11.25" customHeight="1" x14ac:dyDescent="0.25">
      <c r="A212" s="4" t="s">
        <v>21</v>
      </c>
      <c r="B212" s="4" t="s">
        <v>39</v>
      </c>
      <c r="C212" s="4" t="s">
        <v>59</v>
      </c>
      <c r="D212" s="4" t="s">
        <v>25</v>
      </c>
      <c r="E212" s="4" t="s">
        <v>25</v>
      </c>
      <c r="F212" s="4" t="s">
        <v>25</v>
      </c>
      <c r="G212" s="4" t="s">
        <v>62</v>
      </c>
      <c r="H212" s="4" t="s">
        <v>25</v>
      </c>
      <c r="I212" s="5">
        <v>44713</v>
      </c>
      <c r="J212" s="6">
        <v>206</v>
      </c>
      <c r="K212" s="6">
        <v>103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4" t="s">
        <v>61</v>
      </c>
      <c r="R212" s="4">
        <v>491</v>
      </c>
      <c r="S212" s="6">
        <v>5</v>
      </c>
      <c r="T212" s="6">
        <v>0</v>
      </c>
      <c r="U212" s="6">
        <v>0</v>
      </c>
      <c r="V212" s="6">
        <f>IF(ISERROR(VLOOKUP($S$212,'TAR FIN'!$A$1:$O$85,15,0)),0,VLOOKUP($S$212,'TAR FIN'!$A$1:$O$85,15,0))</f>
        <v>11.13</v>
      </c>
      <c r="W212" s="6">
        <f>IF(ISERROR(VLOOKUP($T$212,'TAR FIN'!$A$1:$O$85,15,0)),0,VLOOKUP($T$212,'TAR FIN'!$A$1:$O$85,15,0))</f>
        <v>0</v>
      </c>
      <c r="X212" s="6">
        <f>IF(ISERROR(VLOOKUP($U$212,'TAR FIN'!$A$1:$O$85,15,0)),0,VLOOKUP($U$212,'TAR FIN'!$A$1:$O$85,15,0))</f>
        <v>0</v>
      </c>
      <c r="Y212" s="6">
        <f ca="1">('TUSD BE'!$AM$9+'TUSD BF'!$AM$9+'TUSD CVA'!$AM$9)*1</f>
        <v>11.800643871721787</v>
      </c>
      <c r="Z212" s="6"/>
      <c r="AA212" s="6"/>
      <c r="AB212" s="6">
        <f>$K$212*$V$212</f>
        <v>1146.3900000000001</v>
      </c>
      <c r="AC212" s="6">
        <f>$M$212*$W$212</f>
        <v>0</v>
      </c>
      <c r="AD212" s="6">
        <f>$O$212*$X$212</f>
        <v>0</v>
      </c>
      <c r="AE212" s="6">
        <f ca="1">$K$212*$Y$212</f>
        <v>1215.4663187873441</v>
      </c>
      <c r="AF212" s="6">
        <f>$M$212*$Z$212</f>
        <v>0</v>
      </c>
      <c r="AG212" s="6">
        <f>$O$212*$AA$212</f>
        <v>0</v>
      </c>
    </row>
    <row r="213" spans="1:33" ht="11.25" customHeight="1" x14ac:dyDescent="0.25">
      <c r="A213" s="4" t="s">
        <v>21</v>
      </c>
      <c r="B213" s="4" t="s">
        <v>39</v>
      </c>
      <c r="C213" s="4" t="s">
        <v>59</v>
      </c>
      <c r="D213" s="4" t="s">
        <v>25</v>
      </c>
      <c r="E213" s="4" t="s">
        <v>25</v>
      </c>
      <c r="F213" s="4" t="s">
        <v>25</v>
      </c>
      <c r="G213" s="4" t="s">
        <v>63</v>
      </c>
      <c r="H213" s="4" t="s">
        <v>25</v>
      </c>
      <c r="I213" s="5">
        <v>44713</v>
      </c>
      <c r="J213" s="6">
        <v>240</v>
      </c>
      <c r="K213" s="6">
        <v>120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4" t="s">
        <v>61</v>
      </c>
      <c r="R213" s="4">
        <v>27182</v>
      </c>
      <c r="S213" s="6">
        <v>5</v>
      </c>
      <c r="T213" s="6">
        <v>0</v>
      </c>
      <c r="U213" s="6">
        <v>0</v>
      </c>
      <c r="V213" s="6">
        <f>IF(ISERROR(VLOOKUP($S$213,'TAR FIN'!$A$1:$O$85,15,0)),0,VLOOKUP($S$213,'TAR FIN'!$A$1:$O$85,15,0))</f>
        <v>11.13</v>
      </c>
      <c r="W213" s="6">
        <f>IF(ISERROR(VLOOKUP($T$213,'TAR FIN'!$A$1:$O$85,15,0)),0,VLOOKUP($T$213,'TAR FIN'!$A$1:$O$85,15,0))</f>
        <v>0</v>
      </c>
      <c r="X213" s="6">
        <f>IF(ISERROR(VLOOKUP($U$213,'TAR FIN'!$A$1:$O$85,15,0)),0,VLOOKUP($U$213,'TAR FIN'!$A$1:$O$85,15,0))</f>
        <v>0</v>
      </c>
      <c r="Y213" s="6">
        <f ca="1">('TUSD BE'!$AM$9+'TUSD BF'!$AM$9+'TUSD CVA'!$AM$9)*1</f>
        <v>11.800643871721787</v>
      </c>
      <c r="Z213" s="6"/>
      <c r="AA213" s="6"/>
      <c r="AB213" s="6">
        <f>$K$213*$V$213</f>
        <v>1335.6000000000001</v>
      </c>
      <c r="AC213" s="6">
        <f>$M$213*$W$213</f>
        <v>0</v>
      </c>
      <c r="AD213" s="6">
        <f>$O$213*$X$213</f>
        <v>0</v>
      </c>
      <c r="AE213" s="6">
        <f ca="1">$K$213*$Y$213</f>
        <v>1416.0772646066146</v>
      </c>
      <c r="AF213" s="6">
        <f>$M$213*$Z$213</f>
        <v>0</v>
      </c>
      <c r="AG213" s="6">
        <f>$O$213*$AA$213</f>
        <v>0</v>
      </c>
    </row>
    <row r="214" spans="1:33" ht="11.25" customHeight="1" x14ac:dyDescent="0.25">
      <c r="A214" s="4" t="s">
        <v>21</v>
      </c>
      <c r="B214" s="4" t="s">
        <v>39</v>
      </c>
      <c r="C214" s="4" t="s">
        <v>59</v>
      </c>
      <c r="D214" s="4" t="s">
        <v>25</v>
      </c>
      <c r="E214" s="4" t="s">
        <v>25</v>
      </c>
      <c r="F214" s="4" t="s">
        <v>25</v>
      </c>
      <c r="G214" s="4" t="s">
        <v>60</v>
      </c>
      <c r="H214" s="4" t="s">
        <v>25</v>
      </c>
      <c r="I214" s="5">
        <v>44743</v>
      </c>
      <c r="J214" s="6">
        <v>900</v>
      </c>
      <c r="K214" s="6">
        <v>450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4" t="s">
        <v>61</v>
      </c>
      <c r="S214" s="6">
        <v>5</v>
      </c>
      <c r="T214" s="6">
        <v>0</v>
      </c>
      <c r="U214" s="6">
        <v>0</v>
      </c>
      <c r="V214" s="6">
        <f>IF(ISERROR(VLOOKUP($S$214,'TAR FIN'!$A$1:$O$85,15,0)),0,VLOOKUP($S$214,'TAR FIN'!$A$1:$O$85,15,0))</f>
        <v>11.13</v>
      </c>
      <c r="W214" s="6">
        <f>IF(ISERROR(VLOOKUP($T$214,'TAR FIN'!$A$1:$O$85,15,0)),0,VLOOKUP($T$214,'TAR FIN'!$A$1:$O$85,15,0))</f>
        <v>0</v>
      </c>
      <c r="X214" s="6">
        <f>IF(ISERROR(VLOOKUP($U$214,'TAR FIN'!$A$1:$O$85,15,0)),0,VLOOKUP($U$214,'TAR FIN'!$A$1:$O$85,15,0))</f>
        <v>0</v>
      </c>
      <c r="Y214" s="6">
        <f ca="1">('TUSD BE'!$AM$9+'TUSD BF'!$AM$9+'TUSD CVA'!$AM$9)*1</f>
        <v>11.800643871721787</v>
      </c>
      <c r="Z214" s="6"/>
      <c r="AA214" s="6"/>
      <c r="AB214" s="6">
        <f>$K$214*$V$214</f>
        <v>5008.5</v>
      </c>
      <c r="AC214" s="6">
        <f>$M$214*$W$214</f>
        <v>0</v>
      </c>
      <c r="AD214" s="6">
        <f>$O$214*$X$214</f>
        <v>0</v>
      </c>
      <c r="AE214" s="6">
        <f ca="1">$K$214*$Y$214</f>
        <v>5310.2897422748047</v>
      </c>
      <c r="AF214" s="6">
        <f>$M$214*$Z$214</f>
        <v>0</v>
      </c>
      <c r="AG214" s="6">
        <f>$O$214*$AA$214</f>
        <v>0</v>
      </c>
    </row>
    <row r="215" spans="1:33" ht="11.25" customHeight="1" x14ac:dyDescent="0.25">
      <c r="A215" s="4" t="s">
        <v>21</v>
      </c>
      <c r="B215" s="4" t="s">
        <v>39</v>
      </c>
      <c r="C215" s="4" t="s">
        <v>59</v>
      </c>
      <c r="D215" s="4" t="s">
        <v>25</v>
      </c>
      <c r="E215" s="4" t="s">
        <v>25</v>
      </c>
      <c r="F215" s="4" t="s">
        <v>25</v>
      </c>
      <c r="G215" s="4" t="s">
        <v>62</v>
      </c>
      <c r="H215" s="4" t="s">
        <v>25</v>
      </c>
      <c r="I215" s="5">
        <v>44743</v>
      </c>
      <c r="J215" s="6">
        <v>206</v>
      </c>
      <c r="K215" s="6">
        <v>103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4" t="s">
        <v>61</v>
      </c>
      <c r="R215" s="4">
        <v>491</v>
      </c>
      <c r="S215" s="6">
        <v>5</v>
      </c>
      <c r="T215" s="6">
        <v>0</v>
      </c>
      <c r="U215" s="6">
        <v>0</v>
      </c>
      <c r="V215" s="6">
        <f>IF(ISERROR(VLOOKUP($S$215,'TAR FIN'!$A$1:$O$85,15,0)),0,VLOOKUP($S$215,'TAR FIN'!$A$1:$O$85,15,0))</f>
        <v>11.13</v>
      </c>
      <c r="W215" s="6">
        <f>IF(ISERROR(VLOOKUP($T$215,'TAR FIN'!$A$1:$O$85,15,0)),0,VLOOKUP($T$215,'TAR FIN'!$A$1:$O$85,15,0))</f>
        <v>0</v>
      </c>
      <c r="X215" s="6">
        <f>IF(ISERROR(VLOOKUP($U$215,'TAR FIN'!$A$1:$O$85,15,0)),0,VLOOKUP($U$215,'TAR FIN'!$A$1:$O$85,15,0))</f>
        <v>0</v>
      </c>
      <c r="Y215" s="6">
        <f ca="1">('TUSD BE'!$AM$9+'TUSD BF'!$AM$9+'TUSD CVA'!$AM$9)*1</f>
        <v>11.800643871721787</v>
      </c>
      <c r="Z215" s="6"/>
      <c r="AA215" s="6"/>
      <c r="AB215" s="6">
        <f>$K$215*$V$215</f>
        <v>1146.3900000000001</v>
      </c>
      <c r="AC215" s="6">
        <f>$M$215*$W$215</f>
        <v>0</v>
      </c>
      <c r="AD215" s="6">
        <f>$O$215*$X$215</f>
        <v>0</v>
      </c>
      <c r="AE215" s="6">
        <f ca="1">$K$215*$Y$215</f>
        <v>1215.4663187873441</v>
      </c>
      <c r="AF215" s="6">
        <f>$M$215*$Z$215</f>
        <v>0</v>
      </c>
      <c r="AG215" s="6">
        <f>$O$215*$AA$215</f>
        <v>0</v>
      </c>
    </row>
    <row r="216" spans="1:33" ht="11.25" customHeight="1" x14ac:dyDescent="0.25">
      <c r="A216" s="4" t="s">
        <v>21</v>
      </c>
      <c r="B216" s="4" t="s">
        <v>39</v>
      </c>
      <c r="C216" s="4" t="s">
        <v>59</v>
      </c>
      <c r="D216" s="4" t="s">
        <v>25</v>
      </c>
      <c r="E216" s="4" t="s">
        <v>25</v>
      </c>
      <c r="F216" s="4" t="s">
        <v>25</v>
      </c>
      <c r="G216" s="4" t="s">
        <v>63</v>
      </c>
      <c r="H216" s="4" t="s">
        <v>25</v>
      </c>
      <c r="I216" s="5">
        <v>44743</v>
      </c>
      <c r="J216" s="6">
        <v>240</v>
      </c>
      <c r="K216" s="6">
        <v>120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4" t="s">
        <v>61</v>
      </c>
      <c r="R216" s="4">
        <v>27182</v>
      </c>
      <c r="S216" s="6">
        <v>5</v>
      </c>
      <c r="T216" s="6">
        <v>0</v>
      </c>
      <c r="U216" s="6">
        <v>0</v>
      </c>
      <c r="V216" s="6">
        <f>IF(ISERROR(VLOOKUP($S$216,'TAR FIN'!$A$1:$O$85,15,0)),0,VLOOKUP($S$216,'TAR FIN'!$A$1:$O$85,15,0))</f>
        <v>11.13</v>
      </c>
      <c r="W216" s="6">
        <f>IF(ISERROR(VLOOKUP($T$216,'TAR FIN'!$A$1:$O$85,15,0)),0,VLOOKUP($T$216,'TAR FIN'!$A$1:$O$85,15,0))</f>
        <v>0</v>
      </c>
      <c r="X216" s="6">
        <f>IF(ISERROR(VLOOKUP($U$216,'TAR FIN'!$A$1:$O$85,15,0)),0,VLOOKUP($U$216,'TAR FIN'!$A$1:$O$85,15,0))</f>
        <v>0</v>
      </c>
      <c r="Y216" s="6">
        <f ca="1">('TUSD BE'!$AM$9+'TUSD BF'!$AM$9+'TUSD CVA'!$AM$9)*1</f>
        <v>11.800643871721787</v>
      </c>
      <c r="Z216" s="6"/>
      <c r="AA216" s="6"/>
      <c r="AB216" s="6">
        <f>$K$216*$V$216</f>
        <v>1335.6000000000001</v>
      </c>
      <c r="AC216" s="6">
        <f>$M$216*$W$216</f>
        <v>0</v>
      </c>
      <c r="AD216" s="6">
        <f>$O$216*$X$216</f>
        <v>0</v>
      </c>
      <c r="AE216" s="6">
        <f ca="1">$K$216*$Y$216</f>
        <v>1416.0772646066146</v>
      </c>
      <c r="AF216" s="6">
        <f>$M$216*$Z$216</f>
        <v>0</v>
      </c>
      <c r="AG216" s="6">
        <f>$O$216*$AA$216</f>
        <v>0</v>
      </c>
    </row>
    <row r="217" spans="1:33" ht="11.25" customHeight="1" x14ac:dyDescent="0.25">
      <c r="A217" s="4" t="s">
        <v>56</v>
      </c>
      <c r="B217" s="4" t="s">
        <v>39</v>
      </c>
      <c r="C217" s="4" t="s">
        <v>59</v>
      </c>
      <c r="D217" s="4" t="s">
        <v>25</v>
      </c>
      <c r="E217" s="4" t="s">
        <v>25</v>
      </c>
      <c r="F217" s="4" t="s">
        <v>25</v>
      </c>
      <c r="G217" s="4" t="s">
        <v>60</v>
      </c>
      <c r="H217" s="4" t="s">
        <v>25</v>
      </c>
      <c r="I217" s="5">
        <v>44774</v>
      </c>
      <c r="J217" s="6">
        <v>900</v>
      </c>
      <c r="K217" s="6">
        <v>450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61</v>
      </c>
      <c r="S217" s="6">
        <v>5</v>
      </c>
      <c r="T217" s="6">
        <v>0</v>
      </c>
      <c r="U217" s="6">
        <v>0</v>
      </c>
      <c r="V217" s="6">
        <f>IF(ISERROR(VLOOKUP($S$217,'TAR FIN'!$A$1:$O$85,15,0)),0,VLOOKUP($S$217,'TAR FIN'!$A$1:$O$85,15,0))</f>
        <v>11.13</v>
      </c>
      <c r="W217" s="6">
        <f>IF(ISERROR(VLOOKUP($T$217,'TAR FIN'!$A$1:$O$85,15,0)),0,VLOOKUP($T$217,'TAR FIN'!$A$1:$O$85,15,0))</f>
        <v>0</v>
      </c>
      <c r="X217" s="6">
        <f>IF(ISERROR(VLOOKUP($U$217,'TAR FIN'!$A$1:$O$85,15,0)),0,VLOOKUP($U$217,'TAR FIN'!$A$1:$O$85,15,0))</f>
        <v>0</v>
      </c>
      <c r="Y217" s="6">
        <f ca="1">('TUSD BE'!$AM$9+'TUSD BF'!$AM$9+'TUSD CVA'!$AM$9)*1</f>
        <v>11.800643871721787</v>
      </c>
      <c r="Z217" s="6"/>
      <c r="AA217" s="6"/>
      <c r="AB217" s="6">
        <f>$K$217*$V$217</f>
        <v>5008.5</v>
      </c>
      <c r="AC217" s="6">
        <f>$M$217*$W$217</f>
        <v>0</v>
      </c>
      <c r="AD217" s="6">
        <f>$O$217*$X$217</f>
        <v>0</v>
      </c>
      <c r="AE217" s="6">
        <f ca="1">$K$217*$Y$217</f>
        <v>5310.2897422748047</v>
      </c>
      <c r="AF217" s="6">
        <f>$M$217*$Z$217</f>
        <v>0</v>
      </c>
      <c r="AG217" s="6">
        <f>$O$217*$AA$217</f>
        <v>0</v>
      </c>
    </row>
    <row r="218" spans="1:33" ht="11.25" customHeight="1" x14ac:dyDescent="0.25">
      <c r="A218" s="4" t="s">
        <v>56</v>
      </c>
      <c r="B218" s="4" t="s">
        <v>39</v>
      </c>
      <c r="C218" s="4" t="s">
        <v>59</v>
      </c>
      <c r="D218" s="4" t="s">
        <v>25</v>
      </c>
      <c r="E218" s="4" t="s">
        <v>25</v>
      </c>
      <c r="F218" s="4" t="s">
        <v>25</v>
      </c>
      <c r="G218" s="4" t="s">
        <v>62</v>
      </c>
      <c r="H218" s="4" t="s">
        <v>25</v>
      </c>
      <c r="I218" s="5">
        <v>44774</v>
      </c>
      <c r="J218" s="6">
        <v>206</v>
      </c>
      <c r="K218" s="6">
        <v>103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4" t="s">
        <v>61</v>
      </c>
      <c r="R218" s="4">
        <v>491</v>
      </c>
      <c r="S218" s="6">
        <v>5</v>
      </c>
      <c r="T218" s="6">
        <v>0</v>
      </c>
      <c r="U218" s="6">
        <v>0</v>
      </c>
      <c r="V218" s="6">
        <f>IF(ISERROR(VLOOKUP($S$218,'TAR FIN'!$A$1:$O$85,15,0)),0,VLOOKUP($S$218,'TAR FIN'!$A$1:$O$85,15,0))</f>
        <v>11.13</v>
      </c>
      <c r="W218" s="6">
        <f>IF(ISERROR(VLOOKUP($T$218,'TAR FIN'!$A$1:$O$85,15,0)),0,VLOOKUP($T$218,'TAR FIN'!$A$1:$O$85,15,0))</f>
        <v>0</v>
      </c>
      <c r="X218" s="6">
        <f>IF(ISERROR(VLOOKUP($U$218,'TAR FIN'!$A$1:$O$85,15,0)),0,VLOOKUP($U$218,'TAR FIN'!$A$1:$O$85,15,0))</f>
        <v>0</v>
      </c>
      <c r="Y218" s="6">
        <f ca="1">('TUSD BE'!$AM$9+'TUSD BF'!$AM$9+'TUSD CVA'!$AM$9)*1</f>
        <v>11.800643871721787</v>
      </c>
      <c r="Z218" s="6"/>
      <c r="AA218" s="6"/>
      <c r="AB218" s="6">
        <f>$K$218*$V$218</f>
        <v>1146.3900000000001</v>
      </c>
      <c r="AC218" s="6">
        <f>$M$218*$W$218</f>
        <v>0</v>
      </c>
      <c r="AD218" s="6">
        <f>$O$218*$X$218</f>
        <v>0</v>
      </c>
      <c r="AE218" s="6">
        <f ca="1">$K$218*$Y$218</f>
        <v>1215.4663187873441</v>
      </c>
      <c r="AF218" s="6">
        <f>$M$218*$Z$218</f>
        <v>0</v>
      </c>
      <c r="AG218" s="6">
        <f>$O$218*$AA$218</f>
        <v>0</v>
      </c>
    </row>
    <row r="219" spans="1:33" ht="11.25" customHeight="1" x14ac:dyDescent="0.25">
      <c r="A219" s="4" t="s">
        <v>56</v>
      </c>
      <c r="B219" s="4" t="s">
        <v>39</v>
      </c>
      <c r="C219" s="4" t="s">
        <v>59</v>
      </c>
      <c r="D219" s="4" t="s">
        <v>25</v>
      </c>
      <c r="E219" s="4" t="s">
        <v>25</v>
      </c>
      <c r="F219" s="4" t="s">
        <v>25</v>
      </c>
      <c r="G219" s="4" t="s">
        <v>63</v>
      </c>
      <c r="H219" s="4" t="s">
        <v>25</v>
      </c>
      <c r="I219" s="5">
        <v>44774</v>
      </c>
      <c r="J219" s="6">
        <v>240</v>
      </c>
      <c r="K219" s="6">
        <v>120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4" t="s">
        <v>61</v>
      </c>
      <c r="R219" s="4">
        <v>27182</v>
      </c>
      <c r="S219" s="6">
        <v>5</v>
      </c>
      <c r="T219" s="6">
        <v>0</v>
      </c>
      <c r="U219" s="6">
        <v>0</v>
      </c>
      <c r="V219" s="6">
        <f>IF(ISERROR(VLOOKUP($S$219,'TAR FIN'!$A$1:$O$85,15,0)),0,VLOOKUP($S$219,'TAR FIN'!$A$1:$O$85,15,0))</f>
        <v>11.13</v>
      </c>
      <c r="W219" s="6">
        <f>IF(ISERROR(VLOOKUP($T$219,'TAR FIN'!$A$1:$O$85,15,0)),0,VLOOKUP($T$219,'TAR FIN'!$A$1:$O$85,15,0))</f>
        <v>0</v>
      </c>
      <c r="X219" s="6">
        <f>IF(ISERROR(VLOOKUP($U$219,'TAR FIN'!$A$1:$O$85,15,0)),0,VLOOKUP($U$219,'TAR FIN'!$A$1:$O$85,15,0))</f>
        <v>0</v>
      </c>
      <c r="Y219" s="6">
        <f ca="1">('TUSD BE'!$AM$9+'TUSD BF'!$AM$9+'TUSD CVA'!$AM$9)*1</f>
        <v>11.800643871721787</v>
      </c>
      <c r="Z219" s="6"/>
      <c r="AA219" s="6"/>
      <c r="AB219" s="6">
        <f>$K$219*$V$219</f>
        <v>1335.6000000000001</v>
      </c>
      <c r="AC219" s="6">
        <f>$M$219*$W$219</f>
        <v>0</v>
      </c>
      <c r="AD219" s="6">
        <f>$O$219*$X$219</f>
        <v>0</v>
      </c>
      <c r="AE219" s="6">
        <f ca="1">$K$219*$Y$219</f>
        <v>1416.0772646066146</v>
      </c>
      <c r="AF219" s="6">
        <f>$M$219*$Z$219</f>
        <v>0</v>
      </c>
      <c r="AG219" s="6">
        <f>$O$219*$AA$219</f>
        <v>0</v>
      </c>
    </row>
    <row r="220" spans="1:33" ht="11.25" customHeight="1" x14ac:dyDescent="0.25">
      <c r="A220" s="4" t="s">
        <v>21</v>
      </c>
      <c r="B220" s="4" t="s">
        <v>39</v>
      </c>
      <c r="C220" s="4" t="s">
        <v>40</v>
      </c>
      <c r="D220" s="4" t="s">
        <v>41</v>
      </c>
      <c r="E220" s="4" t="s">
        <v>25</v>
      </c>
      <c r="F220" s="4" t="s">
        <v>25</v>
      </c>
      <c r="G220" s="4" t="s">
        <v>25</v>
      </c>
      <c r="H220" s="4" t="s">
        <v>35</v>
      </c>
      <c r="I220" s="5">
        <v>44440</v>
      </c>
      <c r="J220" s="6">
        <v>0</v>
      </c>
      <c r="K220" s="6">
        <v>0</v>
      </c>
      <c r="L220" s="6">
        <v>1283.0419999999999</v>
      </c>
      <c r="M220" s="6">
        <v>1283.0419999999999</v>
      </c>
      <c r="N220" s="6">
        <v>1283.0419999999999</v>
      </c>
      <c r="O220" s="6">
        <v>1283.0419999999999</v>
      </c>
      <c r="P220" s="6">
        <v>0</v>
      </c>
      <c r="Q220" s="4" t="s">
        <v>26</v>
      </c>
      <c r="R220" s="4">
        <v>0</v>
      </c>
      <c r="S220" s="6">
        <v>0</v>
      </c>
      <c r="T220" s="6">
        <v>8</v>
      </c>
      <c r="U220" s="6">
        <v>49</v>
      </c>
      <c r="V220" s="6">
        <f>IF(ISERROR(VLOOKUP($S$220,'TAR FIN'!$A$1:$O$85,15,0)),0,VLOOKUP($S$220,'TAR FIN'!$A$1:$O$85,15,0))</f>
        <v>0</v>
      </c>
      <c r="W220" s="6">
        <f>IF(ISERROR(VLOOKUP($T$220,'TAR FIN'!$A$1:$O$85,15,0)),0,VLOOKUP($T$220,'TAR FIN'!$A$1:$O$85,15,0))</f>
        <v>76.75</v>
      </c>
      <c r="X220" s="6">
        <f>IF(ISERROR(VLOOKUP($U$220,'TAR FIN'!$A$1:$O$85,15,0)),0,VLOOKUP($U$220,'TAR FIN'!$A$1:$O$85,15,0))</f>
        <v>307.08</v>
      </c>
      <c r="Y220" s="6"/>
      <c r="Z220" s="6">
        <f ca="1">('TUSD BE'!$AM$12+'TUSD BF'!$AM$12+'TUSD CVA'!$AM$12)*1</f>
        <v>147.99431148733765</v>
      </c>
      <c r="AA220" s="6">
        <f>('TE BE'!$AB$6+'TE BF'!$AB$6+'TE CVA'!$AB$6)*1</f>
        <v>304.87027853653359</v>
      </c>
      <c r="AB220" s="6">
        <f>$K$220*$V$220</f>
        <v>0</v>
      </c>
      <c r="AC220" s="6">
        <f>$M$220*$W$220</f>
        <v>98473.473499999993</v>
      </c>
      <c r="AD220" s="6">
        <f>$O$220*$X$220</f>
        <v>393996.53735999996</v>
      </c>
      <c r="AE220" s="6">
        <f>$K$220*$Y$220</f>
        <v>0</v>
      </c>
      <c r="AF220" s="6">
        <f ca="1">$M$220*$Z$220</f>
        <v>189882.91739933667</v>
      </c>
      <c r="AG220" s="6">
        <f>$O$220*$AA$220</f>
        <v>391161.37191407109</v>
      </c>
    </row>
    <row r="221" spans="1:33" ht="11.25" customHeight="1" x14ac:dyDescent="0.25">
      <c r="A221" s="4" t="s">
        <v>28</v>
      </c>
      <c r="B221" s="4" t="s">
        <v>39</v>
      </c>
      <c r="C221" s="4" t="s">
        <v>40</v>
      </c>
      <c r="D221" s="4" t="s">
        <v>41</v>
      </c>
      <c r="E221" s="4" t="s">
        <v>25</v>
      </c>
      <c r="F221" s="4" t="s">
        <v>25</v>
      </c>
      <c r="G221" s="4" t="s">
        <v>25</v>
      </c>
      <c r="H221" s="4" t="s">
        <v>35</v>
      </c>
      <c r="I221" s="5">
        <v>44440</v>
      </c>
      <c r="J221" s="6">
        <v>0</v>
      </c>
      <c r="K221" s="6">
        <v>0</v>
      </c>
      <c r="L221" s="6">
        <v>15.526999999999999</v>
      </c>
      <c r="M221" s="6">
        <v>15.526999999999999</v>
      </c>
      <c r="N221" s="6">
        <v>15.526999999999999</v>
      </c>
      <c r="O221" s="6">
        <v>15.526999999999999</v>
      </c>
      <c r="P221" s="6">
        <v>0</v>
      </c>
      <c r="Q221" s="4" t="s">
        <v>26</v>
      </c>
      <c r="R221" s="4">
        <v>0</v>
      </c>
      <c r="S221" s="6">
        <v>0</v>
      </c>
      <c r="T221" s="6">
        <v>8</v>
      </c>
      <c r="U221" s="6">
        <v>49</v>
      </c>
      <c r="V221" s="6">
        <f>IF(ISERROR(VLOOKUP($S$221,'TAR FIN'!$A$1:$O$85,15,0)),0,VLOOKUP($S$221,'TAR FIN'!$A$1:$O$85,15,0))</f>
        <v>0</v>
      </c>
      <c r="W221" s="6">
        <f>IF(ISERROR(VLOOKUP($T$221,'TAR FIN'!$A$1:$O$85,15,0)),0,VLOOKUP($T$221,'TAR FIN'!$A$1:$O$85,15,0))</f>
        <v>76.75</v>
      </c>
      <c r="X221" s="6">
        <f>IF(ISERROR(VLOOKUP($U$221,'TAR FIN'!$A$1:$O$85,15,0)),0,VLOOKUP($U$221,'TAR FIN'!$A$1:$O$85,15,0))</f>
        <v>307.08</v>
      </c>
      <c r="Y221" s="6"/>
      <c r="Z221" s="6">
        <f ca="1">('TUSD BE'!$AM$12+'TUSD BF'!$AM$12+'TUSD CVA'!$AM$12)*1</f>
        <v>147.99431148733765</v>
      </c>
      <c r="AA221" s="6">
        <f>('TE BE'!$AB$6+'TE BF'!$AB$6+'TE CVA'!$AB$6)*1</f>
        <v>304.87027853653359</v>
      </c>
      <c r="AB221" s="6">
        <f>$K$221*$V$221</f>
        <v>0</v>
      </c>
      <c r="AC221" s="6">
        <f>$M$221*$W$221</f>
        <v>1191.6972499999999</v>
      </c>
      <c r="AD221" s="6">
        <f>$O$221*$X$221</f>
        <v>4768.0311599999995</v>
      </c>
      <c r="AE221" s="6">
        <f>$K$221*$Y$221</f>
        <v>0</v>
      </c>
      <c r="AF221" s="6">
        <f ca="1">$M$221*$Z$221</f>
        <v>2297.9076744638915</v>
      </c>
      <c r="AG221" s="6">
        <f>$O$221*$AA$221</f>
        <v>4733.7208148367572</v>
      </c>
    </row>
    <row r="222" spans="1:33" ht="11.25" customHeight="1" x14ac:dyDescent="0.25">
      <c r="A222" s="4" t="s">
        <v>21</v>
      </c>
      <c r="B222" s="4" t="s">
        <v>39</v>
      </c>
      <c r="C222" s="4" t="s">
        <v>40</v>
      </c>
      <c r="D222" s="4" t="s">
        <v>41</v>
      </c>
      <c r="E222" s="4" t="s">
        <v>25</v>
      </c>
      <c r="F222" s="4" t="s">
        <v>25</v>
      </c>
      <c r="G222" s="4" t="s">
        <v>25</v>
      </c>
      <c r="H222" s="4" t="s">
        <v>35</v>
      </c>
      <c r="I222" s="5">
        <v>44470</v>
      </c>
      <c r="J222" s="6">
        <v>0</v>
      </c>
      <c r="K222" s="6">
        <v>0</v>
      </c>
      <c r="L222" s="6">
        <v>1383.0350000000001</v>
      </c>
      <c r="M222" s="6">
        <v>1383.0350000000001</v>
      </c>
      <c r="N222" s="6">
        <v>1383.0350000000001</v>
      </c>
      <c r="O222" s="6">
        <v>1383.0350000000001</v>
      </c>
      <c r="P222" s="6">
        <v>0</v>
      </c>
      <c r="Q222" s="4" t="s">
        <v>26</v>
      </c>
      <c r="R222" s="4">
        <v>0</v>
      </c>
      <c r="S222" s="6">
        <v>0</v>
      </c>
      <c r="T222" s="6">
        <v>8</v>
      </c>
      <c r="U222" s="6">
        <v>49</v>
      </c>
      <c r="V222" s="6">
        <f>IF(ISERROR(VLOOKUP($S$222,'TAR FIN'!$A$1:$O$85,15,0)),0,VLOOKUP($S$222,'TAR FIN'!$A$1:$O$85,15,0))</f>
        <v>0</v>
      </c>
      <c r="W222" s="6">
        <f>IF(ISERROR(VLOOKUP($T$222,'TAR FIN'!$A$1:$O$85,15,0)),0,VLOOKUP($T$222,'TAR FIN'!$A$1:$O$85,15,0))</f>
        <v>76.75</v>
      </c>
      <c r="X222" s="6">
        <f>IF(ISERROR(VLOOKUP($U$222,'TAR FIN'!$A$1:$O$85,15,0)),0,VLOOKUP($U$222,'TAR FIN'!$A$1:$O$85,15,0))</f>
        <v>307.08</v>
      </c>
      <c r="Y222" s="6"/>
      <c r="Z222" s="6">
        <f ca="1">('TUSD BE'!$AM$12+'TUSD BF'!$AM$12+'TUSD CVA'!$AM$12)*1</f>
        <v>147.99431148733765</v>
      </c>
      <c r="AA222" s="6">
        <f>('TE BE'!$AB$6+'TE BF'!$AB$6+'TE CVA'!$AB$6)*1</f>
        <v>304.87027853653359</v>
      </c>
      <c r="AB222" s="6">
        <f>$K$222*$V$222</f>
        <v>0</v>
      </c>
      <c r="AC222" s="6">
        <f>$M$222*$W$222</f>
        <v>106147.93625000001</v>
      </c>
      <c r="AD222" s="6">
        <f>$O$222*$X$222</f>
        <v>424702.38780000003</v>
      </c>
      <c r="AE222" s="6">
        <f>$K$222*$Y$222</f>
        <v>0</v>
      </c>
      <c r="AF222" s="6">
        <f ca="1">$M$222*$Z$222</f>
        <v>204681.31258789005</v>
      </c>
      <c r="AG222" s="6">
        <f>$O$222*$AA$222</f>
        <v>421646.26567577478</v>
      </c>
    </row>
    <row r="223" spans="1:33" ht="11.25" customHeight="1" x14ac:dyDescent="0.25">
      <c r="A223" s="4" t="s">
        <v>28</v>
      </c>
      <c r="B223" s="4" t="s">
        <v>39</v>
      </c>
      <c r="C223" s="4" t="s">
        <v>40</v>
      </c>
      <c r="D223" s="4" t="s">
        <v>41</v>
      </c>
      <c r="E223" s="4" t="s">
        <v>25</v>
      </c>
      <c r="F223" s="4" t="s">
        <v>25</v>
      </c>
      <c r="G223" s="4" t="s">
        <v>25</v>
      </c>
      <c r="H223" s="4" t="s">
        <v>35</v>
      </c>
      <c r="I223" s="5">
        <v>44470</v>
      </c>
      <c r="J223" s="6">
        <v>0</v>
      </c>
      <c r="K223" s="6">
        <v>0</v>
      </c>
      <c r="L223" s="6">
        <v>11.242000000000001</v>
      </c>
      <c r="M223" s="6">
        <v>11.242000000000001</v>
      </c>
      <c r="N223" s="6">
        <v>11.242000000000001</v>
      </c>
      <c r="O223" s="6">
        <v>11.242000000000001</v>
      </c>
      <c r="P223" s="6">
        <v>0</v>
      </c>
      <c r="Q223" s="4" t="s">
        <v>26</v>
      </c>
      <c r="R223" s="4">
        <v>0</v>
      </c>
      <c r="S223" s="6">
        <v>0</v>
      </c>
      <c r="T223" s="6">
        <v>8</v>
      </c>
      <c r="U223" s="6">
        <v>49</v>
      </c>
      <c r="V223" s="6">
        <f>IF(ISERROR(VLOOKUP($S$223,'TAR FIN'!$A$1:$O$85,15,0)),0,VLOOKUP($S$223,'TAR FIN'!$A$1:$O$85,15,0))</f>
        <v>0</v>
      </c>
      <c r="W223" s="6">
        <f>IF(ISERROR(VLOOKUP($T$223,'TAR FIN'!$A$1:$O$85,15,0)),0,VLOOKUP($T$223,'TAR FIN'!$A$1:$O$85,15,0))</f>
        <v>76.75</v>
      </c>
      <c r="X223" s="6">
        <f>IF(ISERROR(VLOOKUP($U$223,'TAR FIN'!$A$1:$O$85,15,0)),0,VLOOKUP($U$223,'TAR FIN'!$A$1:$O$85,15,0))</f>
        <v>307.08</v>
      </c>
      <c r="Y223" s="6"/>
      <c r="Z223" s="6">
        <f ca="1">('TUSD BE'!$AM$12+'TUSD BF'!$AM$12+'TUSD CVA'!$AM$12)*1</f>
        <v>147.99431148733765</v>
      </c>
      <c r="AA223" s="6">
        <f>('TE BE'!$AB$6+'TE BF'!$AB$6+'TE CVA'!$AB$6)*1</f>
        <v>304.87027853653359</v>
      </c>
      <c r="AB223" s="6">
        <f>$K$223*$V$223</f>
        <v>0</v>
      </c>
      <c r="AC223" s="6">
        <f>$M$223*$W$223</f>
        <v>862.82350000000008</v>
      </c>
      <c r="AD223" s="6">
        <f>$O$223*$X$223</f>
        <v>3452.1933600000002</v>
      </c>
      <c r="AE223" s="6">
        <f>$K$223*$Y$223</f>
        <v>0</v>
      </c>
      <c r="AF223" s="6">
        <f ca="1">$M$223*$Z$223</f>
        <v>1663.7520497406501</v>
      </c>
      <c r="AG223" s="6">
        <f>$O$223*$AA$223</f>
        <v>3427.3516713077111</v>
      </c>
    </row>
    <row r="224" spans="1:33" ht="11.25" customHeight="1" x14ac:dyDescent="0.25">
      <c r="A224" s="4" t="s">
        <v>21</v>
      </c>
      <c r="B224" s="4" t="s">
        <v>39</v>
      </c>
      <c r="C224" s="4" t="s">
        <v>40</v>
      </c>
      <c r="D224" s="4" t="s">
        <v>41</v>
      </c>
      <c r="E224" s="4" t="s">
        <v>25</v>
      </c>
      <c r="F224" s="4" t="s">
        <v>25</v>
      </c>
      <c r="G224" s="4" t="s">
        <v>25</v>
      </c>
      <c r="H224" s="4" t="s">
        <v>35</v>
      </c>
      <c r="I224" s="5">
        <v>44501</v>
      </c>
      <c r="J224" s="6">
        <v>0</v>
      </c>
      <c r="K224" s="6">
        <v>0</v>
      </c>
      <c r="L224" s="6">
        <v>1254.095</v>
      </c>
      <c r="M224" s="6">
        <v>1254.095</v>
      </c>
      <c r="N224" s="6">
        <v>1254.095</v>
      </c>
      <c r="O224" s="6">
        <v>1254.095</v>
      </c>
      <c r="P224" s="6">
        <v>0</v>
      </c>
      <c r="Q224" s="4" t="s">
        <v>26</v>
      </c>
      <c r="R224" s="4">
        <v>0</v>
      </c>
      <c r="S224" s="6">
        <v>0</v>
      </c>
      <c r="T224" s="6">
        <v>8</v>
      </c>
      <c r="U224" s="6">
        <v>49</v>
      </c>
      <c r="V224" s="6">
        <f>IF(ISERROR(VLOOKUP($S$224,'TAR FIN'!$A$1:$O$85,15,0)),0,VLOOKUP($S$224,'TAR FIN'!$A$1:$O$85,15,0))</f>
        <v>0</v>
      </c>
      <c r="W224" s="6">
        <f>IF(ISERROR(VLOOKUP($T$224,'TAR FIN'!$A$1:$O$85,15,0)),0,VLOOKUP($T$224,'TAR FIN'!$A$1:$O$85,15,0))</f>
        <v>76.75</v>
      </c>
      <c r="X224" s="6">
        <f>IF(ISERROR(VLOOKUP($U$224,'TAR FIN'!$A$1:$O$85,15,0)),0,VLOOKUP($U$224,'TAR FIN'!$A$1:$O$85,15,0))</f>
        <v>307.08</v>
      </c>
      <c r="Y224" s="6"/>
      <c r="Z224" s="6">
        <f ca="1">('TUSD BE'!$AM$12+'TUSD BF'!$AM$12+'TUSD CVA'!$AM$12)*1</f>
        <v>147.99431148733765</v>
      </c>
      <c r="AA224" s="6">
        <f>('TE BE'!$AB$6+'TE BF'!$AB$6+'TE CVA'!$AB$6)*1</f>
        <v>304.87027853653359</v>
      </c>
      <c r="AB224" s="6">
        <f>$K$224*$V$224</f>
        <v>0</v>
      </c>
      <c r="AC224" s="6">
        <f>$M$224*$W$224</f>
        <v>96251.791250000009</v>
      </c>
      <c r="AD224" s="6">
        <f>$O$224*$X$224</f>
        <v>385107.4926</v>
      </c>
      <c r="AE224" s="6">
        <f>$K$224*$Y$224</f>
        <v>0</v>
      </c>
      <c r="AF224" s="6">
        <f ca="1">$M$224*$Z$224</f>
        <v>185598.92606471272</v>
      </c>
      <c r="AG224" s="6">
        <f>$O$224*$AA$224</f>
        <v>382336.29196127411</v>
      </c>
    </row>
    <row r="225" spans="1:33" ht="11.25" customHeight="1" x14ac:dyDescent="0.25">
      <c r="A225" s="4" t="s">
        <v>28</v>
      </c>
      <c r="B225" s="4" t="s">
        <v>39</v>
      </c>
      <c r="C225" s="4" t="s">
        <v>40</v>
      </c>
      <c r="D225" s="4" t="s">
        <v>41</v>
      </c>
      <c r="E225" s="4" t="s">
        <v>25</v>
      </c>
      <c r="F225" s="4" t="s">
        <v>25</v>
      </c>
      <c r="G225" s="4" t="s">
        <v>25</v>
      </c>
      <c r="H225" s="4" t="s">
        <v>35</v>
      </c>
      <c r="I225" s="5">
        <v>44501</v>
      </c>
      <c r="J225" s="6">
        <v>0</v>
      </c>
      <c r="K225" s="6">
        <v>0</v>
      </c>
      <c r="L225" s="6">
        <v>7.03</v>
      </c>
      <c r="M225" s="6">
        <v>7.03</v>
      </c>
      <c r="N225" s="6">
        <v>7.03</v>
      </c>
      <c r="O225" s="6">
        <v>7.03</v>
      </c>
      <c r="P225" s="6">
        <v>0</v>
      </c>
      <c r="Q225" s="4" t="s">
        <v>26</v>
      </c>
      <c r="R225" s="4">
        <v>0</v>
      </c>
      <c r="S225" s="6">
        <v>0</v>
      </c>
      <c r="T225" s="6">
        <v>8</v>
      </c>
      <c r="U225" s="6">
        <v>49</v>
      </c>
      <c r="V225" s="6">
        <f>IF(ISERROR(VLOOKUP($S$225,'TAR FIN'!$A$1:$O$85,15,0)),0,VLOOKUP($S$225,'TAR FIN'!$A$1:$O$85,15,0))</f>
        <v>0</v>
      </c>
      <c r="W225" s="6">
        <f>IF(ISERROR(VLOOKUP($T$225,'TAR FIN'!$A$1:$O$85,15,0)),0,VLOOKUP($T$225,'TAR FIN'!$A$1:$O$85,15,0))</f>
        <v>76.75</v>
      </c>
      <c r="X225" s="6">
        <f>IF(ISERROR(VLOOKUP($U$225,'TAR FIN'!$A$1:$O$85,15,0)),0,VLOOKUP($U$225,'TAR FIN'!$A$1:$O$85,15,0))</f>
        <v>307.08</v>
      </c>
      <c r="Y225" s="6"/>
      <c r="Z225" s="6">
        <f ca="1">('TUSD BE'!$AM$12+'TUSD BF'!$AM$12+'TUSD CVA'!$AM$12)*1</f>
        <v>147.99431148733765</v>
      </c>
      <c r="AA225" s="6">
        <f>('TE BE'!$AB$6+'TE BF'!$AB$6+'TE CVA'!$AB$6)*1</f>
        <v>304.87027853653359</v>
      </c>
      <c r="AB225" s="6">
        <f>$K$225*$V$225</f>
        <v>0</v>
      </c>
      <c r="AC225" s="6">
        <f>$M$225*$W$225</f>
        <v>539.55250000000001</v>
      </c>
      <c r="AD225" s="6">
        <f>$O$225*$X$225</f>
        <v>2158.7723999999998</v>
      </c>
      <c r="AE225" s="6">
        <f>$K$225*$Y$225</f>
        <v>0</v>
      </c>
      <c r="AF225" s="6">
        <f ca="1">$M$225*$Z$225</f>
        <v>1040.4000097559838</v>
      </c>
      <c r="AG225" s="6">
        <f>$O$225*$AA$225</f>
        <v>2143.2380581118314</v>
      </c>
    </row>
    <row r="226" spans="1:33" ht="11.25" customHeight="1" x14ac:dyDescent="0.25">
      <c r="A226" s="4" t="s">
        <v>21</v>
      </c>
      <c r="B226" s="4" t="s">
        <v>39</v>
      </c>
      <c r="C226" s="4" t="s">
        <v>40</v>
      </c>
      <c r="D226" s="4" t="s">
        <v>41</v>
      </c>
      <c r="E226" s="4" t="s">
        <v>25</v>
      </c>
      <c r="F226" s="4" t="s">
        <v>25</v>
      </c>
      <c r="G226" s="4" t="s">
        <v>25</v>
      </c>
      <c r="H226" s="4" t="s">
        <v>35</v>
      </c>
      <c r="I226" s="5">
        <v>44531</v>
      </c>
      <c r="J226" s="6">
        <v>0</v>
      </c>
      <c r="K226" s="6">
        <v>0</v>
      </c>
      <c r="L226" s="6">
        <v>1338.4469999999999</v>
      </c>
      <c r="M226" s="6">
        <v>1338.4469999999999</v>
      </c>
      <c r="N226" s="6">
        <v>1338.4469999999999</v>
      </c>
      <c r="O226" s="6">
        <v>1338.4469999999999</v>
      </c>
      <c r="P226" s="6">
        <v>0</v>
      </c>
      <c r="Q226" s="4" t="s">
        <v>26</v>
      </c>
      <c r="R226" s="4">
        <v>0</v>
      </c>
      <c r="S226" s="6">
        <v>0</v>
      </c>
      <c r="T226" s="6">
        <v>8</v>
      </c>
      <c r="U226" s="6">
        <v>49</v>
      </c>
      <c r="V226" s="6">
        <f>IF(ISERROR(VLOOKUP($S$226,'TAR FIN'!$A$1:$O$85,15,0)),0,VLOOKUP($S$226,'TAR FIN'!$A$1:$O$85,15,0))</f>
        <v>0</v>
      </c>
      <c r="W226" s="6">
        <f>IF(ISERROR(VLOOKUP($T$226,'TAR FIN'!$A$1:$O$85,15,0)),0,VLOOKUP($T$226,'TAR FIN'!$A$1:$O$85,15,0))</f>
        <v>76.75</v>
      </c>
      <c r="X226" s="6">
        <f>IF(ISERROR(VLOOKUP($U$226,'TAR FIN'!$A$1:$O$85,15,0)),0,VLOOKUP($U$226,'TAR FIN'!$A$1:$O$85,15,0))</f>
        <v>307.08</v>
      </c>
      <c r="Y226" s="6"/>
      <c r="Z226" s="6">
        <f ca="1">('TUSD BE'!$AM$12+'TUSD BF'!$AM$12+'TUSD CVA'!$AM$12)*1</f>
        <v>147.99431148733765</v>
      </c>
      <c r="AA226" s="6">
        <f>('TE BE'!$AB$6+'TE BF'!$AB$6+'TE CVA'!$AB$6)*1</f>
        <v>304.87027853653359</v>
      </c>
      <c r="AB226" s="6">
        <f>$K$226*$V$226</f>
        <v>0</v>
      </c>
      <c r="AC226" s="6">
        <f>$M$226*$W$226</f>
        <v>102725.80725</v>
      </c>
      <c r="AD226" s="6">
        <f>$O$226*$X$226</f>
        <v>411010.30475999997</v>
      </c>
      <c r="AE226" s="6">
        <f>$K$226*$Y$226</f>
        <v>0</v>
      </c>
      <c r="AF226" s="6">
        <f ca="1">$M$226*$Z$226</f>
        <v>198082.54222729261</v>
      </c>
      <c r="AG226" s="6">
        <f>$O$226*$AA$226</f>
        <v>408052.70969638776</v>
      </c>
    </row>
    <row r="227" spans="1:33" ht="11.25" customHeight="1" x14ac:dyDescent="0.25">
      <c r="A227" s="4" t="s">
        <v>28</v>
      </c>
      <c r="B227" s="4" t="s">
        <v>39</v>
      </c>
      <c r="C227" s="4" t="s">
        <v>40</v>
      </c>
      <c r="D227" s="4" t="s">
        <v>41</v>
      </c>
      <c r="E227" s="4" t="s">
        <v>25</v>
      </c>
      <c r="F227" s="4" t="s">
        <v>25</v>
      </c>
      <c r="G227" s="4" t="s">
        <v>25</v>
      </c>
      <c r="H227" s="4" t="s">
        <v>35</v>
      </c>
      <c r="I227" s="5">
        <v>44531</v>
      </c>
      <c r="J227" s="6">
        <v>0</v>
      </c>
      <c r="K227" s="6">
        <v>0</v>
      </c>
      <c r="L227" s="6">
        <v>8.9849999999999994</v>
      </c>
      <c r="M227" s="6">
        <v>8.9849999999999994</v>
      </c>
      <c r="N227" s="6">
        <v>8.9849999999999994</v>
      </c>
      <c r="O227" s="6">
        <v>8.9849999999999994</v>
      </c>
      <c r="P227" s="6">
        <v>0</v>
      </c>
      <c r="Q227" s="4" t="s">
        <v>26</v>
      </c>
      <c r="R227" s="4">
        <v>0</v>
      </c>
      <c r="S227" s="6">
        <v>0</v>
      </c>
      <c r="T227" s="6">
        <v>8</v>
      </c>
      <c r="U227" s="6">
        <v>49</v>
      </c>
      <c r="V227" s="6">
        <f>IF(ISERROR(VLOOKUP($S$227,'TAR FIN'!$A$1:$O$85,15,0)),0,VLOOKUP($S$227,'TAR FIN'!$A$1:$O$85,15,0))</f>
        <v>0</v>
      </c>
      <c r="W227" s="6">
        <f>IF(ISERROR(VLOOKUP($T$227,'TAR FIN'!$A$1:$O$85,15,0)),0,VLOOKUP($T$227,'TAR FIN'!$A$1:$O$85,15,0))</f>
        <v>76.75</v>
      </c>
      <c r="X227" s="6">
        <f>IF(ISERROR(VLOOKUP($U$227,'TAR FIN'!$A$1:$O$85,15,0)),0,VLOOKUP($U$227,'TAR FIN'!$A$1:$O$85,15,0))</f>
        <v>307.08</v>
      </c>
      <c r="Y227" s="6"/>
      <c r="Z227" s="6">
        <f ca="1">('TUSD BE'!$AM$12+'TUSD BF'!$AM$12+'TUSD CVA'!$AM$12)*1</f>
        <v>147.99431148733765</v>
      </c>
      <c r="AA227" s="6">
        <f>('TE BE'!$AB$6+'TE BF'!$AB$6+'TE CVA'!$AB$6)*1</f>
        <v>304.87027853653359</v>
      </c>
      <c r="AB227" s="6">
        <f>$K$227*$V$227</f>
        <v>0</v>
      </c>
      <c r="AC227" s="6">
        <f>$M$227*$W$227</f>
        <v>689.59875</v>
      </c>
      <c r="AD227" s="6">
        <f>$O$227*$X$227</f>
        <v>2759.1137999999996</v>
      </c>
      <c r="AE227" s="6">
        <f>$K$227*$Y$227</f>
        <v>0</v>
      </c>
      <c r="AF227" s="6">
        <f ca="1">$M$227*$Z$227</f>
        <v>1329.7288887137288</v>
      </c>
      <c r="AG227" s="6">
        <f>$O$227*$AA$227</f>
        <v>2739.2594526507542</v>
      </c>
    </row>
    <row r="228" spans="1:33" ht="11.25" customHeight="1" x14ac:dyDescent="0.25">
      <c r="A228" s="4" t="s">
        <v>21</v>
      </c>
      <c r="B228" s="4" t="s">
        <v>39</v>
      </c>
      <c r="C228" s="4" t="s">
        <v>40</v>
      </c>
      <c r="D228" s="4" t="s">
        <v>41</v>
      </c>
      <c r="E228" s="4" t="s">
        <v>25</v>
      </c>
      <c r="F228" s="4" t="s">
        <v>25</v>
      </c>
      <c r="G228" s="4" t="s">
        <v>25</v>
      </c>
      <c r="H228" s="4" t="s">
        <v>35</v>
      </c>
      <c r="I228" s="5">
        <v>44562</v>
      </c>
      <c r="J228" s="6">
        <v>0</v>
      </c>
      <c r="K228" s="6">
        <v>0</v>
      </c>
      <c r="L228" s="6">
        <v>1364.8019999999999</v>
      </c>
      <c r="M228" s="6">
        <v>1364.8019999999999</v>
      </c>
      <c r="N228" s="6">
        <v>1364.8019999999999</v>
      </c>
      <c r="O228" s="6">
        <v>1364.8019999999999</v>
      </c>
      <c r="P228" s="6">
        <v>0</v>
      </c>
      <c r="Q228" s="4" t="s">
        <v>26</v>
      </c>
      <c r="R228" s="4">
        <v>0</v>
      </c>
      <c r="S228" s="6">
        <v>0</v>
      </c>
      <c r="T228" s="6">
        <v>8</v>
      </c>
      <c r="U228" s="6">
        <v>49</v>
      </c>
      <c r="V228" s="6">
        <f>IF(ISERROR(VLOOKUP($S$228,'TAR FIN'!$A$1:$O$85,15,0)),0,VLOOKUP($S$228,'TAR FIN'!$A$1:$O$85,15,0))</f>
        <v>0</v>
      </c>
      <c r="W228" s="6">
        <f>IF(ISERROR(VLOOKUP($T$228,'TAR FIN'!$A$1:$O$85,15,0)),0,VLOOKUP($T$228,'TAR FIN'!$A$1:$O$85,15,0))</f>
        <v>76.75</v>
      </c>
      <c r="X228" s="6">
        <f>IF(ISERROR(VLOOKUP($U$228,'TAR FIN'!$A$1:$O$85,15,0)),0,VLOOKUP($U$228,'TAR FIN'!$A$1:$O$85,15,0))</f>
        <v>307.08</v>
      </c>
      <c r="Y228" s="6"/>
      <c r="Z228" s="6">
        <f ca="1">('TUSD BE'!$AM$12+'TUSD BF'!$AM$12+'TUSD CVA'!$AM$12)*1</f>
        <v>147.99431148733765</v>
      </c>
      <c r="AA228" s="6">
        <f>('TE BE'!$AB$6+'TE BF'!$AB$6+'TE CVA'!$AB$6)*1</f>
        <v>304.87027853653359</v>
      </c>
      <c r="AB228" s="6">
        <f>$K$228*$V$228</f>
        <v>0</v>
      </c>
      <c r="AC228" s="6">
        <f>$M$228*$W$228</f>
        <v>104748.55349999999</v>
      </c>
      <c r="AD228" s="6">
        <f>$O$228*$X$228</f>
        <v>419103.39815999992</v>
      </c>
      <c r="AE228" s="6">
        <f>$K$228*$Y$228</f>
        <v>0</v>
      </c>
      <c r="AF228" s="6">
        <f ca="1">$M$228*$Z$228</f>
        <v>201982.93230654139</v>
      </c>
      <c r="AG228" s="6">
        <f>$O$228*$AA$228</f>
        <v>416087.56588721811</v>
      </c>
    </row>
    <row r="229" spans="1:33" ht="11.25" customHeight="1" x14ac:dyDescent="0.25">
      <c r="A229" s="4" t="s">
        <v>28</v>
      </c>
      <c r="B229" s="4" t="s">
        <v>39</v>
      </c>
      <c r="C229" s="4" t="s">
        <v>40</v>
      </c>
      <c r="D229" s="4" t="s">
        <v>41</v>
      </c>
      <c r="E229" s="4" t="s">
        <v>25</v>
      </c>
      <c r="F229" s="4" t="s">
        <v>25</v>
      </c>
      <c r="G229" s="4" t="s">
        <v>25</v>
      </c>
      <c r="H229" s="4" t="s">
        <v>35</v>
      </c>
      <c r="I229" s="5">
        <v>44562</v>
      </c>
      <c r="J229" s="6">
        <v>0</v>
      </c>
      <c r="K229" s="6">
        <v>0</v>
      </c>
      <c r="L229" s="6">
        <v>4.3630000000000004</v>
      </c>
      <c r="M229" s="6">
        <v>4.3630000000000004</v>
      </c>
      <c r="N229" s="6">
        <v>4.3630000000000004</v>
      </c>
      <c r="O229" s="6">
        <v>4.3630000000000004</v>
      </c>
      <c r="P229" s="6">
        <v>0</v>
      </c>
      <c r="Q229" s="4" t="s">
        <v>26</v>
      </c>
      <c r="R229" s="4">
        <v>0</v>
      </c>
      <c r="S229" s="6">
        <v>0</v>
      </c>
      <c r="T229" s="6">
        <v>8</v>
      </c>
      <c r="U229" s="6">
        <v>49</v>
      </c>
      <c r="V229" s="6">
        <f>IF(ISERROR(VLOOKUP($S$229,'TAR FIN'!$A$1:$O$85,15,0)),0,VLOOKUP($S$229,'TAR FIN'!$A$1:$O$85,15,0))</f>
        <v>0</v>
      </c>
      <c r="W229" s="6">
        <f>IF(ISERROR(VLOOKUP($T$229,'TAR FIN'!$A$1:$O$85,15,0)),0,VLOOKUP($T$229,'TAR FIN'!$A$1:$O$85,15,0))</f>
        <v>76.75</v>
      </c>
      <c r="X229" s="6">
        <f>IF(ISERROR(VLOOKUP($U$229,'TAR FIN'!$A$1:$O$85,15,0)),0,VLOOKUP($U$229,'TAR FIN'!$A$1:$O$85,15,0))</f>
        <v>307.08</v>
      </c>
      <c r="Y229" s="6"/>
      <c r="Z229" s="6">
        <f ca="1">('TUSD BE'!$AM$12+'TUSD BF'!$AM$12+'TUSD CVA'!$AM$12)*1</f>
        <v>147.99431148733765</v>
      </c>
      <c r="AA229" s="6">
        <f>('TE BE'!$AB$6+'TE BF'!$AB$6+'TE CVA'!$AB$6)*1</f>
        <v>304.87027853653359</v>
      </c>
      <c r="AB229" s="6">
        <f>$K$229*$V$229</f>
        <v>0</v>
      </c>
      <c r="AC229" s="6">
        <f>$M$229*$W$229</f>
        <v>334.86025000000001</v>
      </c>
      <c r="AD229" s="6">
        <f>$O$229*$X$229</f>
        <v>1339.7900400000001</v>
      </c>
      <c r="AE229" s="6">
        <f>$K$229*$Y$229</f>
        <v>0</v>
      </c>
      <c r="AF229" s="6">
        <f ca="1">$M$229*$Z$229</f>
        <v>645.6991810192543</v>
      </c>
      <c r="AG229" s="6">
        <f>$O$229*$AA$229</f>
        <v>1330.1490252548963</v>
      </c>
    </row>
    <row r="230" spans="1:33" ht="11.25" customHeight="1" x14ac:dyDescent="0.25">
      <c r="A230" s="4" t="s">
        <v>21</v>
      </c>
      <c r="B230" s="4" t="s">
        <v>39</v>
      </c>
      <c r="C230" s="4" t="s">
        <v>40</v>
      </c>
      <c r="D230" s="4" t="s">
        <v>41</v>
      </c>
      <c r="E230" s="4" t="s">
        <v>25</v>
      </c>
      <c r="F230" s="4" t="s">
        <v>25</v>
      </c>
      <c r="G230" s="4" t="s">
        <v>25</v>
      </c>
      <c r="H230" s="4" t="s">
        <v>35</v>
      </c>
      <c r="I230" s="5">
        <v>44593</v>
      </c>
      <c r="J230" s="6">
        <v>0</v>
      </c>
      <c r="K230" s="6">
        <v>0</v>
      </c>
      <c r="L230" s="6">
        <v>1402.0909999999999</v>
      </c>
      <c r="M230" s="6">
        <v>1402.0909999999999</v>
      </c>
      <c r="N230" s="6">
        <v>1402.0909999999999</v>
      </c>
      <c r="O230" s="6">
        <v>1402.0909999999999</v>
      </c>
      <c r="P230" s="6">
        <v>0</v>
      </c>
      <c r="Q230" s="4" t="s">
        <v>26</v>
      </c>
      <c r="R230" s="4">
        <v>0</v>
      </c>
      <c r="S230" s="6">
        <v>0</v>
      </c>
      <c r="T230" s="6">
        <v>8</v>
      </c>
      <c r="U230" s="6">
        <v>49</v>
      </c>
      <c r="V230" s="6">
        <f>IF(ISERROR(VLOOKUP($S$230,'TAR FIN'!$A$1:$O$85,15,0)),0,VLOOKUP($S$230,'TAR FIN'!$A$1:$O$85,15,0))</f>
        <v>0</v>
      </c>
      <c r="W230" s="6">
        <f>IF(ISERROR(VLOOKUP($T$230,'TAR FIN'!$A$1:$O$85,15,0)),0,VLOOKUP($T$230,'TAR FIN'!$A$1:$O$85,15,0))</f>
        <v>76.75</v>
      </c>
      <c r="X230" s="6">
        <f>IF(ISERROR(VLOOKUP($U$230,'TAR FIN'!$A$1:$O$85,15,0)),0,VLOOKUP($U$230,'TAR FIN'!$A$1:$O$85,15,0))</f>
        <v>307.08</v>
      </c>
      <c r="Y230" s="6"/>
      <c r="Z230" s="6">
        <f ca="1">('TUSD BE'!$AM$12+'TUSD BF'!$AM$12+'TUSD CVA'!$AM$12)*1</f>
        <v>147.99431148733765</v>
      </c>
      <c r="AA230" s="6">
        <f>('TE BE'!$AB$6+'TE BF'!$AB$6+'TE CVA'!$AB$6)*1</f>
        <v>304.87027853653359</v>
      </c>
      <c r="AB230" s="6">
        <f>$K$230*$V$230</f>
        <v>0</v>
      </c>
      <c r="AC230" s="6">
        <f>$M$230*$W$230</f>
        <v>107610.48424999999</v>
      </c>
      <c r="AD230" s="6">
        <f>$O$230*$X$230</f>
        <v>430554.10427999997</v>
      </c>
      <c r="AE230" s="6">
        <f>$K$230*$Y$230</f>
        <v>0</v>
      </c>
      <c r="AF230" s="6">
        <f ca="1">$M$230*$Z$230</f>
        <v>207501.49218759272</v>
      </c>
      <c r="AG230" s="6">
        <f>$O$230*$AA$230</f>
        <v>427455.8737035669</v>
      </c>
    </row>
    <row r="231" spans="1:33" ht="11.25" customHeight="1" x14ac:dyDescent="0.25">
      <c r="A231" s="4" t="s">
        <v>28</v>
      </c>
      <c r="B231" s="4" t="s">
        <v>39</v>
      </c>
      <c r="C231" s="4" t="s">
        <v>40</v>
      </c>
      <c r="D231" s="4" t="s">
        <v>41</v>
      </c>
      <c r="E231" s="4" t="s">
        <v>25</v>
      </c>
      <c r="F231" s="4" t="s">
        <v>25</v>
      </c>
      <c r="G231" s="4" t="s">
        <v>25</v>
      </c>
      <c r="H231" s="4" t="s">
        <v>35</v>
      </c>
      <c r="I231" s="5">
        <v>44593</v>
      </c>
      <c r="J231" s="6">
        <v>0</v>
      </c>
      <c r="K231" s="6">
        <v>0</v>
      </c>
      <c r="L231" s="6">
        <v>1.393</v>
      </c>
      <c r="M231" s="6">
        <v>1.393</v>
      </c>
      <c r="N231" s="6">
        <v>1.393</v>
      </c>
      <c r="O231" s="6">
        <v>1.393</v>
      </c>
      <c r="P231" s="6">
        <v>0</v>
      </c>
      <c r="Q231" s="4" t="s">
        <v>26</v>
      </c>
      <c r="R231" s="4">
        <v>0</v>
      </c>
      <c r="S231" s="6">
        <v>0</v>
      </c>
      <c r="T231" s="6">
        <v>8</v>
      </c>
      <c r="U231" s="6">
        <v>49</v>
      </c>
      <c r="V231" s="6">
        <f>IF(ISERROR(VLOOKUP($S$231,'TAR FIN'!$A$1:$O$85,15,0)),0,VLOOKUP($S$231,'TAR FIN'!$A$1:$O$85,15,0))</f>
        <v>0</v>
      </c>
      <c r="W231" s="6">
        <f>IF(ISERROR(VLOOKUP($T$231,'TAR FIN'!$A$1:$O$85,15,0)),0,VLOOKUP($T$231,'TAR FIN'!$A$1:$O$85,15,0))</f>
        <v>76.75</v>
      </c>
      <c r="X231" s="6">
        <f>IF(ISERROR(VLOOKUP($U$231,'TAR FIN'!$A$1:$O$85,15,0)),0,VLOOKUP($U$231,'TAR FIN'!$A$1:$O$85,15,0))</f>
        <v>307.08</v>
      </c>
      <c r="Y231" s="6"/>
      <c r="Z231" s="6">
        <f ca="1">('TUSD BE'!$AM$12+'TUSD BF'!$AM$12+'TUSD CVA'!$AM$12)*1</f>
        <v>147.99431148733765</v>
      </c>
      <c r="AA231" s="6">
        <f>('TE BE'!$AB$6+'TE BF'!$AB$6+'TE CVA'!$AB$6)*1</f>
        <v>304.87027853653359</v>
      </c>
      <c r="AB231" s="6">
        <f>$K$231*$V$231</f>
        <v>0</v>
      </c>
      <c r="AC231" s="6">
        <f>$M$231*$W$231</f>
        <v>106.91275</v>
      </c>
      <c r="AD231" s="6">
        <f>$O$231*$X$231</f>
        <v>427.76243999999997</v>
      </c>
      <c r="AE231" s="6">
        <f>$K$231*$Y$231</f>
        <v>0</v>
      </c>
      <c r="AF231" s="6">
        <f ca="1">$M$231*$Z$231</f>
        <v>206.15607590186136</v>
      </c>
      <c r="AG231" s="6">
        <f>$O$231*$AA$231</f>
        <v>424.68429800139131</v>
      </c>
    </row>
    <row r="232" spans="1:33" ht="11.25" customHeight="1" x14ac:dyDescent="0.25">
      <c r="A232" s="4" t="s">
        <v>21</v>
      </c>
      <c r="B232" s="4" t="s">
        <v>39</v>
      </c>
      <c r="C232" s="4" t="s">
        <v>40</v>
      </c>
      <c r="D232" s="4" t="s">
        <v>41</v>
      </c>
      <c r="E232" s="4" t="s">
        <v>25</v>
      </c>
      <c r="F232" s="4" t="s">
        <v>25</v>
      </c>
      <c r="G232" s="4" t="s">
        <v>25</v>
      </c>
      <c r="H232" s="4" t="s">
        <v>35</v>
      </c>
      <c r="I232" s="5">
        <v>44621</v>
      </c>
      <c r="J232" s="6">
        <v>0</v>
      </c>
      <c r="K232" s="6">
        <v>0</v>
      </c>
      <c r="L232" s="6">
        <v>1503.116</v>
      </c>
      <c r="M232" s="6">
        <v>1503.116</v>
      </c>
      <c r="N232" s="6">
        <v>1503.116</v>
      </c>
      <c r="O232" s="6">
        <v>1503.116</v>
      </c>
      <c r="P232" s="6">
        <v>0</v>
      </c>
      <c r="Q232" s="4" t="s">
        <v>26</v>
      </c>
      <c r="R232" s="4">
        <v>0</v>
      </c>
      <c r="S232" s="6">
        <v>0</v>
      </c>
      <c r="T232" s="6">
        <v>8</v>
      </c>
      <c r="U232" s="6">
        <v>49</v>
      </c>
      <c r="V232" s="6">
        <f>IF(ISERROR(VLOOKUP($S$232,'TAR FIN'!$A$1:$O$85,15,0)),0,VLOOKUP($S$232,'TAR FIN'!$A$1:$O$85,15,0))</f>
        <v>0</v>
      </c>
      <c r="W232" s="6">
        <f>IF(ISERROR(VLOOKUP($T$232,'TAR FIN'!$A$1:$O$85,15,0)),0,VLOOKUP($T$232,'TAR FIN'!$A$1:$O$85,15,0))</f>
        <v>76.75</v>
      </c>
      <c r="X232" s="6">
        <f>IF(ISERROR(VLOOKUP($U$232,'TAR FIN'!$A$1:$O$85,15,0)),0,VLOOKUP($U$232,'TAR FIN'!$A$1:$O$85,15,0))</f>
        <v>307.08</v>
      </c>
      <c r="Y232" s="6"/>
      <c r="Z232" s="6">
        <f ca="1">('TUSD BE'!$AM$12+'TUSD BF'!$AM$12+'TUSD CVA'!$AM$12)*1</f>
        <v>147.99431148733765</v>
      </c>
      <c r="AA232" s="6">
        <f>('TE BE'!$AB$6+'TE BF'!$AB$6+'TE CVA'!$AB$6)*1</f>
        <v>304.87027853653359</v>
      </c>
      <c r="AB232" s="6">
        <f>$K$232*$V$232</f>
        <v>0</v>
      </c>
      <c r="AC232" s="6">
        <f>$M$232*$W$232</f>
        <v>115364.15300000001</v>
      </c>
      <c r="AD232" s="6">
        <f>$O$232*$X$232</f>
        <v>461576.86127999995</v>
      </c>
      <c r="AE232" s="6">
        <f>$K$232*$Y$232</f>
        <v>0</v>
      </c>
      <c r="AF232" s="6">
        <f ca="1">$M$232*$Z$232</f>
        <v>222452.61750560103</v>
      </c>
      <c r="AG232" s="6">
        <f>$O$232*$AA$232</f>
        <v>458255.39359272021</v>
      </c>
    </row>
    <row r="233" spans="1:33" ht="11.25" customHeight="1" x14ac:dyDescent="0.25">
      <c r="A233" s="4" t="s">
        <v>28</v>
      </c>
      <c r="B233" s="4" t="s">
        <v>39</v>
      </c>
      <c r="C233" s="4" t="s">
        <v>40</v>
      </c>
      <c r="D233" s="4" t="s">
        <v>41</v>
      </c>
      <c r="E233" s="4" t="s">
        <v>25</v>
      </c>
      <c r="F233" s="4" t="s">
        <v>25</v>
      </c>
      <c r="G233" s="4" t="s">
        <v>25</v>
      </c>
      <c r="H233" s="4" t="s">
        <v>35</v>
      </c>
      <c r="I233" s="5">
        <v>44621</v>
      </c>
      <c r="J233" s="6">
        <v>0</v>
      </c>
      <c r="K233" s="6">
        <v>0</v>
      </c>
      <c r="L233" s="6">
        <v>3.0670000000000002</v>
      </c>
      <c r="M233" s="6">
        <v>3.0670000000000002</v>
      </c>
      <c r="N233" s="6">
        <v>3.0670000000000002</v>
      </c>
      <c r="O233" s="6">
        <v>3.0670000000000002</v>
      </c>
      <c r="P233" s="6">
        <v>0</v>
      </c>
      <c r="Q233" s="4" t="s">
        <v>26</v>
      </c>
      <c r="R233" s="4">
        <v>0</v>
      </c>
      <c r="S233" s="6">
        <v>0</v>
      </c>
      <c r="T233" s="6">
        <v>8</v>
      </c>
      <c r="U233" s="6">
        <v>49</v>
      </c>
      <c r="V233" s="6">
        <f>IF(ISERROR(VLOOKUP($S$233,'TAR FIN'!$A$1:$O$85,15,0)),0,VLOOKUP($S$233,'TAR FIN'!$A$1:$O$85,15,0))</f>
        <v>0</v>
      </c>
      <c r="W233" s="6">
        <f>IF(ISERROR(VLOOKUP($T$233,'TAR FIN'!$A$1:$O$85,15,0)),0,VLOOKUP($T$233,'TAR FIN'!$A$1:$O$85,15,0))</f>
        <v>76.75</v>
      </c>
      <c r="X233" s="6">
        <f>IF(ISERROR(VLOOKUP($U$233,'TAR FIN'!$A$1:$O$85,15,0)),0,VLOOKUP($U$233,'TAR FIN'!$A$1:$O$85,15,0))</f>
        <v>307.08</v>
      </c>
      <c r="Y233" s="6"/>
      <c r="Z233" s="6">
        <f ca="1">('TUSD BE'!$AM$12+'TUSD BF'!$AM$12+'TUSD CVA'!$AM$12)*1</f>
        <v>147.99431148733765</v>
      </c>
      <c r="AA233" s="6">
        <f>('TE BE'!$AB$6+'TE BF'!$AB$6+'TE CVA'!$AB$6)*1</f>
        <v>304.87027853653359</v>
      </c>
      <c r="AB233" s="6">
        <f>$K$233*$V$233</f>
        <v>0</v>
      </c>
      <c r="AC233" s="6">
        <f>$M$233*$W$233</f>
        <v>235.39225000000002</v>
      </c>
      <c r="AD233" s="6">
        <f>$O$233*$X$233</f>
        <v>941.81435999999997</v>
      </c>
      <c r="AE233" s="6">
        <f>$K$233*$Y$233</f>
        <v>0</v>
      </c>
      <c r="AF233" s="6">
        <f ca="1">$M$233*$Z$233</f>
        <v>453.89855333166463</v>
      </c>
      <c r="AG233" s="6">
        <f>$O$233*$AA$233</f>
        <v>935.03714427154853</v>
      </c>
    </row>
    <row r="234" spans="1:33" ht="11.25" customHeight="1" x14ac:dyDescent="0.25">
      <c r="A234" s="4" t="s">
        <v>21</v>
      </c>
      <c r="B234" s="4" t="s">
        <v>39</v>
      </c>
      <c r="C234" s="4" t="s">
        <v>40</v>
      </c>
      <c r="D234" s="4" t="s">
        <v>41</v>
      </c>
      <c r="E234" s="4" t="s">
        <v>25</v>
      </c>
      <c r="F234" s="4" t="s">
        <v>25</v>
      </c>
      <c r="G234" s="4" t="s">
        <v>25</v>
      </c>
      <c r="H234" s="4" t="s">
        <v>35</v>
      </c>
      <c r="I234" s="5">
        <v>44652</v>
      </c>
      <c r="J234" s="6">
        <v>0</v>
      </c>
      <c r="K234" s="6">
        <v>0</v>
      </c>
      <c r="L234" s="6">
        <v>1332.9480000000001</v>
      </c>
      <c r="M234" s="6">
        <v>1332.9480000000001</v>
      </c>
      <c r="N234" s="6">
        <v>1332.9480000000001</v>
      </c>
      <c r="O234" s="6">
        <v>1332.9480000000001</v>
      </c>
      <c r="P234" s="6">
        <v>0</v>
      </c>
      <c r="Q234" s="4" t="s">
        <v>26</v>
      </c>
      <c r="R234" s="4">
        <v>0</v>
      </c>
      <c r="S234" s="6">
        <v>0</v>
      </c>
      <c r="T234" s="6">
        <v>8</v>
      </c>
      <c r="U234" s="6">
        <v>49</v>
      </c>
      <c r="V234" s="6">
        <f>IF(ISERROR(VLOOKUP($S$234,'TAR FIN'!$A$1:$O$85,15,0)),0,VLOOKUP($S$234,'TAR FIN'!$A$1:$O$85,15,0))</f>
        <v>0</v>
      </c>
      <c r="W234" s="6">
        <f>IF(ISERROR(VLOOKUP($T$234,'TAR FIN'!$A$1:$O$85,15,0)),0,VLOOKUP($T$234,'TAR FIN'!$A$1:$O$85,15,0))</f>
        <v>76.75</v>
      </c>
      <c r="X234" s="6">
        <f>IF(ISERROR(VLOOKUP($U$234,'TAR FIN'!$A$1:$O$85,15,0)),0,VLOOKUP($U$234,'TAR FIN'!$A$1:$O$85,15,0))</f>
        <v>307.08</v>
      </c>
      <c r="Y234" s="6"/>
      <c r="Z234" s="6">
        <f ca="1">('TUSD BE'!$AM$12+'TUSD BF'!$AM$12+'TUSD CVA'!$AM$12)*1</f>
        <v>147.99431148733765</v>
      </c>
      <c r="AA234" s="6">
        <f>('TE BE'!$AB$6+'TE BF'!$AB$6+'TE CVA'!$AB$6)*1</f>
        <v>304.87027853653359</v>
      </c>
      <c r="AB234" s="6">
        <f>$K$234*$V$234</f>
        <v>0</v>
      </c>
      <c r="AC234" s="6">
        <f>$M$234*$W$234</f>
        <v>102303.75900000001</v>
      </c>
      <c r="AD234" s="6">
        <f>$O$234*$X$234</f>
        <v>409321.67184000002</v>
      </c>
      <c r="AE234" s="6">
        <f>$K$234*$Y$234</f>
        <v>0</v>
      </c>
      <c r="AF234" s="6">
        <f ca="1">$M$234*$Z$234</f>
        <v>197268.72150842377</v>
      </c>
      <c r="AG234" s="6">
        <f>$O$234*$AA$234</f>
        <v>406376.2280347154</v>
      </c>
    </row>
    <row r="235" spans="1:33" ht="11.25" customHeight="1" x14ac:dyDescent="0.25">
      <c r="A235" s="4" t="s">
        <v>28</v>
      </c>
      <c r="B235" s="4" t="s">
        <v>39</v>
      </c>
      <c r="C235" s="4" t="s">
        <v>40</v>
      </c>
      <c r="D235" s="4" t="s">
        <v>41</v>
      </c>
      <c r="E235" s="4" t="s">
        <v>25</v>
      </c>
      <c r="F235" s="4" t="s">
        <v>25</v>
      </c>
      <c r="G235" s="4" t="s">
        <v>25</v>
      </c>
      <c r="H235" s="4" t="s">
        <v>35</v>
      </c>
      <c r="I235" s="5">
        <v>44652</v>
      </c>
      <c r="J235" s="6">
        <v>0</v>
      </c>
      <c r="K235" s="6">
        <v>0</v>
      </c>
      <c r="L235" s="6">
        <v>8.24</v>
      </c>
      <c r="M235" s="6">
        <v>8.24</v>
      </c>
      <c r="N235" s="6">
        <v>8.24</v>
      </c>
      <c r="O235" s="6">
        <v>8.24</v>
      </c>
      <c r="P235" s="6">
        <v>0</v>
      </c>
      <c r="Q235" s="4" t="s">
        <v>26</v>
      </c>
      <c r="R235" s="4">
        <v>0</v>
      </c>
      <c r="S235" s="6">
        <v>0</v>
      </c>
      <c r="T235" s="6">
        <v>8</v>
      </c>
      <c r="U235" s="6">
        <v>49</v>
      </c>
      <c r="V235" s="6">
        <f>IF(ISERROR(VLOOKUP($S$235,'TAR FIN'!$A$1:$O$85,15,0)),0,VLOOKUP($S$235,'TAR FIN'!$A$1:$O$85,15,0))</f>
        <v>0</v>
      </c>
      <c r="W235" s="6">
        <f>IF(ISERROR(VLOOKUP($T$235,'TAR FIN'!$A$1:$O$85,15,0)),0,VLOOKUP($T$235,'TAR FIN'!$A$1:$O$85,15,0))</f>
        <v>76.75</v>
      </c>
      <c r="X235" s="6">
        <f>IF(ISERROR(VLOOKUP($U$235,'TAR FIN'!$A$1:$O$85,15,0)),0,VLOOKUP($U$235,'TAR FIN'!$A$1:$O$85,15,0))</f>
        <v>307.08</v>
      </c>
      <c r="Y235" s="6"/>
      <c r="Z235" s="6">
        <f ca="1">('TUSD BE'!$AM$12+'TUSD BF'!$AM$12+'TUSD CVA'!$AM$12)*1</f>
        <v>147.99431148733765</v>
      </c>
      <c r="AA235" s="6">
        <f>('TE BE'!$AB$6+'TE BF'!$AB$6+'TE CVA'!$AB$6)*1</f>
        <v>304.87027853653359</v>
      </c>
      <c r="AB235" s="6">
        <f>$K$235*$V$235</f>
        <v>0</v>
      </c>
      <c r="AC235" s="6">
        <f>$M$235*$W$235</f>
        <v>632.42000000000007</v>
      </c>
      <c r="AD235" s="6">
        <f>$O$235*$X$235</f>
        <v>2530.3391999999999</v>
      </c>
      <c r="AE235" s="6">
        <f>$K$235*$Y$235</f>
        <v>0</v>
      </c>
      <c r="AF235" s="6">
        <f ca="1">$M$235*$Z$235</f>
        <v>1219.4731266556623</v>
      </c>
      <c r="AG235" s="6">
        <f>$O$235*$AA$235</f>
        <v>2512.1310951410369</v>
      </c>
    </row>
    <row r="236" spans="1:33" ht="11.25" customHeight="1" x14ac:dyDescent="0.25">
      <c r="A236" s="4" t="s">
        <v>21</v>
      </c>
      <c r="B236" s="4" t="s">
        <v>39</v>
      </c>
      <c r="C236" s="4" t="s">
        <v>40</v>
      </c>
      <c r="D236" s="4" t="s">
        <v>41</v>
      </c>
      <c r="E236" s="4" t="s">
        <v>25</v>
      </c>
      <c r="F236" s="4" t="s">
        <v>25</v>
      </c>
      <c r="G236" s="4" t="s">
        <v>25</v>
      </c>
      <c r="H236" s="4" t="s">
        <v>35</v>
      </c>
      <c r="I236" s="5">
        <v>44682</v>
      </c>
      <c r="J236" s="6">
        <v>0</v>
      </c>
      <c r="K236" s="6">
        <v>0</v>
      </c>
      <c r="L236" s="6">
        <v>1192.0219999999999</v>
      </c>
      <c r="M236" s="6">
        <v>1192.0219999999999</v>
      </c>
      <c r="N236" s="6">
        <v>1192.0219999999999</v>
      </c>
      <c r="O236" s="6">
        <v>1192.0219999999999</v>
      </c>
      <c r="P236" s="6">
        <v>0</v>
      </c>
      <c r="Q236" s="4" t="s">
        <v>26</v>
      </c>
      <c r="R236" s="4">
        <v>0</v>
      </c>
      <c r="S236" s="6">
        <v>0</v>
      </c>
      <c r="T236" s="6">
        <v>8</v>
      </c>
      <c r="U236" s="6">
        <v>49</v>
      </c>
      <c r="V236" s="6">
        <f>IF(ISERROR(VLOOKUP($S$236,'TAR FIN'!$A$1:$O$85,15,0)),0,VLOOKUP($S$236,'TAR FIN'!$A$1:$O$85,15,0))</f>
        <v>0</v>
      </c>
      <c r="W236" s="6">
        <f>IF(ISERROR(VLOOKUP($T$236,'TAR FIN'!$A$1:$O$85,15,0)),0,VLOOKUP($T$236,'TAR FIN'!$A$1:$O$85,15,0))</f>
        <v>76.75</v>
      </c>
      <c r="X236" s="6">
        <f>IF(ISERROR(VLOOKUP($U$236,'TAR FIN'!$A$1:$O$85,15,0)),0,VLOOKUP($U$236,'TAR FIN'!$A$1:$O$85,15,0))</f>
        <v>307.08</v>
      </c>
      <c r="Y236" s="6"/>
      <c r="Z236" s="6">
        <f ca="1">('TUSD BE'!$AM$12+'TUSD BF'!$AM$12+'TUSD CVA'!$AM$12)*1</f>
        <v>147.99431148733765</v>
      </c>
      <c r="AA236" s="6">
        <f>('TE BE'!$AB$6+'TE BF'!$AB$6+'TE CVA'!$AB$6)*1</f>
        <v>304.87027853653359</v>
      </c>
      <c r="AB236" s="6">
        <f>$K$236*$V$236</f>
        <v>0</v>
      </c>
      <c r="AC236" s="6">
        <f>$M$236*$W$236</f>
        <v>91487.688499999989</v>
      </c>
      <c r="AD236" s="6">
        <f>$O$236*$X$236</f>
        <v>366046.11575999996</v>
      </c>
      <c r="AE236" s="6">
        <f>$K$236*$Y$236</f>
        <v>0</v>
      </c>
      <c r="AF236" s="6">
        <f ca="1">$M$236*$Z$236</f>
        <v>176412.4751677592</v>
      </c>
      <c r="AG236" s="6">
        <f>$O$236*$AA$236</f>
        <v>363412.07916167582</v>
      </c>
    </row>
    <row r="237" spans="1:33" ht="11.25" customHeight="1" x14ac:dyDescent="0.25">
      <c r="A237" s="4" t="s">
        <v>28</v>
      </c>
      <c r="B237" s="4" t="s">
        <v>39</v>
      </c>
      <c r="C237" s="4" t="s">
        <v>40</v>
      </c>
      <c r="D237" s="4" t="s">
        <v>41</v>
      </c>
      <c r="E237" s="4" t="s">
        <v>25</v>
      </c>
      <c r="F237" s="4" t="s">
        <v>25</v>
      </c>
      <c r="G237" s="4" t="s">
        <v>25</v>
      </c>
      <c r="H237" s="4" t="s">
        <v>35</v>
      </c>
      <c r="I237" s="5">
        <v>44682</v>
      </c>
      <c r="J237" s="6">
        <v>0</v>
      </c>
      <c r="K237" s="6">
        <v>0</v>
      </c>
      <c r="L237" s="6">
        <v>9.298</v>
      </c>
      <c r="M237" s="6">
        <v>9.298</v>
      </c>
      <c r="N237" s="6">
        <v>9.298</v>
      </c>
      <c r="O237" s="6">
        <v>9.298</v>
      </c>
      <c r="P237" s="6">
        <v>0</v>
      </c>
      <c r="Q237" s="4" t="s">
        <v>26</v>
      </c>
      <c r="R237" s="4">
        <v>0</v>
      </c>
      <c r="S237" s="6">
        <v>0</v>
      </c>
      <c r="T237" s="6">
        <v>8</v>
      </c>
      <c r="U237" s="6">
        <v>49</v>
      </c>
      <c r="V237" s="6">
        <f>IF(ISERROR(VLOOKUP($S$237,'TAR FIN'!$A$1:$O$85,15,0)),0,VLOOKUP($S$237,'TAR FIN'!$A$1:$O$85,15,0))</f>
        <v>0</v>
      </c>
      <c r="W237" s="6">
        <f>IF(ISERROR(VLOOKUP($T$237,'TAR FIN'!$A$1:$O$85,15,0)),0,VLOOKUP($T$237,'TAR FIN'!$A$1:$O$85,15,0))</f>
        <v>76.75</v>
      </c>
      <c r="X237" s="6">
        <f>IF(ISERROR(VLOOKUP($U$237,'TAR FIN'!$A$1:$O$85,15,0)),0,VLOOKUP($U$237,'TAR FIN'!$A$1:$O$85,15,0))</f>
        <v>307.08</v>
      </c>
      <c r="Y237" s="6"/>
      <c r="Z237" s="6">
        <f ca="1">('TUSD BE'!$AM$12+'TUSD BF'!$AM$12+'TUSD CVA'!$AM$12)*1</f>
        <v>147.99431148733765</v>
      </c>
      <c r="AA237" s="6">
        <f>('TE BE'!$AB$6+'TE BF'!$AB$6+'TE CVA'!$AB$6)*1</f>
        <v>304.87027853653359</v>
      </c>
      <c r="AB237" s="6">
        <f>$K$237*$V$237</f>
        <v>0</v>
      </c>
      <c r="AC237" s="6">
        <f>$M$237*$W$237</f>
        <v>713.62149999999997</v>
      </c>
      <c r="AD237" s="6">
        <f>$O$237*$X$237</f>
        <v>2855.22984</v>
      </c>
      <c r="AE237" s="6">
        <f>$K$237*$Y$237</f>
        <v>0</v>
      </c>
      <c r="AF237" s="6">
        <f ca="1">$M$237*$Z$237</f>
        <v>1376.0511082092655</v>
      </c>
      <c r="AG237" s="6">
        <f>$O$237*$AA$237</f>
        <v>2834.6838498326892</v>
      </c>
    </row>
    <row r="238" spans="1:33" ht="11.25" customHeight="1" x14ac:dyDescent="0.25">
      <c r="A238" s="4" t="s">
        <v>21</v>
      </c>
      <c r="B238" s="4" t="s">
        <v>39</v>
      </c>
      <c r="C238" s="4" t="s">
        <v>40</v>
      </c>
      <c r="D238" s="4" t="s">
        <v>41</v>
      </c>
      <c r="E238" s="4" t="s">
        <v>25</v>
      </c>
      <c r="F238" s="4" t="s">
        <v>25</v>
      </c>
      <c r="G238" s="4" t="s">
        <v>25</v>
      </c>
      <c r="H238" s="4" t="s">
        <v>35</v>
      </c>
      <c r="I238" s="5">
        <v>44713</v>
      </c>
      <c r="J238" s="6">
        <v>0</v>
      </c>
      <c r="K238" s="6">
        <v>0</v>
      </c>
      <c r="L238" s="6">
        <v>1102.452</v>
      </c>
      <c r="M238" s="6">
        <v>1102.452</v>
      </c>
      <c r="N238" s="6">
        <v>1102.452</v>
      </c>
      <c r="O238" s="6">
        <v>1102.452</v>
      </c>
      <c r="P238" s="6">
        <v>0</v>
      </c>
      <c r="Q238" s="4" t="s">
        <v>26</v>
      </c>
      <c r="R238" s="4">
        <v>0</v>
      </c>
      <c r="S238" s="6">
        <v>0</v>
      </c>
      <c r="T238" s="6">
        <v>8</v>
      </c>
      <c r="U238" s="6">
        <v>49</v>
      </c>
      <c r="V238" s="6">
        <f>IF(ISERROR(VLOOKUP($S$238,'TAR FIN'!$A$1:$O$85,15,0)),0,VLOOKUP($S$238,'TAR FIN'!$A$1:$O$85,15,0))</f>
        <v>0</v>
      </c>
      <c r="W238" s="6">
        <f>IF(ISERROR(VLOOKUP($T$238,'TAR FIN'!$A$1:$O$85,15,0)),0,VLOOKUP($T$238,'TAR FIN'!$A$1:$O$85,15,0))</f>
        <v>76.75</v>
      </c>
      <c r="X238" s="6">
        <f>IF(ISERROR(VLOOKUP($U$238,'TAR FIN'!$A$1:$O$85,15,0)),0,VLOOKUP($U$238,'TAR FIN'!$A$1:$O$85,15,0))</f>
        <v>307.08</v>
      </c>
      <c r="Y238" s="6"/>
      <c r="Z238" s="6">
        <f ca="1">('TUSD BE'!$AM$12+'TUSD BF'!$AM$12+'TUSD CVA'!$AM$12)*1</f>
        <v>147.99431148733765</v>
      </c>
      <c r="AA238" s="6">
        <f>('TE BE'!$AB$6+'TE BF'!$AB$6+'TE CVA'!$AB$6)*1</f>
        <v>304.87027853653359</v>
      </c>
      <c r="AB238" s="6">
        <f>$K$238*$V$238</f>
        <v>0</v>
      </c>
      <c r="AC238" s="6">
        <f>$M$238*$W$238</f>
        <v>84613.191000000006</v>
      </c>
      <c r="AD238" s="6">
        <f>$O$238*$X$238</f>
        <v>338540.96015999996</v>
      </c>
      <c r="AE238" s="6">
        <f>$K$238*$Y$238</f>
        <v>0</v>
      </c>
      <c r="AF238" s="6">
        <f ca="1">$M$238*$Z$238</f>
        <v>163156.62468783837</v>
      </c>
      <c r="AG238" s="6">
        <f>$O$238*$AA$238</f>
        <v>336104.84831315855</v>
      </c>
    </row>
    <row r="239" spans="1:33" ht="11.25" customHeight="1" x14ac:dyDescent="0.25">
      <c r="A239" s="4" t="s">
        <v>28</v>
      </c>
      <c r="B239" s="4" t="s">
        <v>39</v>
      </c>
      <c r="C239" s="4" t="s">
        <v>40</v>
      </c>
      <c r="D239" s="4" t="s">
        <v>41</v>
      </c>
      <c r="E239" s="4" t="s">
        <v>25</v>
      </c>
      <c r="F239" s="4" t="s">
        <v>25</v>
      </c>
      <c r="G239" s="4" t="s">
        <v>25</v>
      </c>
      <c r="H239" s="4" t="s">
        <v>35</v>
      </c>
      <c r="I239" s="5">
        <v>44713</v>
      </c>
      <c r="J239" s="6">
        <v>0</v>
      </c>
      <c r="K239" s="6">
        <v>0</v>
      </c>
      <c r="L239" s="6">
        <v>8.8559999999999999</v>
      </c>
      <c r="M239" s="6">
        <v>8.8559999999999999</v>
      </c>
      <c r="N239" s="6">
        <v>8.8559999999999999</v>
      </c>
      <c r="O239" s="6">
        <v>8.8559999999999999</v>
      </c>
      <c r="P239" s="6">
        <v>0</v>
      </c>
      <c r="Q239" s="4" t="s">
        <v>26</v>
      </c>
      <c r="R239" s="4">
        <v>0</v>
      </c>
      <c r="S239" s="6">
        <v>0</v>
      </c>
      <c r="T239" s="6">
        <v>8</v>
      </c>
      <c r="U239" s="6">
        <v>49</v>
      </c>
      <c r="V239" s="6">
        <f>IF(ISERROR(VLOOKUP($S$239,'TAR FIN'!$A$1:$O$85,15,0)),0,VLOOKUP($S$239,'TAR FIN'!$A$1:$O$85,15,0))</f>
        <v>0</v>
      </c>
      <c r="W239" s="6">
        <f>IF(ISERROR(VLOOKUP($T$239,'TAR FIN'!$A$1:$O$85,15,0)),0,VLOOKUP($T$239,'TAR FIN'!$A$1:$O$85,15,0))</f>
        <v>76.75</v>
      </c>
      <c r="X239" s="6">
        <f>IF(ISERROR(VLOOKUP($U$239,'TAR FIN'!$A$1:$O$85,15,0)),0,VLOOKUP($U$239,'TAR FIN'!$A$1:$O$85,15,0))</f>
        <v>307.08</v>
      </c>
      <c r="Y239" s="6"/>
      <c r="Z239" s="6">
        <f ca="1">('TUSD BE'!$AM$12+'TUSD BF'!$AM$12+'TUSD CVA'!$AM$12)*1</f>
        <v>147.99431148733765</v>
      </c>
      <c r="AA239" s="6">
        <f>('TE BE'!$AB$6+'TE BF'!$AB$6+'TE CVA'!$AB$6)*1</f>
        <v>304.87027853653359</v>
      </c>
      <c r="AB239" s="6">
        <f>$K$239*$V$239</f>
        <v>0</v>
      </c>
      <c r="AC239" s="6">
        <f>$M$239*$W$239</f>
        <v>679.69799999999998</v>
      </c>
      <c r="AD239" s="6">
        <f>$O$239*$X$239</f>
        <v>2719.5004799999997</v>
      </c>
      <c r="AE239" s="6">
        <f>$K$239*$Y$239</f>
        <v>0</v>
      </c>
      <c r="AF239" s="6">
        <f ca="1">$M$239*$Z$239</f>
        <v>1310.6376225318622</v>
      </c>
      <c r="AG239" s="6">
        <f>$O$239*$AA$239</f>
        <v>2699.9311867195415</v>
      </c>
    </row>
    <row r="240" spans="1:33" ht="11.25" customHeight="1" x14ac:dyDescent="0.25">
      <c r="A240" s="4" t="s">
        <v>21</v>
      </c>
      <c r="B240" s="4" t="s">
        <v>39</v>
      </c>
      <c r="C240" s="4" t="s">
        <v>40</v>
      </c>
      <c r="D240" s="4" t="s">
        <v>41</v>
      </c>
      <c r="E240" s="4" t="s">
        <v>25</v>
      </c>
      <c r="F240" s="4" t="s">
        <v>25</v>
      </c>
      <c r="G240" s="4" t="s">
        <v>25</v>
      </c>
      <c r="H240" s="4" t="s">
        <v>35</v>
      </c>
      <c r="I240" s="5">
        <v>44743</v>
      </c>
      <c r="J240" s="6">
        <v>0</v>
      </c>
      <c r="K240" s="6">
        <v>0</v>
      </c>
      <c r="L240" s="6">
        <v>1062.107</v>
      </c>
      <c r="M240" s="6">
        <v>1062.107</v>
      </c>
      <c r="N240" s="6">
        <v>1062.107</v>
      </c>
      <c r="O240" s="6">
        <v>1062.107</v>
      </c>
      <c r="P240" s="6">
        <v>0</v>
      </c>
      <c r="Q240" s="4" t="s">
        <v>26</v>
      </c>
      <c r="R240" s="4">
        <v>0</v>
      </c>
      <c r="S240" s="6">
        <v>0</v>
      </c>
      <c r="T240" s="6">
        <v>8</v>
      </c>
      <c r="U240" s="6">
        <v>49</v>
      </c>
      <c r="V240" s="6">
        <f>IF(ISERROR(VLOOKUP($S$240,'TAR FIN'!$A$1:$O$85,15,0)),0,VLOOKUP($S$240,'TAR FIN'!$A$1:$O$85,15,0))</f>
        <v>0</v>
      </c>
      <c r="W240" s="6">
        <f>IF(ISERROR(VLOOKUP($T$240,'TAR FIN'!$A$1:$O$85,15,0)),0,VLOOKUP($T$240,'TAR FIN'!$A$1:$O$85,15,0))</f>
        <v>76.75</v>
      </c>
      <c r="X240" s="6">
        <f>IF(ISERROR(VLOOKUP($U$240,'TAR FIN'!$A$1:$O$85,15,0)),0,VLOOKUP($U$240,'TAR FIN'!$A$1:$O$85,15,0))</f>
        <v>307.08</v>
      </c>
      <c r="Y240" s="6"/>
      <c r="Z240" s="6">
        <f ca="1">('TUSD BE'!$AM$12+'TUSD BF'!$AM$12+'TUSD CVA'!$AM$12)*1</f>
        <v>147.99431148733765</v>
      </c>
      <c r="AA240" s="6">
        <f>('TE BE'!$AB$6+'TE BF'!$AB$6+'TE CVA'!$AB$6)*1</f>
        <v>304.87027853653359</v>
      </c>
      <c r="AB240" s="6">
        <f>$K$240*$V$240</f>
        <v>0</v>
      </c>
      <c r="AC240" s="6">
        <f>$M$240*$W$240</f>
        <v>81516.712249999997</v>
      </c>
      <c r="AD240" s="6">
        <f>$O$240*$X$240</f>
        <v>326151.81756</v>
      </c>
      <c r="AE240" s="6">
        <f>$K$240*$Y$240</f>
        <v>0</v>
      </c>
      <c r="AF240" s="6">
        <f ca="1">$M$240*$Z$240</f>
        <v>157185.79419088172</v>
      </c>
      <c r="AG240" s="6">
        <f>$O$240*$AA$240</f>
        <v>323804.85692560207</v>
      </c>
    </row>
    <row r="241" spans="1:33" ht="11.25" customHeight="1" x14ac:dyDescent="0.25">
      <c r="A241" s="4" t="s">
        <v>28</v>
      </c>
      <c r="B241" s="4" t="s">
        <v>39</v>
      </c>
      <c r="C241" s="4" t="s">
        <v>40</v>
      </c>
      <c r="D241" s="4" t="s">
        <v>41</v>
      </c>
      <c r="E241" s="4" t="s">
        <v>25</v>
      </c>
      <c r="F241" s="4" t="s">
        <v>25</v>
      </c>
      <c r="G241" s="4" t="s">
        <v>25</v>
      </c>
      <c r="H241" s="4" t="s">
        <v>35</v>
      </c>
      <c r="I241" s="5">
        <v>44743</v>
      </c>
      <c r="J241" s="6">
        <v>0</v>
      </c>
      <c r="K241" s="6">
        <v>0</v>
      </c>
      <c r="L241" s="6">
        <v>10.065</v>
      </c>
      <c r="M241" s="6">
        <v>10.065</v>
      </c>
      <c r="N241" s="6">
        <v>10.065</v>
      </c>
      <c r="O241" s="6">
        <v>10.065</v>
      </c>
      <c r="P241" s="6">
        <v>0</v>
      </c>
      <c r="Q241" s="4" t="s">
        <v>26</v>
      </c>
      <c r="R241" s="4">
        <v>0</v>
      </c>
      <c r="S241" s="6">
        <v>0</v>
      </c>
      <c r="T241" s="6">
        <v>8</v>
      </c>
      <c r="U241" s="6">
        <v>49</v>
      </c>
      <c r="V241" s="6">
        <f>IF(ISERROR(VLOOKUP($S$241,'TAR FIN'!$A$1:$O$85,15,0)),0,VLOOKUP($S$241,'TAR FIN'!$A$1:$O$85,15,0))</f>
        <v>0</v>
      </c>
      <c r="W241" s="6">
        <f>IF(ISERROR(VLOOKUP($T$241,'TAR FIN'!$A$1:$O$85,15,0)),0,VLOOKUP($T$241,'TAR FIN'!$A$1:$O$85,15,0))</f>
        <v>76.75</v>
      </c>
      <c r="X241" s="6">
        <f>IF(ISERROR(VLOOKUP($U$241,'TAR FIN'!$A$1:$O$85,15,0)),0,VLOOKUP($U$241,'TAR FIN'!$A$1:$O$85,15,0))</f>
        <v>307.08</v>
      </c>
      <c r="Y241" s="6"/>
      <c r="Z241" s="6">
        <f ca="1">('TUSD BE'!$AM$12+'TUSD BF'!$AM$12+'TUSD CVA'!$AM$12)*1</f>
        <v>147.99431148733765</v>
      </c>
      <c r="AA241" s="6">
        <f>('TE BE'!$AB$6+'TE BF'!$AB$6+'TE CVA'!$AB$6)*1</f>
        <v>304.87027853653359</v>
      </c>
      <c r="AB241" s="6">
        <f>$K$241*$V$241</f>
        <v>0</v>
      </c>
      <c r="AC241" s="6">
        <f>$M$241*$W$241</f>
        <v>772.48874999999998</v>
      </c>
      <c r="AD241" s="6">
        <f>$O$241*$X$241</f>
        <v>3090.7601999999997</v>
      </c>
      <c r="AE241" s="6">
        <f>$K$241*$Y$241</f>
        <v>0</v>
      </c>
      <c r="AF241" s="6">
        <f ca="1">$M$241*$Z$241</f>
        <v>1489.5627451200535</v>
      </c>
      <c r="AG241" s="6">
        <f>$O$241*$AA$241</f>
        <v>3068.5193534702103</v>
      </c>
    </row>
    <row r="242" spans="1:33" ht="11.25" customHeight="1" x14ac:dyDescent="0.25">
      <c r="A242" s="4" t="s">
        <v>56</v>
      </c>
      <c r="B242" s="4" t="s">
        <v>39</v>
      </c>
      <c r="C242" s="4" t="s">
        <v>40</v>
      </c>
      <c r="D242" s="4" t="s">
        <v>41</v>
      </c>
      <c r="E242" s="4" t="s">
        <v>25</v>
      </c>
      <c r="F242" s="4" t="s">
        <v>25</v>
      </c>
      <c r="G242" s="4" t="s">
        <v>25</v>
      </c>
      <c r="H242" s="4" t="s">
        <v>35</v>
      </c>
      <c r="I242" s="5">
        <v>44774</v>
      </c>
      <c r="J242" s="6">
        <v>0</v>
      </c>
      <c r="K242" s="6">
        <v>0</v>
      </c>
      <c r="L242" s="6">
        <v>1062.107</v>
      </c>
      <c r="M242" s="6">
        <v>1062.107</v>
      </c>
      <c r="N242" s="6">
        <v>1062.107</v>
      </c>
      <c r="O242" s="6">
        <v>1062.107</v>
      </c>
      <c r="P242" s="6">
        <v>0</v>
      </c>
      <c r="Q242" s="4" t="s">
        <v>26</v>
      </c>
      <c r="R242" s="4">
        <v>0</v>
      </c>
      <c r="S242" s="6">
        <v>0</v>
      </c>
      <c r="T242" s="6">
        <v>8</v>
      </c>
      <c r="U242" s="6">
        <v>49</v>
      </c>
      <c r="V242" s="6">
        <f>IF(ISERROR(VLOOKUP($S$242,'TAR FIN'!$A$1:$O$85,15,0)),0,VLOOKUP($S$242,'TAR FIN'!$A$1:$O$85,15,0))</f>
        <v>0</v>
      </c>
      <c r="W242" s="6">
        <f>IF(ISERROR(VLOOKUP($T$242,'TAR FIN'!$A$1:$O$85,15,0)),0,VLOOKUP($T$242,'TAR FIN'!$A$1:$O$85,15,0))</f>
        <v>76.75</v>
      </c>
      <c r="X242" s="6">
        <f>IF(ISERROR(VLOOKUP($U$242,'TAR FIN'!$A$1:$O$85,15,0)),0,VLOOKUP($U$242,'TAR FIN'!$A$1:$O$85,15,0))</f>
        <v>307.08</v>
      </c>
      <c r="Y242" s="6"/>
      <c r="Z242" s="6">
        <f ca="1">('TUSD BE'!$AM$12+'TUSD BF'!$AM$12+'TUSD CVA'!$AM$12)*1</f>
        <v>147.99431148733765</v>
      </c>
      <c r="AA242" s="6">
        <f>('TE BE'!$AB$6+'TE BF'!$AB$6+'TE CVA'!$AB$6)*1</f>
        <v>304.87027853653359</v>
      </c>
      <c r="AB242" s="6">
        <f>$K$242*$V$242</f>
        <v>0</v>
      </c>
      <c r="AC242" s="6">
        <f>$M$242*$W$242</f>
        <v>81516.712249999997</v>
      </c>
      <c r="AD242" s="6">
        <f>$O$242*$X$242</f>
        <v>326151.81756</v>
      </c>
      <c r="AE242" s="6">
        <f>$K$242*$Y$242</f>
        <v>0</v>
      </c>
      <c r="AF242" s="6">
        <f ca="1">$M$242*$Z$242</f>
        <v>157185.79419088172</v>
      </c>
      <c r="AG242" s="6">
        <f>$O$242*$AA$242</f>
        <v>323804.85692560207</v>
      </c>
    </row>
    <row r="243" spans="1:33" ht="11.25" customHeight="1" x14ac:dyDescent="0.25">
      <c r="A243" s="4" t="s">
        <v>56</v>
      </c>
      <c r="B243" s="4" t="s">
        <v>39</v>
      </c>
      <c r="C243" s="4" t="s">
        <v>40</v>
      </c>
      <c r="D243" s="4" t="s">
        <v>41</v>
      </c>
      <c r="E243" s="4" t="s">
        <v>25</v>
      </c>
      <c r="F243" s="4" t="s">
        <v>25</v>
      </c>
      <c r="G243" s="4" t="s">
        <v>25</v>
      </c>
      <c r="H243" s="4" t="s">
        <v>35</v>
      </c>
      <c r="I243" s="5">
        <v>44774</v>
      </c>
      <c r="J243" s="6">
        <v>0</v>
      </c>
      <c r="K243" s="6">
        <v>0</v>
      </c>
      <c r="L243" s="6">
        <v>10.065</v>
      </c>
      <c r="M243" s="6">
        <v>10.065</v>
      </c>
      <c r="N243" s="6">
        <v>10.065</v>
      </c>
      <c r="O243" s="6">
        <v>10.065</v>
      </c>
      <c r="P243" s="6">
        <v>0</v>
      </c>
      <c r="Q243" s="4" t="s">
        <v>26</v>
      </c>
      <c r="R243" s="4">
        <v>0</v>
      </c>
      <c r="S243" s="6">
        <v>0</v>
      </c>
      <c r="T243" s="6">
        <v>8</v>
      </c>
      <c r="U243" s="6">
        <v>49</v>
      </c>
      <c r="V243" s="6">
        <f>IF(ISERROR(VLOOKUP($S$243,'TAR FIN'!$A$1:$O$85,15,0)),0,VLOOKUP($S$243,'TAR FIN'!$A$1:$O$85,15,0))</f>
        <v>0</v>
      </c>
      <c r="W243" s="6">
        <f>IF(ISERROR(VLOOKUP($T$243,'TAR FIN'!$A$1:$O$85,15,0)),0,VLOOKUP($T$243,'TAR FIN'!$A$1:$O$85,15,0))</f>
        <v>76.75</v>
      </c>
      <c r="X243" s="6">
        <f>IF(ISERROR(VLOOKUP($U$243,'TAR FIN'!$A$1:$O$85,15,0)),0,VLOOKUP($U$243,'TAR FIN'!$A$1:$O$85,15,0))</f>
        <v>307.08</v>
      </c>
      <c r="Y243" s="6"/>
      <c r="Z243" s="6">
        <f ca="1">('TUSD BE'!$AM$12+'TUSD BF'!$AM$12+'TUSD CVA'!$AM$12)*1</f>
        <v>147.99431148733765</v>
      </c>
      <c r="AA243" s="6">
        <f>('TE BE'!$AB$6+'TE BF'!$AB$6+'TE CVA'!$AB$6)*1</f>
        <v>304.87027853653359</v>
      </c>
      <c r="AB243" s="6">
        <f>$K$243*$V$243</f>
        <v>0</v>
      </c>
      <c r="AC243" s="6">
        <f>$M$243*$W$243</f>
        <v>772.48874999999998</v>
      </c>
      <c r="AD243" s="6">
        <f>$O$243*$X$243</f>
        <v>3090.7601999999997</v>
      </c>
      <c r="AE243" s="6">
        <f>$K$243*$Y$243</f>
        <v>0</v>
      </c>
      <c r="AF243" s="6">
        <f ca="1">$M$243*$Z$243</f>
        <v>1489.5627451200535</v>
      </c>
      <c r="AG243" s="6">
        <f>$O$243*$AA$243</f>
        <v>3068.5193534702103</v>
      </c>
    </row>
    <row r="244" spans="1:33" ht="11.25" customHeight="1" x14ac:dyDescent="0.25">
      <c r="A244" s="4" t="s">
        <v>21</v>
      </c>
      <c r="B244" s="4" t="s">
        <v>39</v>
      </c>
      <c r="C244" s="4" t="s">
        <v>40</v>
      </c>
      <c r="D244" s="4" t="s">
        <v>41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44440</v>
      </c>
      <c r="J244" s="6">
        <v>6411</v>
      </c>
      <c r="K244" s="6">
        <v>6411</v>
      </c>
      <c r="L244" s="6">
        <v>0</v>
      </c>
      <c r="M244" s="6">
        <v>0</v>
      </c>
      <c r="N244" s="6">
        <v>0</v>
      </c>
      <c r="O244" s="6">
        <v>0</v>
      </c>
      <c r="P244" s="6">
        <v>52</v>
      </c>
      <c r="Q244" s="4" t="s">
        <v>26</v>
      </c>
      <c r="R244" s="4">
        <v>0</v>
      </c>
      <c r="S244" s="6">
        <v>6</v>
      </c>
      <c r="T244" s="6">
        <v>0</v>
      </c>
      <c r="U244" s="6">
        <v>0</v>
      </c>
      <c r="V244" s="6">
        <f>IF(ISERROR(VLOOKUP($S$244,'TAR FIN'!$A$1:$O$85,15,0)),0,VLOOKUP($S$244,'TAR FIN'!$A$1:$O$85,15,0))</f>
        <v>16.64</v>
      </c>
      <c r="W244" s="6">
        <f>IF(ISERROR(VLOOKUP($T$244,'TAR FIN'!$A$1:$O$85,15,0)),0,VLOOKUP($T$244,'TAR FIN'!$A$1:$O$85,15,0))</f>
        <v>0</v>
      </c>
      <c r="X244" s="6">
        <f>IF(ISERROR(VLOOKUP($U$244,'TAR FIN'!$A$1:$O$85,15,0)),0,VLOOKUP($U$244,'TAR FIN'!$A$1:$O$85,15,0))</f>
        <v>0</v>
      </c>
      <c r="Y244" s="6">
        <f ca="1">('TUSD BE'!$AM$10+'TUSD BF'!$AM$10+'TUSD CVA'!$AM$10)*1</f>
        <v>18.371854423657158</v>
      </c>
      <c r="Z244" s="6"/>
      <c r="AA244" s="6"/>
      <c r="AB244" s="6">
        <f>$K$244*$V$244</f>
        <v>106679.04000000001</v>
      </c>
      <c r="AC244" s="6">
        <f>$M$244*$W$244</f>
        <v>0</v>
      </c>
      <c r="AD244" s="6">
        <f>$O$244*$X$244</f>
        <v>0</v>
      </c>
      <c r="AE244" s="6">
        <f ca="1">$K$244*$Y$244</f>
        <v>117781.95871006604</v>
      </c>
      <c r="AF244" s="6">
        <f>$M$244*$Z$244</f>
        <v>0</v>
      </c>
      <c r="AG244" s="6">
        <f>$O$244*$AA$244</f>
        <v>0</v>
      </c>
    </row>
    <row r="245" spans="1:33" ht="11.25" customHeight="1" x14ac:dyDescent="0.25">
      <c r="A245" s="4" t="s">
        <v>28</v>
      </c>
      <c r="B245" s="4" t="s">
        <v>39</v>
      </c>
      <c r="C245" s="4" t="s">
        <v>40</v>
      </c>
      <c r="D245" s="4" t="s">
        <v>41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44440</v>
      </c>
      <c r="J245" s="6">
        <v>334</v>
      </c>
      <c r="K245" s="6">
        <v>334</v>
      </c>
      <c r="L245" s="6">
        <v>0</v>
      </c>
      <c r="M245" s="6">
        <v>0</v>
      </c>
      <c r="N245" s="6">
        <v>0</v>
      </c>
      <c r="O245" s="6">
        <v>0</v>
      </c>
      <c r="P245" s="6">
        <v>3</v>
      </c>
      <c r="Q245" s="4" t="s">
        <v>26</v>
      </c>
      <c r="R245" s="4">
        <v>0</v>
      </c>
      <c r="S245" s="6">
        <v>6</v>
      </c>
      <c r="T245" s="6">
        <v>0</v>
      </c>
      <c r="U245" s="6">
        <v>0</v>
      </c>
      <c r="V245" s="6">
        <f>IF(ISERROR(VLOOKUP($S$245,'TAR FIN'!$A$1:$O$85,15,0)),0,VLOOKUP($S$245,'TAR FIN'!$A$1:$O$85,15,0))</f>
        <v>16.64</v>
      </c>
      <c r="W245" s="6">
        <f>IF(ISERROR(VLOOKUP($T$245,'TAR FIN'!$A$1:$O$85,15,0)),0,VLOOKUP($T$245,'TAR FIN'!$A$1:$O$85,15,0))</f>
        <v>0</v>
      </c>
      <c r="X245" s="6">
        <f>IF(ISERROR(VLOOKUP($U$245,'TAR FIN'!$A$1:$O$85,15,0)),0,VLOOKUP($U$245,'TAR FIN'!$A$1:$O$85,15,0))</f>
        <v>0</v>
      </c>
      <c r="Y245" s="6">
        <f ca="1">('TUSD BE'!$AM$10+'TUSD BF'!$AM$10+'TUSD CVA'!$AM$10)*1</f>
        <v>18.371854423657158</v>
      </c>
      <c r="Z245" s="6"/>
      <c r="AA245" s="6"/>
      <c r="AB245" s="6">
        <f>$K$245*$V$245</f>
        <v>5557.76</v>
      </c>
      <c r="AC245" s="6">
        <f>$M$245*$W$245</f>
        <v>0</v>
      </c>
      <c r="AD245" s="6">
        <f>$O$245*$X$245</f>
        <v>0</v>
      </c>
      <c r="AE245" s="6">
        <f ca="1">$K$245*$Y$245</f>
        <v>6136.1993775014907</v>
      </c>
      <c r="AF245" s="6">
        <f>$M$245*$Z$245</f>
        <v>0</v>
      </c>
      <c r="AG245" s="6">
        <f>$O$245*$AA$245</f>
        <v>0</v>
      </c>
    </row>
    <row r="246" spans="1:33" ht="11.25" customHeight="1" x14ac:dyDescent="0.25">
      <c r="A246" s="4" t="s">
        <v>21</v>
      </c>
      <c r="B246" s="4" t="s">
        <v>39</v>
      </c>
      <c r="C246" s="4" t="s">
        <v>40</v>
      </c>
      <c r="D246" s="4" t="s">
        <v>41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44470</v>
      </c>
      <c r="J246" s="6">
        <v>6611</v>
      </c>
      <c r="K246" s="6">
        <v>6611</v>
      </c>
      <c r="L246" s="6">
        <v>0</v>
      </c>
      <c r="M246" s="6">
        <v>0</v>
      </c>
      <c r="N246" s="6">
        <v>0</v>
      </c>
      <c r="O246" s="6">
        <v>0</v>
      </c>
      <c r="P246" s="6">
        <v>52</v>
      </c>
      <c r="Q246" s="4" t="s">
        <v>26</v>
      </c>
      <c r="R246" s="4">
        <v>0</v>
      </c>
      <c r="S246" s="6">
        <v>6</v>
      </c>
      <c r="T246" s="6">
        <v>0</v>
      </c>
      <c r="U246" s="6">
        <v>0</v>
      </c>
      <c r="V246" s="6">
        <f>IF(ISERROR(VLOOKUP($S$246,'TAR FIN'!$A$1:$O$85,15,0)),0,VLOOKUP($S$246,'TAR FIN'!$A$1:$O$85,15,0))</f>
        <v>16.64</v>
      </c>
      <c r="W246" s="6">
        <f>IF(ISERROR(VLOOKUP($T$246,'TAR FIN'!$A$1:$O$85,15,0)),0,VLOOKUP($T$246,'TAR FIN'!$A$1:$O$85,15,0))</f>
        <v>0</v>
      </c>
      <c r="X246" s="6">
        <f>IF(ISERROR(VLOOKUP($U$246,'TAR FIN'!$A$1:$O$85,15,0)),0,VLOOKUP($U$246,'TAR FIN'!$A$1:$O$85,15,0))</f>
        <v>0</v>
      </c>
      <c r="Y246" s="6">
        <f ca="1">('TUSD BE'!$AM$10+'TUSD BF'!$AM$10+'TUSD CVA'!$AM$10)*1</f>
        <v>18.371854423657158</v>
      </c>
      <c r="Z246" s="6"/>
      <c r="AA246" s="6"/>
      <c r="AB246" s="6">
        <f>$K$246*$V$246</f>
        <v>110007.04000000001</v>
      </c>
      <c r="AC246" s="6">
        <f>$M$246*$W$246</f>
        <v>0</v>
      </c>
      <c r="AD246" s="6">
        <f>$O$246*$X$246</f>
        <v>0</v>
      </c>
      <c r="AE246" s="6">
        <f ca="1">$K$246*$Y$246</f>
        <v>121456.32959479747</v>
      </c>
      <c r="AF246" s="6">
        <f>$M$246*$Z$246</f>
        <v>0</v>
      </c>
      <c r="AG246" s="6">
        <f>$O$246*$AA$246</f>
        <v>0</v>
      </c>
    </row>
    <row r="247" spans="1:33" ht="11.25" customHeight="1" x14ac:dyDescent="0.25">
      <c r="A247" s="4" t="s">
        <v>27</v>
      </c>
      <c r="B247" s="4" t="s">
        <v>39</v>
      </c>
      <c r="C247" s="4" t="s">
        <v>40</v>
      </c>
      <c r="D247" s="4" t="s">
        <v>41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44470</v>
      </c>
      <c r="J247" s="6">
        <v>-255</v>
      </c>
      <c r="K247" s="6">
        <v>-255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26</v>
      </c>
      <c r="R247" s="4">
        <v>0</v>
      </c>
      <c r="S247" s="6">
        <v>6</v>
      </c>
      <c r="T247" s="6">
        <v>0</v>
      </c>
      <c r="U247" s="6">
        <v>0</v>
      </c>
      <c r="V247" s="6">
        <f>IF(ISERROR(VLOOKUP($S$247,'TAR FIN'!$A$1:$O$85,15,0)),0,VLOOKUP($S$247,'TAR FIN'!$A$1:$O$85,15,0))</f>
        <v>16.64</v>
      </c>
      <c r="W247" s="6">
        <f>IF(ISERROR(VLOOKUP($T$247,'TAR FIN'!$A$1:$O$85,15,0)),0,VLOOKUP($T$247,'TAR FIN'!$A$1:$O$85,15,0))</f>
        <v>0</v>
      </c>
      <c r="X247" s="6">
        <f>IF(ISERROR(VLOOKUP($U$247,'TAR FIN'!$A$1:$O$85,15,0)),0,VLOOKUP($U$247,'TAR FIN'!$A$1:$O$85,15,0))</f>
        <v>0</v>
      </c>
      <c r="Y247" s="6">
        <f ca="1">('TUSD BE'!$AM$10+'TUSD BF'!$AM$10+'TUSD CVA'!$AM$10)*1</f>
        <v>18.371854423657158</v>
      </c>
      <c r="Z247" s="6"/>
      <c r="AA247" s="6"/>
      <c r="AB247" s="6">
        <f>$K$247*$V$247</f>
        <v>-4243.2</v>
      </c>
      <c r="AC247" s="6">
        <f>$M$247*$W$247</f>
        <v>0</v>
      </c>
      <c r="AD247" s="6">
        <f>$O$247*$X$247</f>
        <v>0</v>
      </c>
      <c r="AE247" s="6">
        <f ca="1">$K$247*$Y$247</f>
        <v>-4684.8228780325753</v>
      </c>
      <c r="AF247" s="6">
        <f>$M$247*$Z$247</f>
        <v>0</v>
      </c>
      <c r="AG247" s="6">
        <f>$O$247*$AA$247</f>
        <v>0</v>
      </c>
    </row>
    <row r="248" spans="1:33" ht="11.25" customHeight="1" x14ac:dyDescent="0.25">
      <c r="A248" s="4" t="s">
        <v>28</v>
      </c>
      <c r="B248" s="4" t="s">
        <v>39</v>
      </c>
      <c r="C248" s="4" t="s">
        <v>40</v>
      </c>
      <c r="D248" s="4" t="s">
        <v>41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44470</v>
      </c>
      <c r="J248" s="6">
        <v>315</v>
      </c>
      <c r="K248" s="6">
        <v>315</v>
      </c>
      <c r="L248" s="6">
        <v>0</v>
      </c>
      <c r="M248" s="6">
        <v>0</v>
      </c>
      <c r="N248" s="6">
        <v>0</v>
      </c>
      <c r="O248" s="6">
        <v>0</v>
      </c>
      <c r="P248" s="6">
        <v>3</v>
      </c>
      <c r="Q248" s="4" t="s">
        <v>26</v>
      </c>
      <c r="R248" s="4">
        <v>0</v>
      </c>
      <c r="S248" s="6">
        <v>6</v>
      </c>
      <c r="T248" s="6">
        <v>0</v>
      </c>
      <c r="U248" s="6">
        <v>0</v>
      </c>
      <c r="V248" s="6">
        <f>IF(ISERROR(VLOOKUP($S$248,'TAR FIN'!$A$1:$O$85,15,0)),0,VLOOKUP($S$248,'TAR FIN'!$A$1:$O$85,15,0))</f>
        <v>16.64</v>
      </c>
      <c r="W248" s="6">
        <f>IF(ISERROR(VLOOKUP($T$248,'TAR FIN'!$A$1:$O$85,15,0)),0,VLOOKUP($T$248,'TAR FIN'!$A$1:$O$85,15,0))</f>
        <v>0</v>
      </c>
      <c r="X248" s="6">
        <f>IF(ISERROR(VLOOKUP($U$248,'TAR FIN'!$A$1:$O$85,15,0)),0,VLOOKUP($U$248,'TAR FIN'!$A$1:$O$85,15,0))</f>
        <v>0</v>
      </c>
      <c r="Y248" s="6">
        <f ca="1">('TUSD BE'!$AM$10+'TUSD BF'!$AM$10+'TUSD CVA'!$AM$10)*1</f>
        <v>18.371854423657158</v>
      </c>
      <c r="Z248" s="6"/>
      <c r="AA248" s="6"/>
      <c r="AB248" s="6">
        <f>$K$248*$V$248</f>
        <v>5241.6000000000004</v>
      </c>
      <c r="AC248" s="6">
        <f>$M$248*$W$248</f>
        <v>0</v>
      </c>
      <c r="AD248" s="6">
        <f>$O$248*$X$248</f>
        <v>0</v>
      </c>
      <c r="AE248" s="6">
        <f ca="1">$K$248*$Y$248</f>
        <v>5787.1341434520045</v>
      </c>
      <c r="AF248" s="6">
        <f>$M$248*$Z$248</f>
        <v>0</v>
      </c>
      <c r="AG248" s="6">
        <f>$O$248*$AA$248</f>
        <v>0</v>
      </c>
    </row>
    <row r="249" spans="1:33" ht="11.25" customHeight="1" x14ac:dyDescent="0.25">
      <c r="A249" s="4" t="s">
        <v>21</v>
      </c>
      <c r="B249" s="4" t="s">
        <v>39</v>
      </c>
      <c r="C249" s="4" t="s">
        <v>40</v>
      </c>
      <c r="D249" s="4" t="s">
        <v>41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44501</v>
      </c>
      <c r="J249" s="6">
        <v>6437</v>
      </c>
      <c r="K249" s="6">
        <v>6437</v>
      </c>
      <c r="L249" s="6">
        <v>0</v>
      </c>
      <c r="M249" s="6">
        <v>0</v>
      </c>
      <c r="N249" s="6">
        <v>0</v>
      </c>
      <c r="O249" s="6">
        <v>0</v>
      </c>
      <c r="P249" s="6">
        <v>52</v>
      </c>
      <c r="Q249" s="4" t="s">
        <v>26</v>
      </c>
      <c r="R249" s="4">
        <v>0</v>
      </c>
      <c r="S249" s="6">
        <v>6</v>
      </c>
      <c r="T249" s="6">
        <v>0</v>
      </c>
      <c r="U249" s="6">
        <v>0</v>
      </c>
      <c r="V249" s="6">
        <f>IF(ISERROR(VLOOKUP($S$249,'TAR FIN'!$A$1:$O$85,15,0)),0,VLOOKUP($S$249,'TAR FIN'!$A$1:$O$85,15,0))</f>
        <v>16.64</v>
      </c>
      <c r="W249" s="6">
        <f>IF(ISERROR(VLOOKUP($T$249,'TAR FIN'!$A$1:$O$85,15,0)),0,VLOOKUP($T$249,'TAR FIN'!$A$1:$O$85,15,0))</f>
        <v>0</v>
      </c>
      <c r="X249" s="6">
        <f>IF(ISERROR(VLOOKUP($U$249,'TAR FIN'!$A$1:$O$85,15,0)),0,VLOOKUP($U$249,'TAR FIN'!$A$1:$O$85,15,0))</f>
        <v>0</v>
      </c>
      <c r="Y249" s="6">
        <f ca="1">('TUSD BE'!$AM$10+'TUSD BF'!$AM$10+'TUSD CVA'!$AM$10)*1</f>
        <v>18.371854423657158</v>
      </c>
      <c r="Z249" s="6"/>
      <c r="AA249" s="6"/>
      <c r="AB249" s="6">
        <f>$K$249*$V$249</f>
        <v>107111.68000000001</v>
      </c>
      <c r="AC249" s="6">
        <f>$M$249*$W$249</f>
        <v>0</v>
      </c>
      <c r="AD249" s="6">
        <f>$O$249*$X$249</f>
        <v>0</v>
      </c>
      <c r="AE249" s="6">
        <f ca="1">$K$249*$Y$249</f>
        <v>118259.62692508113</v>
      </c>
      <c r="AF249" s="6">
        <f>$M$249*$Z$249</f>
        <v>0</v>
      </c>
      <c r="AG249" s="6">
        <f>$O$249*$AA$249</f>
        <v>0</v>
      </c>
    </row>
    <row r="250" spans="1:33" ht="11.25" customHeight="1" x14ac:dyDescent="0.25">
      <c r="A250" s="4" t="s">
        <v>27</v>
      </c>
      <c r="B250" s="4" t="s">
        <v>39</v>
      </c>
      <c r="C250" s="4" t="s">
        <v>40</v>
      </c>
      <c r="D250" s="4" t="s">
        <v>41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44501</v>
      </c>
      <c r="J250" s="6">
        <v>-20</v>
      </c>
      <c r="K250" s="6">
        <v>-20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26</v>
      </c>
      <c r="R250" s="4">
        <v>0</v>
      </c>
      <c r="S250" s="6">
        <v>6</v>
      </c>
      <c r="T250" s="6">
        <v>0</v>
      </c>
      <c r="U250" s="6">
        <v>0</v>
      </c>
      <c r="V250" s="6">
        <f>IF(ISERROR(VLOOKUP($S$250,'TAR FIN'!$A$1:$O$85,15,0)),0,VLOOKUP($S$250,'TAR FIN'!$A$1:$O$85,15,0))</f>
        <v>16.64</v>
      </c>
      <c r="W250" s="6">
        <f>IF(ISERROR(VLOOKUP($T$250,'TAR FIN'!$A$1:$O$85,15,0)),0,VLOOKUP($T$250,'TAR FIN'!$A$1:$O$85,15,0))</f>
        <v>0</v>
      </c>
      <c r="X250" s="6">
        <f>IF(ISERROR(VLOOKUP($U$250,'TAR FIN'!$A$1:$O$85,15,0)),0,VLOOKUP($U$250,'TAR FIN'!$A$1:$O$85,15,0))</f>
        <v>0</v>
      </c>
      <c r="Y250" s="6">
        <f ca="1">('TUSD BE'!$AM$10+'TUSD BF'!$AM$10+'TUSD CVA'!$AM$10)*1</f>
        <v>18.371854423657158</v>
      </c>
      <c r="Z250" s="6"/>
      <c r="AA250" s="6"/>
      <c r="AB250" s="6">
        <f>$K$250*$V$250</f>
        <v>-332.8</v>
      </c>
      <c r="AC250" s="6">
        <f>$M$250*$W$250</f>
        <v>0</v>
      </c>
      <c r="AD250" s="6">
        <f>$O$250*$X$250</f>
        <v>0</v>
      </c>
      <c r="AE250" s="6">
        <f ca="1">$K$250*$Y$250</f>
        <v>-367.43708847314315</v>
      </c>
      <c r="AF250" s="6">
        <f>$M$250*$Z$250</f>
        <v>0</v>
      </c>
      <c r="AG250" s="6">
        <f>$O$250*$AA$250</f>
        <v>0</v>
      </c>
    </row>
    <row r="251" spans="1:33" ht="11.25" customHeight="1" x14ac:dyDescent="0.25">
      <c r="A251" s="4" t="s">
        <v>28</v>
      </c>
      <c r="B251" s="4" t="s">
        <v>39</v>
      </c>
      <c r="C251" s="4" t="s">
        <v>40</v>
      </c>
      <c r="D251" s="4" t="s">
        <v>41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44501</v>
      </c>
      <c r="J251" s="6">
        <v>330</v>
      </c>
      <c r="K251" s="6">
        <v>330</v>
      </c>
      <c r="L251" s="6">
        <v>0</v>
      </c>
      <c r="M251" s="6">
        <v>0</v>
      </c>
      <c r="N251" s="6">
        <v>0</v>
      </c>
      <c r="O251" s="6">
        <v>0</v>
      </c>
      <c r="P251" s="6">
        <v>3</v>
      </c>
      <c r="Q251" s="4" t="s">
        <v>26</v>
      </c>
      <c r="R251" s="4">
        <v>0</v>
      </c>
      <c r="S251" s="6">
        <v>6</v>
      </c>
      <c r="T251" s="6">
        <v>0</v>
      </c>
      <c r="U251" s="6">
        <v>0</v>
      </c>
      <c r="V251" s="6">
        <f>IF(ISERROR(VLOOKUP($S$251,'TAR FIN'!$A$1:$O$85,15,0)),0,VLOOKUP($S$251,'TAR FIN'!$A$1:$O$85,15,0))</f>
        <v>16.64</v>
      </c>
      <c r="W251" s="6">
        <f>IF(ISERROR(VLOOKUP($T$251,'TAR FIN'!$A$1:$O$85,15,0)),0,VLOOKUP($T$251,'TAR FIN'!$A$1:$O$85,15,0))</f>
        <v>0</v>
      </c>
      <c r="X251" s="6">
        <f>IF(ISERROR(VLOOKUP($U$251,'TAR FIN'!$A$1:$O$85,15,0)),0,VLOOKUP($U$251,'TAR FIN'!$A$1:$O$85,15,0))</f>
        <v>0</v>
      </c>
      <c r="Y251" s="6">
        <f ca="1">('TUSD BE'!$AM$10+'TUSD BF'!$AM$10+'TUSD CVA'!$AM$10)*1</f>
        <v>18.371854423657158</v>
      </c>
      <c r="Z251" s="6"/>
      <c r="AA251" s="6"/>
      <c r="AB251" s="6">
        <f>$K$251*$V$251</f>
        <v>5491.2</v>
      </c>
      <c r="AC251" s="6">
        <f>$M$251*$W$251</f>
        <v>0</v>
      </c>
      <c r="AD251" s="6">
        <f>$O$251*$X$251</f>
        <v>0</v>
      </c>
      <c r="AE251" s="6">
        <f ca="1">$K$251*$Y$251</f>
        <v>6062.7119598068621</v>
      </c>
      <c r="AF251" s="6">
        <f>$M$251*$Z$251</f>
        <v>0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39</v>
      </c>
      <c r="C252" s="4" t="s">
        <v>40</v>
      </c>
      <c r="D252" s="4" t="s">
        <v>41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44531</v>
      </c>
      <c r="J252" s="6">
        <v>6615</v>
      </c>
      <c r="K252" s="6">
        <v>6615</v>
      </c>
      <c r="L252" s="6">
        <v>0</v>
      </c>
      <c r="M252" s="6">
        <v>0</v>
      </c>
      <c r="N252" s="6">
        <v>0</v>
      </c>
      <c r="O252" s="6">
        <v>0</v>
      </c>
      <c r="P252" s="6">
        <v>52</v>
      </c>
      <c r="Q252" s="4" t="s">
        <v>26</v>
      </c>
      <c r="R252" s="4">
        <v>0</v>
      </c>
      <c r="S252" s="6">
        <v>6</v>
      </c>
      <c r="T252" s="6">
        <v>0</v>
      </c>
      <c r="U252" s="6">
        <v>0</v>
      </c>
      <c r="V252" s="6">
        <f>IF(ISERROR(VLOOKUP($S$252,'TAR FIN'!$A$1:$O$85,15,0)),0,VLOOKUP($S$252,'TAR FIN'!$A$1:$O$85,15,0))</f>
        <v>16.64</v>
      </c>
      <c r="W252" s="6">
        <f>IF(ISERROR(VLOOKUP($T$252,'TAR FIN'!$A$1:$O$85,15,0)),0,VLOOKUP($T$252,'TAR FIN'!$A$1:$O$85,15,0))</f>
        <v>0</v>
      </c>
      <c r="X252" s="6">
        <f>IF(ISERROR(VLOOKUP($U$252,'TAR FIN'!$A$1:$O$85,15,0)),0,VLOOKUP($U$252,'TAR FIN'!$A$1:$O$85,15,0))</f>
        <v>0</v>
      </c>
      <c r="Y252" s="6">
        <f ca="1">('TUSD BE'!$AM$10+'TUSD BF'!$AM$10+'TUSD CVA'!$AM$10)*1</f>
        <v>18.371854423657158</v>
      </c>
      <c r="Z252" s="6"/>
      <c r="AA252" s="6"/>
      <c r="AB252" s="6">
        <f>$K$252*$V$252</f>
        <v>110073.60000000001</v>
      </c>
      <c r="AC252" s="6">
        <f>$M$252*$W$252</f>
        <v>0</v>
      </c>
      <c r="AD252" s="6">
        <f>$O$252*$X$252</f>
        <v>0</v>
      </c>
      <c r="AE252" s="6">
        <f ca="1">$K$252*$Y$252</f>
        <v>121529.8170124921</v>
      </c>
      <c r="AF252" s="6">
        <f>$M$252*$Z$252</f>
        <v>0</v>
      </c>
      <c r="AG252" s="6">
        <f>$O$252*$AA$252</f>
        <v>0</v>
      </c>
    </row>
    <row r="253" spans="1:33" ht="11.25" customHeight="1" x14ac:dyDescent="0.25">
      <c r="A253" s="4" t="s">
        <v>28</v>
      </c>
      <c r="B253" s="4" t="s">
        <v>39</v>
      </c>
      <c r="C253" s="4" t="s">
        <v>40</v>
      </c>
      <c r="D253" s="4" t="s">
        <v>41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44531</v>
      </c>
      <c r="J253" s="6">
        <v>330</v>
      </c>
      <c r="K253" s="6">
        <v>330</v>
      </c>
      <c r="L253" s="6">
        <v>0</v>
      </c>
      <c r="M253" s="6">
        <v>0</v>
      </c>
      <c r="N253" s="6">
        <v>0</v>
      </c>
      <c r="O253" s="6">
        <v>0</v>
      </c>
      <c r="P253" s="6">
        <v>3</v>
      </c>
      <c r="Q253" s="4" t="s">
        <v>26</v>
      </c>
      <c r="R253" s="4">
        <v>0</v>
      </c>
      <c r="S253" s="6">
        <v>6</v>
      </c>
      <c r="T253" s="6">
        <v>0</v>
      </c>
      <c r="U253" s="6">
        <v>0</v>
      </c>
      <c r="V253" s="6">
        <f>IF(ISERROR(VLOOKUP($S$253,'TAR FIN'!$A$1:$O$85,15,0)),0,VLOOKUP($S$253,'TAR FIN'!$A$1:$O$85,15,0))</f>
        <v>16.64</v>
      </c>
      <c r="W253" s="6">
        <f>IF(ISERROR(VLOOKUP($T$253,'TAR FIN'!$A$1:$O$85,15,0)),0,VLOOKUP($T$253,'TAR FIN'!$A$1:$O$85,15,0))</f>
        <v>0</v>
      </c>
      <c r="X253" s="6">
        <f>IF(ISERROR(VLOOKUP($U$253,'TAR FIN'!$A$1:$O$85,15,0)),0,VLOOKUP($U$253,'TAR FIN'!$A$1:$O$85,15,0))</f>
        <v>0</v>
      </c>
      <c r="Y253" s="6">
        <f ca="1">('TUSD BE'!$AM$10+'TUSD BF'!$AM$10+'TUSD CVA'!$AM$10)*1</f>
        <v>18.371854423657158</v>
      </c>
      <c r="Z253" s="6"/>
      <c r="AA253" s="6"/>
      <c r="AB253" s="6">
        <f>$K$253*$V$253</f>
        <v>5491.2</v>
      </c>
      <c r="AC253" s="6">
        <f>$M$253*$W$253</f>
        <v>0</v>
      </c>
      <c r="AD253" s="6">
        <f>$O$253*$X$253</f>
        <v>0</v>
      </c>
      <c r="AE253" s="6">
        <f ca="1">$K$253*$Y$253</f>
        <v>6062.7119598068621</v>
      </c>
      <c r="AF253" s="6">
        <f>$M$253*$Z$253</f>
        <v>0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39</v>
      </c>
      <c r="C254" s="4" t="s">
        <v>40</v>
      </c>
      <c r="D254" s="4" t="s">
        <v>41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44562</v>
      </c>
      <c r="J254" s="6">
        <v>6484</v>
      </c>
      <c r="K254" s="6">
        <v>6484</v>
      </c>
      <c r="L254" s="6">
        <v>0</v>
      </c>
      <c r="M254" s="6">
        <v>0</v>
      </c>
      <c r="N254" s="6">
        <v>0</v>
      </c>
      <c r="O254" s="6">
        <v>0</v>
      </c>
      <c r="P254" s="6">
        <v>53</v>
      </c>
      <c r="Q254" s="4" t="s">
        <v>26</v>
      </c>
      <c r="R254" s="4">
        <v>0</v>
      </c>
      <c r="S254" s="6">
        <v>6</v>
      </c>
      <c r="T254" s="6">
        <v>0</v>
      </c>
      <c r="U254" s="6">
        <v>0</v>
      </c>
      <c r="V254" s="6">
        <f>IF(ISERROR(VLOOKUP($S$254,'TAR FIN'!$A$1:$O$85,15,0)),0,VLOOKUP($S$254,'TAR FIN'!$A$1:$O$85,15,0))</f>
        <v>16.64</v>
      </c>
      <c r="W254" s="6">
        <f>IF(ISERROR(VLOOKUP($T$254,'TAR FIN'!$A$1:$O$85,15,0)),0,VLOOKUP($T$254,'TAR FIN'!$A$1:$O$85,15,0))</f>
        <v>0</v>
      </c>
      <c r="X254" s="6">
        <f>IF(ISERROR(VLOOKUP($U$254,'TAR FIN'!$A$1:$O$85,15,0)),0,VLOOKUP($U$254,'TAR FIN'!$A$1:$O$85,15,0))</f>
        <v>0</v>
      </c>
      <c r="Y254" s="6">
        <f ca="1">('TUSD BE'!$AM$10+'TUSD BF'!$AM$10+'TUSD CVA'!$AM$10)*1</f>
        <v>18.371854423657158</v>
      </c>
      <c r="Z254" s="6"/>
      <c r="AA254" s="6"/>
      <c r="AB254" s="6">
        <f>$K$254*$V$254</f>
        <v>107893.76000000001</v>
      </c>
      <c r="AC254" s="6">
        <f>$M$254*$W$254</f>
        <v>0</v>
      </c>
      <c r="AD254" s="6">
        <f>$O$254*$X$254</f>
        <v>0</v>
      </c>
      <c r="AE254" s="6">
        <f ca="1">$K$254*$Y$254</f>
        <v>119123.10408299301</v>
      </c>
      <c r="AF254" s="6">
        <f>$M$254*$Z$254</f>
        <v>0</v>
      </c>
      <c r="AG254" s="6">
        <f>$O$254*$AA$254</f>
        <v>0</v>
      </c>
    </row>
    <row r="255" spans="1:33" ht="11.25" customHeight="1" x14ac:dyDescent="0.25">
      <c r="A255" s="4" t="s">
        <v>28</v>
      </c>
      <c r="B255" s="4" t="s">
        <v>39</v>
      </c>
      <c r="C255" s="4" t="s">
        <v>40</v>
      </c>
      <c r="D255" s="4" t="s">
        <v>41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44562</v>
      </c>
      <c r="J255" s="6">
        <v>338</v>
      </c>
      <c r="K255" s="6">
        <v>338</v>
      </c>
      <c r="L255" s="6">
        <v>0</v>
      </c>
      <c r="M255" s="6">
        <v>0</v>
      </c>
      <c r="N255" s="6">
        <v>0</v>
      </c>
      <c r="O255" s="6">
        <v>0</v>
      </c>
      <c r="P255" s="6">
        <v>3</v>
      </c>
      <c r="Q255" s="4" t="s">
        <v>26</v>
      </c>
      <c r="R255" s="4">
        <v>0</v>
      </c>
      <c r="S255" s="6">
        <v>6</v>
      </c>
      <c r="T255" s="6">
        <v>0</v>
      </c>
      <c r="U255" s="6">
        <v>0</v>
      </c>
      <c r="V255" s="6">
        <f>IF(ISERROR(VLOOKUP($S$255,'TAR FIN'!$A$1:$O$85,15,0)),0,VLOOKUP($S$255,'TAR FIN'!$A$1:$O$85,15,0))</f>
        <v>16.64</v>
      </c>
      <c r="W255" s="6">
        <f>IF(ISERROR(VLOOKUP($T$255,'TAR FIN'!$A$1:$O$85,15,0)),0,VLOOKUP($T$255,'TAR FIN'!$A$1:$O$85,15,0))</f>
        <v>0</v>
      </c>
      <c r="X255" s="6">
        <f>IF(ISERROR(VLOOKUP($U$255,'TAR FIN'!$A$1:$O$85,15,0)),0,VLOOKUP($U$255,'TAR FIN'!$A$1:$O$85,15,0))</f>
        <v>0</v>
      </c>
      <c r="Y255" s="6">
        <f ca="1">('TUSD BE'!$AM$10+'TUSD BF'!$AM$10+'TUSD CVA'!$AM$10)*1</f>
        <v>18.371854423657158</v>
      </c>
      <c r="Z255" s="6"/>
      <c r="AA255" s="6"/>
      <c r="AB255" s="6">
        <f>$K$255*$V$255</f>
        <v>5624.3200000000006</v>
      </c>
      <c r="AC255" s="6">
        <f>$M$255*$W$255</f>
        <v>0</v>
      </c>
      <c r="AD255" s="6">
        <f>$O$255*$X$255</f>
        <v>0</v>
      </c>
      <c r="AE255" s="6">
        <f ca="1">$K$255*$Y$255</f>
        <v>6209.6867951961194</v>
      </c>
      <c r="AF255" s="6">
        <f>$M$255*$Z$255</f>
        <v>0</v>
      </c>
      <c r="AG255" s="6">
        <f>$O$255*$AA$255</f>
        <v>0</v>
      </c>
    </row>
    <row r="256" spans="1:33" ht="11.25" customHeight="1" x14ac:dyDescent="0.25">
      <c r="A256" s="4" t="s">
        <v>21</v>
      </c>
      <c r="B256" s="4" t="s">
        <v>39</v>
      </c>
      <c r="C256" s="4" t="s">
        <v>40</v>
      </c>
      <c r="D256" s="4" t="s">
        <v>41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44593</v>
      </c>
      <c r="J256" s="6">
        <v>6696</v>
      </c>
      <c r="K256" s="6">
        <v>6696</v>
      </c>
      <c r="L256" s="6">
        <v>0</v>
      </c>
      <c r="M256" s="6">
        <v>0</v>
      </c>
      <c r="N256" s="6">
        <v>0</v>
      </c>
      <c r="O256" s="6">
        <v>0</v>
      </c>
      <c r="P256" s="6">
        <v>54</v>
      </c>
      <c r="Q256" s="4" t="s">
        <v>26</v>
      </c>
      <c r="R256" s="4">
        <v>0</v>
      </c>
      <c r="S256" s="6">
        <v>6</v>
      </c>
      <c r="T256" s="6">
        <v>0</v>
      </c>
      <c r="U256" s="6">
        <v>0</v>
      </c>
      <c r="V256" s="6">
        <f>IF(ISERROR(VLOOKUP($S$256,'TAR FIN'!$A$1:$O$85,15,0)),0,VLOOKUP($S$256,'TAR FIN'!$A$1:$O$85,15,0))</f>
        <v>16.64</v>
      </c>
      <c r="W256" s="6">
        <f>IF(ISERROR(VLOOKUP($T$256,'TAR FIN'!$A$1:$O$85,15,0)),0,VLOOKUP($T$256,'TAR FIN'!$A$1:$O$85,15,0))</f>
        <v>0</v>
      </c>
      <c r="X256" s="6">
        <f>IF(ISERROR(VLOOKUP($U$256,'TAR FIN'!$A$1:$O$85,15,0)),0,VLOOKUP($U$256,'TAR FIN'!$A$1:$O$85,15,0))</f>
        <v>0</v>
      </c>
      <c r="Y256" s="6">
        <f ca="1">('TUSD BE'!$AM$10+'TUSD BF'!$AM$10+'TUSD CVA'!$AM$10)*1</f>
        <v>18.371854423657158</v>
      </c>
      <c r="Z256" s="6"/>
      <c r="AA256" s="6"/>
      <c r="AB256" s="6">
        <f>$K$256*$V$256</f>
        <v>111421.44</v>
      </c>
      <c r="AC256" s="6">
        <f>$M$256*$W$256</f>
        <v>0</v>
      </c>
      <c r="AD256" s="6">
        <f>$O$256*$X$256</f>
        <v>0</v>
      </c>
      <c r="AE256" s="6">
        <f ca="1">$K$256*$Y$256</f>
        <v>123017.93722080834</v>
      </c>
      <c r="AF256" s="6">
        <f>$M$256*$Z$256</f>
        <v>0</v>
      </c>
      <c r="AG256" s="6">
        <f>$O$256*$AA$256</f>
        <v>0</v>
      </c>
    </row>
    <row r="257" spans="1:33" ht="11.25" customHeight="1" x14ac:dyDescent="0.25">
      <c r="A257" s="4" t="s">
        <v>28</v>
      </c>
      <c r="B257" s="4" t="s">
        <v>39</v>
      </c>
      <c r="C257" s="4" t="s">
        <v>40</v>
      </c>
      <c r="D257" s="4" t="s">
        <v>41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44593</v>
      </c>
      <c r="J257" s="6">
        <v>330</v>
      </c>
      <c r="K257" s="6">
        <v>330</v>
      </c>
      <c r="L257" s="6">
        <v>0</v>
      </c>
      <c r="M257" s="6">
        <v>0</v>
      </c>
      <c r="N257" s="6">
        <v>0</v>
      </c>
      <c r="O257" s="6">
        <v>0</v>
      </c>
      <c r="P257" s="6">
        <v>3</v>
      </c>
      <c r="Q257" s="4" t="s">
        <v>26</v>
      </c>
      <c r="R257" s="4">
        <v>0</v>
      </c>
      <c r="S257" s="6">
        <v>6</v>
      </c>
      <c r="T257" s="6">
        <v>0</v>
      </c>
      <c r="U257" s="6">
        <v>0</v>
      </c>
      <c r="V257" s="6">
        <f>IF(ISERROR(VLOOKUP($S$257,'TAR FIN'!$A$1:$O$85,15,0)),0,VLOOKUP($S$257,'TAR FIN'!$A$1:$O$85,15,0))</f>
        <v>16.64</v>
      </c>
      <c r="W257" s="6">
        <f>IF(ISERROR(VLOOKUP($T$257,'TAR FIN'!$A$1:$O$85,15,0)),0,VLOOKUP($T$257,'TAR FIN'!$A$1:$O$85,15,0))</f>
        <v>0</v>
      </c>
      <c r="X257" s="6">
        <f>IF(ISERROR(VLOOKUP($U$257,'TAR FIN'!$A$1:$O$85,15,0)),0,VLOOKUP($U$257,'TAR FIN'!$A$1:$O$85,15,0))</f>
        <v>0</v>
      </c>
      <c r="Y257" s="6">
        <f ca="1">('TUSD BE'!$AM$10+'TUSD BF'!$AM$10+'TUSD CVA'!$AM$10)*1</f>
        <v>18.371854423657158</v>
      </c>
      <c r="Z257" s="6"/>
      <c r="AA257" s="6"/>
      <c r="AB257" s="6">
        <f>$K$257*$V$257</f>
        <v>5491.2</v>
      </c>
      <c r="AC257" s="6">
        <f>$M$257*$W$257</f>
        <v>0</v>
      </c>
      <c r="AD257" s="6">
        <f>$O$257*$X$257</f>
        <v>0</v>
      </c>
      <c r="AE257" s="6">
        <f ca="1">$K$257*$Y$257</f>
        <v>6062.7119598068621</v>
      </c>
      <c r="AF257" s="6">
        <f>$M$257*$Z$257</f>
        <v>0</v>
      </c>
      <c r="AG257" s="6">
        <f>$O$257*$AA$257</f>
        <v>0</v>
      </c>
    </row>
    <row r="258" spans="1:33" ht="11.25" customHeight="1" x14ac:dyDescent="0.25">
      <c r="A258" s="4" t="s">
        <v>21</v>
      </c>
      <c r="B258" s="4" t="s">
        <v>39</v>
      </c>
      <c r="C258" s="4" t="s">
        <v>40</v>
      </c>
      <c r="D258" s="4" t="s">
        <v>41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44621</v>
      </c>
      <c r="J258" s="6">
        <v>6600</v>
      </c>
      <c r="K258" s="6">
        <v>6600</v>
      </c>
      <c r="L258" s="6">
        <v>0</v>
      </c>
      <c r="M258" s="6">
        <v>0</v>
      </c>
      <c r="N258" s="6">
        <v>0</v>
      </c>
      <c r="O258" s="6">
        <v>0</v>
      </c>
      <c r="P258" s="6">
        <v>52</v>
      </c>
      <c r="Q258" s="4" t="s">
        <v>26</v>
      </c>
      <c r="R258" s="4">
        <v>0</v>
      </c>
      <c r="S258" s="6">
        <v>6</v>
      </c>
      <c r="T258" s="6">
        <v>0</v>
      </c>
      <c r="U258" s="6">
        <v>0</v>
      </c>
      <c r="V258" s="6">
        <f>IF(ISERROR(VLOOKUP($S$258,'TAR FIN'!$A$1:$O$85,15,0)),0,VLOOKUP($S$258,'TAR FIN'!$A$1:$O$85,15,0))</f>
        <v>16.64</v>
      </c>
      <c r="W258" s="6">
        <f>IF(ISERROR(VLOOKUP($T$258,'TAR FIN'!$A$1:$O$85,15,0)),0,VLOOKUP($T$258,'TAR FIN'!$A$1:$O$85,15,0))</f>
        <v>0</v>
      </c>
      <c r="X258" s="6">
        <f>IF(ISERROR(VLOOKUP($U$258,'TAR FIN'!$A$1:$O$85,15,0)),0,VLOOKUP($U$258,'TAR FIN'!$A$1:$O$85,15,0))</f>
        <v>0</v>
      </c>
      <c r="Y258" s="6">
        <f ca="1">('TUSD BE'!$AM$10+'TUSD BF'!$AM$10+'TUSD CVA'!$AM$10)*1</f>
        <v>18.371854423657158</v>
      </c>
      <c r="Z258" s="6"/>
      <c r="AA258" s="6"/>
      <c r="AB258" s="6">
        <f>$K$258*$V$258</f>
        <v>109824</v>
      </c>
      <c r="AC258" s="6">
        <f>$M$258*$W$258</f>
        <v>0</v>
      </c>
      <c r="AD258" s="6">
        <f>$O$258*$X$258</f>
        <v>0</v>
      </c>
      <c r="AE258" s="6">
        <f ca="1">$K$258*$Y$258</f>
        <v>121254.23919613725</v>
      </c>
      <c r="AF258" s="6">
        <f>$M$258*$Z$258</f>
        <v>0</v>
      </c>
      <c r="AG258" s="6">
        <f>$O$258*$AA$258</f>
        <v>0</v>
      </c>
    </row>
    <row r="259" spans="1:33" ht="11.25" customHeight="1" x14ac:dyDescent="0.25">
      <c r="A259" s="4" t="s">
        <v>28</v>
      </c>
      <c r="B259" s="4" t="s">
        <v>39</v>
      </c>
      <c r="C259" s="4" t="s">
        <v>40</v>
      </c>
      <c r="D259" s="4" t="s">
        <v>41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44621</v>
      </c>
      <c r="J259" s="6">
        <v>330</v>
      </c>
      <c r="K259" s="6">
        <v>330</v>
      </c>
      <c r="L259" s="6">
        <v>0</v>
      </c>
      <c r="M259" s="6">
        <v>0</v>
      </c>
      <c r="N259" s="6">
        <v>0</v>
      </c>
      <c r="O259" s="6">
        <v>0</v>
      </c>
      <c r="P259" s="6">
        <v>3</v>
      </c>
      <c r="Q259" s="4" t="s">
        <v>26</v>
      </c>
      <c r="R259" s="4">
        <v>0</v>
      </c>
      <c r="S259" s="6">
        <v>6</v>
      </c>
      <c r="T259" s="6">
        <v>0</v>
      </c>
      <c r="U259" s="6">
        <v>0</v>
      </c>
      <c r="V259" s="6">
        <f>IF(ISERROR(VLOOKUP($S$259,'TAR FIN'!$A$1:$O$85,15,0)),0,VLOOKUP($S$259,'TAR FIN'!$A$1:$O$85,15,0))</f>
        <v>16.64</v>
      </c>
      <c r="W259" s="6">
        <f>IF(ISERROR(VLOOKUP($T$259,'TAR FIN'!$A$1:$O$85,15,0)),0,VLOOKUP($T$259,'TAR FIN'!$A$1:$O$85,15,0))</f>
        <v>0</v>
      </c>
      <c r="X259" s="6">
        <f>IF(ISERROR(VLOOKUP($U$259,'TAR FIN'!$A$1:$O$85,15,0)),0,VLOOKUP($U$259,'TAR FIN'!$A$1:$O$85,15,0))</f>
        <v>0</v>
      </c>
      <c r="Y259" s="6">
        <f ca="1">('TUSD BE'!$AM$10+'TUSD BF'!$AM$10+'TUSD CVA'!$AM$10)*1</f>
        <v>18.371854423657158</v>
      </c>
      <c r="Z259" s="6"/>
      <c r="AA259" s="6"/>
      <c r="AB259" s="6">
        <f>$K$259*$V$259</f>
        <v>5491.2</v>
      </c>
      <c r="AC259" s="6">
        <f>$M$259*$W$259</f>
        <v>0</v>
      </c>
      <c r="AD259" s="6">
        <f>$O$259*$X$259</f>
        <v>0</v>
      </c>
      <c r="AE259" s="6">
        <f ca="1">$K$259*$Y$259</f>
        <v>6062.7119598068621</v>
      </c>
      <c r="AF259" s="6">
        <f>$M$259*$Z$259</f>
        <v>0</v>
      </c>
      <c r="AG259" s="6">
        <f>$O$259*$AA$259</f>
        <v>0</v>
      </c>
    </row>
    <row r="260" spans="1:33" ht="11.25" customHeight="1" x14ac:dyDescent="0.25">
      <c r="A260" s="4" t="s">
        <v>21</v>
      </c>
      <c r="B260" s="4" t="s">
        <v>39</v>
      </c>
      <c r="C260" s="4" t="s">
        <v>40</v>
      </c>
      <c r="D260" s="4" t="s">
        <v>41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44652</v>
      </c>
      <c r="J260" s="6">
        <v>6317</v>
      </c>
      <c r="K260" s="6">
        <v>6317</v>
      </c>
      <c r="L260" s="6">
        <v>0</v>
      </c>
      <c r="M260" s="6">
        <v>0</v>
      </c>
      <c r="N260" s="6">
        <v>0</v>
      </c>
      <c r="O260" s="6">
        <v>0</v>
      </c>
      <c r="P260" s="6">
        <v>50</v>
      </c>
      <c r="Q260" s="4" t="s">
        <v>26</v>
      </c>
      <c r="R260" s="4">
        <v>0</v>
      </c>
      <c r="S260" s="6">
        <v>6</v>
      </c>
      <c r="T260" s="6">
        <v>0</v>
      </c>
      <c r="U260" s="6">
        <v>0</v>
      </c>
      <c r="V260" s="6">
        <f>IF(ISERROR(VLOOKUP($S$260,'TAR FIN'!$A$1:$O$85,15,0)),0,VLOOKUP($S$260,'TAR FIN'!$A$1:$O$85,15,0))</f>
        <v>16.64</v>
      </c>
      <c r="W260" s="6">
        <f>IF(ISERROR(VLOOKUP($T$260,'TAR FIN'!$A$1:$O$85,15,0)),0,VLOOKUP($T$260,'TAR FIN'!$A$1:$O$85,15,0))</f>
        <v>0</v>
      </c>
      <c r="X260" s="6">
        <f>IF(ISERROR(VLOOKUP($U$260,'TAR FIN'!$A$1:$O$85,15,0)),0,VLOOKUP($U$260,'TAR FIN'!$A$1:$O$85,15,0))</f>
        <v>0</v>
      </c>
      <c r="Y260" s="6">
        <f ca="1">('TUSD BE'!$AM$10+'TUSD BF'!$AM$10+'TUSD CVA'!$AM$10)*1</f>
        <v>18.371854423657158</v>
      </c>
      <c r="Z260" s="6"/>
      <c r="AA260" s="6"/>
      <c r="AB260" s="6">
        <f>$K$260*$V$260</f>
        <v>105114.88</v>
      </c>
      <c r="AC260" s="6">
        <f>$M$260*$W$260</f>
        <v>0</v>
      </c>
      <c r="AD260" s="6">
        <f>$O$260*$X$260</f>
        <v>0</v>
      </c>
      <c r="AE260" s="6">
        <f ca="1">$K$260*$Y$260</f>
        <v>116055.00439424226</v>
      </c>
      <c r="AF260" s="6">
        <f>$M$260*$Z$260</f>
        <v>0</v>
      </c>
      <c r="AG260" s="6">
        <f>$O$260*$AA$260</f>
        <v>0</v>
      </c>
    </row>
    <row r="261" spans="1:33" ht="11.25" customHeight="1" x14ac:dyDescent="0.25">
      <c r="A261" s="4" t="s">
        <v>27</v>
      </c>
      <c r="B261" s="4" t="s">
        <v>39</v>
      </c>
      <c r="C261" s="4" t="s">
        <v>40</v>
      </c>
      <c r="D261" s="4" t="s">
        <v>41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44652</v>
      </c>
      <c r="J261" s="6">
        <v>40</v>
      </c>
      <c r="K261" s="6">
        <v>40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4" t="s">
        <v>26</v>
      </c>
      <c r="R261" s="4">
        <v>0</v>
      </c>
      <c r="S261" s="6">
        <v>6</v>
      </c>
      <c r="T261" s="6">
        <v>0</v>
      </c>
      <c r="U261" s="6">
        <v>0</v>
      </c>
      <c r="V261" s="6">
        <f>IF(ISERROR(VLOOKUP($S$261,'TAR FIN'!$A$1:$O$85,15,0)),0,VLOOKUP($S$261,'TAR FIN'!$A$1:$O$85,15,0))</f>
        <v>16.64</v>
      </c>
      <c r="W261" s="6">
        <f>IF(ISERROR(VLOOKUP($T$261,'TAR FIN'!$A$1:$O$85,15,0)),0,VLOOKUP($T$261,'TAR FIN'!$A$1:$O$85,15,0))</f>
        <v>0</v>
      </c>
      <c r="X261" s="6">
        <f>IF(ISERROR(VLOOKUP($U$261,'TAR FIN'!$A$1:$O$85,15,0)),0,VLOOKUP($U$261,'TAR FIN'!$A$1:$O$85,15,0))</f>
        <v>0</v>
      </c>
      <c r="Y261" s="6">
        <f ca="1">('TUSD BE'!$AM$10+'TUSD BF'!$AM$10+'TUSD CVA'!$AM$10)*1</f>
        <v>18.371854423657158</v>
      </c>
      <c r="Z261" s="6"/>
      <c r="AA261" s="6"/>
      <c r="AB261" s="6">
        <f>$K$261*$V$261</f>
        <v>665.6</v>
      </c>
      <c r="AC261" s="6">
        <f>$M$261*$W$261</f>
        <v>0</v>
      </c>
      <c r="AD261" s="6">
        <f>$O$261*$X$261</f>
        <v>0</v>
      </c>
      <c r="AE261" s="6">
        <f ca="1">$K$261*$Y$261</f>
        <v>734.8741769462863</v>
      </c>
      <c r="AF261" s="6">
        <f>$M$261*$Z$261</f>
        <v>0</v>
      </c>
      <c r="AG261" s="6">
        <f>$O$261*$AA$261</f>
        <v>0</v>
      </c>
    </row>
    <row r="262" spans="1:33" ht="11.25" customHeight="1" x14ac:dyDescent="0.25">
      <c r="A262" s="4" t="s">
        <v>28</v>
      </c>
      <c r="B262" s="4" t="s">
        <v>39</v>
      </c>
      <c r="C262" s="4" t="s">
        <v>40</v>
      </c>
      <c r="D262" s="4" t="s">
        <v>41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44652</v>
      </c>
      <c r="J262" s="6">
        <v>341</v>
      </c>
      <c r="K262" s="6">
        <v>341</v>
      </c>
      <c r="L262" s="6">
        <v>0</v>
      </c>
      <c r="M262" s="6">
        <v>0</v>
      </c>
      <c r="N262" s="6">
        <v>0</v>
      </c>
      <c r="O262" s="6">
        <v>0</v>
      </c>
      <c r="P262" s="6">
        <v>3</v>
      </c>
      <c r="Q262" s="4" t="s">
        <v>26</v>
      </c>
      <c r="R262" s="4">
        <v>0</v>
      </c>
      <c r="S262" s="6">
        <v>6</v>
      </c>
      <c r="T262" s="6">
        <v>0</v>
      </c>
      <c r="U262" s="6">
        <v>0</v>
      </c>
      <c r="V262" s="6">
        <f>IF(ISERROR(VLOOKUP($S$262,'TAR FIN'!$A$1:$O$85,15,0)),0,VLOOKUP($S$262,'TAR FIN'!$A$1:$O$85,15,0))</f>
        <v>16.64</v>
      </c>
      <c r="W262" s="6">
        <f>IF(ISERROR(VLOOKUP($T$262,'TAR FIN'!$A$1:$O$85,15,0)),0,VLOOKUP($T$262,'TAR FIN'!$A$1:$O$85,15,0))</f>
        <v>0</v>
      </c>
      <c r="X262" s="6">
        <f>IF(ISERROR(VLOOKUP($U$262,'TAR FIN'!$A$1:$O$85,15,0)),0,VLOOKUP($U$262,'TAR FIN'!$A$1:$O$85,15,0))</f>
        <v>0</v>
      </c>
      <c r="Y262" s="6">
        <f ca="1">('TUSD BE'!$AM$10+'TUSD BF'!$AM$10+'TUSD CVA'!$AM$10)*1</f>
        <v>18.371854423657158</v>
      </c>
      <c r="Z262" s="6"/>
      <c r="AA262" s="6"/>
      <c r="AB262" s="6">
        <f>$K$262*$V$262</f>
        <v>5674.24</v>
      </c>
      <c r="AC262" s="6">
        <f>$M$262*$W$262</f>
        <v>0</v>
      </c>
      <c r="AD262" s="6">
        <f>$O$262*$X$262</f>
        <v>0</v>
      </c>
      <c r="AE262" s="6">
        <f ca="1">$K$262*$Y$262</f>
        <v>6264.8023584670909</v>
      </c>
      <c r="AF262" s="6">
        <f>$M$262*$Z$262</f>
        <v>0</v>
      </c>
      <c r="AG262" s="6">
        <f>$O$262*$AA$262</f>
        <v>0</v>
      </c>
    </row>
    <row r="263" spans="1:33" ht="11.25" customHeight="1" x14ac:dyDescent="0.25">
      <c r="A263" s="4" t="s">
        <v>21</v>
      </c>
      <c r="B263" s="4" t="s">
        <v>39</v>
      </c>
      <c r="C263" s="4" t="s">
        <v>40</v>
      </c>
      <c r="D263" s="4" t="s">
        <v>41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44682</v>
      </c>
      <c r="J263" s="6">
        <v>6239</v>
      </c>
      <c r="K263" s="6">
        <v>6239</v>
      </c>
      <c r="L263" s="6">
        <v>0</v>
      </c>
      <c r="M263" s="6">
        <v>0</v>
      </c>
      <c r="N263" s="6">
        <v>0</v>
      </c>
      <c r="O263" s="6">
        <v>0</v>
      </c>
      <c r="P263" s="6">
        <v>53</v>
      </c>
      <c r="Q263" s="4" t="s">
        <v>26</v>
      </c>
      <c r="R263" s="4">
        <v>0</v>
      </c>
      <c r="S263" s="6">
        <v>6</v>
      </c>
      <c r="T263" s="6">
        <v>0</v>
      </c>
      <c r="U263" s="6">
        <v>0</v>
      </c>
      <c r="V263" s="6">
        <f>IF(ISERROR(VLOOKUP($S$263,'TAR FIN'!$A$1:$O$85,15,0)),0,VLOOKUP($S$263,'TAR FIN'!$A$1:$O$85,15,0))</f>
        <v>16.64</v>
      </c>
      <c r="W263" s="6">
        <f>IF(ISERROR(VLOOKUP($T$263,'TAR FIN'!$A$1:$O$85,15,0)),0,VLOOKUP($T$263,'TAR FIN'!$A$1:$O$85,15,0))</f>
        <v>0</v>
      </c>
      <c r="X263" s="6">
        <f>IF(ISERROR(VLOOKUP($U$263,'TAR FIN'!$A$1:$O$85,15,0)),0,VLOOKUP($U$263,'TAR FIN'!$A$1:$O$85,15,0))</f>
        <v>0</v>
      </c>
      <c r="Y263" s="6">
        <f ca="1">('TUSD BE'!$AM$10+'TUSD BF'!$AM$10+'TUSD CVA'!$AM$10)*1</f>
        <v>18.371854423657158</v>
      </c>
      <c r="Z263" s="6"/>
      <c r="AA263" s="6"/>
      <c r="AB263" s="6">
        <f>$K$263*$V$263</f>
        <v>103816.96000000001</v>
      </c>
      <c r="AC263" s="6">
        <f>$M$263*$W$263</f>
        <v>0</v>
      </c>
      <c r="AD263" s="6">
        <f>$O$263*$X$263</f>
        <v>0</v>
      </c>
      <c r="AE263" s="6">
        <f ca="1">$K$263*$Y$263</f>
        <v>114621.99974919701</v>
      </c>
      <c r="AF263" s="6">
        <f>$M$263*$Z$263</f>
        <v>0</v>
      </c>
      <c r="AG263" s="6">
        <f>$O$263*$AA$263</f>
        <v>0</v>
      </c>
    </row>
    <row r="264" spans="1:33" ht="11.25" customHeight="1" x14ac:dyDescent="0.25">
      <c r="A264" s="4" t="s">
        <v>28</v>
      </c>
      <c r="B264" s="4" t="s">
        <v>39</v>
      </c>
      <c r="C264" s="4" t="s">
        <v>40</v>
      </c>
      <c r="D264" s="4" t="s">
        <v>41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44682</v>
      </c>
      <c r="J264" s="6">
        <v>331</v>
      </c>
      <c r="K264" s="6">
        <v>331</v>
      </c>
      <c r="L264" s="6">
        <v>0</v>
      </c>
      <c r="M264" s="6">
        <v>0</v>
      </c>
      <c r="N264" s="6">
        <v>0</v>
      </c>
      <c r="O264" s="6">
        <v>0</v>
      </c>
      <c r="P264" s="6">
        <v>3</v>
      </c>
      <c r="Q264" s="4" t="s">
        <v>26</v>
      </c>
      <c r="R264" s="4">
        <v>0</v>
      </c>
      <c r="S264" s="6">
        <v>6</v>
      </c>
      <c r="T264" s="6">
        <v>0</v>
      </c>
      <c r="U264" s="6">
        <v>0</v>
      </c>
      <c r="V264" s="6">
        <f>IF(ISERROR(VLOOKUP($S$264,'TAR FIN'!$A$1:$O$85,15,0)),0,VLOOKUP($S$264,'TAR FIN'!$A$1:$O$85,15,0))</f>
        <v>16.64</v>
      </c>
      <c r="W264" s="6">
        <f>IF(ISERROR(VLOOKUP($T$264,'TAR FIN'!$A$1:$O$85,15,0)),0,VLOOKUP($T$264,'TAR FIN'!$A$1:$O$85,15,0))</f>
        <v>0</v>
      </c>
      <c r="X264" s="6">
        <f>IF(ISERROR(VLOOKUP($U$264,'TAR FIN'!$A$1:$O$85,15,0)),0,VLOOKUP($U$264,'TAR FIN'!$A$1:$O$85,15,0))</f>
        <v>0</v>
      </c>
      <c r="Y264" s="6">
        <f ca="1">('TUSD BE'!$AM$10+'TUSD BF'!$AM$10+'TUSD CVA'!$AM$10)*1</f>
        <v>18.371854423657158</v>
      </c>
      <c r="Z264" s="6"/>
      <c r="AA264" s="6"/>
      <c r="AB264" s="6">
        <f>$K$264*$V$264</f>
        <v>5507.84</v>
      </c>
      <c r="AC264" s="6">
        <f>$M$264*$W$264</f>
        <v>0</v>
      </c>
      <c r="AD264" s="6">
        <f>$O$264*$X$264</f>
        <v>0</v>
      </c>
      <c r="AE264" s="6">
        <f ca="1">$K$264*$Y$264</f>
        <v>6081.0838142305192</v>
      </c>
      <c r="AF264" s="6">
        <f>$M$264*$Z$264</f>
        <v>0</v>
      </c>
      <c r="AG264" s="6">
        <f>$O$264*$AA$264</f>
        <v>0</v>
      </c>
    </row>
    <row r="265" spans="1:33" ht="11.25" customHeight="1" x14ac:dyDescent="0.25">
      <c r="A265" s="4" t="s">
        <v>21</v>
      </c>
      <c r="B265" s="4" t="s">
        <v>39</v>
      </c>
      <c r="C265" s="4" t="s">
        <v>40</v>
      </c>
      <c r="D265" s="4" t="s">
        <v>41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44713</v>
      </c>
      <c r="J265" s="6">
        <v>6268</v>
      </c>
      <c r="K265" s="6">
        <v>6268</v>
      </c>
      <c r="L265" s="6">
        <v>0</v>
      </c>
      <c r="M265" s="6">
        <v>0</v>
      </c>
      <c r="N265" s="6">
        <v>0</v>
      </c>
      <c r="O265" s="6">
        <v>0</v>
      </c>
      <c r="P265" s="6">
        <v>53</v>
      </c>
      <c r="Q265" s="4" t="s">
        <v>26</v>
      </c>
      <c r="R265" s="4">
        <v>0</v>
      </c>
      <c r="S265" s="6">
        <v>6</v>
      </c>
      <c r="T265" s="6">
        <v>0</v>
      </c>
      <c r="U265" s="6">
        <v>0</v>
      </c>
      <c r="V265" s="6">
        <f>IF(ISERROR(VLOOKUP($S$265,'TAR FIN'!$A$1:$O$85,15,0)),0,VLOOKUP($S$265,'TAR FIN'!$A$1:$O$85,15,0))</f>
        <v>16.64</v>
      </c>
      <c r="W265" s="6">
        <f>IF(ISERROR(VLOOKUP($T$265,'TAR FIN'!$A$1:$O$85,15,0)),0,VLOOKUP($T$265,'TAR FIN'!$A$1:$O$85,15,0))</f>
        <v>0</v>
      </c>
      <c r="X265" s="6">
        <f>IF(ISERROR(VLOOKUP($U$265,'TAR FIN'!$A$1:$O$85,15,0)),0,VLOOKUP($U$265,'TAR FIN'!$A$1:$O$85,15,0))</f>
        <v>0</v>
      </c>
      <c r="Y265" s="6">
        <f ca="1">('TUSD BE'!$AM$10+'TUSD BF'!$AM$10+'TUSD CVA'!$AM$10)*1</f>
        <v>18.371854423657158</v>
      </c>
      <c r="Z265" s="6"/>
      <c r="AA265" s="6"/>
      <c r="AB265" s="6">
        <f>$K$265*$V$265</f>
        <v>104299.52</v>
      </c>
      <c r="AC265" s="6">
        <f>$M$265*$W$265</f>
        <v>0</v>
      </c>
      <c r="AD265" s="6">
        <f>$O$265*$X$265</f>
        <v>0</v>
      </c>
      <c r="AE265" s="6">
        <f ca="1">$K$265*$Y$265</f>
        <v>115154.78352748307</v>
      </c>
      <c r="AF265" s="6">
        <f>$M$265*$Z$265</f>
        <v>0</v>
      </c>
      <c r="AG265" s="6">
        <f>$O$265*$AA$265</f>
        <v>0</v>
      </c>
    </row>
    <row r="266" spans="1:33" ht="11.25" customHeight="1" x14ac:dyDescent="0.25">
      <c r="A266" s="4" t="s">
        <v>28</v>
      </c>
      <c r="B266" s="4" t="s">
        <v>39</v>
      </c>
      <c r="C266" s="4" t="s">
        <v>40</v>
      </c>
      <c r="D266" s="4" t="s">
        <v>41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44713</v>
      </c>
      <c r="J266" s="6">
        <v>330</v>
      </c>
      <c r="K266" s="6">
        <v>330</v>
      </c>
      <c r="L266" s="6">
        <v>0</v>
      </c>
      <c r="M266" s="6">
        <v>0</v>
      </c>
      <c r="N266" s="6">
        <v>0</v>
      </c>
      <c r="O266" s="6">
        <v>0</v>
      </c>
      <c r="P266" s="6">
        <v>3</v>
      </c>
      <c r="Q266" s="4" t="s">
        <v>26</v>
      </c>
      <c r="R266" s="4">
        <v>0</v>
      </c>
      <c r="S266" s="6">
        <v>6</v>
      </c>
      <c r="T266" s="6">
        <v>0</v>
      </c>
      <c r="U266" s="6">
        <v>0</v>
      </c>
      <c r="V266" s="6">
        <f>IF(ISERROR(VLOOKUP($S$266,'TAR FIN'!$A$1:$O$85,15,0)),0,VLOOKUP($S$266,'TAR FIN'!$A$1:$O$85,15,0))</f>
        <v>16.64</v>
      </c>
      <c r="W266" s="6">
        <f>IF(ISERROR(VLOOKUP($T$266,'TAR FIN'!$A$1:$O$85,15,0)),0,VLOOKUP($T$266,'TAR FIN'!$A$1:$O$85,15,0))</f>
        <v>0</v>
      </c>
      <c r="X266" s="6">
        <f>IF(ISERROR(VLOOKUP($U$266,'TAR FIN'!$A$1:$O$85,15,0)),0,VLOOKUP($U$266,'TAR FIN'!$A$1:$O$85,15,0))</f>
        <v>0</v>
      </c>
      <c r="Y266" s="6">
        <f ca="1">('TUSD BE'!$AM$10+'TUSD BF'!$AM$10+'TUSD CVA'!$AM$10)*1</f>
        <v>18.371854423657158</v>
      </c>
      <c r="Z266" s="6"/>
      <c r="AA266" s="6"/>
      <c r="AB266" s="6">
        <f>$K$266*$V$266</f>
        <v>5491.2</v>
      </c>
      <c r="AC266" s="6">
        <f>$M$266*$W$266</f>
        <v>0</v>
      </c>
      <c r="AD266" s="6">
        <f>$O$266*$X$266</f>
        <v>0</v>
      </c>
      <c r="AE266" s="6">
        <f ca="1">$K$266*$Y$266</f>
        <v>6062.7119598068621</v>
      </c>
      <c r="AF266" s="6">
        <f>$M$266*$Z$266</f>
        <v>0</v>
      </c>
      <c r="AG266" s="6">
        <f>$O$266*$AA$266</f>
        <v>0</v>
      </c>
    </row>
    <row r="267" spans="1:33" ht="11.25" customHeight="1" x14ac:dyDescent="0.25">
      <c r="A267" s="4" t="s">
        <v>21</v>
      </c>
      <c r="B267" s="4" t="s">
        <v>39</v>
      </c>
      <c r="C267" s="4" t="s">
        <v>40</v>
      </c>
      <c r="D267" s="4" t="s">
        <v>41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44743</v>
      </c>
      <c r="J267" s="6">
        <v>6073</v>
      </c>
      <c r="K267" s="6">
        <v>6073</v>
      </c>
      <c r="L267" s="6">
        <v>0</v>
      </c>
      <c r="M267" s="6">
        <v>0</v>
      </c>
      <c r="N267" s="6">
        <v>0</v>
      </c>
      <c r="O267" s="6">
        <v>0</v>
      </c>
      <c r="P267" s="6">
        <v>52</v>
      </c>
      <c r="Q267" s="4" t="s">
        <v>26</v>
      </c>
      <c r="R267" s="4">
        <v>0</v>
      </c>
      <c r="S267" s="6">
        <v>6</v>
      </c>
      <c r="T267" s="6">
        <v>0</v>
      </c>
      <c r="U267" s="6">
        <v>0</v>
      </c>
      <c r="V267" s="6">
        <f>IF(ISERROR(VLOOKUP($S$267,'TAR FIN'!$A$1:$O$85,15,0)),0,VLOOKUP($S$267,'TAR FIN'!$A$1:$O$85,15,0))</f>
        <v>16.64</v>
      </c>
      <c r="W267" s="6">
        <f>IF(ISERROR(VLOOKUP($T$267,'TAR FIN'!$A$1:$O$85,15,0)),0,VLOOKUP($T$267,'TAR FIN'!$A$1:$O$85,15,0))</f>
        <v>0</v>
      </c>
      <c r="X267" s="6">
        <f>IF(ISERROR(VLOOKUP($U$267,'TAR FIN'!$A$1:$O$85,15,0)),0,VLOOKUP($U$267,'TAR FIN'!$A$1:$O$85,15,0))</f>
        <v>0</v>
      </c>
      <c r="Y267" s="6">
        <f ca="1">('TUSD BE'!$AM$10+'TUSD BF'!$AM$10+'TUSD CVA'!$AM$10)*1</f>
        <v>18.371854423657158</v>
      </c>
      <c r="Z267" s="6"/>
      <c r="AA267" s="6"/>
      <c r="AB267" s="6">
        <f>$K$267*$V$267</f>
        <v>101054.72</v>
      </c>
      <c r="AC267" s="6">
        <f>$M$267*$W$267</f>
        <v>0</v>
      </c>
      <c r="AD267" s="6">
        <f>$O$267*$X$267</f>
        <v>0</v>
      </c>
      <c r="AE267" s="6">
        <f ca="1">$K$267*$Y$267</f>
        <v>111572.27191486993</v>
      </c>
      <c r="AF267" s="6">
        <f>$M$267*$Z$267</f>
        <v>0</v>
      </c>
      <c r="AG267" s="6">
        <f>$O$267*$AA$267</f>
        <v>0</v>
      </c>
    </row>
    <row r="268" spans="1:33" ht="11.25" customHeight="1" x14ac:dyDescent="0.25">
      <c r="A268" s="4" t="s">
        <v>28</v>
      </c>
      <c r="B268" s="4" t="s">
        <v>39</v>
      </c>
      <c r="C268" s="4" t="s">
        <v>40</v>
      </c>
      <c r="D268" s="4" t="s">
        <v>41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44743</v>
      </c>
      <c r="J268" s="6">
        <v>353</v>
      </c>
      <c r="K268" s="6">
        <v>353</v>
      </c>
      <c r="L268" s="6">
        <v>0</v>
      </c>
      <c r="M268" s="6">
        <v>0</v>
      </c>
      <c r="N268" s="6">
        <v>0</v>
      </c>
      <c r="O268" s="6">
        <v>0</v>
      </c>
      <c r="P268" s="6">
        <v>3</v>
      </c>
      <c r="Q268" s="4" t="s">
        <v>26</v>
      </c>
      <c r="R268" s="4">
        <v>0</v>
      </c>
      <c r="S268" s="6">
        <v>6</v>
      </c>
      <c r="T268" s="6">
        <v>0</v>
      </c>
      <c r="U268" s="6">
        <v>0</v>
      </c>
      <c r="V268" s="6">
        <f>IF(ISERROR(VLOOKUP($S$268,'TAR FIN'!$A$1:$O$85,15,0)),0,VLOOKUP($S$268,'TAR FIN'!$A$1:$O$85,15,0))</f>
        <v>16.64</v>
      </c>
      <c r="W268" s="6">
        <f>IF(ISERROR(VLOOKUP($T$268,'TAR FIN'!$A$1:$O$85,15,0)),0,VLOOKUP($T$268,'TAR FIN'!$A$1:$O$85,15,0))</f>
        <v>0</v>
      </c>
      <c r="X268" s="6">
        <f>IF(ISERROR(VLOOKUP($U$268,'TAR FIN'!$A$1:$O$85,15,0)),0,VLOOKUP($U$268,'TAR FIN'!$A$1:$O$85,15,0))</f>
        <v>0</v>
      </c>
      <c r="Y268" s="6">
        <f ca="1">('TUSD BE'!$AM$10+'TUSD BF'!$AM$10+'TUSD CVA'!$AM$10)*1</f>
        <v>18.371854423657158</v>
      </c>
      <c r="Z268" s="6"/>
      <c r="AA268" s="6"/>
      <c r="AB268" s="6">
        <f>$K$268*$V$268</f>
        <v>5873.92</v>
      </c>
      <c r="AC268" s="6">
        <f>$M$268*$W$268</f>
        <v>0</v>
      </c>
      <c r="AD268" s="6">
        <f>$O$268*$X$268</f>
        <v>0</v>
      </c>
      <c r="AE268" s="6">
        <f ca="1">$K$268*$Y$268</f>
        <v>6485.264611550977</v>
      </c>
      <c r="AF268" s="6">
        <f>$M$268*$Z$268</f>
        <v>0</v>
      </c>
      <c r="AG268" s="6">
        <f>$O$268*$AA$268</f>
        <v>0</v>
      </c>
    </row>
    <row r="269" spans="1:33" ht="11.25" customHeight="1" x14ac:dyDescent="0.25">
      <c r="A269" s="4" t="s">
        <v>56</v>
      </c>
      <c r="B269" s="4" t="s">
        <v>39</v>
      </c>
      <c r="C269" s="4" t="s">
        <v>40</v>
      </c>
      <c r="D269" s="4" t="s">
        <v>41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44774</v>
      </c>
      <c r="J269" s="6">
        <v>6073</v>
      </c>
      <c r="K269" s="6">
        <v>6073</v>
      </c>
      <c r="L269" s="6">
        <v>0</v>
      </c>
      <c r="M269" s="6">
        <v>0</v>
      </c>
      <c r="N269" s="6">
        <v>0</v>
      </c>
      <c r="O269" s="6">
        <v>0</v>
      </c>
      <c r="P269" s="6">
        <v>52</v>
      </c>
      <c r="Q269" s="4" t="s">
        <v>26</v>
      </c>
      <c r="R269" s="4">
        <v>0</v>
      </c>
      <c r="S269" s="6">
        <v>6</v>
      </c>
      <c r="T269" s="6">
        <v>0</v>
      </c>
      <c r="U269" s="6">
        <v>0</v>
      </c>
      <c r="V269" s="6">
        <f>IF(ISERROR(VLOOKUP($S$269,'TAR FIN'!$A$1:$O$85,15,0)),0,VLOOKUP($S$269,'TAR FIN'!$A$1:$O$85,15,0))</f>
        <v>16.64</v>
      </c>
      <c r="W269" s="6">
        <f>IF(ISERROR(VLOOKUP($T$269,'TAR FIN'!$A$1:$O$85,15,0)),0,VLOOKUP($T$269,'TAR FIN'!$A$1:$O$85,15,0))</f>
        <v>0</v>
      </c>
      <c r="X269" s="6">
        <f>IF(ISERROR(VLOOKUP($U$269,'TAR FIN'!$A$1:$O$85,15,0)),0,VLOOKUP($U$269,'TAR FIN'!$A$1:$O$85,15,0))</f>
        <v>0</v>
      </c>
      <c r="Y269" s="6">
        <f ca="1">('TUSD BE'!$AM$10+'TUSD BF'!$AM$10+'TUSD CVA'!$AM$10)*1</f>
        <v>18.371854423657158</v>
      </c>
      <c r="Z269" s="6"/>
      <c r="AA269" s="6"/>
      <c r="AB269" s="6">
        <f>$K$269*$V$269</f>
        <v>101054.72</v>
      </c>
      <c r="AC269" s="6">
        <f>$M$269*$W$269</f>
        <v>0</v>
      </c>
      <c r="AD269" s="6">
        <f>$O$269*$X$269</f>
        <v>0</v>
      </c>
      <c r="AE269" s="6">
        <f ca="1">$K$269*$Y$269</f>
        <v>111572.27191486993</v>
      </c>
      <c r="AF269" s="6">
        <f>$M$269*$Z$269</f>
        <v>0</v>
      </c>
      <c r="AG269" s="6">
        <f>$O$269*$AA$269</f>
        <v>0</v>
      </c>
    </row>
    <row r="270" spans="1:33" ht="11.25" customHeight="1" x14ac:dyDescent="0.25">
      <c r="A270" s="4" t="s">
        <v>56</v>
      </c>
      <c r="B270" s="4" t="s">
        <v>39</v>
      </c>
      <c r="C270" s="4" t="s">
        <v>40</v>
      </c>
      <c r="D270" s="4" t="s">
        <v>41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44774</v>
      </c>
      <c r="J270" s="6">
        <v>353</v>
      </c>
      <c r="K270" s="6">
        <v>353</v>
      </c>
      <c r="L270" s="6">
        <v>0</v>
      </c>
      <c r="M270" s="6">
        <v>0</v>
      </c>
      <c r="N270" s="6">
        <v>0</v>
      </c>
      <c r="O270" s="6">
        <v>0</v>
      </c>
      <c r="P270" s="6">
        <v>3</v>
      </c>
      <c r="Q270" s="4" t="s">
        <v>26</v>
      </c>
      <c r="R270" s="4">
        <v>0</v>
      </c>
      <c r="S270" s="6">
        <v>6</v>
      </c>
      <c r="T270" s="6">
        <v>0</v>
      </c>
      <c r="U270" s="6">
        <v>0</v>
      </c>
      <c r="V270" s="6">
        <f>IF(ISERROR(VLOOKUP($S$270,'TAR FIN'!$A$1:$O$85,15,0)),0,VLOOKUP($S$270,'TAR FIN'!$A$1:$O$85,15,0))</f>
        <v>16.64</v>
      </c>
      <c r="W270" s="6">
        <f>IF(ISERROR(VLOOKUP($T$270,'TAR FIN'!$A$1:$O$85,15,0)),0,VLOOKUP($T$270,'TAR FIN'!$A$1:$O$85,15,0))</f>
        <v>0</v>
      </c>
      <c r="X270" s="6">
        <f>IF(ISERROR(VLOOKUP($U$270,'TAR FIN'!$A$1:$O$85,15,0)),0,VLOOKUP($U$270,'TAR FIN'!$A$1:$O$85,15,0))</f>
        <v>0</v>
      </c>
      <c r="Y270" s="6">
        <f ca="1">('TUSD BE'!$AM$10+'TUSD BF'!$AM$10+'TUSD CVA'!$AM$10)*1</f>
        <v>18.371854423657158</v>
      </c>
      <c r="Z270" s="6"/>
      <c r="AA270" s="6"/>
      <c r="AB270" s="6">
        <f>$K$270*$V$270</f>
        <v>5873.92</v>
      </c>
      <c r="AC270" s="6">
        <f>$M$270*$W$270</f>
        <v>0</v>
      </c>
      <c r="AD270" s="6">
        <f>$O$270*$X$270</f>
        <v>0</v>
      </c>
      <c r="AE270" s="6">
        <f ca="1">$K$270*$Y$270</f>
        <v>6485.264611550977</v>
      </c>
      <c r="AF270" s="6">
        <f>$M$270*$Z$270</f>
        <v>0</v>
      </c>
      <c r="AG270" s="6">
        <f>$O$270*$AA$270</f>
        <v>0</v>
      </c>
    </row>
    <row r="271" spans="1:33" ht="11.25" customHeight="1" x14ac:dyDescent="0.25">
      <c r="A271" s="4" t="s">
        <v>21</v>
      </c>
      <c r="B271" s="4" t="s">
        <v>39</v>
      </c>
      <c r="C271" s="4" t="s">
        <v>40</v>
      </c>
      <c r="D271" s="4" t="s">
        <v>41</v>
      </c>
      <c r="E271" s="4" t="s">
        <v>25</v>
      </c>
      <c r="F271" s="4" t="s">
        <v>25</v>
      </c>
      <c r="G271" s="4" t="s">
        <v>25</v>
      </c>
      <c r="H271" s="4" t="s">
        <v>34</v>
      </c>
      <c r="I271" s="5">
        <v>44440</v>
      </c>
      <c r="J271" s="6">
        <v>0</v>
      </c>
      <c r="K271" s="6">
        <v>0</v>
      </c>
      <c r="L271" s="6">
        <v>51.628999999999998</v>
      </c>
      <c r="M271" s="6">
        <v>51.628999999999998</v>
      </c>
      <c r="N271" s="6">
        <v>51.628999999999998</v>
      </c>
      <c r="O271" s="6">
        <v>51.628999999999998</v>
      </c>
      <c r="P271" s="6">
        <v>0</v>
      </c>
      <c r="Q271" s="4" t="s">
        <v>26</v>
      </c>
      <c r="R271" s="4">
        <v>0</v>
      </c>
      <c r="S271" s="6">
        <v>0</v>
      </c>
      <c r="T271" s="6">
        <v>7</v>
      </c>
      <c r="U271" s="6">
        <v>48</v>
      </c>
      <c r="V271" s="6">
        <f>IF(ISERROR(VLOOKUP($S$271,'TAR FIN'!$A$1:$O$85,15,0)),0,VLOOKUP($S$271,'TAR FIN'!$A$1:$O$85,15,0))</f>
        <v>0</v>
      </c>
      <c r="W271" s="6">
        <f>IF(ISERROR(VLOOKUP($T$271,'TAR FIN'!$A$1:$O$85,15,0)),0,VLOOKUP($T$271,'TAR FIN'!$A$1:$O$85,15,0))</f>
        <v>1326.39</v>
      </c>
      <c r="X271" s="6">
        <f>IF(ISERROR(VLOOKUP($U$271,'TAR FIN'!$A$1:$O$85,15,0)),0,VLOOKUP($U$271,'TAR FIN'!$A$1:$O$85,15,0))</f>
        <v>492.64</v>
      </c>
      <c r="Y271" s="6"/>
      <c r="Z271" s="6">
        <f ca="1">('TUSD BE'!$AM$11+'TUSD BF'!$AM$11+'TUSD CVA'!$AM$11)*1</f>
        <v>1532.0020380763981</v>
      </c>
      <c r="AA271" s="6">
        <f>('TE BE'!$AB$5+'TE BF'!$AB$5+'TE CVA'!$AB$5)*1</f>
        <v>485.87597641853409</v>
      </c>
      <c r="AB271" s="6">
        <f>$K$271*$V$271</f>
        <v>0</v>
      </c>
      <c r="AC271" s="6">
        <f>$M$271*$W$271</f>
        <v>68480.189310000002</v>
      </c>
      <c r="AD271" s="6">
        <f>$O$271*$X$271</f>
        <v>25434.510559999999</v>
      </c>
      <c r="AE271" s="6">
        <f>$K$271*$Y$271</f>
        <v>0</v>
      </c>
      <c r="AF271" s="6">
        <f ca="1">$M$271*$Z$271</f>
        <v>79095.733223846357</v>
      </c>
      <c r="AG271" s="6">
        <f>$O$271*$AA$271</f>
        <v>25085.290786512494</v>
      </c>
    </row>
    <row r="272" spans="1:33" ht="11.25" customHeight="1" x14ac:dyDescent="0.25">
      <c r="A272" s="4" t="s">
        <v>28</v>
      </c>
      <c r="B272" s="4" t="s">
        <v>39</v>
      </c>
      <c r="C272" s="4" t="s">
        <v>40</v>
      </c>
      <c r="D272" s="4" t="s">
        <v>41</v>
      </c>
      <c r="E272" s="4" t="s">
        <v>25</v>
      </c>
      <c r="F272" s="4" t="s">
        <v>25</v>
      </c>
      <c r="G272" s="4" t="s">
        <v>25</v>
      </c>
      <c r="H272" s="4" t="s">
        <v>34</v>
      </c>
      <c r="I272" s="5">
        <v>44440</v>
      </c>
      <c r="J272" s="6">
        <v>0</v>
      </c>
      <c r="K272" s="6">
        <v>0</v>
      </c>
      <c r="L272" s="6">
        <v>3.55</v>
      </c>
      <c r="M272" s="6">
        <v>3.55</v>
      </c>
      <c r="N272" s="6">
        <v>3.55</v>
      </c>
      <c r="O272" s="6">
        <v>3.55</v>
      </c>
      <c r="P272" s="6">
        <v>0</v>
      </c>
      <c r="Q272" s="4" t="s">
        <v>26</v>
      </c>
      <c r="R272" s="4">
        <v>0</v>
      </c>
      <c r="S272" s="6">
        <v>0</v>
      </c>
      <c r="T272" s="6">
        <v>7</v>
      </c>
      <c r="U272" s="6">
        <v>48</v>
      </c>
      <c r="V272" s="6">
        <f>IF(ISERROR(VLOOKUP($S$272,'TAR FIN'!$A$1:$O$85,15,0)),0,VLOOKUP($S$272,'TAR FIN'!$A$1:$O$85,15,0))</f>
        <v>0</v>
      </c>
      <c r="W272" s="6">
        <f>IF(ISERROR(VLOOKUP($T$272,'TAR FIN'!$A$1:$O$85,15,0)),0,VLOOKUP($T$272,'TAR FIN'!$A$1:$O$85,15,0))</f>
        <v>1326.39</v>
      </c>
      <c r="X272" s="6">
        <f>IF(ISERROR(VLOOKUP($U$272,'TAR FIN'!$A$1:$O$85,15,0)),0,VLOOKUP($U$272,'TAR FIN'!$A$1:$O$85,15,0))</f>
        <v>492.64</v>
      </c>
      <c r="Y272" s="6"/>
      <c r="Z272" s="6">
        <f ca="1">('TUSD BE'!$AM$11+'TUSD BF'!$AM$11+'TUSD CVA'!$AM$11)*1</f>
        <v>1532.0020380763981</v>
      </c>
      <c r="AA272" s="6">
        <f>('TE BE'!$AB$5+'TE BF'!$AB$5+'TE CVA'!$AB$5)*1</f>
        <v>485.87597641853409</v>
      </c>
      <c r="AB272" s="6">
        <f>$K$272*$V$272</f>
        <v>0</v>
      </c>
      <c r="AC272" s="6">
        <f>$M$272*$W$272</f>
        <v>4708.6845000000003</v>
      </c>
      <c r="AD272" s="6">
        <f>$O$272*$X$272</f>
        <v>1748.8719999999998</v>
      </c>
      <c r="AE272" s="6">
        <f>$K$272*$Y$272</f>
        <v>0</v>
      </c>
      <c r="AF272" s="6">
        <f ca="1">$M$272*$Z$272</f>
        <v>5438.6072351712128</v>
      </c>
      <c r="AG272" s="6">
        <f>$O$272*$AA$272</f>
        <v>1724.8597162857959</v>
      </c>
    </row>
    <row r="273" spans="1:33" ht="11.25" customHeight="1" x14ac:dyDescent="0.25">
      <c r="A273" s="4" t="s">
        <v>21</v>
      </c>
      <c r="B273" s="4" t="s">
        <v>39</v>
      </c>
      <c r="C273" s="4" t="s">
        <v>40</v>
      </c>
      <c r="D273" s="4" t="s">
        <v>41</v>
      </c>
      <c r="E273" s="4" t="s">
        <v>25</v>
      </c>
      <c r="F273" s="4" t="s">
        <v>25</v>
      </c>
      <c r="G273" s="4" t="s">
        <v>25</v>
      </c>
      <c r="H273" s="4" t="s">
        <v>34</v>
      </c>
      <c r="I273" s="5">
        <v>44470</v>
      </c>
      <c r="J273" s="6">
        <v>0</v>
      </c>
      <c r="K273" s="6">
        <v>0</v>
      </c>
      <c r="L273" s="6">
        <v>55.1</v>
      </c>
      <c r="M273" s="6">
        <v>55.1</v>
      </c>
      <c r="N273" s="6">
        <v>55.1</v>
      </c>
      <c r="O273" s="6">
        <v>55.1</v>
      </c>
      <c r="P273" s="6">
        <v>0</v>
      </c>
      <c r="Q273" s="4" t="s">
        <v>26</v>
      </c>
      <c r="R273" s="4">
        <v>0</v>
      </c>
      <c r="S273" s="6">
        <v>0</v>
      </c>
      <c r="T273" s="6">
        <v>7</v>
      </c>
      <c r="U273" s="6">
        <v>48</v>
      </c>
      <c r="V273" s="6">
        <f>IF(ISERROR(VLOOKUP($S$273,'TAR FIN'!$A$1:$O$85,15,0)),0,VLOOKUP($S$273,'TAR FIN'!$A$1:$O$85,15,0))</f>
        <v>0</v>
      </c>
      <c r="W273" s="6">
        <f>IF(ISERROR(VLOOKUP($T$273,'TAR FIN'!$A$1:$O$85,15,0)),0,VLOOKUP($T$273,'TAR FIN'!$A$1:$O$85,15,0))</f>
        <v>1326.39</v>
      </c>
      <c r="X273" s="6">
        <f>IF(ISERROR(VLOOKUP($U$273,'TAR FIN'!$A$1:$O$85,15,0)),0,VLOOKUP($U$273,'TAR FIN'!$A$1:$O$85,15,0))</f>
        <v>492.64</v>
      </c>
      <c r="Y273" s="6"/>
      <c r="Z273" s="6">
        <f ca="1">('TUSD BE'!$AM$11+'TUSD BF'!$AM$11+'TUSD CVA'!$AM$11)*1</f>
        <v>1532.0020380763981</v>
      </c>
      <c r="AA273" s="6">
        <f>('TE BE'!$AB$5+'TE BF'!$AB$5+'TE CVA'!$AB$5)*1</f>
        <v>485.87597641853409</v>
      </c>
      <c r="AB273" s="6">
        <f>$K$273*$V$273</f>
        <v>0</v>
      </c>
      <c r="AC273" s="6">
        <f>$M$273*$W$273</f>
        <v>73084.089000000007</v>
      </c>
      <c r="AD273" s="6">
        <f>$O$273*$X$273</f>
        <v>27144.464</v>
      </c>
      <c r="AE273" s="6">
        <f>$K$273*$Y$273</f>
        <v>0</v>
      </c>
      <c r="AF273" s="6">
        <f ca="1">$M$273*$Z$273</f>
        <v>84413.312298009536</v>
      </c>
      <c r="AG273" s="6">
        <f>$O$273*$AA$273</f>
        <v>26771.766300661231</v>
      </c>
    </row>
    <row r="274" spans="1:33" ht="11.25" customHeight="1" x14ac:dyDescent="0.25">
      <c r="A274" s="4" t="s">
        <v>28</v>
      </c>
      <c r="B274" s="4" t="s">
        <v>39</v>
      </c>
      <c r="C274" s="4" t="s">
        <v>40</v>
      </c>
      <c r="D274" s="4" t="s">
        <v>41</v>
      </c>
      <c r="E274" s="4" t="s">
        <v>25</v>
      </c>
      <c r="F274" s="4" t="s">
        <v>25</v>
      </c>
      <c r="G274" s="4" t="s">
        <v>25</v>
      </c>
      <c r="H274" s="4" t="s">
        <v>34</v>
      </c>
      <c r="I274" s="5">
        <v>44470</v>
      </c>
      <c r="J274" s="6">
        <v>0</v>
      </c>
      <c r="K274" s="6">
        <v>0</v>
      </c>
      <c r="L274" s="6">
        <v>2.2250000000000001</v>
      </c>
      <c r="M274" s="6">
        <v>2.2250000000000001</v>
      </c>
      <c r="N274" s="6">
        <v>2.2250000000000001</v>
      </c>
      <c r="O274" s="6">
        <v>2.2250000000000001</v>
      </c>
      <c r="P274" s="6">
        <v>0</v>
      </c>
      <c r="Q274" s="4" t="s">
        <v>26</v>
      </c>
      <c r="R274" s="4">
        <v>0</v>
      </c>
      <c r="S274" s="6">
        <v>0</v>
      </c>
      <c r="T274" s="6">
        <v>7</v>
      </c>
      <c r="U274" s="6">
        <v>48</v>
      </c>
      <c r="V274" s="6">
        <f>IF(ISERROR(VLOOKUP($S$274,'TAR FIN'!$A$1:$O$85,15,0)),0,VLOOKUP($S$274,'TAR FIN'!$A$1:$O$85,15,0))</f>
        <v>0</v>
      </c>
      <c r="W274" s="6">
        <f>IF(ISERROR(VLOOKUP($T$274,'TAR FIN'!$A$1:$O$85,15,0)),0,VLOOKUP($T$274,'TAR FIN'!$A$1:$O$85,15,0))</f>
        <v>1326.39</v>
      </c>
      <c r="X274" s="6">
        <f>IF(ISERROR(VLOOKUP($U$274,'TAR FIN'!$A$1:$O$85,15,0)),0,VLOOKUP($U$274,'TAR FIN'!$A$1:$O$85,15,0))</f>
        <v>492.64</v>
      </c>
      <c r="Y274" s="6"/>
      <c r="Z274" s="6">
        <f ca="1">('TUSD BE'!$AM$11+'TUSD BF'!$AM$11+'TUSD CVA'!$AM$11)*1</f>
        <v>1532.0020380763981</v>
      </c>
      <c r="AA274" s="6">
        <f>('TE BE'!$AB$5+'TE BF'!$AB$5+'TE CVA'!$AB$5)*1</f>
        <v>485.87597641853409</v>
      </c>
      <c r="AB274" s="6">
        <f>$K$274*$V$274</f>
        <v>0</v>
      </c>
      <c r="AC274" s="6">
        <f>$M$274*$W$274</f>
        <v>2951.2177500000003</v>
      </c>
      <c r="AD274" s="6">
        <f>$O$274*$X$274</f>
        <v>1096.124</v>
      </c>
      <c r="AE274" s="6">
        <f>$K$274*$Y$274</f>
        <v>0</v>
      </c>
      <c r="AF274" s="6">
        <f ca="1">$M$274*$Z$274</f>
        <v>3408.704534719986</v>
      </c>
      <c r="AG274" s="6">
        <f>$O$274*$AA$274</f>
        <v>1081.0740475312384</v>
      </c>
    </row>
    <row r="275" spans="1:33" ht="11.25" customHeight="1" x14ac:dyDescent="0.25">
      <c r="A275" s="4" t="s">
        <v>21</v>
      </c>
      <c r="B275" s="4" t="s">
        <v>39</v>
      </c>
      <c r="C275" s="4" t="s">
        <v>40</v>
      </c>
      <c r="D275" s="4" t="s">
        <v>41</v>
      </c>
      <c r="E275" s="4" t="s">
        <v>25</v>
      </c>
      <c r="F275" s="4" t="s">
        <v>25</v>
      </c>
      <c r="G275" s="4" t="s">
        <v>25</v>
      </c>
      <c r="H275" s="4" t="s">
        <v>34</v>
      </c>
      <c r="I275" s="5">
        <v>44501</v>
      </c>
      <c r="J275" s="6">
        <v>0</v>
      </c>
      <c r="K275" s="6">
        <v>0</v>
      </c>
      <c r="L275" s="6">
        <v>46.735999999999997</v>
      </c>
      <c r="M275" s="6">
        <v>46.735999999999997</v>
      </c>
      <c r="N275" s="6">
        <v>46.735999999999997</v>
      </c>
      <c r="O275" s="6">
        <v>46.735999999999997</v>
      </c>
      <c r="P275" s="6">
        <v>0</v>
      </c>
      <c r="Q275" s="4" t="s">
        <v>26</v>
      </c>
      <c r="R275" s="4">
        <v>0</v>
      </c>
      <c r="S275" s="6">
        <v>0</v>
      </c>
      <c r="T275" s="6">
        <v>7</v>
      </c>
      <c r="U275" s="6">
        <v>48</v>
      </c>
      <c r="V275" s="6">
        <f>IF(ISERROR(VLOOKUP($S$275,'TAR FIN'!$A$1:$O$85,15,0)),0,VLOOKUP($S$275,'TAR FIN'!$A$1:$O$85,15,0))</f>
        <v>0</v>
      </c>
      <c r="W275" s="6">
        <f>IF(ISERROR(VLOOKUP($T$275,'TAR FIN'!$A$1:$O$85,15,0)),0,VLOOKUP($T$275,'TAR FIN'!$A$1:$O$85,15,0))</f>
        <v>1326.39</v>
      </c>
      <c r="X275" s="6">
        <f>IF(ISERROR(VLOOKUP($U$275,'TAR FIN'!$A$1:$O$85,15,0)),0,VLOOKUP($U$275,'TAR FIN'!$A$1:$O$85,15,0))</f>
        <v>492.64</v>
      </c>
      <c r="Y275" s="6"/>
      <c r="Z275" s="6">
        <f ca="1">('TUSD BE'!$AM$11+'TUSD BF'!$AM$11+'TUSD CVA'!$AM$11)*1</f>
        <v>1532.0020380763981</v>
      </c>
      <c r="AA275" s="6">
        <f>('TE BE'!$AB$5+'TE BF'!$AB$5+'TE CVA'!$AB$5)*1</f>
        <v>485.87597641853409</v>
      </c>
      <c r="AB275" s="6">
        <f>$K$275*$V$275</f>
        <v>0</v>
      </c>
      <c r="AC275" s="6">
        <f>$M$275*$W$275</f>
        <v>61990.163039999999</v>
      </c>
      <c r="AD275" s="6">
        <f>$O$275*$X$275</f>
        <v>23024.023039999996</v>
      </c>
      <c r="AE275" s="6">
        <f>$K$275*$Y$275</f>
        <v>0</v>
      </c>
      <c r="AF275" s="6">
        <f ca="1">$M$275*$Z$275</f>
        <v>71599.647251538539</v>
      </c>
      <c r="AG275" s="6">
        <f>$O$275*$AA$275</f>
        <v>22707.899633896606</v>
      </c>
    </row>
    <row r="276" spans="1:33" ht="11.25" customHeight="1" x14ac:dyDescent="0.25">
      <c r="A276" s="4" t="s">
        <v>28</v>
      </c>
      <c r="B276" s="4" t="s">
        <v>39</v>
      </c>
      <c r="C276" s="4" t="s">
        <v>40</v>
      </c>
      <c r="D276" s="4" t="s">
        <v>41</v>
      </c>
      <c r="E276" s="4" t="s">
        <v>25</v>
      </c>
      <c r="F276" s="4" t="s">
        <v>25</v>
      </c>
      <c r="G276" s="4" t="s">
        <v>25</v>
      </c>
      <c r="H276" s="4" t="s">
        <v>34</v>
      </c>
      <c r="I276" s="5">
        <v>44501</v>
      </c>
      <c r="J276" s="6">
        <v>0</v>
      </c>
      <c r="K276" s="6">
        <v>0</v>
      </c>
      <c r="L276" s="6">
        <v>1.6439999999999999</v>
      </c>
      <c r="M276" s="6">
        <v>1.6439999999999999</v>
      </c>
      <c r="N276" s="6">
        <v>1.6439999999999999</v>
      </c>
      <c r="O276" s="6">
        <v>1.6439999999999999</v>
      </c>
      <c r="P276" s="6">
        <v>0</v>
      </c>
      <c r="Q276" s="4" t="s">
        <v>26</v>
      </c>
      <c r="R276" s="4">
        <v>0</v>
      </c>
      <c r="S276" s="6">
        <v>0</v>
      </c>
      <c r="T276" s="6">
        <v>7</v>
      </c>
      <c r="U276" s="6">
        <v>48</v>
      </c>
      <c r="V276" s="6">
        <f>IF(ISERROR(VLOOKUP($S$276,'TAR FIN'!$A$1:$O$85,15,0)),0,VLOOKUP($S$276,'TAR FIN'!$A$1:$O$85,15,0))</f>
        <v>0</v>
      </c>
      <c r="W276" s="6">
        <f>IF(ISERROR(VLOOKUP($T$276,'TAR FIN'!$A$1:$O$85,15,0)),0,VLOOKUP($T$276,'TAR FIN'!$A$1:$O$85,15,0))</f>
        <v>1326.39</v>
      </c>
      <c r="X276" s="6">
        <f>IF(ISERROR(VLOOKUP($U$276,'TAR FIN'!$A$1:$O$85,15,0)),0,VLOOKUP($U$276,'TAR FIN'!$A$1:$O$85,15,0))</f>
        <v>492.64</v>
      </c>
      <c r="Y276" s="6"/>
      <c r="Z276" s="6">
        <f ca="1">('TUSD BE'!$AM$11+'TUSD BF'!$AM$11+'TUSD CVA'!$AM$11)*1</f>
        <v>1532.0020380763981</v>
      </c>
      <c r="AA276" s="6">
        <f>('TE BE'!$AB$5+'TE BF'!$AB$5+'TE CVA'!$AB$5)*1</f>
        <v>485.87597641853409</v>
      </c>
      <c r="AB276" s="6">
        <f>$K$276*$V$276</f>
        <v>0</v>
      </c>
      <c r="AC276" s="6">
        <f>$M$276*$W$276</f>
        <v>2180.5851600000001</v>
      </c>
      <c r="AD276" s="6">
        <f>$O$276*$X$276</f>
        <v>809.90015999999991</v>
      </c>
      <c r="AE276" s="6">
        <f>$K$276*$Y$276</f>
        <v>0</v>
      </c>
      <c r="AF276" s="6">
        <f ca="1">$M$276*$Z$276</f>
        <v>2518.6113505975982</v>
      </c>
      <c r="AG276" s="6">
        <f>$O$276*$AA$276</f>
        <v>798.78010523207001</v>
      </c>
    </row>
    <row r="277" spans="1:33" ht="11.25" customHeight="1" x14ac:dyDescent="0.25">
      <c r="A277" s="4" t="s">
        <v>21</v>
      </c>
      <c r="B277" s="4" t="s">
        <v>39</v>
      </c>
      <c r="C277" s="4" t="s">
        <v>40</v>
      </c>
      <c r="D277" s="4" t="s">
        <v>41</v>
      </c>
      <c r="E277" s="4" t="s">
        <v>25</v>
      </c>
      <c r="F277" s="4" t="s">
        <v>25</v>
      </c>
      <c r="G277" s="4" t="s">
        <v>25</v>
      </c>
      <c r="H277" s="4" t="s">
        <v>34</v>
      </c>
      <c r="I277" s="5">
        <v>44531</v>
      </c>
      <c r="J277" s="6">
        <v>0</v>
      </c>
      <c r="K277" s="6">
        <v>0</v>
      </c>
      <c r="L277" s="6">
        <v>52.856999999999999</v>
      </c>
      <c r="M277" s="6">
        <v>52.856999999999999</v>
      </c>
      <c r="N277" s="6">
        <v>52.856999999999999</v>
      </c>
      <c r="O277" s="6">
        <v>52.856999999999999</v>
      </c>
      <c r="P277" s="6">
        <v>0</v>
      </c>
      <c r="Q277" s="4" t="s">
        <v>26</v>
      </c>
      <c r="R277" s="4">
        <v>0</v>
      </c>
      <c r="S277" s="6">
        <v>0</v>
      </c>
      <c r="T277" s="6">
        <v>7</v>
      </c>
      <c r="U277" s="6">
        <v>48</v>
      </c>
      <c r="V277" s="6">
        <f>IF(ISERROR(VLOOKUP($S$277,'TAR FIN'!$A$1:$O$85,15,0)),0,VLOOKUP($S$277,'TAR FIN'!$A$1:$O$85,15,0))</f>
        <v>0</v>
      </c>
      <c r="W277" s="6">
        <f>IF(ISERROR(VLOOKUP($T$277,'TAR FIN'!$A$1:$O$85,15,0)),0,VLOOKUP($T$277,'TAR FIN'!$A$1:$O$85,15,0))</f>
        <v>1326.39</v>
      </c>
      <c r="X277" s="6">
        <f>IF(ISERROR(VLOOKUP($U$277,'TAR FIN'!$A$1:$O$85,15,0)),0,VLOOKUP($U$277,'TAR FIN'!$A$1:$O$85,15,0))</f>
        <v>492.64</v>
      </c>
      <c r="Y277" s="6"/>
      <c r="Z277" s="6">
        <f ca="1">('TUSD BE'!$AM$11+'TUSD BF'!$AM$11+'TUSD CVA'!$AM$11)*1</f>
        <v>1532.0020380763981</v>
      </c>
      <c r="AA277" s="6">
        <f>('TE BE'!$AB$5+'TE BF'!$AB$5+'TE CVA'!$AB$5)*1</f>
        <v>485.87597641853409</v>
      </c>
      <c r="AB277" s="6">
        <f>$K$277*$V$277</f>
        <v>0</v>
      </c>
      <c r="AC277" s="6">
        <f>$M$277*$W$277</f>
        <v>70108.996230000004</v>
      </c>
      <c r="AD277" s="6">
        <f>$O$277*$X$277</f>
        <v>26039.47248</v>
      </c>
      <c r="AE277" s="6">
        <f>$K$277*$Y$277</f>
        <v>0</v>
      </c>
      <c r="AF277" s="6">
        <f ca="1">$M$277*$Z$277</f>
        <v>80977.031726604167</v>
      </c>
      <c r="AG277" s="6">
        <f>$O$277*$AA$277</f>
        <v>25681.946485554457</v>
      </c>
    </row>
    <row r="278" spans="1:33" ht="11.25" customHeight="1" x14ac:dyDescent="0.25">
      <c r="A278" s="4" t="s">
        <v>28</v>
      </c>
      <c r="B278" s="4" t="s">
        <v>39</v>
      </c>
      <c r="C278" s="4" t="s">
        <v>40</v>
      </c>
      <c r="D278" s="4" t="s">
        <v>41</v>
      </c>
      <c r="E278" s="4" t="s">
        <v>25</v>
      </c>
      <c r="F278" s="4" t="s">
        <v>25</v>
      </c>
      <c r="G278" s="4" t="s">
        <v>25</v>
      </c>
      <c r="H278" s="4" t="s">
        <v>34</v>
      </c>
      <c r="I278" s="5">
        <v>44531</v>
      </c>
      <c r="J278" s="6">
        <v>0</v>
      </c>
      <c r="K278" s="6">
        <v>0</v>
      </c>
      <c r="L278" s="6">
        <v>2.1280000000000001</v>
      </c>
      <c r="M278" s="6">
        <v>2.1280000000000001</v>
      </c>
      <c r="N278" s="6">
        <v>2.1280000000000001</v>
      </c>
      <c r="O278" s="6">
        <v>2.1280000000000001</v>
      </c>
      <c r="P278" s="6">
        <v>0</v>
      </c>
      <c r="Q278" s="4" t="s">
        <v>26</v>
      </c>
      <c r="R278" s="4">
        <v>0</v>
      </c>
      <c r="S278" s="6">
        <v>0</v>
      </c>
      <c r="T278" s="6">
        <v>7</v>
      </c>
      <c r="U278" s="6">
        <v>48</v>
      </c>
      <c r="V278" s="6">
        <f>IF(ISERROR(VLOOKUP($S$278,'TAR FIN'!$A$1:$O$85,15,0)),0,VLOOKUP($S$278,'TAR FIN'!$A$1:$O$85,15,0))</f>
        <v>0</v>
      </c>
      <c r="W278" s="6">
        <f>IF(ISERROR(VLOOKUP($T$278,'TAR FIN'!$A$1:$O$85,15,0)),0,VLOOKUP($T$278,'TAR FIN'!$A$1:$O$85,15,0))</f>
        <v>1326.39</v>
      </c>
      <c r="X278" s="6">
        <f>IF(ISERROR(VLOOKUP($U$278,'TAR FIN'!$A$1:$O$85,15,0)),0,VLOOKUP($U$278,'TAR FIN'!$A$1:$O$85,15,0))</f>
        <v>492.64</v>
      </c>
      <c r="Y278" s="6"/>
      <c r="Z278" s="6">
        <f ca="1">('TUSD BE'!$AM$11+'TUSD BF'!$AM$11+'TUSD CVA'!$AM$11)*1</f>
        <v>1532.0020380763981</v>
      </c>
      <c r="AA278" s="6">
        <f>('TE BE'!$AB$5+'TE BF'!$AB$5+'TE CVA'!$AB$5)*1</f>
        <v>485.87597641853409</v>
      </c>
      <c r="AB278" s="6">
        <f>$K$278*$V$278</f>
        <v>0</v>
      </c>
      <c r="AC278" s="6">
        <f>$M$278*$W$278</f>
        <v>2822.5579200000002</v>
      </c>
      <c r="AD278" s="6">
        <f>$O$278*$X$278</f>
        <v>1048.3379199999999</v>
      </c>
      <c r="AE278" s="6">
        <f>$K$278*$Y$278</f>
        <v>0</v>
      </c>
      <c r="AF278" s="6">
        <f ca="1">$M$278*$Z$278</f>
        <v>3260.1003370265753</v>
      </c>
      <c r="AG278" s="6">
        <f>$O$278*$AA$278</f>
        <v>1033.9440778186406</v>
      </c>
    </row>
    <row r="279" spans="1:33" ht="11.25" customHeight="1" x14ac:dyDescent="0.25">
      <c r="A279" s="4" t="s">
        <v>21</v>
      </c>
      <c r="B279" s="4" t="s">
        <v>39</v>
      </c>
      <c r="C279" s="4" t="s">
        <v>40</v>
      </c>
      <c r="D279" s="4" t="s">
        <v>41</v>
      </c>
      <c r="E279" s="4" t="s">
        <v>25</v>
      </c>
      <c r="F279" s="4" t="s">
        <v>25</v>
      </c>
      <c r="G279" s="4" t="s">
        <v>25</v>
      </c>
      <c r="H279" s="4" t="s">
        <v>34</v>
      </c>
      <c r="I279" s="5">
        <v>44562</v>
      </c>
      <c r="J279" s="6">
        <v>0</v>
      </c>
      <c r="K279" s="6">
        <v>0</v>
      </c>
      <c r="L279" s="6">
        <v>45.36</v>
      </c>
      <c r="M279" s="6">
        <v>45.36</v>
      </c>
      <c r="N279" s="6">
        <v>45.36</v>
      </c>
      <c r="O279" s="6">
        <v>45.36</v>
      </c>
      <c r="P279" s="6">
        <v>0</v>
      </c>
      <c r="Q279" s="4" t="s">
        <v>26</v>
      </c>
      <c r="R279" s="4">
        <v>0</v>
      </c>
      <c r="S279" s="6">
        <v>0</v>
      </c>
      <c r="T279" s="6">
        <v>7</v>
      </c>
      <c r="U279" s="6">
        <v>48</v>
      </c>
      <c r="V279" s="6">
        <f>IF(ISERROR(VLOOKUP($S$279,'TAR FIN'!$A$1:$O$85,15,0)),0,VLOOKUP($S$279,'TAR FIN'!$A$1:$O$85,15,0))</f>
        <v>0</v>
      </c>
      <c r="W279" s="6">
        <f>IF(ISERROR(VLOOKUP($T$279,'TAR FIN'!$A$1:$O$85,15,0)),0,VLOOKUP($T$279,'TAR FIN'!$A$1:$O$85,15,0))</f>
        <v>1326.39</v>
      </c>
      <c r="X279" s="6">
        <f>IF(ISERROR(VLOOKUP($U$279,'TAR FIN'!$A$1:$O$85,15,0)),0,VLOOKUP($U$279,'TAR FIN'!$A$1:$O$85,15,0))</f>
        <v>492.64</v>
      </c>
      <c r="Y279" s="6"/>
      <c r="Z279" s="6">
        <f ca="1">('TUSD BE'!$AM$11+'TUSD BF'!$AM$11+'TUSD CVA'!$AM$11)*1</f>
        <v>1532.0020380763981</v>
      </c>
      <c r="AA279" s="6">
        <f>('TE BE'!$AB$5+'TE BF'!$AB$5+'TE CVA'!$AB$5)*1</f>
        <v>485.87597641853409</v>
      </c>
      <c r="AB279" s="6">
        <f>$K$279*$V$279</f>
        <v>0</v>
      </c>
      <c r="AC279" s="6">
        <f>$M$279*$W$279</f>
        <v>60165.050400000007</v>
      </c>
      <c r="AD279" s="6">
        <f>$O$279*$X$279</f>
        <v>22346.150399999999</v>
      </c>
      <c r="AE279" s="6">
        <f>$K$279*$Y$279</f>
        <v>0</v>
      </c>
      <c r="AF279" s="6">
        <f ca="1">$M$279*$Z$279</f>
        <v>69491.61244714541</v>
      </c>
      <c r="AG279" s="6">
        <f>$O$279*$AA$279</f>
        <v>22039.334290344705</v>
      </c>
    </row>
    <row r="280" spans="1:33" ht="11.25" customHeight="1" x14ac:dyDescent="0.25">
      <c r="A280" s="4" t="s">
        <v>28</v>
      </c>
      <c r="B280" s="4" t="s">
        <v>39</v>
      </c>
      <c r="C280" s="4" t="s">
        <v>40</v>
      </c>
      <c r="D280" s="4" t="s">
        <v>41</v>
      </c>
      <c r="E280" s="4" t="s">
        <v>25</v>
      </c>
      <c r="F280" s="4" t="s">
        <v>25</v>
      </c>
      <c r="G280" s="4" t="s">
        <v>25</v>
      </c>
      <c r="H280" s="4" t="s">
        <v>34</v>
      </c>
      <c r="I280" s="5">
        <v>44562</v>
      </c>
      <c r="J280" s="6">
        <v>0</v>
      </c>
      <c r="K280" s="6">
        <v>0</v>
      </c>
      <c r="L280" s="6">
        <v>1.5409999999999999</v>
      </c>
      <c r="M280" s="6">
        <v>1.5409999999999999</v>
      </c>
      <c r="N280" s="6">
        <v>1.5409999999999999</v>
      </c>
      <c r="O280" s="6">
        <v>1.5409999999999999</v>
      </c>
      <c r="P280" s="6">
        <v>0</v>
      </c>
      <c r="Q280" s="4" t="s">
        <v>26</v>
      </c>
      <c r="R280" s="4">
        <v>0</v>
      </c>
      <c r="S280" s="6">
        <v>0</v>
      </c>
      <c r="T280" s="6">
        <v>7</v>
      </c>
      <c r="U280" s="6">
        <v>48</v>
      </c>
      <c r="V280" s="6">
        <f>IF(ISERROR(VLOOKUP($S$280,'TAR FIN'!$A$1:$O$85,15,0)),0,VLOOKUP($S$280,'TAR FIN'!$A$1:$O$85,15,0))</f>
        <v>0</v>
      </c>
      <c r="W280" s="6">
        <f>IF(ISERROR(VLOOKUP($T$280,'TAR FIN'!$A$1:$O$85,15,0)),0,VLOOKUP($T$280,'TAR FIN'!$A$1:$O$85,15,0))</f>
        <v>1326.39</v>
      </c>
      <c r="X280" s="6">
        <f>IF(ISERROR(VLOOKUP($U$280,'TAR FIN'!$A$1:$O$85,15,0)),0,VLOOKUP($U$280,'TAR FIN'!$A$1:$O$85,15,0))</f>
        <v>492.64</v>
      </c>
      <c r="Y280" s="6"/>
      <c r="Z280" s="6">
        <f ca="1">('TUSD BE'!$AM$11+'TUSD BF'!$AM$11+'TUSD CVA'!$AM$11)*1</f>
        <v>1532.0020380763981</v>
      </c>
      <c r="AA280" s="6">
        <f>('TE BE'!$AB$5+'TE BF'!$AB$5+'TE CVA'!$AB$5)*1</f>
        <v>485.87597641853409</v>
      </c>
      <c r="AB280" s="6">
        <f>$K$280*$V$280</f>
        <v>0</v>
      </c>
      <c r="AC280" s="6">
        <f>$M$280*$W$280</f>
        <v>2043.9669900000001</v>
      </c>
      <c r="AD280" s="6">
        <f>$O$280*$X$280</f>
        <v>759.15823999999998</v>
      </c>
      <c r="AE280" s="6">
        <f>$K$280*$Y$280</f>
        <v>0</v>
      </c>
      <c r="AF280" s="6">
        <f ca="1">$M$280*$Z$280</f>
        <v>2360.8151406757293</v>
      </c>
      <c r="AG280" s="6">
        <f>$O$280*$AA$280</f>
        <v>748.73487966096104</v>
      </c>
    </row>
    <row r="281" spans="1:33" ht="11.25" customHeight="1" x14ac:dyDescent="0.25">
      <c r="A281" s="4" t="s">
        <v>21</v>
      </c>
      <c r="B281" s="4" t="s">
        <v>39</v>
      </c>
      <c r="C281" s="4" t="s">
        <v>40</v>
      </c>
      <c r="D281" s="4" t="s">
        <v>41</v>
      </c>
      <c r="E281" s="4" t="s">
        <v>25</v>
      </c>
      <c r="F281" s="4" t="s">
        <v>25</v>
      </c>
      <c r="G281" s="4" t="s">
        <v>25</v>
      </c>
      <c r="H281" s="4" t="s">
        <v>34</v>
      </c>
      <c r="I281" s="5">
        <v>44593</v>
      </c>
      <c r="J281" s="6">
        <v>0</v>
      </c>
      <c r="K281" s="6">
        <v>0</v>
      </c>
      <c r="L281" s="6">
        <v>60.969000000000001</v>
      </c>
      <c r="M281" s="6">
        <v>60.969000000000001</v>
      </c>
      <c r="N281" s="6">
        <v>60.969000000000001</v>
      </c>
      <c r="O281" s="6">
        <v>60.969000000000001</v>
      </c>
      <c r="P281" s="6">
        <v>0</v>
      </c>
      <c r="Q281" s="4" t="s">
        <v>26</v>
      </c>
      <c r="R281" s="4">
        <v>0</v>
      </c>
      <c r="S281" s="6">
        <v>0</v>
      </c>
      <c r="T281" s="6">
        <v>7</v>
      </c>
      <c r="U281" s="6">
        <v>48</v>
      </c>
      <c r="V281" s="6">
        <f>IF(ISERROR(VLOOKUP($S$281,'TAR FIN'!$A$1:$O$85,15,0)),0,VLOOKUP($S$281,'TAR FIN'!$A$1:$O$85,15,0))</f>
        <v>0</v>
      </c>
      <c r="W281" s="6">
        <f>IF(ISERROR(VLOOKUP($T$281,'TAR FIN'!$A$1:$O$85,15,0)),0,VLOOKUP($T$281,'TAR FIN'!$A$1:$O$85,15,0))</f>
        <v>1326.39</v>
      </c>
      <c r="X281" s="6">
        <f>IF(ISERROR(VLOOKUP($U$281,'TAR FIN'!$A$1:$O$85,15,0)),0,VLOOKUP($U$281,'TAR FIN'!$A$1:$O$85,15,0))</f>
        <v>492.64</v>
      </c>
      <c r="Y281" s="6"/>
      <c r="Z281" s="6">
        <f ca="1">('TUSD BE'!$AM$11+'TUSD BF'!$AM$11+'TUSD CVA'!$AM$11)*1</f>
        <v>1532.0020380763981</v>
      </c>
      <c r="AA281" s="6">
        <f>('TE BE'!$AB$5+'TE BF'!$AB$5+'TE CVA'!$AB$5)*1</f>
        <v>485.87597641853409</v>
      </c>
      <c r="AB281" s="6">
        <f>$K$281*$V$281</f>
        <v>0</v>
      </c>
      <c r="AC281" s="6">
        <f>$M$281*$W$281</f>
        <v>80868.671910000005</v>
      </c>
      <c r="AD281" s="6">
        <f>$O$281*$X$281</f>
        <v>30035.76816</v>
      </c>
      <c r="AE281" s="6">
        <f>$K$281*$Y$281</f>
        <v>0</v>
      </c>
      <c r="AF281" s="6">
        <f ca="1">$M$281*$Z$281</f>
        <v>93404.632259479913</v>
      </c>
      <c r="AG281" s="6">
        <f>$O$281*$AA$281</f>
        <v>29623.372406261606</v>
      </c>
    </row>
    <row r="282" spans="1:33" ht="11.25" customHeight="1" x14ac:dyDescent="0.25">
      <c r="A282" s="4" t="s">
        <v>28</v>
      </c>
      <c r="B282" s="4" t="s">
        <v>39</v>
      </c>
      <c r="C282" s="4" t="s">
        <v>40</v>
      </c>
      <c r="D282" s="4" t="s">
        <v>41</v>
      </c>
      <c r="E282" s="4" t="s">
        <v>25</v>
      </c>
      <c r="F282" s="4" t="s">
        <v>25</v>
      </c>
      <c r="G282" s="4" t="s">
        <v>25</v>
      </c>
      <c r="H282" s="4" t="s">
        <v>34</v>
      </c>
      <c r="I282" s="5">
        <v>44593</v>
      </c>
      <c r="J282" s="6">
        <v>0</v>
      </c>
      <c r="K282" s="6">
        <v>0</v>
      </c>
      <c r="L282" s="6">
        <v>0.95899999999999996</v>
      </c>
      <c r="M282" s="6">
        <v>0.95899999999999996</v>
      </c>
      <c r="N282" s="6">
        <v>0.95899999999999996</v>
      </c>
      <c r="O282" s="6">
        <v>0.95899999999999996</v>
      </c>
      <c r="P282" s="6">
        <v>0</v>
      </c>
      <c r="Q282" s="4" t="s">
        <v>26</v>
      </c>
      <c r="R282" s="4">
        <v>0</v>
      </c>
      <c r="S282" s="6">
        <v>0</v>
      </c>
      <c r="T282" s="6">
        <v>7</v>
      </c>
      <c r="U282" s="6">
        <v>48</v>
      </c>
      <c r="V282" s="6">
        <f>IF(ISERROR(VLOOKUP($S$282,'TAR FIN'!$A$1:$O$85,15,0)),0,VLOOKUP($S$282,'TAR FIN'!$A$1:$O$85,15,0))</f>
        <v>0</v>
      </c>
      <c r="W282" s="6">
        <f>IF(ISERROR(VLOOKUP($T$282,'TAR FIN'!$A$1:$O$85,15,0)),0,VLOOKUP($T$282,'TAR FIN'!$A$1:$O$85,15,0))</f>
        <v>1326.39</v>
      </c>
      <c r="X282" s="6">
        <f>IF(ISERROR(VLOOKUP($U$282,'TAR FIN'!$A$1:$O$85,15,0)),0,VLOOKUP($U$282,'TAR FIN'!$A$1:$O$85,15,0))</f>
        <v>492.64</v>
      </c>
      <c r="Y282" s="6"/>
      <c r="Z282" s="6">
        <f ca="1">('TUSD BE'!$AM$11+'TUSD BF'!$AM$11+'TUSD CVA'!$AM$11)*1</f>
        <v>1532.0020380763981</v>
      </c>
      <c r="AA282" s="6">
        <f>('TE BE'!$AB$5+'TE BF'!$AB$5+'TE CVA'!$AB$5)*1</f>
        <v>485.87597641853409</v>
      </c>
      <c r="AB282" s="6">
        <f>$K$282*$V$282</f>
        <v>0</v>
      </c>
      <c r="AC282" s="6">
        <f>$M$282*$W$282</f>
        <v>1272.00801</v>
      </c>
      <c r="AD282" s="6">
        <f>$O$282*$X$282</f>
        <v>472.44175999999999</v>
      </c>
      <c r="AE282" s="6">
        <f>$K$282*$Y$282</f>
        <v>0</v>
      </c>
      <c r="AF282" s="6">
        <f ca="1">$M$282*$Z$282</f>
        <v>1469.1899545152658</v>
      </c>
      <c r="AG282" s="6">
        <f>$O$282*$AA$282</f>
        <v>465.95506138537417</v>
      </c>
    </row>
    <row r="283" spans="1:33" ht="11.25" customHeight="1" x14ac:dyDescent="0.25">
      <c r="A283" s="4" t="s">
        <v>21</v>
      </c>
      <c r="B283" s="4" t="s">
        <v>39</v>
      </c>
      <c r="C283" s="4" t="s">
        <v>40</v>
      </c>
      <c r="D283" s="4" t="s">
        <v>41</v>
      </c>
      <c r="E283" s="4" t="s">
        <v>25</v>
      </c>
      <c r="F283" s="4" t="s">
        <v>25</v>
      </c>
      <c r="G283" s="4" t="s">
        <v>25</v>
      </c>
      <c r="H283" s="4" t="s">
        <v>34</v>
      </c>
      <c r="I283" s="5">
        <v>44621</v>
      </c>
      <c r="J283" s="6">
        <v>0</v>
      </c>
      <c r="K283" s="6">
        <v>0</v>
      </c>
      <c r="L283" s="6">
        <v>71.149000000000001</v>
      </c>
      <c r="M283" s="6">
        <v>71.149000000000001</v>
      </c>
      <c r="N283" s="6">
        <v>71.149000000000001</v>
      </c>
      <c r="O283" s="6">
        <v>71.149000000000001</v>
      </c>
      <c r="P283" s="6">
        <v>0</v>
      </c>
      <c r="Q283" s="4" t="s">
        <v>26</v>
      </c>
      <c r="R283" s="4">
        <v>0</v>
      </c>
      <c r="S283" s="6">
        <v>0</v>
      </c>
      <c r="T283" s="6">
        <v>7</v>
      </c>
      <c r="U283" s="6">
        <v>48</v>
      </c>
      <c r="V283" s="6">
        <f>IF(ISERROR(VLOOKUP($S$283,'TAR FIN'!$A$1:$O$85,15,0)),0,VLOOKUP($S$283,'TAR FIN'!$A$1:$O$85,15,0))</f>
        <v>0</v>
      </c>
      <c r="W283" s="6">
        <f>IF(ISERROR(VLOOKUP($T$283,'TAR FIN'!$A$1:$O$85,15,0)),0,VLOOKUP($T$283,'TAR FIN'!$A$1:$O$85,15,0))</f>
        <v>1326.39</v>
      </c>
      <c r="X283" s="6">
        <f>IF(ISERROR(VLOOKUP($U$283,'TAR FIN'!$A$1:$O$85,15,0)),0,VLOOKUP($U$283,'TAR FIN'!$A$1:$O$85,15,0))</f>
        <v>492.64</v>
      </c>
      <c r="Y283" s="6"/>
      <c r="Z283" s="6">
        <f ca="1">('TUSD BE'!$AM$11+'TUSD BF'!$AM$11+'TUSD CVA'!$AM$11)*1</f>
        <v>1532.0020380763981</v>
      </c>
      <c r="AA283" s="6">
        <f>('TE BE'!$AB$5+'TE BF'!$AB$5+'TE CVA'!$AB$5)*1</f>
        <v>485.87597641853409</v>
      </c>
      <c r="AB283" s="6">
        <f>$K$283*$V$283</f>
        <v>0</v>
      </c>
      <c r="AC283" s="6">
        <f>$M$283*$W$283</f>
        <v>94371.322110000008</v>
      </c>
      <c r="AD283" s="6">
        <f>$O$283*$X$283</f>
        <v>35050.843359999999</v>
      </c>
      <c r="AE283" s="6">
        <f>$K$283*$Y$283</f>
        <v>0</v>
      </c>
      <c r="AF283" s="6">
        <f ca="1">$M$283*$Z$283</f>
        <v>109000.41300709765</v>
      </c>
      <c r="AG283" s="6">
        <f>$O$283*$AA$283</f>
        <v>34569.589846202281</v>
      </c>
    </row>
    <row r="284" spans="1:33" ht="11.25" customHeight="1" x14ac:dyDescent="0.25">
      <c r="A284" s="4" t="s">
        <v>28</v>
      </c>
      <c r="B284" s="4" t="s">
        <v>39</v>
      </c>
      <c r="C284" s="4" t="s">
        <v>40</v>
      </c>
      <c r="D284" s="4" t="s">
        <v>41</v>
      </c>
      <c r="E284" s="4" t="s">
        <v>25</v>
      </c>
      <c r="F284" s="4" t="s">
        <v>25</v>
      </c>
      <c r="G284" s="4" t="s">
        <v>25</v>
      </c>
      <c r="H284" s="4" t="s">
        <v>34</v>
      </c>
      <c r="I284" s="5">
        <v>44621</v>
      </c>
      <c r="J284" s="6">
        <v>0</v>
      </c>
      <c r="K284" s="6">
        <v>0</v>
      </c>
      <c r="L284" s="6">
        <v>1.4330000000000001</v>
      </c>
      <c r="M284" s="6">
        <v>1.4330000000000001</v>
      </c>
      <c r="N284" s="6">
        <v>1.4330000000000001</v>
      </c>
      <c r="O284" s="6">
        <v>1.4330000000000001</v>
      </c>
      <c r="P284" s="6">
        <v>0</v>
      </c>
      <c r="Q284" s="4" t="s">
        <v>26</v>
      </c>
      <c r="R284" s="4">
        <v>0</v>
      </c>
      <c r="S284" s="6">
        <v>0</v>
      </c>
      <c r="T284" s="6">
        <v>7</v>
      </c>
      <c r="U284" s="6">
        <v>48</v>
      </c>
      <c r="V284" s="6">
        <f>IF(ISERROR(VLOOKUP($S$284,'TAR FIN'!$A$1:$O$85,15,0)),0,VLOOKUP($S$284,'TAR FIN'!$A$1:$O$85,15,0))</f>
        <v>0</v>
      </c>
      <c r="W284" s="6">
        <f>IF(ISERROR(VLOOKUP($T$284,'TAR FIN'!$A$1:$O$85,15,0)),0,VLOOKUP($T$284,'TAR FIN'!$A$1:$O$85,15,0))</f>
        <v>1326.39</v>
      </c>
      <c r="X284" s="6">
        <f>IF(ISERROR(VLOOKUP($U$284,'TAR FIN'!$A$1:$O$85,15,0)),0,VLOOKUP($U$284,'TAR FIN'!$A$1:$O$85,15,0))</f>
        <v>492.64</v>
      </c>
      <c r="Y284" s="6"/>
      <c r="Z284" s="6">
        <f ca="1">('TUSD BE'!$AM$11+'TUSD BF'!$AM$11+'TUSD CVA'!$AM$11)*1</f>
        <v>1532.0020380763981</v>
      </c>
      <c r="AA284" s="6">
        <f>('TE BE'!$AB$5+'TE BF'!$AB$5+'TE CVA'!$AB$5)*1</f>
        <v>485.87597641853409</v>
      </c>
      <c r="AB284" s="6">
        <f>$K$284*$V$284</f>
        <v>0</v>
      </c>
      <c r="AC284" s="6">
        <f>$M$284*$W$284</f>
        <v>1900.7168700000002</v>
      </c>
      <c r="AD284" s="6">
        <f>$O$284*$X$284</f>
        <v>705.95312000000001</v>
      </c>
      <c r="AE284" s="6">
        <f>$K$284*$Y$284</f>
        <v>0</v>
      </c>
      <c r="AF284" s="6">
        <f ca="1">$M$284*$Z$284</f>
        <v>2195.3589205634785</v>
      </c>
      <c r="AG284" s="6">
        <f>$O$284*$AA$284</f>
        <v>696.26027420775938</v>
      </c>
    </row>
    <row r="285" spans="1:33" ht="11.25" customHeight="1" x14ac:dyDescent="0.25">
      <c r="A285" s="4" t="s">
        <v>21</v>
      </c>
      <c r="B285" s="4" t="s">
        <v>39</v>
      </c>
      <c r="C285" s="4" t="s">
        <v>40</v>
      </c>
      <c r="D285" s="4" t="s">
        <v>41</v>
      </c>
      <c r="E285" s="4" t="s">
        <v>25</v>
      </c>
      <c r="F285" s="4" t="s">
        <v>25</v>
      </c>
      <c r="G285" s="4" t="s">
        <v>25</v>
      </c>
      <c r="H285" s="4" t="s">
        <v>34</v>
      </c>
      <c r="I285" s="5">
        <v>44652</v>
      </c>
      <c r="J285" s="6">
        <v>0</v>
      </c>
      <c r="K285" s="6">
        <v>0</v>
      </c>
      <c r="L285" s="6">
        <v>64.92</v>
      </c>
      <c r="M285" s="6">
        <v>64.92</v>
      </c>
      <c r="N285" s="6">
        <v>64.92</v>
      </c>
      <c r="O285" s="6">
        <v>64.92</v>
      </c>
      <c r="P285" s="6">
        <v>0</v>
      </c>
      <c r="Q285" s="4" t="s">
        <v>26</v>
      </c>
      <c r="R285" s="4">
        <v>0</v>
      </c>
      <c r="S285" s="6">
        <v>0</v>
      </c>
      <c r="T285" s="6">
        <v>7</v>
      </c>
      <c r="U285" s="6">
        <v>48</v>
      </c>
      <c r="V285" s="6">
        <f>IF(ISERROR(VLOOKUP($S$285,'TAR FIN'!$A$1:$O$85,15,0)),0,VLOOKUP($S$285,'TAR FIN'!$A$1:$O$85,15,0))</f>
        <v>0</v>
      </c>
      <c r="W285" s="6">
        <f>IF(ISERROR(VLOOKUP($T$285,'TAR FIN'!$A$1:$O$85,15,0)),0,VLOOKUP($T$285,'TAR FIN'!$A$1:$O$85,15,0))</f>
        <v>1326.39</v>
      </c>
      <c r="X285" s="6">
        <f>IF(ISERROR(VLOOKUP($U$285,'TAR FIN'!$A$1:$O$85,15,0)),0,VLOOKUP($U$285,'TAR FIN'!$A$1:$O$85,15,0))</f>
        <v>492.64</v>
      </c>
      <c r="Y285" s="6"/>
      <c r="Z285" s="6">
        <f ca="1">('TUSD BE'!$AM$11+'TUSD BF'!$AM$11+'TUSD CVA'!$AM$11)*1</f>
        <v>1532.0020380763981</v>
      </c>
      <c r="AA285" s="6">
        <f>('TE BE'!$AB$5+'TE BF'!$AB$5+'TE CVA'!$AB$5)*1</f>
        <v>485.87597641853409</v>
      </c>
      <c r="AB285" s="6">
        <f>$K$285*$V$285</f>
        <v>0</v>
      </c>
      <c r="AC285" s="6">
        <f>$M$285*$W$285</f>
        <v>86109.238800000006</v>
      </c>
      <c r="AD285" s="6">
        <f>$O$285*$X$285</f>
        <v>31982.1888</v>
      </c>
      <c r="AE285" s="6">
        <f>$K$285*$Y$285</f>
        <v>0</v>
      </c>
      <c r="AF285" s="6">
        <f ca="1">$M$285*$Z$285</f>
        <v>99457.572311919765</v>
      </c>
      <c r="AG285" s="6">
        <f>$O$285*$AA$285</f>
        <v>31543.068389091233</v>
      </c>
    </row>
    <row r="286" spans="1:33" ht="11.25" customHeight="1" x14ac:dyDescent="0.25">
      <c r="A286" s="4" t="s">
        <v>28</v>
      </c>
      <c r="B286" s="4" t="s">
        <v>39</v>
      </c>
      <c r="C286" s="4" t="s">
        <v>40</v>
      </c>
      <c r="D286" s="4" t="s">
        <v>41</v>
      </c>
      <c r="E286" s="4" t="s">
        <v>25</v>
      </c>
      <c r="F286" s="4" t="s">
        <v>25</v>
      </c>
      <c r="G286" s="4" t="s">
        <v>25</v>
      </c>
      <c r="H286" s="4" t="s">
        <v>34</v>
      </c>
      <c r="I286" s="5">
        <v>44652</v>
      </c>
      <c r="J286" s="6">
        <v>0</v>
      </c>
      <c r="K286" s="6">
        <v>0</v>
      </c>
      <c r="L286" s="6">
        <v>1.919</v>
      </c>
      <c r="M286" s="6">
        <v>1.919</v>
      </c>
      <c r="N286" s="6">
        <v>1.919</v>
      </c>
      <c r="O286" s="6">
        <v>1.919</v>
      </c>
      <c r="P286" s="6">
        <v>0</v>
      </c>
      <c r="Q286" s="4" t="s">
        <v>26</v>
      </c>
      <c r="R286" s="4">
        <v>0</v>
      </c>
      <c r="S286" s="6">
        <v>0</v>
      </c>
      <c r="T286" s="6">
        <v>7</v>
      </c>
      <c r="U286" s="6">
        <v>48</v>
      </c>
      <c r="V286" s="6">
        <f>IF(ISERROR(VLOOKUP($S$286,'TAR FIN'!$A$1:$O$85,15,0)),0,VLOOKUP($S$286,'TAR FIN'!$A$1:$O$85,15,0))</f>
        <v>0</v>
      </c>
      <c r="W286" s="6">
        <f>IF(ISERROR(VLOOKUP($T$286,'TAR FIN'!$A$1:$O$85,15,0)),0,VLOOKUP($T$286,'TAR FIN'!$A$1:$O$85,15,0))</f>
        <v>1326.39</v>
      </c>
      <c r="X286" s="6">
        <f>IF(ISERROR(VLOOKUP($U$286,'TAR FIN'!$A$1:$O$85,15,0)),0,VLOOKUP($U$286,'TAR FIN'!$A$1:$O$85,15,0))</f>
        <v>492.64</v>
      </c>
      <c r="Y286" s="6"/>
      <c r="Z286" s="6">
        <f ca="1">('TUSD BE'!$AM$11+'TUSD BF'!$AM$11+'TUSD CVA'!$AM$11)*1</f>
        <v>1532.0020380763981</v>
      </c>
      <c r="AA286" s="6">
        <f>('TE BE'!$AB$5+'TE BF'!$AB$5+'TE CVA'!$AB$5)*1</f>
        <v>485.87597641853409</v>
      </c>
      <c r="AB286" s="6">
        <f>$K$286*$V$286</f>
        <v>0</v>
      </c>
      <c r="AC286" s="6">
        <f>$M$286*$W$286</f>
        <v>2545.3424100000002</v>
      </c>
      <c r="AD286" s="6">
        <f>$O$286*$X$286</f>
        <v>945.37616000000003</v>
      </c>
      <c r="AE286" s="6">
        <f>$K$286*$Y$286</f>
        <v>0</v>
      </c>
      <c r="AF286" s="6">
        <f ca="1">$M$286*$Z$286</f>
        <v>2939.9119110686079</v>
      </c>
      <c r="AG286" s="6">
        <f>$O$286*$AA$286</f>
        <v>932.39599874716691</v>
      </c>
    </row>
    <row r="287" spans="1:33" ht="11.25" customHeight="1" x14ac:dyDescent="0.25">
      <c r="A287" s="4" t="s">
        <v>21</v>
      </c>
      <c r="B287" s="4" t="s">
        <v>39</v>
      </c>
      <c r="C287" s="4" t="s">
        <v>40</v>
      </c>
      <c r="D287" s="4" t="s">
        <v>41</v>
      </c>
      <c r="E287" s="4" t="s">
        <v>25</v>
      </c>
      <c r="F287" s="4" t="s">
        <v>25</v>
      </c>
      <c r="G287" s="4" t="s">
        <v>25</v>
      </c>
      <c r="H287" s="4" t="s">
        <v>34</v>
      </c>
      <c r="I287" s="5">
        <v>44682</v>
      </c>
      <c r="J287" s="6">
        <v>0</v>
      </c>
      <c r="K287" s="6">
        <v>0</v>
      </c>
      <c r="L287" s="6">
        <v>46.058999999999997</v>
      </c>
      <c r="M287" s="6">
        <v>46.058999999999997</v>
      </c>
      <c r="N287" s="6">
        <v>46.058999999999997</v>
      </c>
      <c r="O287" s="6">
        <v>46.058999999999997</v>
      </c>
      <c r="P287" s="6">
        <v>0</v>
      </c>
      <c r="Q287" s="4" t="s">
        <v>26</v>
      </c>
      <c r="R287" s="4">
        <v>0</v>
      </c>
      <c r="S287" s="6">
        <v>0</v>
      </c>
      <c r="T287" s="6">
        <v>7</v>
      </c>
      <c r="U287" s="6">
        <v>48</v>
      </c>
      <c r="V287" s="6">
        <f>IF(ISERROR(VLOOKUP($S$287,'TAR FIN'!$A$1:$O$85,15,0)),0,VLOOKUP($S$287,'TAR FIN'!$A$1:$O$85,15,0))</f>
        <v>0</v>
      </c>
      <c r="W287" s="6">
        <f>IF(ISERROR(VLOOKUP($T$287,'TAR FIN'!$A$1:$O$85,15,0)),0,VLOOKUP($T$287,'TAR FIN'!$A$1:$O$85,15,0))</f>
        <v>1326.39</v>
      </c>
      <c r="X287" s="6">
        <f>IF(ISERROR(VLOOKUP($U$287,'TAR FIN'!$A$1:$O$85,15,0)),0,VLOOKUP($U$287,'TAR FIN'!$A$1:$O$85,15,0))</f>
        <v>492.64</v>
      </c>
      <c r="Y287" s="6"/>
      <c r="Z287" s="6">
        <f ca="1">('TUSD BE'!$AM$11+'TUSD BF'!$AM$11+'TUSD CVA'!$AM$11)*1</f>
        <v>1532.0020380763981</v>
      </c>
      <c r="AA287" s="6">
        <f>('TE BE'!$AB$5+'TE BF'!$AB$5+'TE CVA'!$AB$5)*1</f>
        <v>485.87597641853409</v>
      </c>
      <c r="AB287" s="6">
        <f>$K$287*$V$287</f>
        <v>0</v>
      </c>
      <c r="AC287" s="6">
        <f>$M$287*$W$287</f>
        <v>61092.197010000004</v>
      </c>
      <c r="AD287" s="6">
        <f>$O$287*$X$287</f>
        <v>22690.505759999996</v>
      </c>
      <c r="AE287" s="6">
        <f>$K$287*$Y$287</f>
        <v>0</v>
      </c>
      <c r="AF287" s="6">
        <f ca="1">$M$287*$Z$287</f>
        <v>70562.481871760814</v>
      </c>
      <c r="AG287" s="6">
        <f>$O$287*$AA$287</f>
        <v>22378.96159786126</v>
      </c>
    </row>
    <row r="288" spans="1:33" ht="11.25" customHeight="1" x14ac:dyDescent="0.25">
      <c r="A288" s="4" t="s">
        <v>28</v>
      </c>
      <c r="B288" s="4" t="s">
        <v>39</v>
      </c>
      <c r="C288" s="4" t="s">
        <v>40</v>
      </c>
      <c r="D288" s="4" t="s">
        <v>41</v>
      </c>
      <c r="E288" s="4" t="s">
        <v>25</v>
      </c>
      <c r="F288" s="4" t="s">
        <v>25</v>
      </c>
      <c r="G288" s="4" t="s">
        <v>25</v>
      </c>
      <c r="H288" s="4" t="s">
        <v>34</v>
      </c>
      <c r="I288" s="5">
        <v>44682</v>
      </c>
      <c r="J288" s="6">
        <v>0</v>
      </c>
      <c r="K288" s="6">
        <v>0</v>
      </c>
      <c r="L288" s="6">
        <v>1.7290000000000001</v>
      </c>
      <c r="M288" s="6">
        <v>1.7290000000000001</v>
      </c>
      <c r="N288" s="6">
        <v>1.7290000000000001</v>
      </c>
      <c r="O288" s="6">
        <v>1.7290000000000001</v>
      </c>
      <c r="P288" s="6">
        <v>0</v>
      </c>
      <c r="Q288" s="4" t="s">
        <v>26</v>
      </c>
      <c r="R288" s="4">
        <v>0</v>
      </c>
      <c r="S288" s="6">
        <v>0</v>
      </c>
      <c r="T288" s="6">
        <v>7</v>
      </c>
      <c r="U288" s="6">
        <v>48</v>
      </c>
      <c r="V288" s="6">
        <f>IF(ISERROR(VLOOKUP($S$288,'TAR FIN'!$A$1:$O$85,15,0)),0,VLOOKUP($S$288,'TAR FIN'!$A$1:$O$85,15,0))</f>
        <v>0</v>
      </c>
      <c r="W288" s="6">
        <f>IF(ISERROR(VLOOKUP($T$288,'TAR FIN'!$A$1:$O$85,15,0)),0,VLOOKUP($T$288,'TAR FIN'!$A$1:$O$85,15,0))</f>
        <v>1326.39</v>
      </c>
      <c r="X288" s="6">
        <f>IF(ISERROR(VLOOKUP($U$288,'TAR FIN'!$A$1:$O$85,15,0)),0,VLOOKUP($U$288,'TAR FIN'!$A$1:$O$85,15,0))</f>
        <v>492.64</v>
      </c>
      <c r="Y288" s="6"/>
      <c r="Z288" s="6">
        <f ca="1">('TUSD BE'!$AM$11+'TUSD BF'!$AM$11+'TUSD CVA'!$AM$11)*1</f>
        <v>1532.0020380763981</v>
      </c>
      <c r="AA288" s="6">
        <f>('TE BE'!$AB$5+'TE BF'!$AB$5+'TE CVA'!$AB$5)*1</f>
        <v>485.87597641853409</v>
      </c>
      <c r="AB288" s="6">
        <f>$K$288*$V$288</f>
        <v>0</v>
      </c>
      <c r="AC288" s="6">
        <f>$M$288*$W$288</f>
        <v>2293.3283100000003</v>
      </c>
      <c r="AD288" s="6">
        <f>$O$288*$X$288</f>
        <v>851.77456000000006</v>
      </c>
      <c r="AE288" s="6">
        <f>$K$288*$Y$288</f>
        <v>0</v>
      </c>
      <c r="AF288" s="6">
        <f ca="1">$M$288*$Z$288</f>
        <v>2648.8315238340924</v>
      </c>
      <c r="AG288" s="6">
        <f>$O$288*$AA$288</f>
        <v>840.07956322764551</v>
      </c>
    </row>
    <row r="289" spans="1:33" ht="11.25" customHeight="1" x14ac:dyDescent="0.25">
      <c r="A289" s="4" t="s">
        <v>21</v>
      </c>
      <c r="B289" s="4" t="s">
        <v>39</v>
      </c>
      <c r="C289" s="4" t="s">
        <v>40</v>
      </c>
      <c r="D289" s="4" t="s">
        <v>41</v>
      </c>
      <c r="E289" s="4" t="s">
        <v>25</v>
      </c>
      <c r="F289" s="4" t="s">
        <v>25</v>
      </c>
      <c r="G289" s="4" t="s">
        <v>25</v>
      </c>
      <c r="H289" s="4" t="s">
        <v>34</v>
      </c>
      <c r="I289" s="5">
        <v>44713</v>
      </c>
      <c r="J289" s="6">
        <v>0</v>
      </c>
      <c r="K289" s="6">
        <v>0</v>
      </c>
      <c r="L289" s="6">
        <v>49.101999999999997</v>
      </c>
      <c r="M289" s="6">
        <v>49.101999999999997</v>
      </c>
      <c r="N289" s="6">
        <v>49.101999999999997</v>
      </c>
      <c r="O289" s="6">
        <v>49.101999999999997</v>
      </c>
      <c r="P289" s="6">
        <v>0</v>
      </c>
      <c r="Q289" s="4" t="s">
        <v>26</v>
      </c>
      <c r="R289" s="4">
        <v>0</v>
      </c>
      <c r="S289" s="6">
        <v>0</v>
      </c>
      <c r="T289" s="6">
        <v>7</v>
      </c>
      <c r="U289" s="6">
        <v>48</v>
      </c>
      <c r="V289" s="6">
        <f>IF(ISERROR(VLOOKUP($S$289,'TAR FIN'!$A$1:$O$85,15,0)),0,VLOOKUP($S$289,'TAR FIN'!$A$1:$O$85,15,0))</f>
        <v>0</v>
      </c>
      <c r="W289" s="6">
        <f>IF(ISERROR(VLOOKUP($T$289,'TAR FIN'!$A$1:$O$85,15,0)),0,VLOOKUP($T$289,'TAR FIN'!$A$1:$O$85,15,0))</f>
        <v>1326.39</v>
      </c>
      <c r="X289" s="6">
        <f>IF(ISERROR(VLOOKUP($U$289,'TAR FIN'!$A$1:$O$85,15,0)),0,VLOOKUP($U$289,'TAR FIN'!$A$1:$O$85,15,0))</f>
        <v>492.64</v>
      </c>
      <c r="Y289" s="6"/>
      <c r="Z289" s="6">
        <f ca="1">('TUSD BE'!$AM$11+'TUSD BF'!$AM$11+'TUSD CVA'!$AM$11)*1</f>
        <v>1532.0020380763981</v>
      </c>
      <c r="AA289" s="6">
        <f>('TE BE'!$AB$5+'TE BF'!$AB$5+'TE CVA'!$AB$5)*1</f>
        <v>485.87597641853409</v>
      </c>
      <c r="AB289" s="6">
        <f>$K$289*$V$289</f>
        <v>0</v>
      </c>
      <c r="AC289" s="6">
        <f>$M$289*$W$289</f>
        <v>65128.40178</v>
      </c>
      <c r="AD289" s="6">
        <f>$O$289*$X$289</f>
        <v>24189.609279999997</v>
      </c>
      <c r="AE289" s="6">
        <f>$K$289*$Y$289</f>
        <v>0</v>
      </c>
      <c r="AF289" s="6">
        <f ca="1">$M$289*$Z$289</f>
        <v>75224.364073627294</v>
      </c>
      <c r="AG289" s="6">
        <f>$O$289*$AA$289</f>
        <v>23857.48219410286</v>
      </c>
    </row>
    <row r="290" spans="1:33" ht="11.25" customHeight="1" x14ac:dyDescent="0.25">
      <c r="A290" s="4" t="s">
        <v>28</v>
      </c>
      <c r="B290" s="4" t="s">
        <v>39</v>
      </c>
      <c r="C290" s="4" t="s">
        <v>40</v>
      </c>
      <c r="D290" s="4" t="s">
        <v>41</v>
      </c>
      <c r="E290" s="4" t="s">
        <v>25</v>
      </c>
      <c r="F290" s="4" t="s">
        <v>25</v>
      </c>
      <c r="G290" s="4" t="s">
        <v>25</v>
      </c>
      <c r="H290" s="4" t="s">
        <v>34</v>
      </c>
      <c r="I290" s="5">
        <v>44713</v>
      </c>
      <c r="J290" s="6">
        <v>0</v>
      </c>
      <c r="K290" s="6">
        <v>0</v>
      </c>
      <c r="L290" s="6">
        <v>1.7809999999999999</v>
      </c>
      <c r="M290" s="6">
        <v>1.7809999999999999</v>
      </c>
      <c r="N290" s="6">
        <v>1.7809999999999999</v>
      </c>
      <c r="O290" s="6">
        <v>1.7809999999999999</v>
      </c>
      <c r="P290" s="6">
        <v>0</v>
      </c>
      <c r="Q290" s="4" t="s">
        <v>26</v>
      </c>
      <c r="R290" s="4">
        <v>0</v>
      </c>
      <c r="S290" s="6">
        <v>0</v>
      </c>
      <c r="T290" s="6">
        <v>7</v>
      </c>
      <c r="U290" s="6">
        <v>48</v>
      </c>
      <c r="V290" s="6">
        <f>IF(ISERROR(VLOOKUP($S$290,'TAR FIN'!$A$1:$O$85,15,0)),0,VLOOKUP($S$290,'TAR FIN'!$A$1:$O$85,15,0))</f>
        <v>0</v>
      </c>
      <c r="W290" s="6">
        <f>IF(ISERROR(VLOOKUP($T$290,'TAR FIN'!$A$1:$O$85,15,0)),0,VLOOKUP($T$290,'TAR FIN'!$A$1:$O$85,15,0))</f>
        <v>1326.39</v>
      </c>
      <c r="X290" s="6">
        <f>IF(ISERROR(VLOOKUP($U$290,'TAR FIN'!$A$1:$O$85,15,0)),0,VLOOKUP($U$290,'TAR FIN'!$A$1:$O$85,15,0))</f>
        <v>492.64</v>
      </c>
      <c r="Y290" s="6"/>
      <c r="Z290" s="6">
        <f ca="1">('TUSD BE'!$AM$11+'TUSD BF'!$AM$11+'TUSD CVA'!$AM$11)*1</f>
        <v>1532.0020380763981</v>
      </c>
      <c r="AA290" s="6">
        <f>('TE BE'!$AB$5+'TE BF'!$AB$5+'TE CVA'!$AB$5)*1</f>
        <v>485.87597641853409</v>
      </c>
      <c r="AB290" s="6">
        <f>$K$290*$V$290</f>
        <v>0</v>
      </c>
      <c r="AC290" s="6">
        <f>$M$290*$W$290</f>
        <v>2362.3005900000003</v>
      </c>
      <c r="AD290" s="6">
        <f>$O$290*$X$290</f>
        <v>877.39183999999989</v>
      </c>
      <c r="AE290" s="6">
        <f>$K$290*$Y$290</f>
        <v>0</v>
      </c>
      <c r="AF290" s="6">
        <f ca="1">$M$290*$Z$290</f>
        <v>2728.4956298140651</v>
      </c>
      <c r="AG290" s="6">
        <f>$O$290*$AA$290</f>
        <v>865.34511400140923</v>
      </c>
    </row>
    <row r="291" spans="1:33" ht="11.25" customHeight="1" x14ac:dyDescent="0.25">
      <c r="A291" s="4" t="s">
        <v>21</v>
      </c>
      <c r="B291" s="4" t="s">
        <v>39</v>
      </c>
      <c r="C291" s="4" t="s">
        <v>40</v>
      </c>
      <c r="D291" s="4" t="s">
        <v>41</v>
      </c>
      <c r="E291" s="4" t="s">
        <v>25</v>
      </c>
      <c r="F291" s="4" t="s">
        <v>25</v>
      </c>
      <c r="G291" s="4" t="s">
        <v>25</v>
      </c>
      <c r="H291" s="4" t="s">
        <v>34</v>
      </c>
      <c r="I291" s="5">
        <v>44743</v>
      </c>
      <c r="J291" s="6">
        <v>0</v>
      </c>
      <c r="K291" s="6">
        <v>0</v>
      </c>
      <c r="L291" s="6">
        <v>42.006</v>
      </c>
      <c r="M291" s="6">
        <v>42.006</v>
      </c>
      <c r="N291" s="6">
        <v>42.006</v>
      </c>
      <c r="O291" s="6">
        <v>42.006</v>
      </c>
      <c r="P291" s="6">
        <v>0</v>
      </c>
      <c r="Q291" s="4" t="s">
        <v>26</v>
      </c>
      <c r="R291" s="4">
        <v>0</v>
      </c>
      <c r="S291" s="6">
        <v>0</v>
      </c>
      <c r="T291" s="6">
        <v>7</v>
      </c>
      <c r="U291" s="6">
        <v>48</v>
      </c>
      <c r="V291" s="6">
        <f>IF(ISERROR(VLOOKUP($S$291,'TAR FIN'!$A$1:$O$85,15,0)),0,VLOOKUP($S$291,'TAR FIN'!$A$1:$O$85,15,0))</f>
        <v>0</v>
      </c>
      <c r="W291" s="6">
        <f>IF(ISERROR(VLOOKUP($T$291,'TAR FIN'!$A$1:$O$85,15,0)),0,VLOOKUP($T$291,'TAR FIN'!$A$1:$O$85,15,0))</f>
        <v>1326.39</v>
      </c>
      <c r="X291" s="6">
        <f>IF(ISERROR(VLOOKUP($U$291,'TAR FIN'!$A$1:$O$85,15,0)),0,VLOOKUP($U$291,'TAR FIN'!$A$1:$O$85,15,0))</f>
        <v>492.64</v>
      </c>
      <c r="Y291" s="6"/>
      <c r="Z291" s="6">
        <f ca="1">('TUSD BE'!$AM$11+'TUSD BF'!$AM$11+'TUSD CVA'!$AM$11)*1</f>
        <v>1532.0020380763981</v>
      </c>
      <c r="AA291" s="6">
        <f>('TE BE'!$AB$5+'TE BF'!$AB$5+'TE CVA'!$AB$5)*1</f>
        <v>485.87597641853409</v>
      </c>
      <c r="AB291" s="6">
        <f>$K$291*$V$291</f>
        <v>0</v>
      </c>
      <c r="AC291" s="6">
        <f>$M$291*$W$291</f>
        <v>55716.338340000002</v>
      </c>
      <c r="AD291" s="6">
        <f>$O$291*$X$291</f>
        <v>20693.83584</v>
      </c>
      <c r="AE291" s="6">
        <f>$K$291*$Y$291</f>
        <v>0</v>
      </c>
      <c r="AF291" s="6">
        <f ca="1">$M$291*$Z$291</f>
        <v>64353.277611437181</v>
      </c>
      <c r="AG291" s="6">
        <f>$O$291*$AA$291</f>
        <v>20409.706265436944</v>
      </c>
    </row>
    <row r="292" spans="1:33" ht="11.25" customHeight="1" x14ac:dyDescent="0.25">
      <c r="A292" s="4" t="s">
        <v>28</v>
      </c>
      <c r="B292" s="4" t="s">
        <v>39</v>
      </c>
      <c r="C292" s="4" t="s">
        <v>40</v>
      </c>
      <c r="D292" s="4" t="s">
        <v>41</v>
      </c>
      <c r="E292" s="4" t="s">
        <v>25</v>
      </c>
      <c r="F292" s="4" t="s">
        <v>25</v>
      </c>
      <c r="G292" s="4" t="s">
        <v>25</v>
      </c>
      <c r="H292" s="4" t="s">
        <v>34</v>
      </c>
      <c r="I292" s="5">
        <v>44743</v>
      </c>
      <c r="J292" s="6">
        <v>0</v>
      </c>
      <c r="K292" s="6">
        <v>0</v>
      </c>
      <c r="L292" s="6">
        <v>1.744</v>
      </c>
      <c r="M292" s="6">
        <v>1.744</v>
      </c>
      <c r="N292" s="6">
        <v>1.744</v>
      </c>
      <c r="O292" s="6">
        <v>1.744</v>
      </c>
      <c r="P292" s="6">
        <v>0</v>
      </c>
      <c r="Q292" s="4" t="s">
        <v>26</v>
      </c>
      <c r="R292" s="4">
        <v>0</v>
      </c>
      <c r="S292" s="6">
        <v>0</v>
      </c>
      <c r="T292" s="6">
        <v>7</v>
      </c>
      <c r="U292" s="6">
        <v>48</v>
      </c>
      <c r="V292" s="6">
        <f>IF(ISERROR(VLOOKUP($S$292,'TAR FIN'!$A$1:$O$85,15,0)),0,VLOOKUP($S$292,'TAR FIN'!$A$1:$O$85,15,0))</f>
        <v>0</v>
      </c>
      <c r="W292" s="6">
        <f>IF(ISERROR(VLOOKUP($T$292,'TAR FIN'!$A$1:$O$85,15,0)),0,VLOOKUP($T$292,'TAR FIN'!$A$1:$O$85,15,0))</f>
        <v>1326.39</v>
      </c>
      <c r="X292" s="6">
        <f>IF(ISERROR(VLOOKUP($U$292,'TAR FIN'!$A$1:$O$85,15,0)),0,VLOOKUP($U$292,'TAR FIN'!$A$1:$O$85,15,0))</f>
        <v>492.64</v>
      </c>
      <c r="Y292" s="6"/>
      <c r="Z292" s="6">
        <f ca="1">('TUSD BE'!$AM$11+'TUSD BF'!$AM$11+'TUSD CVA'!$AM$11)*1</f>
        <v>1532.0020380763981</v>
      </c>
      <c r="AA292" s="6">
        <f>('TE BE'!$AB$5+'TE BF'!$AB$5+'TE CVA'!$AB$5)*1</f>
        <v>485.87597641853409</v>
      </c>
      <c r="AB292" s="6">
        <f>$K$292*$V$292</f>
        <v>0</v>
      </c>
      <c r="AC292" s="6">
        <f>$M$292*$W$292</f>
        <v>2313.2241600000002</v>
      </c>
      <c r="AD292" s="6">
        <f>$O$292*$X$292</f>
        <v>859.16415999999992</v>
      </c>
      <c r="AE292" s="6">
        <f>$K$292*$Y$292</f>
        <v>0</v>
      </c>
      <c r="AF292" s="6">
        <f ca="1">$M$292*$Z$292</f>
        <v>2671.8115544052384</v>
      </c>
      <c r="AG292" s="6">
        <f>$O$292*$AA$292</f>
        <v>847.36770287392346</v>
      </c>
    </row>
    <row r="293" spans="1:33" ht="11.25" customHeight="1" x14ac:dyDescent="0.25">
      <c r="A293" s="4" t="s">
        <v>56</v>
      </c>
      <c r="B293" s="4" t="s">
        <v>39</v>
      </c>
      <c r="C293" s="4" t="s">
        <v>40</v>
      </c>
      <c r="D293" s="4" t="s">
        <v>41</v>
      </c>
      <c r="E293" s="4" t="s">
        <v>25</v>
      </c>
      <c r="F293" s="4" t="s">
        <v>25</v>
      </c>
      <c r="G293" s="4" t="s">
        <v>25</v>
      </c>
      <c r="H293" s="4" t="s">
        <v>34</v>
      </c>
      <c r="I293" s="5">
        <v>44774</v>
      </c>
      <c r="J293" s="6">
        <v>0</v>
      </c>
      <c r="K293" s="6">
        <v>0</v>
      </c>
      <c r="L293" s="6">
        <v>42.006</v>
      </c>
      <c r="M293" s="6">
        <v>42.006</v>
      </c>
      <c r="N293" s="6">
        <v>42.006</v>
      </c>
      <c r="O293" s="6">
        <v>42.006</v>
      </c>
      <c r="P293" s="6">
        <v>0</v>
      </c>
      <c r="Q293" s="4" t="s">
        <v>26</v>
      </c>
      <c r="R293" s="4">
        <v>0</v>
      </c>
      <c r="S293" s="6">
        <v>0</v>
      </c>
      <c r="T293" s="6">
        <v>7</v>
      </c>
      <c r="U293" s="6">
        <v>48</v>
      </c>
      <c r="V293" s="6">
        <f>IF(ISERROR(VLOOKUP($S$293,'TAR FIN'!$A$1:$O$85,15,0)),0,VLOOKUP($S$293,'TAR FIN'!$A$1:$O$85,15,0))</f>
        <v>0</v>
      </c>
      <c r="W293" s="6">
        <f>IF(ISERROR(VLOOKUP($T$293,'TAR FIN'!$A$1:$O$85,15,0)),0,VLOOKUP($T$293,'TAR FIN'!$A$1:$O$85,15,0))</f>
        <v>1326.39</v>
      </c>
      <c r="X293" s="6">
        <f>IF(ISERROR(VLOOKUP($U$293,'TAR FIN'!$A$1:$O$85,15,0)),0,VLOOKUP($U$293,'TAR FIN'!$A$1:$O$85,15,0))</f>
        <v>492.64</v>
      </c>
      <c r="Y293" s="6"/>
      <c r="Z293" s="6">
        <f ca="1">('TUSD BE'!$AM$11+'TUSD BF'!$AM$11+'TUSD CVA'!$AM$11)*1</f>
        <v>1532.0020380763981</v>
      </c>
      <c r="AA293" s="6">
        <f>('TE BE'!$AB$5+'TE BF'!$AB$5+'TE CVA'!$AB$5)*1</f>
        <v>485.87597641853409</v>
      </c>
      <c r="AB293" s="6">
        <f>$K$293*$V$293</f>
        <v>0</v>
      </c>
      <c r="AC293" s="6">
        <f>$M$293*$W$293</f>
        <v>55716.338340000002</v>
      </c>
      <c r="AD293" s="6">
        <f>$O$293*$X$293</f>
        <v>20693.83584</v>
      </c>
      <c r="AE293" s="6">
        <f>$K$293*$Y$293</f>
        <v>0</v>
      </c>
      <c r="AF293" s="6">
        <f ca="1">$M$293*$Z$293</f>
        <v>64353.277611437181</v>
      </c>
      <c r="AG293" s="6">
        <f>$O$293*$AA$293</f>
        <v>20409.706265436944</v>
      </c>
    </row>
    <row r="294" spans="1:33" ht="11.25" customHeight="1" x14ac:dyDescent="0.25">
      <c r="A294" s="4" t="s">
        <v>56</v>
      </c>
      <c r="B294" s="4" t="s">
        <v>39</v>
      </c>
      <c r="C294" s="4" t="s">
        <v>40</v>
      </c>
      <c r="D294" s="4" t="s">
        <v>41</v>
      </c>
      <c r="E294" s="4" t="s">
        <v>25</v>
      </c>
      <c r="F294" s="4" t="s">
        <v>25</v>
      </c>
      <c r="G294" s="4" t="s">
        <v>25</v>
      </c>
      <c r="H294" s="4" t="s">
        <v>34</v>
      </c>
      <c r="I294" s="5">
        <v>44774</v>
      </c>
      <c r="J294" s="6">
        <v>0</v>
      </c>
      <c r="K294" s="6">
        <v>0</v>
      </c>
      <c r="L294" s="6">
        <v>1.744</v>
      </c>
      <c r="M294" s="6">
        <v>1.744</v>
      </c>
      <c r="N294" s="6">
        <v>1.744</v>
      </c>
      <c r="O294" s="6">
        <v>1.744</v>
      </c>
      <c r="P294" s="6">
        <v>0</v>
      </c>
      <c r="Q294" s="4" t="s">
        <v>26</v>
      </c>
      <c r="R294" s="4">
        <v>0</v>
      </c>
      <c r="S294" s="6">
        <v>0</v>
      </c>
      <c r="T294" s="6">
        <v>7</v>
      </c>
      <c r="U294" s="6">
        <v>48</v>
      </c>
      <c r="V294" s="6">
        <f>IF(ISERROR(VLOOKUP($S$294,'TAR FIN'!$A$1:$O$85,15,0)),0,VLOOKUP($S$294,'TAR FIN'!$A$1:$O$85,15,0))</f>
        <v>0</v>
      </c>
      <c r="W294" s="6">
        <f>IF(ISERROR(VLOOKUP($T$294,'TAR FIN'!$A$1:$O$85,15,0)),0,VLOOKUP($T$294,'TAR FIN'!$A$1:$O$85,15,0))</f>
        <v>1326.39</v>
      </c>
      <c r="X294" s="6">
        <f>IF(ISERROR(VLOOKUP($U$294,'TAR FIN'!$A$1:$O$85,15,0)),0,VLOOKUP($U$294,'TAR FIN'!$A$1:$O$85,15,0))</f>
        <v>492.64</v>
      </c>
      <c r="Y294" s="6"/>
      <c r="Z294" s="6">
        <f ca="1">('TUSD BE'!$AM$11+'TUSD BF'!$AM$11+'TUSD CVA'!$AM$11)*1</f>
        <v>1532.0020380763981</v>
      </c>
      <c r="AA294" s="6">
        <f>('TE BE'!$AB$5+'TE BF'!$AB$5+'TE CVA'!$AB$5)*1</f>
        <v>485.87597641853409</v>
      </c>
      <c r="AB294" s="6">
        <f>$K$294*$V$294</f>
        <v>0</v>
      </c>
      <c r="AC294" s="6">
        <f>$M$294*$W$294</f>
        <v>2313.2241600000002</v>
      </c>
      <c r="AD294" s="6">
        <f>$O$294*$X$294</f>
        <v>859.16415999999992</v>
      </c>
      <c r="AE294" s="6">
        <f>$K$294*$Y$294</f>
        <v>0</v>
      </c>
      <c r="AF294" s="6">
        <f ca="1">$M$294*$Z$294</f>
        <v>2671.8115544052384</v>
      </c>
      <c r="AG294" s="6">
        <f>$O$294*$AA$294</f>
        <v>847.36770287392346</v>
      </c>
    </row>
    <row r="295" spans="1:33" ht="11.25" customHeight="1" x14ac:dyDescent="0.25">
      <c r="A295" s="4" t="s">
        <v>21</v>
      </c>
      <c r="B295" s="4" t="s">
        <v>39</v>
      </c>
      <c r="C295" s="4" t="s">
        <v>40</v>
      </c>
      <c r="D295" s="4" t="s">
        <v>51</v>
      </c>
      <c r="E295" s="4" t="s">
        <v>25</v>
      </c>
      <c r="F295" s="4" t="s">
        <v>25</v>
      </c>
      <c r="G295" s="4" t="s">
        <v>25</v>
      </c>
      <c r="H295" s="4" t="s">
        <v>35</v>
      </c>
      <c r="I295" s="5">
        <v>44440</v>
      </c>
      <c r="J295" s="6">
        <v>0</v>
      </c>
      <c r="K295" s="6">
        <v>0</v>
      </c>
      <c r="L295" s="6">
        <v>12.88</v>
      </c>
      <c r="M295" s="6">
        <v>12.88</v>
      </c>
      <c r="N295" s="6">
        <v>12.88</v>
      </c>
      <c r="O295" s="6">
        <v>12.88</v>
      </c>
      <c r="P295" s="6">
        <v>0</v>
      </c>
      <c r="Q295" s="4" t="s">
        <v>26</v>
      </c>
      <c r="R295" s="4">
        <v>0</v>
      </c>
      <c r="S295" s="6">
        <v>0</v>
      </c>
      <c r="T295" s="6">
        <v>8</v>
      </c>
      <c r="U295" s="6">
        <v>49</v>
      </c>
      <c r="V295" s="6">
        <f>IF(ISERROR(VLOOKUP($S$295,'TAR FIN'!$A$1:$O$85,15,0)),0,VLOOKUP($S$295,'TAR FIN'!$A$1:$O$85,15,0))</f>
        <v>0</v>
      </c>
      <c r="W295" s="6">
        <f>IF(ISERROR(VLOOKUP($T$295,'TAR FIN'!$A$1:$O$85,15,0)),0,VLOOKUP($T$295,'TAR FIN'!$A$1:$O$85,15,0))</f>
        <v>76.75</v>
      </c>
      <c r="X295" s="6">
        <f>IF(ISERROR(VLOOKUP($U$295,'TAR FIN'!$A$1:$O$85,15,0)),0,VLOOKUP($U$295,'TAR FIN'!$A$1:$O$85,15,0))</f>
        <v>307.08</v>
      </c>
      <c r="Y295" s="6"/>
      <c r="Z295" s="6">
        <f ca="1">('TUSD BE'!$AM$12+'TUSD BF'!$AM$12+'TUSD CVA'!$AM$12)*1</f>
        <v>147.99431148733765</v>
      </c>
      <c r="AA295" s="6">
        <f>('TE BE'!$AB$6+'TE BF'!$AB$6+'TE CVA'!$AB$6)*1</f>
        <v>304.87027853653359</v>
      </c>
      <c r="AB295" s="6">
        <f>$K$295*$V$295</f>
        <v>0</v>
      </c>
      <c r="AC295" s="6">
        <f>$M$295*$W$295</f>
        <v>988.54000000000008</v>
      </c>
      <c r="AD295" s="6">
        <f>$O$295*$X$295</f>
        <v>3955.1904</v>
      </c>
      <c r="AE295" s="6">
        <f>$K$295*$Y$295</f>
        <v>0</v>
      </c>
      <c r="AF295" s="6">
        <f ca="1">$M$295*$Z$295</f>
        <v>1906.1667319569092</v>
      </c>
      <c r="AG295" s="6">
        <f>$O$295*$AA$295</f>
        <v>3926.729187550553</v>
      </c>
    </row>
    <row r="296" spans="1:33" ht="11.25" customHeight="1" x14ac:dyDescent="0.25">
      <c r="A296" s="4" t="s">
        <v>21</v>
      </c>
      <c r="B296" s="4" t="s">
        <v>39</v>
      </c>
      <c r="C296" s="4" t="s">
        <v>40</v>
      </c>
      <c r="D296" s="4" t="s">
        <v>51</v>
      </c>
      <c r="E296" s="4" t="s">
        <v>25</v>
      </c>
      <c r="F296" s="4" t="s">
        <v>25</v>
      </c>
      <c r="G296" s="4" t="s">
        <v>25</v>
      </c>
      <c r="H296" s="4" t="s">
        <v>35</v>
      </c>
      <c r="I296" s="5">
        <v>44470</v>
      </c>
      <c r="J296" s="6">
        <v>0</v>
      </c>
      <c r="K296" s="6">
        <v>0</v>
      </c>
      <c r="L296" s="6">
        <v>13.372</v>
      </c>
      <c r="M296" s="6">
        <v>13.372</v>
      </c>
      <c r="N296" s="6">
        <v>13.372</v>
      </c>
      <c r="O296" s="6">
        <v>13.372</v>
      </c>
      <c r="P296" s="6">
        <v>0</v>
      </c>
      <c r="Q296" s="4" t="s">
        <v>26</v>
      </c>
      <c r="R296" s="4">
        <v>0</v>
      </c>
      <c r="S296" s="6">
        <v>0</v>
      </c>
      <c r="T296" s="6">
        <v>8</v>
      </c>
      <c r="U296" s="6">
        <v>49</v>
      </c>
      <c r="V296" s="6">
        <f>IF(ISERROR(VLOOKUP($S$296,'TAR FIN'!$A$1:$O$85,15,0)),0,VLOOKUP($S$296,'TAR FIN'!$A$1:$O$85,15,0))</f>
        <v>0</v>
      </c>
      <c r="W296" s="6">
        <f>IF(ISERROR(VLOOKUP($T$296,'TAR FIN'!$A$1:$O$85,15,0)),0,VLOOKUP($T$296,'TAR FIN'!$A$1:$O$85,15,0))</f>
        <v>76.75</v>
      </c>
      <c r="X296" s="6">
        <f>IF(ISERROR(VLOOKUP($U$296,'TAR FIN'!$A$1:$O$85,15,0)),0,VLOOKUP($U$296,'TAR FIN'!$A$1:$O$85,15,0))</f>
        <v>307.08</v>
      </c>
      <c r="Y296" s="6"/>
      <c r="Z296" s="6">
        <f ca="1">('TUSD BE'!$AM$12+'TUSD BF'!$AM$12+'TUSD CVA'!$AM$12)*1</f>
        <v>147.99431148733765</v>
      </c>
      <c r="AA296" s="6">
        <f>('TE BE'!$AB$6+'TE BF'!$AB$6+'TE CVA'!$AB$6)*1</f>
        <v>304.87027853653359</v>
      </c>
      <c r="AB296" s="6">
        <f>$K$296*$V$296</f>
        <v>0</v>
      </c>
      <c r="AC296" s="6">
        <f>$M$296*$W$296</f>
        <v>1026.3009999999999</v>
      </c>
      <c r="AD296" s="6">
        <f>$O$296*$X$296</f>
        <v>4106.27376</v>
      </c>
      <c r="AE296" s="6">
        <f>$K$296*$Y$296</f>
        <v>0</v>
      </c>
      <c r="AF296" s="6">
        <f ca="1">$M$296*$Z$296</f>
        <v>1978.9799332086791</v>
      </c>
      <c r="AG296" s="6">
        <f>$O$296*$AA$296</f>
        <v>4076.7253645905271</v>
      </c>
    </row>
    <row r="297" spans="1:33" ht="11.25" customHeight="1" x14ac:dyDescent="0.25">
      <c r="A297" s="4" t="s">
        <v>21</v>
      </c>
      <c r="B297" s="4" t="s">
        <v>39</v>
      </c>
      <c r="C297" s="4" t="s">
        <v>40</v>
      </c>
      <c r="D297" s="4" t="s">
        <v>51</v>
      </c>
      <c r="E297" s="4" t="s">
        <v>25</v>
      </c>
      <c r="F297" s="4" t="s">
        <v>25</v>
      </c>
      <c r="G297" s="4" t="s">
        <v>25</v>
      </c>
      <c r="H297" s="4" t="s">
        <v>35</v>
      </c>
      <c r="I297" s="5">
        <v>44501</v>
      </c>
      <c r="J297" s="6">
        <v>0</v>
      </c>
      <c r="K297" s="6">
        <v>0</v>
      </c>
      <c r="L297" s="6">
        <v>12.840999999999999</v>
      </c>
      <c r="M297" s="6">
        <v>12.840999999999999</v>
      </c>
      <c r="N297" s="6">
        <v>12.840999999999999</v>
      </c>
      <c r="O297" s="6">
        <v>12.840999999999999</v>
      </c>
      <c r="P297" s="6">
        <v>0</v>
      </c>
      <c r="Q297" s="4" t="s">
        <v>26</v>
      </c>
      <c r="R297" s="4">
        <v>0</v>
      </c>
      <c r="S297" s="6">
        <v>0</v>
      </c>
      <c r="T297" s="6">
        <v>8</v>
      </c>
      <c r="U297" s="6">
        <v>49</v>
      </c>
      <c r="V297" s="6">
        <f>IF(ISERROR(VLOOKUP($S$297,'TAR FIN'!$A$1:$O$85,15,0)),0,VLOOKUP($S$297,'TAR FIN'!$A$1:$O$85,15,0))</f>
        <v>0</v>
      </c>
      <c r="W297" s="6">
        <f>IF(ISERROR(VLOOKUP($T$297,'TAR FIN'!$A$1:$O$85,15,0)),0,VLOOKUP($T$297,'TAR FIN'!$A$1:$O$85,15,0))</f>
        <v>76.75</v>
      </c>
      <c r="X297" s="6">
        <f>IF(ISERROR(VLOOKUP($U$297,'TAR FIN'!$A$1:$O$85,15,0)),0,VLOOKUP($U$297,'TAR FIN'!$A$1:$O$85,15,0))</f>
        <v>307.08</v>
      </c>
      <c r="Y297" s="6"/>
      <c r="Z297" s="6">
        <f ca="1">('TUSD BE'!$AM$12+'TUSD BF'!$AM$12+'TUSD CVA'!$AM$12)*1</f>
        <v>147.99431148733765</v>
      </c>
      <c r="AA297" s="6">
        <f>('TE BE'!$AB$6+'TE BF'!$AB$6+'TE CVA'!$AB$6)*1</f>
        <v>304.87027853653359</v>
      </c>
      <c r="AB297" s="6">
        <f>$K$297*$V$297</f>
        <v>0</v>
      </c>
      <c r="AC297" s="6">
        <f>$M$297*$W$297</f>
        <v>985.54674999999997</v>
      </c>
      <c r="AD297" s="6">
        <f>$O$297*$X$297</f>
        <v>3943.2142799999997</v>
      </c>
      <c r="AE297" s="6">
        <f>$K$297*$Y$297</f>
        <v>0</v>
      </c>
      <c r="AF297" s="6">
        <f ca="1">$M$297*$Z$297</f>
        <v>1900.3949538089028</v>
      </c>
      <c r="AG297" s="6">
        <f>$O$297*$AA$297</f>
        <v>3914.8392466876276</v>
      </c>
    </row>
    <row r="298" spans="1:33" ht="11.25" customHeight="1" x14ac:dyDescent="0.25">
      <c r="A298" s="4" t="s">
        <v>21</v>
      </c>
      <c r="B298" s="4" t="s">
        <v>39</v>
      </c>
      <c r="C298" s="4" t="s">
        <v>40</v>
      </c>
      <c r="D298" s="4" t="s">
        <v>51</v>
      </c>
      <c r="E298" s="4" t="s">
        <v>25</v>
      </c>
      <c r="F298" s="4" t="s">
        <v>25</v>
      </c>
      <c r="G298" s="4" t="s">
        <v>25</v>
      </c>
      <c r="H298" s="4" t="s">
        <v>35</v>
      </c>
      <c r="I298" s="5">
        <v>44531</v>
      </c>
      <c r="J298" s="6">
        <v>0</v>
      </c>
      <c r="K298" s="6">
        <v>0</v>
      </c>
      <c r="L298" s="6">
        <v>16.071999999999999</v>
      </c>
      <c r="M298" s="6">
        <v>16.071999999999999</v>
      </c>
      <c r="N298" s="6">
        <v>16.071999999999999</v>
      </c>
      <c r="O298" s="6">
        <v>16.071999999999999</v>
      </c>
      <c r="P298" s="6">
        <v>0</v>
      </c>
      <c r="Q298" s="4" t="s">
        <v>26</v>
      </c>
      <c r="R298" s="4">
        <v>0</v>
      </c>
      <c r="S298" s="6">
        <v>0</v>
      </c>
      <c r="T298" s="6">
        <v>8</v>
      </c>
      <c r="U298" s="6">
        <v>49</v>
      </c>
      <c r="V298" s="6">
        <f>IF(ISERROR(VLOOKUP($S$298,'TAR FIN'!$A$1:$O$85,15,0)),0,VLOOKUP($S$298,'TAR FIN'!$A$1:$O$85,15,0))</f>
        <v>0</v>
      </c>
      <c r="W298" s="6">
        <f>IF(ISERROR(VLOOKUP($T$298,'TAR FIN'!$A$1:$O$85,15,0)),0,VLOOKUP($T$298,'TAR FIN'!$A$1:$O$85,15,0))</f>
        <v>76.75</v>
      </c>
      <c r="X298" s="6">
        <f>IF(ISERROR(VLOOKUP($U$298,'TAR FIN'!$A$1:$O$85,15,0)),0,VLOOKUP($U$298,'TAR FIN'!$A$1:$O$85,15,0))</f>
        <v>307.08</v>
      </c>
      <c r="Y298" s="6"/>
      <c r="Z298" s="6">
        <f ca="1">('TUSD BE'!$AM$12+'TUSD BF'!$AM$12+'TUSD CVA'!$AM$12)*1</f>
        <v>147.99431148733765</v>
      </c>
      <c r="AA298" s="6">
        <f>('TE BE'!$AB$6+'TE BF'!$AB$6+'TE CVA'!$AB$6)*1</f>
        <v>304.87027853653359</v>
      </c>
      <c r="AB298" s="6">
        <f>$K$298*$V$298</f>
        <v>0</v>
      </c>
      <c r="AC298" s="6">
        <f>$M$298*$W$298</f>
        <v>1233.5259999999998</v>
      </c>
      <c r="AD298" s="6">
        <f>$O$298*$X$298</f>
        <v>4935.3897599999991</v>
      </c>
      <c r="AE298" s="6">
        <f>$K$298*$Y$298</f>
        <v>0</v>
      </c>
      <c r="AF298" s="6">
        <f ca="1">$M$298*$Z$298</f>
        <v>2378.5645742244906</v>
      </c>
      <c r="AG298" s="6">
        <f>$O$298*$AA$298</f>
        <v>4899.8751166391676</v>
      </c>
    </row>
    <row r="299" spans="1:33" ht="11.25" customHeight="1" x14ac:dyDescent="0.25">
      <c r="A299" s="4" t="s">
        <v>21</v>
      </c>
      <c r="B299" s="4" t="s">
        <v>39</v>
      </c>
      <c r="C299" s="4" t="s">
        <v>40</v>
      </c>
      <c r="D299" s="4" t="s">
        <v>51</v>
      </c>
      <c r="E299" s="4" t="s">
        <v>25</v>
      </c>
      <c r="F299" s="4" t="s">
        <v>25</v>
      </c>
      <c r="G299" s="4" t="s">
        <v>25</v>
      </c>
      <c r="H299" s="4" t="s">
        <v>35</v>
      </c>
      <c r="I299" s="5">
        <v>44562</v>
      </c>
      <c r="J299" s="6">
        <v>0</v>
      </c>
      <c r="K299" s="6">
        <v>0</v>
      </c>
      <c r="L299" s="6">
        <v>17.821000000000002</v>
      </c>
      <c r="M299" s="6">
        <v>17.821000000000002</v>
      </c>
      <c r="N299" s="6">
        <v>17.821000000000002</v>
      </c>
      <c r="O299" s="6">
        <v>17.821000000000002</v>
      </c>
      <c r="P299" s="6">
        <v>0</v>
      </c>
      <c r="Q299" s="4" t="s">
        <v>26</v>
      </c>
      <c r="R299" s="4">
        <v>0</v>
      </c>
      <c r="S299" s="6">
        <v>0</v>
      </c>
      <c r="T299" s="6">
        <v>8</v>
      </c>
      <c r="U299" s="6">
        <v>49</v>
      </c>
      <c r="V299" s="6">
        <f>IF(ISERROR(VLOOKUP($S$299,'TAR FIN'!$A$1:$O$85,15,0)),0,VLOOKUP($S$299,'TAR FIN'!$A$1:$O$85,15,0))</f>
        <v>0</v>
      </c>
      <c r="W299" s="6">
        <f>IF(ISERROR(VLOOKUP($T$299,'TAR FIN'!$A$1:$O$85,15,0)),0,VLOOKUP($T$299,'TAR FIN'!$A$1:$O$85,15,0))</f>
        <v>76.75</v>
      </c>
      <c r="X299" s="6">
        <f>IF(ISERROR(VLOOKUP($U$299,'TAR FIN'!$A$1:$O$85,15,0)),0,VLOOKUP($U$299,'TAR FIN'!$A$1:$O$85,15,0))</f>
        <v>307.08</v>
      </c>
      <c r="Y299" s="6"/>
      <c r="Z299" s="6">
        <f ca="1">('TUSD BE'!$AM$12+'TUSD BF'!$AM$12+'TUSD CVA'!$AM$12)*1</f>
        <v>147.99431148733765</v>
      </c>
      <c r="AA299" s="6">
        <f>('TE BE'!$AB$6+'TE BF'!$AB$6+'TE CVA'!$AB$6)*1</f>
        <v>304.87027853653359</v>
      </c>
      <c r="AB299" s="6">
        <f>$K$299*$V$299</f>
        <v>0</v>
      </c>
      <c r="AC299" s="6">
        <f>$M$299*$W$299</f>
        <v>1367.7617500000001</v>
      </c>
      <c r="AD299" s="6">
        <f>$O$299*$X$299</f>
        <v>5472.4726799999999</v>
      </c>
      <c r="AE299" s="6">
        <f>$K$299*$Y$299</f>
        <v>0</v>
      </c>
      <c r="AF299" s="6">
        <f ca="1">$M$299*$Z$299</f>
        <v>2637.4066250158444</v>
      </c>
      <c r="AG299" s="6">
        <f>$O$299*$AA$299</f>
        <v>5433.0932337995655</v>
      </c>
    </row>
    <row r="300" spans="1:33" ht="11.25" customHeight="1" x14ac:dyDescent="0.25">
      <c r="A300" s="4" t="s">
        <v>21</v>
      </c>
      <c r="B300" s="4" t="s">
        <v>39</v>
      </c>
      <c r="C300" s="4" t="s">
        <v>40</v>
      </c>
      <c r="D300" s="4" t="s">
        <v>51</v>
      </c>
      <c r="E300" s="4" t="s">
        <v>25</v>
      </c>
      <c r="F300" s="4" t="s">
        <v>25</v>
      </c>
      <c r="G300" s="4" t="s">
        <v>25</v>
      </c>
      <c r="H300" s="4" t="s">
        <v>35</v>
      </c>
      <c r="I300" s="5">
        <v>44593</v>
      </c>
      <c r="J300" s="6">
        <v>0</v>
      </c>
      <c r="K300" s="6">
        <v>0</v>
      </c>
      <c r="L300" s="6">
        <v>17.015999999999998</v>
      </c>
      <c r="M300" s="6">
        <v>17.015999999999998</v>
      </c>
      <c r="N300" s="6">
        <v>17.015999999999998</v>
      </c>
      <c r="O300" s="6">
        <v>17.015999999999998</v>
      </c>
      <c r="P300" s="6">
        <v>0</v>
      </c>
      <c r="Q300" s="4" t="s">
        <v>26</v>
      </c>
      <c r="R300" s="4">
        <v>0</v>
      </c>
      <c r="S300" s="6">
        <v>0</v>
      </c>
      <c r="T300" s="6">
        <v>8</v>
      </c>
      <c r="U300" s="6">
        <v>49</v>
      </c>
      <c r="V300" s="6">
        <f>IF(ISERROR(VLOOKUP($S$300,'TAR FIN'!$A$1:$O$85,15,0)),0,VLOOKUP($S$300,'TAR FIN'!$A$1:$O$85,15,0))</f>
        <v>0</v>
      </c>
      <c r="W300" s="6">
        <f>IF(ISERROR(VLOOKUP($T$300,'TAR FIN'!$A$1:$O$85,15,0)),0,VLOOKUP($T$300,'TAR FIN'!$A$1:$O$85,15,0))</f>
        <v>76.75</v>
      </c>
      <c r="X300" s="6">
        <f>IF(ISERROR(VLOOKUP($U$300,'TAR FIN'!$A$1:$O$85,15,0)),0,VLOOKUP($U$300,'TAR FIN'!$A$1:$O$85,15,0))</f>
        <v>307.08</v>
      </c>
      <c r="Y300" s="6"/>
      <c r="Z300" s="6">
        <f ca="1">('TUSD BE'!$AM$12+'TUSD BF'!$AM$12+'TUSD CVA'!$AM$12)*1</f>
        <v>147.99431148733765</v>
      </c>
      <c r="AA300" s="6">
        <f>('TE BE'!$AB$6+'TE BF'!$AB$6+'TE CVA'!$AB$6)*1</f>
        <v>304.87027853653359</v>
      </c>
      <c r="AB300" s="6">
        <f>$K$300*$V$300</f>
        <v>0</v>
      </c>
      <c r="AC300" s="6">
        <f>$M$300*$W$300</f>
        <v>1305.9779999999998</v>
      </c>
      <c r="AD300" s="6">
        <f>$O$300*$X$300</f>
        <v>5225.2732799999994</v>
      </c>
      <c r="AE300" s="6">
        <f>$K$300*$Y$300</f>
        <v>0</v>
      </c>
      <c r="AF300" s="6">
        <f ca="1">$M$300*$Z$300</f>
        <v>2518.2712042685371</v>
      </c>
      <c r="AG300" s="6">
        <f>$O$300*$AA$300</f>
        <v>5187.6726595776554</v>
      </c>
    </row>
    <row r="301" spans="1:33" ht="11.25" customHeight="1" x14ac:dyDescent="0.25">
      <c r="A301" s="4" t="s">
        <v>21</v>
      </c>
      <c r="B301" s="4" t="s">
        <v>39</v>
      </c>
      <c r="C301" s="4" t="s">
        <v>40</v>
      </c>
      <c r="D301" s="4" t="s">
        <v>51</v>
      </c>
      <c r="E301" s="4" t="s">
        <v>25</v>
      </c>
      <c r="F301" s="4" t="s">
        <v>25</v>
      </c>
      <c r="G301" s="4" t="s">
        <v>25</v>
      </c>
      <c r="H301" s="4" t="s">
        <v>35</v>
      </c>
      <c r="I301" s="5">
        <v>44621</v>
      </c>
      <c r="J301" s="6">
        <v>0</v>
      </c>
      <c r="K301" s="6">
        <v>0</v>
      </c>
      <c r="L301" s="6">
        <v>19.343</v>
      </c>
      <c r="M301" s="6">
        <v>19.343</v>
      </c>
      <c r="N301" s="6">
        <v>19.343</v>
      </c>
      <c r="O301" s="6">
        <v>19.343</v>
      </c>
      <c r="P301" s="6">
        <v>0</v>
      </c>
      <c r="Q301" s="4" t="s">
        <v>26</v>
      </c>
      <c r="R301" s="4">
        <v>0</v>
      </c>
      <c r="S301" s="6">
        <v>0</v>
      </c>
      <c r="T301" s="6">
        <v>8</v>
      </c>
      <c r="U301" s="6">
        <v>49</v>
      </c>
      <c r="V301" s="6">
        <f>IF(ISERROR(VLOOKUP($S$301,'TAR FIN'!$A$1:$O$85,15,0)),0,VLOOKUP($S$301,'TAR FIN'!$A$1:$O$85,15,0))</f>
        <v>0</v>
      </c>
      <c r="W301" s="6">
        <f>IF(ISERROR(VLOOKUP($T$301,'TAR FIN'!$A$1:$O$85,15,0)),0,VLOOKUP($T$301,'TAR FIN'!$A$1:$O$85,15,0))</f>
        <v>76.75</v>
      </c>
      <c r="X301" s="6">
        <f>IF(ISERROR(VLOOKUP($U$301,'TAR FIN'!$A$1:$O$85,15,0)),0,VLOOKUP($U$301,'TAR FIN'!$A$1:$O$85,15,0))</f>
        <v>307.08</v>
      </c>
      <c r="Y301" s="6"/>
      <c r="Z301" s="6">
        <f ca="1">('TUSD BE'!$AM$12+'TUSD BF'!$AM$12+'TUSD CVA'!$AM$12)*1</f>
        <v>147.99431148733765</v>
      </c>
      <c r="AA301" s="6">
        <f>('TE BE'!$AB$6+'TE BF'!$AB$6+'TE CVA'!$AB$6)*1</f>
        <v>304.87027853653359</v>
      </c>
      <c r="AB301" s="6">
        <f>$K$301*$V$301</f>
        <v>0</v>
      </c>
      <c r="AC301" s="6">
        <f>$M$301*$W$301</f>
        <v>1484.5752500000001</v>
      </c>
      <c r="AD301" s="6">
        <f>$O$301*$X$301</f>
        <v>5939.8484399999998</v>
      </c>
      <c r="AE301" s="6">
        <f>$K$301*$Y$301</f>
        <v>0</v>
      </c>
      <c r="AF301" s="6">
        <f ca="1">$M$301*$Z$301</f>
        <v>2862.6539670995721</v>
      </c>
      <c r="AG301" s="6">
        <f>$O$301*$AA$301</f>
        <v>5897.1057977321689</v>
      </c>
    </row>
    <row r="302" spans="1:33" ht="11.25" customHeight="1" x14ac:dyDescent="0.25">
      <c r="A302" s="4" t="s">
        <v>21</v>
      </c>
      <c r="B302" s="4" t="s">
        <v>39</v>
      </c>
      <c r="C302" s="4" t="s">
        <v>40</v>
      </c>
      <c r="D302" s="4" t="s">
        <v>51</v>
      </c>
      <c r="E302" s="4" t="s">
        <v>25</v>
      </c>
      <c r="F302" s="4" t="s">
        <v>25</v>
      </c>
      <c r="G302" s="4" t="s">
        <v>25</v>
      </c>
      <c r="H302" s="4" t="s">
        <v>35</v>
      </c>
      <c r="I302" s="5">
        <v>44652</v>
      </c>
      <c r="J302" s="6">
        <v>0</v>
      </c>
      <c r="K302" s="6">
        <v>0</v>
      </c>
      <c r="L302" s="6">
        <v>16.646000000000001</v>
      </c>
      <c r="M302" s="6">
        <v>16.646000000000001</v>
      </c>
      <c r="N302" s="6">
        <v>16.646000000000001</v>
      </c>
      <c r="O302" s="6">
        <v>16.646000000000001</v>
      </c>
      <c r="P302" s="6">
        <v>0</v>
      </c>
      <c r="Q302" s="4" t="s">
        <v>26</v>
      </c>
      <c r="R302" s="4">
        <v>0</v>
      </c>
      <c r="S302" s="6">
        <v>0</v>
      </c>
      <c r="T302" s="6">
        <v>8</v>
      </c>
      <c r="U302" s="6">
        <v>49</v>
      </c>
      <c r="V302" s="6">
        <f>IF(ISERROR(VLOOKUP($S$302,'TAR FIN'!$A$1:$O$85,15,0)),0,VLOOKUP($S$302,'TAR FIN'!$A$1:$O$85,15,0))</f>
        <v>0</v>
      </c>
      <c r="W302" s="6">
        <f>IF(ISERROR(VLOOKUP($T$302,'TAR FIN'!$A$1:$O$85,15,0)),0,VLOOKUP($T$302,'TAR FIN'!$A$1:$O$85,15,0))</f>
        <v>76.75</v>
      </c>
      <c r="X302" s="6">
        <f>IF(ISERROR(VLOOKUP($U$302,'TAR FIN'!$A$1:$O$85,15,0)),0,VLOOKUP($U$302,'TAR FIN'!$A$1:$O$85,15,0))</f>
        <v>307.08</v>
      </c>
      <c r="Y302" s="6"/>
      <c r="Z302" s="6">
        <f ca="1">('TUSD BE'!$AM$12+'TUSD BF'!$AM$12+'TUSD CVA'!$AM$12)*1</f>
        <v>147.99431148733765</v>
      </c>
      <c r="AA302" s="6">
        <f>('TE BE'!$AB$6+'TE BF'!$AB$6+'TE CVA'!$AB$6)*1</f>
        <v>304.87027853653359</v>
      </c>
      <c r="AB302" s="6">
        <f>$K$302*$V$302</f>
        <v>0</v>
      </c>
      <c r="AC302" s="6">
        <f>$M$302*$W$302</f>
        <v>1277.5805</v>
      </c>
      <c r="AD302" s="6">
        <f>$O$302*$X$302</f>
        <v>5111.6536800000003</v>
      </c>
      <c r="AE302" s="6">
        <f>$K$302*$Y$302</f>
        <v>0</v>
      </c>
      <c r="AF302" s="6">
        <f ca="1">$M$302*$Z$302</f>
        <v>2463.5133090182226</v>
      </c>
      <c r="AG302" s="6">
        <f>$O$302*$AA$302</f>
        <v>5074.8706565191387</v>
      </c>
    </row>
    <row r="303" spans="1:33" ht="11.25" customHeight="1" x14ac:dyDescent="0.25">
      <c r="A303" s="4" t="s">
        <v>21</v>
      </c>
      <c r="B303" s="4" t="s">
        <v>39</v>
      </c>
      <c r="C303" s="4" t="s">
        <v>40</v>
      </c>
      <c r="D303" s="4" t="s">
        <v>51</v>
      </c>
      <c r="E303" s="4" t="s">
        <v>25</v>
      </c>
      <c r="F303" s="4" t="s">
        <v>25</v>
      </c>
      <c r="G303" s="4" t="s">
        <v>25</v>
      </c>
      <c r="H303" s="4" t="s">
        <v>35</v>
      </c>
      <c r="I303" s="5">
        <v>44682</v>
      </c>
      <c r="J303" s="6">
        <v>0</v>
      </c>
      <c r="K303" s="6">
        <v>0</v>
      </c>
      <c r="L303" s="6">
        <v>13.250999999999999</v>
      </c>
      <c r="M303" s="6">
        <v>13.250999999999999</v>
      </c>
      <c r="N303" s="6">
        <v>13.250999999999999</v>
      </c>
      <c r="O303" s="6">
        <v>13.250999999999999</v>
      </c>
      <c r="P303" s="6">
        <v>0</v>
      </c>
      <c r="Q303" s="4" t="s">
        <v>26</v>
      </c>
      <c r="R303" s="4">
        <v>0</v>
      </c>
      <c r="S303" s="6">
        <v>0</v>
      </c>
      <c r="T303" s="6">
        <v>8</v>
      </c>
      <c r="U303" s="6">
        <v>49</v>
      </c>
      <c r="V303" s="6">
        <f>IF(ISERROR(VLOOKUP($S$303,'TAR FIN'!$A$1:$O$85,15,0)),0,VLOOKUP($S$303,'TAR FIN'!$A$1:$O$85,15,0))</f>
        <v>0</v>
      </c>
      <c r="W303" s="6">
        <f>IF(ISERROR(VLOOKUP($T$303,'TAR FIN'!$A$1:$O$85,15,0)),0,VLOOKUP($T$303,'TAR FIN'!$A$1:$O$85,15,0))</f>
        <v>76.75</v>
      </c>
      <c r="X303" s="6">
        <f>IF(ISERROR(VLOOKUP($U$303,'TAR FIN'!$A$1:$O$85,15,0)),0,VLOOKUP($U$303,'TAR FIN'!$A$1:$O$85,15,0))</f>
        <v>307.08</v>
      </c>
      <c r="Y303" s="6"/>
      <c r="Z303" s="6">
        <f ca="1">('TUSD BE'!$AM$12+'TUSD BF'!$AM$12+'TUSD CVA'!$AM$12)*1</f>
        <v>147.99431148733765</v>
      </c>
      <c r="AA303" s="6">
        <f>('TE BE'!$AB$6+'TE BF'!$AB$6+'TE CVA'!$AB$6)*1</f>
        <v>304.87027853653359</v>
      </c>
      <c r="AB303" s="6">
        <f>$K$303*$V$303</f>
        <v>0</v>
      </c>
      <c r="AC303" s="6">
        <f>$M$303*$W$303</f>
        <v>1017.0142499999999</v>
      </c>
      <c r="AD303" s="6">
        <f>$O$303*$X$303</f>
        <v>4069.1170799999995</v>
      </c>
      <c r="AE303" s="6">
        <f>$K$303*$Y$303</f>
        <v>0</v>
      </c>
      <c r="AF303" s="6">
        <f ca="1">$M$303*$Z$303</f>
        <v>1961.0726215187112</v>
      </c>
      <c r="AG303" s="6">
        <f>$O$303*$AA$303</f>
        <v>4039.8360608876064</v>
      </c>
    </row>
    <row r="304" spans="1:33" ht="11.25" customHeight="1" x14ac:dyDescent="0.25">
      <c r="A304" s="4" t="s">
        <v>21</v>
      </c>
      <c r="B304" s="4" t="s">
        <v>39</v>
      </c>
      <c r="C304" s="4" t="s">
        <v>40</v>
      </c>
      <c r="D304" s="4" t="s">
        <v>51</v>
      </c>
      <c r="E304" s="4" t="s">
        <v>25</v>
      </c>
      <c r="F304" s="4" t="s">
        <v>25</v>
      </c>
      <c r="G304" s="4" t="s">
        <v>25</v>
      </c>
      <c r="H304" s="4" t="s">
        <v>35</v>
      </c>
      <c r="I304" s="5">
        <v>44713</v>
      </c>
      <c r="J304" s="6">
        <v>0</v>
      </c>
      <c r="K304" s="6">
        <v>0</v>
      </c>
      <c r="L304" s="6">
        <v>10.648</v>
      </c>
      <c r="M304" s="6">
        <v>10.648</v>
      </c>
      <c r="N304" s="6">
        <v>10.648</v>
      </c>
      <c r="O304" s="6">
        <v>10.648</v>
      </c>
      <c r="P304" s="6">
        <v>0</v>
      </c>
      <c r="Q304" s="4" t="s">
        <v>26</v>
      </c>
      <c r="R304" s="4">
        <v>0</v>
      </c>
      <c r="S304" s="6">
        <v>0</v>
      </c>
      <c r="T304" s="6">
        <v>8</v>
      </c>
      <c r="U304" s="6">
        <v>49</v>
      </c>
      <c r="V304" s="6">
        <f>IF(ISERROR(VLOOKUP($S$304,'TAR FIN'!$A$1:$O$85,15,0)),0,VLOOKUP($S$304,'TAR FIN'!$A$1:$O$85,15,0))</f>
        <v>0</v>
      </c>
      <c r="W304" s="6">
        <f>IF(ISERROR(VLOOKUP($T$304,'TAR FIN'!$A$1:$O$85,15,0)),0,VLOOKUP($T$304,'TAR FIN'!$A$1:$O$85,15,0))</f>
        <v>76.75</v>
      </c>
      <c r="X304" s="6">
        <f>IF(ISERROR(VLOOKUP($U$304,'TAR FIN'!$A$1:$O$85,15,0)),0,VLOOKUP($U$304,'TAR FIN'!$A$1:$O$85,15,0))</f>
        <v>307.08</v>
      </c>
      <c r="Y304" s="6"/>
      <c r="Z304" s="6">
        <f ca="1">('TUSD BE'!$AM$12+'TUSD BF'!$AM$12+'TUSD CVA'!$AM$12)*1</f>
        <v>147.99431148733765</v>
      </c>
      <c r="AA304" s="6">
        <f>('TE BE'!$AB$6+'TE BF'!$AB$6+'TE CVA'!$AB$6)*1</f>
        <v>304.87027853653359</v>
      </c>
      <c r="AB304" s="6">
        <f>$K$304*$V$304</f>
        <v>0</v>
      </c>
      <c r="AC304" s="6">
        <f>$M$304*$W$304</f>
        <v>817.23399999999992</v>
      </c>
      <c r="AD304" s="6">
        <f>$O$304*$X$304</f>
        <v>3269.78784</v>
      </c>
      <c r="AE304" s="6">
        <f>$K$304*$Y$304</f>
        <v>0</v>
      </c>
      <c r="AF304" s="6">
        <f ca="1">$M$304*$Z$304</f>
        <v>1575.8434287171713</v>
      </c>
      <c r="AG304" s="6">
        <f>$O$304*$AA$304</f>
        <v>3246.2587258570097</v>
      </c>
    </row>
    <row r="305" spans="1:33" ht="11.25" customHeight="1" x14ac:dyDescent="0.25">
      <c r="A305" s="4" t="s">
        <v>21</v>
      </c>
      <c r="B305" s="4" t="s">
        <v>39</v>
      </c>
      <c r="C305" s="4" t="s">
        <v>40</v>
      </c>
      <c r="D305" s="4" t="s">
        <v>51</v>
      </c>
      <c r="E305" s="4" t="s">
        <v>25</v>
      </c>
      <c r="F305" s="4" t="s">
        <v>25</v>
      </c>
      <c r="G305" s="4" t="s">
        <v>25</v>
      </c>
      <c r="H305" s="4" t="s">
        <v>35</v>
      </c>
      <c r="I305" s="5">
        <v>44743</v>
      </c>
      <c r="J305" s="6">
        <v>0</v>
      </c>
      <c r="K305" s="6">
        <v>0</v>
      </c>
      <c r="L305" s="6">
        <v>11.458</v>
      </c>
      <c r="M305" s="6">
        <v>11.458</v>
      </c>
      <c r="N305" s="6">
        <v>11.458</v>
      </c>
      <c r="O305" s="6">
        <v>11.458</v>
      </c>
      <c r="P305" s="6">
        <v>0</v>
      </c>
      <c r="Q305" s="4" t="s">
        <v>26</v>
      </c>
      <c r="R305" s="4">
        <v>0</v>
      </c>
      <c r="S305" s="6">
        <v>0</v>
      </c>
      <c r="T305" s="6">
        <v>8</v>
      </c>
      <c r="U305" s="6">
        <v>49</v>
      </c>
      <c r="V305" s="6">
        <f>IF(ISERROR(VLOOKUP($S$305,'TAR FIN'!$A$1:$O$85,15,0)),0,VLOOKUP($S$305,'TAR FIN'!$A$1:$O$85,15,0))</f>
        <v>0</v>
      </c>
      <c r="W305" s="6">
        <f>IF(ISERROR(VLOOKUP($T$305,'TAR FIN'!$A$1:$O$85,15,0)),0,VLOOKUP($T$305,'TAR FIN'!$A$1:$O$85,15,0))</f>
        <v>76.75</v>
      </c>
      <c r="X305" s="6">
        <f>IF(ISERROR(VLOOKUP($U$305,'TAR FIN'!$A$1:$O$85,15,0)),0,VLOOKUP($U$305,'TAR FIN'!$A$1:$O$85,15,0))</f>
        <v>307.08</v>
      </c>
      <c r="Y305" s="6"/>
      <c r="Z305" s="6">
        <f ca="1">('TUSD BE'!$AM$12+'TUSD BF'!$AM$12+'TUSD CVA'!$AM$12)*1</f>
        <v>147.99431148733765</v>
      </c>
      <c r="AA305" s="6">
        <f>('TE BE'!$AB$6+'TE BF'!$AB$6+'TE CVA'!$AB$6)*1</f>
        <v>304.87027853653359</v>
      </c>
      <c r="AB305" s="6">
        <f>$K$305*$V$305</f>
        <v>0</v>
      </c>
      <c r="AC305" s="6">
        <f>$M$305*$W$305</f>
        <v>879.40150000000006</v>
      </c>
      <c r="AD305" s="6">
        <f>$O$305*$X$305</f>
        <v>3518.5226399999997</v>
      </c>
      <c r="AE305" s="6">
        <f>$K$305*$Y$305</f>
        <v>0</v>
      </c>
      <c r="AF305" s="6">
        <f ca="1">$M$305*$Z$305</f>
        <v>1695.7188210219149</v>
      </c>
      <c r="AG305" s="6">
        <f>$O$305*$AA$305</f>
        <v>3493.2036514716019</v>
      </c>
    </row>
    <row r="306" spans="1:33" ht="11.25" customHeight="1" x14ac:dyDescent="0.25">
      <c r="A306" s="4" t="s">
        <v>56</v>
      </c>
      <c r="B306" s="4" t="s">
        <v>39</v>
      </c>
      <c r="C306" s="4" t="s">
        <v>40</v>
      </c>
      <c r="D306" s="4" t="s">
        <v>51</v>
      </c>
      <c r="E306" s="4" t="s">
        <v>25</v>
      </c>
      <c r="F306" s="4" t="s">
        <v>25</v>
      </c>
      <c r="G306" s="4" t="s">
        <v>25</v>
      </c>
      <c r="H306" s="4" t="s">
        <v>35</v>
      </c>
      <c r="I306" s="5">
        <v>44774</v>
      </c>
      <c r="J306" s="6">
        <v>0</v>
      </c>
      <c r="K306" s="6">
        <v>0</v>
      </c>
      <c r="L306" s="6">
        <v>11.458</v>
      </c>
      <c r="M306" s="6">
        <v>11.458</v>
      </c>
      <c r="N306" s="6">
        <v>11.458</v>
      </c>
      <c r="O306" s="6">
        <v>11.458</v>
      </c>
      <c r="P306" s="6">
        <v>0</v>
      </c>
      <c r="Q306" s="4" t="s">
        <v>26</v>
      </c>
      <c r="R306" s="4">
        <v>0</v>
      </c>
      <c r="S306" s="6">
        <v>0</v>
      </c>
      <c r="T306" s="6">
        <v>8</v>
      </c>
      <c r="U306" s="6">
        <v>49</v>
      </c>
      <c r="V306" s="6">
        <f>IF(ISERROR(VLOOKUP($S$306,'TAR FIN'!$A$1:$O$85,15,0)),0,VLOOKUP($S$306,'TAR FIN'!$A$1:$O$85,15,0))</f>
        <v>0</v>
      </c>
      <c r="W306" s="6">
        <f>IF(ISERROR(VLOOKUP($T$306,'TAR FIN'!$A$1:$O$85,15,0)),0,VLOOKUP($T$306,'TAR FIN'!$A$1:$O$85,15,0))</f>
        <v>76.75</v>
      </c>
      <c r="X306" s="6">
        <f>IF(ISERROR(VLOOKUP($U$306,'TAR FIN'!$A$1:$O$85,15,0)),0,VLOOKUP($U$306,'TAR FIN'!$A$1:$O$85,15,0))</f>
        <v>307.08</v>
      </c>
      <c r="Y306" s="6"/>
      <c r="Z306" s="6">
        <f ca="1">('TUSD BE'!$AM$12+'TUSD BF'!$AM$12+'TUSD CVA'!$AM$12)*1</f>
        <v>147.99431148733765</v>
      </c>
      <c r="AA306" s="6">
        <f>('TE BE'!$AB$6+'TE BF'!$AB$6+'TE CVA'!$AB$6)*1</f>
        <v>304.87027853653359</v>
      </c>
      <c r="AB306" s="6">
        <f>$K$306*$V$306</f>
        <v>0</v>
      </c>
      <c r="AC306" s="6">
        <f>$M$306*$W$306</f>
        <v>879.40150000000006</v>
      </c>
      <c r="AD306" s="6">
        <f>$O$306*$X$306</f>
        <v>3518.5226399999997</v>
      </c>
      <c r="AE306" s="6">
        <f>$K$306*$Y$306</f>
        <v>0</v>
      </c>
      <c r="AF306" s="6">
        <f ca="1">$M$306*$Z$306</f>
        <v>1695.7188210219149</v>
      </c>
      <c r="AG306" s="6">
        <f>$O$306*$AA$306</f>
        <v>3493.2036514716019</v>
      </c>
    </row>
    <row r="307" spans="1:33" ht="11.25" customHeight="1" x14ac:dyDescent="0.25">
      <c r="A307" s="4" t="s">
        <v>21</v>
      </c>
      <c r="B307" s="4" t="s">
        <v>39</v>
      </c>
      <c r="C307" s="4" t="s">
        <v>40</v>
      </c>
      <c r="D307" s="4" t="s">
        <v>51</v>
      </c>
      <c r="E307" s="4" t="s">
        <v>25</v>
      </c>
      <c r="F307" s="4" t="s">
        <v>25</v>
      </c>
      <c r="G307" s="4" t="s">
        <v>25</v>
      </c>
      <c r="H307" s="4" t="s">
        <v>25</v>
      </c>
      <c r="I307" s="5">
        <v>44440</v>
      </c>
      <c r="J307" s="6">
        <v>72</v>
      </c>
      <c r="K307" s="6">
        <v>72</v>
      </c>
      <c r="L307" s="6">
        <v>0</v>
      </c>
      <c r="M307" s="6">
        <v>0</v>
      </c>
      <c r="N307" s="6">
        <v>0</v>
      </c>
      <c r="O307" s="6">
        <v>0</v>
      </c>
      <c r="P307" s="6">
        <v>1</v>
      </c>
      <c r="Q307" s="4" t="s">
        <v>26</v>
      </c>
      <c r="R307" s="4">
        <v>0</v>
      </c>
      <c r="S307" s="6">
        <v>6</v>
      </c>
      <c r="T307" s="6">
        <v>0</v>
      </c>
      <c r="U307" s="6">
        <v>0</v>
      </c>
      <c r="V307" s="6">
        <f>IF(ISERROR(VLOOKUP($S$307,'TAR FIN'!$A$1:$O$85,15,0)),0,VLOOKUP($S$307,'TAR FIN'!$A$1:$O$85,15,0))</f>
        <v>16.64</v>
      </c>
      <c r="W307" s="6">
        <f>IF(ISERROR(VLOOKUP($T$307,'TAR FIN'!$A$1:$O$85,15,0)),0,VLOOKUP($T$307,'TAR FIN'!$A$1:$O$85,15,0))</f>
        <v>0</v>
      </c>
      <c r="X307" s="6">
        <f>IF(ISERROR(VLOOKUP($U$307,'TAR FIN'!$A$1:$O$85,15,0)),0,VLOOKUP($U$307,'TAR FIN'!$A$1:$O$85,15,0))</f>
        <v>0</v>
      </c>
      <c r="Y307" s="6">
        <f ca="1">('TUSD BE'!$AM$10+'TUSD BF'!$AM$10+'TUSD CVA'!$AM$10)*1</f>
        <v>18.371854423657158</v>
      </c>
      <c r="Z307" s="6"/>
      <c r="AA307" s="6"/>
      <c r="AB307" s="6">
        <f>$K$307*$V$307</f>
        <v>1198.08</v>
      </c>
      <c r="AC307" s="6">
        <f>$M$307*$W$307</f>
        <v>0</v>
      </c>
      <c r="AD307" s="6">
        <f>$O$307*$X$307</f>
        <v>0</v>
      </c>
      <c r="AE307" s="6">
        <f ca="1">$K$307*$Y$307</f>
        <v>1322.7735185033155</v>
      </c>
      <c r="AF307" s="6">
        <f>$M$307*$Z$307</f>
        <v>0</v>
      </c>
      <c r="AG307" s="6">
        <f>$O$307*$AA$307</f>
        <v>0</v>
      </c>
    </row>
    <row r="308" spans="1:33" ht="11.25" customHeight="1" x14ac:dyDescent="0.25">
      <c r="A308" s="4" t="s">
        <v>21</v>
      </c>
      <c r="B308" s="4" t="s">
        <v>39</v>
      </c>
      <c r="C308" s="4" t="s">
        <v>40</v>
      </c>
      <c r="D308" s="4" t="s">
        <v>51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44470</v>
      </c>
      <c r="J308" s="6">
        <v>73</v>
      </c>
      <c r="K308" s="6">
        <v>73</v>
      </c>
      <c r="L308" s="6">
        <v>0</v>
      </c>
      <c r="M308" s="6">
        <v>0</v>
      </c>
      <c r="N308" s="6">
        <v>0</v>
      </c>
      <c r="O308" s="6">
        <v>0</v>
      </c>
      <c r="P308" s="6">
        <v>1</v>
      </c>
      <c r="Q308" s="4" t="s">
        <v>26</v>
      </c>
      <c r="R308" s="4">
        <v>0</v>
      </c>
      <c r="S308" s="6">
        <v>6</v>
      </c>
      <c r="T308" s="6">
        <v>0</v>
      </c>
      <c r="U308" s="6">
        <v>0</v>
      </c>
      <c r="V308" s="6">
        <f>IF(ISERROR(VLOOKUP($S$308,'TAR FIN'!$A$1:$O$85,15,0)),0,VLOOKUP($S$308,'TAR FIN'!$A$1:$O$85,15,0))</f>
        <v>16.64</v>
      </c>
      <c r="W308" s="6">
        <f>IF(ISERROR(VLOOKUP($T$308,'TAR FIN'!$A$1:$O$85,15,0)),0,VLOOKUP($T$308,'TAR FIN'!$A$1:$O$85,15,0))</f>
        <v>0</v>
      </c>
      <c r="X308" s="6">
        <f>IF(ISERROR(VLOOKUP($U$308,'TAR FIN'!$A$1:$O$85,15,0)),0,VLOOKUP($U$308,'TAR FIN'!$A$1:$O$85,15,0))</f>
        <v>0</v>
      </c>
      <c r="Y308" s="6">
        <f ca="1">('TUSD BE'!$AM$10+'TUSD BF'!$AM$10+'TUSD CVA'!$AM$10)*1</f>
        <v>18.371854423657158</v>
      </c>
      <c r="Z308" s="6"/>
      <c r="AA308" s="6"/>
      <c r="AB308" s="6">
        <f>$K$308*$V$308</f>
        <v>1214.72</v>
      </c>
      <c r="AC308" s="6">
        <f>$M$308*$W$308</f>
        <v>0</v>
      </c>
      <c r="AD308" s="6">
        <f>$O$308*$X$308</f>
        <v>0</v>
      </c>
      <c r="AE308" s="6">
        <f ca="1">$K$308*$Y$308</f>
        <v>1341.1453729269726</v>
      </c>
      <c r="AF308" s="6">
        <f>$M$308*$Z$308</f>
        <v>0</v>
      </c>
      <c r="AG308" s="6">
        <f>$O$308*$AA$308</f>
        <v>0</v>
      </c>
    </row>
    <row r="309" spans="1:33" ht="11.25" customHeight="1" x14ac:dyDescent="0.25">
      <c r="A309" s="4" t="s">
        <v>21</v>
      </c>
      <c r="B309" s="4" t="s">
        <v>39</v>
      </c>
      <c r="C309" s="4" t="s">
        <v>40</v>
      </c>
      <c r="D309" s="4" t="s">
        <v>51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44501</v>
      </c>
      <c r="J309" s="6">
        <v>75</v>
      </c>
      <c r="K309" s="6">
        <v>75</v>
      </c>
      <c r="L309" s="6">
        <v>0</v>
      </c>
      <c r="M309" s="6">
        <v>0</v>
      </c>
      <c r="N309" s="6">
        <v>0</v>
      </c>
      <c r="O309" s="6">
        <v>0</v>
      </c>
      <c r="P309" s="6">
        <v>1</v>
      </c>
      <c r="Q309" s="4" t="s">
        <v>26</v>
      </c>
      <c r="R309" s="4">
        <v>0</v>
      </c>
      <c r="S309" s="6">
        <v>6</v>
      </c>
      <c r="T309" s="6">
        <v>0</v>
      </c>
      <c r="U309" s="6">
        <v>0</v>
      </c>
      <c r="V309" s="6">
        <f>IF(ISERROR(VLOOKUP($S$309,'TAR FIN'!$A$1:$O$85,15,0)),0,VLOOKUP($S$309,'TAR FIN'!$A$1:$O$85,15,0))</f>
        <v>16.64</v>
      </c>
      <c r="W309" s="6">
        <f>IF(ISERROR(VLOOKUP($T$309,'TAR FIN'!$A$1:$O$85,15,0)),0,VLOOKUP($T$309,'TAR FIN'!$A$1:$O$85,15,0))</f>
        <v>0</v>
      </c>
      <c r="X309" s="6">
        <f>IF(ISERROR(VLOOKUP($U$309,'TAR FIN'!$A$1:$O$85,15,0)),0,VLOOKUP($U$309,'TAR FIN'!$A$1:$O$85,15,0))</f>
        <v>0</v>
      </c>
      <c r="Y309" s="6">
        <f ca="1">('TUSD BE'!$AM$10+'TUSD BF'!$AM$10+'TUSD CVA'!$AM$10)*1</f>
        <v>18.371854423657158</v>
      </c>
      <c r="Z309" s="6"/>
      <c r="AA309" s="6"/>
      <c r="AB309" s="6">
        <f>$K$309*$V$309</f>
        <v>1248</v>
      </c>
      <c r="AC309" s="6">
        <f>$M$309*$W$309</f>
        <v>0</v>
      </c>
      <c r="AD309" s="6">
        <f>$O$309*$X$309</f>
        <v>0</v>
      </c>
      <c r="AE309" s="6">
        <f ca="1">$K$309*$Y$309</f>
        <v>1377.8890817742868</v>
      </c>
      <c r="AF309" s="6">
        <f>$M$309*$Z$309</f>
        <v>0</v>
      </c>
      <c r="AG309" s="6">
        <f>$O$309*$AA$309</f>
        <v>0</v>
      </c>
    </row>
    <row r="310" spans="1:33" ht="11.25" customHeight="1" x14ac:dyDescent="0.25">
      <c r="A310" s="4" t="s">
        <v>21</v>
      </c>
      <c r="B310" s="4" t="s">
        <v>39</v>
      </c>
      <c r="C310" s="4" t="s">
        <v>40</v>
      </c>
      <c r="D310" s="4" t="s">
        <v>51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44531</v>
      </c>
      <c r="J310" s="6">
        <v>80</v>
      </c>
      <c r="K310" s="6">
        <v>80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4" t="s">
        <v>26</v>
      </c>
      <c r="R310" s="4">
        <v>0</v>
      </c>
      <c r="S310" s="6">
        <v>6</v>
      </c>
      <c r="T310" s="6">
        <v>0</v>
      </c>
      <c r="U310" s="6">
        <v>0</v>
      </c>
      <c r="V310" s="6">
        <f>IF(ISERROR(VLOOKUP($S$310,'TAR FIN'!$A$1:$O$85,15,0)),0,VLOOKUP($S$310,'TAR FIN'!$A$1:$O$85,15,0))</f>
        <v>16.64</v>
      </c>
      <c r="W310" s="6">
        <f>IF(ISERROR(VLOOKUP($T$310,'TAR FIN'!$A$1:$O$85,15,0)),0,VLOOKUP($T$310,'TAR FIN'!$A$1:$O$85,15,0))</f>
        <v>0</v>
      </c>
      <c r="X310" s="6">
        <f>IF(ISERROR(VLOOKUP($U$310,'TAR FIN'!$A$1:$O$85,15,0)),0,VLOOKUP($U$310,'TAR FIN'!$A$1:$O$85,15,0))</f>
        <v>0</v>
      </c>
      <c r="Y310" s="6">
        <f ca="1">('TUSD BE'!$AM$10+'TUSD BF'!$AM$10+'TUSD CVA'!$AM$10)*1</f>
        <v>18.371854423657158</v>
      </c>
      <c r="Z310" s="6"/>
      <c r="AA310" s="6"/>
      <c r="AB310" s="6">
        <f>$K$310*$V$310</f>
        <v>1331.2</v>
      </c>
      <c r="AC310" s="6">
        <f>$M$310*$W$310</f>
        <v>0</v>
      </c>
      <c r="AD310" s="6">
        <f>$O$310*$X$310</f>
        <v>0</v>
      </c>
      <c r="AE310" s="6">
        <f ca="1">$K$310*$Y$310</f>
        <v>1469.7483538925726</v>
      </c>
      <c r="AF310" s="6">
        <f>$M$310*$Z$310</f>
        <v>0</v>
      </c>
      <c r="AG310" s="6">
        <f>$O$310*$AA$310</f>
        <v>0</v>
      </c>
    </row>
    <row r="311" spans="1:33" ht="11.25" customHeight="1" x14ac:dyDescent="0.25">
      <c r="A311" s="4" t="s">
        <v>21</v>
      </c>
      <c r="B311" s="4" t="s">
        <v>39</v>
      </c>
      <c r="C311" s="4" t="s">
        <v>40</v>
      </c>
      <c r="D311" s="4" t="s">
        <v>51</v>
      </c>
      <c r="E311" s="4" t="s">
        <v>25</v>
      </c>
      <c r="F311" s="4" t="s">
        <v>25</v>
      </c>
      <c r="G311" s="4" t="s">
        <v>25</v>
      </c>
      <c r="H311" s="4" t="s">
        <v>25</v>
      </c>
      <c r="I311" s="5">
        <v>44562</v>
      </c>
      <c r="J311" s="6">
        <v>80</v>
      </c>
      <c r="K311" s="6">
        <v>80</v>
      </c>
      <c r="L311" s="6">
        <v>0</v>
      </c>
      <c r="M311" s="6">
        <v>0</v>
      </c>
      <c r="N311" s="6">
        <v>0</v>
      </c>
      <c r="O311" s="6">
        <v>0</v>
      </c>
      <c r="P311" s="6">
        <v>1</v>
      </c>
      <c r="Q311" s="4" t="s">
        <v>26</v>
      </c>
      <c r="R311" s="4">
        <v>0</v>
      </c>
      <c r="S311" s="6">
        <v>6</v>
      </c>
      <c r="T311" s="6">
        <v>0</v>
      </c>
      <c r="U311" s="6">
        <v>0</v>
      </c>
      <c r="V311" s="6">
        <f>IF(ISERROR(VLOOKUP($S$311,'TAR FIN'!$A$1:$O$85,15,0)),0,VLOOKUP($S$311,'TAR FIN'!$A$1:$O$85,15,0))</f>
        <v>16.64</v>
      </c>
      <c r="W311" s="6">
        <f>IF(ISERROR(VLOOKUP($T$311,'TAR FIN'!$A$1:$O$85,15,0)),0,VLOOKUP($T$311,'TAR FIN'!$A$1:$O$85,15,0))</f>
        <v>0</v>
      </c>
      <c r="X311" s="6">
        <f>IF(ISERROR(VLOOKUP($U$311,'TAR FIN'!$A$1:$O$85,15,0)),0,VLOOKUP($U$311,'TAR FIN'!$A$1:$O$85,15,0))</f>
        <v>0</v>
      </c>
      <c r="Y311" s="6">
        <f ca="1">('TUSD BE'!$AM$10+'TUSD BF'!$AM$10+'TUSD CVA'!$AM$10)*1</f>
        <v>18.371854423657158</v>
      </c>
      <c r="Z311" s="6"/>
      <c r="AA311" s="6"/>
      <c r="AB311" s="6">
        <f>$K$311*$V$311</f>
        <v>1331.2</v>
      </c>
      <c r="AC311" s="6">
        <f>$M$311*$W$311</f>
        <v>0</v>
      </c>
      <c r="AD311" s="6">
        <f>$O$311*$X$311</f>
        <v>0</v>
      </c>
      <c r="AE311" s="6">
        <f ca="1">$K$311*$Y$311</f>
        <v>1469.7483538925726</v>
      </c>
      <c r="AF311" s="6">
        <f>$M$311*$Z$311</f>
        <v>0</v>
      </c>
      <c r="AG311" s="6">
        <f>$O$311*$AA$311</f>
        <v>0</v>
      </c>
    </row>
    <row r="312" spans="1:33" ht="11.25" customHeight="1" x14ac:dyDescent="0.25">
      <c r="A312" s="4" t="s">
        <v>21</v>
      </c>
      <c r="B312" s="4" t="s">
        <v>39</v>
      </c>
      <c r="C312" s="4" t="s">
        <v>40</v>
      </c>
      <c r="D312" s="4" t="s">
        <v>51</v>
      </c>
      <c r="E312" s="4" t="s">
        <v>25</v>
      </c>
      <c r="F312" s="4" t="s">
        <v>25</v>
      </c>
      <c r="G312" s="4" t="s">
        <v>25</v>
      </c>
      <c r="H312" s="4" t="s">
        <v>25</v>
      </c>
      <c r="I312" s="5">
        <v>44593</v>
      </c>
      <c r="J312" s="6">
        <v>96</v>
      </c>
      <c r="K312" s="6">
        <v>96</v>
      </c>
      <c r="L312" s="6">
        <v>0</v>
      </c>
      <c r="M312" s="6">
        <v>0</v>
      </c>
      <c r="N312" s="6">
        <v>0</v>
      </c>
      <c r="O312" s="6">
        <v>0</v>
      </c>
      <c r="P312" s="6">
        <v>1</v>
      </c>
      <c r="Q312" s="4" t="s">
        <v>26</v>
      </c>
      <c r="R312" s="4">
        <v>0</v>
      </c>
      <c r="S312" s="6">
        <v>6</v>
      </c>
      <c r="T312" s="6">
        <v>0</v>
      </c>
      <c r="U312" s="6">
        <v>0</v>
      </c>
      <c r="V312" s="6">
        <f>IF(ISERROR(VLOOKUP($S$312,'TAR FIN'!$A$1:$O$85,15,0)),0,VLOOKUP($S$312,'TAR FIN'!$A$1:$O$85,15,0))</f>
        <v>16.64</v>
      </c>
      <c r="W312" s="6">
        <f>IF(ISERROR(VLOOKUP($T$312,'TAR FIN'!$A$1:$O$85,15,0)),0,VLOOKUP($T$312,'TAR FIN'!$A$1:$O$85,15,0))</f>
        <v>0</v>
      </c>
      <c r="X312" s="6">
        <f>IF(ISERROR(VLOOKUP($U$312,'TAR FIN'!$A$1:$O$85,15,0)),0,VLOOKUP($U$312,'TAR FIN'!$A$1:$O$85,15,0))</f>
        <v>0</v>
      </c>
      <c r="Y312" s="6">
        <f ca="1">('TUSD BE'!$AM$10+'TUSD BF'!$AM$10+'TUSD CVA'!$AM$10)*1</f>
        <v>18.371854423657158</v>
      </c>
      <c r="Z312" s="6"/>
      <c r="AA312" s="6"/>
      <c r="AB312" s="6">
        <f>$K$312*$V$312</f>
        <v>1597.44</v>
      </c>
      <c r="AC312" s="6">
        <f>$M$312*$W$312</f>
        <v>0</v>
      </c>
      <c r="AD312" s="6">
        <f>$O$312*$X$312</f>
        <v>0</v>
      </c>
      <c r="AE312" s="6">
        <f ca="1">$K$312*$Y$312</f>
        <v>1763.6980246710873</v>
      </c>
      <c r="AF312" s="6">
        <f>$M$312*$Z$312</f>
        <v>0</v>
      </c>
      <c r="AG312" s="6">
        <f>$O$312*$AA$312</f>
        <v>0</v>
      </c>
    </row>
    <row r="313" spans="1:33" ht="11.25" customHeight="1" x14ac:dyDescent="0.25">
      <c r="A313" s="4" t="s">
        <v>21</v>
      </c>
      <c r="B313" s="4" t="s">
        <v>39</v>
      </c>
      <c r="C313" s="4" t="s">
        <v>40</v>
      </c>
      <c r="D313" s="4" t="s">
        <v>51</v>
      </c>
      <c r="E313" s="4" t="s">
        <v>25</v>
      </c>
      <c r="F313" s="4" t="s">
        <v>25</v>
      </c>
      <c r="G313" s="4" t="s">
        <v>25</v>
      </c>
      <c r="H313" s="4" t="s">
        <v>25</v>
      </c>
      <c r="I313" s="5">
        <v>44621</v>
      </c>
      <c r="J313" s="6">
        <v>88</v>
      </c>
      <c r="K313" s="6">
        <v>88</v>
      </c>
      <c r="L313" s="6">
        <v>0</v>
      </c>
      <c r="M313" s="6">
        <v>0</v>
      </c>
      <c r="N313" s="6">
        <v>0</v>
      </c>
      <c r="O313" s="6">
        <v>0</v>
      </c>
      <c r="P313" s="6">
        <v>1</v>
      </c>
      <c r="Q313" s="4" t="s">
        <v>26</v>
      </c>
      <c r="R313" s="4">
        <v>0</v>
      </c>
      <c r="S313" s="6">
        <v>6</v>
      </c>
      <c r="T313" s="6">
        <v>0</v>
      </c>
      <c r="U313" s="6">
        <v>0</v>
      </c>
      <c r="V313" s="6">
        <f>IF(ISERROR(VLOOKUP($S$313,'TAR FIN'!$A$1:$O$85,15,0)),0,VLOOKUP($S$313,'TAR FIN'!$A$1:$O$85,15,0))</f>
        <v>16.64</v>
      </c>
      <c r="W313" s="6">
        <f>IF(ISERROR(VLOOKUP($T$313,'TAR FIN'!$A$1:$O$85,15,0)),0,VLOOKUP($T$313,'TAR FIN'!$A$1:$O$85,15,0))</f>
        <v>0</v>
      </c>
      <c r="X313" s="6">
        <f>IF(ISERROR(VLOOKUP($U$313,'TAR FIN'!$A$1:$O$85,15,0)),0,VLOOKUP($U$313,'TAR FIN'!$A$1:$O$85,15,0))</f>
        <v>0</v>
      </c>
      <c r="Y313" s="6">
        <f ca="1">('TUSD BE'!$AM$10+'TUSD BF'!$AM$10+'TUSD CVA'!$AM$10)*1</f>
        <v>18.371854423657158</v>
      </c>
      <c r="Z313" s="6"/>
      <c r="AA313" s="6"/>
      <c r="AB313" s="6">
        <f>$K$313*$V$313</f>
        <v>1464.3200000000002</v>
      </c>
      <c r="AC313" s="6">
        <f>$M$313*$W$313</f>
        <v>0</v>
      </c>
      <c r="AD313" s="6">
        <f>$O$313*$X$313</f>
        <v>0</v>
      </c>
      <c r="AE313" s="6">
        <f ca="1">$K$313*$Y$313</f>
        <v>1616.7231892818299</v>
      </c>
      <c r="AF313" s="6">
        <f>$M$313*$Z$313</f>
        <v>0</v>
      </c>
      <c r="AG313" s="6">
        <f>$O$313*$AA$313</f>
        <v>0</v>
      </c>
    </row>
    <row r="314" spans="1:33" ht="11.25" customHeight="1" x14ac:dyDescent="0.25">
      <c r="A314" s="4" t="s">
        <v>21</v>
      </c>
      <c r="B314" s="4" t="s">
        <v>39</v>
      </c>
      <c r="C314" s="4" t="s">
        <v>40</v>
      </c>
      <c r="D314" s="4" t="s">
        <v>51</v>
      </c>
      <c r="E314" s="4" t="s">
        <v>25</v>
      </c>
      <c r="F314" s="4" t="s">
        <v>25</v>
      </c>
      <c r="G314" s="4" t="s">
        <v>25</v>
      </c>
      <c r="H314" s="4" t="s">
        <v>25</v>
      </c>
      <c r="I314" s="5">
        <v>44652</v>
      </c>
      <c r="J314" s="6">
        <v>85</v>
      </c>
      <c r="K314" s="6">
        <v>85</v>
      </c>
      <c r="L314" s="6">
        <v>0</v>
      </c>
      <c r="M314" s="6">
        <v>0</v>
      </c>
      <c r="N314" s="6">
        <v>0</v>
      </c>
      <c r="O314" s="6">
        <v>0</v>
      </c>
      <c r="P314" s="6">
        <v>1</v>
      </c>
      <c r="Q314" s="4" t="s">
        <v>26</v>
      </c>
      <c r="R314" s="4">
        <v>0</v>
      </c>
      <c r="S314" s="6">
        <v>6</v>
      </c>
      <c r="T314" s="6">
        <v>0</v>
      </c>
      <c r="U314" s="6">
        <v>0</v>
      </c>
      <c r="V314" s="6">
        <f>IF(ISERROR(VLOOKUP($S$314,'TAR FIN'!$A$1:$O$85,15,0)),0,VLOOKUP($S$314,'TAR FIN'!$A$1:$O$85,15,0))</f>
        <v>16.64</v>
      </c>
      <c r="W314" s="6">
        <f>IF(ISERROR(VLOOKUP($T$314,'TAR FIN'!$A$1:$O$85,15,0)),0,VLOOKUP($T$314,'TAR FIN'!$A$1:$O$85,15,0))</f>
        <v>0</v>
      </c>
      <c r="X314" s="6">
        <f>IF(ISERROR(VLOOKUP($U$314,'TAR FIN'!$A$1:$O$85,15,0)),0,VLOOKUP($U$314,'TAR FIN'!$A$1:$O$85,15,0))</f>
        <v>0</v>
      </c>
      <c r="Y314" s="6">
        <f ca="1">('TUSD BE'!$AM$10+'TUSD BF'!$AM$10+'TUSD CVA'!$AM$10)*1</f>
        <v>18.371854423657158</v>
      </c>
      <c r="Z314" s="6"/>
      <c r="AA314" s="6"/>
      <c r="AB314" s="6">
        <f>$K$314*$V$314</f>
        <v>1414.4</v>
      </c>
      <c r="AC314" s="6">
        <f>$M$314*$W$314</f>
        <v>0</v>
      </c>
      <c r="AD314" s="6">
        <f>$O$314*$X$314</f>
        <v>0</v>
      </c>
      <c r="AE314" s="6">
        <f ca="1">$K$314*$Y$314</f>
        <v>1561.6076260108584</v>
      </c>
      <c r="AF314" s="6">
        <f>$M$314*$Z$314</f>
        <v>0</v>
      </c>
      <c r="AG314" s="6">
        <f>$O$314*$AA$314</f>
        <v>0</v>
      </c>
    </row>
    <row r="315" spans="1:33" ht="11.25" customHeight="1" x14ac:dyDescent="0.25">
      <c r="A315" s="4" t="s">
        <v>21</v>
      </c>
      <c r="B315" s="4" t="s">
        <v>39</v>
      </c>
      <c r="C315" s="4" t="s">
        <v>40</v>
      </c>
      <c r="D315" s="4" t="s">
        <v>51</v>
      </c>
      <c r="E315" s="4" t="s">
        <v>25</v>
      </c>
      <c r="F315" s="4" t="s">
        <v>25</v>
      </c>
      <c r="G315" s="4" t="s">
        <v>25</v>
      </c>
      <c r="H315" s="4" t="s">
        <v>25</v>
      </c>
      <c r="I315" s="5">
        <v>44682</v>
      </c>
      <c r="J315" s="6">
        <v>72</v>
      </c>
      <c r="K315" s="6">
        <v>72</v>
      </c>
      <c r="L315" s="6">
        <v>0</v>
      </c>
      <c r="M315" s="6">
        <v>0</v>
      </c>
      <c r="N315" s="6">
        <v>0</v>
      </c>
      <c r="O315" s="6">
        <v>0</v>
      </c>
      <c r="P315" s="6">
        <v>1</v>
      </c>
      <c r="Q315" s="4" t="s">
        <v>26</v>
      </c>
      <c r="R315" s="4">
        <v>0</v>
      </c>
      <c r="S315" s="6">
        <v>6</v>
      </c>
      <c r="T315" s="6">
        <v>0</v>
      </c>
      <c r="U315" s="6">
        <v>0</v>
      </c>
      <c r="V315" s="6">
        <f>IF(ISERROR(VLOOKUP($S$315,'TAR FIN'!$A$1:$O$85,15,0)),0,VLOOKUP($S$315,'TAR FIN'!$A$1:$O$85,15,0))</f>
        <v>16.64</v>
      </c>
      <c r="W315" s="6">
        <f>IF(ISERROR(VLOOKUP($T$315,'TAR FIN'!$A$1:$O$85,15,0)),0,VLOOKUP($T$315,'TAR FIN'!$A$1:$O$85,15,0))</f>
        <v>0</v>
      </c>
      <c r="X315" s="6">
        <f>IF(ISERROR(VLOOKUP($U$315,'TAR FIN'!$A$1:$O$85,15,0)),0,VLOOKUP($U$315,'TAR FIN'!$A$1:$O$85,15,0))</f>
        <v>0</v>
      </c>
      <c r="Y315" s="6">
        <f ca="1">('TUSD BE'!$AM$10+'TUSD BF'!$AM$10+'TUSD CVA'!$AM$10)*1</f>
        <v>18.371854423657158</v>
      </c>
      <c r="Z315" s="6"/>
      <c r="AA315" s="6"/>
      <c r="AB315" s="6">
        <f>$K$315*$V$315</f>
        <v>1198.08</v>
      </c>
      <c r="AC315" s="6">
        <f>$M$315*$W$315</f>
        <v>0</v>
      </c>
      <c r="AD315" s="6">
        <f>$O$315*$X$315</f>
        <v>0</v>
      </c>
      <c r="AE315" s="6">
        <f ca="1">$K$315*$Y$315</f>
        <v>1322.7735185033155</v>
      </c>
      <c r="AF315" s="6">
        <f>$M$315*$Z$315</f>
        <v>0</v>
      </c>
      <c r="AG315" s="6">
        <f>$O$315*$AA$315</f>
        <v>0</v>
      </c>
    </row>
    <row r="316" spans="1:33" ht="11.25" customHeight="1" x14ac:dyDescent="0.25">
      <c r="A316" s="4" t="s">
        <v>21</v>
      </c>
      <c r="B316" s="4" t="s">
        <v>39</v>
      </c>
      <c r="C316" s="4" t="s">
        <v>40</v>
      </c>
      <c r="D316" s="4" t="s">
        <v>51</v>
      </c>
      <c r="E316" s="4" t="s">
        <v>25</v>
      </c>
      <c r="F316" s="4" t="s">
        <v>25</v>
      </c>
      <c r="G316" s="4" t="s">
        <v>25</v>
      </c>
      <c r="H316" s="4" t="s">
        <v>25</v>
      </c>
      <c r="I316" s="5">
        <v>44713</v>
      </c>
      <c r="J316" s="6">
        <v>60</v>
      </c>
      <c r="K316" s="6">
        <v>60</v>
      </c>
      <c r="L316" s="6">
        <v>0</v>
      </c>
      <c r="M316" s="6">
        <v>0</v>
      </c>
      <c r="N316" s="6">
        <v>0</v>
      </c>
      <c r="O316" s="6">
        <v>0</v>
      </c>
      <c r="P316" s="6">
        <v>1</v>
      </c>
      <c r="Q316" s="4" t="s">
        <v>26</v>
      </c>
      <c r="R316" s="4">
        <v>0</v>
      </c>
      <c r="S316" s="6">
        <v>6</v>
      </c>
      <c r="T316" s="6">
        <v>0</v>
      </c>
      <c r="U316" s="6">
        <v>0</v>
      </c>
      <c r="V316" s="6">
        <f>IF(ISERROR(VLOOKUP($S$316,'TAR FIN'!$A$1:$O$85,15,0)),0,VLOOKUP($S$316,'TAR FIN'!$A$1:$O$85,15,0))</f>
        <v>16.64</v>
      </c>
      <c r="W316" s="6">
        <f>IF(ISERROR(VLOOKUP($T$316,'TAR FIN'!$A$1:$O$85,15,0)),0,VLOOKUP($T$316,'TAR FIN'!$A$1:$O$85,15,0))</f>
        <v>0</v>
      </c>
      <c r="X316" s="6">
        <f>IF(ISERROR(VLOOKUP($U$316,'TAR FIN'!$A$1:$O$85,15,0)),0,VLOOKUP($U$316,'TAR FIN'!$A$1:$O$85,15,0))</f>
        <v>0</v>
      </c>
      <c r="Y316" s="6">
        <f ca="1">('TUSD BE'!$AM$10+'TUSD BF'!$AM$10+'TUSD CVA'!$AM$10)*1</f>
        <v>18.371854423657158</v>
      </c>
      <c r="Z316" s="6"/>
      <c r="AA316" s="6"/>
      <c r="AB316" s="6">
        <f>$K$316*$V$316</f>
        <v>998.40000000000009</v>
      </c>
      <c r="AC316" s="6">
        <f>$M$316*$W$316</f>
        <v>0</v>
      </c>
      <c r="AD316" s="6">
        <f>$O$316*$X$316</f>
        <v>0</v>
      </c>
      <c r="AE316" s="6">
        <f ca="1">$K$316*$Y$316</f>
        <v>1102.3112654194294</v>
      </c>
      <c r="AF316" s="6">
        <f>$M$316*$Z$316</f>
        <v>0</v>
      </c>
      <c r="AG316" s="6">
        <f>$O$316*$AA$316</f>
        <v>0</v>
      </c>
    </row>
    <row r="317" spans="1:33" ht="11.25" customHeight="1" x14ac:dyDescent="0.25">
      <c r="A317" s="4" t="s">
        <v>21</v>
      </c>
      <c r="B317" s="4" t="s">
        <v>39</v>
      </c>
      <c r="C317" s="4" t="s">
        <v>40</v>
      </c>
      <c r="D317" s="4" t="s">
        <v>51</v>
      </c>
      <c r="E317" s="4" t="s">
        <v>25</v>
      </c>
      <c r="F317" s="4" t="s">
        <v>25</v>
      </c>
      <c r="G317" s="4" t="s">
        <v>25</v>
      </c>
      <c r="H317" s="4" t="s">
        <v>25</v>
      </c>
      <c r="I317" s="5">
        <v>44743</v>
      </c>
      <c r="J317" s="6">
        <v>60</v>
      </c>
      <c r="K317" s="6">
        <v>60</v>
      </c>
      <c r="L317" s="6">
        <v>0</v>
      </c>
      <c r="M317" s="6">
        <v>0</v>
      </c>
      <c r="N317" s="6">
        <v>0</v>
      </c>
      <c r="O317" s="6">
        <v>0</v>
      </c>
      <c r="P317" s="6">
        <v>1</v>
      </c>
      <c r="Q317" s="4" t="s">
        <v>26</v>
      </c>
      <c r="R317" s="4">
        <v>0</v>
      </c>
      <c r="S317" s="6">
        <v>6</v>
      </c>
      <c r="T317" s="6">
        <v>0</v>
      </c>
      <c r="U317" s="6">
        <v>0</v>
      </c>
      <c r="V317" s="6">
        <f>IF(ISERROR(VLOOKUP($S$317,'TAR FIN'!$A$1:$O$85,15,0)),0,VLOOKUP($S$317,'TAR FIN'!$A$1:$O$85,15,0))</f>
        <v>16.64</v>
      </c>
      <c r="W317" s="6">
        <f>IF(ISERROR(VLOOKUP($T$317,'TAR FIN'!$A$1:$O$85,15,0)),0,VLOOKUP($T$317,'TAR FIN'!$A$1:$O$85,15,0))</f>
        <v>0</v>
      </c>
      <c r="X317" s="6">
        <f>IF(ISERROR(VLOOKUP($U$317,'TAR FIN'!$A$1:$O$85,15,0)),0,VLOOKUP($U$317,'TAR FIN'!$A$1:$O$85,15,0))</f>
        <v>0</v>
      </c>
      <c r="Y317" s="6">
        <f ca="1">('TUSD BE'!$AM$10+'TUSD BF'!$AM$10+'TUSD CVA'!$AM$10)*1</f>
        <v>18.371854423657158</v>
      </c>
      <c r="Z317" s="6"/>
      <c r="AA317" s="6"/>
      <c r="AB317" s="6">
        <f>$K$317*$V$317</f>
        <v>998.40000000000009</v>
      </c>
      <c r="AC317" s="6">
        <f>$M$317*$W$317</f>
        <v>0</v>
      </c>
      <c r="AD317" s="6">
        <f>$O$317*$X$317</f>
        <v>0</v>
      </c>
      <c r="AE317" s="6">
        <f ca="1">$K$317*$Y$317</f>
        <v>1102.3112654194294</v>
      </c>
      <c r="AF317" s="6">
        <f>$M$317*$Z$317</f>
        <v>0</v>
      </c>
      <c r="AG317" s="6">
        <f>$O$317*$AA$317</f>
        <v>0</v>
      </c>
    </row>
    <row r="318" spans="1:33" ht="11.25" customHeight="1" x14ac:dyDescent="0.25">
      <c r="A318" s="4" t="s">
        <v>56</v>
      </c>
      <c r="B318" s="4" t="s">
        <v>39</v>
      </c>
      <c r="C318" s="4" t="s">
        <v>40</v>
      </c>
      <c r="D318" s="4" t="s">
        <v>51</v>
      </c>
      <c r="E318" s="4" t="s">
        <v>25</v>
      </c>
      <c r="F318" s="4" t="s">
        <v>25</v>
      </c>
      <c r="G318" s="4" t="s">
        <v>25</v>
      </c>
      <c r="H318" s="4" t="s">
        <v>25</v>
      </c>
      <c r="I318" s="5">
        <v>44774</v>
      </c>
      <c r="J318" s="6">
        <v>60</v>
      </c>
      <c r="K318" s="6">
        <v>60</v>
      </c>
      <c r="L318" s="6">
        <v>0</v>
      </c>
      <c r="M318" s="6">
        <v>0</v>
      </c>
      <c r="N318" s="6">
        <v>0</v>
      </c>
      <c r="O318" s="6">
        <v>0</v>
      </c>
      <c r="P318" s="6">
        <v>1</v>
      </c>
      <c r="Q318" s="4" t="s">
        <v>26</v>
      </c>
      <c r="R318" s="4">
        <v>0</v>
      </c>
      <c r="S318" s="6">
        <v>6</v>
      </c>
      <c r="T318" s="6">
        <v>0</v>
      </c>
      <c r="U318" s="6">
        <v>0</v>
      </c>
      <c r="V318" s="6">
        <f>IF(ISERROR(VLOOKUP($S$318,'TAR FIN'!$A$1:$O$85,15,0)),0,VLOOKUP($S$318,'TAR FIN'!$A$1:$O$85,15,0))</f>
        <v>16.64</v>
      </c>
      <c r="W318" s="6">
        <f>IF(ISERROR(VLOOKUP($T$318,'TAR FIN'!$A$1:$O$85,15,0)),0,VLOOKUP($T$318,'TAR FIN'!$A$1:$O$85,15,0))</f>
        <v>0</v>
      </c>
      <c r="X318" s="6">
        <f>IF(ISERROR(VLOOKUP($U$318,'TAR FIN'!$A$1:$O$85,15,0)),0,VLOOKUP($U$318,'TAR FIN'!$A$1:$O$85,15,0))</f>
        <v>0</v>
      </c>
      <c r="Y318" s="6">
        <f ca="1">('TUSD BE'!$AM$10+'TUSD BF'!$AM$10+'TUSD CVA'!$AM$10)*1</f>
        <v>18.371854423657158</v>
      </c>
      <c r="Z318" s="6"/>
      <c r="AA318" s="6"/>
      <c r="AB318" s="6">
        <f>$K$318*$V$318</f>
        <v>998.40000000000009</v>
      </c>
      <c r="AC318" s="6">
        <f>$M$318*$W$318</f>
        <v>0</v>
      </c>
      <c r="AD318" s="6">
        <f>$O$318*$X$318</f>
        <v>0</v>
      </c>
      <c r="AE318" s="6">
        <f ca="1">$K$318*$Y$318</f>
        <v>1102.3112654194294</v>
      </c>
      <c r="AF318" s="6">
        <f>$M$318*$Z$318</f>
        <v>0</v>
      </c>
      <c r="AG318" s="6">
        <f>$O$318*$AA$318</f>
        <v>0</v>
      </c>
    </row>
    <row r="319" spans="1:33" ht="11.25" customHeight="1" x14ac:dyDescent="0.25">
      <c r="A319" s="4" t="s">
        <v>21</v>
      </c>
      <c r="B319" s="4" t="s">
        <v>39</v>
      </c>
      <c r="C319" s="4" t="s">
        <v>40</v>
      </c>
      <c r="D319" s="4" t="s">
        <v>51</v>
      </c>
      <c r="E319" s="4" t="s">
        <v>25</v>
      </c>
      <c r="F319" s="4" t="s">
        <v>25</v>
      </c>
      <c r="G319" s="4" t="s">
        <v>25</v>
      </c>
      <c r="H319" s="4" t="s">
        <v>34</v>
      </c>
      <c r="I319" s="5">
        <v>44440</v>
      </c>
      <c r="J319" s="6">
        <v>0</v>
      </c>
      <c r="K319" s="6">
        <v>0</v>
      </c>
      <c r="L319" s="6">
        <v>0.71299999999999997</v>
      </c>
      <c r="M319" s="6">
        <v>0.71299999999999997</v>
      </c>
      <c r="N319" s="6">
        <v>0.71299999999999997</v>
      </c>
      <c r="O319" s="6">
        <v>0.71299999999999997</v>
      </c>
      <c r="P319" s="6">
        <v>0</v>
      </c>
      <c r="Q319" s="4" t="s">
        <v>26</v>
      </c>
      <c r="R319" s="4">
        <v>0</v>
      </c>
      <c r="S319" s="6">
        <v>0</v>
      </c>
      <c r="T319" s="6">
        <v>7</v>
      </c>
      <c r="U319" s="6">
        <v>48</v>
      </c>
      <c r="V319" s="6">
        <f>IF(ISERROR(VLOOKUP($S$319,'TAR FIN'!$A$1:$O$85,15,0)),0,VLOOKUP($S$319,'TAR FIN'!$A$1:$O$85,15,0))</f>
        <v>0</v>
      </c>
      <c r="W319" s="6">
        <f>IF(ISERROR(VLOOKUP($T$319,'TAR FIN'!$A$1:$O$85,15,0)),0,VLOOKUP($T$319,'TAR FIN'!$A$1:$O$85,15,0))</f>
        <v>1326.39</v>
      </c>
      <c r="X319" s="6">
        <f>IF(ISERROR(VLOOKUP($U$319,'TAR FIN'!$A$1:$O$85,15,0)),0,VLOOKUP($U$319,'TAR FIN'!$A$1:$O$85,15,0))</f>
        <v>492.64</v>
      </c>
      <c r="Y319" s="6"/>
      <c r="Z319" s="6">
        <f ca="1">('TUSD BE'!$AM$11+'TUSD BF'!$AM$11+'TUSD CVA'!$AM$11)*1</f>
        <v>1532.0020380763981</v>
      </c>
      <c r="AA319" s="6">
        <f>('TE BE'!$AB$5+'TE BF'!$AB$5+'TE CVA'!$AB$5)*1</f>
        <v>485.87597641853409</v>
      </c>
      <c r="AB319" s="6">
        <f>$K$319*$V$319</f>
        <v>0</v>
      </c>
      <c r="AC319" s="6">
        <f>$M$319*$W$319</f>
        <v>945.71607000000006</v>
      </c>
      <c r="AD319" s="6">
        <f>$O$319*$X$319</f>
        <v>351.25232</v>
      </c>
      <c r="AE319" s="6">
        <f>$K$319*$Y$319</f>
        <v>0</v>
      </c>
      <c r="AF319" s="6">
        <f ca="1">$M$319*$Z$319</f>
        <v>1092.3174531484717</v>
      </c>
      <c r="AG319" s="6">
        <f>$O$319*$AA$319</f>
        <v>346.42957118641482</v>
      </c>
    </row>
    <row r="320" spans="1:33" ht="11.25" customHeight="1" x14ac:dyDescent="0.25">
      <c r="A320" s="4" t="s">
        <v>21</v>
      </c>
      <c r="B320" s="4" t="s">
        <v>39</v>
      </c>
      <c r="C320" s="4" t="s">
        <v>40</v>
      </c>
      <c r="D320" s="4" t="s">
        <v>51</v>
      </c>
      <c r="E320" s="4" t="s">
        <v>25</v>
      </c>
      <c r="F320" s="4" t="s">
        <v>25</v>
      </c>
      <c r="G320" s="4" t="s">
        <v>25</v>
      </c>
      <c r="H320" s="4" t="s">
        <v>34</v>
      </c>
      <c r="I320" s="5">
        <v>44470</v>
      </c>
      <c r="J320" s="6">
        <v>0</v>
      </c>
      <c r="K320" s="6">
        <v>0</v>
      </c>
      <c r="L320" s="6">
        <v>0.69499999999999995</v>
      </c>
      <c r="M320" s="6">
        <v>0.69499999999999995</v>
      </c>
      <c r="N320" s="6">
        <v>0.69499999999999995</v>
      </c>
      <c r="O320" s="6">
        <v>0.69499999999999995</v>
      </c>
      <c r="P320" s="6">
        <v>0</v>
      </c>
      <c r="Q320" s="4" t="s">
        <v>26</v>
      </c>
      <c r="R320" s="4">
        <v>0</v>
      </c>
      <c r="S320" s="6">
        <v>0</v>
      </c>
      <c r="T320" s="6">
        <v>7</v>
      </c>
      <c r="U320" s="6">
        <v>48</v>
      </c>
      <c r="V320" s="6">
        <f>IF(ISERROR(VLOOKUP($S$320,'TAR FIN'!$A$1:$O$85,15,0)),0,VLOOKUP($S$320,'TAR FIN'!$A$1:$O$85,15,0))</f>
        <v>0</v>
      </c>
      <c r="W320" s="6">
        <f>IF(ISERROR(VLOOKUP($T$320,'TAR FIN'!$A$1:$O$85,15,0)),0,VLOOKUP($T$320,'TAR FIN'!$A$1:$O$85,15,0))</f>
        <v>1326.39</v>
      </c>
      <c r="X320" s="6">
        <f>IF(ISERROR(VLOOKUP($U$320,'TAR FIN'!$A$1:$O$85,15,0)),0,VLOOKUP($U$320,'TAR FIN'!$A$1:$O$85,15,0))</f>
        <v>492.64</v>
      </c>
      <c r="Y320" s="6"/>
      <c r="Z320" s="6">
        <f ca="1">('TUSD BE'!$AM$11+'TUSD BF'!$AM$11+'TUSD CVA'!$AM$11)*1</f>
        <v>1532.0020380763981</v>
      </c>
      <c r="AA320" s="6">
        <f>('TE BE'!$AB$5+'TE BF'!$AB$5+'TE CVA'!$AB$5)*1</f>
        <v>485.87597641853409</v>
      </c>
      <c r="AB320" s="6">
        <f>$K$320*$V$320</f>
        <v>0</v>
      </c>
      <c r="AC320" s="6">
        <f>$M$320*$W$320</f>
        <v>921.84105</v>
      </c>
      <c r="AD320" s="6">
        <f>$O$320*$X$320</f>
        <v>342.38479999999998</v>
      </c>
      <c r="AE320" s="6">
        <f>$K$320*$Y$320</f>
        <v>0</v>
      </c>
      <c r="AF320" s="6">
        <f ca="1">$M$320*$Z$320</f>
        <v>1064.7414164630966</v>
      </c>
      <c r="AG320" s="6">
        <f>$O$320*$AA$320</f>
        <v>337.68380361088117</v>
      </c>
    </row>
    <row r="321" spans="1:33" ht="11.25" customHeight="1" x14ac:dyDescent="0.25">
      <c r="A321" s="4" t="s">
        <v>21</v>
      </c>
      <c r="B321" s="4" t="s">
        <v>39</v>
      </c>
      <c r="C321" s="4" t="s">
        <v>40</v>
      </c>
      <c r="D321" s="4" t="s">
        <v>51</v>
      </c>
      <c r="E321" s="4" t="s">
        <v>25</v>
      </c>
      <c r="F321" s="4" t="s">
        <v>25</v>
      </c>
      <c r="G321" s="4" t="s">
        <v>25</v>
      </c>
      <c r="H321" s="4" t="s">
        <v>34</v>
      </c>
      <c r="I321" s="5">
        <v>44501</v>
      </c>
      <c r="J321" s="6">
        <v>0</v>
      </c>
      <c r="K321" s="6">
        <v>0</v>
      </c>
      <c r="L321" s="6">
        <v>0.63800000000000001</v>
      </c>
      <c r="M321" s="6">
        <v>0.63800000000000001</v>
      </c>
      <c r="N321" s="6">
        <v>0.63800000000000001</v>
      </c>
      <c r="O321" s="6">
        <v>0.63800000000000001</v>
      </c>
      <c r="P321" s="6">
        <v>0</v>
      </c>
      <c r="Q321" s="4" t="s">
        <v>26</v>
      </c>
      <c r="R321" s="4">
        <v>0</v>
      </c>
      <c r="S321" s="6">
        <v>0</v>
      </c>
      <c r="T321" s="6">
        <v>7</v>
      </c>
      <c r="U321" s="6">
        <v>48</v>
      </c>
      <c r="V321" s="6">
        <f>IF(ISERROR(VLOOKUP($S$321,'TAR FIN'!$A$1:$O$85,15,0)),0,VLOOKUP($S$321,'TAR FIN'!$A$1:$O$85,15,0))</f>
        <v>0</v>
      </c>
      <c r="W321" s="6">
        <f>IF(ISERROR(VLOOKUP($T$321,'TAR FIN'!$A$1:$O$85,15,0)),0,VLOOKUP($T$321,'TAR FIN'!$A$1:$O$85,15,0))</f>
        <v>1326.39</v>
      </c>
      <c r="X321" s="6">
        <f>IF(ISERROR(VLOOKUP($U$321,'TAR FIN'!$A$1:$O$85,15,0)),0,VLOOKUP($U$321,'TAR FIN'!$A$1:$O$85,15,0))</f>
        <v>492.64</v>
      </c>
      <c r="Y321" s="6"/>
      <c r="Z321" s="6">
        <f ca="1">('TUSD BE'!$AM$11+'TUSD BF'!$AM$11+'TUSD CVA'!$AM$11)*1</f>
        <v>1532.0020380763981</v>
      </c>
      <c r="AA321" s="6">
        <f>('TE BE'!$AB$5+'TE BF'!$AB$5+'TE CVA'!$AB$5)*1</f>
        <v>485.87597641853409</v>
      </c>
      <c r="AB321" s="6">
        <f>$K$321*$V$321</f>
        <v>0</v>
      </c>
      <c r="AC321" s="6">
        <f>$M$321*$W$321</f>
        <v>846.23682000000008</v>
      </c>
      <c r="AD321" s="6">
        <f>$O$321*$X$321</f>
        <v>314.30432000000002</v>
      </c>
      <c r="AE321" s="6">
        <f>$K$321*$Y$321</f>
        <v>0</v>
      </c>
      <c r="AF321" s="6">
        <f ca="1">$M$321*$Z$321</f>
        <v>977.41730029274197</v>
      </c>
      <c r="AG321" s="6">
        <f>$O$321*$AA$321</f>
        <v>309.98887295502476</v>
      </c>
    </row>
    <row r="322" spans="1:33" ht="11.25" customHeight="1" x14ac:dyDescent="0.25">
      <c r="A322" s="4" t="s">
        <v>21</v>
      </c>
      <c r="B322" s="4" t="s">
        <v>39</v>
      </c>
      <c r="C322" s="4" t="s">
        <v>40</v>
      </c>
      <c r="D322" s="4" t="s">
        <v>51</v>
      </c>
      <c r="E322" s="4" t="s">
        <v>25</v>
      </c>
      <c r="F322" s="4" t="s">
        <v>25</v>
      </c>
      <c r="G322" s="4" t="s">
        <v>25</v>
      </c>
      <c r="H322" s="4" t="s">
        <v>34</v>
      </c>
      <c r="I322" s="5">
        <v>44531</v>
      </c>
      <c r="J322" s="6">
        <v>0</v>
      </c>
      <c r="K322" s="6">
        <v>0</v>
      </c>
      <c r="L322" s="6">
        <v>0.81799999999999995</v>
      </c>
      <c r="M322" s="6">
        <v>0.81799999999999995</v>
      </c>
      <c r="N322" s="6">
        <v>0.81799999999999995</v>
      </c>
      <c r="O322" s="6">
        <v>0.81799999999999995</v>
      </c>
      <c r="P322" s="6">
        <v>0</v>
      </c>
      <c r="Q322" s="4" t="s">
        <v>26</v>
      </c>
      <c r="R322" s="4">
        <v>0</v>
      </c>
      <c r="S322" s="6">
        <v>0</v>
      </c>
      <c r="T322" s="6">
        <v>7</v>
      </c>
      <c r="U322" s="6">
        <v>48</v>
      </c>
      <c r="V322" s="6">
        <f>IF(ISERROR(VLOOKUP($S$322,'TAR FIN'!$A$1:$O$85,15,0)),0,VLOOKUP($S$322,'TAR FIN'!$A$1:$O$85,15,0))</f>
        <v>0</v>
      </c>
      <c r="W322" s="6">
        <f>IF(ISERROR(VLOOKUP($T$322,'TAR FIN'!$A$1:$O$85,15,0)),0,VLOOKUP($T$322,'TAR FIN'!$A$1:$O$85,15,0))</f>
        <v>1326.39</v>
      </c>
      <c r="X322" s="6">
        <f>IF(ISERROR(VLOOKUP($U$322,'TAR FIN'!$A$1:$O$85,15,0)),0,VLOOKUP($U$322,'TAR FIN'!$A$1:$O$85,15,0))</f>
        <v>492.64</v>
      </c>
      <c r="Y322" s="6"/>
      <c r="Z322" s="6">
        <f ca="1">('TUSD BE'!$AM$11+'TUSD BF'!$AM$11+'TUSD CVA'!$AM$11)*1</f>
        <v>1532.0020380763981</v>
      </c>
      <c r="AA322" s="6">
        <f>('TE BE'!$AB$5+'TE BF'!$AB$5+'TE CVA'!$AB$5)*1</f>
        <v>485.87597641853409</v>
      </c>
      <c r="AB322" s="6">
        <f>$K$322*$V$322</f>
        <v>0</v>
      </c>
      <c r="AC322" s="6">
        <f>$M$322*$W$322</f>
        <v>1084.98702</v>
      </c>
      <c r="AD322" s="6">
        <f>$O$322*$X$322</f>
        <v>402.97951999999998</v>
      </c>
      <c r="AE322" s="6">
        <f>$K$322*$Y$322</f>
        <v>0</v>
      </c>
      <c r="AF322" s="6">
        <f ca="1">$M$322*$Z$322</f>
        <v>1253.1776671464936</v>
      </c>
      <c r="AG322" s="6">
        <f>$O$322*$AA$322</f>
        <v>397.44654871036084</v>
      </c>
    </row>
    <row r="323" spans="1:33" ht="11.25" customHeight="1" x14ac:dyDescent="0.25">
      <c r="A323" s="4" t="s">
        <v>21</v>
      </c>
      <c r="B323" s="4" t="s">
        <v>39</v>
      </c>
      <c r="C323" s="4" t="s">
        <v>40</v>
      </c>
      <c r="D323" s="4" t="s">
        <v>51</v>
      </c>
      <c r="E323" s="4" t="s">
        <v>25</v>
      </c>
      <c r="F323" s="4" t="s">
        <v>25</v>
      </c>
      <c r="G323" s="4" t="s">
        <v>25</v>
      </c>
      <c r="H323" s="4" t="s">
        <v>34</v>
      </c>
      <c r="I323" s="5">
        <v>44562</v>
      </c>
      <c r="J323" s="6">
        <v>0</v>
      </c>
      <c r="K323" s="6">
        <v>0</v>
      </c>
      <c r="L323" s="6">
        <v>0.84299999999999997</v>
      </c>
      <c r="M323" s="6">
        <v>0.84299999999999997</v>
      </c>
      <c r="N323" s="6">
        <v>0.84299999999999997</v>
      </c>
      <c r="O323" s="6">
        <v>0.84299999999999997</v>
      </c>
      <c r="P323" s="6">
        <v>0</v>
      </c>
      <c r="Q323" s="4" t="s">
        <v>26</v>
      </c>
      <c r="R323" s="4">
        <v>0</v>
      </c>
      <c r="S323" s="6">
        <v>0</v>
      </c>
      <c r="T323" s="6">
        <v>7</v>
      </c>
      <c r="U323" s="6">
        <v>48</v>
      </c>
      <c r="V323" s="6">
        <f>IF(ISERROR(VLOOKUP($S$323,'TAR FIN'!$A$1:$O$85,15,0)),0,VLOOKUP($S$323,'TAR FIN'!$A$1:$O$85,15,0))</f>
        <v>0</v>
      </c>
      <c r="W323" s="6">
        <f>IF(ISERROR(VLOOKUP($T$323,'TAR FIN'!$A$1:$O$85,15,0)),0,VLOOKUP($T$323,'TAR FIN'!$A$1:$O$85,15,0))</f>
        <v>1326.39</v>
      </c>
      <c r="X323" s="6">
        <f>IF(ISERROR(VLOOKUP($U$323,'TAR FIN'!$A$1:$O$85,15,0)),0,VLOOKUP($U$323,'TAR FIN'!$A$1:$O$85,15,0))</f>
        <v>492.64</v>
      </c>
      <c r="Y323" s="6"/>
      <c r="Z323" s="6">
        <f ca="1">('TUSD BE'!$AM$11+'TUSD BF'!$AM$11+'TUSD CVA'!$AM$11)*1</f>
        <v>1532.0020380763981</v>
      </c>
      <c r="AA323" s="6">
        <f>('TE BE'!$AB$5+'TE BF'!$AB$5+'TE CVA'!$AB$5)*1</f>
        <v>485.87597641853409</v>
      </c>
      <c r="AB323" s="6">
        <f>$K$323*$V$323</f>
        <v>0</v>
      </c>
      <c r="AC323" s="6">
        <f>$M$323*$W$323</f>
        <v>1118.1467700000001</v>
      </c>
      <c r="AD323" s="6">
        <f>$O$323*$X$323</f>
        <v>415.29551999999995</v>
      </c>
      <c r="AE323" s="6">
        <f>$K$323*$Y$323</f>
        <v>0</v>
      </c>
      <c r="AF323" s="6">
        <f ca="1">$M$323*$Z$323</f>
        <v>1291.4777180984036</v>
      </c>
      <c r="AG323" s="6">
        <f>$O$323*$AA$323</f>
        <v>409.59344812082423</v>
      </c>
    </row>
    <row r="324" spans="1:33" ht="11.25" customHeight="1" x14ac:dyDescent="0.25">
      <c r="A324" s="4" t="s">
        <v>21</v>
      </c>
      <c r="B324" s="4" t="s">
        <v>39</v>
      </c>
      <c r="C324" s="4" t="s">
        <v>40</v>
      </c>
      <c r="D324" s="4" t="s">
        <v>51</v>
      </c>
      <c r="E324" s="4" t="s">
        <v>25</v>
      </c>
      <c r="F324" s="4" t="s">
        <v>25</v>
      </c>
      <c r="G324" s="4" t="s">
        <v>25</v>
      </c>
      <c r="H324" s="4" t="s">
        <v>34</v>
      </c>
      <c r="I324" s="5">
        <v>44593</v>
      </c>
      <c r="J324" s="6">
        <v>0</v>
      </c>
      <c r="K324" s="6">
        <v>0</v>
      </c>
      <c r="L324" s="6">
        <v>0.84499999999999997</v>
      </c>
      <c r="M324" s="6">
        <v>0.84499999999999997</v>
      </c>
      <c r="N324" s="6">
        <v>0.84499999999999997</v>
      </c>
      <c r="O324" s="6">
        <v>0.84499999999999997</v>
      </c>
      <c r="P324" s="6">
        <v>0</v>
      </c>
      <c r="Q324" s="4" t="s">
        <v>26</v>
      </c>
      <c r="R324" s="4">
        <v>0</v>
      </c>
      <c r="S324" s="6">
        <v>0</v>
      </c>
      <c r="T324" s="6">
        <v>7</v>
      </c>
      <c r="U324" s="6">
        <v>48</v>
      </c>
      <c r="V324" s="6">
        <f>IF(ISERROR(VLOOKUP($S$324,'TAR FIN'!$A$1:$O$85,15,0)),0,VLOOKUP($S$324,'TAR FIN'!$A$1:$O$85,15,0))</f>
        <v>0</v>
      </c>
      <c r="W324" s="6">
        <f>IF(ISERROR(VLOOKUP($T$324,'TAR FIN'!$A$1:$O$85,15,0)),0,VLOOKUP($T$324,'TAR FIN'!$A$1:$O$85,15,0))</f>
        <v>1326.39</v>
      </c>
      <c r="X324" s="6">
        <f>IF(ISERROR(VLOOKUP($U$324,'TAR FIN'!$A$1:$O$85,15,0)),0,VLOOKUP($U$324,'TAR FIN'!$A$1:$O$85,15,0))</f>
        <v>492.64</v>
      </c>
      <c r="Y324" s="6"/>
      <c r="Z324" s="6">
        <f ca="1">('TUSD BE'!$AM$11+'TUSD BF'!$AM$11+'TUSD CVA'!$AM$11)*1</f>
        <v>1532.0020380763981</v>
      </c>
      <c r="AA324" s="6">
        <f>('TE BE'!$AB$5+'TE BF'!$AB$5+'TE CVA'!$AB$5)*1</f>
        <v>485.87597641853409</v>
      </c>
      <c r="AB324" s="6">
        <f>$K$324*$V$324</f>
        <v>0</v>
      </c>
      <c r="AC324" s="6">
        <f>$M$324*$W$324</f>
        <v>1120.79955</v>
      </c>
      <c r="AD324" s="6">
        <f>$O$324*$X$324</f>
        <v>416.2808</v>
      </c>
      <c r="AE324" s="6">
        <f>$K$324*$Y$324</f>
        <v>0</v>
      </c>
      <c r="AF324" s="6">
        <f ca="1">$M$324*$Z$324</f>
        <v>1294.5417221745563</v>
      </c>
      <c r="AG324" s="6">
        <f>$O$324*$AA$324</f>
        <v>410.56520007366129</v>
      </c>
    </row>
    <row r="325" spans="1:33" ht="11.25" customHeight="1" x14ac:dyDescent="0.25">
      <c r="A325" s="4" t="s">
        <v>21</v>
      </c>
      <c r="B325" s="4" t="s">
        <v>39</v>
      </c>
      <c r="C325" s="4" t="s">
        <v>40</v>
      </c>
      <c r="D325" s="4" t="s">
        <v>51</v>
      </c>
      <c r="E325" s="4" t="s">
        <v>25</v>
      </c>
      <c r="F325" s="4" t="s">
        <v>25</v>
      </c>
      <c r="G325" s="4" t="s">
        <v>25</v>
      </c>
      <c r="H325" s="4" t="s">
        <v>34</v>
      </c>
      <c r="I325" s="5">
        <v>44621</v>
      </c>
      <c r="J325" s="6">
        <v>0</v>
      </c>
      <c r="K325" s="6">
        <v>0</v>
      </c>
      <c r="L325" s="6">
        <v>0.94599999999999995</v>
      </c>
      <c r="M325" s="6">
        <v>0.94599999999999995</v>
      </c>
      <c r="N325" s="6">
        <v>0.94599999999999995</v>
      </c>
      <c r="O325" s="6">
        <v>0.94599999999999995</v>
      </c>
      <c r="P325" s="6">
        <v>0</v>
      </c>
      <c r="Q325" s="4" t="s">
        <v>26</v>
      </c>
      <c r="R325" s="4">
        <v>0</v>
      </c>
      <c r="S325" s="6">
        <v>0</v>
      </c>
      <c r="T325" s="6">
        <v>7</v>
      </c>
      <c r="U325" s="6">
        <v>48</v>
      </c>
      <c r="V325" s="6">
        <f>IF(ISERROR(VLOOKUP($S$325,'TAR FIN'!$A$1:$O$85,15,0)),0,VLOOKUP($S$325,'TAR FIN'!$A$1:$O$85,15,0))</f>
        <v>0</v>
      </c>
      <c r="W325" s="6">
        <f>IF(ISERROR(VLOOKUP($T$325,'TAR FIN'!$A$1:$O$85,15,0)),0,VLOOKUP($T$325,'TAR FIN'!$A$1:$O$85,15,0))</f>
        <v>1326.39</v>
      </c>
      <c r="X325" s="6">
        <f>IF(ISERROR(VLOOKUP($U$325,'TAR FIN'!$A$1:$O$85,15,0)),0,VLOOKUP($U$325,'TAR FIN'!$A$1:$O$85,15,0))</f>
        <v>492.64</v>
      </c>
      <c r="Y325" s="6"/>
      <c r="Z325" s="6">
        <f ca="1">('TUSD BE'!$AM$11+'TUSD BF'!$AM$11+'TUSD CVA'!$AM$11)*1</f>
        <v>1532.0020380763981</v>
      </c>
      <c r="AA325" s="6">
        <f>('TE BE'!$AB$5+'TE BF'!$AB$5+'TE CVA'!$AB$5)*1</f>
        <v>485.87597641853409</v>
      </c>
      <c r="AB325" s="6">
        <f>$K$325*$V$325</f>
        <v>0</v>
      </c>
      <c r="AC325" s="6">
        <f>$M$325*$W$325</f>
        <v>1254.76494</v>
      </c>
      <c r="AD325" s="6">
        <f>$O$325*$X$325</f>
        <v>466.03743999999995</v>
      </c>
      <c r="AE325" s="6">
        <f>$K$325*$Y$325</f>
        <v>0</v>
      </c>
      <c r="AF325" s="6">
        <f ca="1">$M$325*$Z$325</f>
        <v>1449.2739280202725</v>
      </c>
      <c r="AG325" s="6">
        <f>$O$325*$AA$325</f>
        <v>459.63867369193321</v>
      </c>
    </row>
    <row r="326" spans="1:33" ht="11.25" customHeight="1" x14ac:dyDescent="0.25">
      <c r="A326" s="4" t="s">
        <v>21</v>
      </c>
      <c r="B326" s="4" t="s">
        <v>39</v>
      </c>
      <c r="C326" s="4" t="s">
        <v>40</v>
      </c>
      <c r="D326" s="4" t="s">
        <v>51</v>
      </c>
      <c r="E326" s="4" t="s">
        <v>25</v>
      </c>
      <c r="F326" s="4" t="s">
        <v>25</v>
      </c>
      <c r="G326" s="4" t="s">
        <v>25</v>
      </c>
      <c r="H326" s="4" t="s">
        <v>34</v>
      </c>
      <c r="I326" s="5">
        <v>44652</v>
      </c>
      <c r="J326" s="6">
        <v>0</v>
      </c>
      <c r="K326" s="6">
        <v>0</v>
      </c>
      <c r="L326" s="6">
        <v>0.86799999999999999</v>
      </c>
      <c r="M326" s="6">
        <v>0.86799999999999999</v>
      </c>
      <c r="N326" s="6">
        <v>0.86799999999999999</v>
      </c>
      <c r="O326" s="6">
        <v>0.86799999999999999</v>
      </c>
      <c r="P326" s="6">
        <v>0</v>
      </c>
      <c r="Q326" s="4" t="s">
        <v>26</v>
      </c>
      <c r="R326" s="4">
        <v>0</v>
      </c>
      <c r="S326" s="6">
        <v>0</v>
      </c>
      <c r="T326" s="6">
        <v>7</v>
      </c>
      <c r="U326" s="6">
        <v>48</v>
      </c>
      <c r="V326" s="6">
        <f>IF(ISERROR(VLOOKUP($S$326,'TAR FIN'!$A$1:$O$85,15,0)),0,VLOOKUP($S$326,'TAR FIN'!$A$1:$O$85,15,0))</f>
        <v>0</v>
      </c>
      <c r="W326" s="6">
        <f>IF(ISERROR(VLOOKUP($T$326,'TAR FIN'!$A$1:$O$85,15,0)),0,VLOOKUP($T$326,'TAR FIN'!$A$1:$O$85,15,0))</f>
        <v>1326.39</v>
      </c>
      <c r="X326" s="6">
        <f>IF(ISERROR(VLOOKUP($U$326,'TAR FIN'!$A$1:$O$85,15,0)),0,VLOOKUP($U$326,'TAR FIN'!$A$1:$O$85,15,0))</f>
        <v>492.64</v>
      </c>
      <c r="Y326" s="6"/>
      <c r="Z326" s="6">
        <f ca="1">('TUSD BE'!$AM$11+'TUSD BF'!$AM$11+'TUSD CVA'!$AM$11)*1</f>
        <v>1532.0020380763981</v>
      </c>
      <c r="AA326" s="6">
        <f>('TE BE'!$AB$5+'TE BF'!$AB$5+'TE CVA'!$AB$5)*1</f>
        <v>485.87597641853409</v>
      </c>
      <c r="AB326" s="6">
        <f>$K$326*$V$326</f>
        <v>0</v>
      </c>
      <c r="AC326" s="6">
        <f>$M$326*$W$326</f>
        <v>1151.3065200000001</v>
      </c>
      <c r="AD326" s="6">
        <f>$O$326*$X$326</f>
        <v>427.61151999999998</v>
      </c>
      <c r="AE326" s="6">
        <f>$K$326*$Y$326</f>
        <v>0</v>
      </c>
      <c r="AF326" s="6">
        <f ca="1">$M$326*$Z$326</f>
        <v>1329.7777690503135</v>
      </c>
      <c r="AG326" s="6">
        <f>$O$326*$AA$326</f>
        <v>421.74034753128757</v>
      </c>
    </row>
    <row r="327" spans="1:33" ht="11.25" customHeight="1" x14ac:dyDescent="0.25">
      <c r="A327" s="4" t="s">
        <v>21</v>
      </c>
      <c r="B327" s="4" t="s">
        <v>39</v>
      </c>
      <c r="C327" s="4" t="s">
        <v>40</v>
      </c>
      <c r="D327" s="4" t="s">
        <v>51</v>
      </c>
      <c r="E327" s="4" t="s">
        <v>25</v>
      </c>
      <c r="F327" s="4" t="s">
        <v>25</v>
      </c>
      <c r="G327" s="4" t="s">
        <v>25</v>
      </c>
      <c r="H327" s="4" t="s">
        <v>34</v>
      </c>
      <c r="I327" s="5">
        <v>44682</v>
      </c>
      <c r="J327" s="6">
        <v>0</v>
      </c>
      <c r="K327" s="6">
        <v>0</v>
      </c>
      <c r="L327" s="6">
        <v>0.752</v>
      </c>
      <c r="M327" s="6">
        <v>0.752</v>
      </c>
      <c r="N327" s="6">
        <v>0.752</v>
      </c>
      <c r="O327" s="6">
        <v>0.752</v>
      </c>
      <c r="P327" s="6">
        <v>0</v>
      </c>
      <c r="Q327" s="4" t="s">
        <v>26</v>
      </c>
      <c r="R327" s="4">
        <v>0</v>
      </c>
      <c r="S327" s="6">
        <v>0</v>
      </c>
      <c r="T327" s="6">
        <v>7</v>
      </c>
      <c r="U327" s="6">
        <v>48</v>
      </c>
      <c r="V327" s="6">
        <f>IF(ISERROR(VLOOKUP($S$327,'TAR FIN'!$A$1:$O$85,15,0)),0,VLOOKUP($S$327,'TAR FIN'!$A$1:$O$85,15,0))</f>
        <v>0</v>
      </c>
      <c r="W327" s="6">
        <f>IF(ISERROR(VLOOKUP($T$327,'TAR FIN'!$A$1:$O$85,15,0)),0,VLOOKUP($T$327,'TAR FIN'!$A$1:$O$85,15,0))</f>
        <v>1326.39</v>
      </c>
      <c r="X327" s="6">
        <f>IF(ISERROR(VLOOKUP($U$327,'TAR FIN'!$A$1:$O$85,15,0)),0,VLOOKUP($U$327,'TAR FIN'!$A$1:$O$85,15,0))</f>
        <v>492.64</v>
      </c>
      <c r="Y327" s="6"/>
      <c r="Z327" s="6">
        <f ca="1">('TUSD BE'!$AM$11+'TUSD BF'!$AM$11+'TUSD CVA'!$AM$11)*1</f>
        <v>1532.0020380763981</v>
      </c>
      <c r="AA327" s="6">
        <f>('TE BE'!$AB$5+'TE BF'!$AB$5+'TE CVA'!$AB$5)*1</f>
        <v>485.87597641853409</v>
      </c>
      <c r="AB327" s="6">
        <f>$K$327*$V$327</f>
        <v>0</v>
      </c>
      <c r="AC327" s="6">
        <f>$M$327*$W$327</f>
        <v>997.44528000000003</v>
      </c>
      <c r="AD327" s="6">
        <f>$O$327*$X$327</f>
        <v>370.46528000000001</v>
      </c>
      <c r="AE327" s="6">
        <f>$K$327*$Y$327</f>
        <v>0</v>
      </c>
      <c r="AF327" s="6">
        <f ca="1">$M$327*$Z$327</f>
        <v>1152.0655326334513</v>
      </c>
      <c r="AG327" s="6">
        <f>$O$327*$AA$327</f>
        <v>365.37873426673764</v>
      </c>
    </row>
    <row r="328" spans="1:33" ht="11.25" customHeight="1" x14ac:dyDescent="0.25">
      <c r="A328" s="4" t="s">
        <v>21</v>
      </c>
      <c r="B328" s="4" t="s">
        <v>39</v>
      </c>
      <c r="C328" s="4" t="s">
        <v>40</v>
      </c>
      <c r="D328" s="4" t="s">
        <v>51</v>
      </c>
      <c r="E328" s="4" t="s">
        <v>25</v>
      </c>
      <c r="F328" s="4" t="s">
        <v>25</v>
      </c>
      <c r="G328" s="4" t="s">
        <v>25</v>
      </c>
      <c r="H328" s="4" t="s">
        <v>34</v>
      </c>
      <c r="I328" s="5">
        <v>44713</v>
      </c>
      <c r="J328" s="6">
        <v>0</v>
      </c>
      <c r="K328" s="6">
        <v>0</v>
      </c>
      <c r="L328" s="6">
        <v>0.69799999999999995</v>
      </c>
      <c r="M328" s="6">
        <v>0.69799999999999995</v>
      </c>
      <c r="N328" s="6">
        <v>0.69799999999999995</v>
      </c>
      <c r="O328" s="6">
        <v>0.69799999999999995</v>
      </c>
      <c r="P328" s="6">
        <v>0</v>
      </c>
      <c r="Q328" s="4" t="s">
        <v>26</v>
      </c>
      <c r="R328" s="4">
        <v>0</v>
      </c>
      <c r="S328" s="6">
        <v>0</v>
      </c>
      <c r="T328" s="6">
        <v>7</v>
      </c>
      <c r="U328" s="6">
        <v>48</v>
      </c>
      <c r="V328" s="6">
        <f>IF(ISERROR(VLOOKUP($S$328,'TAR FIN'!$A$1:$O$85,15,0)),0,VLOOKUP($S$328,'TAR FIN'!$A$1:$O$85,15,0))</f>
        <v>0</v>
      </c>
      <c r="W328" s="6">
        <f>IF(ISERROR(VLOOKUP($T$328,'TAR FIN'!$A$1:$O$85,15,0)),0,VLOOKUP($T$328,'TAR FIN'!$A$1:$O$85,15,0))</f>
        <v>1326.39</v>
      </c>
      <c r="X328" s="6">
        <f>IF(ISERROR(VLOOKUP($U$328,'TAR FIN'!$A$1:$O$85,15,0)),0,VLOOKUP($U$328,'TAR FIN'!$A$1:$O$85,15,0))</f>
        <v>492.64</v>
      </c>
      <c r="Y328" s="6"/>
      <c r="Z328" s="6">
        <f ca="1">('TUSD BE'!$AM$11+'TUSD BF'!$AM$11+'TUSD CVA'!$AM$11)*1</f>
        <v>1532.0020380763981</v>
      </c>
      <c r="AA328" s="6">
        <f>('TE BE'!$AB$5+'TE BF'!$AB$5+'TE CVA'!$AB$5)*1</f>
        <v>485.87597641853409</v>
      </c>
      <c r="AB328" s="6">
        <f>$K$328*$V$328</f>
        <v>0</v>
      </c>
      <c r="AC328" s="6">
        <f>$M$328*$W$328</f>
        <v>925.82022000000006</v>
      </c>
      <c r="AD328" s="6">
        <f>$O$328*$X$328</f>
        <v>343.86271999999997</v>
      </c>
      <c r="AE328" s="6">
        <f>$K$328*$Y$328</f>
        <v>0</v>
      </c>
      <c r="AF328" s="6">
        <f ca="1">$M$328*$Z$328</f>
        <v>1069.3374225773257</v>
      </c>
      <c r="AG328" s="6">
        <f>$O$328*$AA$328</f>
        <v>339.14143154013675</v>
      </c>
    </row>
    <row r="329" spans="1:33" ht="11.25" customHeight="1" x14ac:dyDescent="0.25">
      <c r="A329" s="4" t="s">
        <v>21</v>
      </c>
      <c r="B329" s="4" t="s">
        <v>39</v>
      </c>
      <c r="C329" s="4" t="s">
        <v>40</v>
      </c>
      <c r="D329" s="4" t="s">
        <v>51</v>
      </c>
      <c r="E329" s="4" t="s">
        <v>25</v>
      </c>
      <c r="F329" s="4" t="s">
        <v>25</v>
      </c>
      <c r="G329" s="4" t="s">
        <v>25</v>
      </c>
      <c r="H329" s="4" t="s">
        <v>34</v>
      </c>
      <c r="I329" s="5">
        <v>44743</v>
      </c>
      <c r="J329" s="6">
        <v>0</v>
      </c>
      <c r="K329" s="6">
        <v>0</v>
      </c>
      <c r="L329" s="6">
        <v>0.68600000000000005</v>
      </c>
      <c r="M329" s="6">
        <v>0.68600000000000005</v>
      </c>
      <c r="N329" s="6">
        <v>0.68600000000000005</v>
      </c>
      <c r="O329" s="6">
        <v>0.68600000000000005</v>
      </c>
      <c r="P329" s="6">
        <v>0</v>
      </c>
      <c r="Q329" s="4" t="s">
        <v>26</v>
      </c>
      <c r="R329" s="4">
        <v>0</v>
      </c>
      <c r="S329" s="6">
        <v>0</v>
      </c>
      <c r="T329" s="6">
        <v>7</v>
      </c>
      <c r="U329" s="6">
        <v>48</v>
      </c>
      <c r="V329" s="6">
        <f>IF(ISERROR(VLOOKUP($S$329,'TAR FIN'!$A$1:$O$85,15,0)),0,VLOOKUP($S$329,'TAR FIN'!$A$1:$O$85,15,0))</f>
        <v>0</v>
      </c>
      <c r="W329" s="6">
        <f>IF(ISERROR(VLOOKUP($T$329,'TAR FIN'!$A$1:$O$85,15,0)),0,VLOOKUP($T$329,'TAR FIN'!$A$1:$O$85,15,0))</f>
        <v>1326.39</v>
      </c>
      <c r="X329" s="6">
        <f>IF(ISERROR(VLOOKUP($U$329,'TAR FIN'!$A$1:$O$85,15,0)),0,VLOOKUP($U$329,'TAR FIN'!$A$1:$O$85,15,0))</f>
        <v>492.64</v>
      </c>
      <c r="Y329" s="6"/>
      <c r="Z329" s="6">
        <f ca="1">('TUSD BE'!$AM$11+'TUSD BF'!$AM$11+'TUSD CVA'!$AM$11)*1</f>
        <v>1532.0020380763981</v>
      </c>
      <c r="AA329" s="6">
        <f>('TE BE'!$AB$5+'TE BF'!$AB$5+'TE CVA'!$AB$5)*1</f>
        <v>485.87597641853409</v>
      </c>
      <c r="AB329" s="6">
        <f>$K$329*$V$329</f>
        <v>0</v>
      </c>
      <c r="AC329" s="6">
        <f>$M$329*$W$329</f>
        <v>909.90354000000013</v>
      </c>
      <c r="AD329" s="6">
        <f>$O$329*$X$329</f>
        <v>337.95104000000003</v>
      </c>
      <c r="AE329" s="6">
        <f>$K$329*$Y$329</f>
        <v>0</v>
      </c>
      <c r="AF329" s="6">
        <f ca="1">$M$329*$Z$329</f>
        <v>1050.9533981204092</v>
      </c>
      <c r="AG329" s="6">
        <f>$O$329*$AA$329</f>
        <v>333.31091982311443</v>
      </c>
    </row>
    <row r="330" spans="1:33" ht="11.25" customHeight="1" x14ac:dyDescent="0.25">
      <c r="A330" s="4" t="s">
        <v>56</v>
      </c>
      <c r="B330" s="4" t="s">
        <v>39</v>
      </c>
      <c r="C330" s="4" t="s">
        <v>40</v>
      </c>
      <c r="D330" s="4" t="s">
        <v>51</v>
      </c>
      <c r="E330" s="4" t="s">
        <v>25</v>
      </c>
      <c r="F330" s="4" t="s">
        <v>25</v>
      </c>
      <c r="G330" s="4" t="s">
        <v>25</v>
      </c>
      <c r="H330" s="4" t="s">
        <v>34</v>
      </c>
      <c r="I330" s="5">
        <v>44774</v>
      </c>
      <c r="J330" s="6">
        <v>0</v>
      </c>
      <c r="K330" s="6">
        <v>0</v>
      </c>
      <c r="L330" s="6">
        <v>0.68600000000000005</v>
      </c>
      <c r="M330" s="6">
        <v>0.68600000000000005</v>
      </c>
      <c r="N330" s="6">
        <v>0.68600000000000005</v>
      </c>
      <c r="O330" s="6">
        <v>0.68600000000000005</v>
      </c>
      <c r="P330" s="6">
        <v>0</v>
      </c>
      <c r="Q330" s="4" t="s">
        <v>26</v>
      </c>
      <c r="R330" s="4">
        <v>0</v>
      </c>
      <c r="S330" s="6">
        <v>0</v>
      </c>
      <c r="T330" s="6">
        <v>7</v>
      </c>
      <c r="U330" s="6">
        <v>48</v>
      </c>
      <c r="V330" s="6">
        <f>IF(ISERROR(VLOOKUP($S$330,'TAR FIN'!$A$1:$O$85,15,0)),0,VLOOKUP($S$330,'TAR FIN'!$A$1:$O$85,15,0))</f>
        <v>0</v>
      </c>
      <c r="W330" s="6">
        <f>IF(ISERROR(VLOOKUP($T$330,'TAR FIN'!$A$1:$O$85,15,0)),0,VLOOKUP($T$330,'TAR FIN'!$A$1:$O$85,15,0))</f>
        <v>1326.39</v>
      </c>
      <c r="X330" s="6">
        <f>IF(ISERROR(VLOOKUP($U$330,'TAR FIN'!$A$1:$O$85,15,0)),0,VLOOKUP($U$330,'TAR FIN'!$A$1:$O$85,15,0))</f>
        <v>492.64</v>
      </c>
      <c r="Y330" s="6"/>
      <c r="Z330" s="6">
        <f ca="1">('TUSD BE'!$AM$11+'TUSD BF'!$AM$11+'TUSD CVA'!$AM$11)*1</f>
        <v>1532.0020380763981</v>
      </c>
      <c r="AA330" s="6">
        <f>('TE BE'!$AB$5+'TE BF'!$AB$5+'TE CVA'!$AB$5)*1</f>
        <v>485.87597641853409</v>
      </c>
      <c r="AB330" s="6">
        <f>$K$330*$V$330</f>
        <v>0</v>
      </c>
      <c r="AC330" s="6">
        <f>$M$330*$W$330</f>
        <v>909.90354000000013</v>
      </c>
      <c r="AD330" s="6">
        <f>$O$330*$X$330</f>
        <v>337.95104000000003</v>
      </c>
      <c r="AE330" s="6">
        <f>$K$330*$Y$330</f>
        <v>0</v>
      </c>
      <c r="AF330" s="6">
        <f ca="1">$M$330*$Z$330</f>
        <v>1050.9533981204092</v>
      </c>
      <c r="AG330" s="6">
        <f>$O$330*$AA$330</f>
        <v>333.31091982311443</v>
      </c>
    </row>
    <row r="331" spans="1:33" ht="11.25" customHeight="1" x14ac:dyDescent="0.25">
      <c r="A331" s="4" t="s">
        <v>21</v>
      </c>
      <c r="B331" s="4" t="s">
        <v>39</v>
      </c>
      <c r="C331" s="4" t="s">
        <v>40</v>
      </c>
      <c r="D331" s="4" t="s">
        <v>38</v>
      </c>
      <c r="E331" s="4" t="s">
        <v>25</v>
      </c>
      <c r="F331" s="4" t="s">
        <v>57</v>
      </c>
      <c r="G331" s="4" t="s">
        <v>25</v>
      </c>
      <c r="H331" s="4" t="s">
        <v>35</v>
      </c>
      <c r="I331" s="5">
        <v>44440</v>
      </c>
      <c r="J331" s="6">
        <v>0</v>
      </c>
      <c r="K331" s="6">
        <v>0</v>
      </c>
      <c r="L331" s="6">
        <v>4917.8190000000004</v>
      </c>
      <c r="M331" s="6">
        <v>4917.8190000000004</v>
      </c>
      <c r="N331" s="6">
        <v>0</v>
      </c>
      <c r="O331" s="6">
        <v>0</v>
      </c>
      <c r="P331" s="6">
        <v>0</v>
      </c>
      <c r="Q331" s="4" t="s">
        <v>58</v>
      </c>
      <c r="R331" s="4">
        <v>0</v>
      </c>
      <c r="S331" s="6">
        <v>0</v>
      </c>
      <c r="T331" s="6">
        <v>8</v>
      </c>
      <c r="U331" s="6">
        <v>0</v>
      </c>
      <c r="V331" s="6">
        <f>IF(ISERROR(VLOOKUP($S$331,'TAR FIN'!$A$1:$O$85,15,0)),0,VLOOKUP($S$331,'TAR FIN'!$A$1:$O$85,15,0))</f>
        <v>0</v>
      </c>
      <c r="W331" s="6">
        <f>IF(ISERROR(VLOOKUP($T$331,'TAR FIN'!$A$1:$O$85,15,0)),0,VLOOKUP($T$331,'TAR FIN'!$A$1:$O$85,15,0))</f>
        <v>76.75</v>
      </c>
      <c r="X331" s="6">
        <f>IF(ISERROR(VLOOKUP($U$331,'TAR FIN'!$A$1:$O$85,15,0)),0,VLOOKUP($U$331,'TAR FIN'!$A$1:$O$85,15,0))</f>
        <v>0</v>
      </c>
      <c r="Y331" s="6"/>
      <c r="Z331" s="6">
        <f ca="1">('TUSD BE'!$AM$12+'TUSD BF'!$AM$12+'TUSD CVA'!$AM$12)*1</f>
        <v>147.99431148733765</v>
      </c>
      <c r="AA331" s="6"/>
      <c r="AB331" s="6">
        <f>$K$331*$V$331</f>
        <v>0</v>
      </c>
      <c r="AC331" s="6">
        <f>$M$331*$W$331</f>
        <v>377442.60825000005</v>
      </c>
      <c r="AD331" s="6">
        <f>$O$331*$X$331</f>
        <v>0</v>
      </c>
      <c r="AE331" s="6">
        <f>$K$331*$Y$331</f>
        <v>0</v>
      </c>
      <c r="AF331" s="6">
        <f ca="1">$M$331*$Z$331</f>
        <v>727809.23692434747</v>
      </c>
      <c r="AG331" s="6">
        <f>$O$331*$AA$331</f>
        <v>0</v>
      </c>
    </row>
    <row r="332" spans="1:33" ht="11.25" customHeight="1" x14ac:dyDescent="0.25">
      <c r="A332" s="4" t="s">
        <v>21</v>
      </c>
      <c r="B332" s="4" t="s">
        <v>39</v>
      </c>
      <c r="C332" s="4" t="s">
        <v>40</v>
      </c>
      <c r="D332" s="4" t="s">
        <v>38</v>
      </c>
      <c r="E332" s="4" t="s">
        <v>25</v>
      </c>
      <c r="F332" s="4" t="s">
        <v>57</v>
      </c>
      <c r="G332" s="4" t="s">
        <v>25</v>
      </c>
      <c r="H332" s="4" t="s">
        <v>35</v>
      </c>
      <c r="I332" s="5">
        <v>44470</v>
      </c>
      <c r="J332" s="6">
        <v>0</v>
      </c>
      <c r="K332" s="6">
        <v>0</v>
      </c>
      <c r="L332" s="6">
        <v>4294.4759999999997</v>
      </c>
      <c r="M332" s="6">
        <v>4294.4759999999997</v>
      </c>
      <c r="N332" s="6">
        <v>0</v>
      </c>
      <c r="O332" s="6">
        <v>0</v>
      </c>
      <c r="P332" s="6">
        <v>0</v>
      </c>
      <c r="Q332" s="4" t="s">
        <v>58</v>
      </c>
      <c r="R332" s="4">
        <v>0</v>
      </c>
      <c r="S332" s="6">
        <v>0</v>
      </c>
      <c r="T332" s="6">
        <v>8</v>
      </c>
      <c r="U332" s="6">
        <v>0</v>
      </c>
      <c r="V332" s="6">
        <f>IF(ISERROR(VLOOKUP($S$332,'TAR FIN'!$A$1:$O$85,15,0)),0,VLOOKUP($S$332,'TAR FIN'!$A$1:$O$85,15,0))</f>
        <v>0</v>
      </c>
      <c r="W332" s="6">
        <f>IF(ISERROR(VLOOKUP($T$332,'TAR FIN'!$A$1:$O$85,15,0)),0,VLOOKUP($T$332,'TAR FIN'!$A$1:$O$85,15,0))</f>
        <v>76.75</v>
      </c>
      <c r="X332" s="6">
        <f>IF(ISERROR(VLOOKUP($U$332,'TAR FIN'!$A$1:$O$85,15,0)),0,VLOOKUP($U$332,'TAR FIN'!$A$1:$O$85,15,0))</f>
        <v>0</v>
      </c>
      <c r="Y332" s="6"/>
      <c r="Z332" s="6">
        <f ca="1">('TUSD BE'!$AM$12+'TUSD BF'!$AM$12+'TUSD CVA'!$AM$12)*1</f>
        <v>147.99431148733765</v>
      </c>
      <c r="AA332" s="6"/>
      <c r="AB332" s="6">
        <f>$K$332*$V$332</f>
        <v>0</v>
      </c>
      <c r="AC332" s="6">
        <f>$M$332*$W$332</f>
        <v>329601.033</v>
      </c>
      <c r="AD332" s="6">
        <f>$O$332*$X$332</f>
        <v>0</v>
      </c>
      <c r="AE332" s="6">
        <f>$K$332*$Y$332</f>
        <v>0</v>
      </c>
      <c r="AF332" s="6">
        <f ca="1">$M$332*$Z$332</f>
        <v>635558.0188188958</v>
      </c>
      <c r="AG332" s="6">
        <f>$O$332*$AA$332</f>
        <v>0</v>
      </c>
    </row>
    <row r="333" spans="1:33" ht="11.25" customHeight="1" x14ac:dyDescent="0.25">
      <c r="A333" s="4" t="s">
        <v>21</v>
      </c>
      <c r="B333" s="4" t="s">
        <v>39</v>
      </c>
      <c r="C333" s="4" t="s">
        <v>40</v>
      </c>
      <c r="D333" s="4" t="s">
        <v>38</v>
      </c>
      <c r="E333" s="4" t="s">
        <v>25</v>
      </c>
      <c r="F333" s="4" t="s">
        <v>57</v>
      </c>
      <c r="G333" s="4" t="s">
        <v>25</v>
      </c>
      <c r="H333" s="4" t="s">
        <v>35</v>
      </c>
      <c r="I333" s="5">
        <v>44501</v>
      </c>
      <c r="J333" s="6">
        <v>0</v>
      </c>
      <c r="K333" s="6">
        <v>0</v>
      </c>
      <c r="L333" s="6">
        <v>5014.2629999999999</v>
      </c>
      <c r="M333" s="6">
        <v>5014.2629999999999</v>
      </c>
      <c r="N333" s="6">
        <v>0</v>
      </c>
      <c r="O333" s="6">
        <v>0</v>
      </c>
      <c r="P333" s="6">
        <v>0</v>
      </c>
      <c r="Q333" s="4" t="s">
        <v>58</v>
      </c>
      <c r="R333" s="4">
        <v>0</v>
      </c>
      <c r="S333" s="6">
        <v>0</v>
      </c>
      <c r="T333" s="6">
        <v>8</v>
      </c>
      <c r="U333" s="6">
        <v>0</v>
      </c>
      <c r="V333" s="6">
        <f>IF(ISERROR(VLOOKUP($S$333,'TAR FIN'!$A$1:$O$85,15,0)),0,VLOOKUP($S$333,'TAR FIN'!$A$1:$O$85,15,0))</f>
        <v>0</v>
      </c>
      <c r="W333" s="6">
        <f>IF(ISERROR(VLOOKUP($T$333,'TAR FIN'!$A$1:$O$85,15,0)),0,VLOOKUP($T$333,'TAR FIN'!$A$1:$O$85,15,0))</f>
        <v>76.75</v>
      </c>
      <c r="X333" s="6">
        <f>IF(ISERROR(VLOOKUP($U$333,'TAR FIN'!$A$1:$O$85,15,0)),0,VLOOKUP($U$333,'TAR FIN'!$A$1:$O$85,15,0))</f>
        <v>0</v>
      </c>
      <c r="Y333" s="6"/>
      <c r="Z333" s="6">
        <f ca="1">('TUSD BE'!$AM$12+'TUSD BF'!$AM$12+'TUSD CVA'!$AM$12)*1</f>
        <v>147.99431148733765</v>
      </c>
      <c r="AA333" s="6"/>
      <c r="AB333" s="6">
        <f>$K$333*$V$333</f>
        <v>0</v>
      </c>
      <c r="AC333" s="6">
        <f>$M$333*$W$333</f>
        <v>384844.68524999998</v>
      </c>
      <c r="AD333" s="6">
        <f>$O$333*$X$333</f>
        <v>0</v>
      </c>
      <c r="AE333" s="6">
        <f>$K$333*$Y$333</f>
        <v>0</v>
      </c>
      <c r="AF333" s="6">
        <f ca="1">$M$333*$Z$333</f>
        <v>742082.40030143212</v>
      </c>
      <c r="AG333" s="6">
        <f>$O$333*$AA$333</f>
        <v>0</v>
      </c>
    </row>
    <row r="334" spans="1:33" ht="11.25" customHeight="1" x14ac:dyDescent="0.25">
      <c r="A334" s="4" t="s">
        <v>21</v>
      </c>
      <c r="B334" s="4" t="s">
        <v>39</v>
      </c>
      <c r="C334" s="4" t="s">
        <v>40</v>
      </c>
      <c r="D334" s="4" t="s">
        <v>38</v>
      </c>
      <c r="E334" s="4" t="s">
        <v>25</v>
      </c>
      <c r="F334" s="4" t="s">
        <v>57</v>
      </c>
      <c r="G334" s="4" t="s">
        <v>25</v>
      </c>
      <c r="H334" s="4" t="s">
        <v>35</v>
      </c>
      <c r="I334" s="5">
        <v>44531</v>
      </c>
      <c r="J334" s="6">
        <v>0</v>
      </c>
      <c r="K334" s="6">
        <v>0</v>
      </c>
      <c r="L334" s="6">
        <v>4730.07</v>
      </c>
      <c r="M334" s="6">
        <v>4730.07</v>
      </c>
      <c r="N334" s="6">
        <v>0</v>
      </c>
      <c r="O334" s="6">
        <v>0</v>
      </c>
      <c r="P334" s="6">
        <v>0</v>
      </c>
      <c r="Q334" s="4" t="s">
        <v>58</v>
      </c>
      <c r="R334" s="4">
        <v>0</v>
      </c>
      <c r="S334" s="6">
        <v>0</v>
      </c>
      <c r="T334" s="6">
        <v>8</v>
      </c>
      <c r="U334" s="6">
        <v>0</v>
      </c>
      <c r="V334" s="6">
        <f>IF(ISERROR(VLOOKUP($S$334,'TAR FIN'!$A$1:$O$85,15,0)),0,VLOOKUP($S$334,'TAR FIN'!$A$1:$O$85,15,0))</f>
        <v>0</v>
      </c>
      <c r="W334" s="6">
        <f>IF(ISERROR(VLOOKUP($T$334,'TAR FIN'!$A$1:$O$85,15,0)),0,VLOOKUP($T$334,'TAR FIN'!$A$1:$O$85,15,0))</f>
        <v>76.75</v>
      </c>
      <c r="X334" s="6">
        <f>IF(ISERROR(VLOOKUP($U$334,'TAR FIN'!$A$1:$O$85,15,0)),0,VLOOKUP($U$334,'TAR FIN'!$A$1:$O$85,15,0))</f>
        <v>0</v>
      </c>
      <c r="Y334" s="6"/>
      <c r="Z334" s="6">
        <f ca="1">('TUSD BE'!$AM$12+'TUSD BF'!$AM$12+'TUSD CVA'!$AM$12)*1</f>
        <v>147.99431148733765</v>
      </c>
      <c r="AA334" s="6"/>
      <c r="AB334" s="6">
        <f>$K$334*$V$334</f>
        <v>0</v>
      </c>
      <c r="AC334" s="6">
        <f>$M$334*$W$334</f>
        <v>363032.8725</v>
      </c>
      <c r="AD334" s="6">
        <f>$O$334*$X$334</f>
        <v>0</v>
      </c>
      <c r="AE334" s="6">
        <f>$K$334*$Y$334</f>
        <v>0</v>
      </c>
      <c r="AF334" s="6">
        <f ca="1">$M$334*$Z$334</f>
        <v>700023.45293691114</v>
      </c>
      <c r="AG334" s="6">
        <f>$O$334*$AA$334</f>
        <v>0</v>
      </c>
    </row>
    <row r="335" spans="1:33" ht="11.25" customHeight="1" x14ac:dyDescent="0.25">
      <c r="A335" s="4" t="s">
        <v>21</v>
      </c>
      <c r="B335" s="4" t="s">
        <v>39</v>
      </c>
      <c r="C335" s="4" t="s">
        <v>40</v>
      </c>
      <c r="D335" s="4" t="s">
        <v>38</v>
      </c>
      <c r="E335" s="4" t="s">
        <v>25</v>
      </c>
      <c r="F335" s="4" t="s">
        <v>57</v>
      </c>
      <c r="G335" s="4" t="s">
        <v>25</v>
      </c>
      <c r="H335" s="4" t="s">
        <v>35</v>
      </c>
      <c r="I335" s="5">
        <v>44562</v>
      </c>
      <c r="J335" s="6">
        <v>0</v>
      </c>
      <c r="K335" s="6">
        <v>0</v>
      </c>
      <c r="L335" s="6">
        <v>3935.3119999999999</v>
      </c>
      <c r="M335" s="6">
        <v>3935.3119999999999</v>
      </c>
      <c r="N335" s="6">
        <v>0</v>
      </c>
      <c r="O335" s="6">
        <v>0</v>
      </c>
      <c r="P335" s="6">
        <v>0</v>
      </c>
      <c r="Q335" s="4" t="s">
        <v>58</v>
      </c>
      <c r="R335" s="4">
        <v>0</v>
      </c>
      <c r="S335" s="6">
        <v>0</v>
      </c>
      <c r="T335" s="6">
        <v>8</v>
      </c>
      <c r="U335" s="6">
        <v>0</v>
      </c>
      <c r="V335" s="6">
        <f>IF(ISERROR(VLOOKUP($S$335,'TAR FIN'!$A$1:$O$85,15,0)),0,VLOOKUP($S$335,'TAR FIN'!$A$1:$O$85,15,0))</f>
        <v>0</v>
      </c>
      <c r="W335" s="6">
        <f>IF(ISERROR(VLOOKUP($T$335,'TAR FIN'!$A$1:$O$85,15,0)),0,VLOOKUP($T$335,'TAR FIN'!$A$1:$O$85,15,0))</f>
        <v>76.75</v>
      </c>
      <c r="X335" s="6">
        <f>IF(ISERROR(VLOOKUP($U$335,'TAR FIN'!$A$1:$O$85,15,0)),0,VLOOKUP($U$335,'TAR FIN'!$A$1:$O$85,15,0))</f>
        <v>0</v>
      </c>
      <c r="Y335" s="6"/>
      <c r="Z335" s="6">
        <f ca="1">('TUSD BE'!$AM$12+'TUSD BF'!$AM$12+'TUSD CVA'!$AM$12)*1</f>
        <v>147.99431148733765</v>
      </c>
      <c r="AA335" s="6"/>
      <c r="AB335" s="6">
        <f>$K$335*$V$335</f>
        <v>0</v>
      </c>
      <c r="AC335" s="6">
        <f>$M$335*$W$335</f>
        <v>302035.196</v>
      </c>
      <c r="AD335" s="6">
        <f>$O$335*$X$335</f>
        <v>0</v>
      </c>
      <c r="AE335" s="6">
        <f>$K$335*$Y$335</f>
        <v>0</v>
      </c>
      <c r="AF335" s="6">
        <f ca="1">$M$335*$Z$335</f>
        <v>582403.7899278577</v>
      </c>
      <c r="AG335" s="6">
        <f>$O$335*$AA$335</f>
        <v>0</v>
      </c>
    </row>
    <row r="336" spans="1:33" ht="11.25" customHeight="1" x14ac:dyDescent="0.25">
      <c r="A336" s="4" t="s">
        <v>21</v>
      </c>
      <c r="B336" s="4" t="s">
        <v>39</v>
      </c>
      <c r="C336" s="4" t="s">
        <v>40</v>
      </c>
      <c r="D336" s="4" t="s">
        <v>38</v>
      </c>
      <c r="E336" s="4" t="s">
        <v>25</v>
      </c>
      <c r="F336" s="4" t="s">
        <v>57</v>
      </c>
      <c r="G336" s="4" t="s">
        <v>25</v>
      </c>
      <c r="H336" s="4" t="s">
        <v>35</v>
      </c>
      <c r="I336" s="5">
        <v>44593</v>
      </c>
      <c r="J336" s="6">
        <v>0</v>
      </c>
      <c r="K336" s="6">
        <v>0</v>
      </c>
      <c r="L336" s="6">
        <v>4947.4979999999996</v>
      </c>
      <c r="M336" s="6">
        <v>4947.4979999999996</v>
      </c>
      <c r="N336" s="6">
        <v>0</v>
      </c>
      <c r="O336" s="6">
        <v>0</v>
      </c>
      <c r="P336" s="6">
        <v>0</v>
      </c>
      <c r="Q336" s="4" t="s">
        <v>58</v>
      </c>
      <c r="R336" s="4">
        <v>0</v>
      </c>
      <c r="S336" s="6">
        <v>0</v>
      </c>
      <c r="T336" s="6">
        <v>8</v>
      </c>
      <c r="U336" s="6">
        <v>0</v>
      </c>
      <c r="V336" s="6">
        <f>IF(ISERROR(VLOOKUP($S$336,'TAR FIN'!$A$1:$O$85,15,0)),0,VLOOKUP($S$336,'TAR FIN'!$A$1:$O$85,15,0))</f>
        <v>0</v>
      </c>
      <c r="W336" s="6">
        <f>IF(ISERROR(VLOOKUP($T$336,'TAR FIN'!$A$1:$O$85,15,0)),0,VLOOKUP($T$336,'TAR FIN'!$A$1:$O$85,15,0))</f>
        <v>76.75</v>
      </c>
      <c r="X336" s="6">
        <f>IF(ISERROR(VLOOKUP($U$336,'TAR FIN'!$A$1:$O$85,15,0)),0,VLOOKUP($U$336,'TAR FIN'!$A$1:$O$85,15,0))</f>
        <v>0</v>
      </c>
      <c r="Y336" s="6"/>
      <c r="Z336" s="6">
        <f ca="1">('TUSD BE'!$AM$12+'TUSD BF'!$AM$12+'TUSD CVA'!$AM$12)*1</f>
        <v>147.99431148733765</v>
      </c>
      <c r="AA336" s="6"/>
      <c r="AB336" s="6">
        <f>$K$336*$V$336</f>
        <v>0</v>
      </c>
      <c r="AC336" s="6">
        <f>$M$336*$W$336</f>
        <v>379720.47149999999</v>
      </c>
      <c r="AD336" s="6">
        <f>$O$336*$X$336</f>
        <v>0</v>
      </c>
      <c r="AE336" s="6">
        <f>$K$336*$Y$336</f>
        <v>0</v>
      </c>
      <c r="AF336" s="6">
        <f ca="1">$M$336*$Z$336</f>
        <v>732201.56009498006</v>
      </c>
      <c r="AG336" s="6">
        <f>$O$336*$AA$336</f>
        <v>0</v>
      </c>
    </row>
    <row r="337" spans="1:33" ht="11.25" customHeight="1" x14ac:dyDescent="0.25">
      <c r="A337" s="4" t="s">
        <v>21</v>
      </c>
      <c r="B337" s="4" t="s">
        <v>39</v>
      </c>
      <c r="C337" s="4" t="s">
        <v>40</v>
      </c>
      <c r="D337" s="4" t="s">
        <v>38</v>
      </c>
      <c r="E337" s="4" t="s">
        <v>25</v>
      </c>
      <c r="F337" s="4" t="s">
        <v>57</v>
      </c>
      <c r="G337" s="4" t="s">
        <v>25</v>
      </c>
      <c r="H337" s="4" t="s">
        <v>35</v>
      </c>
      <c r="I337" s="5">
        <v>44621</v>
      </c>
      <c r="J337" s="6">
        <v>0</v>
      </c>
      <c r="K337" s="6">
        <v>0</v>
      </c>
      <c r="L337" s="6">
        <v>4743.59</v>
      </c>
      <c r="M337" s="6">
        <v>4743.59</v>
      </c>
      <c r="N337" s="6">
        <v>0</v>
      </c>
      <c r="O337" s="6">
        <v>0</v>
      </c>
      <c r="P337" s="6">
        <v>0</v>
      </c>
      <c r="Q337" s="4" t="s">
        <v>58</v>
      </c>
      <c r="R337" s="4">
        <v>0</v>
      </c>
      <c r="S337" s="6">
        <v>0</v>
      </c>
      <c r="T337" s="6">
        <v>8</v>
      </c>
      <c r="U337" s="6">
        <v>0</v>
      </c>
      <c r="V337" s="6">
        <f>IF(ISERROR(VLOOKUP($S$337,'TAR FIN'!$A$1:$O$85,15,0)),0,VLOOKUP($S$337,'TAR FIN'!$A$1:$O$85,15,0))</f>
        <v>0</v>
      </c>
      <c r="W337" s="6">
        <f>IF(ISERROR(VLOOKUP($T$337,'TAR FIN'!$A$1:$O$85,15,0)),0,VLOOKUP($T$337,'TAR FIN'!$A$1:$O$85,15,0))</f>
        <v>76.75</v>
      </c>
      <c r="X337" s="6">
        <f>IF(ISERROR(VLOOKUP($U$337,'TAR FIN'!$A$1:$O$85,15,0)),0,VLOOKUP($U$337,'TAR FIN'!$A$1:$O$85,15,0))</f>
        <v>0</v>
      </c>
      <c r="Y337" s="6"/>
      <c r="Z337" s="6">
        <f ca="1">('TUSD BE'!$AM$12+'TUSD BF'!$AM$12+'TUSD CVA'!$AM$12)*1</f>
        <v>147.99431148733765</v>
      </c>
      <c r="AA337" s="6"/>
      <c r="AB337" s="6">
        <f>$K$337*$V$337</f>
        <v>0</v>
      </c>
      <c r="AC337" s="6">
        <f>$M$337*$W$337</f>
        <v>364070.53250000003</v>
      </c>
      <c r="AD337" s="6">
        <f>$O$337*$X$337</f>
        <v>0</v>
      </c>
      <c r="AE337" s="6">
        <f>$K$337*$Y$337</f>
        <v>0</v>
      </c>
      <c r="AF337" s="6">
        <f ca="1">$M$337*$Z$337</f>
        <v>702024.33602822002</v>
      </c>
      <c r="AG337" s="6">
        <f>$O$337*$AA$337</f>
        <v>0</v>
      </c>
    </row>
    <row r="338" spans="1:33" ht="11.25" customHeight="1" x14ac:dyDescent="0.25">
      <c r="A338" s="4" t="s">
        <v>21</v>
      </c>
      <c r="B338" s="4" t="s">
        <v>39</v>
      </c>
      <c r="C338" s="4" t="s">
        <v>40</v>
      </c>
      <c r="D338" s="4" t="s">
        <v>38</v>
      </c>
      <c r="E338" s="4" t="s">
        <v>25</v>
      </c>
      <c r="F338" s="4" t="s">
        <v>57</v>
      </c>
      <c r="G338" s="4" t="s">
        <v>25</v>
      </c>
      <c r="H338" s="4" t="s">
        <v>35</v>
      </c>
      <c r="I338" s="5">
        <v>44652</v>
      </c>
      <c r="J338" s="6">
        <v>0</v>
      </c>
      <c r="K338" s="6">
        <v>0</v>
      </c>
      <c r="L338" s="6">
        <v>5303.4009999999998</v>
      </c>
      <c r="M338" s="6">
        <v>5303.4009999999998</v>
      </c>
      <c r="N338" s="6">
        <v>0</v>
      </c>
      <c r="O338" s="6">
        <v>0</v>
      </c>
      <c r="P338" s="6">
        <v>0</v>
      </c>
      <c r="Q338" s="4" t="s">
        <v>58</v>
      </c>
      <c r="R338" s="4">
        <v>0</v>
      </c>
      <c r="S338" s="6">
        <v>0</v>
      </c>
      <c r="T338" s="6">
        <v>8</v>
      </c>
      <c r="U338" s="6">
        <v>0</v>
      </c>
      <c r="V338" s="6">
        <f>IF(ISERROR(VLOOKUP($S$338,'TAR FIN'!$A$1:$O$85,15,0)),0,VLOOKUP($S$338,'TAR FIN'!$A$1:$O$85,15,0))</f>
        <v>0</v>
      </c>
      <c r="W338" s="6">
        <f>IF(ISERROR(VLOOKUP($T$338,'TAR FIN'!$A$1:$O$85,15,0)),0,VLOOKUP($T$338,'TAR FIN'!$A$1:$O$85,15,0))</f>
        <v>76.75</v>
      </c>
      <c r="X338" s="6">
        <f>IF(ISERROR(VLOOKUP($U$338,'TAR FIN'!$A$1:$O$85,15,0)),0,VLOOKUP($U$338,'TAR FIN'!$A$1:$O$85,15,0))</f>
        <v>0</v>
      </c>
      <c r="Y338" s="6"/>
      <c r="Z338" s="6">
        <f ca="1">('TUSD BE'!$AM$12+'TUSD BF'!$AM$12+'TUSD CVA'!$AM$12)*1</f>
        <v>147.99431148733765</v>
      </c>
      <c r="AA338" s="6"/>
      <c r="AB338" s="6">
        <f>$K$338*$V$338</f>
        <v>0</v>
      </c>
      <c r="AC338" s="6">
        <f>$M$338*$W$338</f>
        <v>407036.02674999996</v>
      </c>
      <c r="AD338" s="6">
        <f>$O$338*$X$338</f>
        <v>0</v>
      </c>
      <c r="AE338" s="6">
        <f>$K$338*$Y$338</f>
        <v>0</v>
      </c>
      <c r="AF338" s="6">
        <f ca="1">$M$338*$Z$338</f>
        <v>784873.17953625799</v>
      </c>
      <c r="AG338" s="6">
        <f>$O$338*$AA$338</f>
        <v>0</v>
      </c>
    </row>
    <row r="339" spans="1:33" ht="11.25" customHeight="1" x14ac:dyDescent="0.25">
      <c r="A339" s="4" t="s">
        <v>21</v>
      </c>
      <c r="B339" s="4" t="s">
        <v>39</v>
      </c>
      <c r="C339" s="4" t="s">
        <v>40</v>
      </c>
      <c r="D339" s="4" t="s">
        <v>38</v>
      </c>
      <c r="E339" s="4" t="s">
        <v>25</v>
      </c>
      <c r="F339" s="4" t="s">
        <v>57</v>
      </c>
      <c r="G339" s="4" t="s">
        <v>25</v>
      </c>
      <c r="H339" s="4" t="s">
        <v>35</v>
      </c>
      <c r="I339" s="5">
        <v>44682</v>
      </c>
      <c r="J339" s="6">
        <v>0</v>
      </c>
      <c r="K339" s="6">
        <v>0</v>
      </c>
      <c r="L339" s="6">
        <v>5072.4949999999999</v>
      </c>
      <c r="M339" s="6">
        <v>5072.4949999999999</v>
      </c>
      <c r="N339" s="6">
        <v>0</v>
      </c>
      <c r="O339" s="6">
        <v>0</v>
      </c>
      <c r="P339" s="6">
        <v>0</v>
      </c>
      <c r="Q339" s="4" t="s">
        <v>58</v>
      </c>
      <c r="R339" s="4">
        <v>0</v>
      </c>
      <c r="S339" s="6">
        <v>0</v>
      </c>
      <c r="T339" s="6">
        <v>8</v>
      </c>
      <c r="U339" s="6">
        <v>0</v>
      </c>
      <c r="V339" s="6">
        <f>IF(ISERROR(VLOOKUP($S$339,'TAR FIN'!$A$1:$O$85,15,0)),0,VLOOKUP($S$339,'TAR FIN'!$A$1:$O$85,15,0))</f>
        <v>0</v>
      </c>
      <c r="W339" s="6">
        <f>IF(ISERROR(VLOOKUP($T$339,'TAR FIN'!$A$1:$O$85,15,0)),0,VLOOKUP($T$339,'TAR FIN'!$A$1:$O$85,15,0))</f>
        <v>76.75</v>
      </c>
      <c r="X339" s="6">
        <f>IF(ISERROR(VLOOKUP($U$339,'TAR FIN'!$A$1:$O$85,15,0)),0,VLOOKUP($U$339,'TAR FIN'!$A$1:$O$85,15,0))</f>
        <v>0</v>
      </c>
      <c r="Y339" s="6"/>
      <c r="Z339" s="6">
        <f ca="1">('TUSD BE'!$AM$12+'TUSD BF'!$AM$12+'TUSD CVA'!$AM$12)*1</f>
        <v>147.99431148733765</v>
      </c>
      <c r="AA339" s="6"/>
      <c r="AB339" s="6">
        <f>$K$339*$V$339</f>
        <v>0</v>
      </c>
      <c r="AC339" s="6">
        <f>$M$339*$W$339</f>
        <v>389313.99124999996</v>
      </c>
      <c r="AD339" s="6">
        <f>$O$339*$X$339</f>
        <v>0</v>
      </c>
      <c r="AE339" s="6">
        <f>$K$339*$Y$339</f>
        <v>0</v>
      </c>
      <c r="AF339" s="6">
        <f ca="1">$M$339*$Z$339</f>
        <v>750700.40504796279</v>
      </c>
      <c r="AG339" s="6">
        <f>$O$339*$AA$339</f>
        <v>0</v>
      </c>
    </row>
    <row r="340" spans="1:33" ht="11.25" customHeight="1" x14ac:dyDescent="0.25">
      <c r="A340" s="4" t="s">
        <v>21</v>
      </c>
      <c r="B340" s="4" t="s">
        <v>39</v>
      </c>
      <c r="C340" s="4" t="s">
        <v>40</v>
      </c>
      <c r="D340" s="4" t="s">
        <v>38</v>
      </c>
      <c r="E340" s="4" t="s">
        <v>25</v>
      </c>
      <c r="F340" s="4" t="s">
        <v>57</v>
      </c>
      <c r="G340" s="4" t="s">
        <v>25</v>
      </c>
      <c r="H340" s="4" t="s">
        <v>35</v>
      </c>
      <c r="I340" s="5">
        <v>44713</v>
      </c>
      <c r="J340" s="6">
        <v>0</v>
      </c>
      <c r="K340" s="6">
        <v>0</v>
      </c>
      <c r="L340" s="6">
        <v>5200.8019999999997</v>
      </c>
      <c r="M340" s="6">
        <v>5200.8019999999997</v>
      </c>
      <c r="N340" s="6">
        <v>0</v>
      </c>
      <c r="O340" s="6">
        <v>0</v>
      </c>
      <c r="P340" s="6">
        <v>0</v>
      </c>
      <c r="Q340" s="4" t="s">
        <v>58</v>
      </c>
      <c r="R340" s="4">
        <v>0</v>
      </c>
      <c r="S340" s="6">
        <v>0</v>
      </c>
      <c r="T340" s="6">
        <v>8</v>
      </c>
      <c r="U340" s="6">
        <v>0</v>
      </c>
      <c r="V340" s="6">
        <f>IF(ISERROR(VLOOKUP($S$340,'TAR FIN'!$A$1:$O$85,15,0)),0,VLOOKUP($S$340,'TAR FIN'!$A$1:$O$85,15,0))</f>
        <v>0</v>
      </c>
      <c r="W340" s="6">
        <f>IF(ISERROR(VLOOKUP($T$340,'TAR FIN'!$A$1:$O$85,15,0)),0,VLOOKUP($T$340,'TAR FIN'!$A$1:$O$85,15,0))</f>
        <v>76.75</v>
      </c>
      <c r="X340" s="6">
        <f>IF(ISERROR(VLOOKUP($U$340,'TAR FIN'!$A$1:$O$85,15,0)),0,VLOOKUP($U$340,'TAR FIN'!$A$1:$O$85,15,0))</f>
        <v>0</v>
      </c>
      <c r="Y340" s="6"/>
      <c r="Z340" s="6">
        <f ca="1">('TUSD BE'!$AM$12+'TUSD BF'!$AM$12+'TUSD CVA'!$AM$12)*1</f>
        <v>147.99431148733765</v>
      </c>
      <c r="AA340" s="6"/>
      <c r="AB340" s="6">
        <f>$K$340*$V$340</f>
        <v>0</v>
      </c>
      <c r="AC340" s="6">
        <f>$M$340*$W$340</f>
        <v>399161.55349999998</v>
      </c>
      <c r="AD340" s="6">
        <f>$O$340*$X$340</f>
        <v>0</v>
      </c>
      <c r="AE340" s="6">
        <f>$K$340*$Y$340</f>
        <v>0</v>
      </c>
      <c r="AF340" s="6">
        <f ca="1">$M$340*$Z$340</f>
        <v>769689.11117196863</v>
      </c>
      <c r="AG340" s="6">
        <f>$O$340*$AA$340</f>
        <v>0</v>
      </c>
    </row>
    <row r="341" spans="1:33" ht="11.25" customHeight="1" x14ac:dyDescent="0.25">
      <c r="A341" s="4" t="s">
        <v>21</v>
      </c>
      <c r="B341" s="4" t="s">
        <v>39</v>
      </c>
      <c r="C341" s="4" t="s">
        <v>40</v>
      </c>
      <c r="D341" s="4" t="s">
        <v>38</v>
      </c>
      <c r="E341" s="4" t="s">
        <v>25</v>
      </c>
      <c r="F341" s="4" t="s">
        <v>57</v>
      </c>
      <c r="G341" s="4" t="s">
        <v>25</v>
      </c>
      <c r="H341" s="4" t="s">
        <v>35</v>
      </c>
      <c r="I341" s="5">
        <v>44743</v>
      </c>
      <c r="J341" s="6">
        <v>0</v>
      </c>
      <c r="K341" s="6">
        <v>0</v>
      </c>
      <c r="L341" s="6">
        <v>5294.7</v>
      </c>
      <c r="M341" s="6">
        <v>5294.7</v>
      </c>
      <c r="N341" s="6">
        <v>0</v>
      </c>
      <c r="O341" s="6">
        <v>0</v>
      </c>
      <c r="P341" s="6">
        <v>0</v>
      </c>
      <c r="Q341" s="4" t="s">
        <v>58</v>
      </c>
      <c r="R341" s="4">
        <v>0</v>
      </c>
      <c r="S341" s="6">
        <v>0</v>
      </c>
      <c r="T341" s="6">
        <v>8</v>
      </c>
      <c r="U341" s="6">
        <v>0</v>
      </c>
      <c r="V341" s="6">
        <f>IF(ISERROR(VLOOKUP($S$341,'TAR FIN'!$A$1:$O$85,15,0)),0,VLOOKUP($S$341,'TAR FIN'!$A$1:$O$85,15,0))</f>
        <v>0</v>
      </c>
      <c r="W341" s="6">
        <f>IF(ISERROR(VLOOKUP($T$341,'TAR FIN'!$A$1:$O$85,15,0)),0,VLOOKUP($T$341,'TAR FIN'!$A$1:$O$85,15,0))</f>
        <v>76.75</v>
      </c>
      <c r="X341" s="6">
        <f>IF(ISERROR(VLOOKUP($U$341,'TAR FIN'!$A$1:$O$85,15,0)),0,VLOOKUP($U$341,'TAR FIN'!$A$1:$O$85,15,0))</f>
        <v>0</v>
      </c>
      <c r="Y341" s="6"/>
      <c r="Z341" s="6">
        <f ca="1">('TUSD BE'!$AM$12+'TUSD BF'!$AM$12+'TUSD CVA'!$AM$12)*1</f>
        <v>147.99431148733765</v>
      </c>
      <c r="AA341" s="6"/>
      <c r="AB341" s="6">
        <f>$K$341*$V$341</f>
        <v>0</v>
      </c>
      <c r="AC341" s="6">
        <f>$M$341*$W$341</f>
        <v>406368.22499999998</v>
      </c>
      <c r="AD341" s="6">
        <f>$O$341*$X$341</f>
        <v>0</v>
      </c>
      <c r="AE341" s="6">
        <f>$K$341*$Y$341</f>
        <v>0</v>
      </c>
      <c r="AF341" s="6">
        <f ca="1">$M$341*$Z$341</f>
        <v>783585.48103200668</v>
      </c>
      <c r="AG341" s="6">
        <f>$O$341*$AA$341</f>
        <v>0</v>
      </c>
    </row>
    <row r="342" spans="1:33" ht="11.25" customHeight="1" x14ac:dyDescent="0.25">
      <c r="A342" s="4" t="s">
        <v>56</v>
      </c>
      <c r="B342" s="4" t="s">
        <v>39</v>
      </c>
      <c r="C342" s="4" t="s">
        <v>40</v>
      </c>
      <c r="D342" s="4" t="s">
        <v>38</v>
      </c>
      <c r="E342" s="4" t="s">
        <v>25</v>
      </c>
      <c r="F342" s="4" t="s">
        <v>57</v>
      </c>
      <c r="G342" s="4" t="s">
        <v>25</v>
      </c>
      <c r="H342" s="4" t="s">
        <v>35</v>
      </c>
      <c r="I342" s="5">
        <v>44774</v>
      </c>
      <c r="J342" s="6">
        <v>0</v>
      </c>
      <c r="K342" s="6">
        <v>0</v>
      </c>
      <c r="L342" s="6">
        <v>5294.7</v>
      </c>
      <c r="M342" s="6">
        <v>5294.7</v>
      </c>
      <c r="N342" s="6">
        <v>0</v>
      </c>
      <c r="O342" s="6">
        <v>0</v>
      </c>
      <c r="P342" s="6">
        <v>0</v>
      </c>
      <c r="Q342" s="4" t="s">
        <v>58</v>
      </c>
      <c r="R342" s="4">
        <v>0</v>
      </c>
      <c r="S342" s="6">
        <v>0</v>
      </c>
      <c r="T342" s="6">
        <v>8</v>
      </c>
      <c r="U342" s="6">
        <v>0</v>
      </c>
      <c r="V342" s="6">
        <f>IF(ISERROR(VLOOKUP($S$342,'TAR FIN'!$A$1:$O$85,15,0)),0,VLOOKUP($S$342,'TAR FIN'!$A$1:$O$85,15,0))</f>
        <v>0</v>
      </c>
      <c r="W342" s="6">
        <f>IF(ISERROR(VLOOKUP($T$342,'TAR FIN'!$A$1:$O$85,15,0)),0,VLOOKUP($T$342,'TAR FIN'!$A$1:$O$85,15,0))</f>
        <v>76.75</v>
      </c>
      <c r="X342" s="6">
        <f>IF(ISERROR(VLOOKUP($U$342,'TAR FIN'!$A$1:$O$85,15,0)),0,VLOOKUP($U$342,'TAR FIN'!$A$1:$O$85,15,0))</f>
        <v>0</v>
      </c>
      <c r="Y342" s="6"/>
      <c r="Z342" s="6">
        <f ca="1">('TUSD BE'!$AM$12+'TUSD BF'!$AM$12+'TUSD CVA'!$AM$12)*1</f>
        <v>147.99431148733765</v>
      </c>
      <c r="AA342" s="6"/>
      <c r="AB342" s="6">
        <f>$K$342*$V$342</f>
        <v>0</v>
      </c>
      <c r="AC342" s="6">
        <f>$M$342*$W$342</f>
        <v>406368.22499999998</v>
      </c>
      <c r="AD342" s="6">
        <f>$O$342*$X$342</f>
        <v>0</v>
      </c>
      <c r="AE342" s="6">
        <f>$K$342*$Y$342</f>
        <v>0</v>
      </c>
      <c r="AF342" s="6">
        <f ca="1">$M$342*$Z$342</f>
        <v>783585.48103200668</v>
      </c>
      <c r="AG342" s="6">
        <f>$O$342*$AA$342</f>
        <v>0</v>
      </c>
    </row>
    <row r="343" spans="1:33" ht="11.25" customHeight="1" x14ac:dyDescent="0.25">
      <c r="A343" s="4" t="s">
        <v>21</v>
      </c>
      <c r="B343" s="4" t="s">
        <v>39</v>
      </c>
      <c r="C343" s="4" t="s">
        <v>40</v>
      </c>
      <c r="D343" s="4" t="s">
        <v>38</v>
      </c>
      <c r="E343" s="4" t="s">
        <v>25</v>
      </c>
      <c r="F343" s="4" t="s">
        <v>57</v>
      </c>
      <c r="G343" s="4" t="s">
        <v>25</v>
      </c>
      <c r="H343" s="4" t="s">
        <v>25</v>
      </c>
      <c r="I343" s="5">
        <v>44440</v>
      </c>
      <c r="J343" s="6">
        <v>20320</v>
      </c>
      <c r="K343" s="6">
        <v>7782.56</v>
      </c>
      <c r="L343" s="6">
        <v>0</v>
      </c>
      <c r="M343" s="6">
        <v>0</v>
      </c>
      <c r="N343" s="6">
        <v>0</v>
      </c>
      <c r="O343" s="6">
        <v>0</v>
      </c>
      <c r="P343" s="6">
        <v>40</v>
      </c>
      <c r="Q343" s="4" t="s">
        <v>58</v>
      </c>
      <c r="R343" s="4">
        <v>0</v>
      </c>
      <c r="S343" s="6">
        <v>6</v>
      </c>
      <c r="T343" s="6">
        <v>0</v>
      </c>
      <c r="U343" s="6">
        <v>0</v>
      </c>
      <c r="V343" s="6">
        <f>IF(ISERROR(VLOOKUP($S$343,'TAR FIN'!$A$1:$O$85,15,0)),0,VLOOKUP($S$343,'TAR FIN'!$A$1:$O$85,15,0))</f>
        <v>16.64</v>
      </c>
      <c r="W343" s="6">
        <f>IF(ISERROR(VLOOKUP($T$343,'TAR FIN'!$A$1:$O$85,15,0)),0,VLOOKUP($T$343,'TAR FIN'!$A$1:$O$85,15,0))</f>
        <v>0</v>
      </c>
      <c r="X343" s="6">
        <f>IF(ISERROR(VLOOKUP($U$343,'TAR FIN'!$A$1:$O$85,15,0)),0,VLOOKUP($U$343,'TAR FIN'!$A$1:$O$85,15,0))</f>
        <v>0</v>
      </c>
      <c r="Y343" s="6">
        <f ca="1">('TUSD BE'!$AM$10+'TUSD BF'!$AM$10+'TUSD CVA'!$AM$10)*1</f>
        <v>18.371854423657158</v>
      </c>
      <c r="Z343" s="6"/>
      <c r="AA343" s="6"/>
      <c r="AB343" s="6">
        <f>$K$343*$V$343</f>
        <v>129501.79840000001</v>
      </c>
      <c r="AC343" s="6">
        <f>$M$343*$W$343</f>
        <v>0</v>
      </c>
      <c r="AD343" s="6">
        <f>$O$343*$X$343</f>
        <v>0</v>
      </c>
      <c r="AE343" s="6">
        <f ca="1">$K$343*$Y$343</f>
        <v>142980.05936337725</v>
      </c>
      <c r="AF343" s="6">
        <f>$M$343*$Z$343</f>
        <v>0</v>
      </c>
      <c r="AG343" s="6">
        <f>$O$343*$AA$343</f>
        <v>0</v>
      </c>
    </row>
    <row r="344" spans="1:33" ht="11.25" customHeight="1" x14ac:dyDescent="0.25">
      <c r="A344" s="4" t="s">
        <v>21</v>
      </c>
      <c r="B344" s="4" t="s">
        <v>39</v>
      </c>
      <c r="C344" s="4" t="s">
        <v>40</v>
      </c>
      <c r="D344" s="4" t="s">
        <v>38</v>
      </c>
      <c r="E344" s="4" t="s">
        <v>25</v>
      </c>
      <c r="F344" s="4" t="s">
        <v>57</v>
      </c>
      <c r="G344" s="4" t="s">
        <v>25</v>
      </c>
      <c r="H344" s="4" t="s">
        <v>25</v>
      </c>
      <c r="I344" s="5">
        <v>44470</v>
      </c>
      <c r="J344" s="6">
        <v>20701</v>
      </c>
      <c r="K344" s="6">
        <v>7669.7205000000004</v>
      </c>
      <c r="L344" s="6">
        <v>0</v>
      </c>
      <c r="M344" s="6">
        <v>0</v>
      </c>
      <c r="N344" s="6">
        <v>0</v>
      </c>
      <c r="O344" s="6">
        <v>0</v>
      </c>
      <c r="P344" s="6">
        <v>40</v>
      </c>
      <c r="Q344" s="4" t="s">
        <v>58</v>
      </c>
      <c r="R344" s="4">
        <v>0</v>
      </c>
      <c r="S344" s="6">
        <v>6</v>
      </c>
      <c r="T344" s="6">
        <v>0</v>
      </c>
      <c r="U344" s="6">
        <v>0</v>
      </c>
      <c r="V344" s="6">
        <f>IF(ISERROR(VLOOKUP($S$344,'TAR FIN'!$A$1:$O$85,15,0)),0,VLOOKUP($S$344,'TAR FIN'!$A$1:$O$85,15,0))</f>
        <v>16.64</v>
      </c>
      <c r="W344" s="6">
        <f>IF(ISERROR(VLOOKUP($T$344,'TAR FIN'!$A$1:$O$85,15,0)),0,VLOOKUP($T$344,'TAR FIN'!$A$1:$O$85,15,0))</f>
        <v>0</v>
      </c>
      <c r="X344" s="6">
        <f>IF(ISERROR(VLOOKUP($U$344,'TAR FIN'!$A$1:$O$85,15,0)),0,VLOOKUP($U$344,'TAR FIN'!$A$1:$O$85,15,0))</f>
        <v>0</v>
      </c>
      <c r="Y344" s="6">
        <f ca="1">('TUSD BE'!$AM$10+'TUSD BF'!$AM$10+'TUSD CVA'!$AM$10)*1</f>
        <v>18.371854423657158</v>
      </c>
      <c r="Z344" s="6"/>
      <c r="AA344" s="6"/>
      <c r="AB344" s="6">
        <f>$K$344*$V$344</f>
        <v>127624.14912000002</v>
      </c>
      <c r="AC344" s="6">
        <f>$M$344*$W$344</f>
        <v>0</v>
      </c>
      <c r="AD344" s="6">
        <f>$O$344*$X$344</f>
        <v>0</v>
      </c>
      <c r="AE344" s="6">
        <f ca="1">$K$344*$Y$344</f>
        <v>140906.98849613901</v>
      </c>
      <c r="AF344" s="6">
        <f>$M$344*$Z$344</f>
        <v>0</v>
      </c>
      <c r="AG344" s="6">
        <f>$O$344*$AA$344</f>
        <v>0</v>
      </c>
    </row>
    <row r="345" spans="1:33" ht="11.25" customHeight="1" x14ac:dyDescent="0.25">
      <c r="A345" s="4" t="s">
        <v>21</v>
      </c>
      <c r="B345" s="4" t="s">
        <v>39</v>
      </c>
      <c r="C345" s="4" t="s">
        <v>40</v>
      </c>
      <c r="D345" s="4" t="s">
        <v>38</v>
      </c>
      <c r="E345" s="4" t="s">
        <v>25</v>
      </c>
      <c r="F345" s="4" t="s">
        <v>57</v>
      </c>
      <c r="G345" s="4" t="s">
        <v>25</v>
      </c>
      <c r="H345" s="4" t="s">
        <v>25</v>
      </c>
      <c r="I345" s="5">
        <v>44501</v>
      </c>
      <c r="J345" s="6">
        <v>20629</v>
      </c>
      <c r="K345" s="6">
        <v>7564.6543000000001</v>
      </c>
      <c r="L345" s="6">
        <v>0</v>
      </c>
      <c r="M345" s="6">
        <v>0</v>
      </c>
      <c r="N345" s="6">
        <v>0</v>
      </c>
      <c r="O345" s="6">
        <v>0</v>
      </c>
      <c r="P345" s="6">
        <v>40</v>
      </c>
      <c r="Q345" s="4" t="s">
        <v>58</v>
      </c>
      <c r="R345" s="4">
        <v>0</v>
      </c>
      <c r="S345" s="6">
        <v>6</v>
      </c>
      <c r="T345" s="6">
        <v>0</v>
      </c>
      <c r="U345" s="6">
        <v>0</v>
      </c>
      <c r="V345" s="6">
        <f>IF(ISERROR(VLOOKUP($S$345,'TAR FIN'!$A$1:$O$85,15,0)),0,VLOOKUP($S$345,'TAR FIN'!$A$1:$O$85,15,0))</f>
        <v>16.64</v>
      </c>
      <c r="W345" s="6">
        <f>IF(ISERROR(VLOOKUP($T$345,'TAR FIN'!$A$1:$O$85,15,0)),0,VLOOKUP($T$345,'TAR FIN'!$A$1:$O$85,15,0))</f>
        <v>0</v>
      </c>
      <c r="X345" s="6">
        <f>IF(ISERROR(VLOOKUP($U$345,'TAR FIN'!$A$1:$O$85,15,0)),0,VLOOKUP($U$345,'TAR FIN'!$A$1:$O$85,15,0))</f>
        <v>0</v>
      </c>
      <c r="Y345" s="6">
        <f ca="1">('TUSD BE'!$AM$10+'TUSD BF'!$AM$10+'TUSD CVA'!$AM$10)*1</f>
        <v>18.371854423657158</v>
      </c>
      <c r="Z345" s="6"/>
      <c r="AA345" s="6"/>
      <c r="AB345" s="6">
        <f>$K$345*$V$345</f>
        <v>125875.84755200001</v>
      </c>
      <c r="AC345" s="6">
        <f>$M$345*$W$345</f>
        <v>0</v>
      </c>
      <c r="AD345" s="6">
        <f>$O$345*$X$345</f>
        <v>0</v>
      </c>
      <c r="AE345" s="6">
        <f ca="1">$K$345*$Y$345</f>
        <v>138976.72756489215</v>
      </c>
      <c r="AF345" s="6">
        <f>$M$345*$Z$345</f>
        <v>0</v>
      </c>
      <c r="AG345" s="6">
        <f>$O$345*$AA$345</f>
        <v>0</v>
      </c>
    </row>
    <row r="346" spans="1:33" ht="11.25" customHeight="1" x14ac:dyDescent="0.25">
      <c r="A346" s="4" t="s">
        <v>21</v>
      </c>
      <c r="B346" s="4" t="s">
        <v>39</v>
      </c>
      <c r="C346" s="4" t="s">
        <v>40</v>
      </c>
      <c r="D346" s="4" t="s">
        <v>38</v>
      </c>
      <c r="E346" s="4" t="s">
        <v>25</v>
      </c>
      <c r="F346" s="4" t="s">
        <v>57</v>
      </c>
      <c r="G346" s="4" t="s">
        <v>25</v>
      </c>
      <c r="H346" s="4" t="s">
        <v>25</v>
      </c>
      <c r="I346" s="5">
        <v>44531</v>
      </c>
      <c r="J346" s="6">
        <v>20795</v>
      </c>
      <c r="K346" s="6">
        <v>7914.5770000000002</v>
      </c>
      <c r="L346" s="6">
        <v>0</v>
      </c>
      <c r="M346" s="6">
        <v>0</v>
      </c>
      <c r="N346" s="6">
        <v>0</v>
      </c>
      <c r="O346" s="6">
        <v>0</v>
      </c>
      <c r="P346" s="6">
        <v>40</v>
      </c>
      <c r="Q346" s="4" t="s">
        <v>58</v>
      </c>
      <c r="R346" s="4">
        <v>0</v>
      </c>
      <c r="S346" s="6">
        <v>6</v>
      </c>
      <c r="T346" s="6">
        <v>0</v>
      </c>
      <c r="U346" s="6">
        <v>0</v>
      </c>
      <c r="V346" s="6">
        <f>IF(ISERROR(VLOOKUP($S$346,'TAR FIN'!$A$1:$O$85,15,0)),0,VLOOKUP($S$346,'TAR FIN'!$A$1:$O$85,15,0))</f>
        <v>16.64</v>
      </c>
      <c r="W346" s="6">
        <f>IF(ISERROR(VLOOKUP($T$346,'TAR FIN'!$A$1:$O$85,15,0)),0,VLOOKUP($T$346,'TAR FIN'!$A$1:$O$85,15,0))</f>
        <v>0</v>
      </c>
      <c r="X346" s="6">
        <f>IF(ISERROR(VLOOKUP($U$346,'TAR FIN'!$A$1:$O$85,15,0)),0,VLOOKUP($U$346,'TAR FIN'!$A$1:$O$85,15,0))</f>
        <v>0</v>
      </c>
      <c r="Y346" s="6">
        <f ca="1">('TUSD BE'!$AM$10+'TUSD BF'!$AM$10+'TUSD CVA'!$AM$10)*1</f>
        <v>18.371854423657158</v>
      </c>
      <c r="Z346" s="6"/>
      <c r="AA346" s="6"/>
      <c r="AB346" s="6">
        <f>$K$346*$V$346</f>
        <v>131698.56127999999</v>
      </c>
      <c r="AC346" s="6">
        <f>$M$346*$W$346</f>
        <v>0</v>
      </c>
      <c r="AD346" s="6">
        <f>$O$346*$X$346</f>
        <v>0</v>
      </c>
      <c r="AE346" s="6">
        <f ca="1">$K$346*$Y$346</f>
        <v>145405.4564688252</v>
      </c>
      <c r="AF346" s="6">
        <f>$M$346*$Z$346</f>
        <v>0</v>
      </c>
      <c r="AG346" s="6">
        <f>$O$346*$AA$346</f>
        <v>0</v>
      </c>
    </row>
    <row r="347" spans="1:33" ht="11.25" customHeight="1" x14ac:dyDescent="0.25">
      <c r="A347" s="4" t="s">
        <v>21</v>
      </c>
      <c r="B347" s="4" t="s">
        <v>39</v>
      </c>
      <c r="C347" s="4" t="s">
        <v>40</v>
      </c>
      <c r="D347" s="4" t="s">
        <v>38</v>
      </c>
      <c r="E347" s="4" t="s">
        <v>25</v>
      </c>
      <c r="F347" s="4" t="s">
        <v>57</v>
      </c>
      <c r="G347" s="4" t="s">
        <v>25</v>
      </c>
      <c r="H347" s="4" t="s">
        <v>25</v>
      </c>
      <c r="I347" s="5">
        <v>44562</v>
      </c>
      <c r="J347" s="6">
        <v>20826</v>
      </c>
      <c r="K347" s="6">
        <v>7630.6463999999996</v>
      </c>
      <c r="L347" s="6">
        <v>0</v>
      </c>
      <c r="M347" s="6">
        <v>0</v>
      </c>
      <c r="N347" s="6">
        <v>0</v>
      </c>
      <c r="O347" s="6">
        <v>0</v>
      </c>
      <c r="P347" s="6">
        <v>40</v>
      </c>
      <c r="Q347" s="4" t="s">
        <v>58</v>
      </c>
      <c r="R347" s="4">
        <v>0</v>
      </c>
      <c r="S347" s="6">
        <v>6</v>
      </c>
      <c r="T347" s="6">
        <v>0</v>
      </c>
      <c r="U347" s="6">
        <v>0</v>
      </c>
      <c r="V347" s="6">
        <f>IF(ISERROR(VLOOKUP($S$347,'TAR FIN'!$A$1:$O$85,15,0)),0,VLOOKUP($S$347,'TAR FIN'!$A$1:$O$85,15,0))</f>
        <v>16.64</v>
      </c>
      <c r="W347" s="6">
        <f>IF(ISERROR(VLOOKUP($T$347,'TAR FIN'!$A$1:$O$85,15,0)),0,VLOOKUP($T$347,'TAR FIN'!$A$1:$O$85,15,0))</f>
        <v>0</v>
      </c>
      <c r="X347" s="6">
        <f>IF(ISERROR(VLOOKUP($U$347,'TAR FIN'!$A$1:$O$85,15,0)),0,VLOOKUP($U$347,'TAR FIN'!$A$1:$O$85,15,0))</f>
        <v>0</v>
      </c>
      <c r="Y347" s="6">
        <f ca="1">('TUSD BE'!$AM$10+'TUSD BF'!$AM$10+'TUSD CVA'!$AM$10)*1</f>
        <v>18.371854423657158</v>
      </c>
      <c r="Z347" s="6"/>
      <c r="AA347" s="6"/>
      <c r="AB347" s="6">
        <f>$K$347*$V$347</f>
        <v>126973.95609599999</v>
      </c>
      <c r="AC347" s="6">
        <f>$M$347*$W$347</f>
        <v>0</v>
      </c>
      <c r="AD347" s="6">
        <f>$O$347*$X$347</f>
        <v>0</v>
      </c>
      <c r="AE347" s="6">
        <f ca="1">$K$347*$Y$347</f>
        <v>140189.12481920357</v>
      </c>
      <c r="AF347" s="6">
        <f>$M$347*$Z$347</f>
        <v>0</v>
      </c>
      <c r="AG347" s="6">
        <f>$O$347*$AA$347</f>
        <v>0</v>
      </c>
    </row>
    <row r="348" spans="1:33" ht="11.25" customHeight="1" x14ac:dyDescent="0.25">
      <c r="A348" s="4" t="s">
        <v>21</v>
      </c>
      <c r="B348" s="4" t="s">
        <v>39</v>
      </c>
      <c r="C348" s="4" t="s">
        <v>40</v>
      </c>
      <c r="D348" s="4" t="s">
        <v>38</v>
      </c>
      <c r="E348" s="4" t="s">
        <v>25</v>
      </c>
      <c r="F348" s="4" t="s">
        <v>57</v>
      </c>
      <c r="G348" s="4" t="s">
        <v>25</v>
      </c>
      <c r="H348" s="4" t="s">
        <v>25</v>
      </c>
      <c r="I348" s="5">
        <v>44593</v>
      </c>
      <c r="J348" s="6">
        <v>22009</v>
      </c>
      <c r="K348" s="6">
        <v>9045.6990000000005</v>
      </c>
      <c r="L348" s="6">
        <v>0</v>
      </c>
      <c r="M348" s="6">
        <v>0</v>
      </c>
      <c r="N348" s="6">
        <v>0</v>
      </c>
      <c r="O348" s="6">
        <v>0</v>
      </c>
      <c r="P348" s="6">
        <v>41</v>
      </c>
      <c r="Q348" s="4" t="s">
        <v>58</v>
      </c>
      <c r="R348" s="4">
        <v>0</v>
      </c>
      <c r="S348" s="6">
        <v>6</v>
      </c>
      <c r="T348" s="6">
        <v>0</v>
      </c>
      <c r="U348" s="6">
        <v>0</v>
      </c>
      <c r="V348" s="6">
        <f>IF(ISERROR(VLOOKUP($S$348,'TAR FIN'!$A$1:$O$85,15,0)),0,VLOOKUP($S$348,'TAR FIN'!$A$1:$O$85,15,0))</f>
        <v>16.64</v>
      </c>
      <c r="W348" s="6">
        <f>IF(ISERROR(VLOOKUP($T$348,'TAR FIN'!$A$1:$O$85,15,0)),0,VLOOKUP($T$348,'TAR FIN'!$A$1:$O$85,15,0))</f>
        <v>0</v>
      </c>
      <c r="X348" s="6">
        <f>IF(ISERROR(VLOOKUP($U$348,'TAR FIN'!$A$1:$O$85,15,0)),0,VLOOKUP($U$348,'TAR FIN'!$A$1:$O$85,15,0))</f>
        <v>0</v>
      </c>
      <c r="Y348" s="6">
        <f ca="1">('TUSD BE'!$AM$10+'TUSD BF'!$AM$10+'TUSD CVA'!$AM$10)*1</f>
        <v>18.371854423657158</v>
      </c>
      <c r="Z348" s="6"/>
      <c r="AA348" s="6"/>
      <c r="AB348" s="6">
        <f>$K$348*$V$348</f>
        <v>150520.43136000002</v>
      </c>
      <c r="AC348" s="6">
        <f>$M$348*$W$348</f>
        <v>0</v>
      </c>
      <c r="AD348" s="6">
        <f>$O$348*$X$348</f>
        <v>0</v>
      </c>
      <c r="AE348" s="6">
        <f ca="1">$K$348*$Y$348</f>
        <v>166186.26518822115</v>
      </c>
      <c r="AF348" s="6">
        <f>$M$348*$Z$348</f>
        <v>0</v>
      </c>
      <c r="AG348" s="6">
        <f>$O$348*$AA$348</f>
        <v>0</v>
      </c>
    </row>
    <row r="349" spans="1:33" ht="11.25" customHeight="1" x14ac:dyDescent="0.25">
      <c r="A349" s="4" t="s">
        <v>21</v>
      </c>
      <c r="B349" s="4" t="s">
        <v>39</v>
      </c>
      <c r="C349" s="4" t="s">
        <v>40</v>
      </c>
      <c r="D349" s="4" t="s">
        <v>38</v>
      </c>
      <c r="E349" s="4" t="s">
        <v>25</v>
      </c>
      <c r="F349" s="4" t="s">
        <v>57</v>
      </c>
      <c r="G349" s="4" t="s">
        <v>25</v>
      </c>
      <c r="H349" s="4" t="s">
        <v>25</v>
      </c>
      <c r="I349" s="5">
        <v>44621</v>
      </c>
      <c r="J349" s="6">
        <v>21866</v>
      </c>
      <c r="K349" s="6">
        <v>8818.5578000000005</v>
      </c>
      <c r="L349" s="6">
        <v>0</v>
      </c>
      <c r="M349" s="6">
        <v>0</v>
      </c>
      <c r="N349" s="6">
        <v>0</v>
      </c>
      <c r="O349" s="6">
        <v>0</v>
      </c>
      <c r="P349" s="6">
        <v>41</v>
      </c>
      <c r="Q349" s="4" t="s">
        <v>58</v>
      </c>
      <c r="R349" s="4">
        <v>0</v>
      </c>
      <c r="S349" s="6">
        <v>6</v>
      </c>
      <c r="T349" s="6">
        <v>0</v>
      </c>
      <c r="U349" s="6">
        <v>0</v>
      </c>
      <c r="V349" s="6">
        <f>IF(ISERROR(VLOOKUP($S$349,'TAR FIN'!$A$1:$O$85,15,0)),0,VLOOKUP($S$349,'TAR FIN'!$A$1:$O$85,15,0))</f>
        <v>16.64</v>
      </c>
      <c r="W349" s="6">
        <f>IF(ISERROR(VLOOKUP($T$349,'TAR FIN'!$A$1:$O$85,15,0)),0,VLOOKUP($T$349,'TAR FIN'!$A$1:$O$85,15,0))</f>
        <v>0</v>
      </c>
      <c r="X349" s="6">
        <f>IF(ISERROR(VLOOKUP($U$349,'TAR FIN'!$A$1:$O$85,15,0)),0,VLOOKUP($U$349,'TAR FIN'!$A$1:$O$85,15,0))</f>
        <v>0</v>
      </c>
      <c r="Y349" s="6">
        <f ca="1">('TUSD BE'!$AM$10+'TUSD BF'!$AM$10+'TUSD CVA'!$AM$10)*1</f>
        <v>18.371854423657158</v>
      </c>
      <c r="Z349" s="6"/>
      <c r="AA349" s="6"/>
      <c r="AB349" s="6">
        <f>$K$349*$V$349</f>
        <v>146740.80179200001</v>
      </c>
      <c r="AC349" s="6">
        <f>$M$349*$W$349</f>
        <v>0</v>
      </c>
      <c r="AD349" s="6">
        <f>$O$349*$X$349</f>
        <v>0</v>
      </c>
      <c r="AE349" s="6">
        <f ca="1">$K$349*$Y$349</f>
        <v>162013.26012820634</v>
      </c>
      <c r="AF349" s="6">
        <f>$M$349*$Z$349</f>
        <v>0</v>
      </c>
      <c r="AG349" s="6">
        <f>$O$349*$AA$349</f>
        <v>0</v>
      </c>
    </row>
    <row r="350" spans="1:33" ht="11.25" customHeight="1" x14ac:dyDescent="0.25">
      <c r="A350" s="4" t="s">
        <v>21</v>
      </c>
      <c r="B350" s="4" t="s">
        <v>39</v>
      </c>
      <c r="C350" s="4" t="s">
        <v>40</v>
      </c>
      <c r="D350" s="4" t="s">
        <v>38</v>
      </c>
      <c r="E350" s="4" t="s">
        <v>25</v>
      </c>
      <c r="F350" s="4" t="s">
        <v>57</v>
      </c>
      <c r="G350" s="4" t="s">
        <v>25</v>
      </c>
      <c r="H350" s="4" t="s">
        <v>25</v>
      </c>
      <c r="I350" s="5">
        <v>44652</v>
      </c>
      <c r="J350" s="6">
        <v>21377</v>
      </c>
      <c r="K350" s="6">
        <v>8888.5565999999999</v>
      </c>
      <c r="L350" s="6">
        <v>0</v>
      </c>
      <c r="M350" s="6">
        <v>0</v>
      </c>
      <c r="N350" s="6">
        <v>0</v>
      </c>
      <c r="O350" s="6">
        <v>0</v>
      </c>
      <c r="P350" s="6">
        <v>40</v>
      </c>
      <c r="Q350" s="4" t="s">
        <v>58</v>
      </c>
      <c r="R350" s="4">
        <v>0</v>
      </c>
      <c r="S350" s="6">
        <v>6</v>
      </c>
      <c r="T350" s="6">
        <v>0</v>
      </c>
      <c r="U350" s="6">
        <v>0</v>
      </c>
      <c r="V350" s="6">
        <f>IF(ISERROR(VLOOKUP($S$350,'TAR FIN'!$A$1:$O$85,15,0)),0,VLOOKUP($S$350,'TAR FIN'!$A$1:$O$85,15,0))</f>
        <v>16.64</v>
      </c>
      <c r="W350" s="6">
        <f>IF(ISERROR(VLOOKUP($T$350,'TAR FIN'!$A$1:$O$85,15,0)),0,VLOOKUP($T$350,'TAR FIN'!$A$1:$O$85,15,0))</f>
        <v>0</v>
      </c>
      <c r="X350" s="6">
        <f>IF(ISERROR(VLOOKUP($U$350,'TAR FIN'!$A$1:$O$85,15,0)),0,VLOOKUP($U$350,'TAR FIN'!$A$1:$O$85,15,0))</f>
        <v>0</v>
      </c>
      <c r="Y350" s="6">
        <f ca="1">('TUSD BE'!$AM$10+'TUSD BF'!$AM$10+'TUSD CVA'!$AM$10)*1</f>
        <v>18.371854423657158</v>
      </c>
      <c r="Z350" s="6"/>
      <c r="AA350" s="6"/>
      <c r="AB350" s="6">
        <f>$K$350*$V$350</f>
        <v>147905.58182399999</v>
      </c>
      <c r="AC350" s="6">
        <f>$M$350*$W$350</f>
        <v>0</v>
      </c>
      <c r="AD350" s="6">
        <f>$O$350*$X$350</f>
        <v>0</v>
      </c>
      <c r="AE350" s="6">
        <f ca="1">$K$350*$Y$350</f>
        <v>163299.26789163702</v>
      </c>
      <c r="AF350" s="6">
        <f>$M$350*$Z$350</f>
        <v>0</v>
      </c>
      <c r="AG350" s="6">
        <f>$O$350*$AA$350</f>
        <v>0</v>
      </c>
    </row>
    <row r="351" spans="1:33" ht="11.25" customHeight="1" x14ac:dyDescent="0.25">
      <c r="A351" s="4" t="s">
        <v>21</v>
      </c>
      <c r="B351" s="4" t="s">
        <v>39</v>
      </c>
      <c r="C351" s="4" t="s">
        <v>40</v>
      </c>
      <c r="D351" s="4" t="s">
        <v>38</v>
      </c>
      <c r="E351" s="4" t="s">
        <v>25</v>
      </c>
      <c r="F351" s="4" t="s">
        <v>57</v>
      </c>
      <c r="G351" s="4" t="s">
        <v>25</v>
      </c>
      <c r="H351" s="4" t="s">
        <v>25</v>
      </c>
      <c r="I351" s="5">
        <v>44682</v>
      </c>
      <c r="J351" s="6">
        <v>22872</v>
      </c>
      <c r="K351" s="6">
        <v>9201.4056</v>
      </c>
      <c r="L351" s="6">
        <v>0</v>
      </c>
      <c r="M351" s="6">
        <v>0</v>
      </c>
      <c r="N351" s="6">
        <v>0</v>
      </c>
      <c r="O351" s="6">
        <v>0</v>
      </c>
      <c r="P351" s="6">
        <v>42</v>
      </c>
      <c r="Q351" s="4" t="s">
        <v>58</v>
      </c>
      <c r="R351" s="4">
        <v>0</v>
      </c>
      <c r="S351" s="6">
        <v>6</v>
      </c>
      <c r="T351" s="6">
        <v>0</v>
      </c>
      <c r="U351" s="6">
        <v>0</v>
      </c>
      <c r="V351" s="6">
        <f>IF(ISERROR(VLOOKUP($S$351,'TAR FIN'!$A$1:$O$85,15,0)),0,VLOOKUP($S$351,'TAR FIN'!$A$1:$O$85,15,0))</f>
        <v>16.64</v>
      </c>
      <c r="W351" s="6">
        <f>IF(ISERROR(VLOOKUP($T$351,'TAR FIN'!$A$1:$O$85,15,0)),0,VLOOKUP($T$351,'TAR FIN'!$A$1:$O$85,15,0))</f>
        <v>0</v>
      </c>
      <c r="X351" s="6">
        <f>IF(ISERROR(VLOOKUP($U$351,'TAR FIN'!$A$1:$O$85,15,0)),0,VLOOKUP($U$351,'TAR FIN'!$A$1:$O$85,15,0))</f>
        <v>0</v>
      </c>
      <c r="Y351" s="6">
        <f ca="1">('TUSD BE'!$AM$10+'TUSD BF'!$AM$10+'TUSD CVA'!$AM$10)*1</f>
        <v>18.371854423657158</v>
      </c>
      <c r="Z351" s="6"/>
      <c r="AA351" s="6"/>
      <c r="AB351" s="6">
        <f>$K$351*$V$351</f>
        <v>153111.389184</v>
      </c>
      <c r="AC351" s="6">
        <f>$M$351*$W$351</f>
        <v>0</v>
      </c>
      <c r="AD351" s="6">
        <f>$O$351*$X$351</f>
        <v>0</v>
      </c>
      <c r="AE351" s="6">
        <f ca="1">$K$351*$Y$351</f>
        <v>169046.88417622374</v>
      </c>
      <c r="AF351" s="6">
        <f>$M$351*$Z$351</f>
        <v>0</v>
      </c>
      <c r="AG351" s="6">
        <f>$O$351*$AA$351</f>
        <v>0</v>
      </c>
    </row>
    <row r="352" spans="1:33" ht="11.25" customHeight="1" x14ac:dyDescent="0.25">
      <c r="A352" s="4" t="s">
        <v>21</v>
      </c>
      <c r="B352" s="4" t="s">
        <v>39</v>
      </c>
      <c r="C352" s="4" t="s">
        <v>40</v>
      </c>
      <c r="D352" s="4" t="s">
        <v>38</v>
      </c>
      <c r="E352" s="4" t="s">
        <v>25</v>
      </c>
      <c r="F352" s="4" t="s">
        <v>57</v>
      </c>
      <c r="G352" s="4" t="s">
        <v>25</v>
      </c>
      <c r="H352" s="4" t="s">
        <v>25</v>
      </c>
      <c r="I352" s="5">
        <v>44743</v>
      </c>
      <c r="J352" s="6">
        <v>24481</v>
      </c>
      <c r="K352" s="6">
        <v>9816.8809999999994</v>
      </c>
      <c r="L352" s="6">
        <v>0</v>
      </c>
      <c r="M352" s="6">
        <v>0</v>
      </c>
      <c r="N352" s="6">
        <v>0</v>
      </c>
      <c r="O352" s="6">
        <v>0</v>
      </c>
      <c r="P352" s="6">
        <v>41</v>
      </c>
      <c r="Q352" s="4" t="s">
        <v>58</v>
      </c>
      <c r="R352" s="4">
        <v>0</v>
      </c>
      <c r="S352" s="6">
        <v>6</v>
      </c>
      <c r="T352" s="6">
        <v>0</v>
      </c>
      <c r="U352" s="6">
        <v>0</v>
      </c>
      <c r="V352" s="6">
        <f>IF(ISERROR(VLOOKUP($S$352,'TAR FIN'!$A$1:$O$85,15,0)),0,VLOOKUP($S$352,'TAR FIN'!$A$1:$O$85,15,0))</f>
        <v>16.64</v>
      </c>
      <c r="W352" s="6">
        <f>IF(ISERROR(VLOOKUP($T$352,'TAR FIN'!$A$1:$O$85,15,0)),0,VLOOKUP($T$352,'TAR FIN'!$A$1:$O$85,15,0))</f>
        <v>0</v>
      </c>
      <c r="X352" s="6">
        <f>IF(ISERROR(VLOOKUP($U$352,'TAR FIN'!$A$1:$O$85,15,0)),0,VLOOKUP($U$352,'TAR FIN'!$A$1:$O$85,15,0))</f>
        <v>0</v>
      </c>
      <c r="Y352" s="6">
        <f ca="1">('TUSD BE'!$AM$10+'TUSD BF'!$AM$10+'TUSD CVA'!$AM$10)*1</f>
        <v>18.371854423657158</v>
      </c>
      <c r="Z352" s="6"/>
      <c r="AA352" s="6"/>
      <c r="AB352" s="6">
        <f>$K$352*$V$352</f>
        <v>163352.89984</v>
      </c>
      <c r="AC352" s="6">
        <f>$M$352*$W$352</f>
        <v>0</v>
      </c>
      <c r="AD352" s="6">
        <f>$O$352*$X$352</f>
        <v>0</v>
      </c>
      <c r="AE352" s="6">
        <f ca="1">$K$352*$Y$352</f>
        <v>180354.30862636591</v>
      </c>
      <c r="AF352" s="6">
        <f>$M$352*$Z$352</f>
        <v>0</v>
      </c>
      <c r="AG352" s="6">
        <f>$O$352*$AA$352</f>
        <v>0</v>
      </c>
    </row>
    <row r="353" spans="1:33" ht="11.25" customHeight="1" x14ac:dyDescent="0.25">
      <c r="A353" s="4" t="s">
        <v>56</v>
      </c>
      <c r="B353" s="4" t="s">
        <v>39</v>
      </c>
      <c r="C353" s="4" t="s">
        <v>40</v>
      </c>
      <c r="D353" s="4" t="s">
        <v>38</v>
      </c>
      <c r="E353" s="4" t="s">
        <v>25</v>
      </c>
      <c r="F353" s="4" t="s">
        <v>57</v>
      </c>
      <c r="G353" s="4" t="s">
        <v>25</v>
      </c>
      <c r="H353" s="4" t="s">
        <v>25</v>
      </c>
      <c r="I353" s="5">
        <v>44774</v>
      </c>
      <c r="J353" s="6">
        <v>24481</v>
      </c>
      <c r="K353" s="6">
        <v>9816.8809999999994</v>
      </c>
      <c r="L353" s="6">
        <v>0</v>
      </c>
      <c r="M353" s="6">
        <v>0</v>
      </c>
      <c r="N353" s="6">
        <v>0</v>
      </c>
      <c r="O353" s="6">
        <v>0</v>
      </c>
      <c r="P353" s="6">
        <v>41</v>
      </c>
      <c r="Q353" s="4" t="s">
        <v>58</v>
      </c>
      <c r="R353" s="4">
        <v>0</v>
      </c>
      <c r="S353" s="6">
        <v>6</v>
      </c>
      <c r="T353" s="6">
        <v>0</v>
      </c>
      <c r="U353" s="6">
        <v>0</v>
      </c>
      <c r="V353" s="6">
        <f>IF(ISERROR(VLOOKUP($S$353,'TAR FIN'!$A$1:$O$85,15,0)),0,VLOOKUP($S$353,'TAR FIN'!$A$1:$O$85,15,0))</f>
        <v>16.64</v>
      </c>
      <c r="W353" s="6">
        <f>IF(ISERROR(VLOOKUP($T$353,'TAR FIN'!$A$1:$O$85,15,0)),0,VLOOKUP($T$353,'TAR FIN'!$A$1:$O$85,15,0))</f>
        <v>0</v>
      </c>
      <c r="X353" s="6">
        <f>IF(ISERROR(VLOOKUP($U$353,'TAR FIN'!$A$1:$O$85,15,0)),0,VLOOKUP($U$353,'TAR FIN'!$A$1:$O$85,15,0))</f>
        <v>0</v>
      </c>
      <c r="Y353" s="6">
        <f ca="1">('TUSD BE'!$AM$10+'TUSD BF'!$AM$10+'TUSD CVA'!$AM$10)*1</f>
        <v>18.371854423657158</v>
      </c>
      <c r="Z353" s="6"/>
      <c r="AA353" s="6"/>
      <c r="AB353" s="6">
        <f>$K$353*$V$353</f>
        <v>163352.89984</v>
      </c>
      <c r="AC353" s="6">
        <f>$M$353*$W$353</f>
        <v>0</v>
      </c>
      <c r="AD353" s="6">
        <f>$O$353*$X$353</f>
        <v>0</v>
      </c>
      <c r="AE353" s="6">
        <f ca="1">$K$353*$Y$353</f>
        <v>180354.30862636591</v>
      </c>
      <c r="AF353" s="6">
        <f>$M$353*$Z$353</f>
        <v>0</v>
      </c>
      <c r="AG353" s="6">
        <f>$O$353*$AA$353</f>
        <v>0</v>
      </c>
    </row>
    <row r="354" spans="1:33" ht="11.25" customHeight="1" x14ac:dyDescent="0.25">
      <c r="A354" s="4" t="s">
        <v>21</v>
      </c>
      <c r="B354" s="4" t="s">
        <v>39</v>
      </c>
      <c r="C354" s="4" t="s">
        <v>40</v>
      </c>
      <c r="D354" s="4" t="s">
        <v>38</v>
      </c>
      <c r="E354" s="4" t="s">
        <v>25</v>
      </c>
      <c r="F354" s="4" t="s">
        <v>57</v>
      </c>
      <c r="G354" s="4" t="s">
        <v>25</v>
      </c>
      <c r="H354" s="4" t="s">
        <v>34</v>
      </c>
      <c r="I354" s="5">
        <v>44440</v>
      </c>
      <c r="J354" s="6">
        <v>0</v>
      </c>
      <c r="K354" s="6">
        <v>0</v>
      </c>
      <c r="L354" s="6">
        <v>460.154</v>
      </c>
      <c r="M354" s="6">
        <v>187.65080119999999</v>
      </c>
      <c r="N354" s="6">
        <v>0</v>
      </c>
      <c r="O354" s="6">
        <v>0</v>
      </c>
      <c r="P354" s="6">
        <v>0</v>
      </c>
      <c r="Q354" s="4" t="s">
        <v>58</v>
      </c>
      <c r="R354" s="4">
        <v>0</v>
      </c>
      <c r="S354" s="6">
        <v>0</v>
      </c>
      <c r="T354" s="6">
        <v>7</v>
      </c>
      <c r="U354" s="6">
        <v>0</v>
      </c>
      <c r="V354" s="6">
        <f>IF(ISERROR(VLOOKUP($S$354,'TAR FIN'!$A$1:$O$85,15,0)),0,VLOOKUP($S$354,'TAR FIN'!$A$1:$O$85,15,0))</f>
        <v>0</v>
      </c>
      <c r="W354" s="6">
        <f>IF(ISERROR(VLOOKUP($T$354,'TAR FIN'!$A$1:$O$85,15,0)),0,VLOOKUP($T$354,'TAR FIN'!$A$1:$O$85,15,0))</f>
        <v>1326.39</v>
      </c>
      <c r="X354" s="6">
        <f>IF(ISERROR(VLOOKUP($U$354,'TAR FIN'!$A$1:$O$85,15,0)),0,VLOOKUP($U$354,'TAR FIN'!$A$1:$O$85,15,0))</f>
        <v>0</v>
      </c>
      <c r="Y354" s="6"/>
      <c r="Z354" s="6">
        <f ca="1">('TUSD BE'!$AM$11+'TUSD BF'!$AM$11+'TUSD CVA'!$AM$11)*1</f>
        <v>1532.0020380763981</v>
      </c>
      <c r="AA354" s="6"/>
      <c r="AB354" s="6">
        <f>$K$354*$V$354</f>
        <v>0</v>
      </c>
      <c r="AC354" s="6">
        <f>$M$354*$W$354</f>
        <v>248898.146203668</v>
      </c>
      <c r="AD354" s="6">
        <f>$O$354*$X$354</f>
        <v>0</v>
      </c>
      <c r="AE354" s="6">
        <f>$K$354*$Y$354</f>
        <v>0</v>
      </c>
      <c r="AF354" s="6">
        <f ca="1">$M$354*$Z$354</f>
        <v>287481.40988506901</v>
      </c>
      <c r="AG354" s="6">
        <f>$O$354*$AA$354</f>
        <v>0</v>
      </c>
    </row>
    <row r="355" spans="1:33" ht="11.25" customHeight="1" x14ac:dyDescent="0.25">
      <c r="A355" s="4" t="s">
        <v>21</v>
      </c>
      <c r="B355" s="4" t="s">
        <v>39</v>
      </c>
      <c r="C355" s="4" t="s">
        <v>40</v>
      </c>
      <c r="D355" s="4" t="s">
        <v>38</v>
      </c>
      <c r="E355" s="4" t="s">
        <v>25</v>
      </c>
      <c r="F355" s="4" t="s">
        <v>57</v>
      </c>
      <c r="G355" s="4" t="s">
        <v>25</v>
      </c>
      <c r="H355" s="4" t="s">
        <v>34</v>
      </c>
      <c r="I355" s="5">
        <v>44470</v>
      </c>
      <c r="J355" s="6">
        <v>0</v>
      </c>
      <c r="K355" s="6">
        <v>0</v>
      </c>
      <c r="L355" s="6">
        <v>375.12299999999999</v>
      </c>
      <c r="M355" s="6">
        <v>146.14792080000001</v>
      </c>
      <c r="N355" s="6">
        <v>0</v>
      </c>
      <c r="O355" s="6">
        <v>0</v>
      </c>
      <c r="P355" s="6">
        <v>0</v>
      </c>
      <c r="Q355" s="4" t="s">
        <v>58</v>
      </c>
      <c r="R355" s="4">
        <v>0</v>
      </c>
      <c r="S355" s="6">
        <v>0</v>
      </c>
      <c r="T355" s="6">
        <v>7</v>
      </c>
      <c r="U355" s="6">
        <v>0</v>
      </c>
      <c r="V355" s="6">
        <f>IF(ISERROR(VLOOKUP($S$355,'TAR FIN'!$A$1:$O$85,15,0)),0,VLOOKUP($S$355,'TAR FIN'!$A$1:$O$85,15,0))</f>
        <v>0</v>
      </c>
      <c r="W355" s="6">
        <f>IF(ISERROR(VLOOKUP($T$355,'TAR FIN'!$A$1:$O$85,15,0)),0,VLOOKUP($T$355,'TAR FIN'!$A$1:$O$85,15,0))</f>
        <v>1326.39</v>
      </c>
      <c r="X355" s="6">
        <f>IF(ISERROR(VLOOKUP($U$355,'TAR FIN'!$A$1:$O$85,15,0)),0,VLOOKUP($U$355,'TAR FIN'!$A$1:$O$85,15,0))</f>
        <v>0</v>
      </c>
      <c r="Y355" s="6"/>
      <c r="Z355" s="6">
        <f ca="1">('TUSD BE'!$AM$11+'TUSD BF'!$AM$11+'TUSD CVA'!$AM$11)*1</f>
        <v>1532.0020380763981</v>
      </c>
      <c r="AA355" s="6"/>
      <c r="AB355" s="6">
        <f>$K$355*$V$355</f>
        <v>0</v>
      </c>
      <c r="AC355" s="6">
        <f>$M$355*$W$355</f>
        <v>193849.14066991201</v>
      </c>
      <c r="AD355" s="6">
        <f>$O$355*$X$355</f>
        <v>0</v>
      </c>
      <c r="AE355" s="6">
        <f>$K$355*$Y$355</f>
        <v>0</v>
      </c>
      <c r="AF355" s="6">
        <f ca="1">$M$355*$Z$355</f>
        <v>223898.91252622803</v>
      </c>
      <c r="AG355" s="6">
        <f>$O$355*$AA$355</f>
        <v>0</v>
      </c>
    </row>
    <row r="356" spans="1:33" ht="11.25" customHeight="1" x14ac:dyDescent="0.25">
      <c r="A356" s="4" t="s">
        <v>21</v>
      </c>
      <c r="B356" s="4" t="s">
        <v>39</v>
      </c>
      <c r="C356" s="4" t="s">
        <v>40</v>
      </c>
      <c r="D356" s="4" t="s">
        <v>38</v>
      </c>
      <c r="E356" s="4" t="s">
        <v>25</v>
      </c>
      <c r="F356" s="4" t="s">
        <v>57</v>
      </c>
      <c r="G356" s="4" t="s">
        <v>25</v>
      </c>
      <c r="H356" s="4" t="s">
        <v>34</v>
      </c>
      <c r="I356" s="5">
        <v>44501</v>
      </c>
      <c r="J356" s="6">
        <v>0</v>
      </c>
      <c r="K356" s="6">
        <v>0</v>
      </c>
      <c r="L356" s="6">
        <v>456.67399999999998</v>
      </c>
      <c r="M356" s="6">
        <v>186.59699639999999</v>
      </c>
      <c r="N356" s="6">
        <v>0</v>
      </c>
      <c r="O356" s="6">
        <v>0</v>
      </c>
      <c r="P356" s="6">
        <v>0</v>
      </c>
      <c r="Q356" s="4" t="s">
        <v>58</v>
      </c>
      <c r="R356" s="4">
        <v>0</v>
      </c>
      <c r="S356" s="6">
        <v>0</v>
      </c>
      <c r="T356" s="6">
        <v>7</v>
      </c>
      <c r="U356" s="6">
        <v>0</v>
      </c>
      <c r="V356" s="6">
        <f>IF(ISERROR(VLOOKUP($S$356,'TAR FIN'!$A$1:$O$85,15,0)),0,VLOOKUP($S$356,'TAR FIN'!$A$1:$O$85,15,0))</f>
        <v>0</v>
      </c>
      <c r="W356" s="6">
        <f>IF(ISERROR(VLOOKUP($T$356,'TAR FIN'!$A$1:$O$85,15,0)),0,VLOOKUP($T$356,'TAR FIN'!$A$1:$O$85,15,0))</f>
        <v>1326.39</v>
      </c>
      <c r="X356" s="6">
        <f>IF(ISERROR(VLOOKUP($U$356,'TAR FIN'!$A$1:$O$85,15,0)),0,VLOOKUP($U$356,'TAR FIN'!$A$1:$O$85,15,0))</f>
        <v>0</v>
      </c>
      <c r="Y356" s="6"/>
      <c r="Z356" s="6">
        <f ca="1">('TUSD BE'!$AM$11+'TUSD BF'!$AM$11+'TUSD CVA'!$AM$11)*1</f>
        <v>1532.0020380763981</v>
      </c>
      <c r="AA356" s="6"/>
      <c r="AB356" s="6">
        <f>$K$356*$V$356</f>
        <v>0</v>
      </c>
      <c r="AC356" s="6">
        <f>$M$356*$W$356</f>
        <v>247500.39005499601</v>
      </c>
      <c r="AD356" s="6">
        <f>$O$356*$X$356</f>
        <v>0</v>
      </c>
      <c r="AE356" s="6">
        <f>$K$356*$Y$356</f>
        <v>0</v>
      </c>
      <c r="AF356" s="6">
        <f ca="1">$M$356*$Z$356</f>
        <v>285866.97878373432</v>
      </c>
      <c r="AG356" s="6">
        <f>$O$356*$AA$356</f>
        <v>0</v>
      </c>
    </row>
    <row r="357" spans="1:33" ht="11.25" customHeight="1" x14ac:dyDescent="0.25">
      <c r="A357" s="4" t="s">
        <v>21</v>
      </c>
      <c r="B357" s="4" t="s">
        <v>39</v>
      </c>
      <c r="C357" s="4" t="s">
        <v>40</v>
      </c>
      <c r="D357" s="4" t="s">
        <v>38</v>
      </c>
      <c r="E357" s="4" t="s">
        <v>25</v>
      </c>
      <c r="F357" s="4" t="s">
        <v>57</v>
      </c>
      <c r="G357" s="4" t="s">
        <v>25</v>
      </c>
      <c r="H357" s="4" t="s">
        <v>34</v>
      </c>
      <c r="I357" s="5">
        <v>44531</v>
      </c>
      <c r="J357" s="6">
        <v>0</v>
      </c>
      <c r="K357" s="6">
        <v>0</v>
      </c>
      <c r="L357" s="6">
        <v>427.88099999999997</v>
      </c>
      <c r="M357" s="6">
        <v>174.74660040000001</v>
      </c>
      <c r="N357" s="6">
        <v>0</v>
      </c>
      <c r="O357" s="6">
        <v>0</v>
      </c>
      <c r="P357" s="6">
        <v>0</v>
      </c>
      <c r="Q357" s="4" t="s">
        <v>58</v>
      </c>
      <c r="R357" s="4">
        <v>0</v>
      </c>
      <c r="S357" s="6">
        <v>0</v>
      </c>
      <c r="T357" s="6">
        <v>7</v>
      </c>
      <c r="U357" s="6">
        <v>0</v>
      </c>
      <c r="V357" s="6">
        <f>IF(ISERROR(VLOOKUP($S$357,'TAR FIN'!$A$1:$O$85,15,0)),0,VLOOKUP($S$357,'TAR FIN'!$A$1:$O$85,15,0))</f>
        <v>0</v>
      </c>
      <c r="W357" s="6">
        <f>IF(ISERROR(VLOOKUP($T$357,'TAR FIN'!$A$1:$O$85,15,0)),0,VLOOKUP($T$357,'TAR FIN'!$A$1:$O$85,15,0))</f>
        <v>1326.39</v>
      </c>
      <c r="X357" s="6">
        <f>IF(ISERROR(VLOOKUP($U$357,'TAR FIN'!$A$1:$O$85,15,0)),0,VLOOKUP($U$357,'TAR FIN'!$A$1:$O$85,15,0))</f>
        <v>0</v>
      </c>
      <c r="Y357" s="6"/>
      <c r="Z357" s="6">
        <f ca="1">('TUSD BE'!$AM$11+'TUSD BF'!$AM$11+'TUSD CVA'!$AM$11)*1</f>
        <v>1532.0020380763981</v>
      </c>
      <c r="AA357" s="6"/>
      <c r="AB357" s="6">
        <f>$K$357*$V$357</f>
        <v>0</v>
      </c>
      <c r="AC357" s="6">
        <f>$M$357*$W$357</f>
        <v>231782.14330455603</v>
      </c>
      <c r="AD357" s="6">
        <f>$O$357*$X$357</f>
        <v>0</v>
      </c>
      <c r="AE357" s="6">
        <f>$K$357*$Y$357</f>
        <v>0</v>
      </c>
      <c r="AF357" s="6">
        <f ca="1">$M$357*$Z$357</f>
        <v>267712.14795972191</v>
      </c>
      <c r="AG357" s="6">
        <f>$O$357*$AA$357</f>
        <v>0</v>
      </c>
    </row>
    <row r="358" spans="1:33" ht="11.25" customHeight="1" x14ac:dyDescent="0.25">
      <c r="A358" s="4" t="s">
        <v>21</v>
      </c>
      <c r="B358" s="4" t="s">
        <v>39</v>
      </c>
      <c r="C358" s="4" t="s">
        <v>40</v>
      </c>
      <c r="D358" s="4" t="s">
        <v>38</v>
      </c>
      <c r="E358" s="4" t="s">
        <v>25</v>
      </c>
      <c r="F358" s="4" t="s">
        <v>57</v>
      </c>
      <c r="G358" s="4" t="s">
        <v>25</v>
      </c>
      <c r="H358" s="4" t="s">
        <v>34</v>
      </c>
      <c r="I358" s="5">
        <v>44562</v>
      </c>
      <c r="J358" s="6">
        <v>0</v>
      </c>
      <c r="K358" s="6">
        <v>0</v>
      </c>
      <c r="L358" s="6">
        <v>399.09100000000001</v>
      </c>
      <c r="M358" s="6">
        <v>154.448217</v>
      </c>
      <c r="N358" s="6">
        <v>0</v>
      </c>
      <c r="O358" s="6">
        <v>0</v>
      </c>
      <c r="P358" s="6">
        <v>0</v>
      </c>
      <c r="Q358" s="4" t="s">
        <v>58</v>
      </c>
      <c r="R358" s="4">
        <v>0</v>
      </c>
      <c r="S358" s="6">
        <v>0</v>
      </c>
      <c r="T358" s="6">
        <v>7</v>
      </c>
      <c r="U358" s="6">
        <v>0</v>
      </c>
      <c r="V358" s="6">
        <f>IF(ISERROR(VLOOKUP($S$358,'TAR FIN'!$A$1:$O$85,15,0)),0,VLOOKUP($S$358,'TAR FIN'!$A$1:$O$85,15,0))</f>
        <v>0</v>
      </c>
      <c r="W358" s="6">
        <f>IF(ISERROR(VLOOKUP($T$358,'TAR FIN'!$A$1:$O$85,15,0)),0,VLOOKUP($T$358,'TAR FIN'!$A$1:$O$85,15,0))</f>
        <v>1326.39</v>
      </c>
      <c r="X358" s="6">
        <f>IF(ISERROR(VLOOKUP($U$358,'TAR FIN'!$A$1:$O$85,15,0)),0,VLOOKUP($U$358,'TAR FIN'!$A$1:$O$85,15,0))</f>
        <v>0</v>
      </c>
      <c r="Y358" s="6"/>
      <c r="Z358" s="6">
        <f ca="1">('TUSD BE'!$AM$11+'TUSD BF'!$AM$11+'TUSD CVA'!$AM$11)*1</f>
        <v>1532.0020380763981</v>
      </c>
      <c r="AA358" s="6"/>
      <c r="AB358" s="6">
        <f>$K$358*$V$358</f>
        <v>0</v>
      </c>
      <c r="AC358" s="6">
        <f>$M$358*$W$358</f>
        <v>204858.57054663001</v>
      </c>
      <c r="AD358" s="6">
        <f>$O$358*$X$358</f>
        <v>0</v>
      </c>
      <c r="AE358" s="6">
        <f>$K$358*$Y$358</f>
        <v>0</v>
      </c>
      <c r="AF358" s="6">
        <f ca="1">$M$358*$Z$358</f>
        <v>236614.98322126581</v>
      </c>
      <c r="AG358" s="6">
        <f>$O$358*$AA$358</f>
        <v>0</v>
      </c>
    </row>
    <row r="359" spans="1:33" ht="11.25" customHeight="1" x14ac:dyDescent="0.25">
      <c r="A359" s="4" t="s">
        <v>21</v>
      </c>
      <c r="B359" s="4" t="s">
        <v>39</v>
      </c>
      <c r="C359" s="4" t="s">
        <v>40</v>
      </c>
      <c r="D359" s="4" t="s">
        <v>38</v>
      </c>
      <c r="E359" s="4" t="s">
        <v>25</v>
      </c>
      <c r="F359" s="4" t="s">
        <v>57</v>
      </c>
      <c r="G359" s="4" t="s">
        <v>25</v>
      </c>
      <c r="H359" s="4" t="s">
        <v>34</v>
      </c>
      <c r="I359" s="5">
        <v>44593</v>
      </c>
      <c r="J359" s="6">
        <v>0</v>
      </c>
      <c r="K359" s="6">
        <v>0</v>
      </c>
      <c r="L359" s="6">
        <v>441.58</v>
      </c>
      <c r="M359" s="6">
        <v>182.81412</v>
      </c>
      <c r="N359" s="6">
        <v>0</v>
      </c>
      <c r="O359" s="6">
        <v>0</v>
      </c>
      <c r="P359" s="6">
        <v>0</v>
      </c>
      <c r="Q359" s="4" t="s">
        <v>58</v>
      </c>
      <c r="R359" s="4">
        <v>0</v>
      </c>
      <c r="S359" s="6">
        <v>0</v>
      </c>
      <c r="T359" s="6">
        <v>7</v>
      </c>
      <c r="U359" s="6">
        <v>0</v>
      </c>
      <c r="V359" s="6">
        <f>IF(ISERROR(VLOOKUP($S$359,'TAR FIN'!$A$1:$O$85,15,0)),0,VLOOKUP($S$359,'TAR FIN'!$A$1:$O$85,15,0))</f>
        <v>0</v>
      </c>
      <c r="W359" s="6">
        <f>IF(ISERROR(VLOOKUP($T$359,'TAR FIN'!$A$1:$O$85,15,0)),0,VLOOKUP($T$359,'TAR FIN'!$A$1:$O$85,15,0))</f>
        <v>1326.39</v>
      </c>
      <c r="X359" s="6">
        <f>IF(ISERROR(VLOOKUP($U$359,'TAR FIN'!$A$1:$O$85,15,0)),0,VLOOKUP($U$359,'TAR FIN'!$A$1:$O$85,15,0))</f>
        <v>0</v>
      </c>
      <c r="Y359" s="6"/>
      <c r="Z359" s="6">
        <f ca="1">('TUSD BE'!$AM$11+'TUSD BF'!$AM$11+'TUSD CVA'!$AM$11)*1</f>
        <v>1532.0020380763981</v>
      </c>
      <c r="AA359" s="6"/>
      <c r="AB359" s="6">
        <f>$K$359*$V$359</f>
        <v>0</v>
      </c>
      <c r="AC359" s="6">
        <f>$M$359*$W$359</f>
        <v>242482.82062680004</v>
      </c>
      <c r="AD359" s="6">
        <f>$O$359*$X$359</f>
        <v>0</v>
      </c>
      <c r="AE359" s="6">
        <f>$K$359*$Y$359</f>
        <v>0</v>
      </c>
      <c r="AF359" s="6">
        <f ca="1">$M$359*$Z$359</f>
        <v>280071.60442914319</v>
      </c>
      <c r="AG359" s="6">
        <f>$O$359*$AA$359</f>
        <v>0</v>
      </c>
    </row>
    <row r="360" spans="1:33" ht="11.25" customHeight="1" x14ac:dyDescent="0.25">
      <c r="A360" s="4" t="s">
        <v>21</v>
      </c>
      <c r="B360" s="4" t="s">
        <v>39</v>
      </c>
      <c r="C360" s="4" t="s">
        <v>40</v>
      </c>
      <c r="D360" s="4" t="s">
        <v>38</v>
      </c>
      <c r="E360" s="4" t="s">
        <v>25</v>
      </c>
      <c r="F360" s="4" t="s">
        <v>57</v>
      </c>
      <c r="G360" s="4" t="s">
        <v>25</v>
      </c>
      <c r="H360" s="4" t="s">
        <v>34</v>
      </c>
      <c r="I360" s="5">
        <v>44621</v>
      </c>
      <c r="J360" s="6">
        <v>0</v>
      </c>
      <c r="K360" s="6">
        <v>0</v>
      </c>
      <c r="L360" s="6">
        <v>445.60199999999998</v>
      </c>
      <c r="M360" s="6">
        <v>183.2315424</v>
      </c>
      <c r="N360" s="6">
        <v>0</v>
      </c>
      <c r="O360" s="6">
        <v>0</v>
      </c>
      <c r="P360" s="6">
        <v>0</v>
      </c>
      <c r="Q360" s="4" t="s">
        <v>58</v>
      </c>
      <c r="R360" s="4">
        <v>0</v>
      </c>
      <c r="S360" s="6">
        <v>0</v>
      </c>
      <c r="T360" s="6">
        <v>7</v>
      </c>
      <c r="U360" s="6">
        <v>0</v>
      </c>
      <c r="V360" s="6">
        <f>IF(ISERROR(VLOOKUP($S$360,'TAR FIN'!$A$1:$O$85,15,0)),0,VLOOKUP($S$360,'TAR FIN'!$A$1:$O$85,15,0))</f>
        <v>0</v>
      </c>
      <c r="W360" s="6">
        <f>IF(ISERROR(VLOOKUP($T$360,'TAR FIN'!$A$1:$O$85,15,0)),0,VLOOKUP($T$360,'TAR FIN'!$A$1:$O$85,15,0))</f>
        <v>1326.39</v>
      </c>
      <c r="X360" s="6">
        <f>IF(ISERROR(VLOOKUP($U$360,'TAR FIN'!$A$1:$O$85,15,0)),0,VLOOKUP($U$360,'TAR FIN'!$A$1:$O$85,15,0))</f>
        <v>0</v>
      </c>
      <c r="Y360" s="6"/>
      <c r="Z360" s="6">
        <f ca="1">('TUSD BE'!$AM$11+'TUSD BF'!$AM$11+'TUSD CVA'!$AM$11)*1</f>
        <v>1532.0020380763981</v>
      </c>
      <c r="AA360" s="6"/>
      <c r="AB360" s="6">
        <f>$K$360*$V$360</f>
        <v>0</v>
      </c>
      <c r="AC360" s="6">
        <f>$M$360*$W$360</f>
        <v>243036.48552393602</v>
      </c>
      <c r="AD360" s="6">
        <f>$O$360*$X$360</f>
        <v>0</v>
      </c>
      <c r="AE360" s="6">
        <f>$K$360*$Y$360</f>
        <v>0</v>
      </c>
      <c r="AF360" s="6">
        <f ca="1">$M$360*$Z$360</f>
        <v>280711.09639668197</v>
      </c>
      <c r="AG360" s="6">
        <f>$O$360*$AA$360</f>
        <v>0</v>
      </c>
    </row>
    <row r="361" spans="1:33" ht="11.25" customHeight="1" x14ac:dyDescent="0.25">
      <c r="A361" s="4" t="s">
        <v>21</v>
      </c>
      <c r="B361" s="4" t="s">
        <v>39</v>
      </c>
      <c r="C361" s="4" t="s">
        <v>40</v>
      </c>
      <c r="D361" s="4" t="s">
        <v>38</v>
      </c>
      <c r="E361" s="4" t="s">
        <v>25</v>
      </c>
      <c r="F361" s="4" t="s">
        <v>57</v>
      </c>
      <c r="G361" s="4" t="s">
        <v>25</v>
      </c>
      <c r="H361" s="4" t="s">
        <v>34</v>
      </c>
      <c r="I361" s="5">
        <v>44652</v>
      </c>
      <c r="J361" s="6">
        <v>0</v>
      </c>
      <c r="K361" s="6">
        <v>0</v>
      </c>
      <c r="L361" s="6">
        <v>489.24099999999999</v>
      </c>
      <c r="M361" s="6">
        <v>225.58902509999999</v>
      </c>
      <c r="N361" s="6">
        <v>0</v>
      </c>
      <c r="O361" s="6">
        <v>0</v>
      </c>
      <c r="P361" s="6">
        <v>0</v>
      </c>
      <c r="Q361" s="4" t="s">
        <v>58</v>
      </c>
      <c r="R361" s="4">
        <v>0</v>
      </c>
      <c r="S361" s="6">
        <v>0</v>
      </c>
      <c r="T361" s="6">
        <v>7</v>
      </c>
      <c r="U361" s="6">
        <v>0</v>
      </c>
      <c r="V361" s="6">
        <f>IF(ISERROR(VLOOKUP($S$361,'TAR FIN'!$A$1:$O$85,15,0)),0,VLOOKUP($S$361,'TAR FIN'!$A$1:$O$85,15,0))</f>
        <v>0</v>
      </c>
      <c r="W361" s="6">
        <f>IF(ISERROR(VLOOKUP($T$361,'TAR FIN'!$A$1:$O$85,15,0)),0,VLOOKUP($T$361,'TAR FIN'!$A$1:$O$85,15,0))</f>
        <v>1326.39</v>
      </c>
      <c r="X361" s="6">
        <f>IF(ISERROR(VLOOKUP($U$361,'TAR FIN'!$A$1:$O$85,15,0)),0,VLOOKUP($U$361,'TAR FIN'!$A$1:$O$85,15,0))</f>
        <v>0</v>
      </c>
      <c r="Y361" s="6"/>
      <c r="Z361" s="6">
        <f ca="1">('TUSD BE'!$AM$11+'TUSD BF'!$AM$11+'TUSD CVA'!$AM$11)*1</f>
        <v>1532.0020380763981</v>
      </c>
      <c r="AA361" s="6"/>
      <c r="AB361" s="6">
        <f>$K$361*$V$361</f>
        <v>0</v>
      </c>
      <c r="AC361" s="6">
        <f>$M$361*$W$361</f>
        <v>299219.02700238902</v>
      </c>
      <c r="AD361" s="6">
        <f>$O$361*$X$361</f>
        <v>0</v>
      </c>
      <c r="AE361" s="6">
        <f>$K$361*$Y$361</f>
        <v>0</v>
      </c>
      <c r="AF361" s="6">
        <f ca="1">$M$361*$Z$361</f>
        <v>345602.84622086771</v>
      </c>
      <c r="AG361" s="6">
        <f>$O$361*$AA$361</f>
        <v>0</v>
      </c>
    </row>
    <row r="362" spans="1:33" ht="11.25" customHeight="1" x14ac:dyDescent="0.25">
      <c r="A362" s="4" t="s">
        <v>21</v>
      </c>
      <c r="B362" s="4" t="s">
        <v>39</v>
      </c>
      <c r="C362" s="4" t="s">
        <v>40</v>
      </c>
      <c r="D362" s="4" t="s">
        <v>38</v>
      </c>
      <c r="E362" s="4" t="s">
        <v>25</v>
      </c>
      <c r="F362" s="4" t="s">
        <v>57</v>
      </c>
      <c r="G362" s="4" t="s">
        <v>25</v>
      </c>
      <c r="H362" s="4" t="s">
        <v>34</v>
      </c>
      <c r="I362" s="5">
        <v>44682</v>
      </c>
      <c r="J362" s="6">
        <v>0</v>
      </c>
      <c r="K362" s="6">
        <v>0</v>
      </c>
      <c r="L362" s="6">
        <v>424.39800000000002</v>
      </c>
      <c r="M362" s="6">
        <v>192.84645119999999</v>
      </c>
      <c r="N362" s="6">
        <v>0</v>
      </c>
      <c r="O362" s="6">
        <v>0</v>
      </c>
      <c r="P362" s="6">
        <v>0</v>
      </c>
      <c r="Q362" s="4" t="s">
        <v>58</v>
      </c>
      <c r="R362" s="4">
        <v>0</v>
      </c>
      <c r="S362" s="6">
        <v>0</v>
      </c>
      <c r="T362" s="6">
        <v>7</v>
      </c>
      <c r="U362" s="6">
        <v>0</v>
      </c>
      <c r="V362" s="6">
        <f>IF(ISERROR(VLOOKUP($S$362,'TAR FIN'!$A$1:$O$85,15,0)),0,VLOOKUP($S$362,'TAR FIN'!$A$1:$O$85,15,0))</f>
        <v>0</v>
      </c>
      <c r="W362" s="6">
        <f>IF(ISERROR(VLOOKUP($T$362,'TAR FIN'!$A$1:$O$85,15,0)),0,VLOOKUP($T$362,'TAR FIN'!$A$1:$O$85,15,0))</f>
        <v>1326.39</v>
      </c>
      <c r="X362" s="6">
        <f>IF(ISERROR(VLOOKUP($U$362,'TAR FIN'!$A$1:$O$85,15,0)),0,VLOOKUP($U$362,'TAR FIN'!$A$1:$O$85,15,0))</f>
        <v>0</v>
      </c>
      <c r="Y362" s="6"/>
      <c r="Z362" s="6">
        <f ca="1">('TUSD BE'!$AM$11+'TUSD BF'!$AM$11+'TUSD CVA'!$AM$11)*1</f>
        <v>1532.0020380763981</v>
      </c>
      <c r="AA362" s="6"/>
      <c r="AB362" s="6">
        <f>$K$362*$V$362</f>
        <v>0</v>
      </c>
      <c r="AC362" s="6">
        <f>$M$362*$W$362</f>
        <v>255789.60440716799</v>
      </c>
      <c r="AD362" s="6">
        <f>$O$362*$X$362</f>
        <v>0</v>
      </c>
      <c r="AE362" s="6">
        <f>$K$362*$Y$362</f>
        <v>0</v>
      </c>
      <c r="AF362" s="6">
        <f ca="1">$M$362*$Z$362</f>
        <v>295441.15627420065</v>
      </c>
      <c r="AG362" s="6">
        <f>$O$362*$AA$362</f>
        <v>0</v>
      </c>
    </row>
    <row r="363" spans="1:33" ht="11.25" customHeight="1" x14ac:dyDescent="0.25">
      <c r="A363" s="4" t="s">
        <v>21</v>
      </c>
      <c r="B363" s="4" t="s">
        <v>39</v>
      </c>
      <c r="C363" s="4" t="s">
        <v>40</v>
      </c>
      <c r="D363" s="4" t="s">
        <v>38</v>
      </c>
      <c r="E363" s="4" t="s">
        <v>25</v>
      </c>
      <c r="F363" s="4" t="s">
        <v>57</v>
      </c>
      <c r="G363" s="4" t="s">
        <v>25</v>
      </c>
      <c r="H363" s="4" t="s">
        <v>34</v>
      </c>
      <c r="I363" s="5">
        <v>44713</v>
      </c>
      <c r="J363" s="6">
        <v>0</v>
      </c>
      <c r="K363" s="6">
        <v>0</v>
      </c>
      <c r="L363" s="6">
        <v>448.86900000000003</v>
      </c>
      <c r="M363" s="6">
        <v>200.19557399999999</v>
      </c>
      <c r="N363" s="6">
        <v>0</v>
      </c>
      <c r="O363" s="6">
        <v>0</v>
      </c>
      <c r="P363" s="6">
        <v>0</v>
      </c>
      <c r="Q363" s="4" t="s">
        <v>58</v>
      </c>
      <c r="R363" s="4">
        <v>0</v>
      </c>
      <c r="S363" s="6">
        <v>0</v>
      </c>
      <c r="T363" s="6">
        <v>7</v>
      </c>
      <c r="U363" s="6">
        <v>0</v>
      </c>
      <c r="V363" s="6">
        <f>IF(ISERROR(VLOOKUP($S$363,'TAR FIN'!$A$1:$O$85,15,0)),0,VLOOKUP($S$363,'TAR FIN'!$A$1:$O$85,15,0))</f>
        <v>0</v>
      </c>
      <c r="W363" s="6">
        <f>IF(ISERROR(VLOOKUP($T$363,'TAR FIN'!$A$1:$O$85,15,0)),0,VLOOKUP($T$363,'TAR FIN'!$A$1:$O$85,15,0))</f>
        <v>1326.39</v>
      </c>
      <c r="X363" s="6">
        <f>IF(ISERROR(VLOOKUP($U$363,'TAR FIN'!$A$1:$O$85,15,0)),0,VLOOKUP($U$363,'TAR FIN'!$A$1:$O$85,15,0))</f>
        <v>0</v>
      </c>
      <c r="Y363" s="6"/>
      <c r="Z363" s="6">
        <f ca="1">('TUSD BE'!$AM$11+'TUSD BF'!$AM$11+'TUSD CVA'!$AM$11)*1</f>
        <v>1532.0020380763981</v>
      </c>
      <c r="AA363" s="6"/>
      <c r="AB363" s="6">
        <f>$K$363*$V$363</f>
        <v>0</v>
      </c>
      <c r="AC363" s="6">
        <f>$M$363*$W$363</f>
        <v>265537.40739786002</v>
      </c>
      <c r="AD363" s="6">
        <f>$O$363*$X$363</f>
        <v>0</v>
      </c>
      <c r="AE363" s="6">
        <f>$K$363*$Y$363</f>
        <v>0</v>
      </c>
      <c r="AF363" s="6">
        <f ca="1">$M$363*$Z$363</f>
        <v>306700.02738187439</v>
      </c>
      <c r="AG363" s="6">
        <f>$O$363*$AA$363</f>
        <v>0</v>
      </c>
    </row>
    <row r="364" spans="1:33" ht="11.25" customHeight="1" x14ac:dyDescent="0.25">
      <c r="A364" s="4" t="s">
        <v>21</v>
      </c>
      <c r="B364" s="4" t="s">
        <v>39</v>
      </c>
      <c r="C364" s="4" t="s">
        <v>40</v>
      </c>
      <c r="D364" s="4" t="s">
        <v>38</v>
      </c>
      <c r="E364" s="4" t="s">
        <v>25</v>
      </c>
      <c r="F364" s="4" t="s">
        <v>57</v>
      </c>
      <c r="G364" s="4" t="s">
        <v>25</v>
      </c>
      <c r="H364" s="4" t="s">
        <v>34</v>
      </c>
      <c r="I364" s="5">
        <v>44743</v>
      </c>
      <c r="J364" s="6">
        <v>0</v>
      </c>
      <c r="K364" s="6">
        <v>0</v>
      </c>
      <c r="L364" s="6">
        <v>455.94499999999999</v>
      </c>
      <c r="M364" s="6">
        <v>195.87397200000001</v>
      </c>
      <c r="N364" s="6">
        <v>0</v>
      </c>
      <c r="O364" s="6">
        <v>0</v>
      </c>
      <c r="P364" s="6">
        <v>0</v>
      </c>
      <c r="Q364" s="4" t="s">
        <v>58</v>
      </c>
      <c r="R364" s="4">
        <v>0</v>
      </c>
      <c r="S364" s="6">
        <v>0</v>
      </c>
      <c r="T364" s="6">
        <v>7</v>
      </c>
      <c r="U364" s="6">
        <v>0</v>
      </c>
      <c r="V364" s="6">
        <f>IF(ISERROR(VLOOKUP($S$364,'TAR FIN'!$A$1:$O$85,15,0)),0,VLOOKUP($S$364,'TAR FIN'!$A$1:$O$85,15,0))</f>
        <v>0</v>
      </c>
      <c r="W364" s="6">
        <f>IF(ISERROR(VLOOKUP($T$364,'TAR FIN'!$A$1:$O$85,15,0)),0,VLOOKUP($T$364,'TAR FIN'!$A$1:$O$85,15,0))</f>
        <v>1326.39</v>
      </c>
      <c r="X364" s="6">
        <f>IF(ISERROR(VLOOKUP($U$364,'TAR FIN'!$A$1:$O$85,15,0)),0,VLOOKUP($U$364,'TAR FIN'!$A$1:$O$85,15,0))</f>
        <v>0</v>
      </c>
      <c r="Y364" s="6"/>
      <c r="Z364" s="6">
        <f ca="1">('TUSD BE'!$AM$11+'TUSD BF'!$AM$11+'TUSD CVA'!$AM$11)*1</f>
        <v>1532.0020380763981</v>
      </c>
      <c r="AA364" s="6"/>
      <c r="AB364" s="6">
        <f>$K$364*$V$364</f>
        <v>0</v>
      </c>
      <c r="AC364" s="6">
        <f>$M$364*$W$364</f>
        <v>259805.27772108003</v>
      </c>
      <c r="AD364" s="6">
        <f>$O$364*$X$364</f>
        <v>0</v>
      </c>
      <c r="AE364" s="6">
        <f>$K$364*$Y$364</f>
        <v>0</v>
      </c>
      <c r="AF364" s="6">
        <f ca="1">$M$364*$Z$364</f>
        <v>300079.32431011932</v>
      </c>
      <c r="AG364" s="6">
        <f>$O$364*$AA$364</f>
        <v>0</v>
      </c>
    </row>
    <row r="365" spans="1:33" ht="11.25" customHeight="1" x14ac:dyDescent="0.25">
      <c r="A365" s="4" t="s">
        <v>56</v>
      </c>
      <c r="B365" s="4" t="s">
        <v>39</v>
      </c>
      <c r="C365" s="4" t="s">
        <v>40</v>
      </c>
      <c r="D365" s="4" t="s">
        <v>38</v>
      </c>
      <c r="E365" s="4" t="s">
        <v>25</v>
      </c>
      <c r="F365" s="4" t="s">
        <v>57</v>
      </c>
      <c r="G365" s="4" t="s">
        <v>25</v>
      </c>
      <c r="H365" s="4" t="s">
        <v>34</v>
      </c>
      <c r="I365" s="5">
        <v>44774</v>
      </c>
      <c r="J365" s="6">
        <v>0</v>
      </c>
      <c r="K365" s="6">
        <v>0</v>
      </c>
      <c r="L365" s="6">
        <v>455.94499999999999</v>
      </c>
      <c r="M365" s="6">
        <v>195.87397200000001</v>
      </c>
      <c r="N365" s="6">
        <v>0</v>
      </c>
      <c r="O365" s="6">
        <v>0</v>
      </c>
      <c r="P365" s="6">
        <v>0</v>
      </c>
      <c r="Q365" s="4" t="s">
        <v>58</v>
      </c>
      <c r="R365" s="4">
        <v>0</v>
      </c>
      <c r="S365" s="6">
        <v>0</v>
      </c>
      <c r="T365" s="6">
        <v>7</v>
      </c>
      <c r="U365" s="6">
        <v>0</v>
      </c>
      <c r="V365" s="6">
        <f>IF(ISERROR(VLOOKUP($S$365,'TAR FIN'!$A$1:$O$85,15,0)),0,VLOOKUP($S$365,'TAR FIN'!$A$1:$O$85,15,0))</f>
        <v>0</v>
      </c>
      <c r="W365" s="6">
        <f>IF(ISERROR(VLOOKUP($T$365,'TAR FIN'!$A$1:$O$85,15,0)),0,VLOOKUP($T$365,'TAR FIN'!$A$1:$O$85,15,0))</f>
        <v>1326.39</v>
      </c>
      <c r="X365" s="6">
        <f>IF(ISERROR(VLOOKUP($U$365,'TAR FIN'!$A$1:$O$85,15,0)),0,VLOOKUP($U$365,'TAR FIN'!$A$1:$O$85,15,0))</f>
        <v>0</v>
      </c>
      <c r="Y365" s="6"/>
      <c r="Z365" s="6">
        <f ca="1">('TUSD BE'!$AM$11+'TUSD BF'!$AM$11+'TUSD CVA'!$AM$11)*1</f>
        <v>1532.0020380763981</v>
      </c>
      <c r="AA365" s="6"/>
      <c r="AB365" s="6">
        <f>$K$365*$V$365</f>
        <v>0</v>
      </c>
      <c r="AC365" s="6">
        <f>$M$365*$W$365</f>
        <v>259805.27772108003</v>
      </c>
      <c r="AD365" s="6">
        <f>$O$365*$X$365</f>
        <v>0</v>
      </c>
      <c r="AE365" s="6">
        <f>$K$365*$Y$365</f>
        <v>0</v>
      </c>
      <c r="AF365" s="6">
        <f ca="1">$M$365*$Z$365</f>
        <v>300079.32431011932</v>
      </c>
      <c r="AG365" s="6">
        <f>$O$365*$AA$365</f>
        <v>0</v>
      </c>
    </row>
    <row r="366" spans="1:33" ht="11.25" customHeight="1" x14ac:dyDescent="0.25">
      <c r="A366" s="4" t="s">
        <v>21</v>
      </c>
      <c r="B366" s="4" t="s">
        <v>39</v>
      </c>
      <c r="C366" s="4" t="s">
        <v>40</v>
      </c>
      <c r="D366" s="4" t="s">
        <v>38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44440</v>
      </c>
      <c r="J366" s="6">
        <v>0</v>
      </c>
      <c r="K366" s="6">
        <v>0</v>
      </c>
      <c r="L366" s="6">
        <v>2479.4299999999998</v>
      </c>
      <c r="M366" s="6">
        <v>2479.4299999999998</v>
      </c>
      <c r="N366" s="6">
        <v>2479.4299999999998</v>
      </c>
      <c r="O366" s="6">
        <v>2479.4299999999998</v>
      </c>
      <c r="P366" s="6">
        <v>0</v>
      </c>
      <c r="Q366" s="4" t="s">
        <v>26</v>
      </c>
      <c r="R366" s="4">
        <v>0</v>
      </c>
      <c r="S366" s="6">
        <v>0</v>
      </c>
      <c r="T366" s="6">
        <v>8</v>
      </c>
      <c r="U366" s="6">
        <v>49</v>
      </c>
      <c r="V366" s="6">
        <f>IF(ISERROR(VLOOKUP($S$366,'TAR FIN'!$A$1:$O$85,15,0)),0,VLOOKUP($S$366,'TAR FIN'!$A$1:$O$85,15,0))</f>
        <v>0</v>
      </c>
      <c r="W366" s="6">
        <f>IF(ISERROR(VLOOKUP($T$366,'TAR FIN'!$A$1:$O$85,15,0)),0,VLOOKUP($T$366,'TAR FIN'!$A$1:$O$85,15,0))</f>
        <v>76.75</v>
      </c>
      <c r="X366" s="6">
        <f>IF(ISERROR(VLOOKUP($U$366,'TAR FIN'!$A$1:$O$85,15,0)),0,VLOOKUP($U$366,'TAR FIN'!$A$1:$O$85,15,0))</f>
        <v>307.08</v>
      </c>
      <c r="Y366" s="6"/>
      <c r="Z366" s="6">
        <f ca="1">('TUSD BE'!$AM$12+'TUSD BF'!$AM$12+'TUSD CVA'!$AM$12)*1</f>
        <v>147.99431148733765</v>
      </c>
      <c r="AA366" s="6">
        <f>('TE BE'!$AB$6+'TE BF'!$AB$6+'TE CVA'!$AB$6)*1</f>
        <v>304.87027853653359</v>
      </c>
      <c r="AB366" s="6">
        <f>$K$366*$V$366</f>
        <v>0</v>
      </c>
      <c r="AC366" s="6">
        <f>$M$366*$W$366</f>
        <v>190296.25249999997</v>
      </c>
      <c r="AD366" s="6">
        <f>$O$366*$X$366</f>
        <v>761383.36439999996</v>
      </c>
      <c r="AE366" s="6">
        <f>$K$366*$Y$366</f>
        <v>0</v>
      </c>
      <c r="AF366" s="6">
        <f ca="1">$M$366*$Z$366</f>
        <v>366941.5357310496</v>
      </c>
      <c r="AG366" s="6">
        <f>$O$366*$AA$366</f>
        <v>755904.5147118374</v>
      </c>
    </row>
    <row r="367" spans="1:33" ht="11.25" customHeight="1" x14ac:dyDescent="0.25">
      <c r="A367" s="4" t="s">
        <v>28</v>
      </c>
      <c r="B367" s="4" t="s">
        <v>39</v>
      </c>
      <c r="C367" s="4" t="s">
        <v>40</v>
      </c>
      <c r="D367" s="4" t="s">
        <v>38</v>
      </c>
      <c r="E367" s="4" t="s">
        <v>25</v>
      </c>
      <c r="F367" s="4" t="s">
        <v>25</v>
      </c>
      <c r="G367" s="4" t="s">
        <v>25</v>
      </c>
      <c r="H367" s="4" t="s">
        <v>35</v>
      </c>
      <c r="I367" s="5">
        <v>44440</v>
      </c>
      <c r="J367" s="6">
        <v>0</v>
      </c>
      <c r="K367" s="6">
        <v>0</v>
      </c>
      <c r="L367" s="6">
        <v>128.191</v>
      </c>
      <c r="M367" s="6">
        <v>128.191</v>
      </c>
      <c r="N367" s="6">
        <v>128.191</v>
      </c>
      <c r="O367" s="6">
        <v>128.191</v>
      </c>
      <c r="P367" s="6">
        <v>0</v>
      </c>
      <c r="Q367" s="4" t="s">
        <v>26</v>
      </c>
      <c r="R367" s="4">
        <v>0</v>
      </c>
      <c r="S367" s="6">
        <v>0</v>
      </c>
      <c r="T367" s="6">
        <v>8</v>
      </c>
      <c r="U367" s="6">
        <v>49</v>
      </c>
      <c r="V367" s="6">
        <f>IF(ISERROR(VLOOKUP($S$367,'TAR FIN'!$A$1:$O$85,15,0)),0,VLOOKUP($S$367,'TAR FIN'!$A$1:$O$85,15,0))</f>
        <v>0</v>
      </c>
      <c r="W367" s="6">
        <f>IF(ISERROR(VLOOKUP($T$367,'TAR FIN'!$A$1:$O$85,15,0)),0,VLOOKUP($T$367,'TAR FIN'!$A$1:$O$85,15,0))</f>
        <v>76.75</v>
      </c>
      <c r="X367" s="6">
        <f>IF(ISERROR(VLOOKUP($U$367,'TAR FIN'!$A$1:$O$85,15,0)),0,VLOOKUP($U$367,'TAR FIN'!$A$1:$O$85,15,0))</f>
        <v>307.08</v>
      </c>
      <c r="Y367" s="6"/>
      <c r="Z367" s="6">
        <f ca="1">('TUSD BE'!$AM$12+'TUSD BF'!$AM$12+'TUSD CVA'!$AM$12)*1</f>
        <v>147.99431148733765</v>
      </c>
      <c r="AA367" s="6">
        <f>('TE BE'!$AB$6+'TE BF'!$AB$6+'TE CVA'!$AB$6)*1</f>
        <v>304.87027853653359</v>
      </c>
      <c r="AB367" s="6">
        <f>$K$367*$V$367</f>
        <v>0</v>
      </c>
      <c r="AC367" s="6">
        <f>$M$367*$W$367</f>
        <v>9838.6592500000006</v>
      </c>
      <c r="AD367" s="6">
        <f>$O$367*$X$367</f>
        <v>39364.89228</v>
      </c>
      <c r="AE367" s="6">
        <f>$K$367*$Y$367</f>
        <v>0</v>
      </c>
      <c r="AF367" s="6">
        <f ca="1">$M$367*$Z$367</f>
        <v>18971.5387838733</v>
      </c>
      <c r="AG367" s="6">
        <f>$O$367*$AA$367</f>
        <v>39081.62587587678</v>
      </c>
    </row>
    <row r="368" spans="1:33" ht="11.25" customHeight="1" x14ac:dyDescent="0.25">
      <c r="A368" s="4" t="s">
        <v>21</v>
      </c>
      <c r="B368" s="4" t="s">
        <v>39</v>
      </c>
      <c r="C368" s="4" t="s">
        <v>40</v>
      </c>
      <c r="D368" s="4" t="s">
        <v>38</v>
      </c>
      <c r="E368" s="4" t="s">
        <v>25</v>
      </c>
      <c r="F368" s="4" t="s">
        <v>25</v>
      </c>
      <c r="G368" s="4" t="s">
        <v>25</v>
      </c>
      <c r="H368" s="4" t="s">
        <v>35</v>
      </c>
      <c r="I368" s="5">
        <v>44470</v>
      </c>
      <c r="J368" s="6">
        <v>0</v>
      </c>
      <c r="K368" s="6">
        <v>0</v>
      </c>
      <c r="L368" s="6">
        <v>2581.2829999999999</v>
      </c>
      <c r="M368" s="6">
        <v>2581.2829999999999</v>
      </c>
      <c r="N368" s="6">
        <v>2581.2829999999999</v>
      </c>
      <c r="O368" s="6">
        <v>2581.2829999999999</v>
      </c>
      <c r="P368" s="6">
        <v>0</v>
      </c>
      <c r="Q368" s="4" t="s">
        <v>26</v>
      </c>
      <c r="R368" s="4">
        <v>0</v>
      </c>
      <c r="S368" s="6">
        <v>0</v>
      </c>
      <c r="T368" s="6">
        <v>8</v>
      </c>
      <c r="U368" s="6">
        <v>49</v>
      </c>
      <c r="V368" s="6">
        <f>IF(ISERROR(VLOOKUP($S$368,'TAR FIN'!$A$1:$O$85,15,0)),0,VLOOKUP($S$368,'TAR FIN'!$A$1:$O$85,15,0))</f>
        <v>0</v>
      </c>
      <c r="W368" s="6">
        <f>IF(ISERROR(VLOOKUP($T$368,'TAR FIN'!$A$1:$O$85,15,0)),0,VLOOKUP($T$368,'TAR FIN'!$A$1:$O$85,15,0))</f>
        <v>76.75</v>
      </c>
      <c r="X368" s="6">
        <f>IF(ISERROR(VLOOKUP($U$368,'TAR FIN'!$A$1:$O$85,15,0)),0,VLOOKUP($U$368,'TAR FIN'!$A$1:$O$85,15,0))</f>
        <v>307.08</v>
      </c>
      <c r="Y368" s="6"/>
      <c r="Z368" s="6">
        <f ca="1">('TUSD BE'!$AM$12+'TUSD BF'!$AM$12+'TUSD CVA'!$AM$12)*1</f>
        <v>147.99431148733765</v>
      </c>
      <c r="AA368" s="6">
        <f>('TE BE'!$AB$6+'TE BF'!$AB$6+'TE CVA'!$AB$6)*1</f>
        <v>304.87027853653359</v>
      </c>
      <c r="AB368" s="6">
        <f>$K$368*$V$368</f>
        <v>0</v>
      </c>
      <c r="AC368" s="6">
        <f>$M$368*$W$368</f>
        <v>198113.47024999998</v>
      </c>
      <c r="AD368" s="6">
        <f>$O$368*$X$368</f>
        <v>792660.3836399999</v>
      </c>
      <c r="AE368" s="6">
        <f>$K$368*$Y$368</f>
        <v>0</v>
      </c>
      <c r="AF368" s="6">
        <f ca="1">$M$368*$Z$368</f>
        <v>382015.20033896941</v>
      </c>
      <c r="AG368" s="6">
        <f>$O$368*$AA$368</f>
        <v>786956.46719161898</v>
      </c>
    </row>
    <row r="369" spans="1:33" ht="11.25" customHeight="1" x14ac:dyDescent="0.25">
      <c r="A369" s="4" t="s">
        <v>28</v>
      </c>
      <c r="B369" s="4" t="s">
        <v>39</v>
      </c>
      <c r="C369" s="4" t="s">
        <v>40</v>
      </c>
      <c r="D369" s="4" t="s">
        <v>38</v>
      </c>
      <c r="E369" s="4" t="s">
        <v>25</v>
      </c>
      <c r="F369" s="4" t="s">
        <v>25</v>
      </c>
      <c r="G369" s="4" t="s">
        <v>25</v>
      </c>
      <c r="H369" s="4" t="s">
        <v>35</v>
      </c>
      <c r="I369" s="5">
        <v>44470</v>
      </c>
      <c r="J369" s="6">
        <v>0</v>
      </c>
      <c r="K369" s="6">
        <v>0</v>
      </c>
      <c r="L369" s="6">
        <v>150.245</v>
      </c>
      <c r="M369" s="6">
        <v>150.245</v>
      </c>
      <c r="N369" s="6">
        <v>150.245</v>
      </c>
      <c r="O369" s="6">
        <v>150.245</v>
      </c>
      <c r="P369" s="6">
        <v>0</v>
      </c>
      <c r="Q369" s="4" t="s">
        <v>26</v>
      </c>
      <c r="R369" s="4">
        <v>0</v>
      </c>
      <c r="S369" s="6">
        <v>0</v>
      </c>
      <c r="T369" s="6">
        <v>8</v>
      </c>
      <c r="U369" s="6">
        <v>49</v>
      </c>
      <c r="V369" s="6">
        <f>IF(ISERROR(VLOOKUP($S$369,'TAR FIN'!$A$1:$O$85,15,0)),0,VLOOKUP($S$369,'TAR FIN'!$A$1:$O$85,15,0))</f>
        <v>0</v>
      </c>
      <c r="W369" s="6">
        <f>IF(ISERROR(VLOOKUP($T$369,'TAR FIN'!$A$1:$O$85,15,0)),0,VLOOKUP($T$369,'TAR FIN'!$A$1:$O$85,15,0))</f>
        <v>76.75</v>
      </c>
      <c r="X369" s="6">
        <f>IF(ISERROR(VLOOKUP($U$369,'TAR FIN'!$A$1:$O$85,15,0)),0,VLOOKUP($U$369,'TAR FIN'!$A$1:$O$85,15,0))</f>
        <v>307.08</v>
      </c>
      <c r="Y369" s="6"/>
      <c r="Z369" s="6">
        <f ca="1">('TUSD BE'!$AM$12+'TUSD BF'!$AM$12+'TUSD CVA'!$AM$12)*1</f>
        <v>147.99431148733765</v>
      </c>
      <c r="AA369" s="6">
        <f>('TE BE'!$AB$6+'TE BF'!$AB$6+'TE CVA'!$AB$6)*1</f>
        <v>304.87027853653359</v>
      </c>
      <c r="AB369" s="6">
        <f>$K$369*$V$369</f>
        <v>0</v>
      </c>
      <c r="AC369" s="6">
        <f>$M$369*$W$369</f>
        <v>11531.303750000001</v>
      </c>
      <c r="AD369" s="6">
        <f>$O$369*$X$369</f>
        <v>46137.234599999996</v>
      </c>
      <c r="AE369" s="6">
        <f>$K$369*$Y$369</f>
        <v>0</v>
      </c>
      <c r="AF369" s="6">
        <f ca="1">$M$369*$Z$369</f>
        <v>22235.405329415047</v>
      </c>
      <c r="AG369" s="6">
        <f>$O$369*$AA$369</f>
        <v>45805.234998721491</v>
      </c>
    </row>
    <row r="370" spans="1:33" ht="11.25" customHeight="1" x14ac:dyDescent="0.25">
      <c r="A370" s="4" t="s">
        <v>21</v>
      </c>
      <c r="B370" s="4" t="s">
        <v>39</v>
      </c>
      <c r="C370" s="4" t="s">
        <v>40</v>
      </c>
      <c r="D370" s="4" t="s">
        <v>38</v>
      </c>
      <c r="E370" s="4" t="s">
        <v>25</v>
      </c>
      <c r="F370" s="4" t="s">
        <v>25</v>
      </c>
      <c r="G370" s="4" t="s">
        <v>25</v>
      </c>
      <c r="H370" s="4" t="s">
        <v>35</v>
      </c>
      <c r="I370" s="5">
        <v>44501</v>
      </c>
      <c r="J370" s="6">
        <v>0</v>
      </c>
      <c r="K370" s="6">
        <v>0</v>
      </c>
      <c r="L370" s="6">
        <v>2309.0369999999998</v>
      </c>
      <c r="M370" s="6">
        <v>2309.0369999999998</v>
      </c>
      <c r="N370" s="6">
        <v>2309.0369999999998</v>
      </c>
      <c r="O370" s="6">
        <v>2309.0369999999998</v>
      </c>
      <c r="P370" s="6">
        <v>0</v>
      </c>
      <c r="Q370" s="4" t="s">
        <v>26</v>
      </c>
      <c r="R370" s="4">
        <v>0</v>
      </c>
      <c r="S370" s="6">
        <v>0</v>
      </c>
      <c r="T370" s="6">
        <v>8</v>
      </c>
      <c r="U370" s="6">
        <v>49</v>
      </c>
      <c r="V370" s="6">
        <f>IF(ISERROR(VLOOKUP($S$370,'TAR FIN'!$A$1:$O$85,15,0)),0,VLOOKUP($S$370,'TAR FIN'!$A$1:$O$85,15,0))</f>
        <v>0</v>
      </c>
      <c r="W370" s="6">
        <f>IF(ISERROR(VLOOKUP($T$370,'TAR FIN'!$A$1:$O$85,15,0)),0,VLOOKUP($T$370,'TAR FIN'!$A$1:$O$85,15,0))</f>
        <v>76.75</v>
      </c>
      <c r="X370" s="6">
        <f>IF(ISERROR(VLOOKUP($U$370,'TAR FIN'!$A$1:$O$85,15,0)),0,VLOOKUP($U$370,'TAR FIN'!$A$1:$O$85,15,0))</f>
        <v>307.08</v>
      </c>
      <c r="Y370" s="6"/>
      <c r="Z370" s="6">
        <f ca="1">('TUSD BE'!$AM$12+'TUSD BF'!$AM$12+'TUSD CVA'!$AM$12)*1</f>
        <v>147.99431148733765</v>
      </c>
      <c r="AA370" s="6">
        <f>('TE BE'!$AB$6+'TE BF'!$AB$6+'TE CVA'!$AB$6)*1</f>
        <v>304.87027853653359</v>
      </c>
      <c r="AB370" s="6">
        <f>$K$370*$V$370</f>
        <v>0</v>
      </c>
      <c r="AC370" s="6">
        <f>$M$370*$W$370</f>
        <v>177218.58974999998</v>
      </c>
      <c r="AD370" s="6">
        <f>$O$370*$X$370</f>
        <v>709059.08195999986</v>
      </c>
      <c r="AE370" s="6">
        <f>$K$370*$Y$370</f>
        <v>0</v>
      </c>
      <c r="AF370" s="6">
        <f ca="1">$M$370*$Z$370</f>
        <v>341724.34101378766</v>
      </c>
      <c r="AG370" s="6">
        <f>$O$370*$AA$370</f>
        <v>703956.75334116188</v>
      </c>
    </row>
    <row r="371" spans="1:33" ht="11.25" customHeight="1" x14ac:dyDescent="0.25">
      <c r="A371" s="4" t="s">
        <v>27</v>
      </c>
      <c r="B371" s="4" t="s">
        <v>39</v>
      </c>
      <c r="C371" s="4" t="s">
        <v>40</v>
      </c>
      <c r="D371" s="4" t="s">
        <v>38</v>
      </c>
      <c r="E371" s="4" t="s">
        <v>25</v>
      </c>
      <c r="F371" s="4" t="s">
        <v>25</v>
      </c>
      <c r="G371" s="4" t="s">
        <v>25</v>
      </c>
      <c r="H371" s="4" t="s">
        <v>35</v>
      </c>
      <c r="I371" s="5">
        <v>44501</v>
      </c>
      <c r="J371" s="6">
        <v>0</v>
      </c>
      <c r="K371" s="6">
        <v>0</v>
      </c>
      <c r="L371" s="6">
        <v>2.669</v>
      </c>
      <c r="M371" s="6">
        <v>2.669</v>
      </c>
      <c r="N371" s="6">
        <v>2.669</v>
      </c>
      <c r="O371" s="6">
        <v>2.669</v>
      </c>
      <c r="P371" s="6">
        <v>0</v>
      </c>
      <c r="Q371" s="4" t="s">
        <v>26</v>
      </c>
      <c r="R371" s="4">
        <v>0</v>
      </c>
      <c r="S371" s="6">
        <v>0</v>
      </c>
      <c r="T371" s="6">
        <v>8</v>
      </c>
      <c r="U371" s="6">
        <v>49</v>
      </c>
      <c r="V371" s="6">
        <f>IF(ISERROR(VLOOKUP($S$371,'TAR FIN'!$A$1:$O$85,15,0)),0,VLOOKUP($S$371,'TAR FIN'!$A$1:$O$85,15,0))</f>
        <v>0</v>
      </c>
      <c r="W371" s="6">
        <f>IF(ISERROR(VLOOKUP($T$371,'TAR FIN'!$A$1:$O$85,15,0)),0,VLOOKUP($T$371,'TAR FIN'!$A$1:$O$85,15,0))</f>
        <v>76.75</v>
      </c>
      <c r="X371" s="6">
        <f>IF(ISERROR(VLOOKUP($U$371,'TAR FIN'!$A$1:$O$85,15,0)),0,VLOOKUP($U$371,'TAR FIN'!$A$1:$O$85,15,0))</f>
        <v>307.08</v>
      </c>
      <c r="Y371" s="6"/>
      <c r="Z371" s="6">
        <f ca="1">('TUSD BE'!$AM$12+'TUSD BF'!$AM$12+'TUSD CVA'!$AM$12)*1</f>
        <v>147.99431148733765</v>
      </c>
      <c r="AA371" s="6">
        <f>('TE BE'!$AB$6+'TE BF'!$AB$6+'TE CVA'!$AB$6)*1</f>
        <v>304.87027853653359</v>
      </c>
      <c r="AB371" s="6">
        <f>$K$371*$V$371</f>
        <v>0</v>
      </c>
      <c r="AC371" s="6">
        <f>$M$371*$W$371</f>
        <v>204.84575000000001</v>
      </c>
      <c r="AD371" s="6">
        <f>$O$371*$X$371</f>
        <v>819.59651999999994</v>
      </c>
      <c r="AE371" s="6">
        <f>$K$371*$Y$371</f>
        <v>0</v>
      </c>
      <c r="AF371" s="6">
        <f ca="1">$M$371*$Z$371</f>
        <v>394.99681735970421</v>
      </c>
      <c r="AG371" s="6">
        <f>$O$371*$AA$371</f>
        <v>813.6987734140082</v>
      </c>
    </row>
    <row r="372" spans="1:33" ht="11.25" customHeight="1" x14ac:dyDescent="0.25">
      <c r="A372" s="4" t="s">
        <v>28</v>
      </c>
      <c r="B372" s="4" t="s">
        <v>39</v>
      </c>
      <c r="C372" s="4" t="s">
        <v>40</v>
      </c>
      <c r="D372" s="4" t="s">
        <v>38</v>
      </c>
      <c r="E372" s="4" t="s">
        <v>25</v>
      </c>
      <c r="F372" s="4" t="s">
        <v>25</v>
      </c>
      <c r="G372" s="4" t="s">
        <v>25</v>
      </c>
      <c r="H372" s="4" t="s">
        <v>35</v>
      </c>
      <c r="I372" s="5">
        <v>44501</v>
      </c>
      <c r="J372" s="6">
        <v>0</v>
      </c>
      <c r="K372" s="6">
        <v>0</v>
      </c>
      <c r="L372" s="6">
        <v>105.377</v>
      </c>
      <c r="M372" s="6">
        <v>105.377</v>
      </c>
      <c r="N372" s="6">
        <v>105.377</v>
      </c>
      <c r="O372" s="6">
        <v>105.377</v>
      </c>
      <c r="P372" s="6">
        <v>0</v>
      </c>
      <c r="Q372" s="4" t="s">
        <v>26</v>
      </c>
      <c r="R372" s="4">
        <v>0</v>
      </c>
      <c r="S372" s="6">
        <v>0</v>
      </c>
      <c r="T372" s="6">
        <v>8</v>
      </c>
      <c r="U372" s="6">
        <v>49</v>
      </c>
      <c r="V372" s="6">
        <f>IF(ISERROR(VLOOKUP($S$372,'TAR FIN'!$A$1:$O$85,15,0)),0,VLOOKUP($S$372,'TAR FIN'!$A$1:$O$85,15,0))</f>
        <v>0</v>
      </c>
      <c r="W372" s="6">
        <f>IF(ISERROR(VLOOKUP($T$372,'TAR FIN'!$A$1:$O$85,15,0)),0,VLOOKUP($T$372,'TAR FIN'!$A$1:$O$85,15,0))</f>
        <v>76.75</v>
      </c>
      <c r="X372" s="6">
        <f>IF(ISERROR(VLOOKUP($U$372,'TAR FIN'!$A$1:$O$85,15,0)),0,VLOOKUP($U$372,'TAR FIN'!$A$1:$O$85,15,0))</f>
        <v>307.08</v>
      </c>
      <c r="Y372" s="6"/>
      <c r="Z372" s="6">
        <f ca="1">('TUSD BE'!$AM$12+'TUSD BF'!$AM$12+'TUSD CVA'!$AM$12)*1</f>
        <v>147.99431148733765</v>
      </c>
      <c r="AA372" s="6">
        <f>('TE BE'!$AB$6+'TE BF'!$AB$6+'TE CVA'!$AB$6)*1</f>
        <v>304.87027853653359</v>
      </c>
      <c r="AB372" s="6">
        <f>$K$372*$V$372</f>
        <v>0</v>
      </c>
      <c r="AC372" s="6">
        <f>$M$372*$W$372</f>
        <v>8087.6847499999994</v>
      </c>
      <c r="AD372" s="6">
        <f>$O$372*$X$372</f>
        <v>32359.169159999998</v>
      </c>
      <c r="AE372" s="6">
        <f>$K$372*$Y$372</f>
        <v>0</v>
      </c>
      <c r="AF372" s="6">
        <f ca="1">$M$372*$Z$372</f>
        <v>15595.196561601178</v>
      </c>
      <c r="AG372" s="6">
        <f>$O$372*$AA$372</f>
        <v>32126.3153413443</v>
      </c>
    </row>
    <row r="373" spans="1:33" ht="11.25" customHeight="1" x14ac:dyDescent="0.25">
      <c r="A373" s="4" t="s">
        <v>21</v>
      </c>
      <c r="B373" s="4" t="s">
        <v>39</v>
      </c>
      <c r="C373" s="4" t="s">
        <v>40</v>
      </c>
      <c r="D373" s="4" t="s">
        <v>38</v>
      </c>
      <c r="E373" s="4" t="s">
        <v>25</v>
      </c>
      <c r="F373" s="4" t="s">
        <v>25</v>
      </c>
      <c r="G373" s="4" t="s">
        <v>25</v>
      </c>
      <c r="H373" s="4" t="s">
        <v>35</v>
      </c>
      <c r="I373" s="5">
        <v>44531</v>
      </c>
      <c r="J373" s="6">
        <v>0</v>
      </c>
      <c r="K373" s="6">
        <v>0</v>
      </c>
      <c r="L373" s="6">
        <v>2175.4059999999999</v>
      </c>
      <c r="M373" s="6">
        <v>2175.4059999999999</v>
      </c>
      <c r="N373" s="6">
        <v>2175.4059999999999</v>
      </c>
      <c r="O373" s="6">
        <v>2175.4059999999999</v>
      </c>
      <c r="P373" s="6">
        <v>0</v>
      </c>
      <c r="Q373" s="4" t="s">
        <v>26</v>
      </c>
      <c r="R373" s="4">
        <v>0</v>
      </c>
      <c r="S373" s="6">
        <v>0</v>
      </c>
      <c r="T373" s="6">
        <v>8</v>
      </c>
      <c r="U373" s="6">
        <v>49</v>
      </c>
      <c r="V373" s="6">
        <f>IF(ISERROR(VLOOKUP($S$373,'TAR FIN'!$A$1:$O$85,15,0)),0,VLOOKUP($S$373,'TAR FIN'!$A$1:$O$85,15,0))</f>
        <v>0</v>
      </c>
      <c r="W373" s="6">
        <f>IF(ISERROR(VLOOKUP($T$373,'TAR FIN'!$A$1:$O$85,15,0)),0,VLOOKUP($T$373,'TAR FIN'!$A$1:$O$85,15,0))</f>
        <v>76.75</v>
      </c>
      <c r="X373" s="6">
        <f>IF(ISERROR(VLOOKUP($U$373,'TAR FIN'!$A$1:$O$85,15,0)),0,VLOOKUP($U$373,'TAR FIN'!$A$1:$O$85,15,0))</f>
        <v>307.08</v>
      </c>
      <c r="Y373" s="6"/>
      <c r="Z373" s="6">
        <f ca="1">('TUSD BE'!$AM$12+'TUSD BF'!$AM$12+'TUSD CVA'!$AM$12)*1</f>
        <v>147.99431148733765</v>
      </c>
      <c r="AA373" s="6">
        <f>('TE BE'!$AB$6+'TE BF'!$AB$6+'TE CVA'!$AB$6)*1</f>
        <v>304.87027853653359</v>
      </c>
      <c r="AB373" s="6">
        <f>$K$373*$V$373</f>
        <v>0</v>
      </c>
      <c r="AC373" s="6">
        <f>$M$373*$W$373</f>
        <v>166962.4105</v>
      </c>
      <c r="AD373" s="6">
        <f>$O$373*$X$373</f>
        <v>668023.67447999993</v>
      </c>
      <c r="AE373" s="6">
        <f>$K$373*$Y$373</f>
        <v>0</v>
      </c>
      <c r="AF373" s="6">
        <f ca="1">$M$373*$Z$373</f>
        <v>321947.71317542327</v>
      </c>
      <c r="AG373" s="6">
        <f>$O$373*$AA$373</f>
        <v>663216.63315004634</v>
      </c>
    </row>
    <row r="374" spans="1:33" ht="11.25" customHeight="1" x14ac:dyDescent="0.25">
      <c r="A374" s="4" t="s">
        <v>28</v>
      </c>
      <c r="B374" s="4" t="s">
        <v>39</v>
      </c>
      <c r="C374" s="4" t="s">
        <v>40</v>
      </c>
      <c r="D374" s="4" t="s">
        <v>38</v>
      </c>
      <c r="E374" s="4" t="s">
        <v>25</v>
      </c>
      <c r="F374" s="4" t="s">
        <v>25</v>
      </c>
      <c r="G374" s="4" t="s">
        <v>25</v>
      </c>
      <c r="H374" s="4" t="s">
        <v>35</v>
      </c>
      <c r="I374" s="5">
        <v>44531</v>
      </c>
      <c r="J374" s="6">
        <v>0</v>
      </c>
      <c r="K374" s="6">
        <v>0</v>
      </c>
      <c r="L374" s="6">
        <v>71.927999999999997</v>
      </c>
      <c r="M374" s="6">
        <v>71.927999999999997</v>
      </c>
      <c r="N374" s="6">
        <v>71.927999999999997</v>
      </c>
      <c r="O374" s="6">
        <v>71.927999999999997</v>
      </c>
      <c r="P374" s="6">
        <v>0</v>
      </c>
      <c r="Q374" s="4" t="s">
        <v>26</v>
      </c>
      <c r="R374" s="4">
        <v>0</v>
      </c>
      <c r="S374" s="6">
        <v>0</v>
      </c>
      <c r="T374" s="6">
        <v>8</v>
      </c>
      <c r="U374" s="6">
        <v>49</v>
      </c>
      <c r="V374" s="6">
        <f>IF(ISERROR(VLOOKUP($S$374,'TAR FIN'!$A$1:$O$85,15,0)),0,VLOOKUP($S$374,'TAR FIN'!$A$1:$O$85,15,0))</f>
        <v>0</v>
      </c>
      <c r="W374" s="6">
        <f>IF(ISERROR(VLOOKUP($T$374,'TAR FIN'!$A$1:$O$85,15,0)),0,VLOOKUP($T$374,'TAR FIN'!$A$1:$O$85,15,0))</f>
        <v>76.75</v>
      </c>
      <c r="X374" s="6">
        <f>IF(ISERROR(VLOOKUP($U$374,'TAR FIN'!$A$1:$O$85,15,0)),0,VLOOKUP($U$374,'TAR FIN'!$A$1:$O$85,15,0))</f>
        <v>307.08</v>
      </c>
      <c r="Y374" s="6"/>
      <c r="Z374" s="6">
        <f ca="1">('TUSD BE'!$AM$12+'TUSD BF'!$AM$12+'TUSD CVA'!$AM$12)*1</f>
        <v>147.99431148733765</v>
      </c>
      <c r="AA374" s="6">
        <f>('TE BE'!$AB$6+'TE BF'!$AB$6+'TE CVA'!$AB$6)*1</f>
        <v>304.87027853653359</v>
      </c>
      <c r="AB374" s="6">
        <f>$K$374*$V$374</f>
        <v>0</v>
      </c>
      <c r="AC374" s="6">
        <f>$M$374*$W$374</f>
        <v>5520.4740000000002</v>
      </c>
      <c r="AD374" s="6">
        <f>$O$374*$X$374</f>
        <v>22087.650239999999</v>
      </c>
      <c r="AE374" s="6">
        <f>$K$374*$Y$374</f>
        <v>0</v>
      </c>
      <c r="AF374" s="6">
        <f ca="1">$M$374*$Z$374</f>
        <v>10644.934836661223</v>
      </c>
      <c r="AG374" s="6">
        <f>$O$374*$AA$374</f>
        <v>21928.709394575788</v>
      </c>
    </row>
    <row r="375" spans="1:33" ht="11.25" customHeight="1" x14ac:dyDescent="0.25">
      <c r="A375" s="4" t="s">
        <v>21</v>
      </c>
      <c r="B375" s="4" t="s">
        <v>39</v>
      </c>
      <c r="C375" s="4" t="s">
        <v>40</v>
      </c>
      <c r="D375" s="4" t="s">
        <v>38</v>
      </c>
      <c r="E375" s="4" t="s">
        <v>25</v>
      </c>
      <c r="F375" s="4" t="s">
        <v>25</v>
      </c>
      <c r="G375" s="4" t="s">
        <v>25</v>
      </c>
      <c r="H375" s="4" t="s">
        <v>35</v>
      </c>
      <c r="I375" s="5">
        <v>44562</v>
      </c>
      <c r="J375" s="6">
        <v>0</v>
      </c>
      <c r="K375" s="6">
        <v>0</v>
      </c>
      <c r="L375" s="6">
        <v>1627.6369999999999</v>
      </c>
      <c r="M375" s="6">
        <v>1627.6369999999999</v>
      </c>
      <c r="N375" s="6">
        <v>1627.6369999999999</v>
      </c>
      <c r="O375" s="6">
        <v>1627.6369999999999</v>
      </c>
      <c r="P375" s="6">
        <v>0</v>
      </c>
      <c r="Q375" s="4" t="s">
        <v>26</v>
      </c>
      <c r="R375" s="4">
        <v>0</v>
      </c>
      <c r="S375" s="6">
        <v>0</v>
      </c>
      <c r="T375" s="6">
        <v>8</v>
      </c>
      <c r="U375" s="6">
        <v>49</v>
      </c>
      <c r="V375" s="6">
        <f>IF(ISERROR(VLOOKUP($S$375,'TAR FIN'!$A$1:$O$85,15,0)),0,VLOOKUP($S$375,'TAR FIN'!$A$1:$O$85,15,0))</f>
        <v>0</v>
      </c>
      <c r="W375" s="6">
        <f>IF(ISERROR(VLOOKUP($T$375,'TAR FIN'!$A$1:$O$85,15,0)),0,VLOOKUP($T$375,'TAR FIN'!$A$1:$O$85,15,0))</f>
        <v>76.75</v>
      </c>
      <c r="X375" s="6">
        <f>IF(ISERROR(VLOOKUP($U$375,'TAR FIN'!$A$1:$O$85,15,0)),0,VLOOKUP($U$375,'TAR FIN'!$A$1:$O$85,15,0))</f>
        <v>307.08</v>
      </c>
      <c r="Y375" s="6"/>
      <c r="Z375" s="6">
        <f ca="1">('TUSD BE'!$AM$12+'TUSD BF'!$AM$12+'TUSD CVA'!$AM$12)*1</f>
        <v>147.99431148733765</v>
      </c>
      <c r="AA375" s="6">
        <f>('TE BE'!$AB$6+'TE BF'!$AB$6+'TE CVA'!$AB$6)*1</f>
        <v>304.87027853653359</v>
      </c>
      <c r="AB375" s="6">
        <f>$K$375*$V$375</f>
        <v>0</v>
      </c>
      <c r="AC375" s="6">
        <f>$M$375*$W$375</f>
        <v>124921.13975</v>
      </c>
      <c r="AD375" s="6">
        <f>$O$375*$X$375</f>
        <v>499814.76995999995</v>
      </c>
      <c r="AE375" s="6">
        <f>$K$375*$Y$375</f>
        <v>0</v>
      </c>
      <c r="AF375" s="6">
        <f ca="1">$M$375*$Z$375</f>
        <v>240881.01716631578</v>
      </c>
      <c r="AG375" s="6">
        <f>$O$375*$AA$375</f>
        <v>496218.14554636792</v>
      </c>
    </row>
    <row r="376" spans="1:33" ht="11.25" customHeight="1" x14ac:dyDescent="0.25">
      <c r="A376" s="4" t="s">
        <v>28</v>
      </c>
      <c r="B376" s="4" t="s">
        <v>39</v>
      </c>
      <c r="C376" s="4" t="s">
        <v>40</v>
      </c>
      <c r="D376" s="4" t="s">
        <v>38</v>
      </c>
      <c r="E376" s="4" t="s">
        <v>25</v>
      </c>
      <c r="F376" s="4" t="s">
        <v>25</v>
      </c>
      <c r="G376" s="4" t="s">
        <v>25</v>
      </c>
      <c r="H376" s="4" t="s">
        <v>35</v>
      </c>
      <c r="I376" s="5">
        <v>44562</v>
      </c>
      <c r="J376" s="6">
        <v>0</v>
      </c>
      <c r="K376" s="6">
        <v>0</v>
      </c>
      <c r="L376" s="6">
        <v>45.121000000000002</v>
      </c>
      <c r="M376" s="6">
        <v>45.121000000000002</v>
      </c>
      <c r="N376" s="6">
        <v>45.121000000000002</v>
      </c>
      <c r="O376" s="6">
        <v>45.121000000000002</v>
      </c>
      <c r="P376" s="6">
        <v>0</v>
      </c>
      <c r="Q376" s="4" t="s">
        <v>26</v>
      </c>
      <c r="R376" s="4">
        <v>0</v>
      </c>
      <c r="S376" s="6">
        <v>0</v>
      </c>
      <c r="T376" s="6">
        <v>8</v>
      </c>
      <c r="U376" s="6">
        <v>49</v>
      </c>
      <c r="V376" s="6">
        <f>IF(ISERROR(VLOOKUP($S$376,'TAR FIN'!$A$1:$O$85,15,0)),0,VLOOKUP($S$376,'TAR FIN'!$A$1:$O$85,15,0))</f>
        <v>0</v>
      </c>
      <c r="W376" s="6">
        <f>IF(ISERROR(VLOOKUP($T$376,'TAR FIN'!$A$1:$O$85,15,0)),0,VLOOKUP($T$376,'TAR FIN'!$A$1:$O$85,15,0))</f>
        <v>76.75</v>
      </c>
      <c r="X376" s="6">
        <f>IF(ISERROR(VLOOKUP($U$376,'TAR FIN'!$A$1:$O$85,15,0)),0,VLOOKUP($U$376,'TAR FIN'!$A$1:$O$85,15,0))</f>
        <v>307.08</v>
      </c>
      <c r="Y376" s="6"/>
      <c r="Z376" s="6">
        <f ca="1">('TUSD BE'!$AM$12+'TUSD BF'!$AM$12+'TUSD CVA'!$AM$12)*1</f>
        <v>147.99431148733765</v>
      </c>
      <c r="AA376" s="6">
        <f>('TE BE'!$AB$6+'TE BF'!$AB$6+'TE CVA'!$AB$6)*1</f>
        <v>304.87027853653359</v>
      </c>
      <c r="AB376" s="6">
        <f>$K$376*$V$376</f>
        <v>0</v>
      </c>
      <c r="AC376" s="6">
        <f>$M$376*$W$376</f>
        <v>3463.0367500000002</v>
      </c>
      <c r="AD376" s="6">
        <f>$O$376*$X$376</f>
        <v>13855.75668</v>
      </c>
      <c r="AE376" s="6">
        <f>$K$376*$Y$376</f>
        <v>0</v>
      </c>
      <c r="AF376" s="6">
        <f ca="1">$M$376*$Z$376</f>
        <v>6677.6513286201625</v>
      </c>
      <c r="AG376" s="6">
        <f>$O$376*$AA$376</f>
        <v>13756.051837846933</v>
      </c>
    </row>
    <row r="377" spans="1:33" ht="11.25" customHeight="1" x14ac:dyDescent="0.25">
      <c r="A377" s="4" t="s">
        <v>21</v>
      </c>
      <c r="B377" s="4" t="s">
        <v>39</v>
      </c>
      <c r="C377" s="4" t="s">
        <v>40</v>
      </c>
      <c r="D377" s="4" t="s">
        <v>38</v>
      </c>
      <c r="E377" s="4" t="s">
        <v>25</v>
      </c>
      <c r="F377" s="4" t="s">
        <v>25</v>
      </c>
      <c r="G377" s="4" t="s">
        <v>25</v>
      </c>
      <c r="H377" s="4" t="s">
        <v>35</v>
      </c>
      <c r="I377" s="5">
        <v>44593</v>
      </c>
      <c r="J377" s="6">
        <v>0</v>
      </c>
      <c r="K377" s="6">
        <v>0</v>
      </c>
      <c r="L377" s="6">
        <v>1798.4849999999999</v>
      </c>
      <c r="M377" s="6">
        <v>1798.4849999999999</v>
      </c>
      <c r="N377" s="6">
        <v>1798.4849999999999</v>
      </c>
      <c r="O377" s="6">
        <v>1798.4849999999999</v>
      </c>
      <c r="P377" s="6">
        <v>0</v>
      </c>
      <c r="Q377" s="4" t="s">
        <v>26</v>
      </c>
      <c r="R377" s="4">
        <v>0</v>
      </c>
      <c r="S377" s="6">
        <v>0</v>
      </c>
      <c r="T377" s="6">
        <v>8</v>
      </c>
      <c r="U377" s="6">
        <v>49</v>
      </c>
      <c r="V377" s="6">
        <f>IF(ISERROR(VLOOKUP($S$377,'TAR FIN'!$A$1:$O$85,15,0)),0,VLOOKUP($S$377,'TAR FIN'!$A$1:$O$85,15,0))</f>
        <v>0</v>
      </c>
      <c r="W377" s="6">
        <f>IF(ISERROR(VLOOKUP($T$377,'TAR FIN'!$A$1:$O$85,15,0)),0,VLOOKUP($T$377,'TAR FIN'!$A$1:$O$85,15,0))</f>
        <v>76.75</v>
      </c>
      <c r="X377" s="6">
        <f>IF(ISERROR(VLOOKUP($U$377,'TAR FIN'!$A$1:$O$85,15,0)),0,VLOOKUP($U$377,'TAR FIN'!$A$1:$O$85,15,0))</f>
        <v>307.08</v>
      </c>
      <c r="Y377" s="6"/>
      <c r="Z377" s="6">
        <f ca="1">('TUSD BE'!$AM$12+'TUSD BF'!$AM$12+'TUSD CVA'!$AM$12)*1</f>
        <v>147.99431148733765</v>
      </c>
      <c r="AA377" s="6">
        <f>('TE BE'!$AB$6+'TE BF'!$AB$6+'TE CVA'!$AB$6)*1</f>
        <v>304.87027853653359</v>
      </c>
      <c r="AB377" s="6">
        <f>$K$377*$V$377</f>
        <v>0</v>
      </c>
      <c r="AC377" s="6">
        <f>$M$377*$W$377</f>
        <v>138033.72375</v>
      </c>
      <c r="AD377" s="6">
        <f>$O$377*$X$377</f>
        <v>552278.77379999997</v>
      </c>
      <c r="AE377" s="6">
        <f>$K$377*$Y$377</f>
        <v>0</v>
      </c>
      <c r="AF377" s="6">
        <f ca="1">$M$377*$Z$377</f>
        <v>266165.54929530446</v>
      </c>
      <c r="AG377" s="6">
        <f>$O$377*$AA$377</f>
        <v>548304.62289377756</v>
      </c>
    </row>
    <row r="378" spans="1:33" ht="11.25" customHeight="1" x14ac:dyDescent="0.25">
      <c r="A378" s="4" t="s">
        <v>28</v>
      </c>
      <c r="B378" s="4" t="s">
        <v>39</v>
      </c>
      <c r="C378" s="4" t="s">
        <v>40</v>
      </c>
      <c r="D378" s="4" t="s">
        <v>38</v>
      </c>
      <c r="E378" s="4" t="s">
        <v>25</v>
      </c>
      <c r="F378" s="4" t="s">
        <v>25</v>
      </c>
      <c r="G378" s="4" t="s">
        <v>25</v>
      </c>
      <c r="H378" s="4" t="s">
        <v>35</v>
      </c>
      <c r="I378" s="5">
        <v>44593</v>
      </c>
      <c r="J378" s="6">
        <v>0</v>
      </c>
      <c r="K378" s="6">
        <v>0</v>
      </c>
      <c r="L378" s="6">
        <v>75.774000000000001</v>
      </c>
      <c r="M378" s="6">
        <v>75.774000000000001</v>
      </c>
      <c r="N378" s="6">
        <v>75.774000000000001</v>
      </c>
      <c r="O378" s="6">
        <v>75.774000000000001</v>
      </c>
      <c r="P378" s="6">
        <v>0</v>
      </c>
      <c r="Q378" s="4" t="s">
        <v>26</v>
      </c>
      <c r="R378" s="4">
        <v>0</v>
      </c>
      <c r="S378" s="6">
        <v>0</v>
      </c>
      <c r="T378" s="6">
        <v>8</v>
      </c>
      <c r="U378" s="6">
        <v>49</v>
      </c>
      <c r="V378" s="6">
        <f>IF(ISERROR(VLOOKUP($S$378,'TAR FIN'!$A$1:$O$85,15,0)),0,VLOOKUP($S$378,'TAR FIN'!$A$1:$O$85,15,0))</f>
        <v>0</v>
      </c>
      <c r="W378" s="6">
        <f>IF(ISERROR(VLOOKUP($T$378,'TAR FIN'!$A$1:$O$85,15,0)),0,VLOOKUP($T$378,'TAR FIN'!$A$1:$O$85,15,0))</f>
        <v>76.75</v>
      </c>
      <c r="X378" s="6">
        <f>IF(ISERROR(VLOOKUP($U$378,'TAR FIN'!$A$1:$O$85,15,0)),0,VLOOKUP($U$378,'TAR FIN'!$A$1:$O$85,15,0))</f>
        <v>307.08</v>
      </c>
      <c r="Y378" s="6"/>
      <c r="Z378" s="6">
        <f ca="1">('TUSD BE'!$AM$12+'TUSD BF'!$AM$12+'TUSD CVA'!$AM$12)*1</f>
        <v>147.99431148733765</v>
      </c>
      <c r="AA378" s="6">
        <f>('TE BE'!$AB$6+'TE BF'!$AB$6+'TE CVA'!$AB$6)*1</f>
        <v>304.87027853653359</v>
      </c>
      <c r="AB378" s="6">
        <f>$K$378*$V$378</f>
        <v>0</v>
      </c>
      <c r="AC378" s="6">
        <f>$M$378*$W$378</f>
        <v>5815.6544999999996</v>
      </c>
      <c r="AD378" s="6">
        <f>$O$378*$X$378</f>
        <v>23268.679919999999</v>
      </c>
      <c r="AE378" s="6">
        <f>$K$378*$Y$378</f>
        <v>0</v>
      </c>
      <c r="AF378" s="6">
        <f ca="1">$M$378*$Z$378</f>
        <v>11214.120958641524</v>
      </c>
      <c r="AG378" s="6">
        <f>$O$378*$AA$378</f>
        <v>23101.240485827297</v>
      </c>
    </row>
    <row r="379" spans="1:33" ht="11.25" customHeight="1" x14ac:dyDescent="0.25">
      <c r="A379" s="4" t="s">
        <v>21</v>
      </c>
      <c r="B379" s="4" t="s">
        <v>39</v>
      </c>
      <c r="C379" s="4" t="s">
        <v>40</v>
      </c>
      <c r="D379" s="4" t="s">
        <v>38</v>
      </c>
      <c r="E379" s="4" t="s">
        <v>25</v>
      </c>
      <c r="F379" s="4" t="s">
        <v>25</v>
      </c>
      <c r="G379" s="4" t="s">
        <v>25</v>
      </c>
      <c r="H379" s="4" t="s">
        <v>35</v>
      </c>
      <c r="I379" s="5">
        <v>44621</v>
      </c>
      <c r="J379" s="6">
        <v>0</v>
      </c>
      <c r="K379" s="6">
        <v>0</v>
      </c>
      <c r="L379" s="6">
        <v>1948.6479999999999</v>
      </c>
      <c r="M379" s="6">
        <v>1948.6479999999999</v>
      </c>
      <c r="N379" s="6">
        <v>1948.6479999999999</v>
      </c>
      <c r="O379" s="6">
        <v>1948.6479999999999</v>
      </c>
      <c r="P379" s="6">
        <v>0</v>
      </c>
      <c r="Q379" s="4" t="s">
        <v>26</v>
      </c>
      <c r="R379" s="4">
        <v>0</v>
      </c>
      <c r="S379" s="6">
        <v>0</v>
      </c>
      <c r="T379" s="6">
        <v>8</v>
      </c>
      <c r="U379" s="6">
        <v>49</v>
      </c>
      <c r="V379" s="6">
        <f>IF(ISERROR(VLOOKUP($S$379,'TAR FIN'!$A$1:$O$85,15,0)),0,VLOOKUP($S$379,'TAR FIN'!$A$1:$O$85,15,0))</f>
        <v>0</v>
      </c>
      <c r="W379" s="6">
        <f>IF(ISERROR(VLOOKUP($T$379,'TAR FIN'!$A$1:$O$85,15,0)),0,VLOOKUP($T$379,'TAR FIN'!$A$1:$O$85,15,0))</f>
        <v>76.75</v>
      </c>
      <c r="X379" s="6">
        <f>IF(ISERROR(VLOOKUP($U$379,'TAR FIN'!$A$1:$O$85,15,0)),0,VLOOKUP($U$379,'TAR FIN'!$A$1:$O$85,15,0))</f>
        <v>307.08</v>
      </c>
      <c r="Y379" s="6"/>
      <c r="Z379" s="6">
        <f ca="1">('TUSD BE'!$AM$12+'TUSD BF'!$AM$12+'TUSD CVA'!$AM$12)*1</f>
        <v>147.99431148733765</v>
      </c>
      <c r="AA379" s="6">
        <f>('TE BE'!$AB$6+'TE BF'!$AB$6+'TE CVA'!$AB$6)*1</f>
        <v>304.87027853653359</v>
      </c>
      <c r="AB379" s="6">
        <f>$K$379*$V$379</f>
        <v>0</v>
      </c>
      <c r="AC379" s="6">
        <f>$M$379*$W$379</f>
        <v>149558.734</v>
      </c>
      <c r="AD379" s="6">
        <f>$O$379*$X$379</f>
        <v>598390.82783999993</v>
      </c>
      <c r="AE379" s="6">
        <f>$K$379*$Y$379</f>
        <v>0</v>
      </c>
      <c r="AF379" s="6">
        <f ca="1">$M$379*$Z$379</f>
        <v>288388.81909117755</v>
      </c>
      <c r="AG379" s="6">
        <f>$O$379*$AA$379</f>
        <v>594084.8585296591</v>
      </c>
    </row>
    <row r="380" spans="1:33" ht="11.25" customHeight="1" x14ac:dyDescent="0.25">
      <c r="A380" s="4" t="s">
        <v>27</v>
      </c>
      <c r="B380" s="4" t="s">
        <v>39</v>
      </c>
      <c r="C380" s="4" t="s">
        <v>40</v>
      </c>
      <c r="D380" s="4" t="s">
        <v>38</v>
      </c>
      <c r="E380" s="4" t="s">
        <v>25</v>
      </c>
      <c r="F380" s="4" t="s">
        <v>25</v>
      </c>
      <c r="G380" s="4" t="s">
        <v>25</v>
      </c>
      <c r="H380" s="4" t="s">
        <v>35</v>
      </c>
      <c r="I380" s="5">
        <v>44621</v>
      </c>
      <c r="J380" s="6">
        <v>0</v>
      </c>
      <c r="K380" s="6">
        <v>0</v>
      </c>
      <c r="L380" s="6">
        <v>-7.5839999999999996</v>
      </c>
      <c r="M380" s="6">
        <v>-7.5839999999999996</v>
      </c>
      <c r="N380" s="6">
        <v>-7.5839999999999996</v>
      </c>
      <c r="O380" s="6">
        <v>-7.5839999999999996</v>
      </c>
      <c r="P380" s="6">
        <v>0</v>
      </c>
      <c r="Q380" s="4" t="s">
        <v>26</v>
      </c>
      <c r="R380" s="4">
        <v>0</v>
      </c>
      <c r="S380" s="6">
        <v>0</v>
      </c>
      <c r="T380" s="6">
        <v>8</v>
      </c>
      <c r="U380" s="6">
        <v>49</v>
      </c>
      <c r="V380" s="6">
        <f>IF(ISERROR(VLOOKUP($S$380,'TAR FIN'!$A$1:$O$85,15,0)),0,VLOOKUP($S$380,'TAR FIN'!$A$1:$O$85,15,0))</f>
        <v>0</v>
      </c>
      <c r="W380" s="6">
        <f>IF(ISERROR(VLOOKUP($T$380,'TAR FIN'!$A$1:$O$85,15,0)),0,VLOOKUP($T$380,'TAR FIN'!$A$1:$O$85,15,0))</f>
        <v>76.75</v>
      </c>
      <c r="X380" s="6">
        <f>IF(ISERROR(VLOOKUP($U$380,'TAR FIN'!$A$1:$O$85,15,0)),0,VLOOKUP($U$380,'TAR FIN'!$A$1:$O$85,15,0))</f>
        <v>307.08</v>
      </c>
      <c r="Y380" s="6"/>
      <c r="Z380" s="6">
        <f ca="1">('TUSD BE'!$AM$12+'TUSD BF'!$AM$12+'TUSD CVA'!$AM$12)*1</f>
        <v>147.99431148733765</v>
      </c>
      <c r="AA380" s="6">
        <f>('TE BE'!$AB$6+'TE BF'!$AB$6+'TE CVA'!$AB$6)*1</f>
        <v>304.87027853653359</v>
      </c>
      <c r="AB380" s="6">
        <f>$K$380*$V$380</f>
        <v>0</v>
      </c>
      <c r="AC380" s="6">
        <f>$M$380*$W$380</f>
        <v>-582.072</v>
      </c>
      <c r="AD380" s="6">
        <f>$O$380*$X$380</f>
        <v>-2328.8947199999998</v>
      </c>
      <c r="AE380" s="6">
        <f>$K$380*$Y$380</f>
        <v>0</v>
      </c>
      <c r="AF380" s="6">
        <f ca="1">$M$380*$Z$380</f>
        <v>-1122.3888583199687</v>
      </c>
      <c r="AG380" s="6">
        <f>$O$380*$AA$380</f>
        <v>-2312.1361924210705</v>
      </c>
    </row>
    <row r="381" spans="1:33" ht="11.25" customHeight="1" x14ac:dyDescent="0.25">
      <c r="A381" s="4" t="s">
        <v>28</v>
      </c>
      <c r="B381" s="4" t="s">
        <v>39</v>
      </c>
      <c r="C381" s="4" t="s">
        <v>40</v>
      </c>
      <c r="D381" s="4" t="s">
        <v>38</v>
      </c>
      <c r="E381" s="4" t="s">
        <v>25</v>
      </c>
      <c r="F381" s="4" t="s">
        <v>25</v>
      </c>
      <c r="G381" s="4" t="s">
        <v>25</v>
      </c>
      <c r="H381" s="4" t="s">
        <v>35</v>
      </c>
      <c r="I381" s="5">
        <v>44621</v>
      </c>
      <c r="J381" s="6">
        <v>0</v>
      </c>
      <c r="K381" s="6">
        <v>0</v>
      </c>
      <c r="L381" s="6">
        <v>78.519000000000005</v>
      </c>
      <c r="M381" s="6">
        <v>78.519000000000005</v>
      </c>
      <c r="N381" s="6">
        <v>78.519000000000005</v>
      </c>
      <c r="O381" s="6">
        <v>78.519000000000005</v>
      </c>
      <c r="P381" s="6">
        <v>0</v>
      </c>
      <c r="Q381" s="4" t="s">
        <v>26</v>
      </c>
      <c r="R381" s="4">
        <v>0</v>
      </c>
      <c r="S381" s="6">
        <v>0</v>
      </c>
      <c r="T381" s="6">
        <v>8</v>
      </c>
      <c r="U381" s="6">
        <v>49</v>
      </c>
      <c r="V381" s="6">
        <f>IF(ISERROR(VLOOKUP($S$381,'TAR FIN'!$A$1:$O$85,15,0)),0,VLOOKUP($S$381,'TAR FIN'!$A$1:$O$85,15,0))</f>
        <v>0</v>
      </c>
      <c r="W381" s="6">
        <f>IF(ISERROR(VLOOKUP($T$381,'TAR FIN'!$A$1:$O$85,15,0)),0,VLOOKUP($T$381,'TAR FIN'!$A$1:$O$85,15,0))</f>
        <v>76.75</v>
      </c>
      <c r="X381" s="6">
        <f>IF(ISERROR(VLOOKUP($U$381,'TAR FIN'!$A$1:$O$85,15,0)),0,VLOOKUP($U$381,'TAR FIN'!$A$1:$O$85,15,0))</f>
        <v>307.08</v>
      </c>
      <c r="Y381" s="6"/>
      <c r="Z381" s="6">
        <f ca="1">('TUSD BE'!$AM$12+'TUSD BF'!$AM$12+'TUSD CVA'!$AM$12)*1</f>
        <v>147.99431148733765</v>
      </c>
      <c r="AA381" s="6">
        <f>('TE BE'!$AB$6+'TE BF'!$AB$6+'TE CVA'!$AB$6)*1</f>
        <v>304.87027853653359</v>
      </c>
      <c r="AB381" s="6">
        <f>$K$381*$V$381</f>
        <v>0</v>
      </c>
      <c r="AC381" s="6">
        <f>$M$381*$W$381</f>
        <v>6026.3332500000006</v>
      </c>
      <c r="AD381" s="6">
        <f>$O$381*$X$381</f>
        <v>24111.614519999999</v>
      </c>
      <c r="AE381" s="6">
        <f>$K$381*$Y$381</f>
        <v>0</v>
      </c>
      <c r="AF381" s="6">
        <f ca="1">$M$381*$Z$381</f>
        <v>11620.365343674266</v>
      </c>
      <c r="AG381" s="6">
        <f>$O$381*$AA$381</f>
        <v>23938.109400410081</v>
      </c>
    </row>
    <row r="382" spans="1:33" ht="11.25" customHeight="1" x14ac:dyDescent="0.25">
      <c r="A382" s="4" t="s">
        <v>28</v>
      </c>
      <c r="B382" s="4" t="s">
        <v>39</v>
      </c>
      <c r="C382" s="4" t="s">
        <v>40</v>
      </c>
      <c r="D382" s="4" t="s">
        <v>38</v>
      </c>
      <c r="E382" s="4" t="s">
        <v>25</v>
      </c>
      <c r="F382" s="4" t="s">
        <v>25</v>
      </c>
      <c r="G382" s="4" t="s">
        <v>25</v>
      </c>
      <c r="H382" s="4" t="s">
        <v>35</v>
      </c>
      <c r="I382" s="5">
        <v>44621</v>
      </c>
      <c r="J382" s="6">
        <v>0</v>
      </c>
      <c r="K382" s="6">
        <v>0</v>
      </c>
      <c r="L382" s="6">
        <v>6.6619999999999999</v>
      </c>
      <c r="M382" s="6">
        <v>6.6619999999999999</v>
      </c>
      <c r="N382" s="6">
        <v>6.6619999999999999</v>
      </c>
      <c r="O382" s="6">
        <v>6.6619999999999999</v>
      </c>
      <c r="P382" s="6">
        <v>0</v>
      </c>
      <c r="Q382" s="4" t="s">
        <v>26</v>
      </c>
      <c r="R382" s="4">
        <v>0</v>
      </c>
      <c r="S382" s="6">
        <v>0</v>
      </c>
      <c r="T382" s="6">
        <v>8</v>
      </c>
      <c r="U382" s="6">
        <v>49</v>
      </c>
      <c r="V382" s="6">
        <f>IF(ISERROR(VLOOKUP($S$382,'TAR FIN'!$A$1:$O$85,15,0)),0,VLOOKUP($S$382,'TAR FIN'!$A$1:$O$85,15,0))</f>
        <v>0</v>
      </c>
      <c r="W382" s="6">
        <f>IF(ISERROR(VLOOKUP($T$382,'TAR FIN'!$A$1:$O$85,15,0)),0,VLOOKUP($T$382,'TAR FIN'!$A$1:$O$85,15,0))</f>
        <v>76.75</v>
      </c>
      <c r="X382" s="6">
        <f>IF(ISERROR(VLOOKUP($U$382,'TAR FIN'!$A$1:$O$85,15,0)),0,VLOOKUP($U$382,'TAR FIN'!$A$1:$O$85,15,0))</f>
        <v>307.08</v>
      </c>
      <c r="Y382" s="6"/>
      <c r="Z382" s="6">
        <f ca="1">('TUSD BE'!$AM$12+'TUSD BF'!$AM$12+'TUSD CVA'!$AM$12)*1</f>
        <v>147.99431148733765</v>
      </c>
      <c r="AA382" s="6">
        <f>('TE BE'!$AB$6+'TE BF'!$AB$6+'TE CVA'!$AB$6)*1</f>
        <v>304.87027853653359</v>
      </c>
      <c r="AB382" s="6">
        <f>$K$382*$V$382</f>
        <v>0</v>
      </c>
      <c r="AC382" s="6">
        <f>$M$382*$W$382</f>
        <v>511.30849999999998</v>
      </c>
      <c r="AD382" s="6">
        <f>$O$382*$X$382</f>
        <v>2045.7669599999999</v>
      </c>
      <c r="AE382" s="6">
        <f>$K$382*$Y$382</f>
        <v>0</v>
      </c>
      <c r="AF382" s="6">
        <f ca="1">$M$382*$Z$382</f>
        <v>985.93810312864343</v>
      </c>
      <c r="AG382" s="6">
        <f>$O$382*$AA$382</f>
        <v>2031.0457956103867</v>
      </c>
    </row>
    <row r="383" spans="1:33" ht="11.25" customHeight="1" x14ac:dyDescent="0.25">
      <c r="A383" s="4" t="s">
        <v>21</v>
      </c>
      <c r="B383" s="4" t="s">
        <v>39</v>
      </c>
      <c r="C383" s="4" t="s">
        <v>40</v>
      </c>
      <c r="D383" s="4" t="s">
        <v>38</v>
      </c>
      <c r="E383" s="4" t="s">
        <v>25</v>
      </c>
      <c r="F383" s="4" t="s">
        <v>25</v>
      </c>
      <c r="G383" s="4" t="s">
        <v>25</v>
      </c>
      <c r="H383" s="4" t="s">
        <v>35</v>
      </c>
      <c r="I383" s="5">
        <v>44652</v>
      </c>
      <c r="J383" s="6">
        <v>0</v>
      </c>
      <c r="K383" s="6">
        <v>0</v>
      </c>
      <c r="L383" s="6">
        <v>1770.5450000000001</v>
      </c>
      <c r="M383" s="6">
        <v>1770.5450000000001</v>
      </c>
      <c r="N383" s="6">
        <v>1770.5450000000001</v>
      </c>
      <c r="O383" s="6">
        <v>1770.5450000000001</v>
      </c>
      <c r="P383" s="6">
        <v>0</v>
      </c>
      <c r="Q383" s="4" t="s">
        <v>26</v>
      </c>
      <c r="R383" s="4">
        <v>0</v>
      </c>
      <c r="S383" s="6">
        <v>0</v>
      </c>
      <c r="T383" s="6">
        <v>8</v>
      </c>
      <c r="U383" s="6">
        <v>49</v>
      </c>
      <c r="V383" s="6">
        <f>IF(ISERROR(VLOOKUP($S$383,'TAR FIN'!$A$1:$O$85,15,0)),0,VLOOKUP($S$383,'TAR FIN'!$A$1:$O$85,15,0))</f>
        <v>0</v>
      </c>
      <c r="W383" s="6">
        <f>IF(ISERROR(VLOOKUP($T$383,'TAR FIN'!$A$1:$O$85,15,0)),0,VLOOKUP($T$383,'TAR FIN'!$A$1:$O$85,15,0))</f>
        <v>76.75</v>
      </c>
      <c r="X383" s="6">
        <f>IF(ISERROR(VLOOKUP($U$383,'TAR FIN'!$A$1:$O$85,15,0)),0,VLOOKUP($U$383,'TAR FIN'!$A$1:$O$85,15,0))</f>
        <v>307.08</v>
      </c>
      <c r="Y383" s="6"/>
      <c r="Z383" s="6">
        <f ca="1">('TUSD BE'!$AM$12+'TUSD BF'!$AM$12+'TUSD CVA'!$AM$12)*1</f>
        <v>147.99431148733765</v>
      </c>
      <c r="AA383" s="6">
        <f>('TE BE'!$AB$6+'TE BF'!$AB$6+'TE CVA'!$AB$6)*1</f>
        <v>304.87027853653359</v>
      </c>
      <c r="AB383" s="6">
        <f>$K$383*$V$383</f>
        <v>0</v>
      </c>
      <c r="AC383" s="6">
        <f>$M$383*$W$383</f>
        <v>135889.32875000002</v>
      </c>
      <c r="AD383" s="6">
        <f>$O$383*$X$383</f>
        <v>543698.95860000001</v>
      </c>
      <c r="AE383" s="6">
        <f>$K$383*$Y$383</f>
        <v>0</v>
      </c>
      <c r="AF383" s="6">
        <f ca="1">$M$383*$Z$383</f>
        <v>262030.58823234827</v>
      </c>
      <c r="AG383" s="6">
        <f>$O$383*$AA$383</f>
        <v>539786.54731146689</v>
      </c>
    </row>
    <row r="384" spans="1:33" ht="11.25" customHeight="1" x14ac:dyDescent="0.25">
      <c r="A384" s="4" t="s">
        <v>28</v>
      </c>
      <c r="B384" s="4" t="s">
        <v>39</v>
      </c>
      <c r="C384" s="4" t="s">
        <v>40</v>
      </c>
      <c r="D384" s="4" t="s">
        <v>38</v>
      </c>
      <c r="E384" s="4" t="s">
        <v>25</v>
      </c>
      <c r="F384" s="4" t="s">
        <v>25</v>
      </c>
      <c r="G384" s="4" t="s">
        <v>25</v>
      </c>
      <c r="H384" s="4" t="s">
        <v>35</v>
      </c>
      <c r="I384" s="5">
        <v>44652</v>
      </c>
      <c r="J384" s="6">
        <v>0</v>
      </c>
      <c r="K384" s="6">
        <v>0</v>
      </c>
      <c r="L384" s="6">
        <v>73.103999999999999</v>
      </c>
      <c r="M384" s="6">
        <v>73.103999999999999</v>
      </c>
      <c r="N384" s="6">
        <v>73.103999999999999</v>
      </c>
      <c r="O384" s="6">
        <v>73.103999999999999</v>
      </c>
      <c r="P384" s="6">
        <v>0</v>
      </c>
      <c r="Q384" s="4" t="s">
        <v>26</v>
      </c>
      <c r="R384" s="4">
        <v>0</v>
      </c>
      <c r="S384" s="6">
        <v>0</v>
      </c>
      <c r="T384" s="6">
        <v>8</v>
      </c>
      <c r="U384" s="6">
        <v>49</v>
      </c>
      <c r="V384" s="6">
        <f>IF(ISERROR(VLOOKUP($S$384,'TAR FIN'!$A$1:$O$85,15,0)),0,VLOOKUP($S$384,'TAR FIN'!$A$1:$O$85,15,0))</f>
        <v>0</v>
      </c>
      <c r="W384" s="6">
        <f>IF(ISERROR(VLOOKUP($T$384,'TAR FIN'!$A$1:$O$85,15,0)),0,VLOOKUP($T$384,'TAR FIN'!$A$1:$O$85,15,0))</f>
        <v>76.75</v>
      </c>
      <c r="X384" s="6">
        <f>IF(ISERROR(VLOOKUP($U$384,'TAR FIN'!$A$1:$O$85,15,0)),0,VLOOKUP($U$384,'TAR FIN'!$A$1:$O$85,15,0))</f>
        <v>307.08</v>
      </c>
      <c r="Y384" s="6"/>
      <c r="Z384" s="6">
        <f ca="1">('TUSD BE'!$AM$12+'TUSD BF'!$AM$12+'TUSD CVA'!$AM$12)*1</f>
        <v>147.99431148733765</v>
      </c>
      <c r="AA384" s="6">
        <f>('TE BE'!$AB$6+'TE BF'!$AB$6+'TE CVA'!$AB$6)*1</f>
        <v>304.87027853653359</v>
      </c>
      <c r="AB384" s="6">
        <f>$K$384*$V$384</f>
        <v>0</v>
      </c>
      <c r="AC384" s="6">
        <f>$M$384*$W$384</f>
        <v>5610.732</v>
      </c>
      <c r="AD384" s="6">
        <f>$O$384*$X$384</f>
        <v>22448.776319999997</v>
      </c>
      <c r="AE384" s="6">
        <f>$K$384*$Y$384</f>
        <v>0</v>
      </c>
      <c r="AF384" s="6">
        <f ca="1">$M$384*$Z$384</f>
        <v>10818.976146970332</v>
      </c>
      <c r="AG384" s="6">
        <f>$O$384*$AA$384</f>
        <v>22287.236842134753</v>
      </c>
    </row>
    <row r="385" spans="1:33" ht="11.25" customHeight="1" x14ac:dyDescent="0.25">
      <c r="A385" s="4" t="s">
        <v>21</v>
      </c>
      <c r="B385" s="4" t="s">
        <v>39</v>
      </c>
      <c r="C385" s="4" t="s">
        <v>40</v>
      </c>
      <c r="D385" s="4" t="s">
        <v>38</v>
      </c>
      <c r="E385" s="4" t="s">
        <v>25</v>
      </c>
      <c r="F385" s="4" t="s">
        <v>25</v>
      </c>
      <c r="G385" s="4" t="s">
        <v>25</v>
      </c>
      <c r="H385" s="4" t="s">
        <v>35</v>
      </c>
      <c r="I385" s="5">
        <v>44682</v>
      </c>
      <c r="J385" s="6">
        <v>0</v>
      </c>
      <c r="K385" s="6">
        <v>0</v>
      </c>
      <c r="L385" s="6">
        <v>1763.63</v>
      </c>
      <c r="M385" s="6">
        <v>1763.63</v>
      </c>
      <c r="N385" s="6">
        <v>1763.63</v>
      </c>
      <c r="O385" s="6">
        <v>1763.63</v>
      </c>
      <c r="P385" s="6">
        <v>0</v>
      </c>
      <c r="Q385" s="4" t="s">
        <v>26</v>
      </c>
      <c r="R385" s="4">
        <v>0</v>
      </c>
      <c r="S385" s="6">
        <v>0</v>
      </c>
      <c r="T385" s="6">
        <v>8</v>
      </c>
      <c r="U385" s="6">
        <v>49</v>
      </c>
      <c r="V385" s="6">
        <f>IF(ISERROR(VLOOKUP($S$385,'TAR FIN'!$A$1:$O$85,15,0)),0,VLOOKUP($S$385,'TAR FIN'!$A$1:$O$85,15,0))</f>
        <v>0</v>
      </c>
      <c r="W385" s="6">
        <f>IF(ISERROR(VLOOKUP($T$385,'TAR FIN'!$A$1:$O$85,15,0)),0,VLOOKUP($T$385,'TAR FIN'!$A$1:$O$85,15,0))</f>
        <v>76.75</v>
      </c>
      <c r="X385" s="6">
        <f>IF(ISERROR(VLOOKUP($U$385,'TAR FIN'!$A$1:$O$85,15,0)),0,VLOOKUP($U$385,'TAR FIN'!$A$1:$O$85,15,0))</f>
        <v>307.08</v>
      </c>
      <c r="Y385" s="6"/>
      <c r="Z385" s="6">
        <f ca="1">('TUSD BE'!$AM$12+'TUSD BF'!$AM$12+'TUSD CVA'!$AM$12)*1</f>
        <v>147.99431148733765</v>
      </c>
      <c r="AA385" s="6">
        <f>('TE BE'!$AB$6+'TE BF'!$AB$6+'TE CVA'!$AB$6)*1</f>
        <v>304.87027853653359</v>
      </c>
      <c r="AB385" s="6">
        <f>$K$385*$V$385</f>
        <v>0</v>
      </c>
      <c r="AC385" s="6">
        <f>$M$385*$W$385</f>
        <v>135358.60250000001</v>
      </c>
      <c r="AD385" s="6">
        <f>$O$385*$X$385</f>
        <v>541575.50040000002</v>
      </c>
      <c r="AE385" s="6">
        <f>$K$385*$Y$385</f>
        <v>0</v>
      </c>
      <c r="AF385" s="6">
        <f ca="1">$M$385*$Z$385</f>
        <v>261007.20756841332</v>
      </c>
      <c r="AG385" s="6">
        <f>$O$385*$AA$385</f>
        <v>537678.36933538679</v>
      </c>
    </row>
    <row r="386" spans="1:33" ht="11.25" customHeight="1" x14ac:dyDescent="0.25">
      <c r="A386" s="4" t="s">
        <v>28</v>
      </c>
      <c r="B386" s="4" t="s">
        <v>39</v>
      </c>
      <c r="C386" s="4" t="s">
        <v>40</v>
      </c>
      <c r="D386" s="4" t="s">
        <v>38</v>
      </c>
      <c r="E386" s="4" t="s">
        <v>25</v>
      </c>
      <c r="F386" s="4" t="s">
        <v>25</v>
      </c>
      <c r="G386" s="4" t="s">
        <v>25</v>
      </c>
      <c r="H386" s="4" t="s">
        <v>35</v>
      </c>
      <c r="I386" s="5">
        <v>44682</v>
      </c>
      <c r="J386" s="6">
        <v>0</v>
      </c>
      <c r="K386" s="6">
        <v>0</v>
      </c>
      <c r="L386" s="6">
        <v>136.54</v>
      </c>
      <c r="M386" s="6">
        <v>136.54</v>
      </c>
      <c r="N386" s="6">
        <v>136.54</v>
      </c>
      <c r="O386" s="6">
        <v>136.54</v>
      </c>
      <c r="P386" s="6">
        <v>0</v>
      </c>
      <c r="Q386" s="4" t="s">
        <v>26</v>
      </c>
      <c r="R386" s="4">
        <v>0</v>
      </c>
      <c r="S386" s="6">
        <v>0</v>
      </c>
      <c r="T386" s="6">
        <v>8</v>
      </c>
      <c r="U386" s="6">
        <v>49</v>
      </c>
      <c r="V386" s="6">
        <f>IF(ISERROR(VLOOKUP($S$386,'TAR FIN'!$A$1:$O$85,15,0)),0,VLOOKUP($S$386,'TAR FIN'!$A$1:$O$85,15,0))</f>
        <v>0</v>
      </c>
      <c r="W386" s="6">
        <f>IF(ISERROR(VLOOKUP($T$386,'TAR FIN'!$A$1:$O$85,15,0)),0,VLOOKUP($T$386,'TAR FIN'!$A$1:$O$85,15,0))</f>
        <v>76.75</v>
      </c>
      <c r="X386" s="6">
        <f>IF(ISERROR(VLOOKUP($U$386,'TAR FIN'!$A$1:$O$85,15,0)),0,VLOOKUP($U$386,'TAR FIN'!$A$1:$O$85,15,0))</f>
        <v>307.08</v>
      </c>
      <c r="Y386" s="6"/>
      <c r="Z386" s="6">
        <f ca="1">('TUSD BE'!$AM$12+'TUSD BF'!$AM$12+'TUSD CVA'!$AM$12)*1</f>
        <v>147.99431148733765</v>
      </c>
      <c r="AA386" s="6">
        <f>('TE BE'!$AB$6+'TE BF'!$AB$6+'TE CVA'!$AB$6)*1</f>
        <v>304.87027853653359</v>
      </c>
      <c r="AB386" s="6">
        <f>$K$386*$V$386</f>
        <v>0</v>
      </c>
      <c r="AC386" s="6">
        <f>$M$386*$W$386</f>
        <v>10479.445</v>
      </c>
      <c r="AD386" s="6">
        <f>$O$386*$X$386</f>
        <v>41928.703199999996</v>
      </c>
      <c r="AE386" s="6">
        <f>$K$386*$Y$386</f>
        <v>0</v>
      </c>
      <c r="AF386" s="6">
        <f ca="1">$M$386*$Z$386</f>
        <v>20207.143290481083</v>
      </c>
      <c r="AG386" s="6">
        <f>$O$386*$AA$386</f>
        <v>41626.987831378297</v>
      </c>
    </row>
    <row r="387" spans="1:33" ht="11.25" customHeight="1" x14ac:dyDescent="0.25">
      <c r="A387" s="4" t="s">
        <v>28</v>
      </c>
      <c r="B387" s="4" t="s">
        <v>39</v>
      </c>
      <c r="C387" s="4" t="s">
        <v>40</v>
      </c>
      <c r="D387" s="4" t="s">
        <v>38</v>
      </c>
      <c r="E387" s="4" t="s">
        <v>25</v>
      </c>
      <c r="F387" s="4" t="s">
        <v>25</v>
      </c>
      <c r="G387" s="4" t="s">
        <v>25</v>
      </c>
      <c r="H387" s="4" t="s">
        <v>35</v>
      </c>
      <c r="I387" s="5">
        <v>44682</v>
      </c>
      <c r="J387" s="6">
        <v>0</v>
      </c>
      <c r="K387" s="6">
        <v>0</v>
      </c>
      <c r="L387" s="6">
        <v>13.336</v>
      </c>
      <c r="M387" s="6">
        <v>13.336</v>
      </c>
      <c r="N387" s="6">
        <v>13.336</v>
      </c>
      <c r="O387" s="6">
        <v>13.336</v>
      </c>
      <c r="P387" s="6">
        <v>0</v>
      </c>
      <c r="Q387" s="4" t="s">
        <v>26</v>
      </c>
      <c r="R387" s="4">
        <v>0</v>
      </c>
      <c r="S387" s="6">
        <v>0</v>
      </c>
      <c r="T387" s="6">
        <v>8</v>
      </c>
      <c r="U387" s="6">
        <v>49</v>
      </c>
      <c r="V387" s="6">
        <f>IF(ISERROR(VLOOKUP($S$387,'TAR FIN'!$A$1:$O$85,15,0)),0,VLOOKUP($S$387,'TAR FIN'!$A$1:$O$85,15,0))</f>
        <v>0</v>
      </c>
      <c r="W387" s="6">
        <f>IF(ISERROR(VLOOKUP($T$387,'TAR FIN'!$A$1:$O$85,15,0)),0,VLOOKUP($T$387,'TAR FIN'!$A$1:$O$85,15,0))</f>
        <v>76.75</v>
      </c>
      <c r="X387" s="6">
        <f>IF(ISERROR(VLOOKUP($U$387,'TAR FIN'!$A$1:$O$85,15,0)),0,VLOOKUP($U$387,'TAR FIN'!$A$1:$O$85,15,0))</f>
        <v>307.08</v>
      </c>
      <c r="Y387" s="6"/>
      <c r="Z387" s="6">
        <f ca="1">('TUSD BE'!$AM$12+'TUSD BF'!$AM$12+'TUSD CVA'!$AM$12)*1</f>
        <v>147.99431148733765</v>
      </c>
      <c r="AA387" s="6">
        <f>('TE BE'!$AB$6+'TE BF'!$AB$6+'TE CVA'!$AB$6)*1</f>
        <v>304.87027853653359</v>
      </c>
      <c r="AB387" s="6">
        <f>$K$387*$V$387</f>
        <v>0</v>
      </c>
      <c r="AC387" s="6">
        <f>$M$387*$W$387</f>
        <v>1023.538</v>
      </c>
      <c r="AD387" s="6">
        <f>$O$387*$X$387</f>
        <v>4095.2188799999999</v>
      </c>
      <c r="AE387" s="6">
        <f>$K$387*$Y$387</f>
        <v>0</v>
      </c>
      <c r="AF387" s="6">
        <f ca="1">$M$387*$Z$387</f>
        <v>1973.652137995135</v>
      </c>
      <c r="AG387" s="6">
        <f>$O$387*$AA$387</f>
        <v>4065.750034563212</v>
      </c>
    </row>
    <row r="388" spans="1:33" ht="11.25" customHeight="1" x14ac:dyDescent="0.25">
      <c r="A388" s="4" t="s">
        <v>21</v>
      </c>
      <c r="B388" s="4" t="s">
        <v>39</v>
      </c>
      <c r="C388" s="4" t="s">
        <v>40</v>
      </c>
      <c r="D388" s="4" t="s">
        <v>38</v>
      </c>
      <c r="E388" s="4" t="s">
        <v>25</v>
      </c>
      <c r="F388" s="4" t="s">
        <v>25</v>
      </c>
      <c r="G388" s="4" t="s">
        <v>25</v>
      </c>
      <c r="H388" s="4" t="s">
        <v>35</v>
      </c>
      <c r="I388" s="5">
        <v>44713</v>
      </c>
      <c r="J388" s="6">
        <v>0</v>
      </c>
      <c r="K388" s="6">
        <v>0</v>
      </c>
      <c r="L388" s="6">
        <v>1518.097</v>
      </c>
      <c r="M388" s="6">
        <v>1518.097</v>
      </c>
      <c r="N388" s="6">
        <v>1518.097</v>
      </c>
      <c r="O388" s="6">
        <v>1518.097</v>
      </c>
      <c r="P388" s="6">
        <v>0</v>
      </c>
      <c r="Q388" s="4" t="s">
        <v>26</v>
      </c>
      <c r="R388" s="4">
        <v>0</v>
      </c>
      <c r="S388" s="6">
        <v>0</v>
      </c>
      <c r="T388" s="6">
        <v>8</v>
      </c>
      <c r="U388" s="6">
        <v>49</v>
      </c>
      <c r="V388" s="6">
        <f>IF(ISERROR(VLOOKUP($S$388,'TAR FIN'!$A$1:$O$85,15,0)),0,VLOOKUP($S$388,'TAR FIN'!$A$1:$O$85,15,0))</f>
        <v>0</v>
      </c>
      <c r="W388" s="6">
        <f>IF(ISERROR(VLOOKUP($T$388,'TAR FIN'!$A$1:$O$85,15,0)),0,VLOOKUP($T$388,'TAR FIN'!$A$1:$O$85,15,0))</f>
        <v>76.75</v>
      </c>
      <c r="X388" s="6">
        <f>IF(ISERROR(VLOOKUP($U$388,'TAR FIN'!$A$1:$O$85,15,0)),0,VLOOKUP($U$388,'TAR FIN'!$A$1:$O$85,15,0))</f>
        <v>307.08</v>
      </c>
      <c r="Y388" s="6"/>
      <c r="Z388" s="6">
        <f ca="1">('TUSD BE'!$AM$12+'TUSD BF'!$AM$12+'TUSD CVA'!$AM$12)*1</f>
        <v>147.99431148733765</v>
      </c>
      <c r="AA388" s="6">
        <f>('TE BE'!$AB$6+'TE BF'!$AB$6+'TE CVA'!$AB$6)*1</f>
        <v>304.87027853653359</v>
      </c>
      <c r="AB388" s="6">
        <f>$K$388*$V$388</f>
        <v>0</v>
      </c>
      <c r="AC388" s="6">
        <f>$M$388*$W$388</f>
        <v>116513.94475</v>
      </c>
      <c r="AD388" s="6">
        <f>$O$388*$X$388</f>
        <v>466177.22675999999</v>
      </c>
      <c r="AE388" s="6">
        <f>$K$388*$Y$388</f>
        <v>0</v>
      </c>
      <c r="AF388" s="6">
        <f ca="1">$M$388*$Z$388</f>
        <v>224669.72028599284</v>
      </c>
      <c r="AG388" s="6">
        <f>$O$388*$AA$388</f>
        <v>462822.65523547604</v>
      </c>
    </row>
    <row r="389" spans="1:33" ht="11.25" customHeight="1" x14ac:dyDescent="0.25">
      <c r="A389" s="4" t="s">
        <v>28</v>
      </c>
      <c r="B389" s="4" t="s">
        <v>39</v>
      </c>
      <c r="C389" s="4" t="s">
        <v>40</v>
      </c>
      <c r="D389" s="4" t="s">
        <v>38</v>
      </c>
      <c r="E389" s="4" t="s">
        <v>25</v>
      </c>
      <c r="F389" s="4" t="s">
        <v>25</v>
      </c>
      <c r="G389" s="4" t="s">
        <v>25</v>
      </c>
      <c r="H389" s="4" t="s">
        <v>35</v>
      </c>
      <c r="I389" s="5">
        <v>44713</v>
      </c>
      <c r="J389" s="6">
        <v>0</v>
      </c>
      <c r="K389" s="6">
        <v>0</v>
      </c>
      <c r="L389" s="6">
        <v>123.39</v>
      </c>
      <c r="M389" s="6">
        <v>123.39</v>
      </c>
      <c r="N389" s="6">
        <v>123.39</v>
      </c>
      <c r="O389" s="6">
        <v>123.39</v>
      </c>
      <c r="P389" s="6">
        <v>0</v>
      </c>
      <c r="Q389" s="4" t="s">
        <v>26</v>
      </c>
      <c r="R389" s="4">
        <v>0</v>
      </c>
      <c r="S389" s="6">
        <v>0</v>
      </c>
      <c r="T389" s="6">
        <v>8</v>
      </c>
      <c r="U389" s="6">
        <v>49</v>
      </c>
      <c r="V389" s="6">
        <f>IF(ISERROR(VLOOKUP($S$389,'TAR FIN'!$A$1:$O$85,15,0)),0,VLOOKUP($S$389,'TAR FIN'!$A$1:$O$85,15,0))</f>
        <v>0</v>
      </c>
      <c r="W389" s="6">
        <f>IF(ISERROR(VLOOKUP($T$389,'TAR FIN'!$A$1:$O$85,15,0)),0,VLOOKUP($T$389,'TAR FIN'!$A$1:$O$85,15,0))</f>
        <v>76.75</v>
      </c>
      <c r="X389" s="6">
        <f>IF(ISERROR(VLOOKUP($U$389,'TAR FIN'!$A$1:$O$85,15,0)),0,VLOOKUP($U$389,'TAR FIN'!$A$1:$O$85,15,0))</f>
        <v>307.08</v>
      </c>
      <c r="Y389" s="6"/>
      <c r="Z389" s="6">
        <f ca="1">('TUSD BE'!$AM$12+'TUSD BF'!$AM$12+'TUSD CVA'!$AM$12)*1</f>
        <v>147.99431148733765</v>
      </c>
      <c r="AA389" s="6">
        <f>('TE BE'!$AB$6+'TE BF'!$AB$6+'TE CVA'!$AB$6)*1</f>
        <v>304.87027853653359</v>
      </c>
      <c r="AB389" s="6">
        <f>$K$389*$V$389</f>
        <v>0</v>
      </c>
      <c r="AC389" s="6">
        <f>$M$389*$W$389</f>
        <v>9470.1825000000008</v>
      </c>
      <c r="AD389" s="6">
        <f>$O$389*$X$389</f>
        <v>37890.601199999997</v>
      </c>
      <c r="AE389" s="6">
        <f>$K$389*$Y$389</f>
        <v>0</v>
      </c>
      <c r="AF389" s="6">
        <f ca="1">$M$389*$Z$389</f>
        <v>18261.018094422594</v>
      </c>
      <c r="AG389" s="6">
        <f>$O$389*$AA$389</f>
        <v>37617.94366862288</v>
      </c>
    </row>
    <row r="390" spans="1:33" ht="11.25" customHeight="1" x14ac:dyDescent="0.25">
      <c r="A390" s="4" t="s">
        <v>28</v>
      </c>
      <c r="B390" s="4" t="s">
        <v>39</v>
      </c>
      <c r="C390" s="4" t="s">
        <v>40</v>
      </c>
      <c r="D390" s="4" t="s">
        <v>38</v>
      </c>
      <c r="E390" s="4" t="s">
        <v>25</v>
      </c>
      <c r="F390" s="4" t="s">
        <v>25</v>
      </c>
      <c r="G390" s="4" t="s">
        <v>25</v>
      </c>
      <c r="H390" s="4" t="s">
        <v>35</v>
      </c>
      <c r="I390" s="5">
        <v>44713</v>
      </c>
      <c r="J390" s="6">
        <v>0</v>
      </c>
      <c r="K390" s="6">
        <v>0</v>
      </c>
      <c r="L390" s="6">
        <v>6.4939999999999998</v>
      </c>
      <c r="M390" s="6">
        <v>6.4939999999999998</v>
      </c>
      <c r="N390" s="6">
        <v>6.4939999999999998</v>
      </c>
      <c r="O390" s="6">
        <v>6.4939999999999998</v>
      </c>
      <c r="P390" s="6">
        <v>0</v>
      </c>
      <c r="Q390" s="4" t="s">
        <v>26</v>
      </c>
      <c r="R390" s="4">
        <v>0</v>
      </c>
      <c r="S390" s="6">
        <v>0</v>
      </c>
      <c r="T390" s="6">
        <v>8</v>
      </c>
      <c r="U390" s="6">
        <v>49</v>
      </c>
      <c r="V390" s="6">
        <f>IF(ISERROR(VLOOKUP($S$390,'TAR FIN'!$A$1:$O$85,15,0)),0,VLOOKUP($S$390,'TAR FIN'!$A$1:$O$85,15,0))</f>
        <v>0</v>
      </c>
      <c r="W390" s="6">
        <f>IF(ISERROR(VLOOKUP($T$390,'TAR FIN'!$A$1:$O$85,15,0)),0,VLOOKUP($T$390,'TAR FIN'!$A$1:$O$85,15,0))</f>
        <v>76.75</v>
      </c>
      <c r="X390" s="6">
        <f>IF(ISERROR(VLOOKUP($U$390,'TAR FIN'!$A$1:$O$85,15,0)),0,VLOOKUP($U$390,'TAR FIN'!$A$1:$O$85,15,0))</f>
        <v>307.08</v>
      </c>
      <c r="Y390" s="6"/>
      <c r="Z390" s="6">
        <f ca="1">('TUSD BE'!$AM$12+'TUSD BF'!$AM$12+'TUSD CVA'!$AM$12)*1</f>
        <v>147.99431148733765</v>
      </c>
      <c r="AA390" s="6">
        <f>('TE BE'!$AB$6+'TE BF'!$AB$6+'TE CVA'!$AB$6)*1</f>
        <v>304.87027853653359</v>
      </c>
      <c r="AB390" s="6">
        <f>$K$390*$V$390</f>
        <v>0</v>
      </c>
      <c r="AC390" s="6">
        <f>$M$390*$W$390</f>
        <v>498.41449999999998</v>
      </c>
      <c r="AD390" s="6">
        <f>$O$390*$X$390</f>
        <v>1994.1775199999997</v>
      </c>
      <c r="AE390" s="6">
        <f>$K$390*$Y$390</f>
        <v>0</v>
      </c>
      <c r="AF390" s="6">
        <f ca="1">$M$390*$Z$390</f>
        <v>961.07505879877067</v>
      </c>
      <c r="AG390" s="6">
        <f>$O$390*$AA$390</f>
        <v>1979.8275888162491</v>
      </c>
    </row>
    <row r="391" spans="1:33" ht="11.25" customHeight="1" x14ac:dyDescent="0.25">
      <c r="A391" s="4" t="s">
        <v>21</v>
      </c>
      <c r="B391" s="4" t="s">
        <v>39</v>
      </c>
      <c r="C391" s="4" t="s">
        <v>40</v>
      </c>
      <c r="D391" s="4" t="s">
        <v>38</v>
      </c>
      <c r="E391" s="4" t="s">
        <v>25</v>
      </c>
      <c r="F391" s="4" t="s">
        <v>25</v>
      </c>
      <c r="G391" s="4" t="s">
        <v>25</v>
      </c>
      <c r="H391" s="4" t="s">
        <v>35</v>
      </c>
      <c r="I391" s="5">
        <v>44743</v>
      </c>
      <c r="J391" s="6">
        <v>0</v>
      </c>
      <c r="K391" s="6">
        <v>0</v>
      </c>
      <c r="L391" s="6">
        <v>1607.875</v>
      </c>
      <c r="M391" s="6">
        <v>1607.875</v>
      </c>
      <c r="N391" s="6">
        <v>1607.875</v>
      </c>
      <c r="O391" s="6">
        <v>1607.875</v>
      </c>
      <c r="P391" s="6">
        <v>0</v>
      </c>
      <c r="Q391" s="4" t="s">
        <v>26</v>
      </c>
      <c r="R391" s="4">
        <v>0</v>
      </c>
      <c r="S391" s="6">
        <v>0</v>
      </c>
      <c r="T391" s="6">
        <v>8</v>
      </c>
      <c r="U391" s="6">
        <v>49</v>
      </c>
      <c r="V391" s="6">
        <f>IF(ISERROR(VLOOKUP($S$391,'TAR FIN'!$A$1:$O$85,15,0)),0,VLOOKUP($S$391,'TAR FIN'!$A$1:$O$85,15,0))</f>
        <v>0</v>
      </c>
      <c r="W391" s="6">
        <f>IF(ISERROR(VLOOKUP($T$391,'TAR FIN'!$A$1:$O$85,15,0)),0,VLOOKUP($T$391,'TAR FIN'!$A$1:$O$85,15,0))</f>
        <v>76.75</v>
      </c>
      <c r="X391" s="6">
        <f>IF(ISERROR(VLOOKUP($U$391,'TAR FIN'!$A$1:$O$85,15,0)),0,VLOOKUP($U$391,'TAR FIN'!$A$1:$O$85,15,0))</f>
        <v>307.08</v>
      </c>
      <c r="Y391" s="6"/>
      <c r="Z391" s="6">
        <f ca="1">('TUSD BE'!$AM$12+'TUSD BF'!$AM$12+'TUSD CVA'!$AM$12)*1</f>
        <v>147.99431148733765</v>
      </c>
      <c r="AA391" s="6">
        <f>('TE BE'!$AB$6+'TE BF'!$AB$6+'TE CVA'!$AB$6)*1</f>
        <v>304.87027853653359</v>
      </c>
      <c r="AB391" s="6">
        <f>$K$391*$V$391</f>
        <v>0</v>
      </c>
      <c r="AC391" s="6">
        <f>$M$391*$W$391</f>
        <v>123404.40625</v>
      </c>
      <c r="AD391" s="6">
        <f>$O$391*$X$391</f>
        <v>493746.25499999995</v>
      </c>
      <c r="AE391" s="6">
        <f>$K$391*$Y$391</f>
        <v>0</v>
      </c>
      <c r="AF391" s="6">
        <f ca="1">$M$391*$Z$391</f>
        <v>237956.35358270304</v>
      </c>
      <c r="AG391" s="6">
        <f>$O$391*$AA$391</f>
        <v>490193.29910192895</v>
      </c>
    </row>
    <row r="392" spans="1:33" ht="11.25" customHeight="1" x14ac:dyDescent="0.25">
      <c r="A392" s="4" t="s">
        <v>28</v>
      </c>
      <c r="B392" s="4" t="s">
        <v>39</v>
      </c>
      <c r="C392" s="4" t="s">
        <v>40</v>
      </c>
      <c r="D392" s="4" t="s">
        <v>38</v>
      </c>
      <c r="E392" s="4" t="s">
        <v>25</v>
      </c>
      <c r="F392" s="4" t="s">
        <v>25</v>
      </c>
      <c r="G392" s="4" t="s">
        <v>25</v>
      </c>
      <c r="H392" s="4" t="s">
        <v>35</v>
      </c>
      <c r="I392" s="5">
        <v>44743</v>
      </c>
      <c r="J392" s="6">
        <v>0</v>
      </c>
      <c r="K392" s="6">
        <v>0</v>
      </c>
      <c r="L392" s="6">
        <v>126.953</v>
      </c>
      <c r="M392" s="6">
        <v>126.953</v>
      </c>
      <c r="N392" s="6">
        <v>126.953</v>
      </c>
      <c r="O392" s="6">
        <v>126.953</v>
      </c>
      <c r="P392" s="6">
        <v>0</v>
      </c>
      <c r="Q392" s="4" t="s">
        <v>26</v>
      </c>
      <c r="R392" s="4">
        <v>0</v>
      </c>
      <c r="S392" s="6">
        <v>0</v>
      </c>
      <c r="T392" s="6">
        <v>8</v>
      </c>
      <c r="U392" s="6">
        <v>49</v>
      </c>
      <c r="V392" s="6">
        <f>IF(ISERROR(VLOOKUP($S$392,'TAR FIN'!$A$1:$O$85,15,0)),0,VLOOKUP($S$392,'TAR FIN'!$A$1:$O$85,15,0))</f>
        <v>0</v>
      </c>
      <c r="W392" s="6">
        <f>IF(ISERROR(VLOOKUP($T$392,'TAR FIN'!$A$1:$O$85,15,0)),0,VLOOKUP($T$392,'TAR FIN'!$A$1:$O$85,15,0))</f>
        <v>76.75</v>
      </c>
      <c r="X392" s="6">
        <f>IF(ISERROR(VLOOKUP($U$392,'TAR FIN'!$A$1:$O$85,15,0)),0,VLOOKUP($U$392,'TAR FIN'!$A$1:$O$85,15,0))</f>
        <v>307.08</v>
      </c>
      <c r="Y392" s="6"/>
      <c r="Z392" s="6">
        <f ca="1">('TUSD BE'!$AM$12+'TUSD BF'!$AM$12+'TUSD CVA'!$AM$12)*1</f>
        <v>147.99431148733765</v>
      </c>
      <c r="AA392" s="6">
        <f>('TE BE'!$AB$6+'TE BF'!$AB$6+'TE CVA'!$AB$6)*1</f>
        <v>304.87027853653359</v>
      </c>
      <c r="AB392" s="6">
        <f>$K$392*$V$392</f>
        <v>0</v>
      </c>
      <c r="AC392" s="6">
        <f>$M$392*$W$392</f>
        <v>9743.6427500000009</v>
      </c>
      <c r="AD392" s="6">
        <f>$O$392*$X$392</f>
        <v>38984.72724</v>
      </c>
      <c r="AE392" s="6">
        <f>$K$392*$Y$392</f>
        <v>0</v>
      </c>
      <c r="AF392" s="6">
        <f ca="1">$M$392*$Z$392</f>
        <v>18788.321826251977</v>
      </c>
      <c r="AG392" s="6">
        <f>$O$392*$AA$392</f>
        <v>38704.196471048548</v>
      </c>
    </row>
    <row r="393" spans="1:33" ht="11.25" customHeight="1" x14ac:dyDescent="0.25">
      <c r="A393" s="4" t="s">
        <v>56</v>
      </c>
      <c r="B393" s="4" t="s">
        <v>39</v>
      </c>
      <c r="C393" s="4" t="s">
        <v>40</v>
      </c>
      <c r="D393" s="4" t="s">
        <v>38</v>
      </c>
      <c r="E393" s="4" t="s">
        <v>25</v>
      </c>
      <c r="F393" s="4" t="s">
        <v>25</v>
      </c>
      <c r="G393" s="4" t="s">
        <v>25</v>
      </c>
      <c r="H393" s="4" t="s">
        <v>35</v>
      </c>
      <c r="I393" s="5">
        <v>44774</v>
      </c>
      <c r="J393" s="6">
        <v>0</v>
      </c>
      <c r="K393" s="6">
        <v>0</v>
      </c>
      <c r="L393" s="6">
        <v>1607.875</v>
      </c>
      <c r="M393" s="6">
        <v>1607.875</v>
      </c>
      <c r="N393" s="6">
        <v>1607.875</v>
      </c>
      <c r="O393" s="6">
        <v>1607.875</v>
      </c>
      <c r="P393" s="6">
        <v>0</v>
      </c>
      <c r="Q393" s="4" t="s">
        <v>26</v>
      </c>
      <c r="R393" s="4">
        <v>0</v>
      </c>
      <c r="S393" s="6">
        <v>0</v>
      </c>
      <c r="T393" s="6">
        <v>8</v>
      </c>
      <c r="U393" s="6">
        <v>49</v>
      </c>
      <c r="V393" s="6">
        <f>IF(ISERROR(VLOOKUP($S$393,'TAR FIN'!$A$1:$O$85,15,0)),0,VLOOKUP($S$393,'TAR FIN'!$A$1:$O$85,15,0))</f>
        <v>0</v>
      </c>
      <c r="W393" s="6">
        <f>IF(ISERROR(VLOOKUP($T$393,'TAR FIN'!$A$1:$O$85,15,0)),0,VLOOKUP($T$393,'TAR FIN'!$A$1:$O$85,15,0))</f>
        <v>76.75</v>
      </c>
      <c r="X393" s="6">
        <f>IF(ISERROR(VLOOKUP($U$393,'TAR FIN'!$A$1:$O$85,15,0)),0,VLOOKUP($U$393,'TAR FIN'!$A$1:$O$85,15,0))</f>
        <v>307.08</v>
      </c>
      <c r="Y393" s="6"/>
      <c r="Z393" s="6">
        <f ca="1">('TUSD BE'!$AM$12+'TUSD BF'!$AM$12+'TUSD CVA'!$AM$12)*1</f>
        <v>147.99431148733765</v>
      </c>
      <c r="AA393" s="6">
        <f>('TE BE'!$AB$6+'TE BF'!$AB$6+'TE CVA'!$AB$6)*1</f>
        <v>304.87027853653359</v>
      </c>
      <c r="AB393" s="6">
        <f>$K$393*$V$393</f>
        <v>0</v>
      </c>
      <c r="AC393" s="6">
        <f>$M$393*$W$393</f>
        <v>123404.40625</v>
      </c>
      <c r="AD393" s="6">
        <f>$O$393*$X$393</f>
        <v>493746.25499999995</v>
      </c>
      <c r="AE393" s="6">
        <f>$K$393*$Y$393</f>
        <v>0</v>
      </c>
      <c r="AF393" s="6">
        <f ca="1">$M$393*$Z$393</f>
        <v>237956.35358270304</v>
      </c>
      <c r="AG393" s="6">
        <f>$O$393*$AA$393</f>
        <v>490193.29910192895</v>
      </c>
    </row>
    <row r="394" spans="1:33" ht="11.25" customHeight="1" x14ac:dyDescent="0.25">
      <c r="A394" s="4" t="s">
        <v>56</v>
      </c>
      <c r="B394" s="4" t="s">
        <v>39</v>
      </c>
      <c r="C394" s="4" t="s">
        <v>40</v>
      </c>
      <c r="D394" s="4" t="s">
        <v>38</v>
      </c>
      <c r="E394" s="4" t="s">
        <v>25</v>
      </c>
      <c r="F394" s="4" t="s">
        <v>25</v>
      </c>
      <c r="G394" s="4" t="s">
        <v>25</v>
      </c>
      <c r="H394" s="4" t="s">
        <v>35</v>
      </c>
      <c r="I394" s="5">
        <v>44774</v>
      </c>
      <c r="J394" s="6">
        <v>0</v>
      </c>
      <c r="K394" s="6">
        <v>0</v>
      </c>
      <c r="L394" s="6">
        <v>126.953</v>
      </c>
      <c r="M394" s="6">
        <v>126.953</v>
      </c>
      <c r="N394" s="6">
        <v>126.953</v>
      </c>
      <c r="O394" s="6">
        <v>126.953</v>
      </c>
      <c r="P394" s="6">
        <v>0</v>
      </c>
      <c r="Q394" s="4" t="s">
        <v>26</v>
      </c>
      <c r="R394" s="4">
        <v>0</v>
      </c>
      <c r="S394" s="6">
        <v>0</v>
      </c>
      <c r="T394" s="6">
        <v>8</v>
      </c>
      <c r="U394" s="6">
        <v>49</v>
      </c>
      <c r="V394" s="6">
        <f>IF(ISERROR(VLOOKUP($S$394,'TAR FIN'!$A$1:$O$85,15,0)),0,VLOOKUP($S$394,'TAR FIN'!$A$1:$O$85,15,0))</f>
        <v>0</v>
      </c>
      <c r="W394" s="6">
        <f>IF(ISERROR(VLOOKUP($T$394,'TAR FIN'!$A$1:$O$85,15,0)),0,VLOOKUP($T$394,'TAR FIN'!$A$1:$O$85,15,0))</f>
        <v>76.75</v>
      </c>
      <c r="X394" s="6">
        <f>IF(ISERROR(VLOOKUP($U$394,'TAR FIN'!$A$1:$O$85,15,0)),0,VLOOKUP($U$394,'TAR FIN'!$A$1:$O$85,15,0))</f>
        <v>307.08</v>
      </c>
      <c r="Y394" s="6"/>
      <c r="Z394" s="6">
        <f ca="1">('TUSD BE'!$AM$12+'TUSD BF'!$AM$12+'TUSD CVA'!$AM$12)*1</f>
        <v>147.99431148733765</v>
      </c>
      <c r="AA394" s="6">
        <f>('TE BE'!$AB$6+'TE BF'!$AB$6+'TE CVA'!$AB$6)*1</f>
        <v>304.87027853653359</v>
      </c>
      <c r="AB394" s="6">
        <f>$K$394*$V$394</f>
        <v>0</v>
      </c>
      <c r="AC394" s="6">
        <f>$M$394*$W$394</f>
        <v>9743.6427500000009</v>
      </c>
      <c r="AD394" s="6">
        <f>$O$394*$X$394</f>
        <v>38984.72724</v>
      </c>
      <c r="AE394" s="6">
        <f>$K$394*$Y$394</f>
        <v>0</v>
      </c>
      <c r="AF394" s="6">
        <f ca="1">$M$394*$Z$394</f>
        <v>18788.321826251977</v>
      </c>
      <c r="AG394" s="6">
        <f>$O$394*$AA$394</f>
        <v>38704.196471048548</v>
      </c>
    </row>
    <row r="395" spans="1:33" ht="11.25" customHeight="1" x14ac:dyDescent="0.25">
      <c r="A395" s="4" t="s">
        <v>21</v>
      </c>
      <c r="B395" s="4" t="s">
        <v>39</v>
      </c>
      <c r="C395" s="4" t="s">
        <v>40</v>
      </c>
      <c r="D395" s="4" t="s">
        <v>38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44440</v>
      </c>
      <c r="J395" s="6">
        <v>14600</v>
      </c>
      <c r="K395" s="6">
        <v>14600</v>
      </c>
      <c r="L395" s="6">
        <v>0</v>
      </c>
      <c r="M395" s="6">
        <v>0</v>
      </c>
      <c r="N395" s="6">
        <v>0</v>
      </c>
      <c r="O395" s="6">
        <v>0</v>
      </c>
      <c r="P395" s="6">
        <v>75</v>
      </c>
      <c r="Q395" s="4" t="s">
        <v>26</v>
      </c>
      <c r="R395" s="4">
        <v>0</v>
      </c>
      <c r="S395" s="6">
        <v>6</v>
      </c>
      <c r="T395" s="6">
        <v>0</v>
      </c>
      <c r="U395" s="6">
        <v>0</v>
      </c>
      <c r="V395" s="6">
        <f>IF(ISERROR(VLOOKUP($S$395,'TAR FIN'!$A$1:$O$85,15,0)),0,VLOOKUP($S$395,'TAR FIN'!$A$1:$O$85,15,0))</f>
        <v>16.64</v>
      </c>
      <c r="W395" s="6">
        <f>IF(ISERROR(VLOOKUP($T$395,'TAR FIN'!$A$1:$O$85,15,0)),0,VLOOKUP($T$395,'TAR FIN'!$A$1:$O$85,15,0))</f>
        <v>0</v>
      </c>
      <c r="X395" s="6">
        <f>IF(ISERROR(VLOOKUP($U$395,'TAR FIN'!$A$1:$O$85,15,0)),0,VLOOKUP($U$395,'TAR FIN'!$A$1:$O$85,15,0))</f>
        <v>0</v>
      </c>
      <c r="Y395" s="6">
        <f ca="1">('TUSD BE'!$AM$10+'TUSD BF'!$AM$10+'TUSD CVA'!$AM$10)*1</f>
        <v>18.371854423657158</v>
      </c>
      <c r="Z395" s="6"/>
      <c r="AA395" s="6"/>
      <c r="AB395" s="6">
        <f>$K$395*$V$395</f>
        <v>242944</v>
      </c>
      <c r="AC395" s="6">
        <f>$M$395*$W$395</f>
        <v>0</v>
      </c>
      <c r="AD395" s="6">
        <f>$O$395*$X$395</f>
        <v>0</v>
      </c>
      <c r="AE395" s="6">
        <f ca="1">$K$395*$Y$395</f>
        <v>268229.07458539453</v>
      </c>
      <c r="AF395" s="6">
        <f>$M$395*$Z$395</f>
        <v>0</v>
      </c>
      <c r="AG395" s="6">
        <f>$O$395*$AA$395</f>
        <v>0</v>
      </c>
    </row>
    <row r="396" spans="1:33" ht="11.25" customHeight="1" x14ac:dyDescent="0.25">
      <c r="A396" s="4" t="s">
        <v>28</v>
      </c>
      <c r="B396" s="4" t="s">
        <v>39</v>
      </c>
      <c r="C396" s="4" t="s">
        <v>40</v>
      </c>
      <c r="D396" s="4" t="s">
        <v>38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44440</v>
      </c>
      <c r="J396" s="6">
        <v>2180</v>
      </c>
      <c r="K396" s="6">
        <v>2180</v>
      </c>
      <c r="L396" s="6">
        <v>0</v>
      </c>
      <c r="M396" s="6">
        <v>0</v>
      </c>
      <c r="N396" s="6">
        <v>0</v>
      </c>
      <c r="O396" s="6">
        <v>0</v>
      </c>
      <c r="P396" s="6">
        <v>14</v>
      </c>
      <c r="Q396" s="4" t="s">
        <v>26</v>
      </c>
      <c r="R396" s="4">
        <v>0</v>
      </c>
      <c r="S396" s="6">
        <v>6</v>
      </c>
      <c r="T396" s="6">
        <v>0</v>
      </c>
      <c r="U396" s="6">
        <v>0</v>
      </c>
      <c r="V396" s="6">
        <f>IF(ISERROR(VLOOKUP($S$396,'TAR FIN'!$A$1:$O$85,15,0)),0,VLOOKUP($S$396,'TAR FIN'!$A$1:$O$85,15,0))</f>
        <v>16.64</v>
      </c>
      <c r="W396" s="6">
        <f>IF(ISERROR(VLOOKUP($T$396,'TAR FIN'!$A$1:$O$85,15,0)),0,VLOOKUP($T$396,'TAR FIN'!$A$1:$O$85,15,0))</f>
        <v>0</v>
      </c>
      <c r="X396" s="6">
        <f>IF(ISERROR(VLOOKUP($U$396,'TAR FIN'!$A$1:$O$85,15,0)),0,VLOOKUP($U$396,'TAR FIN'!$A$1:$O$85,15,0))</f>
        <v>0</v>
      </c>
      <c r="Y396" s="6">
        <f ca="1">('TUSD BE'!$AM$10+'TUSD BF'!$AM$10+'TUSD CVA'!$AM$10)*1</f>
        <v>18.371854423657158</v>
      </c>
      <c r="Z396" s="6"/>
      <c r="AA396" s="6"/>
      <c r="AB396" s="6">
        <f>$K$396*$V$396</f>
        <v>36275.200000000004</v>
      </c>
      <c r="AC396" s="6">
        <f>$M$396*$W$396</f>
        <v>0</v>
      </c>
      <c r="AD396" s="6">
        <f>$O$396*$X$396</f>
        <v>0</v>
      </c>
      <c r="AE396" s="6">
        <f ca="1">$K$396*$Y$396</f>
        <v>40050.642643572603</v>
      </c>
      <c r="AF396" s="6">
        <f>$M$396*$Z$396</f>
        <v>0</v>
      </c>
      <c r="AG396" s="6">
        <f>$O$396*$AA$396</f>
        <v>0</v>
      </c>
    </row>
    <row r="397" spans="1:33" ht="11.25" customHeight="1" x14ac:dyDescent="0.25">
      <c r="A397" s="4" t="s">
        <v>21</v>
      </c>
      <c r="B397" s="4" t="s">
        <v>39</v>
      </c>
      <c r="C397" s="4" t="s">
        <v>40</v>
      </c>
      <c r="D397" s="4" t="s">
        <v>38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44470</v>
      </c>
      <c r="J397" s="6">
        <v>14797</v>
      </c>
      <c r="K397" s="6">
        <v>14797</v>
      </c>
      <c r="L397" s="6">
        <v>0</v>
      </c>
      <c r="M397" s="6">
        <v>0</v>
      </c>
      <c r="N397" s="6">
        <v>0</v>
      </c>
      <c r="O397" s="6">
        <v>0</v>
      </c>
      <c r="P397" s="6">
        <v>76</v>
      </c>
      <c r="Q397" s="4" t="s">
        <v>26</v>
      </c>
      <c r="R397" s="4">
        <v>0</v>
      </c>
      <c r="S397" s="6">
        <v>6</v>
      </c>
      <c r="T397" s="6">
        <v>0</v>
      </c>
      <c r="U397" s="6">
        <v>0</v>
      </c>
      <c r="V397" s="6">
        <f>IF(ISERROR(VLOOKUP($S$397,'TAR FIN'!$A$1:$O$85,15,0)),0,VLOOKUP($S$397,'TAR FIN'!$A$1:$O$85,15,0))</f>
        <v>16.64</v>
      </c>
      <c r="W397" s="6">
        <f>IF(ISERROR(VLOOKUP($T$397,'TAR FIN'!$A$1:$O$85,15,0)),0,VLOOKUP($T$397,'TAR FIN'!$A$1:$O$85,15,0))</f>
        <v>0</v>
      </c>
      <c r="X397" s="6">
        <f>IF(ISERROR(VLOOKUP($U$397,'TAR FIN'!$A$1:$O$85,15,0)),0,VLOOKUP($U$397,'TAR FIN'!$A$1:$O$85,15,0))</f>
        <v>0</v>
      </c>
      <c r="Y397" s="6">
        <f ca="1">('TUSD BE'!$AM$10+'TUSD BF'!$AM$10+'TUSD CVA'!$AM$10)*1</f>
        <v>18.371854423657158</v>
      </c>
      <c r="Z397" s="6"/>
      <c r="AA397" s="6"/>
      <c r="AB397" s="6">
        <f>$K$397*$V$397</f>
        <v>246222.08000000002</v>
      </c>
      <c r="AC397" s="6">
        <f>$M$397*$W$397</f>
        <v>0</v>
      </c>
      <c r="AD397" s="6">
        <f>$O$397*$X$397</f>
        <v>0</v>
      </c>
      <c r="AE397" s="6">
        <f ca="1">$K$397*$Y$397</f>
        <v>271848.32990685495</v>
      </c>
      <c r="AF397" s="6">
        <f>$M$397*$Z$397</f>
        <v>0</v>
      </c>
      <c r="AG397" s="6">
        <f>$O$397*$AA$397</f>
        <v>0</v>
      </c>
    </row>
    <row r="398" spans="1:33" ht="11.25" customHeight="1" x14ac:dyDescent="0.25">
      <c r="A398" s="4" t="s">
        <v>28</v>
      </c>
      <c r="B398" s="4" t="s">
        <v>39</v>
      </c>
      <c r="C398" s="4" t="s">
        <v>40</v>
      </c>
      <c r="D398" s="4" t="s">
        <v>38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44470</v>
      </c>
      <c r="J398" s="6">
        <v>2175</v>
      </c>
      <c r="K398" s="6">
        <v>2175</v>
      </c>
      <c r="L398" s="6">
        <v>0</v>
      </c>
      <c r="M398" s="6">
        <v>0</v>
      </c>
      <c r="N398" s="6">
        <v>0</v>
      </c>
      <c r="O398" s="6">
        <v>0</v>
      </c>
      <c r="P398" s="6">
        <v>14</v>
      </c>
      <c r="Q398" s="4" t="s">
        <v>26</v>
      </c>
      <c r="R398" s="4">
        <v>0</v>
      </c>
      <c r="S398" s="6">
        <v>6</v>
      </c>
      <c r="T398" s="6">
        <v>0</v>
      </c>
      <c r="U398" s="6">
        <v>0</v>
      </c>
      <c r="V398" s="6">
        <f>IF(ISERROR(VLOOKUP($S$398,'TAR FIN'!$A$1:$O$85,15,0)),0,VLOOKUP($S$398,'TAR FIN'!$A$1:$O$85,15,0))</f>
        <v>16.64</v>
      </c>
      <c r="W398" s="6">
        <f>IF(ISERROR(VLOOKUP($T$398,'TAR FIN'!$A$1:$O$85,15,0)),0,VLOOKUP($T$398,'TAR FIN'!$A$1:$O$85,15,0))</f>
        <v>0</v>
      </c>
      <c r="X398" s="6">
        <f>IF(ISERROR(VLOOKUP($U$398,'TAR FIN'!$A$1:$O$85,15,0)),0,VLOOKUP($U$398,'TAR FIN'!$A$1:$O$85,15,0))</f>
        <v>0</v>
      </c>
      <c r="Y398" s="6">
        <f ca="1">('TUSD BE'!$AM$10+'TUSD BF'!$AM$10+'TUSD CVA'!$AM$10)*1</f>
        <v>18.371854423657158</v>
      </c>
      <c r="Z398" s="6"/>
      <c r="AA398" s="6"/>
      <c r="AB398" s="6">
        <f>$K$398*$V$398</f>
        <v>36192</v>
      </c>
      <c r="AC398" s="6">
        <f>$M$398*$W$398</f>
        <v>0</v>
      </c>
      <c r="AD398" s="6">
        <f>$O$398*$X$398</f>
        <v>0</v>
      </c>
      <c r="AE398" s="6">
        <f ca="1">$K$398*$Y$398</f>
        <v>39958.783371454316</v>
      </c>
      <c r="AF398" s="6">
        <f>$M$398*$Z$398</f>
        <v>0</v>
      </c>
      <c r="AG398" s="6">
        <f>$O$398*$AA$398</f>
        <v>0</v>
      </c>
    </row>
    <row r="399" spans="1:33" ht="11.25" customHeight="1" x14ac:dyDescent="0.25">
      <c r="A399" s="4" t="s">
        <v>21</v>
      </c>
      <c r="B399" s="4" t="s">
        <v>39</v>
      </c>
      <c r="C399" s="4" t="s">
        <v>40</v>
      </c>
      <c r="D399" s="4" t="s">
        <v>38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44501</v>
      </c>
      <c r="J399" s="6">
        <v>14966</v>
      </c>
      <c r="K399" s="6">
        <v>14966</v>
      </c>
      <c r="L399" s="6">
        <v>0</v>
      </c>
      <c r="M399" s="6">
        <v>0</v>
      </c>
      <c r="N399" s="6">
        <v>0</v>
      </c>
      <c r="O399" s="6">
        <v>0</v>
      </c>
      <c r="P399" s="6">
        <v>77</v>
      </c>
      <c r="Q399" s="4" t="s">
        <v>26</v>
      </c>
      <c r="R399" s="4">
        <v>0</v>
      </c>
      <c r="S399" s="6">
        <v>6</v>
      </c>
      <c r="T399" s="6">
        <v>0</v>
      </c>
      <c r="U399" s="6">
        <v>0</v>
      </c>
      <c r="V399" s="6">
        <f>IF(ISERROR(VLOOKUP($S$399,'TAR FIN'!$A$1:$O$85,15,0)),0,VLOOKUP($S$399,'TAR FIN'!$A$1:$O$85,15,0))</f>
        <v>16.64</v>
      </c>
      <c r="W399" s="6">
        <f>IF(ISERROR(VLOOKUP($T$399,'TAR FIN'!$A$1:$O$85,15,0)),0,VLOOKUP($T$399,'TAR FIN'!$A$1:$O$85,15,0))</f>
        <v>0</v>
      </c>
      <c r="X399" s="6">
        <f>IF(ISERROR(VLOOKUP($U$399,'TAR FIN'!$A$1:$O$85,15,0)),0,VLOOKUP($U$399,'TAR FIN'!$A$1:$O$85,15,0))</f>
        <v>0</v>
      </c>
      <c r="Y399" s="6">
        <f ca="1">('TUSD BE'!$AM$10+'TUSD BF'!$AM$10+'TUSD CVA'!$AM$10)*1</f>
        <v>18.371854423657158</v>
      </c>
      <c r="Z399" s="6"/>
      <c r="AA399" s="6"/>
      <c r="AB399" s="6">
        <f>$K$399*$V$399</f>
        <v>249034.24000000002</v>
      </c>
      <c r="AC399" s="6">
        <f>$M$399*$W$399</f>
        <v>0</v>
      </c>
      <c r="AD399" s="6">
        <f>$O$399*$X$399</f>
        <v>0</v>
      </c>
      <c r="AE399" s="6">
        <f ca="1">$K$399*$Y$399</f>
        <v>274953.17330445303</v>
      </c>
      <c r="AF399" s="6">
        <f>$M$399*$Z$399</f>
        <v>0</v>
      </c>
      <c r="AG399" s="6">
        <f>$O$399*$AA$399</f>
        <v>0</v>
      </c>
    </row>
    <row r="400" spans="1:33" ht="11.25" customHeight="1" x14ac:dyDescent="0.25">
      <c r="A400" s="4" t="s">
        <v>27</v>
      </c>
      <c r="B400" s="4" t="s">
        <v>39</v>
      </c>
      <c r="C400" s="4" t="s">
        <v>40</v>
      </c>
      <c r="D400" s="4" t="s">
        <v>38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44501</v>
      </c>
      <c r="J400" s="6">
        <v>30</v>
      </c>
      <c r="K400" s="6">
        <v>30</v>
      </c>
      <c r="L400" s="6">
        <v>0</v>
      </c>
      <c r="M400" s="6">
        <v>0</v>
      </c>
      <c r="N400" s="6">
        <v>0</v>
      </c>
      <c r="O400" s="6">
        <v>0</v>
      </c>
      <c r="P400" s="6">
        <v>1</v>
      </c>
      <c r="Q400" s="4" t="s">
        <v>26</v>
      </c>
      <c r="R400" s="4">
        <v>0</v>
      </c>
      <c r="S400" s="6">
        <v>6</v>
      </c>
      <c r="T400" s="6">
        <v>0</v>
      </c>
      <c r="U400" s="6">
        <v>0</v>
      </c>
      <c r="V400" s="6">
        <f>IF(ISERROR(VLOOKUP($S$400,'TAR FIN'!$A$1:$O$85,15,0)),0,VLOOKUP($S$400,'TAR FIN'!$A$1:$O$85,15,0))</f>
        <v>16.64</v>
      </c>
      <c r="W400" s="6">
        <f>IF(ISERROR(VLOOKUP($T$400,'TAR FIN'!$A$1:$O$85,15,0)),0,VLOOKUP($T$400,'TAR FIN'!$A$1:$O$85,15,0))</f>
        <v>0</v>
      </c>
      <c r="X400" s="6">
        <f>IF(ISERROR(VLOOKUP($U$400,'TAR FIN'!$A$1:$O$85,15,0)),0,VLOOKUP($U$400,'TAR FIN'!$A$1:$O$85,15,0))</f>
        <v>0</v>
      </c>
      <c r="Y400" s="6">
        <f ca="1">('TUSD BE'!$AM$10+'TUSD BF'!$AM$10+'TUSD CVA'!$AM$10)*1</f>
        <v>18.371854423657158</v>
      </c>
      <c r="Z400" s="6"/>
      <c r="AA400" s="6"/>
      <c r="AB400" s="6">
        <f>$K$400*$V$400</f>
        <v>499.20000000000005</v>
      </c>
      <c r="AC400" s="6">
        <f>$M$400*$W$400</f>
        <v>0</v>
      </c>
      <c r="AD400" s="6">
        <f>$O$400*$X$400</f>
        <v>0</v>
      </c>
      <c r="AE400" s="6">
        <f ca="1">$K$400*$Y$400</f>
        <v>551.15563270971472</v>
      </c>
      <c r="AF400" s="6">
        <f>$M$400*$Z$400</f>
        <v>0</v>
      </c>
      <c r="AG400" s="6">
        <f>$O$400*$AA$400</f>
        <v>0</v>
      </c>
    </row>
    <row r="401" spans="1:33" ht="11.25" customHeight="1" x14ac:dyDescent="0.25">
      <c r="A401" s="4" t="s">
        <v>28</v>
      </c>
      <c r="B401" s="4" t="s">
        <v>39</v>
      </c>
      <c r="C401" s="4" t="s">
        <v>40</v>
      </c>
      <c r="D401" s="4" t="s">
        <v>38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44501</v>
      </c>
      <c r="J401" s="6">
        <v>2181</v>
      </c>
      <c r="K401" s="6">
        <v>2181</v>
      </c>
      <c r="L401" s="6">
        <v>0</v>
      </c>
      <c r="M401" s="6">
        <v>0</v>
      </c>
      <c r="N401" s="6">
        <v>0</v>
      </c>
      <c r="O401" s="6">
        <v>0</v>
      </c>
      <c r="P401" s="6">
        <v>14</v>
      </c>
      <c r="Q401" s="4" t="s">
        <v>26</v>
      </c>
      <c r="R401" s="4">
        <v>0</v>
      </c>
      <c r="S401" s="6">
        <v>6</v>
      </c>
      <c r="T401" s="6">
        <v>0</v>
      </c>
      <c r="U401" s="6">
        <v>0</v>
      </c>
      <c r="V401" s="6">
        <f>IF(ISERROR(VLOOKUP($S$401,'TAR FIN'!$A$1:$O$85,15,0)),0,VLOOKUP($S$401,'TAR FIN'!$A$1:$O$85,15,0))</f>
        <v>16.64</v>
      </c>
      <c r="W401" s="6">
        <f>IF(ISERROR(VLOOKUP($T$401,'TAR FIN'!$A$1:$O$85,15,0)),0,VLOOKUP($T$401,'TAR FIN'!$A$1:$O$85,15,0))</f>
        <v>0</v>
      </c>
      <c r="X401" s="6">
        <f>IF(ISERROR(VLOOKUP($U$401,'TAR FIN'!$A$1:$O$85,15,0)),0,VLOOKUP($U$401,'TAR FIN'!$A$1:$O$85,15,0))</f>
        <v>0</v>
      </c>
      <c r="Y401" s="6">
        <f ca="1">('TUSD BE'!$AM$10+'TUSD BF'!$AM$10+'TUSD CVA'!$AM$10)*1</f>
        <v>18.371854423657158</v>
      </c>
      <c r="Z401" s="6"/>
      <c r="AA401" s="6"/>
      <c r="AB401" s="6">
        <f>$K$401*$V$401</f>
        <v>36291.840000000004</v>
      </c>
      <c r="AC401" s="6">
        <f>$M$401*$W$401</f>
        <v>0</v>
      </c>
      <c r="AD401" s="6">
        <f>$O$401*$X$401</f>
        <v>0</v>
      </c>
      <c r="AE401" s="6">
        <f ca="1">$K$401*$Y$401</f>
        <v>40069.014497996264</v>
      </c>
      <c r="AF401" s="6">
        <f>$M$401*$Z$401</f>
        <v>0</v>
      </c>
      <c r="AG401" s="6">
        <f>$O$401*$AA$401</f>
        <v>0</v>
      </c>
    </row>
    <row r="402" spans="1:33" ht="11.25" customHeight="1" x14ac:dyDescent="0.25">
      <c r="A402" s="4" t="s">
        <v>21</v>
      </c>
      <c r="B402" s="4" t="s">
        <v>39</v>
      </c>
      <c r="C402" s="4" t="s">
        <v>40</v>
      </c>
      <c r="D402" s="4" t="s">
        <v>38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44531</v>
      </c>
      <c r="J402" s="6">
        <v>15009</v>
      </c>
      <c r="K402" s="6">
        <v>15009</v>
      </c>
      <c r="L402" s="6">
        <v>0</v>
      </c>
      <c r="M402" s="6">
        <v>0</v>
      </c>
      <c r="N402" s="6">
        <v>0</v>
      </c>
      <c r="O402" s="6">
        <v>0</v>
      </c>
      <c r="P402" s="6">
        <v>76</v>
      </c>
      <c r="Q402" s="4" t="s">
        <v>26</v>
      </c>
      <c r="R402" s="4">
        <v>0</v>
      </c>
      <c r="S402" s="6">
        <v>6</v>
      </c>
      <c r="T402" s="6">
        <v>0</v>
      </c>
      <c r="U402" s="6">
        <v>0</v>
      </c>
      <c r="V402" s="6">
        <f>IF(ISERROR(VLOOKUP($S$402,'TAR FIN'!$A$1:$O$85,15,0)),0,VLOOKUP($S$402,'TAR FIN'!$A$1:$O$85,15,0))</f>
        <v>16.64</v>
      </c>
      <c r="W402" s="6">
        <f>IF(ISERROR(VLOOKUP($T$402,'TAR FIN'!$A$1:$O$85,15,0)),0,VLOOKUP($T$402,'TAR FIN'!$A$1:$O$85,15,0))</f>
        <v>0</v>
      </c>
      <c r="X402" s="6">
        <f>IF(ISERROR(VLOOKUP($U$402,'TAR FIN'!$A$1:$O$85,15,0)),0,VLOOKUP($U$402,'TAR FIN'!$A$1:$O$85,15,0))</f>
        <v>0</v>
      </c>
      <c r="Y402" s="6">
        <f ca="1">('TUSD BE'!$AM$10+'TUSD BF'!$AM$10+'TUSD CVA'!$AM$10)*1</f>
        <v>18.371854423657158</v>
      </c>
      <c r="Z402" s="6"/>
      <c r="AA402" s="6"/>
      <c r="AB402" s="6">
        <f>$K$402*$V$402</f>
        <v>249749.76000000001</v>
      </c>
      <c r="AC402" s="6">
        <f>$M$402*$W$402</f>
        <v>0</v>
      </c>
      <c r="AD402" s="6">
        <f>$O$402*$X$402</f>
        <v>0</v>
      </c>
      <c r="AE402" s="6">
        <f ca="1">$K$402*$Y$402</f>
        <v>275743.16304467031</v>
      </c>
      <c r="AF402" s="6">
        <f>$M$402*$Z$402</f>
        <v>0</v>
      </c>
      <c r="AG402" s="6">
        <f>$O$402*$AA$402</f>
        <v>0</v>
      </c>
    </row>
    <row r="403" spans="1:33" ht="11.25" customHeight="1" x14ac:dyDescent="0.25">
      <c r="A403" s="4" t="s">
        <v>28</v>
      </c>
      <c r="B403" s="4" t="s">
        <v>39</v>
      </c>
      <c r="C403" s="4" t="s">
        <v>40</v>
      </c>
      <c r="D403" s="4" t="s">
        <v>38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44531</v>
      </c>
      <c r="J403" s="6">
        <v>2178</v>
      </c>
      <c r="K403" s="6">
        <v>2178</v>
      </c>
      <c r="L403" s="6">
        <v>0</v>
      </c>
      <c r="M403" s="6">
        <v>0</v>
      </c>
      <c r="N403" s="6">
        <v>0</v>
      </c>
      <c r="O403" s="6">
        <v>0</v>
      </c>
      <c r="P403" s="6">
        <v>14</v>
      </c>
      <c r="Q403" s="4" t="s">
        <v>26</v>
      </c>
      <c r="R403" s="4">
        <v>0</v>
      </c>
      <c r="S403" s="6">
        <v>6</v>
      </c>
      <c r="T403" s="6">
        <v>0</v>
      </c>
      <c r="U403" s="6">
        <v>0</v>
      </c>
      <c r="V403" s="6">
        <f>IF(ISERROR(VLOOKUP($S$403,'TAR FIN'!$A$1:$O$85,15,0)),0,VLOOKUP($S$403,'TAR FIN'!$A$1:$O$85,15,0))</f>
        <v>16.64</v>
      </c>
      <c r="W403" s="6">
        <f>IF(ISERROR(VLOOKUP($T$403,'TAR FIN'!$A$1:$O$85,15,0)),0,VLOOKUP($T$403,'TAR FIN'!$A$1:$O$85,15,0))</f>
        <v>0</v>
      </c>
      <c r="X403" s="6">
        <f>IF(ISERROR(VLOOKUP($U$403,'TAR FIN'!$A$1:$O$85,15,0)),0,VLOOKUP($U$403,'TAR FIN'!$A$1:$O$85,15,0))</f>
        <v>0</v>
      </c>
      <c r="Y403" s="6">
        <f ca="1">('TUSD BE'!$AM$10+'TUSD BF'!$AM$10+'TUSD CVA'!$AM$10)*1</f>
        <v>18.371854423657158</v>
      </c>
      <c r="Z403" s="6"/>
      <c r="AA403" s="6"/>
      <c r="AB403" s="6">
        <f>$K$403*$V$403</f>
        <v>36241.919999999998</v>
      </c>
      <c r="AC403" s="6">
        <f>$M$403*$W$403</f>
        <v>0</v>
      </c>
      <c r="AD403" s="6">
        <f>$O$403*$X$403</f>
        <v>0</v>
      </c>
      <c r="AE403" s="6">
        <f ca="1">$K$403*$Y$403</f>
        <v>40013.898934725294</v>
      </c>
      <c r="AF403" s="6">
        <f>$M$403*$Z$403</f>
        <v>0</v>
      </c>
      <c r="AG403" s="6">
        <f>$O$403*$AA$403</f>
        <v>0</v>
      </c>
    </row>
    <row r="404" spans="1:33" ht="11.25" customHeight="1" x14ac:dyDescent="0.25">
      <c r="A404" s="4" t="s">
        <v>21</v>
      </c>
      <c r="B404" s="4" t="s">
        <v>39</v>
      </c>
      <c r="C404" s="4" t="s">
        <v>40</v>
      </c>
      <c r="D404" s="4" t="s">
        <v>38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44562</v>
      </c>
      <c r="J404" s="6">
        <v>13438</v>
      </c>
      <c r="K404" s="6">
        <v>13438</v>
      </c>
      <c r="L404" s="6">
        <v>0</v>
      </c>
      <c r="M404" s="6">
        <v>0</v>
      </c>
      <c r="N404" s="6">
        <v>0</v>
      </c>
      <c r="O404" s="6">
        <v>0</v>
      </c>
      <c r="P404" s="6">
        <v>74</v>
      </c>
      <c r="Q404" s="4" t="s">
        <v>26</v>
      </c>
      <c r="R404" s="4">
        <v>0</v>
      </c>
      <c r="S404" s="6">
        <v>6</v>
      </c>
      <c r="T404" s="6">
        <v>0</v>
      </c>
      <c r="U404" s="6">
        <v>0</v>
      </c>
      <c r="V404" s="6">
        <f>IF(ISERROR(VLOOKUP($S$404,'TAR FIN'!$A$1:$O$85,15,0)),0,VLOOKUP($S$404,'TAR FIN'!$A$1:$O$85,15,0))</f>
        <v>16.64</v>
      </c>
      <c r="W404" s="6">
        <f>IF(ISERROR(VLOOKUP($T$404,'TAR FIN'!$A$1:$O$85,15,0)),0,VLOOKUP($T$404,'TAR FIN'!$A$1:$O$85,15,0))</f>
        <v>0</v>
      </c>
      <c r="X404" s="6">
        <f>IF(ISERROR(VLOOKUP($U$404,'TAR FIN'!$A$1:$O$85,15,0)),0,VLOOKUP($U$404,'TAR FIN'!$A$1:$O$85,15,0))</f>
        <v>0</v>
      </c>
      <c r="Y404" s="6">
        <f ca="1">('TUSD BE'!$AM$10+'TUSD BF'!$AM$10+'TUSD CVA'!$AM$10)*1</f>
        <v>18.371854423657158</v>
      </c>
      <c r="Z404" s="6"/>
      <c r="AA404" s="6"/>
      <c r="AB404" s="6">
        <f>$K$404*$V$404</f>
        <v>223608.32000000001</v>
      </c>
      <c r="AC404" s="6">
        <f>$M$404*$W$404</f>
        <v>0</v>
      </c>
      <c r="AD404" s="6">
        <f>$O$404*$X$404</f>
        <v>0</v>
      </c>
      <c r="AE404" s="6">
        <f ca="1">$K$404*$Y$404</f>
        <v>246880.97974510488</v>
      </c>
      <c r="AF404" s="6">
        <f>$M$404*$Z$404</f>
        <v>0</v>
      </c>
      <c r="AG404" s="6">
        <f>$O$404*$AA$404</f>
        <v>0</v>
      </c>
    </row>
    <row r="405" spans="1:33" ht="11.25" customHeight="1" x14ac:dyDescent="0.25">
      <c r="A405" s="4" t="s">
        <v>28</v>
      </c>
      <c r="B405" s="4" t="s">
        <v>39</v>
      </c>
      <c r="C405" s="4" t="s">
        <v>40</v>
      </c>
      <c r="D405" s="4" t="s">
        <v>38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44562</v>
      </c>
      <c r="J405" s="6">
        <v>2176</v>
      </c>
      <c r="K405" s="6">
        <v>2176</v>
      </c>
      <c r="L405" s="6">
        <v>0</v>
      </c>
      <c r="M405" s="6">
        <v>0</v>
      </c>
      <c r="N405" s="6">
        <v>0</v>
      </c>
      <c r="O405" s="6">
        <v>0</v>
      </c>
      <c r="P405" s="6">
        <v>14</v>
      </c>
      <c r="Q405" s="4" t="s">
        <v>26</v>
      </c>
      <c r="R405" s="4">
        <v>0</v>
      </c>
      <c r="S405" s="6">
        <v>6</v>
      </c>
      <c r="T405" s="6">
        <v>0</v>
      </c>
      <c r="U405" s="6">
        <v>0</v>
      </c>
      <c r="V405" s="6">
        <f>IF(ISERROR(VLOOKUP($S$405,'TAR FIN'!$A$1:$O$85,15,0)),0,VLOOKUP($S$405,'TAR FIN'!$A$1:$O$85,15,0))</f>
        <v>16.64</v>
      </c>
      <c r="W405" s="6">
        <f>IF(ISERROR(VLOOKUP($T$405,'TAR FIN'!$A$1:$O$85,15,0)),0,VLOOKUP($T$405,'TAR FIN'!$A$1:$O$85,15,0))</f>
        <v>0</v>
      </c>
      <c r="X405" s="6">
        <f>IF(ISERROR(VLOOKUP($U$405,'TAR FIN'!$A$1:$O$85,15,0)),0,VLOOKUP($U$405,'TAR FIN'!$A$1:$O$85,15,0))</f>
        <v>0</v>
      </c>
      <c r="Y405" s="6">
        <f ca="1">('TUSD BE'!$AM$10+'TUSD BF'!$AM$10+'TUSD CVA'!$AM$10)*1</f>
        <v>18.371854423657158</v>
      </c>
      <c r="Z405" s="6"/>
      <c r="AA405" s="6"/>
      <c r="AB405" s="6">
        <f>$K$405*$V$405</f>
        <v>36208.639999999999</v>
      </c>
      <c r="AC405" s="6">
        <f>$M$405*$W$405</f>
        <v>0</v>
      </c>
      <c r="AD405" s="6">
        <f>$O$405*$X$405</f>
        <v>0</v>
      </c>
      <c r="AE405" s="6">
        <f ca="1">$K$405*$Y$405</f>
        <v>39977.155225877978</v>
      </c>
      <c r="AF405" s="6">
        <f>$M$405*$Z$405</f>
        <v>0</v>
      </c>
      <c r="AG405" s="6">
        <f>$O$405*$AA$405</f>
        <v>0</v>
      </c>
    </row>
    <row r="406" spans="1:33" ht="11.25" customHeight="1" x14ac:dyDescent="0.25">
      <c r="A406" s="4" t="s">
        <v>21</v>
      </c>
      <c r="B406" s="4" t="s">
        <v>39</v>
      </c>
      <c r="C406" s="4" t="s">
        <v>40</v>
      </c>
      <c r="D406" s="4" t="s">
        <v>38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44593</v>
      </c>
      <c r="J406" s="6">
        <v>13704</v>
      </c>
      <c r="K406" s="6">
        <v>13704</v>
      </c>
      <c r="L406" s="6">
        <v>0</v>
      </c>
      <c r="M406" s="6">
        <v>0</v>
      </c>
      <c r="N406" s="6">
        <v>0</v>
      </c>
      <c r="O406" s="6">
        <v>0</v>
      </c>
      <c r="P406" s="6">
        <v>76</v>
      </c>
      <c r="Q406" s="4" t="s">
        <v>26</v>
      </c>
      <c r="R406" s="4">
        <v>0</v>
      </c>
      <c r="S406" s="6">
        <v>6</v>
      </c>
      <c r="T406" s="6">
        <v>0</v>
      </c>
      <c r="U406" s="6">
        <v>0</v>
      </c>
      <c r="V406" s="6">
        <f>IF(ISERROR(VLOOKUP($S$406,'TAR FIN'!$A$1:$O$85,15,0)),0,VLOOKUP($S$406,'TAR FIN'!$A$1:$O$85,15,0))</f>
        <v>16.64</v>
      </c>
      <c r="W406" s="6">
        <f>IF(ISERROR(VLOOKUP($T$406,'TAR FIN'!$A$1:$O$85,15,0)),0,VLOOKUP($T$406,'TAR FIN'!$A$1:$O$85,15,0))</f>
        <v>0</v>
      </c>
      <c r="X406" s="6">
        <f>IF(ISERROR(VLOOKUP($U$406,'TAR FIN'!$A$1:$O$85,15,0)),0,VLOOKUP($U$406,'TAR FIN'!$A$1:$O$85,15,0))</f>
        <v>0</v>
      </c>
      <c r="Y406" s="6">
        <f ca="1">('TUSD BE'!$AM$10+'TUSD BF'!$AM$10+'TUSD CVA'!$AM$10)*1</f>
        <v>18.371854423657158</v>
      </c>
      <c r="Z406" s="6"/>
      <c r="AA406" s="6"/>
      <c r="AB406" s="6">
        <f>$K$406*$V$406</f>
        <v>228034.56</v>
      </c>
      <c r="AC406" s="6">
        <f>$M$406*$W$406</f>
        <v>0</v>
      </c>
      <c r="AD406" s="6">
        <f>$O$406*$X$406</f>
        <v>0</v>
      </c>
      <c r="AE406" s="6">
        <f ca="1">$K$406*$Y$406</f>
        <v>251767.8930217977</v>
      </c>
      <c r="AF406" s="6">
        <f>$M$406*$Z$406</f>
        <v>0</v>
      </c>
      <c r="AG406" s="6">
        <f>$O$406*$AA$406</f>
        <v>0</v>
      </c>
    </row>
    <row r="407" spans="1:33" ht="11.25" customHeight="1" x14ac:dyDescent="0.25">
      <c r="A407" s="4" t="s">
        <v>28</v>
      </c>
      <c r="B407" s="4" t="s">
        <v>39</v>
      </c>
      <c r="C407" s="4" t="s">
        <v>40</v>
      </c>
      <c r="D407" s="4" t="s">
        <v>38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44593</v>
      </c>
      <c r="J407" s="6">
        <v>2127</v>
      </c>
      <c r="K407" s="6">
        <v>2127</v>
      </c>
      <c r="L407" s="6">
        <v>0</v>
      </c>
      <c r="M407" s="6">
        <v>0</v>
      </c>
      <c r="N407" s="6">
        <v>0</v>
      </c>
      <c r="O407" s="6">
        <v>0</v>
      </c>
      <c r="P407" s="6">
        <v>13</v>
      </c>
      <c r="Q407" s="4" t="s">
        <v>26</v>
      </c>
      <c r="R407" s="4">
        <v>0</v>
      </c>
      <c r="S407" s="6">
        <v>6</v>
      </c>
      <c r="T407" s="6">
        <v>0</v>
      </c>
      <c r="U407" s="6">
        <v>0</v>
      </c>
      <c r="V407" s="6">
        <f>IF(ISERROR(VLOOKUP($S$407,'TAR FIN'!$A$1:$O$85,15,0)),0,VLOOKUP($S$407,'TAR FIN'!$A$1:$O$85,15,0))</f>
        <v>16.64</v>
      </c>
      <c r="W407" s="6">
        <f>IF(ISERROR(VLOOKUP($T$407,'TAR FIN'!$A$1:$O$85,15,0)),0,VLOOKUP($T$407,'TAR FIN'!$A$1:$O$85,15,0))</f>
        <v>0</v>
      </c>
      <c r="X407" s="6">
        <f>IF(ISERROR(VLOOKUP($U$407,'TAR FIN'!$A$1:$O$85,15,0)),0,VLOOKUP($U$407,'TAR FIN'!$A$1:$O$85,15,0))</f>
        <v>0</v>
      </c>
      <c r="Y407" s="6">
        <f ca="1">('TUSD BE'!$AM$10+'TUSD BF'!$AM$10+'TUSD CVA'!$AM$10)*1</f>
        <v>18.371854423657158</v>
      </c>
      <c r="Z407" s="6"/>
      <c r="AA407" s="6"/>
      <c r="AB407" s="6">
        <f>$K$407*$V$407</f>
        <v>35393.279999999999</v>
      </c>
      <c r="AC407" s="6">
        <f>$M$407*$W$407</f>
        <v>0</v>
      </c>
      <c r="AD407" s="6">
        <f>$O$407*$X$407</f>
        <v>0</v>
      </c>
      <c r="AE407" s="6">
        <f ca="1">$K$407*$Y$407</f>
        <v>39076.934359118779</v>
      </c>
      <c r="AF407" s="6">
        <f>$M$407*$Z$407</f>
        <v>0</v>
      </c>
      <c r="AG407" s="6">
        <f>$O$407*$AA$407</f>
        <v>0</v>
      </c>
    </row>
    <row r="408" spans="1:33" ht="11.25" customHeight="1" x14ac:dyDescent="0.25">
      <c r="A408" s="4" t="s">
        <v>21</v>
      </c>
      <c r="B408" s="4" t="s">
        <v>39</v>
      </c>
      <c r="C408" s="4" t="s">
        <v>40</v>
      </c>
      <c r="D408" s="4" t="s">
        <v>38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44621</v>
      </c>
      <c r="J408" s="6">
        <v>13472</v>
      </c>
      <c r="K408" s="6">
        <v>13472</v>
      </c>
      <c r="L408" s="6">
        <v>0</v>
      </c>
      <c r="M408" s="6">
        <v>0</v>
      </c>
      <c r="N408" s="6">
        <v>0</v>
      </c>
      <c r="O408" s="6">
        <v>0</v>
      </c>
      <c r="P408" s="6">
        <v>73</v>
      </c>
      <c r="Q408" s="4" t="s">
        <v>26</v>
      </c>
      <c r="R408" s="4">
        <v>0</v>
      </c>
      <c r="S408" s="6">
        <v>6</v>
      </c>
      <c r="T408" s="6">
        <v>0</v>
      </c>
      <c r="U408" s="6">
        <v>0</v>
      </c>
      <c r="V408" s="6">
        <f>IF(ISERROR(VLOOKUP($S$408,'TAR FIN'!$A$1:$O$85,15,0)),0,VLOOKUP($S$408,'TAR FIN'!$A$1:$O$85,15,0))</f>
        <v>16.64</v>
      </c>
      <c r="W408" s="6">
        <f>IF(ISERROR(VLOOKUP($T$408,'TAR FIN'!$A$1:$O$85,15,0)),0,VLOOKUP($T$408,'TAR FIN'!$A$1:$O$85,15,0))</f>
        <v>0</v>
      </c>
      <c r="X408" s="6">
        <f>IF(ISERROR(VLOOKUP($U$408,'TAR FIN'!$A$1:$O$85,15,0)),0,VLOOKUP($U$408,'TAR FIN'!$A$1:$O$85,15,0))</f>
        <v>0</v>
      </c>
      <c r="Y408" s="6">
        <f ca="1">('TUSD BE'!$AM$10+'TUSD BF'!$AM$10+'TUSD CVA'!$AM$10)*1</f>
        <v>18.371854423657158</v>
      </c>
      <c r="Z408" s="6"/>
      <c r="AA408" s="6"/>
      <c r="AB408" s="6">
        <f>$K$408*$V$408</f>
        <v>224174.08000000002</v>
      </c>
      <c r="AC408" s="6">
        <f>$M$408*$W$408</f>
        <v>0</v>
      </c>
      <c r="AD408" s="6">
        <f>$O$408*$X$408</f>
        <v>0</v>
      </c>
      <c r="AE408" s="6">
        <f ca="1">$K$408*$Y$408</f>
        <v>247505.62279550923</v>
      </c>
      <c r="AF408" s="6">
        <f>$M$408*$Z$408</f>
        <v>0</v>
      </c>
      <c r="AG408" s="6">
        <f>$O$408*$AA$408</f>
        <v>0</v>
      </c>
    </row>
    <row r="409" spans="1:33" ht="11.25" customHeight="1" x14ac:dyDescent="0.25">
      <c r="A409" s="4" t="s">
        <v>27</v>
      </c>
      <c r="B409" s="4" t="s">
        <v>39</v>
      </c>
      <c r="C409" s="4" t="s">
        <v>40</v>
      </c>
      <c r="D409" s="4" t="s">
        <v>38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44621</v>
      </c>
      <c r="J409" s="6">
        <v>-45</v>
      </c>
      <c r="K409" s="6">
        <v>-45</v>
      </c>
      <c r="L409" s="6">
        <v>0</v>
      </c>
      <c r="M409" s="6">
        <v>0</v>
      </c>
      <c r="N409" s="6">
        <v>0</v>
      </c>
      <c r="O409" s="6">
        <v>0</v>
      </c>
      <c r="P409" s="6">
        <v>-1</v>
      </c>
      <c r="Q409" s="4" t="s">
        <v>26</v>
      </c>
      <c r="R409" s="4">
        <v>0</v>
      </c>
      <c r="S409" s="6">
        <v>6</v>
      </c>
      <c r="T409" s="6">
        <v>0</v>
      </c>
      <c r="U409" s="6">
        <v>0</v>
      </c>
      <c r="V409" s="6">
        <f>IF(ISERROR(VLOOKUP($S$409,'TAR FIN'!$A$1:$O$85,15,0)),0,VLOOKUP($S$409,'TAR FIN'!$A$1:$O$85,15,0))</f>
        <v>16.64</v>
      </c>
      <c r="W409" s="6">
        <f>IF(ISERROR(VLOOKUP($T$409,'TAR FIN'!$A$1:$O$85,15,0)),0,VLOOKUP($T$409,'TAR FIN'!$A$1:$O$85,15,0))</f>
        <v>0</v>
      </c>
      <c r="X409" s="6">
        <f>IF(ISERROR(VLOOKUP($U$409,'TAR FIN'!$A$1:$O$85,15,0)),0,VLOOKUP($U$409,'TAR FIN'!$A$1:$O$85,15,0))</f>
        <v>0</v>
      </c>
      <c r="Y409" s="6">
        <f ca="1">('TUSD BE'!$AM$10+'TUSD BF'!$AM$10+'TUSD CVA'!$AM$10)*1</f>
        <v>18.371854423657158</v>
      </c>
      <c r="Z409" s="6"/>
      <c r="AA409" s="6"/>
      <c r="AB409" s="6">
        <f>$K$409*$V$409</f>
        <v>-748.80000000000007</v>
      </c>
      <c r="AC409" s="6">
        <f>$M$409*$W$409</f>
        <v>0</v>
      </c>
      <c r="AD409" s="6">
        <f>$O$409*$X$409</f>
        <v>0</v>
      </c>
      <c r="AE409" s="6">
        <f ca="1">$K$409*$Y$409</f>
        <v>-826.73344906457214</v>
      </c>
      <c r="AF409" s="6">
        <f>$M$409*$Z$409</f>
        <v>0</v>
      </c>
      <c r="AG409" s="6">
        <f>$O$409*$AA$409</f>
        <v>0</v>
      </c>
    </row>
    <row r="410" spans="1:33" ht="11.25" customHeight="1" x14ac:dyDescent="0.25">
      <c r="A410" s="4" t="s">
        <v>28</v>
      </c>
      <c r="B410" s="4" t="s">
        <v>39</v>
      </c>
      <c r="C410" s="4" t="s">
        <v>40</v>
      </c>
      <c r="D410" s="4" t="s">
        <v>38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44621</v>
      </c>
      <c r="J410" s="6">
        <v>2177</v>
      </c>
      <c r="K410" s="6">
        <v>2177</v>
      </c>
      <c r="L410" s="6">
        <v>0</v>
      </c>
      <c r="M410" s="6">
        <v>0</v>
      </c>
      <c r="N410" s="6">
        <v>0</v>
      </c>
      <c r="O410" s="6">
        <v>0</v>
      </c>
      <c r="P410" s="6">
        <v>14</v>
      </c>
      <c r="Q410" s="4" t="s">
        <v>26</v>
      </c>
      <c r="R410" s="4">
        <v>0</v>
      </c>
      <c r="S410" s="6">
        <v>6</v>
      </c>
      <c r="T410" s="6">
        <v>0</v>
      </c>
      <c r="U410" s="6">
        <v>0</v>
      </c>
      <c r="V410" s="6">
        <f>IF(ISERROR(VLOOKUP($S$410,'TAR FIN'!$A$1:$O$85,15,0)),0,VLOOKUP($S$410,'TAR FIN'!$A$1:$O$85,15,0))</f>
        <v>16.64</v>
      </c>
      <c r="W410" s="6">
        <f>IF(ISERROR(VLOOKUP($T$410,'TAR FIN'!$A$1:$O$85,15,0)),0,VLOOKUP($T$410,'TAR FIN'!$A$1:$O$85,15,0))</f>
        <v>0</v>
      </c>
      <c r="X410" s="6">
        <f>IF(ISERROR(VLOOKUP($U$410,'TAR FIN'!$A$1:$O$85,15,0)),0,VLOOKUP($U$410,'TAR FIN'!$A$1:$O$85,15,0))</f>
        <v>0</v>
      </c>
      <c r="Y410" s="6">
        <f ca="1">('TUSD BE'!$AM$10+'TUSD BF'!$AM$10+'TUSD CVA'!$AM$10)*1</f>
        <v>18.371854423657158</v>
      </c>
      <c r="Z410" s="6"/>
      <c r="AA410" s="6"/>
      <c r="AB410" s="6">
        <f>$K$410*$V$410</f>
        <v>36225.279999999999</v>
      </c>
      <c r="AC410" s="6">
        <f>$M$410*$W$410</f>
        <v>0</v>
      </c>
      <c r="AD410" s="6">
        <f>$O$410*$X$410</f>
        <v>0</v>
      </c>
      <c r="AE410" s="6">
        <f ca="1">$K$410*$Y$410</f>
        <v>39995.527080301632</v>
      </c>
      <c r="AF410" s="6">
        <f>$M$410*$Z$410</f>
        <v>0</v>
      </c>
      <c r="AG410" s="6">
        <f>$O$410*$AA$410</f>
        <v>0</v>
      </c>
    </row>
    <row r="411" spans="1:33" ht="11.25" customHeight="1" x14ac:dyDescent="0.25">
      <c r="A411" s="4" t="s">
        <v>28</v>
      </c>
      <c r="B411" s="4" t="s">
        <v>39</v>
      </c>
      <c r="C411" s="4" t="s">
        <v>40</v>
      </c>
      <c r="D411" s="4" t="s">
        <v>38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44621</v>
      </c>
      <c r="J411" s="6">
        <v>45</v>
      </c>
      <c r="K411" s="6">
        <v>45</v>
      </c>
      <c r="L411" s="6">
        <v>0</v>
      </c>
      <c r="M411" s="6">
        <v>0</v>
      </c>
      <c r="N411" s="6">
        <v>0</v>
      </c>
      <c r="O411" s="6">
        <v>0</v>
      </c>
      <c r="P411" s="6">
        <v>1</v>
      </c>
      <c r="Q411" s="4" t="s">
        <v>26</v>
      </c>
      <c r="R411" s="4">
        <v>0</v>
      </c>
      <c r="S411" s="6">
        <v>6</v>
      </c>
      <c r="T411" s="6">
        <v>0</v>
      </c>
      <c r="U411" s="6">
        <v>0</v>
      </c>
      <c r="V411" s="6">
        <f>IF(ISERROR(VLOOKUP($S$411,'TAR FIN'!$A$1:$O$85,15,0)),0,VLOOKUP($S$411,'TAR FIN'!$A$1:$O$85,15,0))</f>
        <v>16.64</v>
      </c>
      <c r="W411" s="6">
        <f>IF(ISERROR(VLOOKUP($T$411,'TAR FIN'!$A$1:$O$85,15,0)),0,VLOOKUP($T$411,'TAR FIN'!$A$1:$O$85,15,0))</f>
        <v>0</v>
      </c>
      <c r="X411" s="6">
        <f>IF(ISERROR(VLOOKUP($U$411,'TAR FIN'!$A$1:$O$85,15,0)),0,VLOOKUP($U$411,'TAR FIN'!$A$1:$O$85,15,0))</f>
        <v>0</v>
      </c>
      <c r="Y411" s="6">
        <f ca="1">('TUSD BE'!$AM$10+'TUSD BF'!$AM$10+'TUSD CVA'!$AM$10)*1</f>
        <v>18.371854423657158</v>
      </c>
      <c r="Z411" s="6"/>
      <c r="AA411" s="6"/>
      <c r="AB411" s="6">
        <f>$K$411*$V$411</f>
        <v>748.80000000000007</v>
      </c>
      <c r="AC411" s="6">
        <f>$M$411*$W$411</f>
        <v>0</v>
      </c>
      <c r="AD411" s="6">
        <f>$O$411*$X$411</f>
        <v>0</v>
      </c>
      <c r="AE411" s="6">
        <f ca="1">$K$411*$Y$411</f>
        <v>826.73344906457214</v>
      </c>
      <c r="AF411" s="6">
        <f>$M$411*$Z$411</f>
        <v>0</v>
      </c>
      <c r="AG411" s="6">
        <f>$O$411*$AA$411</f>
        <v>0</v>
      </c>
    </row>
    <row r="412" spans="1:33" ht="11.25" customHeight="1" x14ac:dyDescent="0.25">
      <c r="A412" s="4" t="s">
        <v>21</v>
      </c>
      <c r="B412" s="4" t="s">
        <v>39</v>
      </c>
      <c r="C412" s="4" t="s">
        <v>40</v>
      </c>
      <c r="D412" s="4" t="s">
        <v>38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44652</v>
      </c>
      <c r="J412" s="6">
        <v>13438</v>
      </c>
      <c r="K412" s="6">
        <v>13438</v>
      </c>
      <c r="L412" s="6">
        <v>0</v>
      </c>
      <c r="M412" s="6">
        <v>0</v>
      </c>
      <c r="N412" s="6">
        <v>0</v>
      </c>
      <c r="O412" s="6">
        <v>0</v>
      </c>
      <c r="P412" s="6">
        <v>73</v>
      </c>
      <c r="Q412" s="4" t="s">
        <v>26</v>
      </c>
      <c r="R412" s="4">
        <v>0</v>
      </c>
      <c r="S412" s="6">
        <v>6</v>
      </c>
      <c r="T412" s="6">
        <v>0</v>
      </c>
      <c r="U412" s="6">
        <v>0</v>
      </c>
      <c r="V412" s="6">
        <f>IF(ISERROR(VLOOKUP($S$412,'TAR FIN'!$A$1:$O$85,15,0)),0,VLOOKUP($S$412,'TAR FIN'!$A$1:$O$85,15,0))</f>
        <v>16.64</v>
      </c>
      <c r="W412" s="6">
        <f>IF(ISERROR(VLOOKUP($T$412,'TAR FIN'!$A$1:$O$85,15,0)),0,VLOOKUP($T$412,'TAR FIN'!$A$1:$O$85,15,0))</f>
        <v>0</v>
      </c>
      <c r="X412" s="6">
        <f>IF(ISERROR(VLOOKUP($U$412,'TAR FIN'!$A$1:$O$85,15,0)),0,VLOOKUP($U$412,'TAR FIN'!$A$1:$O$85,15,0))</f>
        <v>0</v>
      </c>
      <c r="Y412" s="6">
        <f ca="1">('TUSD BE'!$AM$10+'TUSD BF'!$AM$10+'TUSD CVA'!$AM$10)*1</f>
        <v>18.371854423657158</v>
      </c>
      <c r="Z412" s="6"/>
      <c r="AA412" s="6"/>
      <c r="AB412" s="6">
        <f>$K$412*$V$412</f>
        <v>223608.32000000001</v>
      </c>
      <c r="AC412" s="6">
        <f>$M$412*$W$412</f>
        <v>0</v>
      </c>
      <c r="AD412" s="6">
        <f>$O$412*$X$412</f>
        <v>0</v>
      </c>
      <c r="AE412" s="6">
        <f ca="1">$K$412*$Y$412</f>
        <v>246880.97974510488</v>
      </c>
      <c r="AF412" s="6">
        <f>$M$412*$Z$412</f>
        <v>0</v>
      </c>
      <c r="AG412" s="6">
        <f>$O$412*$AA$412</f>
        <v>0</v>
      </c>
    </row>
    <row r="413" spans="1:33" ht="11.25" customHeight="1" x14ac:dyDescent="0.25">
      <c r="A413" s="4" t="s">
        <v>28</v>
      </c>
      <c r="B413" s="4" t="s">
        <v>39</v>
      </c>
      <c r="C413" s="4" t="s">
        <v>40</v>
      </c>
      <c r="D413" s="4" t="s">
        <v>38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44652</v>
      </c>
      <c r="J413" s="6">
        <v>2171</v>
      </c>
      <c r="K413" s="6">
        <v>2171</v>
      </c>
      <c r="L413" s="6">
        <v>0</v>
      </c>
      <c r="M413" s="6">
        <v>0</v>
      </c>
      <c r="N413" s="6">
        <v>0</v>
      </c>
      <c r="O413" s="6">
        <v>0</v>
      </c>
      <c r="P413" s="6">
        <v>14</v>
      </c>
      <c r="Q413" s="4" t="s">
        <v>26</v>
      </c>
      <c r="R413" s="4">
        <v>0</v>
      </c>
      <c r="S413" s="6">
        <v>6</v>
      </c>
      <c r="T413" s="6">
        <v>0</v>
      </c>
      <c r="U413" s="6">
        <v>0</v>
      </c>
      <c r="V413" s="6">
        <f>IF(ISERROR(VLOOKUP($S$413,'TAR FIN'!$A$1:$O$85,15,0)),0,VLOOKUP($S$413,'TAR FIN'!$A$1:$O$85,15,0))</f>
        <v>16.64</v>
      </c>
      <c r="W413" s="6">
        <f>IF(ISERROR(VLOOKUP($T$413,'TAR FIN'!$A$1:$O$85,15,0)),0,VLOOKUP($T$413,'TAR FIN'!$A$1:$O$85,15,0))</f>
        <v>0</v>
      </c>
      <c r="X413" s="6">
        <f>IF(ISERROR(VLOOKUP($U$413,'TAR FIN'!$A$1:$O$85,15,0)),0,VLOOKUP($U$413,'TAR FIN'!$A$1:$O$85,15,0))</f>
        <v>0</v>
      </c>
      <c r="Y413" s="6">
        <f ca="1">('TUSD BE'!$AM$10+'TUSD BF'!$AM$10+'TUSD CVA'!$AM$10)*1</f>
        <v>18.371854423657158</v>
      </c>
      <c r="Z413" s="6"/>
      <c r="AA413" s="6"/>
      <c r="AB413" s="6">
        <f>$K$413*$V$413</f>
        <v>36125.440000000002</v>
      </c>
      <c r="AC413" s="6">
        <f>$M$413*$W$413</f>
        <v>0</v>
      </c>
      <c r="AD413" s="6">
        <f>$O$413*$X$413</f>
        <v>0</v>
      </c>
      <c r="AE413" s="6">
        <f ca="1">$K$413*$Y$413</f>
        <v>39885.295953759691</v>
      </c>
      <c r="AF413" s="6">
        <f>$M$413*$Z$413</f>
        <v>0</v>
      </c>
      <c r="AG413" s="6">
        <f>$O$413*$AA$413</f>
        <v>0</v>
      </c>
    </row>
    <row r="414" spans="1:33" ht="11.25" customHeight="1" x14ac:dyDescent="0.25">
      <c r="A414" s="4" t="s">
        <v>21</v>
      </c>
      <c r="B414" s="4" t="s">
        <v>39</v>
      </c>
      <c r="C414" s="4" t="s">
        <v>40</v>
      </c>
      <c r="D414" s="4" t="s">
        <v>38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44682</v>
      </c>
      <c r="J414" s="6">
        <v>12992</v>
      </c>
      <c r="K414" s="6">
        <v>12992</v>
      </c>
      <c r="L414" s="6">
        <v>0</v>
      </c>
      <c r="M414" s="6">
        <v>0</v>
      </c>
      <c r="N414" s="6">
        <v>0</v>
      </c>
      <c r="O414" s="6">
        <v>0</v>
      </c>
      <c r="P414" s="6">
        <v>71</v>
      </c>
      <c r="Q414" s="4" t="s">
        <v>26</v>
      </c>
      <c r="R414" s="4">
        <v>0</v>
      </c>
      <c r="S414" s="6">
        <v>6</v>
      </c>
      <c r="T414" s="6">
        <v>0</v>
      </c>
      <c r="U414" s="6">
        <v>0</v>
      </c>
      <c r="V414" s="6">
        <f>IF(ISERROR(VLOOKUP($S$414,'TAR FIN'!$A$1:$O$85,15,0)),0,VLOOKUP($S$414,'TAR FIN'!$A$1:$O$85,15,0))</f>
        <v>16.64</v>
      </c>
      <c r="W414" s="6">
        <f>IF(ISERROR(VLOOKUP($T$414,'TAR FIN'!$A$1:$O$85,15,0)),0,VLOOKUP($T$414,'TAR FIN'!$A$1:$O$85,15,0))</f>
        <v>0</v>
      </c>
      <c r="X414" s="6">
        <f>IF(ISERROR(VLOOKUP($U$414,'TAR FIN'!$A$1:$O$85,15,0)),0,VLOOKUP($U$414,'TAR FIN'!$A$1:$O$85,15,0))</f>
        <v>0</v>
      </c>
      <c r="Y414" s="6">
        <f ca="1">('TUSD BE'!$AM$10+'TUSD BF'!$AM$10+'TUSD CVA'!$AM$10)*1</f>
        <v>18.371854423657158</v>
      </c>
      <c r="Z414" s="6"/>
      <c r="AA414" s="6"/>
      <c r="AB414" s="6">
        <f>$K$414*$V$414</f>
        <v>216186.88</v>
      </c>
      <c r="AC414" s="6">
        <f>$M$414*$W$414</f>
        <v>0</v>
      </c>
      <c r="AD414" s="6">
        <f>$O$414*$X$414</f>
        <v>0</v>
      </c>
      <c r="AE414" s="6">
        <f ca="1">$K$414*$Y$414</f>
        <v>238687.13267215379</v>
      </c>
      <c r="AF414" s="6">
        <f>$M$414*$Z$414</f>
        <v>0</v>
      </c>
      <c r="AG414" s="6">
        <f>$O$414*$AA$414</f>
        <v>0</v>
      </c>
    </row>
    <row r="415" spans="1:33" ht="11.25" customHeight="1" x14ac:dyDescent="0.25">
      <c r="A415" s="4" t="s">
        <v>28</v>
      </c>
      <c r="B415" s="4" t="s">
        <v>39</v>
      </c>
      <c r="C415" s="4" t="s">
        <v>40</v>
      </c>
      <c r="D415" s="4" t="s">
        <v>38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44682</v>
      </c>
      <c r="J415" s="6">
        <v>2171</v>
      </c>
      <c r="K415" s="6">
        <v>2171</v>
      </c>
      <c r="L415" s="6">
        <v>0</v>
      </c>
      <c r="M415" s="6">
        <v>0</v>
      </c>
      <c r="N415" s="6">
        <v>0</v>
      </c>
      <c r="O415" s="6">
        <v>0</v>
      </c>
      <c r="P415" s="6">
        <v>14</v>
      </c>
      <c r="Q415" s="4" t="s">
        <v>26</v>
      </c>
      <c r="R415" s="4">
        <v>0</v>
      </c>
      <c r="S415" s="6">
        <v>6</v>
      </c>
      <c r="T415" s="6">
        <v>0</v>
      </c>
      <c r="U415" s="6">
        <v>0</v>
      </c>
      <c r="V415" s="6">
        <f>IF(ISERROR(VLOOKUP($S$415,'TAR FIN'!$A$1:$O$85,15,0)),0,VLOOKUP($S$415,'TAR FIN'!$A$1:$O$85,15,0))</f>
        <v>16.64</v>
      </c>
      <c r="W415" s="6">
        <f>IF(ISERROR(VLOOKUP($T$415,'TAR FIN'!$A$1:$O$85,15,0)),0,VLOOKUP($T$415,'TAR FIN'!$A$1:$O$85,15,0))</f>
        <v>0</v>
      </c>
      <c r="X415" s="6">
        <f>IF(ISERROR(VLOOKUP($U$415,'TAR FIN'!$A$1:$O$85,15,0)),0,VLOOKUP($U$415,'TAR FIN'!$A$1:$O$85,15,0))</f>
        <v>0</v>
      </c>
      <c r="Y415" s="6">
        <f ca="1">('TUSD BE'!$AM$10+'TUSD BF'!$AM$10+'TUSD CVA'!$AM$10)*1</f>
        <v>18.371854423657158</v>
      </c>
      <c r="Z415" s="6"/>
      <c r="AA415" s="6"/>
      <c r="AB415" s="6">
        <f>$K$415*$V$415</f>
        <v>36125.440000000002</v>
      </c>
      <c r="AC415" s="6">
        <f>$M$415*$W$415</f>
        <v>0</v>
      </c>
      <c r="AD415" s="6">
        <f>$O$415*$X$415</f>
        <v>0</v>
      </c>
      <c r="AE415" s="6">
        <f ca="1">$K$415*$Y$415</f>
        <v>39885.295953759691</v>
      </c>
      <c r="AF415" s="6">
        <f>$M$415*$Z$415</f>
        <v>0</v>
      </c>
      <c r="AG415" s="6">
        <f>$O$415*$AA$415</f>
        <v>0</v>
      </c>
    </row>
    <row r="416" spans="1:33" ht="11.25" customHeight="1" x14ac:dyDescent="0.25">
      <c r="A416" s="4" t="s">
        <v>21</v>
      </c>
      <c r="B416" s="4" t="s">
        <v>39</v>
      </c>
      <c r="C416" s="4" t="s">
        <v>40</v>
      </c>
      <c r="D416" s="4" t="s">
        <v>38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44713</v>
      </c>
      <c r="J416" s="6">
        <v>12240</v>
      </c>
      <c r="K416" s="6">
        <v>12240</v>
      </c>
      <c r="L416" s="6">
        <v>0</v>
      </c>
      <c r="M416" s="6">
        <v>0</v>
      </c>
      <c r="N416" s="6">
        <v>0</v>
      </c>
      <c r="O416" s="6">
        <v>0</v>
      </c>
      <c r="P416" s="6">
        <v>69</v>
      </c>
      <c r="Q416" s="4" t="s">
        <v>26</v>
      </c>
      <c r="R416" s="4">
        <v>0</v>
      </c>
      <c r="S416" s="6">
        <v>6</v>
      </c>
      <c r="T416" s="6">
        <v>0</v>
      </c>
      <c r="U416" s="6">
        <v>0</v>
      </c>
      <c r="V416" s="6">
        <f>IF(ISERROR(VLOOKUP($S$416,'TAR FIN'!$A$1:$O$85,15,0)),0,VLOOKUP($S$416,'TAR FIN'!$A$1:$O$85,15,0))</f>
        <v>16.64</v>
      </c>
      <c r="W416" s="6">
        <f>IF(ISERROR(VLOOKUP($T$416,'TAR FIN'!$A$1:$O$85,15,0)),0,VLOOKUP($T$416,'TAR FIN'!$A$1:$O$85,15,0))</f>
        <v>0</v>
      </c>
      <c r="X416" s="6">
        <f>IF(ISERROR(VLOOKUP($U$416,'TAR FIN'!$A$1:$O$85,15,0)),0,VLOOKUP($U$416,'TAR FIN'!$A$1:$O$85,15,0))</f>
        <v>0</v>
      </c>
      <c r="Y416" s="6">
        <f ca="1">('TUSD BE'!$AM$10+'TUSD BF'!$AM$10+'TUSD CVA'!$AM$10)*1</f>
        <v>18.371854423657158</v>
      </c>
      <c r="Z416" s="6"/>
      <c r="AA416" s="6"/>
      <c r="AB416" s="6">
        <f>$K$416*$V$416</f>
        <v>203673.60000000001</v>
      </c>
      <c r="AC416" s="6">
        <f>$M$416*$W$416</f>
        <v>0</v>
      </c>
      <c r="AD416" s="6">
        <f>$O$416*$X$416</f>
        <v>0</v>
      </c>
      <c r="AE416" s="6">
        <f ca="1">$K$416*$Y$416</f>
        <v>224871.49814556362</v>
      </c>
      <c r="AF416" s="6">
        <f>$M$416*$Z$416</f>
        <v>0</v>
      </c>
      <c r="AG416" s="6">
        <f>$O$416*$AA$416</f>
        <v>0</v>
      </c>
    </row>
    <row r="417" spans="1:33" ht="11.25" customHeight="1" x14ac:dyDescent="0.25">
      <c r="A417" s="4" t="s">
        <v>28</v>
      </c>
      <c r="B417" s="4" t="s">
        <v>39</v>
      </c>
      <c r="C417" s="4" t="s">
        <v>40</v>
      </c>
      <c r="D417" s="4" t="s">
        <v>38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44713</v>
      </c>
      <c r="J417" s="6">
        <v>2270</v>
      </c>
      <c r="K417" s="6">
        <v>2270</v>
      </c>
      <c r="L417" s="6">
        <v>0</v>
      </c>
      <c r="M417" s="6">
        <v>0</v>
      </c>
      <c r="N417" s="6">
        <v>0</v>
      </c>
      <c r="O417" s="6">
        <v>0</v>
      </c>
      <c r="P417" s="6">
        <v>16</v>
      </c>
      <c r="Q417" s="4" t="s">
        <v>26</v>
      </c>
      <c r="R417" s="4">
        <v>0</v>
      </c>
      <c r="S417" s="6">
        <v>6</v>
      </c>
      <c r="T417" s="6">
        <v>0</v>
      </c>
      <c r="U417" s="6">
        <v>0</v>
      </c>
      <c r="V417" s="6">
        <f>IF(ISERROR(VLOOKUP($S$417,'TAR FIN'!$A$1:$O$85,15,0)),0,VLOOKUP($S$417,'TAR FIN'!$A$1:$O$85,15,0))</f>
        <v>16.64</v>
      </c>
      <c r="W417" s="6">
        <f>IF(ISERROR(VLOOKUP($T$417,'TAR FIN'!$A$1:$O$85,15,0)),0,VLOOKUP($T$417,'TAR FIN'!$A$1:$O$85,15,0))</f>
        <v>0</v>
      </c>
      <c r="X417" s="6">
        <f>IF(ISERROR(VLOOKUP($U$417,'TAR FIN'!$A$1:$O$85,15,0)),0,VLOOKUP($U$417,'TAR FIN'!$A$1:$O$85,15,0))</f>
        <v>0</v>
      </c>
      <c r="Y417" s="6">
        <f ca="1">('TUSD BE'!$AM$10+'TUSD BF'!$AM$10+'TUSD CVA'!$AM$10)*1</f>
        <v>18.371854423657158</v>
      </c>
      <c r="Z417" s="6"/>
      <c r="AA417" s="6"/>
      <c r="AB417" s="6">
        <f>$K$417*$V$417</f>
        <v>37772.800000000003</v>
      </c>
      <c r="AC417" s="6">
        <f>$M$417*$W$417</f>
        <v>0</v>
      </c>
      <c r="AD417" s="6">
        <f>$O$417*$X$417</f>
        <v>0</v>
      </c>
      <c r="AE417" s="6">
        <f ca="1">$K$417*$Y$417</f>
        <v>41704.10954170175</v>
      </c>
      <c r="AF417" s="6">
        <f>$M$417*$Z$417</f>
        <v>0</v>
      </c>
      <c r="AG417" s="6">
        <f>$O$417*$AA$417</f>
        <v>0</v>
      </c>
    </row>
    <row r="418" spans="1:33" ht="11.25" customHeight="1" x14ac:dyDescent="0.25">
      <c r="A418" s="4" t="s">
        <v>21</v>
      </c>
      <c r="B418" s="4" t="s">
        <v>39</v>
      </c>
      <c r="C418" s="4" t="s">
        <v>40</v>
      </c>
      <c r="D418" s="4" t="s">
        <v>38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44743</v>
      </c>
      <c r="J418" s="6">
        <v>12377</v>
      </c>
      <c r="K418" s="6">
        <v>12377</v>
      </c>
      <c r="L418" s="6">
        <v>0</v>
      </c>
      <c r="M418" s="6">
        <v>0</v>
      </c>
      <c r="N418" s="6">
        <v>0</v>
      </c>
      <c r="O418" s="6">
        <v>0</v>
      </c>
      <c r="P418" s="6">
        <v>70</v>
      </c>
      <c r="Q418" s="4" t="s">
        <v>26</v>
      </c>
      <c r="R418" s="4">
        <v>0</v>
      </c>
      <c r="S418" s="6">
        <v>6</v>
      </c>
      <c r="T418" s="6">
        <v>0</v>
      </c>
      <c r="U418" s="6">
        <v>0</v>
      </c>
      <c r="V418" s="6">
        <f>IF(ISERROR(VLOOKUP($S$418,'TAR FIN'!$A$1:$O$85,15,0)),0,VLOOKUP($S$418,'TAR FIN'!$A$1:$O$85,15,0))</f>
        <v>16.64</v>
      </c>
      <c r="W418" s="6">
        <f>IF(ISERROR(VLOOKUP($T$418,'TAR FIN'!$A$1:$O$85,15,0)),0,VLOOKUP($T$418,'TAR FIN'!$A$1:$O$85,15,0))</f>
        <v>0</v>
      </c>
      <c r="X418" s="6">
        <f>IF(ISERROR(VLOOKUP($U$418,'TAR FIN'!$A$1:$O$85,15,0)),0,VLOOKUP($U$418,'TAR FIN'!$A$1:$O$85,15,0))</f>
        <v>0</v>
      </c>
      <c r="Y418" s="6">
        <f ca="1">('TUSD BE'!$AM$10+'TUSD BF'!$AM$10+'TUSD CVA'!$AM$10)*1</f>
        <v>18.371854423657158</v>
      </c>
      <c r="Z418" s="6"/>
      <c r="AA418" s="6"/>
      <c r="AB418" s="6">
        <f>$K$418*$V$418</f>
        <v>205953.28</v>
      </c>
      <c r="AC418" s="6">
        <f>$M$418*$W$418</f>
        <v>0</v>
      </c>
      <c r="AD418" s="6">
        <f>$O$418*$X$418</f>
        <v>0</v>
      </c>
      <c r="AE418" s="6">
        <f ca="1">$K$418*$Y$418</f>
        <v>227388.44220160466</v>
      </c>
      <c r="AF418" s="6">
        <f>$M$418*$Z$418</f>
        <v>0</v>
      </c>
      <c r="AG418" s="6">
        <f>$O$418*$AA$418</f>
        <v>0</v>
      </c>
    </row>
    <row r="419" spans="1:33" ht="11.25" customHeight="1" x14ac:dyDescent="0.25">
      <c r="A419" s="4" t="s">
        <v>28</v>
      </c>
      <c r="B419" s="4" t="s">
        <v>39</v>
      </c>
      <c r="C419" s="4" t="s">
        <v>40</v>
      </c>
      <c r="D419" s="4" t="s">
        <v>38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44743</v>
      </c>
      <c r="J419" s="6">
        <v>2230</v>
      </c>
      <c r="K419" s="6">
        <v>2230</v>
      </c>
      <c r="L419" s="6">
        <v>0</v>
      </c>
      <c r="M419" s="6">
        <v>0</v>
      </c>
      <c r="N419" s="6">
        <v>0</v>
      </c>
      <c r="O419" s="6">
        <v>0</v>
      </c>
      <c r="P419" s="6">
        <v>15</v>
      </c>
      <c r="Q419" s="4" t="s">
        <v>26</v>
      </c>
      <c r="R419" s="4">
        <v>0</v>
      </c>
      <c r="S419" s="6">
        <v>6</v>
      </c>
      <c r="T419" s="6">
        <v>0</v>
      </c>
      <c r="U419" s="6">
        <v>0</v>
      </c>
      <c r="V419" s="6">
        <f>IF(ISERROR(VLOOKUP($S$419,'TAR FIN'!$A$1:$O$85,15,0)),0,VLOOKUP($S$419,'TAR FIN'!$A$1:$O$85,15,0))</f>
        <v>16.64</v>
      </c>
      <c r="W419" s="6">
        <f>IF(ISERROR(VLOOKUP($T$419,'TAR FIN'!$A$1:$O$85,15,0)),0,VLOOKUP($T$419,'TAR FIN'!$A$1:$O$85,15,0))</f>
        <v>0</v>
      </c>
      <c r="X419" s="6">
        <f>IF(ISERROR(VLOOKUP($U$419,'TAR FIN'!$A$1:$O$85,15,0)),0,VLOOKUP($U$419,'TAR FIN'!$A$1:$O$85,15,0))</f>
        <v>0</v>
      </c>
      <c r="Y419" s="6">
        <f ca="1">('TUSD BE'!$AM$10+'TUSD BF'!$AM$10+'TUSD CVA'!$AM$10)*1</f>
        <v>18.371854423657158</v>
      </c>
      <c r="Z419" s="6"/>
      <c r="AA419" s="6"/>
      <c r="AB419" s="6">
        <f>$K$419*$V$419</f>
        <v>37107.200000000004</v>
      </c>
      <c r="AC419" s="6">
        <f>$M$419*$W$419</f>
        <v>0</v>
      </c>
      <c r="AD419" s="6">
        <f>$O$419*$X$419</f>
        <v>0</v>
      </c>
      <c r="AE419" s="6">
        <f ca="1">$K$419*$Y$419</f>
        <v>40969.235364755463</v>
      </c>
      <c r="AF419" s="6">
        <f>$M$419*$Z$419</f>
        <v>0</v>
      </c>
      <c r="AG419" s="6">
        <f>$O$419*$AA$419</f>
        <v>0</v>
      </c>
    </row>
    <row r="420" spans="1:33" ht="11.25" customHeight="1" x14ac:dyDescent="0.25">
      <c r="A420" s="4" t="s">
        <v>56</v>
      </c>
      <c r="B420" s="4" t="s">
        <v>39</v>
      </c>
      <c r="C420" s="4" t="s">
        <v>40</v>
      </c>
      <c r="D420" s="4" t="s">
        <v>38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44774</v>
      </c>
      <c r="J420" s="6">
        <v>12377</v>
      </c>
      <c r="K420" s="6">
        <v>12377</v>
      </c>
      <c r="L420" s="6">
        <v>0</v>
      </c>
      <c r="M420" s="6">
        <v>0</v>
      </c>
      <c r="N420" s="6">
        <v>0</v>
      </c>
      <c r="O420" s="6">
        <v>0</v>
      </c>
      <c r="P420" s="6">
        <v>70</v>
      </c>
      <c r="Q420" s="4" t="s">
        <v>26</v>
      </c>
      <c r="R420" s="4">
        <v>0</v>
      </c>
      <c r="S420" s="6">
        <v>6</v>
      </c>
      <c r="T420" s="6">
        <v>0</v>
      </c>
      <c r="U420" s="6">
        <v>0</v>
      </c>
      <c r="V420" s="6">
        <f>IF(ISERROR(VLOOKUP($S$420,'TAR FIN'!$A$1:$O$85,15,0)),0,VLOOKUP($S$420,'TAR FIN'!$A$1:$O$85,15,0))</f>
        <v>16.64</v>
      </c>
      <c r="W420" s="6">
        <f>IF(ISERROR(VLOOKUP($T$420,'TAR FIN'!$A$1:$O$85,15,0)),0,VLOOKUP($T$420,'TAR FIN'!$A$1:$O$85,15,0))</f>
        <v>0</v>
      </c>
      <c r="X420" s="6">
        <f>IF(ISERROR(VLOOKUP($U$420,'TAR FIN'!$A$1:$O$85,15,0)),0,VLOOKUP($U$420,'TAR FIN'!$A$1:$O$85,15,0))</f>
        <v>0</v>
      </c>
      <c r="Y420" s="6">
        <f ca="1">('TUSD BE'!$AM$10+'TUSD BF'!$AM$10+'TUSD CVA'!$AM$10)*1</f>
        <v>18.371854423657158</v>
      </c>
      <c r="Z420" s="6"/>
      <c r="AA420" s="6"/>
      <c r="AB420" s="6">
        <f>$K$420*$V$420</f>
        <v>205953.28</v>
      </c>
      <c r="AC420" s="6">
        <f>$M$420*$W$420</f>
        <v>0</v>
      </c>
      <c r="AD420" s="6">
        <f>$O$420*$X$420</f>
        <v>0</v>
      </c>
      <c r="AE420" s="6">
        <f ca="1">$K$420*$Y$420</f>
        <v>227388.44220160466</v>
      </c>
      <c r="AF420" s="6">
        <f>$M$420*$Z$420</f>
        <v>0</v>
      </c>
      <c r="AG420" s="6">
        <f>$O$420*$AA$420</f>
        <v>0</v>
      </c>
    </row>
    <row r="421" spans="1:33" ht="11.25" customHeight="1" x14ac:dyDescent="0.25">
      <c r="A421" s="4" t="s">
        <v>56</v>
      </c>
      <c r="B421" s="4" t="s">
        <v>39</v>
      </c>
      <c r="C421" s="4" t="s">
        <v>40</v>
      </c>
      <c r="D421" s="4" t="s">
        <v>38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44774</v>
      </c>
      <c r="J421" s="6">
        <v>2230</v>
      </c>
      <c r="K421" s="6">
        <v>2230</v>
      </c>
      <c r="L421" s="6">
        <v>0</v>
      </c>
      <c r="M421" s="6">
        <v>0</v>
      </c>
      <c r="N421" s="6">
        <v>0</v>
      </c>
      <c r="O421" s="6">
        <v>0</v>
      </c>
      <c r="P421" s="6">
        <v>15</v>
      </c>
      <c r="Q421" s="4" t="s">
        <v>26</v>
      </c>
      <c r="R421" s="4">
        <v>0</v>
      </c>
      <c r="S421" s="6">
        <v>6</v>
      </c>
      <c r="T421" s="6">
        <v>0</v>
      </c>
      <c r="U421" s="6">
        <v>0</v>
      </c>
      <c r="V421" s="6">
        <f>IF(ISERROR(VLOOKUP($S$421,'TAR FIN'!$A$1:$O$85,15,0)),0,VLOOKUP($S$421,'TAR FIN'!$A$1:$O$85,15,0))</f>
        <v>16.64</v>
      </c>
      <c r="W421" s="6">
        <f>IF(ISERROR(VLOOKUP($T$421,'TAR FIN'!$A$1:$O$85,15,0)),0,VLOOKUP($T$421,'TAR FIN'!$A$1:$O$85,15,0))</f>
        <v>0</v>
      </c>
      <c r="X421" s="6">
        <f>IF(ISERROR(VLOOKUP($U$421,'TAR FIN'!$A$1:$O$85,15,0)),0,VLOOKUP($U$421,'TAR FIN'!$A$1:$O$85,15,0))</f>
        <v>0</v>
      </c>
      <c r="Y421" s="6">
        <f ca="1">('TUSD BE'!$AM$10+'TUSD BF'!$AM$10+'TUSD CVA'!$AM$10)*1</f>
        <v>18.371854423657158</v>
      </c>
      <c r="Z421" s="6"/>
      <c r="AA421" s="6"/>
      <c r="AB421" s="6">
        <f>$K$421*$V$421</f>
        <v>37107.200000000004</v>
      </c>
      <c r="AC421" s="6">
        <f>$M$421*$W$421</f>
        <v>0</v>
      </c>
      <c r="AD421" s="6">
        <f>$O$421*$X$421</f>
        <v>0</v>
      </c>
      <c r="AE421" s="6">
        <f ca="1">$K$421*$Y$421</f>
        <v>40969.235364755463</v>
      </c>
      <c r="AF421" s="6">
        <f>$M$421*$Z$421</f>
        <v>0</v>
      </c>
      <c r="AG421" s="6">
        <f>$O$421*$AA$421</f>
        <v>0</v>
      </c>
    </row>
    <row r="422" spans="1:33" ht="11.25" customHeight="1" x14ac:dyDescent="0.25">
      <c r="A422" s="4" t="s">
        <v>21</v>
      </c>
      <c r="B422" s="4" t="s">
        <v>39</v>
      </c>
      <c r="C422" s="4" t="s">
        <v>40</v>
      </c>
      <c r="D422" s="4" t="s">
        <v>38</v>
      </c>
      <c r="E422" s="4" t="s">
        <v>25</v>
      </c>
      <c r="F422" s="4" t="s">
        <v>25</v>
      </c>
      <c r="G422" s="4" t="s">
        <v>25</v>
      </c>
      <c r="H422" s="4" t="s">
        <v>34</v>
      </c>
      <c r="I422" s="5">
        <v>44440</v>
      </c>
      <c r="J422" s="6">
        <v>0</v>
      </c>
      <c r="K422" s="6">
        <v>0</v>
      </c>
      <c r="L422" s="6">
        <v>53.472000000000001</v>
      </c>
      <c r="M422" s="6">
        <v>53.472000000000001</v>
      </c>
      <c r="N422" s="6">
        <v>53.472000000000001</v>
      </c>
      <c r="O422" s="6">
        <v>53.472000000000001</v>
      </c>
      <c r="P422" s="6">
        <v>0</v>
      </c>
      <c r="Q422" s="4" t="s">
        <v>26</v>
      </c>
      <c r="R422" s="4">
        <v>0</v>
      </c>
      <c r="S422" s="6">
        <v>0</v>
      </c>
      <c r="T422" s="6">
        <v>7</v>
      </c>
      <c r="U422" s="6">
        <v>48</v>
      </c>
      <c r="V422" s="6">
        <f>IF(ISERROR(VLOOKUP($S$422,'TAR FIN'!$A$1:$O$85,15,0)),0,VLOOKUP($S$422,'TAR FIN'!$A$1:$O$85,15,0))</f>
        <v>0</v>
      </c>
      <c r="W422" s="6">
        <f>IF(ISERROR(VLOOKUP($T$422,'TAR FIN'!$A$1:$O$85,15,0)),0,VLOOKUP($T$422,'TAR FIN'!$A$1:$O$85,15,0))</f>
        <v>1326.39</v>
      </c>
      <c r="X422" s="6">
        <f>IF(ISERROR(VLOOKUP($U$422,'TAR FIN'!$A$1:$O$85,15,0)),0,VLOOKUP($U$422,'TAR FIN'!$A$1:$O$85,15,0))</f>
        <v>492.64</v>
      </c>
      <c r="Y422" s="6"/>
      <c r="Z422" s="6">
        <f ca="1">('TUSD BE'!$AM$11+'TUSD BF'!$AM$11+'TUSD CVA'!$AM$11)*1</f>
        <v>1532.0020380763981</v>
      </c>
      <c r="AA422" s="6">
        <f>('TE BE'!$AB$5+'TE BF'!$AB$5+'TE CVA'!$AB$5)*1</f>
        <v>485.87597641853409</v>
      </c>
      <c r="AB422" s="6">
        <f>$K$422*$V$422</f>
        <v>0</v>
      </c>
      <c r="AC422" s="6">
        <f>$M$422*$W$422</f>
        <v>70924.726080000008</v>
      </c>
      <c r="AD422" s="6">
        <f>$O$422*$X$422</f>
        <v>26342.446080000002</v>
      </c>
      <c r="AE422" s="6">
        <f>$K$422*$Y$422</f>
        <v>0</v>
      </c>
      <c r="AF422" s="6">
        <f ca="1">$M$422*$Z$422</f>
        <v>81919.212980021155</v>
      </c>
      <c r="AG422" s="6">
        <f>$O$422*$AA$422</f>
        <v>25980.760211051856</v>
      </c>
    </row>
    <row r="423" spans="1:33" ht="11.25" customHeight="1" x14ac:dyDescent="0.25">
      <c r="A423" s="4" t="s">
        <v>28</v>
      </c>
      <c r="B423" s="4" t="s">
        <v>39</v>
      </c>
      <c r="C423" s="4" t="s">
        <v>40</v>
      </c>
      <c r="D423" s="4" t="s">
        <v>38</v>
      </c>
      <c r="E423" s="4" t="s">
        <v>25</v>
      </c>
      <c r="F423" s="4" t="s">
        <v>25</v>
      </c>
      <c r="G423" s="4" t="s">
        <v>25</v>
      </c>
      <c r="H423" s="4" t="s">
        <v>34</v>
      </c>
      <c r="I423" s="5">
        <v>44440</v>
      </c>
      <c r="J423" s="6">
        <v>0</v>
      </c>
      <c r="K423" s="6">
        <v>0</v>
      </c>
      <c r="L423" s="6">
        <v>6.4509999999999996</v>
      </c>
      <c r="M423" s="6">
        <v>6.4509999999999996</v>
      </c>
      <c r="N423" s="6">
        <v>6.4509999999999996</v>
      </c>
      <c r="O423" s="6">
        <v>6.4509999999999996</v>
      </c>
      <c r="P423" s="6">
        <v>0</v>
      </c>
      <c r="Q423" s="4" t="s">
        <v>26</v>
      </c>
      <c r="R423" s="4">
        <v>0</v>
      </c>
      <c r="S423" s="6">
        <v>0</v>
      </c>
      <c r="T423" s="6">
        <v>7</v>
      </c>
      <c r="U423" s="6">
        <v>48</v>
      </c>
      <c r="V423" s="6">
        <f>IF(ISERROR(VLOOKUP($S$423,'TAR FIN'!$A$1:$O$85,15,0)),0,VLOOKUP($S$423,'TAR FIN'!$A$1:$O$85,15,0))</f>
        <v>0</v>
      </c>
      <c r="W423" s="6">
        <f>IF(ISERROR(VLOOKUP($T$423,'TAR FIN'!$A$1:$O$85,15,0)),0,VLOOKUP($T$423,'TAR FIN'!$A$1:$O$85,15,0))</f>
        <v>1326.39</v>
      </c>
      <c r="X423" s="6">
        <f>IF(ISERROR(VLOOKUP($U$423,'TAR FIN'!$A$1:$O$85,15,0)),0,VLOOKUP($U$423,'TAR FIN'!$A$1:$O$85,15,0))</f>
        <v>492.64</v>
      </c>
      <c r="Y423" s="6"/>
      <c r="Z423" s="6">
        <f ca="1">('TUSD BE'!$AM$11+'TUSD BF'!$AM$11+'TUSD CVA'!$AM$11)*1</f>
        <v>1532.0020380763981</v>
      </c>
      <c r="AA423" s="6">
        <f>('TE BE'!$AB$5+'TE BF'!$AB$5+'TE CVA'!$AB$5)*1</f>
        <v>485.87597641853409</v>
      </c>
      <c r="AB423" s="6">
        <f>$K$423*$V$423</f>
        <v>0</v>
      </c>
      <c r="AC423" s="6">
        <f>$M$423*$W$423</f>
        <v>8556.5418900000004</v>
      </c>
      <c r="AD423" s="6">
        <f>$O$423*$X$423</f>
        <v>3178.0206399999997</v>
      </c>
      <c r="AE423" s="6">
        <f>$K$423*$Y$423</f>
        <v>0</v>
      </c>
      <c r="AF423" s="6">
        <f ca="1">$M$423*$Z$423</f>
        <v>9882.9451476308441</v>
      </c>
      <c r="AG423" s="6">
        <f>$O$423*$AA$423</f>
        <v>3134.3859238759633</v>
      </c>
    </row>
    <row r="424" spans="1:33" ht="11.25" customHeight="1" x14ac:dyDescent="0.25">
      <c r="A424" s="4" t="s">
        <v>21</v>
      </c>
      <c r="B424" s="4" t="s">
        <v>39</v>
      </c>
      <c r="C424" s="4" t="s">
        <v>40</v>
      </c>
      <c r="D424" s="4" t="s">
        <v>38</v>
      </c>
      <c r="E424" s="4" t="s">
        <v>25</v>
      </c>
      <c r="F424" s="4" t="s">
        <v>25</v>
      </c>
      <c r="G424" s="4" t="s">
        <v>25</v>
      </c>
      <c r="H424" s="4" t="s">
        <v>34</v>
      </c>
      <c r="I424" s="5">
        <v>44470</v>
      </c>
      <c r="J424" s="6">
        <v>0</v>
      </c>
      <c r="K424" s="6">
        <v>0</v>
      </c>
      <c r="L424" s="6">
        <v>58.872</v>
      </c>
      <c r="M424" s="6">
        <v>58.872</v>
      </c>
      <c r="N424" s="6">
        <v>58.872</v>
      </c>
      <c r="O424" s="6">
        <v>58.872</v>
      </c>
      <c r="P424" s="6">
        <v>0</v>
      </c>
      <c r="Q424" s="4" t="s">
        <v>26</v>
      </c>
      <c r="R424" s="4">
        <v>0</v>
      </c>
      <c r="S424" s="6">
        <v>0</v>
      </c>
      <c r="T424" s="6">
        <v>7</v>
      </c>
      <c r="U424" s="6">
        <v>48</v>
      </c>
      <c r="V424" s="6">
        <f>IF(ISERROR(VLOOKUP($S$424,'TAR FIN'!$A$1:$O$85,15,0)),0,VLOOKUP($S$424,'TAR FIN'!$A$1:$O$85,15,0))</f>
        <v>0</v>
      </c>
      <c r="W424" s="6">
        <f>IF(ISERROR(VLOOKUP($T$424,'TAR FIN'!$A$1:$O$85,15,0)),0,VLOOKUP($T$424,'TAR FIN'!$A$1:$O$85,15,0))</f>
        <v>1326.39</v>
      </c>
      <c r="X424" s="6">
        <f>IF(ISERROR(VLOOKUP($U$424,'TAR FIN'!$A$1:$O$85,15,0)),0,VLOOKUP($U$424,'TAR FIN'!$A$1:$O$85,15,0))</f>
        <v>492.64</v>
      </c>
      <c r="Y424" s="6"/>
      <c r="Z424" s="6">
        <f ca="1">('TUSD BE'!$AM$11+'TUSD BF'!$AM$11+'TUSD CVA'!$AM$11)*1</f>
        <v>1532.0020380763981</v>
      </c>
      <c r="AA424" s="6">
        <f>('TE BE'!$AB$5+'TE BF'!$AB$5+'TE CVA'!$AB$5)*1</f>
        <v>485.87597641853409</v>
      </c>
      <c r="AB424" s="6">
        <f>$K$424*$V$424</f>
        <v>0</v>
      </c>
      <c r="AC424" s="6">
        <f>$M$424*$W$424</f>
        <v>78087.232080000002</v>
      </c>
      <c r="AD424" s="6">
        <f>$O$424*$X$424</f>
        <v>29002.702079999999</v>
      </c>
      <c r="AE424" s="6">
        <f>$K$424*$Y$424</f>
        <v>0</v>
      </c>
      <c r="AF424" s="6">
        <f ca="1">$M$424*$Z$424</f>
        <v>90192.023985633714</v>
      </c>
      <c r="AG424" s="6">
        <f>$O$424*$AA$424</f>
        <v>28604.490483711939</v>
      </c>
    </row>
    <row r="425" spans="1:33" ht="11.25" customHeight="1" x14ac:dyDescent="0.25">
      <c r="A425" s="4" t="s">
        <v>28</v>
      </c>
      <c r="B425" s="4" t="s">
        <v>39</v>
      </c>
      <c r="C425" s="4" t="s">
        <v>40</v>
      </c>
      <c r="D425" s="4" t="s">
        <v>38</v>
      </c>
      <c r="E425" s="4" t="s">
        <v>25</v>
      </c>
      <c r="F425" s="4" t="s">
        <v>25</v>
      </c>
      <c r="G425" s="4" t="s">
        <v>25</v>
      </c>
      <c r="H425" s="4" t="s">
        <v>34</v>
      </c>
      <c r="I425" s="5">
        <v>44470</v>
      </c>
      <c r="J425" s="6">
        <v>0</v>
      </c>
      <c r="K425" s="6">
        <v>0</v>
      </c>
      <c r="L425" s="6">
        <v>6.0810000000000004</v>
      </c>
      <c r="M425" s="6">
        <v>6.0810000000000004</v>
      </c>
      <c r="N425" s="6">
        <v>6.0810000000000004</v>
      </c>
      <c r="O425" s="6">
        <v>6.0810000000000004</v>
      </c>
      <c r="P425" s="6">
        <v>0</v>
      </c>
      <c r="Q425" s="4" t="s">
        <v>26</v>
      </c>
      <c r="R425" s="4">
        <v>0</v>
      </c>
      <c r="S425" s="6">
        <v>0</v>
      </c>
      <c r="T425" s="6">
        <v>7</v>
      </c>
      <c r="U425" s="6">
        <v>48</v>
      </c>
      <c r="V425" s="6">
        <f>IF(ISERROR(VLOOKUP($S$425,'TAR FIN'!$A$1:$O$85,15,0)),0,VLOOKUP($S$425,'TAR FIN'!$A$1:$O$85,15,0))</f>
        <v>0</v>
      </c>
      <c r="W425" s="6">
        <f>IF(ISERROR(VLOOKUP($T$425,'TAR FIN'!$A$1:$O$85,15,0)),0,VLOOKUP($T$425,'TAR FIN'!$A$1:$O$85,15,0))</f>
        <v>1326.39</v>
      </c>
      <c r="X425" s="6">
        <f>IF(ISERROR(VLOOKUP($U$425,'TAR FIN'!$A$1:$O$85,15,0)),0,VLOOKUP($U$425,'TAR FIN'!$A$1:$O$85,15,0))</f>
        <v>492.64</v>
      </c>
      <c r="Y425" s="6"/>
      <c r="Z425" s="6">
        <f ca="1">('TUSD BE'!$AM$11+'TUSD BF'!$AM$11+'TUSD CVA'!$AM$11)*1</f>
        <v>1532.0020380763981</v>
      </c>
      <c r="AA425" s="6">
        <f>('TE BE'!$AB$5+'TE BF'!$AB$5+'TE CVA'!$AB$5)*1</f>
        <v>485.87597641853409</v>
      </c>
      <c r="AB425" s="6">
        <f>$K$425*$V$425</f>
        <v>0</v>
      </c>
      <c r="AC425" s="6">
        <f>$M$425*$W$425</f>
        <v>8065.7775900000015</v>
      </c>
      <c r="AD425" s="6">
        <f>$O$425*$X$425</f>
        <v>2995.7438400000001</v>
      </c>
      <c r="AE425" s="6">
        <f>$K$425*$Y$425</f>
        <v>0</v>
      </c>
      <c r="AF425" s="6">
        <f ca="1">$M$425*$Z$425</f>
        <v>9316.1043935425769</v>
      </c>
      <c r="AG425" s="6">
        <f>$O$425*$AA$425</f>
        <v>2954.6118126011061</v>
      </c>
    </row>
    <row r="426" spans="1:33" ht="11.25" customHeight="1" x14ac:dyDescent="0.25">
      <c r="A426" s="4" t="s">
        <v>21</v>
      </c>
      <c r="B426" s="4" t="s">
        <v>39</v>
      </c>
      <c r="C426" s="4" t="s">
        <v>40</v>
      </c>
      <c r="D426" s="4" t="s">
        <v>38</v>
      </c>
      <c r="E426" s="4" t="s">
        <v>25</v>
      </c>
      <c r="F426" s="4" t="s">
        <v>25</v>
      </c>
      <c r="G426" s="4" t="s">
        <v>25</v>
      </c>
      <c r="H426" s="4" t="s">
        <v>34</v>
      </c>
      <c r="I426" s="5">
        <v>44501</v>
      </c>
      <c r="J426" s="6">
        <v>0</v>
      </c>
      <c r="K426" s="6">
        <v>0</v>
      </c>
      <c r="L426" s="6">
        <v>62.362000000000002</v>
      </c>
      <c r="M426" s="6">
        <v>62.362000000000002</v>
      </c>
      <c r="N426" s="6">
        <v>62.362000000000002</v>
      </c>
      <c r="O426" s="6">
        <v>62.362000000000002</v>
      </c>
      <c r="P426" s="6">
        <v>0</v>
      </c>
      <c r="Q426" s="4" t="s">
        <v>26</v>
      </c>
      <c r="R426" s="4">
        <v>0</v>
      </c>
      <c r="S426" s="6">
        <v>0</v>
      </c>
      <c r="T426" s="6">
        <v>7</v>
      </c>
      <c r="U426" s="6">
        <v>48</v>
      </c>
      <c r="V426" s="6">
        <f>IF(ISERROR(VLOOKUP($S$426,'TAR FIN'!$A$1:$O$85,15,0)),0,VLOOKUP($S$426,'TAR FIN'!$A$1:$O$85,15,0))</f>
        <v>0</v>
      </c>
      <c r="W426" s="6">
        <f>IF(ISERROR(VLOOKUP($T$426,'TAR FIN'!$A$1:$O$85,15,0)),0,VLOOKUP($T$426,'TAR FIN'!$A$1:$O$85,15,0))</f>
        <v>1326.39</v>
      </c>
      <c r="X426" s="6">
        <f>IF(ISERROR(VLOOKUP($U$426,'TAR FIN'!$A$1:$O$85,15,0)),0,VLOOKUP($U$426,'TAR FIN'!$A$1:$O$85,15,0))</f>
        <v>492.64</v>
      </c>
      <c r="Y426" s="6"/>
      <c r="Z426" s="6">
        <f ca="1">('TUSD BE'!$AM$11+'TUSD BF'!$AM$11+'TUSD CVA'!$AM$11)*1</f>
        <v>1532.0020380763981</v>
      </c>
      <c r="AA426" s="6">
        <f>('TE BE'!$AB$5+'TE BF'!$AB$5+'TE CVA'!$AB$5)*1</f>
        <v>485.87597641853409</v>
      </c>
      <c r="AB426" s="6">
        <f>$K$426*$V$426</f>
        <v>0</v>
      </c>
      <c r="AC426" s="6">
        <f>$M$426*$W$426</f>
        <v>82716.333180000016</v>
      </c>
      <c r="AD426" s="6">
        <f>$O$426*$X$426</f>
        <v>30722.01568</v>
      </c>
      <c r="AE426" s="6">
        <f>$K$426*$Y$426</f>
        <v>0</v>
      </c>
      <c r="AF426" s="6">
        <f ca="1">$M$426*$Z$426</f>
        <v>95538.711098520347</v>
      </c>
      <c r="AG426" s="6">
        <f>$O$426*$AA$426</f>
        <v>30300.197641412626</v>
      </c>
    </row>
    <row r="427" spans="1:33" ht="11.25" customHeight="1" x14ac:dyDescent="0.25">
      <c r="A427" s="4" t="s">
        <v>27</v>
      </c>
      <c r="B427" s="4" t="s">
        <v>39</v>
      </c>
      <c r="C427" s="4" t="s">
        <v>40</v>
      </c>
      <c r="D427" s="4" t="s">
        <v>38</v>
      </c>
      <c r="E427" s="4" t="s">
        <v>25</v>
      </c>
      <c r="F427" s="4" t="s">
        <v>25</v>
      </c>
      <c r="G427" s="4" t="s">
        <v>25</v>
      </c>
      <c r="H427" s="4" t="s">
        <v>34</v>
      </c>
      <c r="I427" s="5">
        <v>44501</v>
      </c>
      <c r="J427" s="6">
        <v>0</v>
      </c>
      <c r="K427" s="6">
        <v>0</v>
      </c>
      <c r="L427" s="6">
        <v>0.42599999999999999</v>
      </c>
      <c r="M427" s="6">
        <v>0.42599999999999999</v>
      </c>
      <c r="N427" s="6">
        <v>0.42599999999999999</v>
      </c>
      <c r="O427" s="6">
        <v>0.42599999999999999</v>
      </c>
      <c r="P427" s="6">
        <v>0</v>
      </c>
      <c r="Q427" s="4" t="s">
        <v>26</v>
      </c>
      <c r="R427" s="4">
        <v>0</v>
      </c>
      <c r="S427" s="6">
        <v>0</v>
      </c>
      <c r="T427" s="6">
        <v>7</v>
      </c>
      <c r="U427" s="6">
        <v>48</v>
      </c>
      <c r="V427" s="6">
        <f>IF(ISERROR(VLOOKUP($S$427,'TAR FIN'!$A$1:$O$85,15,0)),0,VLOOKUP($S$427,'TAR FIN'!$A$1:$O$85,15,0))</f>
        <v>0</v>
      </c>
      <c r="W427" s="6">
        <f>IF(ISERROR(VLOOKUP($T$427,'TAR FIN'!$A$1:$O$85,15,0)),0,VLOOKUP($T$427,'TAR FIN'!$A$1:$O$85,15,0))</f>
        <v>1326.39</v>
      </c>
      <c r="X427" s="6">
        <f>IF(ISERROR(VLOOKUP($U$427,'TAR FIN'!$A$1:$O$85,15,0)),0,VLOOKUP($U$427,'TAR FIN'!$A$1:$O$85,15,0))</f>
        <v>492.64</v>
      </c>
      <c r="Y427" s="6"/>
      <c r="Z427" s="6">
        <f ca="1">('TUSD BE'!$AM$11+'TUSD BF'!$AM$11+'TUSD CVA'!$AM$11)*1</f>
        <v>1532.0020380763981</v>
      </c>
      <c r="AA427" s="6">
        <f>('TE BE'!$AB$5+'TE BF'!$AB$5+'TE CVA'!$AB$5)*1</f>
        <v>485.87597641853409</v>
      </c>
      <c r="AB427" s="6">
        <f>$K$427*$V$427</f>
        <v>0</v>
      </c>
      <c r="AC427" s="6">
        <f>$M$427*$W$427</f>
        <v>565.04214000000002</v>
      </c>
      <c r="AD427" s="6">
        <f>$O$427*$X$427</f>
        <v>209.86463999999998</v>
      </c>
      <c r="AE427" s="6">
        <f>$K$427*$Y$427</f>
        <v>0</v>
      </c>
      <c r="AF427" s="6">
        <f ca="1">$M$427*$Z$427</f>
        <v>652.63286822054556</v>
      </c>
      <c r="AG427" s="6">
        <f>$O$427*$AA$427</f>
        <v>206.98316595429552</v>
      </c>
    </row>
    <row r="428" spans="1:33" ht="11.25" customHeight="1" x14ac:dyDescent="0.25">
      <c r="A428" s="4" t="s">
        <v>28</v>
      </c>
      <c r="B428" s="4" t="s">
        <v>39</v>
      </c>
      <c r="C428" s="4" t="s">
        <v>40</v>
      </c>
      <c r="D428" s="4" t="s">
        <v>38</v>
      </c>
      <c r="E428" s="4" t="s">
        <v>25</v>
      </c>
      <c r="F428" s="4" t="s">
        <v>25</v>
      </c>
      <c r="G428" s="4" t="s">
        <v>25</v>
      </c>
      <c r="H428" s="4" t="s">
        <v>34</v>
      </c>
      <c r="I428" s="5">
        <v>44501</v>
      </c>
      <c r="J428" s="6">
        <v>0</v>
      </c>
      <c r="K428" s="6">
        <v>0</v>
      </c>
      <c r="L428" s="6">
        <v>5.2359999999999998</v>
      </c>
      <c r="M428" s="6">
        <v>5.2359999999999998</v>
      </c>
      <c r="N428" s="6">
        <v>5.2359999999999998</v>
      </c>
      <c r="O428" s="6">
        <v>5.2359999999999998</v>
      </c>
      <c r="P428" s="6">
        <v>0</v>
      </c>
      <c r="Q428" s="4" t="s">
        <v>26</v>
      </c>
      <c r="R428" s="4">
        <v>0</v>
      </c>
      <c r="S428" s="6">
        <v>0</v>
      </c>
      <c r="T428" s="6">
        <v>7</v>
      </c>
      <c r="U428" s="6">
        <v>48</v>
      </c>
      <c r="V428" s="6">
        <f>IF(ISERROR(VLOOKUP($S$428,'TAR FIN'!$A$1:$O$85,15,0)),0,VLOOKUP($S$428,'TAR FIN'!$A$1:$O$85,15,0))</f>
        <v>0</v>
      </c>
      <c r="W428" s="6">
        <f>IF(ISERROR(VLOOKUP($T$428,'TAR FIN'!$A$1:$O$85,15,0)),0,VLOOKUP($T$428,'TAR FIN'!$A$1:$O$85,15,0))</f>
        <v>1326.39</v>
      </c>
      <c r="X428" s="6">
        <f>IF(ISERROR(VLOOKUP($U$428,'TAR FIN'!$A$1:$O$85,15,0)),0,VLOOKUP($U$428,'TAR FIN'!$A$1:$O$85,15,0))</f>
        <v>492.64</v>
      </c>
      <c r="Y428" s="6"/>
      <c r="Z428" s="6">
        <f ca="1">('TUSD BE'!$AM$11+'TUSD BF'!$AM$11+'TUSD CVA'!$AM$11)*1</f>
        <v>1532.0020380763981</v>
      </c>
      <c r="AA428" s="6">
        <f>('TE BE'!$AB$5+'TE BF'!$AB$5+'TE CVA'!$AB$5)*1</f>
        <v>485.87597641853409</v>
      </c>
      <c r="AB428" s="6">
        <f>$K$428*$V$428</f>
        <v>0</v>
      </c>
      <c r="AC428" s="6">
        <f>$M$428*$W$428</f>
        <v>6944.97804</v>
      </c>
      <c r="AD428" s="6">
        <f>$O$428*$X$428</f>
        <v>2579.4630399999996</v>
      </c>
      <c r="AE428" s="6">
        <f>$K$428*$Y$428</f>
        <v>0</v>
      </c>
      <c r="AF428" s="6">
        <f ca="1">$M$428*$Z$428</f>
        <v>8021.5626713680203</v>
      </c>
      <c r="AG428" s="6">
        <f>$O$428*$AA$428</f>
        <v>2544.0466125274443</v>
      </c>
    </row>
    <row r="429" spans="1:33" ht="11.25" customHeight="1" x14ac:dyDescent="0.25">
      <c r="A429" s="4" t="s">
        <v>21</v>
      </c>
      <c r="B429" s="4" t="s">
        <v>39</v>
      </c>
      <c r="C429" s="4" t="s">
        <v>40</v>
      </c>
      <c r="D429" s="4" t="s">
        <v>38</v>
      </c>
      <c r="E429" s="4" t="s">
        <v>25</v>
      </c>
      <c r="F429" s="4" t="s">
        <v>25</v>
      </c>
      <c r="G429" s="4" t="s">
        <v>25</v>
      </c>
      <c r="H429" s="4" t="s">
        <v>34</v>
      </c>
      <c r="I429" s="5">
        <v>44531</v>
      </c>
      <c r="J429" s="6">
        <v>0</v>
      </c>
      <c r="K429" s="6">
        <v>0</v>
      </c>
      <c r="L429" s="6">
        <v>54.695</v>
      </c>
      <c r="M429" s="6">
        <v>54.695</v>
      </c>
      <c r="N429" s="6">
        <v>54.695</v>
      </c>
      <c r="O429" s="6">
        <v>54.695</v>
      </c>
      <c r="P429" s="6">
        <v>0</v>
      </c>
      <c r="Q429" s="4" t="s">
        <v>26</v>
      </c>
      <c r="R429" s="4">
        <v>0</v>
      </c>
      <c r="S429" s="6">
        <v>0</v>
      </c>
      <c r="T429" s="6">
        <v>7</v>
      </c>
      <c r="U429" s="6">
        <v>48</v>
      </c>
      <c r="V429" s="6">
        <f>IF(ISERROR(VLOOKUP($S$429,'TAR FIN'!$A$1:$O$85,15,0)),0,VLOOKUP($S$429,'TAR FIN'!$A$1:$O$85,15,0))</f>
        <v>0</v>
      </c>
      <c r="W429" s="6">
        <f>IF(ISERROR(VLOOKUP($T$429,'TAR FIN'!$A$1:$O$85,15,0)),0,VLOOKUP($T$429,'TAR FIN'!$A$1:$O$85,15,0))</f>
        <v>1326.39</v>
      </c>
      <c r="X429" s="6">
        <f>IF(ISERROR(VLOOKUP($U$429,'TAR FIN'!$A$1:$O$85,15,0)),0,VLOOKUP($U$429,'TAR FIN'!$A$1:$O$85,15,0))</f>
        <v>492.64</v>
      </c>
      <c r="Y429" s="6"/>
      <c r="Z429" s="6">
        <f ca="1">('TUSD BE'!$AM$11+'TUSD BF'!$AM$11+'TUSD CVA'!$AM$11)*1</f>
        <v>1532.0020380763981</v>
      </c>
      <c r="AA429" s="6">
        <f>('TE BE'!$AB$5+'TE BF'!$AB$5+'TE CVA'!$AB$5)*1</f>
        <v>485.87597641853409</v>
      </c>
      <c r="AB429" s="6">
        <f>$K$429*$V$429</f>
        <v>0</v>
      </c>
      <c r="AC429" s="6">
        <f>$M$429*$W$429</f>
        <v>72546.90105</v>
      </c>
      <c r="AD429" s="6">
        <f>$O$429*$X$429</f>
        <v>26944.944800000001</v>
      </c>
      <c r="AE429" s="6">
        <f>$K$429*$Y$429</f>
        <v>0</v>
      </c>
      <c r="AF429" s="6">
        <f ca="1">$M$429*$Z$429</f>
        <v>83792.851472588591</v>
      </c>
      <c r="AG429" s="6">
        <f>$O$429*$AA$429</f>
        <v>26574.986530211721</v>
      </c>
    </row>
    <row r="430" spans="1:33" ht="11.25" customHeight="1" x14ac:dyDescent="0.25">
      <c r="A430" s="4" t="s">
        <v>28</v>
      </c>
      <c r="B430" s="4" t="s">
        <v>39</v>
      </c>
      <c r="C430" s="4" t="s">
        <v>40</v>
      </c>
      <c r="D430" s="4" t="s">
        <v>38</v>
      </c>
      <c r="E430" s="4" t="s">
        <v>25</v>
      </c>
      <c r="F430" s="4" t="s">
        <v>25</v>
      </c>
      <c r="G430" s="4" t="s">
        <v>25</v>
      </c>
      <c r="H430" s="4" t="s">
        <v>34</v>
      </c>
      <c r="I430" s="5">
        <v>44531</v>
      </c>
      <c r="J430" s="6">
        <v>0</v>
      </c>
      <c r="K430" s="6">
        <v>0</v>
      </c>
      <c r="L430" s="6">
        <v>4.7629999999999999</v>
      </c>
      <c r="M430" s="6">
        <v>4.7629999999999999</v>
      </c>
      <c r="N430" s="6">
        <v>4.7629999999999999</v>
      </c>
      <c r="O430" s="6">
        <v>4.7629999999999999</v>
      </c>
      <c r="P430" s="6">
        <v>0</v>
      </c>
      <c r="Q430" s="4" t="s">
        <v>26</v>
      </c>
      <c r="R430" s="4">
        <v>0</v>
      </c>
      <c r="S430" s="6">
        <v>0</v>
      </c>
      <c r="T430" s="6">
        <v>7</v>
      </c>
      <c r="U430" s="6">
        <v>48</v>
      </c>
      <c r="V430" s="6">
        <f>IF(ISERROR(VLOOKUP($S$430,'TAR FIN'!$A$1:$O$85,15,0)),0,VLOOKUP($S$430,'TAR FIN'!$A$1:$O$85,15,0))</f>
        <v>0</v>
      </c>
      <c r="W430" s="6">
        <f>IF(ISERROR(VLOOKUP($T$430,'TAR FIN'!$A$1:$O$85,15,0)),0,VLOOKUP($T$430,'TAR FIN'!$A$1:$O$85,15,0))</f>
        <v>1326.39</v>
      </c>
      <c r="X430" s="6">
        <f>IF(ISERROR(VLOOKUP($U$430,'TAR FIN'!$A$1:$O$85,15,0)),0,VLOOKUP($U$430,'TAR FIN'!$A$1:$O$85,15,0))</f>
        <v>492.64</v>
      </c>
      <c r="Y430" s="6"/>
      <c r="Z430" s="6">
        <f ca="1">('TUSD BE'!$AM$11+'TUSD BF'!$AM$11+'TUSD CVA'!$AM$11)*1</f>
        <v>1532.0020380763981</v>
      </c>
      <c r="AA430" s="6">
        <f>('TE BE'!$AB$5+'TE BF'!$AB$5+'TE CVA'!$AB$5)*1</f>
        <v>485.87597641853409</v>
      </c>
      <c r="AB430" s="6">
        <f>$K$430*$V$430</f>
        <v>0</v>
      </c>
      <c r="AC430" s="6">
        <f>$M$430*$W$430</f>
        <v>6317.5955700000004</v>
      </c>
      <c r="AD430" s="6">
        <f>$O$430*$X$430</f>
        <v>2346.4443200000001</v>
      </c>
      <c r="AE430" s="6">
        <f>$K$430*$Y$430</f>
        <v>0</v>
      </c>
      <c r="AF430" s="6">
        <f ca="1">$M$430*$Z$430</f>
        <v>7296.9257073578838</v>
      </c>
      <c r="AG430" s="6">
        <f>$O$430*$AA$430</f>
        <v>2314.2272756814777</v>
      </c>
    </row>
    <row r="431" spans="1:33" ht="11.25" customHeight="1" x14ac:dyDescent="0.25">
      <c r="A431" s="4" t="s">
        <v>21</v>
      </c>
      <c r="B431" s="4" t="s">
        <v>39</v>
      </c>
      <c r="C431" s="4" t="s">
        <v>40</v>
      </c>
      <c r="D431" s="4" t="s">
        <v>38</v>
      </c>
      <c r="E431" s="4" t="s">
        <v>25</v>
      </c>
      <c r="F431" s="4" t="s">
        <v>25</v>
      </c>
      <c r="G431" s="4" t="s">
        <v>25</v>
      </c>
      <c r="H431" s="4" t="s">
        <v>34</v>
      </c>
      <c r="I431" s="5">
        <v>44562</v>
      </c>
      <c r="J431" s="6">
        <v>0</v>
      </c>
      <c r="K431" s="6">
        <v>0</v>
      </c>
      <c r="L431" s="6">
        <v>37.732999999999997</v>
      </c>
      <c r="M431" s="6">
        <v>37.732999999999997</v>
      </c>
      <c r="N431" s="6">
        <v>37.732999999999997</v>
      </c>
      <c r="O431" s="6">
        <v>37.732999999999997</v>
      </c>
      <c r="P431" s="6">
        <v>0</v>
      </c>
      <c r="Q431" s="4" t="s">
        <v>26</v>
      </c>
      <c r="R431" s="4">
        <v>0</v>
      </c>
      <c r="S431" s="6">
        <v>0</v>
      </c>
      <c r="T431" s="6">
        <v>7</v>
      </c>
      <c r="U431" s="6">
        <v>48</v>
      </c>
      <c r="V431" s="6">
        <f>IF(ISERROR(VLOOKUP($S$431,'TAR FIN'!$A$1:$O$85,15,0)),0,VLOOKUP($S$431,'TAR FIN'!$A$1:$O$85,15,0))</f>
        <v>0</v>
      </c>
      <c r="W431" s="6">
        <f>IF(ISERROR(VLOOKUP($T$431,'TAR FIN'!$A$1:$O$85,15,0)),0,VLOOKUP($T$431,'TAR FIN'!$A$1:$O$85,15,0))</f>
        <v>1326.39</v>
      </c>
      <c r="X431" s="6">
        <f>IF(ISERROR(VLOOKUP($U$431,'TAR FIN'!$A$1:$O$85,15,0)),0,VLOOKUP($U$431,'TAR FIN'!$A$1:$O$85,15,0))</f>
        <v>492.64</v>
      </c>
      <c r="Y431" s="6"/>
      <c r="Z431" s="6">
        <f ca="1">('TUSD BE'!$AM$11+'TUSD BF'!$AM$11+'TUSD CVA'!$AM$11)*1</f>
        <v>1532.0020380763981</v>
      </c>
      <c r="AA431" s="6">
        <f>('TE BE'!$AB$5+'TE BF'!$AB$5+'TE CVA'!$AB$5)*1</f>
        <v>485.87597641853409</v>
      </c>
      <c r="AB431" s="6">
        <f>$K$431*$V$431</f>
        <v>0</v>
      </c>
      <c r="AC431" s="6">
        <f>$M$431*$W$431</f>
        <v>50048.673869999999</v>
      </c>
      <c r="AD431" s="6">
        <f>$O$431*$X$431</f>
        <v>18588.785119999997</v>
      </c>
      <c r="AE431" s="6">
        <f>$K$431*$Y$431</f>
        <v>0</v>
      </c>
      <c r="AF431" s="6">
        <f ca="1">$M$431*$Z$431</f>
        <v>57807.032902736726</v>
      </c>
      <c r="AG431" s="6">
        <f>$O$431*$AA$431</f>
        <v>18333.558218200546</v>
      </c>
    </row>
    <row r="432" spans="1:33" ht="11.25" customHeight="1" x14ac:dyDescent="0.25">
      <c r="A432" s="4" t="s">
        <v>28</v>
      </c>
      <c r="B432" s="4" t="s">
        <v>39</v>
      </c>
      <c r="C432" s="4" t="s">
        <v>40</v>
      </c>
      <c r="D432" s="4" t="s">
        <v>38</v>
      </c>
      <c r="E432" s="4" t="s">
        <v>25</v>
      </c>
      <c r="F432" s="4" t="s">
        <v>25</v>
      </c>
      <c r="G432" s="4" t="s">
        <v>25</v>
      </c>
      <c r="H432" s="4" t="s">
        <v>34</v>
      </c>
      <c r="I432" s="5">
        <v>44562</v>
      </c>
      <c r="J432" s="6">
        <v>0</v>
      </c>
      <c r="K432" s="6">
        <v>0</v>
      </c>
      <c r="L432" s="6">
        <v>3.992</v>
      </c>
      <c r="M432" s="6">
        <v>3.992</v>
      </c>
      <c r="N432" s="6">
        <v>3.992</v>
      </c>
      <c r="O432" s="6">
        <v>3.992</v>
      </c>
      <c r="P432" s="6">
        <v>0</v>
      </c>
      <c r="Q432" s="4" t="s">
        <v>26</v>
      </c>
      <c r="R432" s="4">
        <v>0</v>
      </c>
      <c r="S432" s="6">
        <v>0</v>
      </c>
      <c r="T432" s="6">
        <v>7</v>
      </c>
      <c r="U432" s="6">
        <v>48</v>
      </c>
      <c r="V432" s="6">
        <f>IF(ISERROR(VLOOKUP($S$432,'TAR FIN'!$A$1:$O$85,15,0)),0,VLOOKUP($S$432,'TAR FIN'!$A$1:$O$85,15,0))</f>
        <v>0</v>
      </c>
      <c r="W432" s="6">
        <f>IF(ISERROR(VLOOKUP($T$432,'TAR FIN'!$A$1:$O$85,15,0)),0,VLOOKUP($T$432,'TAR FIN'!$A$1:$O$85,15,0))</f>
        <v>1326.39</v>
      </c>
      <c r="X432" s="6">
        <f>IF(ISERROR(VLOOKUP($U$432,'TAR FIN'!$A$1:$O$85,15,0)),0,VLOOKUP($U$432,'TAR FIN'!$A$1:$O$85,15,0))</f>
        <v>492.64</v>
      </c>
      <c r="Y432" s="6"/>
      <c r="Z432" s="6">
        <f ca="1">('TUSD BE'!$AM$11+'TUSD BF'!$AM$11+'TUSD CVA'!$AM$11)*1</f>
        <v>1532.0020380763981</v>
      </c>
      <c r="AA432" s="6">
        <f>('TE BE'!$AB$5+'TE BF'!$AB$5+'TE CVA'!$AB$5)*1</f>
        <v>485.87597641853409</v>
      </c>
      <c r="AB432" s="6">
        <f>$K$432*$V$432</f>
        <v>0</v>
      </c>
      <c r="AC432" s="6">
        <f>$M$432*$W$432</f>
        <v>5294.9488800000008</v>
      </c>
      <c r="AD432" s="6">
        <f>$O$432*$X$432</f>
        <v>1966.61888</v>
      </c>
      <c r="AE432" s="6">
        <f>$K$432*$Y$432</f>
        <v>0</v>
      </c>
      <c r="AF432" s="6">
        <f ca="1">$M$432*$Z$432</f>
        <v>6115.7521360009814</v>
      </c>
      <c r="AG432" s="6">
        <f>$O$432*$AA$432</f>
        <v>1939.6168978627882</v>
      </c>
    </row>
    <row r="433" spans="1:33" ht="11.25" customHeight="1" x14ac:dyDescent="0.25">
      <c r="A433" s="4" t="s">
        <v>21</v>
      </c>
      <c r="B433" s="4" t="s">
        <v>39</v>
      </c>
      <c r="C433" s="4" t="s">
        <v>40</v>
      </c>
      <c r="D433" s="4" t="s">
        <v>38</v>
      </c>
      <c r="E433" s="4" t="s">
        <v>25</v>
      </c>
      <c r="F433" s="4" t="s">
        <v>25</v>
      </c>
      <c r="G433" s="4" t="s">
        <v>25</v>
      </c>
      <c r="H433" s="4" t="s">
        <v>34</v>
      </c>
      <c r="I433" s="5">
        <v>44593</v>
      </c>
      <c r="J433" s="6">
        <v>0</v>
      </c>
      <c r="K433" s="6">
        <v>0</v>
      </c>
      <c r="L433" s="6">
        <v>43.128</v>
      </c>
      <c r="M433" s="6">
        <v>43.128</v>
      </c>
      <c r="N433" s="6">
        <v>43.128</v>
      </c>
      <c r="O433" s="6">
        <v>43.128</v>
      </c>
      <c r="P433" s="6">
        <v>0</v>
      </c>
      <c r="Q433" s="4" t="s">
        <v>26</v>
      </c>
      <c r="R433" s="4">
        <v>0</v>
      </c>
      <c r="S433" s="6">
        <v>0</v>
      </c>
      <c r="T433" s="6">
        <v>7</v>
      </c>
      <c r="U433" s="6">
        <v>48</v>
      </c>
      <c r="V433" s="6">
        <f>IF(ISERROR(VLOOKUP($S$433,'TAR FIN'!$A$1:$O$85,15,0)),0,VLOOKUP($S$433,'TAR FIN'!$A$1:$O$85,15,0))</f>
        <v>0</v>
      </c>
      <c r="W433" s="6">
        <f>IF(ISERROR(VLOOKUP($T$433,'TAR FIN'!$A$1:$O$85,15,0)),0,VLOOKUP($T$433,'TAR FIN'!$A$1:$O$85,15,0))</f>
        <v>1326.39</v>
      </c>
      <c r="X433" s="6">
        <f>IF(ISERROR(VLOOKUP($U$433,'TAR FIN'!$A$1:$O$85,15,0)),0,VLOOKUP($U$433,'TAR FIN'!$A$1:$O$85,15,0))</f>
        <v>492.64</v>
      </c>
      <c r="Y433" s="6"/>
      <c r="Z433" s="6">
        <f ca="1">('TUSD BE'!$AM$11+'TUSD BF'!$AM$11+'TUSD CVA'!$AM$11)*1</f>
        <v>1532.0020380763981</v>
      </c>
      <c r="AA433" s="6">
        <f>('TE BE'!$AB$5+'TE BF'!$AB$5+'TE CVA'!$AB$5)*1</f>
        <v>485.87597641853409</v>
      </c>
      <c r="AB433" s="6">
        <f>$K$433*$V$433</f>
        <v>0</v>
      </c>
      <c r="AC433" s="6">
        <f>$M$433*$W$433</f>
        <v>57204.547920000005</v>
      </c>
      <c r="AD433" s="6">
        <f>$O$433*$X$433</f>
        <v>21246.57792</v>
      </c>
      <c r="AE433" s="6">
        <f>$K$433*$Y$433</f>
        <v>0</v>
      </c>
      <c r="AF433" s="6">
        <f ca="1">$M$433*$Z$433</f>
        <v>66072.183898158895</v>
      </c>
      <c r="AG433" s="6">
        <f>$O$433*$AA$433</f>
        <v>20954.859110978538</v>
      </c>
    </row>
    <row r="434" spans="1:33" ht="11.25" customHeight="1" x14ac:dyDescent="0.25">
      <c r="A434" s="4" t="s">
        <v>28</v>
      </c>
      <c r="B434" s="4" t="s">
        <v>39</v>
      </c>
      <c r="C434" s="4" t="s">
        <v>40</v>
      </c>
      <c r="D434" s="4" t="s">
        <v>38</v>
      </c>
      <c r="E434" s="4" t="s">
        <v>25</v>
      </c>
      <c r="F434" s="4" t="s">
        <v>25</v>
      </c>
      <c r="G434" s="4" t="s">
        <v>25</v>
      </c>
      <c r="H434" s="4" t="s">
        <v>34</v>
      </c>
      <c r="I434" s="5">
        <v>44593</v>
      </c>
      <c r="J434" s="6">
        <v>0</v>
      </c>
      <c r="K434" s="6">
        <v>0</v>
      </c>
      <c r="L434" s="6">
        <v>4.3330000000000002</v>
      </c>
      <c r="M434" s="6">
        <v>4.3330000000000002</v>
      </c>
      <c r="N434" s="6">
        <v>4.3330000000000002</v>
      </c>
      <c r="O434" s="6">
        <v>4.3330000000000002</v>
      </c>
      <c r="P434" s="6">
        <v>0</v>
      </c>
      <c r="Q434" s="4" t="s">
        <v>26</v>
      </c>
      <c r="R434" s="4">
        <v>0</v>
      </c>
      <c r="S434" s="6">
        <v>0</v>
      </c>
      <c r="T434" s="6">
        <v>7</v>
      </c>
      <c r="U434" s="6">
        <v>48</v>
      </c>
      <c r="V434" s="6">
        <f>IF(ISERROR(VLOOKUP($S$434,'TAR FIN'!$A$1:$O$85,15,0)),0,VLOOKUP($S$434,'TAR FIN'!$A$1:$O$85,15,0))</f>
        <v>0</v>
      </c>
      <c r="W434" s="6">
        <f>IF(ISERROR(VLOOKUP($T$434,'TAR FIN'!$A$1:$O$85,15,0)),0,VLOOKUP($T$434,'TAR FIN'!$A$1:$O$85,15,0))</f>
        <v>1326.39</v>
      </c>
      <c r="X434" s="6">
        <f>IF(ISERROR(VLOOKUP($U$434,'TAR FIN'!$A$1:$O$85,15,0)),0,VLOOKUP($U$434,'TAR FIN'!$A$1:$O$85,15,0))</f>
        <v>492.64</v>
      </c>
      <c r="Y434" s="6"/>
      <c r="Z434" s="6">
        <f ca="1">('TUSD BE'!$AM$11+'TUSD BF'!$AM$11+'TUSD CVA'!$AM$11)*1</f>
        <v>1532.0020380763981</v>
      </c>
      <c r="AA434" s="6">
        <f>('TE BE'!$AB$5+'TE BF'!$AB$5+'TE CVA'!$AB$5)*1</f>
        <v>485.87597641853409</v>
      </c>
      <c r="AB434" s="6">
        <f>$K$434*$V$434</f>
        <v>0</v>
      </c>
      <c r="AC434" s="6">
        <f>$M$434*$W$434</f>
        <v>5747.2478700000011</v>
      </c>
      <c r="AD434" s="6">
        <f>$O$434*$X$434</f>
        <v>2134.6091200000001</v>
      </c>
      <c r="AE434" s="6">
        <f>$K$434*$Y$434</f>
        <v>0</v>
      </c>
      <c r="AF434" s="6">
        <f ca="1">$M$434*$Z$434</f>
        <v>6638.1648309850334</v>
      </c>
      <c r="AG434" s="6">
        <f>$O$434*$AA$434</f>
        <v>2105.3006058215083</v>
      </c>
    </row>
    <row r="435" spans="1:33" ht="11.25" customHeight="1" x14ac:dyDescent="0.25">
      <c r="A435" s="4" t="s">
        <v>21</v>
      </c>
      <c r="B435" s="4" t="s">
        <v>39</v>
      </c>
      <c r="C435" s="4" t="s">
        <v>40</v>
      </c>
      <c r="D435" s="4" t="s">
        <v>38</v>
      </c>
      <c r="E435" s="4" t="s">
        <v>25</v>
      </c>
      <c r="F435" s="4" t="s">
        <v>25</v>
      </c>
      <c r="G435" s="4" t="s">
        <v>25</v>
      </c>
      <c r="H435" s="4" t="s">
        <v>34</v>
      </c>
      <c r="I435" s="5">
        <v>44621</v>
      </c>
      <c r="J435" s="6">
        <v>0</v>
      </c>
      <c r="K435" s="6">
        <v>0</v>
      </c>
      <c r="L435" s="6">
        <v>54.853000000000002</v>
      </c>
      <c r="M435" s="6">
        <v>54.853000000000002</v>
      </c>
      <c r="N435" s="6">
        <v>54.853000000000002</v>
      </c>
      <c r="O435" s="6">
        <v>54.853000000000002</v>
      </c>
      <c r="P435" s="6">
        <v>0</v>
      </c>
      <c r="Q435" s="4" t="s">
        <v>26</v>
      </c>
      <c r="R435" s="4">
        <v>0</v>
      </c>
      <c r="S435" s="6">
        <v>0</v>
      </c>
      <c r="T435" s="6">
        <v>7</v>
      </c>
      <c r="U435" s="6">
        <v>48</v>
      </c>
      <c r="V435" s="6">
        <f>IF(ISERROR(VLOOKUP($S$435,'TAR FIN'!$A$1:$O$85,15,0)),0,VLOOKUP($S$435,'TAR FIN'!$A$1:$O$85,15,0))</f>
        <v>0</v>
      </c>
      <c r="W435" s="6">
        <f>IF(ISERROR(VLOOKUP($T$435,'TAR FIN'!$A$1:$O$85,15,0)),0,VLOOKUP($T$435,'TAR FIN'!$A$1:$O$85,15,0))</f>
        <v>1326.39</v>
      </c>
      <c r="X435" s="6">
        <f>IF(ISERROR(VLOOKUP($U$435,'TAR FIN'!$A$1:$O$85,15,0)),0,VLOOKUP($U$435,'TAR FIN'!$A$1:$O$85,15,0))</f>
        <v>492.64</v>
      </c>
      <c r="Y435" s="6"/>
      <c r="Z435" s="6">
        <f ca="1">('TUSD BE'!$AM$11+'TUSD BF'!$AM$11+'TUSD CVA'!$AM$11)*1</f>
        <v>1532.0020380763981</v>
      </c>
      <c r="AA435" s="6">
        <f>('TE BE'!$AB$5+'TE BF'!$AB$5+'TE CVA'!$AB$5)*1</f>
        <v>485.87597641853409</v>
      </c>
      <c r="AB435" s="6">
        <f>$K$435*$V$435</f>
        <v>0</v>
      </c>
      <c r="AC435" s="6">
        <f>$M$435*$W$435</f>
        <v>72756.47067000001</v>
      </c>
      <c r="AD435" s="6">
        <f>$O$435*$X$435</f>
        <v>27022.781920000001</v>
      </c>
      <c r="AE435" s="6">
        <f>$K$435*$Y$435</f>
        <v>0</v>
      </c>
      <c r="AF435" s="6">
        <f ca="1">$M$435*$Z$435</f>
        <v>84034.90779460466</v>
      </c>
      <c r="AG435" s="6">
        <f>$O$435*$AA$435</f>
        <v>26651.754934485853</v>
      </c>
    </row>
    <row r="436" spans="1:33" ht="11.25" customHeight="1" x14ac:dyDescent="0.25">
      <c r="A436" s="4" t="s">
        <v>27</v>
      </c>
      <c r="B436" s="4" t="s">
        <v>39</v>
      </c>
      <c r="C436" s="4" t="s">
        <v>40</v>
      </c>
      <c r="D436" s="4" t="s">
        <v>38</v>
      </c>
      <c r="E436" s="4" t="s">
        <v>25</v>
      </c>
      <c r="F436" s="4" t="s">
        <v>25</v>
      </c>
      <c r="G436" s="4" t="s">
        <v>25</v>
      </c>
      <c r="H436" s="4" t="s">
        <v>34</v>
      </c>
      <c r="I436" s="5">
        <v>44621</v>
      </c>
      <c r="J436" s="6">
        <v>0</v>
      </c>
      <c r="K436" s="6">
        <v>0</v>
      </c>
      <c r="L436" s="6">
        <v>-0.41499999999999998</v>
      </c>
      <c r="M436" s="6">
        <v>-0.41499999999999998</v>
      </c>
      <c r="N436" s="6">
        <v>-0.41499999999999998</v>
      </c>
      <c r="O436" s="6">
        <v>-0.41499999999999998</v>
      </c>
      <c r="P436" s="6">
        <v>0</v>
      </c>
      <c r="Q436" s="4" t="s">
        <v>26</v>
      </c>
      <c r="R436" s="4">
        <v>0</v>
      </c>
      <c r="S436" s="6">
        <v>0</v>
      </c>
      <c r="T436" s="6">
        <v>7</v>
      </c>
      <c r="U436" s="6">
        <v>48</v>
      </c>
      <c r="V436" s="6">
        <f>IF(ISERROR(VLOOKUP($S$436,'TAR FIN'!$A$1:$O$85,15,0)),0,VLOOKUP($S$436,'TAR FIN'!$A$1:$O$85,15,0))</f>
        <v>0</v>
      </c>
      <c r="W436" s="6">
        <f>IF(ISERROR(VLOOKUP($T$436,'TAR FIN'!$A$1:$O$85,15,0)),0,VLOOKUP($T$436,'TAR FIN'!$A$1:$O$85,15,0))</f>
        <v>1326.39</v>
      </c>
      <c r="X436" s="6">
        <f>IF(ISERROR(VLOOKUP($U$436,'TAR FIN'!$A$1:$O$85,15,0)),0,VLOOKUP($U$436,'TAR FIN'!$A$1:$O$85,15,0))</f>
        <v>492.64</v>
      </c>
      <c r="Y436" s="6"/>
      <c r="Z436" s="6">
        <f ca="1">('TUSD BE'!$AM$11+'TUSD BF'!$AM$11+'TUSD CVA'!$AM$11)*1</f>
        <v>1532.0020380763981</v>
      </c>
      <c r="AA436" s="6">
        <f>('TE BE'!$AB$5+'TE BF'!$AB$5+'TE CVA'!$AB$5)*1</f>
        <v>485.87597641853409</v>
      </c>
      <c r="AB436" s="6">
        <f>$K$436*$V$436</f>
        <v>0</v>
      </c>
      <c r="AC436" s="6">
        <f>$M$436*$W$436</f>
        <v>-550.45185000000004</v>
      </c>
      <c r="AD436" s="6">
        <f>$O$436*$X$436</f>
        <v>-204.44559999999998</v>
      </c>
      <c r="AE436" s="6">
        <f>$K$436*$Y$436</f>
        <v>0</v>
      </c>
      <c r="AF436" s="6">
        <f ca="1">$M$436*$Z$436</f>
        <v>-635.78084580170514</v>
      </c>
      <c r="AG436" s="6">
        <f>$O$436*$AA$436</f>
        <v>-201.63853021369164</v>
      </c>
    </row>
    <row r="437" spans="1:33" ht="11.25" customHeight="1" x14ac:dyDescent="0.25">
      <c r="A437" s="4" t="s">
        <v>28</v>
      </c>
      <c r="B437" s="4" t="s">
        <v>39</v>
      </c>
      <c r="C437" s="4" t="s">
        <v>40</v>
      </c>
      <c r="D437" s="4" t="s">
        <v>38</v>
      </c>
      <c r="E437" s="4" t="s">
        <v>25</v>
      </c>
      <c r="F437" s="4" t="s">
        <v>25</v>
      </c>
      <c r="G437" s="4" t="s">
        <v>25</v>
      </c>
      <c r="H437" s="4" t="s">
        <v>34</v>
      </c>
      <c r="I437" s="5">
        <v>44621</v>
      </c>
      <c r="J437" s="6">
        <v>0</v>
      </c>
      <c r="K437" s="6">
        <v>0</v>
      </c>
      <c r="L437" s="6">
        <v>5.673</v>
      </c>
      <c r="M437" s="6">
        <v>5.673</v>
      </c>
      <c r="N437" s="6">
        <v>5.673</v>
      </c>
      <c r="O437" s="6">
        <v>5.673</v>
      </c>
      <c r="P437" s="6">
        <v>0</v>
      </c>
      <c r="Q437" s="4" t="s">
        <v>26</v>
      </c>
      <c r="R437" s="4">
        <v>0</v>
      </c>
      <c r="S437" s="6">
        <v>0</v>
      </c>
      <c r="T437" s="6">
        <v>7</v>
      </c>
      <c r="U437" s="6">
        <v>48</v>
      </c>
      <c r="V437" s="6">
        <f>IF(ISERROR(VLOOKUP($S$437,'TAR FIN'!$A$1:$O$85,15,0)),0,VLOOKUP($S$437,'TAR FIN'!$A$1:$O$85,15,0))</f>
        <v>0</v>
      </c>
      <c r="W437" s="6">
        <f>IF(ISERROR(VLOOKUP($T$437,'TAR FIN'!$A$1:$O$85,15,0)),0,VLOOKUP($T$437,'TAR FIN'!$A$1:$O$85,15,0))</f>
        <v>1326.39</v>
      </c>
      <c r="X437" s="6">
        <f>IF(ISERROR(VLOOKUP($U$437,'TAR FIN'!$A$1:$O$85,15,0)),0,VLOOKUP($U$437,'TAR FIN'!$A$1:$O$85,15,0))</f>
        <v>492.64</v>
      </c>
      <c r="Y437" s="6"/>
      <c r="Z437" s="6">
        <f ca="1">('TUSD BE'!$AM$11+'TUSD BF'!$AM$11+'TUSD CVA'!$AM$11)*1</f>
        <v>1532.0020380763981</v>
      </c>
      <c r="AA437" s="6">
        <f>('TE BE'!$AB$5+'TE BF'!$AB$5+'TE CVA'!$AB$5)*1</f>
        <v>485.87597641853409</v>
      </c>
      <c r="AB437" s="6">
        <f>$K$437*$V$437</f>
        <v>0</v>
      </c>
      <c r="AC437" s="6">
        <f>$M$437*$W$437</f>
        <v>7524.6104700000005</v>
      </c>
      <c r="AD437" s="6">
        <f>$O$437*$X$437</f>
        <v>2794.7467200000001</v>
      </c>
      <c r="AE437" s="6">
        <f>$K$437*$Y$437</f>
        <v>0</v>
      </c>
      <c r="AF437" s="6">
        <f ca="1">$M$437*$Z$437</f>
        <v>8691.0475620074067</v>
      </c>
      <c r="AG437" s="6">
        <f>$O$437*$AA$437</f>
        <v>2756.3744142223441</v>
      </c>
    </row>
    <row r="438" spans="1:33" ht="11.25" customHeight="1" x14ac:dyDescent="0.25">
      <c r="A438" s="4" t="s">
        <v>28</v>
      </c>
      <c r="B438" s="4" t="s">
        <v>39</v>
      </c>
      <c r="C438" s="4" t="s">
        <v>40</v>
      </c>
      <c r="D438" s="4" t="s">
        <v>38</v>
      </c>
      <c r="E438" s="4" t="s">
        <v>25</v>
      </c>
      <c r="F438" s="4" t="s">
        <v>25</v>
      </c>
      <c r="G438" s="4" t="s">
        <v>25</v>
      </c>
      <c r="H438" s="4" t="s">
        <v>34</v>
      </c>
      <c r="I438" s="5">
        <v>44621</v>
      </c>
      <c r="J438" s="6">
        <v>0</v>
      </c>
      <c r="K438" s="6">
        <v>0</v>
      </c>
      <c r="L438" s="6">
        <v>0.41499999999999998</v>
      </c>
      <c r="M438" s="6">
        <v>0.41499999999999998</v>
      </c>
      <c r="N438" s="6">
        <v>0.41499999999999998</v>
      </c>
      <c r="O438" s="6">
        <v>0.41499999999999998</v>
      </c>
      <c r="P438" s="6">
        <v>0</v>
      </c>
      <c r="Q438" s="4" t="s">
        <v>26</v>
      </c>
      <c r="R438" s="4">
        <v>0</v>
      </c>
      <c r="S438" s="6">
        <v>0</v>
      </c>
      <c r="T438" s="6">
        <v>7</v>
      </c>
      <c r="U438" s="6">
        <v>48</v>
      </c>
      <c r="V438" s="6">
        <f>IF(ISERROR(VLOOKUP($S$438,'TAR FIN'!$A$1:$O$85,15,0)),0,VLOOKUP($S$438,'TAR FIN'!$A$1:$O$85,15,0))</f>
        <v>0</v>
      </c>
      <c r="W438" s="6">
        <f>IF(ISERROR(VLOOKUP($T$438,'TAR FIN'!$A$1:$O$85,15,0)),0,VLOOKUP($T$438,'TAR FIN'!$A$1:$O$85,15,0))</f>
        <v>1326.39</v>
      </c>
      <c r="X438" s="6">
        <f>IF(ISERROR(VLOOKUP($U$438,'TAR FIN'!$A$1:$O$85,15,0)),0,VLOOKUP($U$438,'TAR FIN'!$A$1:$O$85,15,0))</f>
        <v>492.64</v>
      </c>
      <c r="Y438" s="6"/>
      <c r="Z438" s="6">
        <f ca="1">('TUSD BE'!$AM$11+'TUSD BF'!$AM$11+'TUSD CVA'!$AM$11)*1</f>
        <v>1532.0020380763981</v>
      </c>
      <c r="AA438" s="6">
        <f>('TE BE'!$AB$5+'TE BF'!$AB$5+'TE CVA'!$AB$5)*1</f>
        <v>485.87597641853409</v>
      </c>
      <c r="AB438" s="6">
        <f>$K$438*$V$438</f>
        <v>0</v>
      </c>
      <c r="AC438" s="6">
        <f>$M$438*$W$438</f>
        <v>550.45185000000004</v>
      </c>
      <c r="AD438" s="6">
        <f>$O$438*$X$438</f>
        <v>204.44559999999998</v>
      </c>
      <c r="AE438" s="6">
        <f>$K$438*$Y$438</f>
        <v>0</v>
      </c>
      <c r="AF438" s="6">
        <f ca="1">$M$438*$Z$438</f>
        <v>635.78084580170514</v>
      </c>
      <c r="AG438" s="6">
        <f>$O$438*$AA$438</f>
        <v>201.63853021369164</v>
      </c>
    </row>
    <row r="439" spans="1:33" ht="11.25" customHeight="1" x14ac:dyDescent="0.25">
      <c r="A439" s="4" t="s">
        <v>21</v>
      </c>
      <c r="B439" s="4" t="s">
        <v>39</v>
      </c>
      <c r="C439" s="4" t="s">
        <v>40</v>
      </c>
      <c r="D439" s="4" t="s">
        <v>38</v>
      </c>
      <c r="E439" s="4" t="s">
        <v>25</v>
      </c>
      <c r="F439" s="4" t="s">
        <v>25</v>
      </c>
      <c r="G439" s="4" t="s">
        <v>25</v>
      </c>
      <c r="H439" s="4" t="s">
        <v>34</v>
      </c>
      <c r="I439" s="5">
        <v>44652</v>
      </c>
      <c r="J439" s="6">
        <v>0</v>
      </c>
      <c r="K439" s="6">
        <v>0</v>
      </c>
      <c r="L439" s="6">
        <v>45.302</v>
      </c>
      <c r="M439" s="6">
        <v>45.302</v>
      </c>
      <c r="N439" s="6">
        <v>45.302</v>
      </c>
      <c r="O439" s="6">
        <v>45.302</v>
      </c>
      <c r="P439" s="6">
        <v>0</v>
      </c>
      <c r="Q439" s="4" t="s">
        <v>26</v>
      </c>
      <c r="R439" s="4">
        <v>0</v>
      </c>
      <c r="S439" s="6">
        <v>0</v>
      </c>
      <c r="T439" s="6">
        <v>7</v>
      </c>
      <c r="U439" s="6">
        <v>48</v>
      </c>
      <c r="V439" s="6">
        <f>IF(ISERROR(VLOOKUP($S$439,'TAR FIN'!$A$1:$O$85,15,0)),0,VLOOKUP($S$439,'TAR FIN'!$A$1:$O$85,15,0))</f>
        <v>0</v>
      </c>
      <c r="W439" s="6">
        <f>IF(ISERROR(VLOOKUP($T$439,'TAR FIN'!$A$1:$O$85,15,0)),0,VLOOKUP($T$439,'TAR FIN'!$A$1:$O$85,15,0))</f>
        <v>1326.39</v>
      </c>
      <c r="X439" s="6">
        <f>IF(ISERROR(VLOOKUP($U$439,'TAR FIN'!$A$1:$O$85,15,0)),0,VLOOKUP($U$439,'TAR FIN'!$A$1:$O$85,15,0))</f>
        <v>492.64</v>
      </c>
      <c r="Y439" s="6"/>
      <c r="Z439" s="6">
        <f ca="1">('TUSD BE'!$AM$11+'TUSD BF'!$AM$11+'TUSD CVA'!$AM$11)*1</f>
        <v>1532.0020380763981</v>
      </c>
      <c r="AA439" s="6">
        <f>('TE BE'!$AB$5+'TE BF'!$AB$5+'TE CVA'!$AB$5)*1</f>
        <v>485.87597641853409</v>
      </c>
      <c r="AB439" s="6">
        <f>$K$439*$V$439</f>
        <v>0</v>
      </c>
      <c r="AC439" s="6">
        <f>$M$439*$W$439</f>
        <v>60088.119780000001</v>
      </c>
      <c r="AD439" s="6">
        <f>$O$439*$X$439</f>
        <v>22317.577279999998</v>
      </c>
      <c r="AE439" s="6">
        <f>$K$439*$Y$439</f>
        <v>0</v>
      </c>
      <c r="AF439" s="6">
        <f ca="1">$M$439*$Z$439</f>
        <v>69402.756328936986</v>
      </c>
      <c r="AG439" s="6">
        <f>$O$439*$AA$439</f>
        <v>22011.153483712431</v>
      </c>
    </row>
    <row r="440" spans="1:33" ht="11.25" customHeight="1" x14ac:dyDescent="0.25">
      <c r="A440" s="4" t="s">
        <v>28</v>
      </c>
      <c r="B440" s="4" t="s">
        <v>39</v>
      </c>
      <c r="C440" s="4" t="s">
        <v>40</v>
      </c>
      <c r="D440" s="4" t="s">
        <v>38</v>
      </c>
      <c r="E440" s="4" t="s">
        <v>25</v>
      </c>
      <c r="F440" s="4" t="s">
        <v>25</v>
      </c>
      <c r="G440" s="4" t="s">
        <v>25</v>
      </c>
      <c r="H440" s="4" t="s">
        <v>34</v>
      </c>
      <c r="I440" s="5">
        <v>44652</v>
      </c>
      <c r="J440" s="6">
        <v>0</v>
      </c>
      <c r="K440" s="6">
        <v>0</v>
      </c>
      <c r="L440" s="6">
        <v>4.8499999999999996</v>
      </c>
      <c r="M440" s="6">
        <v>4.8499999999999996</v>
      </c>
      <c r="N440" s="6">
        <v>4.8499999999999996</v>
      </c>
      <c r="O440" s="6">
        <v>4.8499999999999996</v>
      </c>
      <c r="P440" s="6">
        <v>0</v>
      </c>
      <c r="Q440" s="4" t="s">
        <v>26</v>
      </c>
      <c r="R440" s="4">
        <v>0</v>
      </c>
      <c r="S440" s="6">
        <v>0</v>
      </c>
      <c r="T440" s="6">
        <v>7</v>
      </c>
      <c r="U440" s="6">
        <v>48</v>
      </c>
      <c r="V440" s="6">
        <f>IF(ISERROR(VLOOKUP($S$440,'TAR FIN'!$A$1:$O$85,15,0)),0,VLOOKUP($S$440,'TAR FIN'!$A$1:$O$85,15,0))</f>
        <v>0</v>
      </c>
      <c r="W440" s="6">
        <f>IF(ISERROR(VLOOKUP($T$440,'TAR FIN'!$A$1:$O$85,15,0)),0,VLOOKUP($T$440,'TAR FIN'!$A$1:$O$85,15,0))</f>
        <v>1326.39</v>
      </c>
      <c r="X440" s="6">
        <f>IF(ISERROR(VLOOKUP($U$440,'TAR FIN'!$A$1:$O$85,15,0)),0,VLOOKUP($U$440,'TAR FIN'!$A$1:$O$85,15,0))</f>
        <v>492.64</v>
      </c>
      <c r="Y440" s="6"/>
      <c r="Z440" s="6">
        <f ca="1">('TUSD BE'!$AM$11+'TUSD BF'!$AM$11+'TUSD CVA'!$AM$11)*1</f>
        <v>1532.0020380763981</v>
      </c>
      <c r="AA440" s="6">
        <f>('TE BE'!$AB$5+'TE BF'!$AB$5+'TE CVA'!$AB$5)*1</f>
        <v>485.87597641853409</v>
      </c>
      <c r="AB440" s="6">
        <f>$K$440*$V$440</f>
        <v>0</v>
      </c>
      <c r="AC440" s="6">
        <f>$M$440*$W$440</f>
        <v>6432.9915000000001</v>
      </c>
      <c r="AD440" s="6">
        <f>$O$440*$X$440</f>
        <v>2389.3039999999996</v>
      </c>
      <c r="AE440" s="6">
        <f>$K$440*$Y$440</f>
        <v>0</v>
      </c>
      <c r="AF440" s="6">
        <f ca="1">$M$440*$Z$440</f>
        <v>7430.2098846705303</v>
      </c>
      <c r="AG440" s="6">
        <f>$O$440*$AA$440</f>
        <v>2356.4984856298902</v>
      </c>
    </row>
    <row r="441" spans="1:33" ht="11.25" customHeight="1" x14ac:dyDescent="0.25">
      <c r="A441" s="4" t="s">
        <v>21</v>
      </c>
      <c r="B441" s="4" t="s">
        <v>39</v>
      </c>
      <c r="C441" s="4" t="s">
        <v>40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34</v>
      </c>
      <c r="I441" s="5">
        <v>44682</v>
      </c>
      <c r="J441" s="6">
        <v>0</v>
      </c>
      <c r="K441" s="6">
        <v>0</v>
      </c>
      <c r="L441" s="6">
        <v>45.627000000000002</v>
      </c>
      <c r="M441" s="6">
        <v>45.627000000000002</v>
      </c>
      <c r="N441" s="6">
        <v>45.627000000000002</v>
      </c>
      <c r="O441" s="6">
        <v>45.627000000000002</v>
      </c>
      <c r="P441" s="6">
        <v>0</v>
      </c>
      <c r="Q441" s="4" t="s">
        <v>26</v>
      </c>
      <c r="R441" s="4">
        <v>0</v>
      </c>
      <c r="S441" s="6">
        <v>0</v>
      </c>
      <c r="T441" s="6">
        <v>7</v>
      </c>
      <c r="U441" s="6">
        <v>48</v>
      </c>
      <c r="V441" s="6">
        <f>IF(ISERROR(VLOOKUP($S$441,'TAR FIN'!$A$1:$O$85,15,0)),0,VLOOKUP($S$441,'TAR FIN'!$A$1:$O$85,15,0))</f>
        <v>0</v>
      </c>
      <c r="W441" s="6">
        <f>IF(ISERROR(VLOOKUP($T$441,'TAR FIN'!$A$1:$O$85,15,0)),0,VLOOKUP($T$441,'TAR FIN'!$A$1:$O$85,15,0))</f>
        <v>1326.39</v>
      </c>
      <c r="X441" s="6">
        <f>IF(ISERROR(VLOOKUP($U$441,'TAR FIN'!$A$1:$O$85,15,0)),0,VLOOKUP($U$441,'TAR FIN'!$A$1:$O$85,15,0))</f>
        <v>492.64</v>
      </c>
      <c r="Y441" s="6"/>
      <c r="Z441" s="6">
        <f ca="1">('TUSD BE'!$AM$11+'TUSD BF'!$AM$11+'TUSD CVA'!$AM$11)*1</f>
        <v>1532.0020380763981</v>
      </c>
      <c r="AA441" s="6">
        <f>('TE BE'!$AB$5+'TE BF'!$AB$5+'TE CVA'!$AB$5)*1</f>
        <v>485.87597641853409</v>
      </c>
      <c r="AB441" s="6">
        <f>$K$441*$V$441</f>
        <v>0</v>
      </c>
      <c r="AC441" s="6">
        <f>$M$441*$W$441</f>
        <v>60519.196530000008</v>
      </c>
      <c r="AD441" s="6">
        <f>$O$441*$X$441</f>
        <v>22477.685280000002</v>
      </c>
      <c r="AE441" s="6">
        <f>$K$441*$Y$441</f>
        <v>0</v>
      </c>
      <c r="AF441" s="6">
        <f ca="1">$M$441*$Z$441</f>
        <v>69900.656991311815</v>
      </c>
      <c r="AG441" s="6">
        <f>$O$441*$AA$441</f>
        <v>22169.063176048458</v>
      </c>
    </row>
    <row r="442" spans="1:33" ht="11.25" customHeight="1" x14ac:dyDescent="0.25">
      <c r="A442" s="4" t="s">
        <v>28</v>
      </c>
      <c r="B442" s="4" t="s">
        <v>39</v>
      </c>
      <c r="C442" s="4" t="s">
        <v>40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34</v>
      </c>
      <c r="I442" s="5">
        <v>44682</v>
      </c>
      <c r="J442" s="6">
        <v>0</v>
      </c>
      <c r="K442" s="6">
        <v>0</v>
      </c>
      <c r="L442" s="6">
        <v>5.3680000000000003</v>
      </c>
      <c r="M442" s="6">
        <v>5.3680000000000003</v>
      </c>
      <c r="N442" s="6">
        <v>5.3680000000000003</v>
      </c>
      <c r="O442" s="6">
        <v>5.3680000000000003</v>
      </c>
      <c r="P442" s="6">
        <v>0</v>
      </c>
      <c r="Q442" s="4" t="s">
        <v>26</v>
      </c>
      <c r="R442" s="4">
        <v>0</v>
      </c>
      <c r="S442" s="6">
        <v>0</v>
      </c>
      <c r="T442" s="6">
        <v>7</v>
      </c>
      <c r="U442" s="6">
        <v>48</v>
      </c>
      <c r="V442" s="6">
        <f>IF(ISERROR(VLOOKUP($S$442,'TAR FIN'!$A$1:$O$85,15,0)),0,VLOOKUP($S$442,'TAR FIN'!$A$1:$O$85,15,0))</f>
        <v>0</v>
      </c>
      <c r="W442" s="6">
        <f>IF(ISERROR(VLOOKUP($T$442,'TAR FIN'!$A$1:$O$85,15,0)),0,VLOOKUP($T$442,'TAR FIN'!$A$1:$O$85,15,0))</f>
        <v>1326.39</v>
      </c>
      <c r="X442" s="6">
        <f>IF(ISERROR(VLOOKUP($U$442,'TAR FIN'!$A$1:$O$85,15,0)),0,VLOOKUP($U$442,'TAR FIN'!$A$1:$O$85,15,0))</f>
        <v>492.64</v>
      </c>
      <c r="Y442" s="6"/>
      <c r="Z442" s="6">
        <f ca="1">('TUSD BE'!$AM$11+'TUSD BF'!$AM$11+'TUSD CVA'!$AM$11)*1</f>
        <v>1532.0020380763981</v>
      </c>
      <c r="AA442" s="6">
        <f>('TE BE'!$AB$5+'TE BF'!$AB$5+'TE CVA'!$AB$5)*1</f>
        <v>485.87597641853409</v>
      </c>
      <c r="AB442" s="6">
        <f>$K$442*$V$442</f>
        <v>0</v>
      </c>
      <c r="AC442" s="6">
        <f>$M$442*$W$442</f>
        <v>7120.0615200000011</v>
      </c>
      <c r="AD442" s="6">
        <f>$O$442*$X$442</f>
        <v>2644.49152</v>
      </c>
      <c r="AE442" s="6">
        <f>$K$442*$Y$442</f>
        <v>0</v>
      </c>
      <c r="AF442" s="6">
        <f ca="1">$M$442*$Z$442</f>
        <v>8223.7869403941058</v>
      </c>
      <c r="AG442" s="6">
        <f>$O$442*$AA$442</f>
        <v>2608.1822414146914</v>
      </c>
    </row>
    <row r="443" spans="1:33" ht="11.25" customHeight="1" x14ac:dyDescent="0.25">
      <c r="A443" s="4" t="s">
        <v>28</v>
      </c>
      <c r="B443" s="4" t="s">
        <v>39</v>
      </c>
      <c r="C443" s="4" t="s">
        <v>40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34</v>
      </c>
      <c r="I443" s="5">
        <v>44682</v>
      </c>
      <c r="J443" s="6">
        <v>0</v>
      </c>
      <c r="K443" s="6">
        <v>0</v>
      </c>
      <c r="L443" s="6">
        <v>1.766</v>
      </c>
      <c r="M443" s="6">
        <v>1.766</v>
      </c>
      <c r="N443" s="6">
        <v>1.766</v>
      </c>
      <c r="O443" s="6">
        <v>1.766</v>
      </c>
      <c r="P443" s="6">
        <v>0</v>
      </c>
      <c r="Q443" s="4" t="s">
        <v>26</v>
      </c>
      <c r="R443" s="4">
        <v>0</v>
      </c>
      <c r="S443" s="6">
        <v>0</v>
      </c>
      <c r="T443" s="6">
        <v>7</v>
      </c>
      <c r="U443" s="6">
        <v>48</v>
      </c>
      <c r="V443" s="6">
        <f>IF(ISERROR(VLOOKUP($S$443,'TAR FIN'!$A$1:$O$85,15,0)),0,VLOOKUP($S$443,'TAR FIN'!$A$1:$O$85,15,0))</f>
        <v>0</v>
      </c>
      <c r="W443" s="6">
        <f>IF(ISERROR(VLOOKUP($T$443,'TAR FIN'!$A$1:$O$85,15,0)),0,VLOOKUP($T$443,'TAR FIN'!$A$1:$O$85,15,0))</f>
        <v>1326.39</v>
      </c>
      <c r="X443" s="6">
        <f>IF(ISERROR(VLOOKUP($U$443,'TAR FIN'!$A$1:$O$85,15,0)),0,VLOOKUP($U$443,'TAR FIN'!$A$1:$O$85,15,0))</f>
        <v>492.64</v>
      </c>
      <c r="Y443" s="6"/>
      <c r="Z443" s="6">
        <f ca="1">('TUSD BE'!$AM$11+'TUSD BF'!$AM$11+'TUSD CVA'!$AM$11)*1</f>
        <v>1532.0020380763981</v>
      </c>
      <c r="AA443" s="6">
        <f>('TE BE'!$AB$5+'TE BF'!$AB$5+'TE CVA'!$AB$5)*1</f>
        <v>485.87597641853409</v>
      </c>
      <c r="AB443" s="6">
        <f>$K$443*$V$443</f>
        <v>0</v>
      </c>
      <c r="AC443" s="6">
        <f>$M$443*$W$443</f>
        <v>2342.4047400000004</v>
      </c>
      <c r="AD443" s="6">
        <f>$O$443*$X$443</f>
        <v>870.00224000000003</v>
      </c>
      <c r="AE443" s="6">
        <f>$K$443*$Y$443</f>
        <v>0</v>
      </c>
      <c r="AF443" s="6">
        <f ca="1">$M$443*$Z$443</f>
        <v>2705.5155992429191</v>
      </c>
      <c r="AG443" s="6">
        <f>$O$443*$AA$443</f>
        <v>858.05697435513116</v>
      </c>
    </row>
    <row r="444" spans="1:33" ht="11.25" customHeight="1" x14ac:dyDescent="0.25">
      <c r="A444" s="4" t="s">
        <v>21</v>
      </c>
      <c r="B444" s="4" t="s">
        <v>39</v>
      </c>
      <c r="C444" s="4" t="s">
        <v>40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34</v>
      </c>
      <c r="I444" s="5">
        <v>44713</v>
      </c>
      <c r="J444" s="6">
        <v>0</v>
      </c>
      <c r="K444" s="6">
        <v>0</v>
      </c>
      <c r="L444" s="6">
        <v>39.863</v>
      </c>
      <c r="M444" s="6">
        <v>39.863</v>
      </c>
      <c r="N444" s="6">
        <v>39.863</v>
      </c>
      <c r="O444" s="6">
        <v>39.863</v>
      </c>
      <c r="P444" s="6">
        <v>0</v>
      </c>
      <c r="Q444" s="4" t="s">
        <v>26</v>
      </c>
      <c r="R444" s="4">
        <v>0</v>
      </c>
      <c r="S444" s="6">
        <v>0</v>
      </c>
      <c r="T444" s="6">
        <v>7</v>
      </c>
      <c r="U444" s="6">
        <v>48</v>
      </c>
      <c r="V444" s="6">
        <f>IF(ISERROR(VLOOKUP($S$444,'TAR FIN'!$A$1:$O$85,15,0)),0,VLOOKUP($S$444,'TAR FIN'!$A$1:$O$85,15,0))</f>
        <v>0</v>
      </c>
      <c r="W444" s="6">
        <f>IF(ISERROR(VLOOKUP($T$444,'TAR FIN'!$A$1:$O$85,15,0)),0,VLOOKUP($T$444,'TAR FIN'!$A$1:$O$85,15,0))</f>
        <v>1326.39</v>
      </c>
      <c r="X444" s="6">
        <f>IF(ISERROR(VLOOKUP($U$444,'TAR FIN'!$A$1:$O$85,15,0)),0,VLOOKUP($U$444,'TAR FIN'!$A$1:$O$85,15,0))</f>
        <v>492.64</v>
      </c>
      <c r="Y444" s="6"/>
      <c r="Z444" s="6">
        <f ca="1">('TUSD BE'!$AM$11+'TUSD BF'!$AM$11+'TUSD CVA'!$AM$11)*1</f>
        <v>1532.0020380763981</v>
      </c>
      <c r="AA444" s="6">
        <f>('TE BE'!$AB$5+'TE BF'!$AB$5+'TE CVA'!$AB$5)*1</f>
        <v>485.87597641853409</v>
      </c>
      <c r="AB444" s="6">
        <f>$K$444*$V$444</f>
        <v>0</v>
      </c>
      <c r="AC444" s="6">
        <f>$M$444*$W$444</f>
        <v>52873.884570000002</v>
      </c>
      <c r="AD444" s="6">
        <f>$O$444*$X$444</f>
        <v>19638.108319999999</v>
      </c>
      <c r="AE444" s="6">
        <f>$K$444*$Y$444</f>
        <v>0</v>
      </c>
      <c r="AF444" s="6">
        <f ca="1">$M$444*$Z$444</f>
        <v>61070.197243839459</v>
      </c>
      <c r="AG444" s="6">
        <f>$O$444*$AA$444</f>
        <v>19368.474047972024</v>
      </c>
    </row>
    <row r="445" spans="1:33" ht="11.25" customHeight="1" x14ac:dyDescent="0.25">
      <c r="A445" s="4" t="s">
        <v>28</v>
      </c>
      <c r="B445" s="4" t="s">
        <v>39</v>
      </c>
      <c r="C445" s="4" t="s">
        <v>40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34</v>
      </c>
      <c r="I445" s="5">
        <v>44713</v>
      </c>
      <c r="J445" s="6">
        <v>0</v>
      </c>
      <c r="K445" s="6">
        <v>0</v>
      </c>
      <c r="L445" s="6">
        <v>4.7789999999999999</v>
      </c>
      <c r="M445" s="6">
        <v>4.7789999999999999</v>
      </c>
      <c r="N445" s="6">
        <v>4.7789999999999999</v>
      </c>
      <c r="O445" s="6">
        <v>4.7789999999999999</v>
      </c>
      <c r="P445" s="6">
        <v>0</v>
      </c>
      <c r="Q445" s="4" t="s">
        <v>26</v>
      </c>
      <c r="R445" s="4">
        <v>0</v>
      </c>
      <c r="S445" s="6">
        <v>0</v>
      </c>
      <c r="T445" s="6">
        <v>7</v>
      </c>
      <c r="U445" s="6">
        <v>48</v>
      </c>
      <c r="V445" s="6">
        <f>IF(ISERROR(VLOOKUP($S$445,'TAR FIN'!$A$1:$O$85,15,0)),0,VLOOKUP($S$445,'TAR FIN'!$A$1:$O$85,15,0))</f>
        <v>0</v>
      </c>
      <c r="W445" s="6">
        <f>IF(ISERROR(VLOOKUP($T$445,'TAR FIN'!$A$1:$O$85,15,0)),0,VLOOKUP($T$445,'TAR FIN'!$A$1:$O$85,15,0))</f>
        <v>1326.39</v>
      </c>
      <c r="X445" s="6">
        <f>IF(ISERROR(VLOOKUP($U$445,'TAR FIN'!$A$1:$O$85,15,0)),0,VLOOKUP($U$445,'TAR FIN'!$A$1:$O$85,15,0))</f>
        <v>492.64</v>
      </c>
      <c r="Y445" s="6"/>
      <c r="Z445" s="6">
        <f ca="1">('TUSD BE'!$AM$11+'TUSD BF'!$AM$11+'TUSD CVA'!$AM$11)*1</f>
        <v>1532.0020380763981</v>
      </c>
      <c r="AA445" s="6">
        <f>('TE BE'!$AB$5+'TE BF'!$AB$5+'TE CVA'!$AB$5)*1</f>
        <v>485.87597641853409</v>
      </c>
      <c r="AB445" s="6">
        <f>$K$445*$V$445</f>
        <v>0</v>
      </c>
      <c r="AC445" s="6">
        <f>$M$445*$W$445</f>
        <v>6338.8178100000005</v>
      </c>
      <c r="AD445" s="6">
        <f>$O$445*$X$445</f>
        <v>2354.32656</v>
      </c>
      <c r="AE445" s="6">
        <f>$K$445*$Y$445</f>
        <v>0</v>
      </c>
      <c r="AF445" s="6">
        <f ca="1">$M$445*$Z$445</f>
        <v>7321.4377399671066</v>
      </c>
      <c r="AG445" s="6">
        <f>$O$445*$AA$445</f>
        <v>2322.0012913041742</v>
      </c>
    </row>
    <row r="446" spans="1:33" ht="11.25" customHeight="1" x14ac:dyDescent="0.25">
      <c r="A446" s="4" t="s">
        <v>28</v>
      </c>
      <c r="B446" s="4" t="s">
        <v>39</v>
      </c>
      <c r="C446" s="4" t="s">
        <v>40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34</v>
      </c>
      <c r="I446" s="5">
        <v>44713</v>
      </c>
      <c r="J446" s="6">
        <v>0</v>
      </c>
      <c r="K446" s="6">
        <v>0</v>
      </c>
      <c r="L446" s="6">
        <v>0.81799999999999995</v>
      </c>
      <c r="M446" s="6">
        <v>0.81799999999999995</v>
      </c>
      <c r="N446" s="6">
        <v>0.81799999999999995</v>
      </c>
      <c r="O446" s="6">
        <v>0.81799999999999995</v>
      </c>
      <c r="P446" s="6">
        <v>0</v>
      </c>
      <c r="Q446" s="4" t="s">
        <v>26</v>
      </c>
      <c r="R446" s="4">
        <v>0</v>
      </c>
      <c r="S446" s="6">
        <v>0</v>
      </c>
      <c r="T446" s="6">
        <v>7</v>
      </c>
      <c r="U446" s="6">
        <v>48</v>
      </c>
      <c r="V446" s="6">
        <f>IF(ISERROR(VLOOKUP($S$446,'TAR FIN'!$A$1:$O$85,15,0)),0,VLOOKUP($S$446,'TAR FIN'!$A$1:$O$85,15,0))</f>
        <v>0</v>
      </c>
      <c r="W446" s="6">
        <f>IF(ISERROR(VLOOKUP($T$446,'TAR FIN'!$A$1:$O$85,15,0)),0,VLOOKUP($T$446,'TAR FIN'!$A$1:$O$85,15,0))</f>
        <v>1326.39</v>
      </c>
      <c r="X446" s="6">
        <f>IF(ISERROR(VLOOKUP($U$446,'TAR FIN'!$A$1:$O$85,15,0)),0,VLOOKUP($U$446,'TAR FIN'!$A$1:$O$85,15,0))</f>
        <v>492.64</v>
      </c>
      <c r="Y446" s="6"/>
      <c r="Z446" s="6">
        <f ca="1">('TUSD BE'!$AM$11+'TUSD BF'!$AM$11+'TUSD CVA'!$AM$11)*1</f>
        <v>1532.0020380763981</v>
      </c>
      <c r="AA446" s="6">
        <f>('TE BE'!$AB$5+'TE BF'!$AB$5+'TE CVA'!$AB$5)*1</f>
        <v>485.87597641853409</v>
      </c>
      <c r="AB446" s="6">
        <f>$K$446*$V$446</f>
        <v>0</v>
      </c>
      <c r="AC446" s="6">
        <f>$M$446*$W$446</f>
        <v>1084.98702</v>
      </c>
      <c r="AD446" s="6">
        <f>$O$446*$X$446</f>
        <v>402.97951999999998</v>
      </c>
      <c r="AE446" s="6">
        <f>$K$446*$Y$446</f>
        <v>0</v>
      </c>
      <c r="AF446" s="6">
        <f ca="1">$M$446*$Z$446</f>
        <v>1253.1776671464936</v>
      </c>
      <c r="AG446" s="6">
        <f>$O$446*$AA$446</f>
        <v>397.44654871036084</v>
      </c>
    </row>
    <row r="447" spans="1:33" ht="11.25" customHeight="1" x14ac:dyDescent="0.25">
      <c r="A447" s="4" t="s">
        <v>21</v>
      </c>
      <c r="B447" s="4" t="s">
        <v>39</v>
      </c>
      <c r="C447" s="4" t="s">
        <v>40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34</v>
      </c>
      <c r="I447" s="5">
        <v>44743</v>
      </c>
      <c r="J447" s="6">
        <v>0</v>
      </c>
      <c r="K447" s="6">
        <v>0</v>
      </c>
      <c r="L447" s="6">
        <v>39.978000000000002</v>
      </c>
      <c r="M447" s="6">
        <v>39.978000000000002</v>
      </c>
      <c r="N447" s="6">
        <v>39.978000000000002</v>
      </c>
      <c r="O447" s="6">
        <v>39.978000000000002</v>
      </c>
      <c r="P447" s="6">
        <v>0</v>
      </c>
      <c r="Q447" s="4" t="s">
        <v>26</v>
      </c>
      <c r="R447" s="4">
        <v>0</v>
      </c>
      <c r="S447" s="6">
        <v>0</v>
      </c>
      <c r="T447" s="6">
        <v>7</v>
      </c>
      <c r="U447" s="6">
        <v>48</v>
      </c>
      <c r="V447" s="6">
        <f>IF(ISERROR(VLOOKUP($S$447,'TAR FIN'!$A$1:$O$85,15,0)),0,VLOOKUP($S$447,'TAR FIN'!$A$1:$O$85,15,0))</f>
        <v>0</v>
      </c>
      <c r="W447" s="6">
        <f>IF(ISERROR(VLOOKUP($T$447,'TAR FIN'!$A$1:$O$85,15,0)),0,VLOOKUP($T$447,'TAR FIN'!$A$1:$O$85,15,0))</f>
        <v>1326.39</v>
      </c>
      <c r="X447" s="6">
        <f>IF(ISERROR(VLOOKUP($U$447,'TAR FIN'!$A$1:$O$85,15,0)),0,VLOOKUP($U$447,'TAR FIN'!$A$1:$O$85,15,0))</f>
        <v>492.64</v>
      </c>
      <c r="Y447" s="6"/>
      <c r="Z447" s="6">
        <f ca="1">('TUSD BE'!$AM$11+'TUSD BF'!$AM$11+'TUSD CVA'!$AM$11)*1</f>
        <v>1532.0020380763981</v>
      </c>
      <c r="AA447" s="6">
        <f>('TE BE'!$AB$5+'TE BF'!$AB$5+'TE CVA'!$AB$5)*1</f>
        <v>485.87597641853409</v>
      </c>
      <c r="AB447" s="6">
        <f>$K$447*$V$447</f>
        <v>0</v>
      </c>
      <c r="AC447" s="6">
        <f>$M$447*$W$447</f>
        <v>53026.419420000006</v>
      </c>
      <c r="AD447" s="6">
        <f>$O$447*$X$447</f>
        <v>19694.761920000001</v>
      </c>
      <c r="AE447" s="6">
        <f>$K$447*$Y$447</f>
        <v>0</v>
      </c>
      <c r="AF447" s="6">
        <f ca="1">$M$447*$Z$447</f>
        <v>61246.377478218245</v>
      </c>
      <c r="AG447" s="6">
        <f>$O$447*$AA$447</f>
        <v>19424.349785260158</v>
      </c>
    </row>
    <row r="448" spans="1:33" ht="11.25" customHeight="1" x14ac:dyDescent="0.25">
      <c r="A448" s="4" t="s">
        <v>28</v>
      </c>
      <c r="B448" s="4" t="s">
        <v>39</v>
      </c>
      <c r="C448" s="4" t="s">
        <v>40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34</v>
      </c>
      <c r="I448" s="5">
        <v>44743</v>
      </c>
      <c r="J448" s="6">
        <v>0</v>
      </c>
      <c r="K448" s="6">
        <v>0</v>
      </c>
      <c r="L448" s="6">
        <v>4.5270000000000001</v>
      </c>
      <c r="M448" s="6">
        <v>4.5270000000000001</v>
      </c>
      <c r="N448" s="6">
        <v>4.5270000000000001</v>
      </c>
      <c r="O448" s="6">
        <v>4.5270000000000001</v>
      </c>
      <c r="P448" s="6">
        <v>0</v>
      </c>
      <c r="Q448" s="4" t="s">
        <v>26</v>
      </c>
      <c r="R448" s="4">
        <v>0</v>
      </c>
      <c r="S448" s="6">
        <v>0</v>
      </c>
      <c r="T448" s="6">
        <v>7</v>
      </c>
      <c r="U448" s="6">
        <v>48</v>
      </c>
      <c r="V448" s="6">
        <f>IF(ISERROR(VLOOKUP($S$448,'TAR FIN'!$A$1:$O$85,15,0)),0,VLOOKUP($S$448,'TAR FIN'!$A$1:$O$85,15,0))</f>
        <v>0</v>
      </c>
      <c r="W448" s="6">
        <f>IF(ISERROR(VLOOKUP($T$448,'TAR FIN'!$A$1:$O$85,15,0)),0,VLOOKUP($T$448,'TAR FIN'!$A$1:$O$85,15,0))</f>
        <v>1326.39</v>
      </c>
      <c r="X448" s="6">
        <f>IF(ISERROR(VLOOKUP($U$448,'TAR FIN'!$A$1:$O$85,15,0)),0,VLOOKUP($U$448,'TAR FIN'!$A$1:$O$85,15,0))</f>
        <v>492.64</v>
      </c>
      <c r="Y448" s="6"/>
      <c r="Z448" s="6">
        <f ca="1">('TUSD BE'!$AM$11+'TUSD BF'!$AM$11+'TUSD CVA'!$AM$11)*1</f>
        <v>1532.0020380763981</v>
      </c>
      <c r="AA448" s="6">
        <f>('TE BE'!$AB$5+'TE BF'!$AB$5+'TE CVA'!$AB$5)*1</f>
        <v>485.87597641853409</v>
      </c>
      <c r="AB448" s="6">
        <f>$K$448*$V$448</f>
        <v>0</v>
      </c>
      <c r="AC448" s="6">
        <f>$M$448*$W$448</f>
        <v>6004.5675300000003</v>
      </c>
      <c r="AD448" s="6">
        <f>$O$448*$X$448</f>
        <v>2230.1812799999998</v>
      </c>
      <c r="AE448" s="6">
        <f>$K$448*$Y$448</f>
        <v>0</v>
      </c>
      <c r="AF448" s="6">
        <f ca="1">$M$448*$Z$448</f>
        <v>6935.3732263718548</v>
      </c>
      <c r="AG448" s="6">
        <f>$O$448*$AA$448</f>
        <v>2199.5605452467039</v>
      </c>
    </row>
    <row r="449" spans="1:33" ht="11.25" customHeight="1" x14ac:dyDescent="0.25">
      <c r="A449" s="4" t="s">
        <v>56</v>
      </c>
      <c r="B449" s="4" t="s">
        <v>39</v>
      </c>
      <c r="C449" s="4" t="s">
        <v>40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34</v>
      </c>
      <c r="I449" s="5">
        <v>44774</v>
      </c>
      <c r="J449" s="6">
        <v>0</v>
      </c>
      <c r="K449" s="6">
        <v>0</v>
      </c>
      <c r="L449" s="6">
        <v>39.978000000000002</v>
      </c>
      <c r="M449" s="6">
        <v>39.978000000000002</v>
      </c>
      <c r="N449" s="6">
        <v>39.978000000000002</v>
      </c>
      <c r="O449" s="6">
        <v>39.978000000000002</v>
      </c>
      <c r="P449" s="6">
        <v>0</v>
      </c>
      <c r="Q449" s="4" t="s">
        <v>26</v>
      </c>
      <c r="R449" s="4">
        <v>0</v>
      </c>
      <c r="S449" s="6">
        <v>0</v>
      </c>
      <c r="T449" s="6">
        <v>7</v>
      </c>
      <c r="U449" s="6">
        <v>48</v>
      </c>
      <c r="V449" s="6">
        <f>IF(ISERROR(VLOOKUP($S$449,'TAR FIN'!$A$1:$O$85,15,0)),0,VLOOKUP($S$449,'TAR FIN'!$A$1:$O$85,15,0))</f>
        <v>0</v>
      </c>
      <c r="W449" s="6">
        <f>IF(ISERROR(VLOOKUP($T$449,'TAR FIN'!$A$1:$O$85,15,0)),0,VLOOKUP($T$449,'TAR FIN'!$A$1:$O$85,15,0))</f>
        <v>1326.39</v>
      </c>
      <c r="X449" s="6">
        <f>IF(ISERROR(VLOOKUP($U$449,'TAR FIN'!$A$1:$O$85,15,0)),0,VLOOKUP($U$449,'TAR FIN'!$A$1:$O$85,15,0))</f>
        <v>492.64</v>
      </c>
      <c r="Y449" s="6"/>
      <c r="Z449" s="6">
        <f ca="1">('TUSD BE'!$AM$11+'TUSD BF'!$AM$11+'TUSD CVA'!$AM$11)*1</f>
        <v>1532.0020380763981</v>
      </c>
      <c r="AA449" s="6">
        <f>('TE BE'!$AB$5+'TE BF'!$AB$5+'TE CVA'!$AB$5)*1</f>
        <v>485.87597641853409</v>
      </c>
      <c r="AB449" s="6">
        <f>$K$449*$V$449</f>
        <v>0</v>
      </c>
      <c r="AC449" s="6">
        <f>$M$449*$W$449</f>
        <v>53026.419420000006</v>
      </c>
      <c r="AD449" s="6">
        <f>$O$449*$X$449</f>
        <v>19694.761920000001</v>
      </c>
      <c r="AE449" s="6">
        <f>$K$449*$Y$449</f>
        <v>0</v>
      </c>
      <c r="AF449" s="6">
        <f ca="1">$M$449*$Z$449</f>
        <v>61246.377478218245</v>
      </c>
      <c r="AG449" s="6">
        <f>$O$449*$AA$449</f>
        <v>19424.349785260158</v>
      </c>
    </row>
    <row r="450" spans="1:33" ht="11.25" customHeight="1" x14ac:dyDescent="0.25">
      <c r="A450" s="4" t="s">
        <v>56</v>
      </c>
      <c r="B450" s="4" t="s">
        <v>39</v>
      </c>
      <c r="C450" s="4" t="s">
        <v>40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44774</v>
      </c>
      <c r="J450" s="6">
        <v>0</v>
      </c>
      <c r="K450" s="6">
        <v>0</v>
      </c>
      <c r="L450" s="6">
        <v>4.5270000000000001</v>
      </c>
      <c r="M450" s="6">
        <v>4.5270000000000001</v>
      </c>
      <c r="N450" s="6">
        <v>4.5270000000000001</v>
      </c>
      <c r="O450" s="6">
        <v>4.5270000000000001</v>
      </c>
      <c r="P450" s="6">
        <v>0</v>
      </c>
      <c r="Q450" s="4" t="s">
        <v>26</v>
      </c>
      <c r="R450" s="4">
        <v>0</v>
      </c>
      <c r="S450" s="6">
        <v>0</v>
      </c>
      <c r="T450" s="6">
        <v>7</v>
      </c>
      <c r="U450" s="6">
        <v>48</v>
      </c>
      <c r="V450" s="6">
        <f>IF(ISERROR(VLOOKUP($S$450,'TAR FIN'!$A$1:$O$85,15,0)),0,VLOOKUP($S$450,'TAR FIN'!$A$1:$O$85,15,0))</f>
        <v>0</v>
      </c>
      <c r="W450" s="6">
        <f>IF(ISERROR(VLOOKUP($T$450,'TAR FIN'!$A$1:$O$85,15,0)),0,VLOOKUP($T$450,'TAR FIN'!$A$1:$O$85,15,0))</f>
        <v>1326.39</v>
      </c>
      <c r="X450" s="6">
        <f>IF(ISERROR(VLOOKUP($U$450,'TAR FIN'!$A$1:$O$85,15,0)),0,VLOOKUP($U$450,'TAR FIN'!$A$1:$O$85,15,0))</f>
        <v>492.64</v>
      </c>
      <c r="Y450" s="6"/>
      <c r="Z450" s="6">
        <f ca="1">('TUSD BE'!$AM$11+'TUSD BF'!$AM$11+'TUSD CVA'!$AM$11)*1</f>
        <v>1532.0020380763981</v>
      </c>
      <c r="AA450" s="6">
        <f>('TE BE'!$AB$5+'TE BF'!$AB$5+'TE CVA'!$AB$5)*1</f>
        <v>485.87597641853409</v>
      </c>
      <c r="AB450" s="6">
        <f>$K$450*$V$450</f>
        <v>0</v>
      </c>
      <c r="AC450" s="6">
        <f>$M$450*$W$450</f>
        <v>6004.5675300000003</v>
      </c>
      <c r="AD450" s="6">
        <f>$O$450*$X$450</f>
        <v>2230.1812799999998</v>
      </c>
      <c r="AE450" s="6">
        <f>$K$450*$Y$450</f>
        <v>0</v>
      </c>
      <c r="AF450" s="6">
        <f ca="1">$M$450*$Z$450</f>
        <v>6935.3732263718548</v>
      </c>
      <c r="AG450" s="6">
        <f>$O$450*$AA$450</f>
        <v>2199.5605452467039</v>
      </c>
    </row>
    <row r="451" spans="1:33" ht="11.25" customHeight="1" x14ac:dyDescent="0.25">
      <c r="A451" s="4" t="s">
        <v>21</v>
      </c>
      <c r="B451" s="4" t="s">
        <v>39</v>
      </c>
      <c r="C451" s="4" t="s">
        <v>40</v>
      </c>
      <c r="D451" s="4" t="s">
        <v>45</v>
      </c>
      <c r="E451" s="4" t="s">
        <v>25</v>
      </c>
      <c r="F451" s="4" t="s">
        <v>25</v>
      </c>
      <c r="G451" s="4" t="s">
        <v>25</v>
      </c>
      <c r="H451" s="4" t="s">
        <v>35</v>
      </c>
      <c r="I451" s="5">
        <v>44440</v>
      </c>
      <c r="J451" s="6">
        <v>0</v>
      </c>
      <c r="K451" s="6">
        <v>0</v>
      </c>
      <c r="L451" s="6">
        <v>299.15699999999998</v>
      </c>
      <c r="M451" s="6">
        <v>299.15699999999998</v>
      </c>
      <c r="N451" s="6">
        <v>299.15699999999998</v>
      </c>
      <c r="O451" s="6">
        <v>299.15699999999998</v>
      </c>
      <c r="P451" s="6">
        <v>0</v>
      </c>
      <c r="Q451" s="4" t="s">
        <v>26</v>
      </c>
      <c r="R451" s="4">
        <v>0</v>
      </c>
      <c r="S451" s="6">
        <v>0</v>
      </c>
      <c r="T451" s="6">
        <v>8</v>
      </c>
      <c r="U451" s="6">
        <v>49</v>
      </c>
      <c r="V451" s="6">
        <f>IF(ISERROR(VLOOKUP($S$451,'TAR FIN'!$A$1:$O$85,15,0)),0,VLOOKUP($S$451,'TAR FIN'!$A$1:$O$85,15,0))</f>
        <v>0</v>
      </c>
      <c r="W451" s="6">
        <f>IF(ISERROR(VLOOKUP($T$451,'TAR FIN'!$A$1:$O$85,15,0)),0,VLOOKUP($T$451,'TAR FIN'!$A$1:$O$85,15,0))</f>
        <v>76.75</v>
      </c>
      <c r="X451" s="6">
        <f>IF(ISERROR(VLOOKUP($U$451,'TAR FIN'!$A$1:$O$85,15,0)),0,VLOOKUP($U$451,'TAR FIN'!$A$1:$O$85,15,0))</f>
        <v>307.08</v>
      </c>
      <c r="Y451" s="6"/>
      <c r="Z451" s="6">
        <f ca="1">('TUSD BE'!$AM$12+'TUSD BF'!$AM$12+'TUSD CVA'!$AM$12)*1</f>
        <v>147.99431148733765</v>
      </c>
      <c r="AA451" s="6">
        <f>('TE BE'!$AB$6+'TE BF'!$AB$6+'TE CVA'!$AB$6)*1</f>
        <v>304.87027853653359</v>
      </c>
      <c r="AB451" s="6">
        <f>$K$451*$V$451</f>
        <v>0</v>
      </c>
      <c r="AC451" s="6">
        <f>$M$451*$W$451</f>
        <v>22960.299749999998</v>
      </c>
      <c r="AD451" s="6">
        <f>$O$451*$X$451</f>
        <v>91865.131559999994</v>
      </c>
      <c r="AE451" s="6">
        <f>$K$451*$Y$451</f>
        <v>0</v>
      </c>
      <c r="AF451" s="6">
        <f ca="1">$M$451*$Z$451</f>
        <v>44273.534241617468</v>
      </c>
      <c r="AG451" s="6">
        <f>$O$451*$AA$451</f>
        <v>91204.077916153779</v>
      </c>
    </row>
    <row r="452" spans="1:33" ht="11.25" customHeight="1" x14ac:dyDescent="0.25">
      <c r="A452" s="4" t="s">
        <v>21</v>
      </c>
      <c r="B452" s="4" t="s">
        <v>39</v>
      </c>
      <c r="C452" s="4" t="s">
        <v>40</v>
      </c>
      <c r="D452" s="4" t="s">
        <v>45</v>
      </c>
      <c r="E452" s="4" t="s">
        <v>25</v>
      </c>
      <c r="F452" s="4" t="s">
        <v>25</v>
      </c>
      <c r="G452" s="4" t="s">
        <v>25</v>
      </c>
      <c r="H452" s="4" t="s">
        <v>35</v>
      </c>
      <c r="I452" s="5">
        <v>44470</v>
      </c>
      <c r="J452" s="6">
        <v>0</v>
      </c>
      <c r="K452" s="6">
        <v>0</v>
      </c>
      <c r="L452" s="6">
        <v>321.245</v>
      </c>
      <c r="M452" s="6">
        <v>321.245</v>
      </c>
      <c r="N452" s="6">
        <v>321.245</v>
      </c>
      <c r="O452" s="6">
        <v>321.245</v>
      </c>
      <c r="P452" s="6">
        <v>0</v>
      </c>
      <c r="Q452" s="4" t="s">
        <v>26</v>
      </c>
      <c r="R452" s="4">
        <v>0</v>
      </c>
      <c r="S452" s="6">
        <v>0</v>
      </c>
      <c r="T452" s="6">
        <v>8</v>
      </c>
      <c r="U452" s="6">
        <v>49</v>
      </c>
      <c r="V452" s="6">
        <f>IF(ISERROR(VLOOKUP($S$452,'TAR FIN'!$A$1:$O$85,15,0)),0,VLOOKUP($S$452,'TAR FIN'!$A$1:$O$85,15,0))</f>
        <v>0</v>
      </c>
      <c r="W452" s="6">
        <f>IF(ISERROR(VLOOKUP($T$452,'TAR FIN'!$A$1:$O$85,15,0)),0,VLOOKUP($T$452,'TAR FIN'!$A$1:$O$85,15,0))</f>
        <v>76.75</v>
      </c>
      <c r="X452" s="6">
        <f>IF(ISERROR(VLOOKUP($U$452,'TAR FIN'!$A$1:$O$85,15,0)),0,VLOOKUP($U$452,'TAR FIN'!$A$1:$O$85,15,0))</f>
        <v>307.08</v>
      </c>
      <c r="Y452" s="6"/>
      <c r="Z452" s="6">
        <f ca="1">('TUSD BE'!$AM$12+'TUSD BF'!$AM$12+'TUSD CVA'!$AM$12)*1</f>
        <v>147.99431148733765</v>
      </c>
      <c r="AA452" s="6">
        <f>('TE BE'!$AB$6+'TE BF'!$AB$6+'TE CVA'!$AB$6)*1</f>
        <v>304.87027853653359</v>
      </c>
      <c r="AB452" s="6">
        <f>$K$452*$V$452</f>
        <v>0</v>
      </c>
      <c r="AC452" s="6">
        <f>$M$452*$W$452</f>
        <v>24655.553749999999</v>
      </c>
      <c r="AD452" s="6">
        <f>$O$452*$X$452</f>
        <v>98647.914599999989</v>
      </c>
      <c r="AE452" s="6">
        <f>$K$452*$Y$452</f>
        <v>0</v>
      </c>
      <c r="AF452" s="6">
        <f ca="1">$M$452*$Z$452</f>
        <v>47542.432593749785</v>
      </c>
      <c r="AG452" s="6">
        <f>$O$452*$AA$452</f>
        <v>97938.052628468737</v>
      </c>
    </row>
    <row r="453" spans="1:33" ht="11.25" customHeight="1" x14ac:dyDescent="0.25">
      <c r="A453" s="4" t="s">
        <v>21</v>
      </c>
      <c r="B453" s="4" t="s">
        <v>39</v>
      </c>
      <c r="C453" s="4" t="s">
        <v>40</v>
      </c>
      <c r="D453" s="4" t="s">
        <v>45</v>
      </c>
      <c r="E453" s="4" t="s">
        <v>25</v>
      </c>
      <c r="F453" s="4" t="s">
        <v>25</v>
      </c>
      <c r="G453" s="4" t="s">
        <v>25</v>
      </c>
      <c r="H453" s="4" t="s">
        <v>35</v>
      </c>
      <c r="I453" s="5">
        <v>44501</v>
      </c>
      <c r="J453" s="6">
        <v>0</v>
      </c>
      <c r="K453" s="6">
        <v>0</v>
      </c>
      <c r="L453" s="6">
        <v>297.63600000000002</v>
      </c>
      <c r="M453" s="6">
        <v>297.63600000000002</v>
      </c>
      <c r="N453" s="6">
        <v>297.63600000000002</v>
      </c>
      <c r="O453" s="6">
        <v>297.63600000000002</v>
      </c>
      <c r="P453" s="6">
        <v>0</v>
      </c>
      <c r="Q453" s="4" t="s">
        <v>26</v>
      </c>
      <c r="R453" s="4">
        <v>0</v>
      </c>
      <c r="S453" s="6">
        <v>0</v>
      </c>
      <c r="T453" s="6">
        <v>8</v>
      </c>
      <c r="U453" s="6">
        <v>49</v>
      </c>
      <c r="V453" s="6">
        <f>IF(ISERROR(VLOOKUP($S$453,'TAR FIN'!$A$1:$O$85,15,0)),0,VLOOKUP($S$453,'TAR FIN'!$A$1:$O$85,15,0))</f>
        <v>0</v>
      </c>
      <c r="W453" s="6">
        <f>IF(ISERROR(VLOOKUP($T$453,'TAR FIN'!$A$1:$O$85,15,0)),0,VLOOKUP($T$453,'TAR FIN'!$A$1:$O$85,15,0))</f>
        <v>76.75</v>
      </c>
      <c r="X453" s="6">
        <f>IF(ISERROR(VLOOKUP($U$453,'TAR FIN'!$A$1:$O$85,15,0)),0,VLOOKUP($U$453,'TAR FIN'!$A$1:$O$85,15,0))</f>
        <v>307.08</v>
      </c>
      <c r="Y453" s="6"/>
      <c r="Z453" s="6">
        <f ca="1">('TUSD BE'!$AM$12+'TUSD BF'!$AM$12+'TUSD CVA'!$AM$12)*1</f>
        <v>147.99431148733765</v>
      </c>
      <c r="AA453" s="6">
        <f>('TE BE'!$AB$6+'TE BF'!$AB$6+'TE CVA'!$AB$6)*1</f>
        <v>304.87027853653359</v>
      </c>
      <c r="AB453" s="6">
        <f>$K$453*$V$453</f>
        <v>0</v>
      </c>
      <c r="AC453" s="6">
        <f>$M$453*$W$453</f>
        <v>22843.563000000002</v>
      </c>
      <c r="AD453" s="6">
        <f>$O$453*$X$453</f>
        <v>91398.062879999998</v>
      </c>
      <c r="AE453" s="6">
        <f>$K$453*$Y$453</f>
        <v>0</v>
      </c>
      <c r="AF453" s="6">
        <f ca="1">$M$453*$Z$453</f>
        <v>44048.434893845231</v>
      </c>
      <c r="AG453" s="6">
        <f>$O$453*$AA$453</f>
        <v>90740.370222499725</v>
      </c>
    </row>
    <row r="454" spans="1:33" ht="11.25" customHeight="1" x14ac:dyDescent="0.25">
      <c r="A454" s="4" t="s">
        <v>21</v>
      </c>
      <c r="B454" s="4" t="s">
        <v>39</v>
      </c>
      <c r="C454" s="4" t="s">
        <v>40</v>
      </c>
      <c r="D454" s="4" t="s">
        <v>45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44531</v>
      </c>
      <c r="J454" s="6">
        <v>0</v>
      </c>
      <c r="K454" s="6">
        <v>0</v>
      </c>
      <c r="L454" s="6">
        <v>307.07600000000002</v>
      </c>
      <c r="M454" s="6">
        <v>307.07600000000002</v>
      </c>
      <c r="N454" s="6">
        <v>307.07600000000002</v>
      </c>
      <c r="O454" s="6">
        <v>307.07600000000002</v>
      </c>
      <c r="P454" s="6">
        <v>0</v>
      </c>
      <c r="Q454" s="4" t="s">
        <v>26</v>
      </c>
      <c r="R454" s="4">
        <v>0</v>
      </c>
      <c r="S454" s="6">
        <v>0</v>
      </c>
      <c r="T454" s="6">
        <v>8</v>
      </c>
      <c r="U454" s="6">
        <v>49</v>
      </c>
      <c r="V454" s="6">
        <f>IF(ISERROR(VLOOKUP($S$454,'TAR FIN'!$A$1:$O$85,15,0)),0,VLOOKUP($S$454,'TAR FIN'!$A$1:$O$85,15,0))</f>
        <v>0</v>
      </c>
      <c r="W454" s="6">
        <f>IF(ISERROR(VLOOKUP($T$454,'TAR FIN'!$A$1:$O$85,15,0)),0,VLOOKUP($T$454,'TAR FIN'!$A$1:$O$85,15,0))</f>
        <v>76.75</v>
      </c>
      <c r="X454" s="6">
        <f>IF(ISERROR(VLOOKUP($U$454,'TAR FIN'!$A$1:$O$85,15,0)),0,VLOOKUP($U$454,'TAR FIN'!$A$1:$O$85,15,0))</f>
        <v>307.08</v>
      </c>
      <c r="Y454" s="6"/>
      <c r="Z454" s="6">
        <f ca="1">('TUSD BE'!$AM$12+'TUSD BF'!$AM$12+'TUSD CVA'!$AM$12)*1</f>
        <v>147.99431148733765</v>
      </c>
      <c r="AA454" s="6">
        <f>('TE BE'!$AB$6+'TE BF'!$AB$6+'TE CVA'!$AB$6)*1</f>
        <v>304.87027853653359</v>
      </c>
      <c r="AB454" s="6">
        <f>$K$454*$V$454</f>
        <v>0</v>
      </c>
      <c r="AC454" s="6">
        <f>$M$454*$W$454</f>
        <v>23568.083000000002</v>
      </c>
      <c r="AD454" s="6">
        <f>$O$454*$X$454</f>
        <v>94296.898079999999</v>
      </c>
      <c r="AE454" s="6">
        <f>$K$454*$Y$454</f>
        <v>0</v>
      </c>
      <c r="AF454" s="6">
        <f ca="1">$M$454*$Z$454</f>
        <v>45445.501194285702</v>
      </c>
      <c r="AG454" s="6">
        <f>$O$454*$AA$454</f>
        <v>93618.345651884592</v>
      </c>
    </row>
    <row r="455" spans="1:33" ht="11.25" customHeight="1" x14ac:dyDescent="0.25">
      <c r="A455" s="4" t="s">
        <v>21</v>
      </c>
      <c r="B455" s="4" t="s">
        <v>39</v>
      </c>
      <c r="C455" s="4" t="s">
        <v>40</v>
      </c>
      <c r="D455" s="4" t="s">
        <v>45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44562</v>
      </c>
      <c r="J455" s="6">
        <v>0</v>
      </c>
      <c r="K455" s="6">
        <v>0</v>
      </c>
      <c r="L455" s="6">
        <v>326.90100000000001</v>
      </c>
      <c r="M455" s="6">
        <v>326.90100000000001</v>
      </c>
      <c r="N455" s="6">
        <v>326.90100000000001</v>
      </c>
      <c r="O455" s="6">
        <v>326.90100000000001</v>
      </c>
      <c r="P455" s="6">
        <v>0</v>
      </c>
      <c r="Q455" s="4" t="s">
        <v>26</v>
      </c>
      <c r="R455" s="4">
        <v>0</v>
      </c>
      <c r="S455" s="6">
        <v>0</v>
      </c>
      <c r="T455" s="6">
        <v>8</v>
      </c>
      <c r="U455" s="6">
        <v>49</v>
      </c>
      <c r="V455" s="6">
        <f>IF(ISERROR(VLOOKUP($S$455,'TAR FIN'!$A$1:$O$85,15,0)),0,VLOOKUP($S$455,'TAR FIN'!$A$1:$O$85,15,0))</f>
        <v>0</v>
      </c>
      <c r="W455" s="6">
        <f>IF(ISERROR(VLOOKUP($T$455,'TAR FIN'!$A$1:$O$85,15,0)),0,VLOOKUP($T$455,'TAR FIN'!$A$1:$O$85,15,0))</f>
        <v>76.75</v>
      </c>
      <c r="X455" s="6">
        <f>IF(ISERROR(VLOOKUP($U$455,'TAR FIN'!$A$1:$O$85,15,0)),0,VLOOKUP($U$455,'TAR FIN'!$A$1:$O$85,15,0))</f>
        <v>307.08</v>
      </c>
      <c r="Y455" s="6"/>
      <c r="Z455" s="6">
        <f ca="1">('TUSD BE'!$AM$12+'TUSD BF'!$AM$12+'TUSD CVA'!$AM$12)*1</f>
        <v>147.99431148733765</v>
      </c>
      <c r="AA455" s="6">
        <f>('TE BE'!$AB$6+'TE BF'!$AB$6+'TE CVA'!$AB$6)*1</f>
        <v>304.87027853653359</v>
      </c>
      <c r="AB455" s="6">
        <f>$K$455*$V$455</f>
        <v>0</v>
      </c>
      <c r="AC455" s="6">
        <f>$M$455*$W$455</f>
        <v>25089.651750000001</v>
      </c>
      <c r="AD455" s="6">
        <f>$O$455*$X$455</f>
        <v>100384.75908</v>
      </c>
      <c r="AE455" s="6">
        <f>$K$455*$Y$455</f>
        <v>0</v>
      </c>
      <c r="AF455" s="6">
        <f ca="1">$M$455*$Z$455</f>
        <v>48379.488419522168</v>
      </c>
      <c r="AG455" s="6">
        <f>$O$455*$AA$455</f>
        <v>99662.398923871369</v>
      </c>
    </row>
    <row r="456" spans="1:33" ht="11.25" customHeight="1" x14ac:dyDescent="0.25">
      <c r="A456" s="4" t="s">
        <v>21</v>
      </c>
      <c r="B456" s="4" t="s">
        <v>39</v>
      </c>
      <c r="C456" s="4" t="s">
        <v>40</v>
      </c>
      <c r="D456" s="4" t="s">
        <v>45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44593</v>
      </c>
      <c r="J456" s="6">
        <v>0</v>
      </c>
      <c r="K456" s="6">
        <v>0</v>
      </c>
      <c r="L456" s="6">
        <v>340.65499999999997</v>
      </c>
      <c r="M456" s="6">
        <v>340.65499999999997</v>
      </c>
      <c r="N456" s="6">
        <v>340.65499999999997</v>
      </c>
      <c r="O456" s="6">
        <v>340.65499999999997</v>
      </c>
      <c r="P456" s="6">
        <v>0</v>
      </c>
      <c r="Q456" s="4" t="s">
        <v>26</v>
      </c>
      <c r="R456" s="4">
        <v>0</v>
      </c>
      <c r="S456" s="6">
        <v>0</v>
      </c>
      <c r="T456" s="6">
        <v>8</v>
      </c>
      <c r="U456" s="6">
        <v>49</v>
      </c>
      <c r="V456" s="6">
        <f>IF(ISERROR(VLOOKUP($S$456,'TAR FIN'!$A$1:$O$85,15,0)),0,VLOOKUP($S$456,'TAR FIN'!$A$1:$O$85,15,0))</f>
        <v>0</v>
      </c>
      <c r="W456" s="6">
        <f>IF(ISERROR(VLOOKUP($T$456,'TAR FIN'!$A$1:$O$85,15,0)),0,VLOOKUP($T$456,'TAR FIN'!$A$1:$O$85,15,0))</f>
        <v>76.75</v>
      </c>
      <c r="X456" s="6">
        <f>IF(ISERROR(VLOOKUP($U$456,'TAR FIN'!$A$1:$O$85,15,0)),0,VLOOKUP($U$456,'TAR FIN'!$A$1:$O$85,15,0))</f>
        <v>307.08</v>
      </c>
      <c r="Y456" s="6"/>
      <c r="Z456" s="6">
        <f ca="1">('TUSD BE'!$AM$12+'TUSD BF'!$AM$12+'TUSD CVA'!$AM$12)*1</f>
        <v>147.99431148733765</v>
      </c>
      <c r="AA456" s="6">
        <f>('TE BE'!$AB$6+'TE BF'!$AB$6+'TE CVA'!$AB$6)*1</f>
        <v>304.87027853653359</v>
      </c>
      <c r="AB456" s="6">
        <f>$K$456*$V$456</f>
        <v>0</v>
      </c>
      <c r="AC456" s="6">
        <f>$M$456*$W$456</f>
        <v>26145.271249999998</v>
      </c>
      <c r="AD456" s="6">
        <f>$O$456*$X$456</f>
        <v>104608.33739999999</v>
      </c>
      <c r="AE456" s="6">
        <f>$K$456*$Y$456</f>
        <v>0</v>
      </c>
      <c r="AF456" s="6">
        <f ca="1">$M$456*$Z$456</f>
        <v>50415.002179719006</v>
      </c>
      <c r="AG456" s="6">
        <f>$O$456*$AA$456</f>
        <v>103855.58473486284</v>
      </c>
    </row>
    <row r="457" spans="1:33" ht="11.25" customHeight="1" x14ac:dyDescent="0.25">
      <c r="A457" s="4" t="s">
        <v>21</v>
      </c>
      <c r="B457" s="4" t="s">
        <v>39</v>
      </c>
      <c r="C457" s="4" t="s">
        <v>40</v>
      </c>
      <c r="D457" s="4" t="s">
        <v>45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44621</v>
      </c>
      <c r="J457" s="6">
        <v>0</v>
      </c>
      <c r="K457" s="6">
        <v>0</v>
      </c>
      <c r="L457" s="6">
        <v>377.77600000000001</v>
      </c>
      <c r="M457" s="6">
        <v>377.77600000000001</v>
      </c>
      <c r="N457" s="6">
        <v>377.77600000000001</v>
      </c>
      <c r="O457" s="6">
        <v>377.77600000000001</v>
      </c>
      <c r="P457" s="6">
        <v>0</v>
      </c>
      <c r="Q457" s="4" t="s">
        <v>26</v>
      </c>
      <c r="R457" s="4">
        <v>0</v>
      </c>
      <c r="S457" s="6">
        <v>0</v>
      </c>
      <c r="T457" s="6">
        <v>8</v>
      </c>
      <c r="U457" s="6">
        <v>49</v>
      </c>
      <c r="V457" s="6">
        <f>IF(ISERROR(VLOOKUP($S$457,'TAR FIN'!$A$1:$O$85,15,0)),0,VLOOKUP($S$457,'TAR FIN'!$A$1:$O$85,15,0))</f>
        <v>0</v>
      </c>
      <c r="W457" s="6">
        <f>IF(ISERROR(VLOOKUP($T$457,'TAR FIN'!$A$1:$O$85,15,0)),0,VLOOKUP($T$457,'TAR FIN'!$A$1:$O$85,15,0))</f>
        <v>76.75</v>
      </c>
      <c r="X457" s="6">
        <f>IF(ISERROR(VLOOKUP($U$457,'TAR FIN'!$A$1:$O$85,15,0)),0,VLOOKUP($U$457,'TAR FIN'!$A$1:$O$85,15,0))</f>
        <v>307.08</v>
      </c>
      <c r="Y457" s="6"/>
      <c r="Z457" s="6">
        <f ca="1">('TUSD BE'!$AM$12+'TUSD BF'!$AM$12+'TUSD CVA'!$AM$12)*1</f>
        <v>147.99431148733765</v>
      </c>
      <c r="AA457" s="6">
        <f>('TE BE'!$AB$6+'TE BF'!$AB$6+'TE CVA'!$AB$6)*1</f>
        <v>304.87027853653359</v>
      </c>
      <c r="AB457" s="6">
        <f>$K$457*$V$457</f>
        <v>0</v>
      </c>
      <c r="AC457" s="6">
        <f>$M$457*$W$457</f>
        <v>28994.308000000001</v>
      </c>
      <c r="AD457" s="6">
        <f>$O$457*$X$457</f>
        <v>116007.45408</v>
      </c>
      <c r="AE457" s="6">
        <f>$K$457*$Y$457</f>
        <v>0</v>
      </c>
      <c r="AF457" s="6">
        <f ca="1">$M$457*$Z$457</f>
        <v>55908.699016440471</v>
      </c>
      <c r="AG457" s="6">
        <f>$O$457*$AA$457</f>
        <v>115172.67434441752</v>
      </c>
    </row>
    <row r="458" spans="1:33" ht="11.25" customHeight="1" x14ac:dyDescent="0.25">
      <c r="A458" s="4" t="s">
        <v>21</v>
      </c>
      <c r="B458" s="4" t="s">
        <v>39</v>
      </c>
      <c r="C458" s="4" t="s">
        <v>40</v>
      </c>
      <c r="D458" s="4" t="s">
        <v>45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44652</v>
      </c>
      <c r="J458" s="6">
        <v>0</v>
      </c>
      <c r="K458" s="6">
        <v>0</v>
      </c>
      <c r="L458" s="6">
        <v>343.73500000000001</v>
      </c>
      <c r="M458" s="6">
        <v>343.73500000000001</v>
      </c>
      <c r="N458" s="6">
        <v>343.73500000000001</v>
      </c>
      <c r="O458" s="6">
        <v>343.73500000000001</v>
      </c>
      <c r="P458" s="6">
        <v>0</v>
      </c>
      <c r="Q458" s="4" t="s">
        <v>26</v>
      </c>
      <c r="R458" s="4">
        <v>0</v>
      </c>
      <c r="S458" s="6">
        <v>0</v>
      </c>
      <c r="T458" s="6">
        <v>8</v>
      </c>
      <c r="U458" s="6">
        <v>49</v>
      </c>
      <c r="V458" s="6">
        <f>IF(ISERROR(VLOOKUP($S$458,'TAR FIN'!$A$1:$O$85,15,0)),0,VLOOKUP($S$458,'TAR FIN'!$A$1:$O$85,15,0))</f>
        <v>0</v>
      </c>
      <c r="W458" s="6">
        <f>IF(ISERROR(VLOOKUP($T$458,'TAR FIN'!$A$1:$O$85,15,0)),0,VLOOKUP($T$458,'TAR FIN'!$A$1:$O$85,15,0))</f>
        <v>76.75</v>
      </c>
      <c r="X458" s="6">
        <f>IF(ISERROR(VLOOKUP($U$458,'TAR FIN'!$A$1:$O$85,15,0)),0,VLOOKUP($U$458,'TAR FIN'!$A$1:$O$85,15,0))</f>
        <v>307.08</v>
      </c>
      <c r="Y458" s="6"/>
      <c r="Z458" s="6">
        <f ca="1">('TUSD BE'!$AM$12+'TUSD BF'!$AM$12+'TUSD CVA'!$AM$12)*1</f>
        <v>147.99431148733765</v>
      </c>
      <c r="AA458" s="6">
        <f>('TE BE'!$AB$6+'TE BF'!$AB$6+'TE CVA'!$AB$6)*1</f>
        <v>304.87027853653359</v>
      </c>
      <c r="AB458" s="6">
        <f>$K$458*$V$458</f>
        <v>0</v>
      </c>
      <c r="AC458" s="6">
        <f>$M$458*$W$458</f>
        <v>26381.661250000001</v>
      </c>
      <c r="AD458" s="6">
        <f>$O$458*$X$458</f>
        <v>105554.14380000001</v>
      </c>
      <c r="AE458" s="6">
        <f>$K$458*$Y$458</f>
        <v>0</v>
      </c>
      <c r="AF458" s="6">
        <f ca="1">$M$458*$Z$458</f>
        <v>50870.824659100013</v>
      </c>
      <c r="AG458" s="6">
        <f>$O$458*$AA$458</f>
        <v>104794.58519275537</v>
      </c>
    </row>
    <row r="459" spans="1:33" ht="11.25" customHeight="1" x14ac:dyDescent="0.25">
      <c r="A459" s="4" t="s">
        <v>21</v>
      </c>
      <c r="B459" s="4" t="s">
        <v>39</v>
      </c>
      <c r="C459" s="4" t="s">
        <v>40</v>
      </c>
      <c r="D459" s="4" t="s">
        <v>45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44682</v>
      </c>
      <c r="J459" s="6">
        <v>0</v>
      </c>
      <c r="K459" s="6">
        <v>0</v>
      </c>
      <c r="L459" s="6">
        <v>279.10199999999998</v>
      </c>
      <c r="M459" s="6">
        <v>279.10199999999998</v>
      </c>
      <c r="N459" s="6">
        <v>279.10199999999998</v>
      </c>
      <c r="O459" s="6">
        <v>279.10199999999998</v>
      </c>
      <c r="P459" s="6">
        <v>0</v>
      </c>
      <c r="Q459" s="4" t="s">
        <v>26</v>
      </c>
      <c r="R459" s="4">
        <v>0</v>
      </c>
      <c r="S459" s="6">
        <v>0</v>
      </c>
      <c r="T459" s="6">
        <v>8</v>
      </c>
      <c r="U459" s="6">
        <v>49</v>
      </c>
      <c r="V459" s="6">
        <f>IF(ISERROR(VLOOKUP($S$459,'TAR FIN'!$A$1:$O$85,15,0)),0,VLOOKUP($S$459,'TAR FIN'!$A$1:$O$85,15,0))</f>
        <v>0</v>
      </c>
      <c r="W459" s="6">
        <f>IF(ISERROR(VLOOKUP($T$459,'TAR FIN'!$A$1:$O$85,15,0)),0,VLOOKUP($T$459,'TAR FIN'!$A$1:$O$85,15,0))</f>
        <v>76.75</v>
      </c>
      <c r="X459" s="6">
        <f>IF(ISERROR(VLOOKUP($U$459,'TAR FIN'!$A$1:$O$85,15,0)),0,VLOOKUP($U$459,'TAR FIN'!$A$1:$O$85,15,0))</f>
        <v>307.08</v>
      </c>
      <c r="Y459" s="6"/>
      <c r="Z459" s="6">
        <f ca="1">('TUSD BE'!$AM$12+'TUSD BF'!$AM$12+'TUSD CVA'!$AM$12)*1</f>
        <v>147.99431148733765</v>
      </c>
      <c r="AA459" s="6">
        <f>('TE BE'!$AB$6+'TE BF'!$AB$6+'TE CVA'!$AB$6)*1</f>
        <v>304.87027853653359</v>
      </c>
      <c r="AB459" s="6">
        <f>$K$459*$V$459</f>
        <v>0</v>
      </c>
      <c r="AC459" s="6">
        <f>$M$459*$W$459</f>
        <v>21421.0785</v>
      </c>
      <c r="AD459" s="6">
        <f>$O$459*$X$459</f>
        <v>85706.642159999989</v>
      </c>
      <c r="AE459" s="6">
        <f>$K$459*$Y$459</f>
        <v>0</v>
      </c>
      <c r="AF459" s="6">
        <f ca="1">$M$459*$Z$459</f>
        <v>41305.508324738912</v>
      </c>
      <c r="AG459" s="6">
        <f>$O$459*$AA$459</f>
        <v>85089.904480103593</v>
      </c>
    </row>
    <row r="460" spans="1:33" ht="11.25" customHeight="1" x14ac:dyDescent="0.25">
      <c r="A460" s="4" t="s">
        <v>21</v>
      </c>
      <c r="B460" s="4" t="s">
        <v>39</v>
      </c>
      <c r="C460" s="4" t="s">
        <v>40</v>
      </c>
      <c r="D460" s="4" t="s">
        <v>45</v>
      </c>
      <c r="E460" s="4" t="s">
        <v>25</v>
      </c>
      <c r="F460" s="4" t="s">
        <v>25</v>
      </c>
      <c r="G460" s="4" t="s">
        <v>25</v>
      </c>
      <c r="H460" s="4" t="s">
        <v>35</v>
      </c>
      <c r="I460" s="5">
        <v>44713</v>
      </c>
      <c r="J460" s="6">
        <v>0</v>
      </c>
      <c r="K460" s="6">
        <v>0</v>
      </c>
      <c r="L460" s="6">
        <v>224.708</v>
      </c>
      <c r="M460" s="6">
        <v>224.708</v>
      </c>
      <c r="N460" s="6">
        <v>224.708</v>
      </c>
      <c r="O460" s="6">
        <v>224.708</v>
      </c>
      <c r="P460" s="6">
        <v>0</v>
      </c>
      <c r="Q460" s="4" t="s">
        <v>26</v>
      </c>
      <c r="R460" s="4">
        <v>0</v>
      </c>
      <c r="S460" s="6">
        <v>0</v>
      </c>
      <c r="T460" s="6">
        <v>8</v>
      </c>
      <c r="U460" s="6">
        <v>49</v>
      </c>
      <c r="V460" s="6">
        <f>IF(ISERROR(VLOOKUP($S$460,'TAR FIN'!$A$1:$O$85,15,0)),0,VLOOKUP($S$460,'TAR FIN'!$A$1:$O$85,15,0))</f>
        <v>0</v>
      </c>
      <c r="W460" s="6">
        <f>IF(ISERROR(VLOOKUP($T$460,'TAR FIN'!$A$1:$O$85,15,0)),0,VLOOKUP($T$460,'TAR FIN'!$A$1:$O$85,15,0))</f>
        <v>76.75</v>
      </c>
      <c r="X460" s="6">
        <f>IF(ISERROR(VLOOKUP($U$460,'TAR FIN'!$A$1:$O$85,15,0)),0,VLOOKUP($U$460,'TAR FIN'!$A$1:$O$85,15,0))</f>
        <v>307.08</v>
      </c>
      <c r="Y460" s="6"/>
      <c r="Z460" s="6">
        <f ca="1">('TUSD BE'!$AM$12+'TUSD BF'!$AM$12+'TUSD CVA'!$AM$12)*1</f>
        <v>147.99431148733765</v>
      </c>
      <c r="AA460" s="6">
        <f>('TE BE'!$AB$6+'TE BF'!$AB$6+'TE CVA'!$AB$6)*1</f>
        <v>304.87027853653359</v>
      </c>
      <c r="AB460" s="6">
        <f>$K$460*$V$460</f>
        <v>0</v>
      </c>
      <c r="AC460" s="6">
        <f>$M$460*$W$460</f>
        <v>17246.339</v>
      </c>
      <c r="AD460" s="6">
        <f>$O$460*$X$460</f>
        <v>69003.332639999993</v>
      </c>
      <c r="AE460" s="6">
        <f>$K$460*$Y$460</f>
        <v>0</v>
      </c>
      <c r="AF460" s="6">
        <f ca="1">$M$460*$Z$460</f>
        <v>33255.505745696668</v>
      </c>
      <c r="AG460" s="6">
        <f>$O$460*$AA$460</f>
        <v>68506.790549387384</v>
      </c>
    </row>
    <row r="461" spans="1:33" ht="11.25" customHeight="1" x14ac:dyDescent="0.25">
      <c r="A461" s="4" t="s">
        <v>21</v>
      </c>
      <c r="B461" s="4" t="s">
        <v>39</v>
      </c>
      <c r="C461" s="4" t="s">
        <v>40</v>
      </c>
      <c r="D461" s="4" t="s">
        <v>45</v>
      </c>
      <c r="E461" s="4" t="s">
        <v>25</v>
      </c>
      <c r="F461" s="4" t="s">
        <v>25</v>
      </c>
      <c r="G461" s="4" t="s">
        <v>25</v>
      </c>
      <c r="H461" s="4" t="s">
        <v>35</v>
      </c>
      <c r="I461" s="5">
        <v>44743</v>
      </c>
      <c r="J461" s="6">
        <v>0</v>
      </c>
      <c r="K461" s="6">
        <v>0</v>
      </c>
      <c r="L461" s="6">
        <v>231.44399999999999</v>
      </c>
      <c r="M461" s="6">
        <v>231.44399999999999</v>
      </c>
      <c r="N461" s="6">
        <v>231.44399999999999</v>
      </c>
      <c r="O461" s="6">
        <v>231.44399999999999</v>
      </c>
      <c r="P461" s="6">
        <v>0</v>
      </c>
      <c r="Q461" s="4" t="s">
        <v>26</v>
      </c>
      <c r="R461" s="4">
        <v>0</v>
      </c>
      <c r="S461" s="6">
        <v>0</v>
      </c>
      <c r="T461" s="6">
        <v>8</v>
      </c>
      <c r="U461" s="6">
        <v>49</v>
      </c>
      <c r="V461" s="6">
        <f>IF(ISERROR(VLOOKUP($S$461,'TAR FIN'!$A$1:$O$85,15,0)),0,VLOOKUP($S$461,'TAR FIN'!$A$1:$O$85,15,0))</f>
        <v>0</v>
      </c>
      <c r="W461" s="6">
        <f>IF(ISERROR(VLOOKUP($T$461,'TAR FIN'!$A$1:$O$85,15,0)),0,VLOOKUP($T$461,'TAR FIN'!$A$1:$O$85,15,0))</f>
        <v>76.75</v>
      </c>
      <c r="X461" s="6">
        <f>IF(ISERROR(VLOOKUP($U$461,'TAR FIN'!$A$1:$O$85,15,0)),0,VLOOKUP($U$461,'TAR FIN'!$A$1:$O$85,15,0))</f>
        <v>307.08</v>
      </c>
      <c r="Y461" s="6"/>
      <c r="Z461" s="6">
        <f ca="1">('TUSD BE'!$AM$12+'TUSD BF'!$AM$12+'TUSD CVA'!$AM$12)*1</f>
        <v>147.99431148733765</v>
      </c>
      <c r="AA461" s="6">
        <f>('TE BE'!$AB$6+'TE BF'!$AB$6+'TE CVA'!$AB$6)*1</f>
        <v>304.87027853653359</v>
      </c>
      <c r="AB461" s="6">
        <f>$K$461*$V$461</f>
        <v>0</v>
      </c>
      <c r="AC461" s="6">
        <f>$M$461*$W$461</f>
        <v>17763.326999999997</v>
      </c>
      <c r="AD461" s="6">
        <f>$O$461*$X$461</f>
        <v>71071.823519999991</v>
      </c>
      <c r="AE461" s="6">
        <f>$K$461*$Y$461</f>
        <v>0</v>
      </c>
      <c r="AF461" s="6">
        <f ca="1">$M$461*$Z$461</f>
        <v>34252.395427875374</v>
      </c>
      <c r="AG461" s="6">
        <f>$O$461*$AA$461</f>
        <v>70560.396745609483</v>
      </c>
    </row>
    <row r="462" spans="1:33" ht="11.25" customHeight="1" x14ac:dyDescent="0.25">
      <c r="A462" s="4" t="s">
        <v>56</v>
      </c>
      <c r="B462" s="4" t="s">
        <v>39</v>
      </c>
      <c r="C462" s="4" t="s">
        <v>40</v>
      </c>
      <c r="D462" s="4" t="s">
        <v>45</v>
      </c>
      <c r="E462" s="4" t="s">
        <v>25</v>
      </c>
      <c r="F462" s="4" t="s">
        <v>25</v>
      </c>
      <c r="G462" s="4" t="s">
        <v>25</v>
      </c>
      <c r="H462" s="4" t="s">
        <v>35</v>
      </c>
      <c r="I462" s="5">
        <v>44774</v>
      </c>
      <c r="J462" s="6">
        <v>0</v>
      </c>
      <c r="K462" s="6">
        <v>0</v>
      </c>
      <c r="L462" s="6">
        <v>231.44399999999999</v>
      </c>
      <c r="M462" s="6">
        <v>231.44399999999999</v>
      </c>
      <c r="N462" s="6">
        <v>231.44399999999999</v>
      </c>
      <c r="O462" s="6">
        <v>231.44399999999999</v>
      </c>
      <c r="P462" s="6">
        <v>0</v>
      </c>
      <c r="Q462" s="4" t="s">
        <v>26</v>
      </c>
      <c r="R462" s="4">
        <v>0</v>
      </c>
      <c r="S462" s="6">
        <v>0</v>
      </c>
      <c r="T462" s="6">
        <v>8</v>
      </c>
      <c r="U462" s="6">
        <v>49</v>
      </c>
      <c r="V462" s="6">
        <f>IF(ISERROR(VLOOKUP($S$462,'TAR FIN'!$A$1:$O$85,15,0)),0,VLOOKUP($S$462,'TAR FIN'!$A$1:$O$85,15,0))</f>
        <v>0</v>
      </c>
      <c r="W462" s="6">
        <f>IF(ISERROR(VLOOKUP($T$462,'TAR FIN'!$A$1:$O$85,15,0)),0,VLOOKUP($T$462,'TAR FIN'!$A$1:$O$85,15,0))</f>
        <v>76.75</v>
      </c>
      <c r="X462" s="6">
        <f>IF(ISERROR(VLOOKUP($U$462,'TAR FIN'!$A$1:$O$85,15,0)),0,VLOOKUP($U$462,'TAR FIN'!$A$1:$O$85,15,0))</f>
        <v>307.08</v>
      </c>
      <c r="Y462" s="6"/>
      <c r="Z462" s="6">
        <f ca="1">('TUSD BE'!$AM$12+'TUSD BF'!$AM$12+'TUSD CVA'!$AM$12)*1</f>
        <v>147.99431148733765</v>
      </c>
      <c r="AA462" s="6">
        <f>('TE BE'!$AB$6+'TE BF'!$AB$6+'TE CVA'!$AB$6)*1</f>
        <v>304.87027853653359</v>
      </c>
      <c r="AB462" s="6">
        <f>$K$462*$V$462</f>
        <v>0</v>
      </c>
      <c r="AC462" s="6">
        <f>$M$462*$W$462</f>
        <v>17763.326999999997</v>
      </c>
      <c r="AD462" s="6">
        <f>$O$462*$X$462</f>
        <v>71071.823519999991</v>
      </c>
      <c r="AE462" s="6">
        <f>$K$462*$Y$462</f>
        <v>0</v>
      </c>
      <c r="AF462" s="6">
        <f ca="1">$M$462*$Z$462</f>
        <v>34252.395427875374</v>
      </c>
      <c r="AG462" s="6">
        <f>$O$462*$AA$462</f>
        <v>70560.396745609483</v>
      </c>
    </row>
    <row r="463" spans="1:33" ht="11.25" customHeight="1" x14ac:dyDescent="0.25">
      <c r="A463" s="4" t="s">
        <v>21</v>
      </c>
      <c r="B463" s="4" t="s">
        <v>39</v>
      </c>
      <c r="C463" s="4" t="s">
        <v>40</v>
      </c>
      <c r="D463" s="4" t="s">
        <v>45</v>
      </c>
      <c r="E463" s="4" t="s">
        <v>25</v>
      </c>
      <c r="F463" s="4" t="s">
        <v>25</v>
      </c>
      <c r="G463" s="4" t="s">
        <v>25</v>
      </c>
      <c r="H463" s="4" t="s">
        <v>25</v>
      </c>
      <c r="I463" s="5">
        <v>44440</v>
      </c>
      <c r="J463" s="6">
        <v>1709</v>
      </c>
      <c r="K463" s="6">
        <v>1709</v>
      </c>
      <c r="L463" s="6">
        <v>0</v>
      </c>
      <c r="M463" s="6">
        <v>0</v>
      </c>
      <c r="N463" s="6">
        <v>0</v>
      </c>
      <c r="O463" s="6">
        <v>0</v>
      </c>
      <c r="P463" s="6">
        <v>16</v>
      </c>
      <c r="Q463" s="4" t="s">
        <v>26</v>
      </c>
      <c r="R463" s="4">
        <v>0</v>
      </c>
      <c r="S463" s="6">
        <v>6</v>
      </c>
      <c r="T463" s="6">
        <v>0</v>
      </c>
      <c r="U463" s="6">
        <v>0</v>
      </c>
      <c r="V463" s="6">
        <f>IF(ISERROR(VLOOKUP($S$463,'TAR FIN'!$A$1:$O$85,15,0)),0,VLOOKUP($S$463,'TAR FIN'!$A$1:$O$85,15,0))</f>
        <v>16.64</v>
      </c>
      <c r="W463" s="6">
        <f>IF(ISERROR(VLOOKUP($T$463,'TAR FIN'!$A$1:$O$85,15,0)),0,VLOOKUP($T$463,'TAR FIN'!$A$1:$O$85,15,0))</f>
        <v>0</v>
      </c>
      <c r="X463" s="6">
        <f>IF(ISERROR(VLOOKUP($U$463,'TAR FIN'!$A$1:$O$85,15,0)),0,VLOOKUP($U$463,'TAR FIN'!$A$1:$O$85,15,0))</f>
        <v>0</v>
      </c>
      <c r="Y463" s="6">
        <f ca="1">('TUSD BE'!$AM$10+'TUSD BF'!$AM$10+'TUSD CVA'!$AM$10)*1</f>
        <v>18.371854423657158</v>
      </c>
      <c r="Z463" s="6"/>
      <c r="AA463" s="6"/>
      <c r="AB463" s="6">
        <f>$K$463*$V$463</f>
        <v>28437.760000000002</v>
      </c>
      <c r="AC463" s="6">
        <f>$M$463*$W$463</f>
        <v>0</v>
      </c>
      <c r="AD463" s="6">
        <f>$O$463*$X$463</f>
        <v>0</v>
      </c>
      <c r="AE463" s="6">
        <f ca="1">$K$463*$Y$463</f>
        <v>31397.499210030084</v>
      </c>
      <c r="AF463" s="6">
        <f>$M$463*$Z$463</f>
        <v>0</v>
      </c>
      <c r="AG463" s="6">
        <f>$O$463*$AA$463</f>
        <v>0</v>
      </c>
    </row>
    <row r="464" spans="1:33" ht="11.25" customHeight="1" x14ac:dyDescent="0.25">
      <c r="A464" s="4" t="s">
        <v>28</v>
      </c>
      <c r="B464" s="4" t="s">
        <v>39</v>
      </c>
      <c r="C464" s="4" t="s">
        <v>40</v>
      </c>
      <c r="D464" s="4" t="s">
        <v>45</v>
      </c>
      <c r="E464" s="4" t="s">
        <v>25</v>
      </c>
      <c r="F464" s="4" t="s">
        <v>25</v>
      </c>
      <c r="G464" s="4" t="s">
        <v>25</v>
      </c>
      <c r="H464" s="4" t="s">
        <v>25</v>
      </c>
      <c r="I464" s="5">
        <v>44440</v>
      </c>
      <c r="J464" s="6">
        <v>110</v>
      </c>
      <c r="K464" s="6">
        <v>110</v>
      </c>
      <c r="L464" s="6">
        <v>0</v>
      </c>
      <c r="M464" s="6">
        <v>0</v>
      </c>
      <c r="N464" s="6">
        <v>0</v>
      </c>
      <c r="O464" s="6">
        <v>0</v>
      </c>
      <c r="P464" s="6">
        <v>1</v>
      </c>
      <c r="Q464" s="4" t="s">
        <v>26</v>
      </c>
      <c r="R464" s="4">
        <v>0</v>
      </c>
      <c r="S464" s="6">
        <v>6</v>
      </c>
      <c r="T464" s="6">
        <v>0</v>
      </c>
      <c r="U464" s="6">
        <v>0</v>
      </c>
      <c r="V464" s="6">
        <f>IF(ISERROR(VLOOKUP($S$464,'TAR FIN'!$A$1:$O$85,15,0)),0,VLOOKUP($S$464,'TAR FIN'!$A$1:$O$85,15,0))</f>
        <v>16.64</v>
      </c>
      <c r="W464" s="6">
        <f>IF(ISERROR(VLOOKUP($T$464,'TAR FIN'!$A$1:$O$85,15,0)),0,VLOOKUP($T$464,'TAR FIN'!$A$1:$O$85,15,0))</f>
        <v>0</v>
      </c>
      <c r="X464" s="6">
        <f>IF(ISERROR(VLOOKUP($U$464,'TAR FIN'!$A$1:$O$85,15,0)),0,VLOOKUP($U$464,'TAR FIN'!$A$1:$O$85,15,0))</f>
        <v>0</v>
      </c>
      <c r="Y464" s="6">
        <f ca="1">('TUSD BE'!$AM$10+'TUSD BF'!$AM$10+'TUSD CVA'!$AM$10)*1</f>
        <v>18.371854423657158</v>
      </c>
      <c r="Z464" s="6"/>
      <c r="AA464" s="6"/>
      <c r="AB464" s="6">
        <f>$K$464*$V$464</f>
        <v>1830.4</v>
      </c>
      <c r="AC464" s="6">
        <f>$M$464*$W$464</f>
        <v>0</v>
      </c>
      <c r="AD464" s="6">
        <f>$O$464*$X$464</f>
        <v>0</v>
      </c>
      <c r="AE464" s="6">
        <f ca="1">$K$464*$Y$464</f>
        <v>2020.9039866022874</v>
      </c>
      <c r="AF464" s="6">
        <f>$M$464*$Z$464</f>
        <v>0</v>
      </c>
      <c r="AG464" s="6">
        <f>$O$464*$AA$464</f>
        <v>0</v>
      </c>
    </row>
    <row r="465" spans="1:33" ht="11.25" customHeight="1" x14ac:dyDescent="0.25">
      <c r="A465" s="4" t="s">
        <v>21</v>
      </c>
      <c r="B465" s="4" t="s">
        <v>39</v>
      </c>
      <c r="C465" s="4" t="s">
        <v>40</v>
      </c>
      <c r="D465" s="4" t="s">
        <v>45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44470</v>
      </c>
      <c r="J465" s="6">
        <v>1611</v>
      </c>
      <c r="K465" s="6">
        <v>1611</v>
      </c>
      <c r="L465" s="6">
        <v>0</v>
      </c>
      <c r="M465" s="6">
        <v>0</v>
      </c>
      <c r="N465" s="6">
        <v>0</v>
      </c>
      <c r="O465" s="6">
        <v>0</v>
      </c>
      <c r="P465" s="6">
        <v>16</v>
      </c>
      <c r="Q465" s="4" t="s">
        <v>26</v>
      </c>
      <c r="R465" s="4">
        <v>0</v>
      </c>
      <c r="S465" s="6">
        <v>6</v>
      </c>
      <c r="T465" s="6">
        <v>0</v>
      </c>
      <c r="U465" s="6">
        <v>0</v>
      </c>
      <c r="V465" s="6">
        <f>IF(ISERROR(VLOOKUP($S$465,'TAR FIN'!$A$1:$O$85,15,0)),0,VLOOKUP($S$465,'TAR FIN'!$A$1:$O$85,15,0))</f>
        <v>16.64</v>
      </c>
      <c r="W465" s="6">
        <f>IF(ISERROR(VLOOKUP($T$465,'TAR FIN'!$A$1:$O$85,15,0)),0,VLOOKUP($T$465,'TAR FIN'!$A$1:$O$85,15,0))</f>
        <v>0</v>
      </c>
      <c r="X465" s="6">
        <f>IF(ISERROR(VLOOKUP($U$465,'TAR FIN'!$A$1:$O$85,15,0)),0,VLOOKUP($U$465,'TAR FIN'!$A$1:$O$85,15,0))</f>
        <v>0</v>
      </c>
      <c r="Y465" s="6">
        <f ca="1">('TUSD BE'!$AM$10+'TUSD BF'!$AM$10+'TUSD CVA'!$AM$10)*1</f>
        <v>18.371854423657158</v>
      </c>
      <c r="Z465" s="6"/>
      <c r="AA465" s="6"/>
      <c r="AB465" s="6">
        <f>$K$465*$V$465</f>
        <v>26807.040000000001</v>
      </c>
      <c r="AC465" s="6">
        <f>$M$465*$W$465</f>
        <v>0</v>
      </c>
      <c r="AD465" s="6">
        <f>$O$465*$X$465</f>
        <v>0</v>
      </c>
      <c r="AE465" s="6">
        <f ca="1">$K$465*$Y$465</f>
        <v>29597.057476511683</v>
      </c>
      <c r="AF465" s="6">
        <f>$M$465*$Z$465</f>
        <v>0</v>
      </c>
      <c r="AG465" s="6">
        <f>$O$465*$AA$465</f>
        <v>0</v>
      </c>
    </row>
    <row r="466" spans="1:33" ht="11.25" customHeight="1" x14ac:dyDescent="0.25">
      <c r="A466" s="4" t="s">
        <v>28</v>
      </c>
      <c r="B466" s="4" t="s">
        <v>39</v>
      </c>
      <c r="C466" s="4" t="s">
        <v>40</v>
      </c>
      <c r="D466" s="4" t="s">
        <v>45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44470</v>
      </c>
      <c r="J466" s="6">
        <v>110</v>
      </c>
      <c r="K466" s="6">
        <v>110</v>
      </c>
      <c r="L466" s="6">
        <v>0</v>
      </c>
      <c r="M466" s="6">
        <v>0</v>
      </c>
      <c r="N466" s="6">
        <v>0</v>
      </c>
      <c r="O466" s="6">
        <v>0</v>
      </c>
      <c r="P466" s="6">
        <v>1</v>
      </c>
      <c r="Q466" s="4" t="s">
        <v>26</v>
      </c>
      <c r="R466" s="4">
        <v>0</v>
      </c>
      <c r="S466" s="6">
        <v>6</v>
      </c>
      <c r="T466" s="6">
        <v>0</v>
      </c>
      <c r="U466" s="6">
        <v>0</v>
      </c>
      <c r="V466" s="6">
        <f>IF(ISERROR(VLOOKUP($S$466,'TAR FIN'!$A$1:$O$85,15,0)),0,VLOOKUP($S$466,'TAR FIN'!$A$1:$O$85,15,0))</f>
        <v>16.64</v>
      </c>
      <c r="W466" s="6">
        <f>IF(ISERROR(VLOOKUP($T$466,'TAR FIN'!$A$1:$O$85,15,0)),0,VLOOKUP($T$466,'TAR FIN'!$A$1:$O$85,15,0))</f>
        <v>0</v>
      </c>
      <c r="X466" s="6">
        <f>IF(ISERROR(VLOOKUP($U$466,'TAR FIN'!$A$1:$O$85,15,0)),0,VLOOKUP($U$466,'TAR FIN'!$A$1:$O$85,15,0))</f>
        <v>0</v>
      </c>
      <c r="Y466" s="6">
        <f ca="1">('TUSD BE'!$AM$10+'TUSD BF'!$AM$10+'TUSD CVA'!$AM$10)*1</f>
        <v>18.371854423657158</v>
      </c>
      <c r="Z466" s="6"/>
      <c r="AA466" s="6"/>
      <c r="AB466" s="6">
        <f>$K$466*$V$466</f>
        <v>1830.4</v>
      </c>
      <c r="AC466" s="6">
        <f>$M$466*$W$466</f>
        <v>0</v>
      </c>
      <c r="AD466" s="6">
        <f>$O$466*$X$466</f>
        <v>0</v>
      </c>
      <c r="AE466" s="6">
        <f ca="1">$K$466*$Y$466</f>
        <v>2020.9039866022874</v>
      </c>
      <c r="AF466" s="6">
        <f>$M$466*$Z$466</f>
        <v>0</v>
      </c>
      <c r="AG466" s="6">
        <f>$O$466*$AA$466</f>
        <v>0</v>
      </c>
    </row>
    <row r="467" spans="1:33" ht="11.25" customHeight="1" x14ac:dyDescent="0.25">
      <c r="A467" s="4" t="s">
        <v>21</v>
      </c>
      <c r="B467" s="4" t="s">
        <v>39</v>
      </c>
      <c r="C467" s="4" t="s">
        <v>40</v>
      </c>
      <c r="D467" s="4" t="s">
        <v>45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44501</v>
      </c>
      <c r="J467" s="6">
        <v>1577</v>
      </c>
      <c r="K467" s="6">
        <v>1577</v>
      </c>
      <c r="L467" s="6">
        <v>0</v>
      </c>
      <c r="M467" s="6">
        <v>0</v>
      </c>
      <c r="N467" s="6">
        <v>0</v>
      </c>
      <c r="O467" s="6">
        <v>0</v>
      </c>
      <c r="P467" s="6">
        <v>16</v>
      </c>
      <c r="Q467" s="4" t="s">
        <v>26</v>
      </c>
      <c r="R467" s="4">
        <v>0</v>
      </c>
      <c r="S467" s="6">
        <v>6</v>
      </c>
      <c r="T467" s="6">
        <v>0</v>
      </c>
      <c r="U467" s="6">
        <v>0</v>
      </c>
      <c r="V467" s="6">
        <f>IF(ISERROR(VLOOKUP($S$467,'TAR FIN'!$A$1:$O$85,15,0)),0,VLOOKUP($S$467,'TAR FIN'!$A$1:$O$85,15,0))</f>
        <v>16.64</v>
      </c>
      <c r="W467" s="6">
        <f>IF(ISERROR(VLOOKUP($T$467,'TAR FIN'!$A$1:$O$85,15,0)),0,VLOOKUP($T$467,'TAR FIN'!$A$1:$O$85,15,0))</f>
        <v>0</v>
      </c>
      <c r="X467" s="6">
        <f>IF(ISERROR(VLOOKUP($U$467,'TAR FIN'!$A$1:$O$85,15,0)),0,VLOOKUP($U$467,'TAR FIN'!$A$1:$O$85,15,0))</f>
        <v>0</v>
      </c>
      <c r="Y467" s="6">
        <f ca="1">('TUSD BE'!$AM$10+'TUSD BF'!$AM$10+'TUSD CVA'!$AM$10)*1</f>
        <v>18.371854423657158</v>
      </c>
      <c r="Z467" s="6"/>
      <c r="AA467" s="6"/>
      <c r="AB467" s="6">
        <f>$K$467*$V$467</f>
        <v>26241.280000000002</v>
      </c>
      <c r="AC467" s="6">
        <f>$M$467*$W$467</f>
        <v>0</v>
      </c>
      <c r="AD467" s="6">
        <f>$O$467*$X$467</f>
        <v>0</v>
      </c>
      <c r="AE467" s="6">
        <f ca="1">$K$467*$Y$467</f>
        <v>28972.414426107338</v>
      </c>
      <c r="AF467" s="6">
        <f>$M$467*$Z$467</f>
        <v>0</v>
      </c>
      <c r="AG467" s="6">
        <f>$O$467*$AA$467</f>
        <v>0</v>
      </c>
    </row>
    <row r="468" spans="1:33" ht="11.25" customHeight="1" x14ac:dyDescent="0.25">
      <c r="A468" s="4" t="s">
        <v>28</v>
      </c>
      <c r="B468" s="4" t="s">
        <v>39</v>
      </c>
      <c r="C468" s="4" t="s">
        <v>40</v>
      </c>
      <c r="D468" s="4" t="s">
        <v>45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44501</v>
      </c>
      <c r="J468" s="6">
        <v>110</v>
      </c>
      <c r="K468" s="6">
        <v>110</v>
      </c>
      <c r="L468" s="6">
        <v>0</v>
      </c>
      <c r="M468" s="6">
        <v>0</v>
      </c>
      <c r="N468" s="6">
        <v>0</v>
      </c>
      <c r="O468" s="6">
        <v>0</v>
      </c>
      <c r="P468" s="6">
        <v>1</v>
      </c>
      <c r="Q468" s="4" t="s">
        <v>26</v>
      </c>
      <c r="R468" s="4">
        <v>0</v>
      </c>
      <c r="S468" s="6">
        <v>6</v>
      </c>
      <c r="T468" s="6">
        <v>0</v>
      </c>
      <c r="U468" s="6">
        <v>0</v>
      </c>
      <c r="V468" s="6">
        <f>IF(ISERROR(VLOOKUP($S$468,'TAR FIN'!$A$1:$O$85,15,0)),0,VLOOKUP($S$468,'TAR FIN'!$A$1:$O$85,15,0))</f>
        <v>16.64</v>
      </c>
      <c r="W468" s="6">
        <f>IF(ISERROR(VLOOKUP($T$468,'TAR FIN'!$A$1:$O$85,15,0)),0,VLOOKUP($T$468,'TAR FIN'!$A$1:$O$85,15,0))</f>
        <v>0</v>
      </c>
      <c r="X468" s="6">
        <f>IF(ISERROR(VLOOKUP($U$468,'TAR FIN'!$A$1:$O$85,15,0)),0,VLOOKUP($U$468,'TAR FIN'!$A$1:$O$85,15,0))</f>
        <v>0</v>
      </c>
      <c r="Y468" s="6">
        <f ca="1">('TUSD BE'!$AM$10+'TUSD BF'!$AM$10+'TUSD CVA'!$AM$10)*1</f>
        <v>18.371854423657158</v>
      </c>
      <c r="Z468" s="6"/>
      <c r="AA468" s="6"/>
      <c r="AB468" s="6">
        <f>$K$468*$V$468</f>
        <v>1830.4</v>
      </c>
      <c r="AC468" s="6">
        <f>$M$468*$W$468</f>
        <v>0</v>
      </c>
      <c r="AD468" s="6">
        <f>$O$468*$X$468</f>
        <v>0</v>
      </c>
      <c r="AE468" s="6">
        <f ca="1">$K$468*$Y$468</f>
        <v>2020.9039866022874</v>
      </c>
      <c r="AF468" s="6">
        <f>$M$468*$Z$468</f>
        <v>0</v>
      </c>
      <c r="AG468" s="6">
        <f>$O$468*$AA$468</f>
        <v>0</v>
      </c>
    </row>
    <row r="469" spans="1:33" ht="11.25" customHeight="1" x14ac:dyDescent="0.25">
      <c r="A469" s="4" t="s">
        <v>21</v>
      </c>
      <c r="B469" s="4" t="s">
        <v>39</v>
      </c>
      <c r="C469" s="4" t="s">
        <v>40</v>
      </c>
      <c r="D469" s="4" t="s">
        <v>45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44531</v>
      </c>
      <c r="J469" s="6">
        <v>1604</v>
      </c>
      <c r="K469" s="6">
        <v>1604</v>
      </c>
      <c r="L469" s="6">
        <v>0</v>
      </c>
      <c r="M469" s="6">
        <v>0</v>
      </c>
      <c r="N469" s="6">
        <v>0</v>
      </c>
      <c r="O469" s="6">
        <v>0</v>
      </c>
      <c r="P469" s="6">
        <v>16</v>
      </c>
      <c r="Q469" s="4" t="s">
        <v>26</v>
      </c>
      <c r="R469" s="4">
        <v>0</v>
      </c>
      <c r="S469" s="6">
        <v>6</v>
      </c>
      <c r="T469" s="6">
        <v>0</v>
      </c>
      <c r="U469" s="6">
        <v>0</v>
      </c>
      <c r="V469" s="6">
        <f>IF(ISERROR(VLOOKUP($S$469,'TAR FIN'!$A$1:$O$85,15,0)),0,VLOOKUP($S$469,'TAR FIN'!$A$1:$O$85,15,0))</f>
        <v>16.64</v>
      </c>
      <c r="W469" s="6">
        <f>IF(ISERROR(VLOOKUP($T$469,'TAR FIN'!$A$1:$O$85,15,0)),0,VLOOKUP($T$469,'TAR FIN'!$A$1:$O$85,15,0))</f>
        <v>0</v>
      </c>
      <c r="X469" s="6">
        <f>IF(ISERROR(VLOOKUP($U$469,'TAR FIN'!$A$1:$O$85,15,0)),0,VLOOKUP($U$469,'TAR FIN'!$A$1:$O$85,15,0))</f>
        <v>0</v>
      </c>
      <c r="Y469" s="6">
        <f ca="1">('TUSD BE'!$AM$10+'TUSD BF'!$AM$10+'TUSD CVA'!$AM$10)*1</f>
        <v>18.371854423657158</v>
      </c>
      <c r="Z469" s="6"/>
      <c r="AA469" s="6"/>
      <c r="AB469" s="6">
        <f>$K$469*$V$469</f>
        <v>26690.560000000001</v>
      </c>
      <c r="AC469" s="6">
        <f>$M$469*$W$469</f>
        <v>0</v>
      </c>
      <c r="AD469" s="6">
        <f>$O$469*$X$469</f>
        <v>0</v>
      </c>
      <c r="AE469" s="6">
        <f ca="1">$K$469*$Y$469</f>
        <v>29468.454495546081</v>
      </c>
      <c r="AF469" s="6">
        <f>$M$469*$Z$469</f>
        <v>0</v>
      </c>
      <c r="AG469" s="6">
        <f>$O$469*$AA$469</f>
        <v>0</v>
      </c>
    </row>
    <row r="470" spans="1:33" ht="11.25" customHeight="1" x14ac:dyDescent="0.25">
      <c r="A470" s="4" t="s">
        <v>28</v>
      </c>
      <c r="B470" s="4" t="s">
        <v>39</v>
      </c>
      <c r="C470" s="4" t="s">
        <v>40</v>
      </c>
      <c r="D470" s="4" t="s">
        <v>45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44531</v>
      </c>
      <c r="J470" s="6">
        <v>110</v>
      </c>
      <c r="K470" s="6">
        <v>110</v>
      </c>
      <c r="L470" s="6">
        <v>0</v>
      </c>
      <c r="M470" s="6">
        <v>0</v>
      </c>
      <c r="N470" s="6">
        <v>0</v>
      </c>
      <c r="O470" s="6">
        <v>0</v>
      </c>
      <c r="P470" s="6">
        <v>1</v>
      </c>
      <c r="Q470" s="4" t="s">
        <v>26</v>
      </c>
      <c r="R470" s="4">
        <v>0</v>
      </c>
      <c r="S470" s="6">
        <v>6</v>
      </c>
      <c r="T470" s="6">
        <v>0</v>
      </c>
      <c r="U470" s="6">
        <v>0</v>
      </c>
      <c r="V470" s="6">
        <f>IF(ISERROR(VLOOKUP($S$470,'TAR FIN'!$A$1:$O$85,15,0)),0,VLOOKUP($S$470,'TAR FIN'!$A$1:$O$85,15,0))</f>
        <v>16.64</v>
      </c>
      <c r="W470" s="6">
        <f>IF(ISERROR(VLOOKUP($T$470,'TAR FIN'!$A$1:$O$85,15,0)),0,VLOOKUP($T$470,'TAR FIN'!$A$1:$O$85,15,0))</f>
        <v>0</v>
      </c>
      <c r="X470" s="6">
        <f>IF(ISERROR(VLOOKUP($U$470,'TAR FIN'!$A$1:$O$85,15,0)),0,VLOOKUP($U$470,'TAR FIN'!$A$1:$O$85,15,0))</f>
        <v>0</v>
      </c>
      <c r="Y470" s="6">
        <f ca="1">('TUSD BE'!$AM$10+'TUSD BF'!$AM$10+'TUSD CVA'!$AM$10)*1</f>
        <v>18.371854423657158</v>
      </c>
      <c r="Z470" s="6"/>
      <c r="AA470" s="6"/>
      <c r="AB470" s="6">
        <f>$K$470*$V$470</f>
        <v>1830.4</v>
      </c>
      <c r="AC470" s="6">
        <f>$M$470*$W$470</f>
        <v>0</v>
      </c>
      <c r="AD470" s="6">
        <f>$O$470*$X$470</f>
        <v>0</v>
      </c>
      <c r="AE470" s="6">
        <f ca="1">$K$470*$Y$470</f>
        <v>2020.9039866022874</v>
      </c>
      <c r="AF470" s="6">
        <f>$M$470*$Z$470</f>
        <v>0</v>
      </c>
      <c r="AG470" s="6">
        <f>$O$470*$AA$470</f>
        <v>0</v>
      </c>
    </row>
    <row r="471" spans="1:33" ht="11.25" customHeight="1" x14ac:dyDescent="0.25">
      <c r="A471" s="4" t="s">
        <v>21</v>
      </c>
      <c r="B471" s="4" t="s">
        <v>39</v>
      </c>
      <c r="C471" s="4" t="s">
        <v>40</v>
      </c>
      <c r="D471" s="4" t="s">
        <v>45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44562</v>
      </c>
      <c r="J471" s="6">
        <v>1603</v>
      </c>
      <c r="K471" s="6">
        <v>1603</v>
      </c>
      <c r="L471" s="6">
        <v>0</v>
      </c>
      <c r="M471" s="6">
        <v>0</v>
      </c>
      <c r="N471" s="6">
        <v>0</v>
      </c>
      <c r="O471" s="6">
        <v>0</v>
      </c>
      <c r="P471" s="6">
        <v>16</v>
      </c>
      <c r="Q471" s="4" t="s">
        <v>26</v>
      </c>
      <c r="R471" s="4">
        <v>0</v>
      </c>
      <c r="S471" s="6">
        <v>6</v>
      </c>
      <c r="T471" s="6">
        <v>0</v>
      </c>
      <c r="U471" s="6">
        <v>0</v>
      </c>
      <c r="V471" s="6">
        <f>IF(ISERROR(VLOOKUP($S$471,'TAR FIN'!$A$1:$O$85,15,0)),0,VLOOKUP($S$471,'TAR FIN'!$A$1:$O$85,15,0))</f>
        <v>16.64</v>
      </c>
      <c r="W471" s="6">
        <f>IF(ISERROR(VLOOKUP($T$471,'TAR FIN'!$A$1:$O$85,15,0)),0,VLOOKUP($T$471,'TAR FIN'!$A$1:$O$85,15,0))</f>
        <v>0</v>
      </c>
      <c r="X471" s="6">
        <f>IF(ISERROR(VLOOKUP($U$471,'TAR FIN'!$A$1:$O$85,15,0)),0,VLOOKUP($U$471,'TAR FIN'!$A$1:$O$85,15,0))</f>
        <v>0</v>
      </c>
      <c r="Y471" s="6">
        <f ca="1">('TUSD BE'!$AM$10+'TUSD BF'!$AM$10+'TUSD CVA'!$AM$10)*1</f>
        <v>18.371854423657158</v>
      </c>
      <c r="Z471" s="6"/>
      <c r="AA471" s="6"/>
      <c r="AB471" s="6">
        <f>$K$471*$V$471</f>
        <v>26673.920000000002</v>
      </c>
      <c r="AC471" s="6">
        <f>$M$471*$W$471</f>
        <v>0</v>
      </c>
      <c r="AD471" s="6">
        <f>$O$471*$X$471</f>
        <v>0</v>
      </c>
      <c r="AE471" s="6">
        <f ca="1">$K$471*$Y$471</f>
        <v>29450.082641122426</v>
      </c>
      <c r="AF471" s="6">
        <f>$M$471*$Z$471</f>
        <v>0</v>
      </c>
      <c r="AG471" s="6">
        <f>$O$471*$AA$471</f>
        <v>0</v>
      </c>
    </row>
    <row r="472" spans="1:33" ht="11.25" customHeight="1" x14ac:dyDescent="0.25">
      <c r="A472" s="4" t="s">
        <v>28</v>
      </c>
      <c r="B472" s="4" t="s">
        <v>39</v>
      </c>
      <c r="C472" s="4" t="s">
        <v>40</v>
      </c>
      <c r="D472" s="4" t="s">
        <v>45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44562</v>
      </c>
      <c r="J472" s="6">
        <v>110</v>
      </c>
      <c r="K472" s="6">
        <v>110</v>
      </c>
      <c r="L472" s="6">
        <v>0</v>
      </c>
      <c r="M472" s="6">
        <v>0</v>
      </c>
      <c r="N472" s="6">
        <v>0</v>
      </c>
      <c r="O472" s="6">
        <v>0</v>
      </c>
      <c r="P472" s="6">
        <v>1</v>
      </c>
      <c r="Q472" s="4" t="s">
        <v>26</v>
      </c>
      <c r="R472" s="4">
        <v>0</v>
      </c>
      <c r="S472" s="6">
        <v>6</v>
      </c>
      <c r="T472" s="6">
        <v>0</v>
      </c>
      <c r="U472" s="6">
        <v>0</v>
      </c>
      <c r="V472" s="6">
        <f>IF(ISERROR(VLOOKUP($S$472,'TAR FIN'!$A$1:$O$85,15,0)),0,VLOOKUP($S$472,'TAR FIN'!$A$1:$O$85,15,0))</f>
        <v>16.64</v>
      </c>
      <c r="W472" s="6">
        <f>IF(ISERROR(VLOOKUP($T$472,'TAR FIN'!$A$1:$O$85,15,0)),0,VLOOKUP($T$472,'TAR FIN'!$A$1:$O$85,15,0))</f>
        <v>0</v>
      </c>
      <c r="X472" s="6">
        <f>IF(ISERROR(VLOOKUP($U$472,'TAR FIN'!$A$1:$O$85,15,0)),0,VLOOKUP($U$472,'TAR FIN'!$A$1:$O$85,15,0))</f>
        <v>0</v>
      </c>
      <c r="Y472" s="6">
        <f ca="1">('TUSD BE'!$AM$10+'TUSD BF'!$AM$10+'TUSD CVA'!$AM$10)*1</f>
        <v>18.371854423657158</v>
      </c>
      <c r="Z472" s="6"/>
      <c r="AA472" s="6"/>
      <c r="AB472" s="6">
        <f>$K$472*$V$472</f>
        <v>1830.4</v>
      </c>
      <c r="AC472" s="6">
        <f>$M$472*$W$472</f>
        <v>0</v>
      </c>
      <c r="AD472" s="6">
        <f>$O$472*$X$472</f>
        <v>0</v>
      </c>
      <c r="AE472" s="6">
        <f ca="1">$K$472*$Y$472</f>
        <v>2020.9039866022874</v>
      </c>
      <c r="AF472" s="6">
        <f>$M$472*$Z$472</f>
        <v>0</v>
      </c>
      <c r="AG472" s="6">
        <f>$O$472*$AA$472</f>
        <v>0</v>
      </c>
    </row>
    <row r="473" spans="1:33" ht="11.25" customHeight="1" x14ac:dyDescent="0.25">
      <c r="A473" s="4" t="s">
        <v>21</v>
      </c>
      <c r="B473" s="4" t="s">
        <v>39</v>
      </c>
      <c r="C473" s="4" t="s">
        <v>40</v>
      </c>
      <c r="D473" s="4" t="s">
        <v>45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44593</v>
      </c>
      <c r="J473" s="6">
        <v>1642</v>
      </c>
      <c r="K473" s="6">
        <v>1642</v>
      </c>
      <c r="L473" s="6">
        <v>0</v>
      </c>
      <c r="M473" s="6">
        <v>0</v>
      </c>
      <c r="N473" s="6">
        <v>0</v>
      </c>
      <c r="O473" s="6">
        <v>0</v>
      </c>
      <c r="P473" s="6">
        <v>16</v>
      </c>
      <c r="Q473" s="4" t="s">
        <v>26</v>
      </c>
      <c r="R473" s="4">
        <v>0</v>
      </c>
      <c r="S473" s="6">
        <v>6</v>
      </c>
      <c r="T473" s="6">
        <v>0</v>
      </c>
      <c r="U473" s="6">
        <v>0</v>
      </c>
      <c r="V473" s="6">
        <f>IF(ISERROR(VLOOKUP($S$473,'TAR FIN'!$A$1:$O$85,15,0)),0,VLOOKUP($S$473,'TAR FIN'!$A$1:$O$85,15,0))</f>
        <v>16.64</v>
      </c>
      <c r="W473" s="6">
        <f>IF(ISERROR(VLOOKUP($T$473,'TAR FIN'!$A$1:$O$85,15,0)),0,VLOOKUP($T$473,'TAR FIN'!$A$1:$O$85,15,0))</f>
        <v>0</v>
      </c>
      <c r="X473" s="6">
        <f>IF(ISERROR(VLOOKUP($U$473,'TAR FIN'!$A$1:$O$85,15,0)),0,VLOOKUP($U$473,'TAR FIN'!$A$1:$O$85,15,0))</f>
        <v>0</v>
      </c>
      <c r="Y473" s="6">
        <f ca="1">('TUSD BE'!$AM$10+'TUSD BF'!$AM$10+'TUSD CVA'!$AM$10)*1</f>
        <v>18.371854423657158</v>
      </c>
      <c r="Z473" s="6"/>
      <c r="AA473" s="6"/>
      <c r="AB473" s="6">
        <f>$K$473*$V$473</f>
        <v>27322.880000000001</v>
      </c>
      <c r="AC473" s="6">
        <f>$M$473*$W$473</f>
        <v>0</v>
      </c>
      <c r="AD473" s="6">
        <f>$O$473*$X$473</f>
        <v>0</v>
      </c>
      <c r="AE473" s="6">
        <f ca="1">$K$473*$Y$473</f>
        <v>30166.584963645055</v>
      </c>
      <c r="AF473" s="6">
        <f>$M$473*$Z$473</f>
        <v>0</v>
      </c>
      <c r="AG473" s="6">
        <f>$O$473*$AA$473</f>
        <v>0</v>
      </c>
    </row>
    <row r="474" spans="1:33" ht="11.25" customHeight="1" x14ac:dyDescent="0.25">
      <c r="A474" s="4" t="s">
        <v>28</v>
      </c>
      <c r="B474" s="4" t="s">
        <v>39</v>
      </c>
      <c r="C474" s="4" t="s">
        <v>40</v>
      </c>
      <c r="D474" s="4" t="s">
        <v>45</v>
      </c>
      <c r="E474" s="4" t="s">
        <v>25</v>
      </c>
      <c r="F474" s="4" t="s">
        <v>25</v>
      </c>
      <c r="G474" s="4" t="s">
        <v>25</v>
      </c>
      <c r="H474" s="4" t="s">
        <v>25</v>
      </c>
      <c r="I474" s="5">
        <v>44593</v>
      </c>
      <c r="J474" s="6">
        <v>110</v>
      </c>
      <c r="K474" s="6">
        <v>110</v>
      </c>
      <c r="L474" s="6">
        <v>0</v>
      </c>
      <c r="M474" s="6">
        <v>0</v>
      </c>
      <c r="N474" s="6">
        <v>0</v>
      </c>
      <c r="O474" s="6">
        <v>0</v>
      </c>
      <c r="P474" s="6">
        <v>1</v>
      </c>
      <c r="Q474" s="4" t="s">
        <v>26</v>
      </c>
      <c r="R474" s="4">
        <v>0</v>
      </c>
      <c r="S474" s="6">
        <v>6</v>
      </c>
      <c r="T474" s="6">
        <v>0</v>
      </c>
      <c r="U474" s="6">
        <v>0</v>
      </c>
      <c r="V474" s="6">
        <f>IF(ISERROR(VLOOKUP($S$474,'TAR FIN'!$A$1:$O$85,15,0)),0,VLOOKUP($S$474,'TAR FIN'!$A$1:$O$85,15,0))</f>
        <v>16.64</v>
      </c>
      <c r="W474" s="6">
        <f>IF(ISERROR(VLOOKUP($T$474,'TAR FIN'!$A$1:$O$85,15,0)),0,VLOOKUP($T$474,'TAR FIN'!$A$1:$O$85,15,0))</f>
        <v>0</v>
      </c>
      <c r="X474" s="6">
        <f>IF(ISERROR(VLOOKUP($U$474,'TAR FIN'!$A$1:$O$85,15,0)),0,VLOOKUP($U$474,'TAR FIN'!$A$1:$O$85,15,0))</f>
        <v>0</v>
      </c>
      <c r="Y474" s="6">
        <f ca="1">('TUSD BE'!$AM$10+'TUSD BF'!$AM$10+'TUSD CVA'!$AM$10)*1</f>
        <v>18.371854423657158</v>
      </c>
      <c r="Z474" s="6"/>
      <c r="AA474" s="6"/>
      <c r="AB474" s="6">
        <f>$K$474*$V$474</f>
        <v>1830.4</v>
      </c>
      <c r="AC474" s="6">
        <f>$M$474*$W$474</f>
        <v>0</v>
      </c>
      <c r="AD474" s="6">
        <f>$O$474*$X$474</f>
        <v>0</v>
      </c>
      <c r="AE474" s="6">
        <f ca="1">$K$474*$Y$474</f>
        <v>2020.9039866022874</v>
      </c>
      <c r="AF474" s="6">
        <f>$M$474*$Z$474</f>
        <v>0</v>
      </c>
      <c r="AG474" s="6">
        <f>$O$474*$AA$474</f>
        <v>0</v>
      </c>
    </row>
    <row r="475" spans="1:33" ht="11.25" customHeight="1" x14ac:dyDescent="0.25">
      <c r="A475" s="4" t="s">
        <v>21</v>
      </c>
      <c r="B475" s="4" t="s">
        <v>39</v>
      </c>
      <c r="C475" s="4" t="s">
        <v>40</v>
      </c>
      <c r="D475" s="4" t="s">
        <v>45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44621</v>
      </c>
      <c r="J475" s="6">
        <v>1664</v>
      </c>
      <c r="K475" s="6">
        <v>1664</v>
      </c>
      <c r="L475" s="6">
        <v>0</v>
      </c>
      <c r="M475" s="6">
        <v>0</v>
      </c>
      <c r="N475" s="6">
        <v>0</v>
      </c>
      <c r="O475" s="6">
        <v>0</v>
      </c>
      <c r="P475" s="6">
        <v>16</v>
      </c>
      <c r="Q475" s="4" t="s">
        <v>26</v>
      </c>
      <c r="R475" s="4">
        <v>0</v>
      </c>
      <c r="S475" s="6">
        <v>6</v>
      </c>
      <c r="T475" s="6">
        <v>0</v>
      </c>
      <c r="U475" s="6">
        <v>0</v>
      </c>
      <c r="V475" s="6">
        <f>IF(ISERROR(VLOOKUP($S$475,'TAR FIN'!$A$1:$O$85,15,0)),0,VLOOKUP($S$475,'TAR FIN'!$A$1:$O$85,15,0))</f>
        <v>16.64</v>
      </c>
      <c r="W475" s="6">
        <f>IF(ISERROR(VLOOKUP($T$475,'TAR FIN'!$A$1:$O$85,15,0)),0,VLOOKUP($T$475,'TAR FIN'!$A$1:$O$85,15,0))</f>
        <v>0</v>
      </c>
      <c r="X475" s="6">
        <f>IF(ISERROR(VLOOKUP($U$475,'TAR FIN'!$A$1:$O$85,15,0)),0,VLOOKUP($U$475,'TAR FIN'!$A$1:$O$85,15,0))</f>
        <v>0</v>
      </c>
      <c r="Y475" s="6">
        <f ca="1">('TUSD BE'!$AM$10+'TUSD BF'!$AM$10+'TUSD CVA'!$AM$10)*1</f>
        <v>18.371854423657158</v>
      </c>
      <c r="Z475" s="6"/>
      <c r="AA475" s="6"/>
      <c r="AB475" s="6">
        <f>$K$475*$V$475</f>
        <v>27688.959999999999</v>
      </c>
      <c r="AC475" s="6">
        <f>$M$475*$W$475</f>
        <v>0</v>
      </c>
      <c r="AD475" s="6">
        <f>$O$475*$X$475</f>
        <v>0</v>
      </c>
      <c r="AE475" s="6">
        <f ca="1">$K$475*$Y$475</f>
        <v>30570.765760965511</v>
      </c>
      <c r="AF475" s="6">
        <f>$M$475*$Z$475</f>
        <v>0</v>
      </c>
      <c r="AG475" s="6">
        <f>$O$475*$AA$475</f>
        <v>0</v>
      </c>
    </row>
    <row r="476" spans="1:33" ht="11.25" customHeight="1" x14ac:dyDescent="0.25">
      <c r="A476" s="4" t="s">
        <v>28</v>
      </c>
      <c r="B476" s="4" t="s">
        <v>39</v>
      </c>
      <c r="C476" s="4" t="s">
        <v>40</v>
      </c>
      <c r="D476" s="4" t="s">
        <v>45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44621</v>
      </c>
      <c r="J476" s="6">
        <v>110</v>
      </c>
      <c r="K476" s="6">
        <v>110</v>
      </c>
      <c r="L476" s="6">
        <v>0</v>
      </c>
      <c r="M476" s="6">
        <v>0</v>
      </c>
      <c r="N476" s="6">
        <v>0</v>
      </c>
      <c r="O476" s="6">
        <v>0</v>
      </c>
      <c r="P476" s="6">
        <v>1</v>
      </c>
      <c r="Q476" s="4" t="s">
        <v>26</v>
      </c>
      <c r="R476" s="4">
        <v>0</v>
      </c>
      <c r="S476" s="6">
        <v>6</v>
      </c>
      <c r="T476" s="6">
        <v>0</v>
      </c>
      <c r="U476" s="6">
        <v>0</v>
      </c>
      <c r="V476" s="6">
        <f>IF(ISERROR(VLOOKUP($S$476,'TAR FIN'!$A$1:$O$85,15,0)),0,VLOOKUP($S$476,'TAR FIN'!$A$1:$O$85,15,0))</f>
        <v>16.64</v>
      </c>
      <c r="W476" s="6">
        <f>IF(ISERROR(VLOOKUP($T$476,'TAR FIN'!$A$1:$O$85,15,0)),0,VLOOKUP($T$476,'TAR FIN'!$A$1:$O$85,15,0))</f>
        <v>0</v>
      </c>
      <c r="X476" s="6">
        <f>IF(ISERROR(VLOOKUP($U$476,'TAR FIN'!$A$1:$O$85,15,0)),0,VLOOKUP($U$476,'TAR FIN'!$A$1:$O$85,15,0))</f>
        <v>0</v>
      </c>
      <c r="Y476" s="6">
        <f ca="1">('TUSD BE'!$AM$10+'TUSD BF'!$AM$10+'TUSD CVA'!$AM$10)*1</f>
        <v>18.371854423657158</v>
      </c>
      <c r="Z476" s="6"/>
      <c r="AA476" s="6"/>
      <c r="AB476" s="6">
        <f>$K$476*$V$476</f>
        <v>1830.4</v>
      </c>
      <c r="AC476" s="6">
        <f>$M$476*$W$476</f>
        <v>0</v>
      </c>
      <c r="AD476" s="6">
        <f>$O$476*$X$476</f>
        <v>0</v>
      </c>
      <c r="AE476" s="6">
        <f ca="1">$K$476*$Y$476</f>
        <v>2020.9039866022874</v>
      </c>
      <c r="AF476" s="6">
        <f>$M$476*$Z$476</f>
        <v>0</v>
      </c>
      <c r="AG476" s="6">
        <f>$O$476*$AA$476</f>
        <v>0</v>
      </c>
    </row>
    <row r="477" spans="1:33" ht="11.25" customHeight="1" x14ac:dyDescent="0.25">
      <c r="A477" s="4" t="s">
        <v>21</v>
      </c>
      <c r="B477" s="4" t="s">
        <v>39</v>
      </c>
      <c r="C477" s="4" t="s">
        <v>40</v>
      </c>
      <c r="D477" s="4" t="s">
        <v>45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44652</v>
      </c>
      <c r="J477" s="6">
        <v>1630</v>
      </c>
      <c r="K477" s="6">
        <v>1630</v>
      </c>
      <c r="L477" s="6">
        <v>0</v>
      </c>
      <c r="M477" s="6">
        <v>0</v>
      </c>
      <c r="N477" s="6">
        <v>0</v>
      </c>
      <c r="O477" s="6">
        <v>0</v>
      </c>
      <c r="P477" s="6">
        <v>16</v>
      </c>
      <c r="Q477" s="4" t="s">
        <v>26</v>
      </c>
      <c r="R477" s="4">
        <v>0</v>
      </c>
      <c r="S477" s="6">
        <v>6</v>
      </c>
      <c r="T477" s="6">
        <v>0</v>
      </c>
      <c r="U477" s="6">
        <v>0</v>
      </c>
      <c r="V477" s="6">
        <f>IF(ISERROR(VLOOKUP($S$477,'TAR FIN'!$A$1:$O$85,15,0)),0,VLOOKUP($S$477,'TAR FIN'!$A$1:$O$85,15,0))</f>
        <v>16.64</v>
      </c>
      <c r="W477" s="6">
        <f>IF(ISERROR(VLOOKUP($T$477,'TAR FIN'!$A$1:$O$85,15,0)),0,VLOOKUP($T$477,'TAR FIN'!$A$1:$O$85,15,0))</f>
        <v>0</v>
      </c>
      <c r="X477" s="6">
        <f>IF(ISERROR(VLOOKUP($U$477,'TAR FIN'!$A$1:$O$85,15,0)),0,VLOOKUP($U$477,'TAR FIN'!$A$1:$O$85,15,0))</f>
        <v>0</v>
      </c>
      <c r="Y477" s="6">
        <f ca="1">('TUSD BE'!$AM$10+'TUSD BF'!$AM$10+'TUSD CVA'!$AM$10)*1</f>
        <v>18.371854423657158</v>
      </c>
      <c r="Z477" s="6"/>
      <c r="AA477" s="6"/>
      <c r="AB477" s="6">
        <f>$K$477*$V$477</f>
        <v>27123.200000000001</v>
      </c>
      <c r="AC477" s="6">
        <f>$M$477*$W$477</f>
        <v>0</v>
      </c>
      <c r="AD477" s="6">
        <f>$O$477*$X$477</f>
        <v>0</v>
      </c>
      <c r="AE477" s="6">
        <f ca="1">$K$477*$Y$477</f>
        <v>29946.122710561169</v>
      </c>
      <c r="AF477" s="6">
        <f>$M$477*$Z$477</f>
        <v>0</v>
      </c>
      <c r="AG477" s="6">
        <f>$O$477*$AA$477</f>
        <v>0</v>
      </c>
    </row>
    <row r="478" spans="1:33" ht="11.25" customHeight="1" x14ac:dyDescent="0.25">
      <c r="A478" s="4" t="s">
        <v>28</v>
      </c>
      <c r="B478" s="4" t="s">
        <v>39</v>
      </c>
      <c r="C478" s="4" t="s">
        <v>40</v>
      </c>
      <c r="D478" s="4" t="s">
        <v>45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44652</v>
      </c>
      <c r="J478" s="6">
        <v>110</v>
      </c>
      <c r="K478" s="6">
        <v>110</v>
      </c>
      <c r="L478" s="6">
        <v>0</v>
      </c>
      <c r="M478" s="6">
        <v>0</v>
      </c>
      <c r="N478" s="6">
        <v>0</v>
      </c>
      <c r="O478" s="6">
        <v>0</v>
      </c>
      <c r="P478" s="6">
        <v>1</v>
      </c>
      <c r="Q478" s="4" t="s">
        <v>26</v>
      </c>
      <c r="R478" s="4">
        <v>0</v>
      </c>
      <c r="S478" s="6">
        <v>6</v>
      </c>
      <c r="T478" s="6">
        <v>0</v>
      </c>
      <c r="U478" s="6">
        <v>0</v>
      </c>
      <c r="V478" s="6">
        <f>IF(ISERROR(VLOOKUP($S$478,'TAR FIN'!$A$1:$O$85,15,0)),0,VLOOKUP($S$478,'TAR FIN'!$A$1:$O$85,15,0))</f>
        <v>16.64</v>
      </c>
      <c r="W478" s="6">
        <f>IF(ISERROR(VLOOKUP($T$478,'TAR FIN'!$A$1:$O$85,15,0)),0,VLOOKUP($T$478,'TAR FIN'!$A$1:$O$85,15,0))</f>
        <v>0</v>
      </c>
      <c r="X478" s="6">
        <f>IF(ISERROR(VLOOKUP($U$478,'TAR FIN'!$A$1:$O$85,15,0)),0,VLOOKUP($U$478,'TAR FIN'!$A$1:$O$85,15,0))</f>
        <v>0</v>
      </c>
      <c r="Y478" s="6">
        <f ca="1">('TUSD BE'!$AM$10+'TUSD BF'!$AM$10+'TUSD CVA'!$AM$10)*1</f>
        <v>18.371854423657158</v>
      </c>
      <c r="Z478" s="6"/>
      <c r="AA478" s="6"/>
      <c r="AB478" s="6">
        <f>$K$478*$V$478</f>
        <v>1830.4</v>
      </c>
      <c r="AC478" s="6">
        <f>$M$478*$W$478</f>
        <v>0</v>
      </c>
      <c r="AD478" s="6">
        <f>$O$478*$X$478</f>
        <v>0</v>
      </c>
      <c r="AE478" s="6">
        <f ca="1">$K$478*$Y$478</f>
        <v>2020.9039866022874</v>
      </c>
      <c r="AF478" s="6">
        <f>$M$478*$Z$478</f>
        <v>0</v>
      </c>
      <c r="AG478" s="6">
        <f>$O$478*$AA$478</f>
        <v>0</v>
      </c>
    </row>
    <row r="479" spans="1:33" ht="11.25" customHeight="1" x14ac:dyDescent="0.25">
      <c r="A479" s="4" t="s">
        <v>21</v>
      </c>
      <c r="B479" s="4" t="s">
        <v>39</v>
      </c>
      <c r="C479" s="4" t="s">
        <v>40</v>
      </c>
      <c r="D479" s="4" t="s">
        <v>45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44682</v>
      </c>
      <c r="J479" s="6">
        <v>1584</v>
      </c>
      <c r="K479" s="6">
        <v>1584</v>
      </c>
      <c r="L479" s="6">
        <v>0</v>
      </c>
      <c r="M479" s="6">
        <v>0</v>
      </c>
      <c r="N479" s="6">
        <v>0</v>
      </c>
      <c r="O479" s="6">
        <v>0</v>
      </c>
      <c r="P479" s="6">
        <v>16</v>
      </c>
      <c r="Q479" s="4" t="s">
        <v>26</v>
      </c>
      <c r="R479" s="4">
        <v>0</v>
      </c>
      <c r="S479" s="6">
        <v>6</v>
      </c>
      <c r="T479" s="6">
        <v>0</v>
      </c>
      <c r="U479" s="6">
        <v>0</v>
      </c>
      <c r="V479" s="6">
        <f>IF(ISERROR(VLOOKUP($S$479,'TAR FIN'!$A$1:$O$85,15,0)),0,VLOOKUP($S$479,'TAR FIN'!$A$1:$O$85,15,0))</f>
        <v>16.64</v>
      </c>
      <c r="W479" s="6">
        <f>IF(ISERROR(VLOOKUP($T$479,'TAR FIN'!$A$1:$O$85,15,0)),0,VLOOKUP($T$479,'TAR FIN'!$A$1:$O$85,15,0))</f>
        <v>0</v>
      </c>
      <c r="X479" s="6">
        <f>IF(ISERROR(VLOOKUP($U$479,'TAR FIN'!$A$1:$O$85,15,0)),0,VLOOKUP($U$479,'TAR FIN'!$A$1:$O$85,15,0))</f>
        <v>0</v>
      </c>
      <c r="Y479" s="6">
        <f ca="1">('TUSD BE'!$AM$10+'TUSD BF'!$AM$10+'TUSD CVA'!$AM$10)*1</f>
        <v>18.371854423657158</v>
      </c>
      <c r="Z479" s="6"/>
      <c r="AA479" s="6"/>
      <c r="AB479" s="6">
        <f>$K$479*$V$479</f>
        <v>26357.760000000002</v>
      </c>
      <c r="AC479" s="6">
        <f>$M$479*$W$479</f>
        <v>0</v>
      </c>
      <c r="AD479" s="6">
        <f>$O$479*$X$479</f>
        <v>0</v>
      </c>
      <c r="AE479" s="6">
        <f ca="1">$K$479*$Y$479</f>
        <v>29101.017407072937</v>
      </c>
      <c r="AF479" s="6">
        <f>$M$479*$Z$479</f>
        <v>0</v>
      </c>
      <c r="AG479" s="6">
        <f>$O$479*$AA$479</f>
        <v>0</v>
      </c>
    </row>
    <row r="480" spans="1:33" ht="11.25" customHeight="1" x14ac:dyDescent="0.25">
      <c r="A480" s="4" t="s">
        <v>28</v>
      </c>
      <c r="B480" s="4" t="s">
        <v>39</v>
      </c>
      <c r="C480" s="4" t="s">
        <v>40</v>
      </c>
      <c r="D480" s="4" t="s">
        <v>45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44682</v>
      </c>
      <c r="J480" s="6">
        <v>110</v>
      </c>
      <c r="K480" s="6">
        <v>110</v>
      </c>
      <c r="L480" s="6">
        <v>0</v>
      </c>
      <c r="M480" s="6">
        <v>0</v>
      </c>
      <c r="N480" s="6">
        <v>0</v>
      </c>
      <c r="O480" s="6">
        <v>0</v>
      </c>
      <c r="P480" s="6">
        <v>1</v>
      </c>
      <c r="Q480" s="4" t="s">
        <v>26</v>
      </c>
      <c r="R480" s="4">
        <v>0</v>
      </c>
      <c r="S480" s="6">
        <v>6</v>
      </c>
      <c r="T480" s="6">
        <v>0</v>
      </c>
      <c r="U480" s="6">
        <v>0</v>
      </c>
      <c r="V480" s="6">
        <f>IF(ISERROR(VLOOKUP($S$480,'TAR FIN'!$A$1:$O$85,15,0)),0,VLOOKUP($S$480,'TAR FIN'!$A$1:$O$85,15,0))</f>
        <v>16.64</v>
      </c>
      <c r="W480" s="6">
        <f>IF(ISERROR(VLOOKUP($T$480,'TAR FIN'!$A$1:$O$85,15,0)),0,VLOOKUP($T$480,'TAR FIN'!$A$1:$O$85,15,0))</f>
        <v>0</v>
      </c>
      <c r="X480" s="6">
        <f>IF(ISERROR(VLOOKUP($U$480,'TAR FIN'!$A$1:$O$85,15,0)),0,VLOOKUP($U$480,'TAR FIN'!$A$1:$O$85,15,0))</f>
        <v>0</v>
      </c>
      <c r="Y480" s="6">
        <f ca="1">('TUSD BE'!$AM$10+'TUSD BF'!$AM$10+'TUSD CVA'!$AM$10)*1</f>
        <v>18.371854423657158</v>
      </c>
      <c r="Z480" s="6"/>
      <c r="AA480" s="6"/>
      <c r="AB480" s="6">
        <f>$K$480*$V$480</f>
        <v>1830.4</v>
      </c>
      <c r="AC480" s="6">
        <f>$M$480*$W$480</f>
        <v>0</v>
      </c>
      <c r="AD480" s="6">
        <f>$O$480*$X$480</f>
        <v>0</v>
      </c>
      <c r="AE480" s="6">
        <f ca="1">$K$480*$Y$480</f>
        <v>2020.9039866022874</v>
      </c>
      <c r="AF480" s="6">
        <f>$M$480*$Z$480</f>
        <v>0</v>
      </c>
      <c r="AG480" s="6">
        <f>$O$480*$AA$480</f>
        <v>0</v>
      </c>
    </row>
    <row r="481" spans="1:33" ht="11.25" customHeight="1" x14ac:dyDescent="0.25">
      <c r="A481" s="4" t="s">
        <v>21</v>
      </c>
      <c r="B481" s="4" t="s">
        <v>39</v>
      </c>
      <c r="C481" s="4" t="s">
        <v>40</v>
      </c>
      <c r="D481" s="4" t="s">
        <v>45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44713</v>
      </c>
      <c r="J481" s="6">
        <v>1526</v>
      </c>
      <c r="K481" s="6">
        <v>1526</v>
      </c>
      <c r="L481" s="6">
        <v>0</v>
      </c>
      <c r="M481" s="6">
        <v>0</v>
      </c>
      <c r="N481" s="6">
        <v>0</v>
      </c>
      <c r="O481" s="6">
        <v>0</v>
      </c>
      <c r="P481" s="6">
        <v>16</v>
      </c>
      <c r="Q481" s="4" t="s">
        <v>26</v>
      </c>
      <c r="R481" s="4">
        <v>0</v>
      </c>
      <c r="S481" s="6">
        <v>6</v>
      </c>
      <c r="T481" s="6">
        <v>0</v>
      </c>
      <c r="U481" s="6">
        <v>0</v>
      </c>
      <c r="V481" s="6">
        <f>IF(ISERROR(VLOOKUP($S$481,'TAR FIN'!$A$1:$O$85,15,0)),0,VLOOKUP($S$481,'TAR FIN'!$A$1:$O$85,15,0))</f>
        <v>16.64</v>
      </c>
      <c r="W481" s="6">
        <f>IF(ISERROR(VLOOKUP($T$481,'TAR FIN'!$A$1:$O$85,15,0)),0,VLOOKUP($T$481,'TAR FIN'!$A$1:$O$85,15,0))</f>
        <v>0</v>
      </c>
      <c r="X481" s="6">
        <f>IF(ISERROR(VLOOKUP($U$481,'TAR FIN'!$A$1:$O$85,15,0)),0,VLOOKUP($U$481,'TAR FIN'!$A$1:$O$85,15,0))</f>
        <v>0</v>
      </c>
      <c r="Y481" s="6">
        <f ca="1">('TUSD BE'!$AM$10+'TUSD BF'!$AM$10+'TUSD CVA'!$AM$10)*1</f>
        <v>18.371854423657158</v>
      </c>
      <c r="Z481" s="6"/>
      <c r="AA481" s="6"/>
      <c r="AB481" s="6">
        <f>$K$481*$V$481</f>
        <v>25392.639999999999</v>
      </c>
      <c r="AC481" s="6">
        <f>$M$481*$W$481</f>
        <v>0</v>
      </c>
      <c r="AD481" s="6">
        <f>$O$481*$X$481</f>
        <v>0</v>
      </c>
      <c r="AE481" s="6">
        <f ca="1">$K$481*$Y$481</f>
        <v>28035.449850500823</v>
      </c>
      <c r="AF481" s="6">
        <f>$M$481*$Z$481</f>
        <v>0</v>
      </c>
      <c r="AG481" s="6">
        <f>$O$481*$AA$481</f>
        <v>0</v>
      </c>
    </row>
    <row r="482" spans="1:33" ht="11.25" customHeight="1" x14ac:dyDescent="0.25">
      <c r="A482" s="4" t="s">
        <v>28</v>
      </c>
      <c r="B482" s="4" t="s">
        <v>39</v>
      </c>
      <c r="C482" s="4" t="s">
        <v>40</v>
      </c>
      <c r="D482" s="4" t="s">
        <v>45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44713</v>
      </c>
      <c r="J482" s="6">
        <v>110</v>
      </c>
      <c r="K482" s="6">
        <v>110</v>
      </c>
      <c r="L482" s="6">
        <v>0</v>
      </c>
      <c r="M482" s="6">
        <v>0</v>
      </c>
      <c r="N482" s="6">
        <v>0</v>
      </c>
      <c r="O482" s="6">
        <v>0</v>
      </c>
      <c r="P482" s="6">
        <v>1</v>
      </c>
      <c r="Q482" s="4" t="s">
        <v>26</v>
      </c>
      <c r="R482" s="4">
        <v>0</v>
      </c>
      <c r="S482" s="6">
        <v>6</v>
      </c>
      <c r="T482" s="6">
        <v>0</v>
      </c>
      <c r="U482" s="6">
        <v>0</v>
      </c>
      <c r="V482" s="6">
        <f>IF(ISERROR(VLOOKUP($S$482,'TAR FIN'!$A$1:$O$85,15,0)),0,VLOOKUP($S$482,'TAR FIN'!$A$1:$O$85,15,0))</f>
        <v>16.64</v>
      </c>
      <c r="W482" s="6">
        <f>IF(ISERROR(VLOOKUP($T$482,'TAR FIN'!$A$1:$O$85,15,0)),0,VLOOKUP($T$482,'TAR FIN'!$A$1:$O$85,15,0))</f>
        <v>0</v>
      </c>
      <c r="X482" s="6">
        <f>IF(ISERROR(VLOOKUP($U$482,'TAR FIN'!$A$1:$O$85,15,0)),0,VLOOKUP($U$482,'TAR FIN'!$A$1:$O$85,15,0))</f>
        <v>0</v>
      </c>
      <c r="Y482" s="6">
        <f ca="1">('TUSD BE'!$AM$10+'TUSD BF'!$AM$10+'TUSD CVA'!$AM$10)*1</f>
        <v>18.371854423657158</v>
      </c>
      <c r="Z482" s="6"/>
      <c r="AA482" s="6"/>
      <c r="AB482" s="6">
        <f>$K$482*$V$482</f>
        <v>1830.4</v>
      </c>
      <c r="AC482" s="6">
        <f>$M$482*$W$482</f>
        <v>0</v>
      </c>
      <c r="AD482" s="6">
        <f>$O$482*$X$482</f>
        <v>0</v>
      </c>
      <c r="AE482" s="6">
        <f ca="1">$K$482*$Y$482</f>
        <v>2020.9039866022874</v>
      </c>
      <c r="AF482" s="6">
        <f>$M$482*$Z$482</f>
        <v>0</v>
      </c>
      <c r="AG482" s="6">
        <f>$O$482*$AA$482</f>
        <v>0</v>
      </c>
    </row>
    <row r="483" spans="1:33" ht="11.25" customHeight="1" x14ac:dyDescent="0.25">
      <c r="A483" s="4" t="s">
        <v>21</v>
      </c>
      <c r="B483" s="4" t="s">
        <v>39</v>
      </c>
      <c r="C483" s="4" t="s">
        <v>40</v>
      </c>
      <c r="D483" s="4" t="s">
        <v>45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44743</v>
      </c>
      <c r="J483" s="6">
        <v>1523</v>
      </c>
      <c r="K483" s="6">
        <v>1523</v>
      </c>
      <c r="L483" s="6">
        <v>0</v>
      </c>
      <c r="M483" s="6">
        <v>0</v>
      </c>
      <c r="N483" s="6">
        <v>0</v>
      </c>
      <c r="O483" s="6">
        <v>0</v>
      </c>
      <c r="P483" s="6">
        <v>16</v>
      </c>
      <c r="Q483" s="4" t="s">
        <v>26</v>
      </c>
      <c r="R483" s="4">
        <v>0</v>
      </c>
      <c r="S483" s="6">
        <v>6</v>
      </c>
      <c r="T483" s="6">
        <v>0</v>
      </c>
      <c r="U483" s="6">
        <v>0</v>
      </c>
      <c r="V483" s="6">
        <f>IF(ISERROR(VLOOKUP($S$483,'TAR FIN'!$A$1:$O$85,15,0)),0,VLOOKUP($S$483,'TAR FIN'!$A$1:$O$85,15,0))</f>
        <v>16.64</v>
      </c>
      <c r="W483" s="6">
        <f>IF(ISERROR(VLOOKUP($T$483,'TAR FIN'!$A$1:$O$85,15,0)),0,VLOOKUP($T$483,'TAR FIN'!$A$1:$O$85,15,0))</f>
        <v>0</v>
      </c>
      <c r="X483" s="6">
        <f>IF(ISERROR(VLOOKUP($U$483,'TAR FIN'!$A$1:$O$85,15,0)),0,VLOOKUP($U$483,'TAR FIN'!$A$1:$O$85,15,0))</f>
        <v>0</v>
      </c>
      <c r="Y483" s="6">
        <f ca="1">('TUSD BE'!$AM$10+'TUSD BF'!$AM$10+'TUSD CVA'!$AM$10)*1</f>
        <v>18.371854423657158</v>
      </c>
      <c r="Z483" s="6"/>
      <c r="AA483" s="6"/>
      <c r="AB483" s="6">
        <f>$K$483*$V$483</f>
        <v>25342.720000000001</v>
      </c>
      <c r="AC483" s="6">
        <f>$M$483*$W$483</f>
        <v>0</v>
      </c>
      <c r="AD483" s="6">
        <f>$O$483*$X$483</f>
        <v>0</v>
      </c>
      <c r="AE483" s="6">
        <f ca="1">$K$483*$Y$483</f>
        <v>27980.334287229853</v>
      </c>
      <c r="AF483" s="6">
        <f>$M$483*$Z$483</f>
        <v>0</v>
      </c>
      <c r="AG483" s="6">
        <f>$O$483*$AA$483</f>
        <v>0</v>
      </c>
    </row>
    <row r="484" spans="1:33" ht="11.25" customHeight="1" x14ac:dyDescent="0.25">
      <c r="A484" s="4" t="s">
        <v>28</v>
      </c>
      <c r="B484" s="4" t="s">
        <v>39</v>
      </c>
      <c r="C484" s="4" t="s">
        <v>40</v>
      </c>
      <c r="D484" s="4" t="s">
        <v>45</v>
      </c>
      <c r="E484" s="4" t="s">
        <v>25</v>
      </c>
      <c r="F484" s="4" t="s">
        <v>25</v>
      </c>
      <c r="G484" s="4" t="s">
        <v>25</v>
      </c>
      <c r="H484" s="4" t="s">
        <v>25</v>
      </c>
      <c r="I484" s="5">
        <v>44743</v>
      </c>
      <c r="J484" s="6">
        <v>110</v>
      </c>
      <c r="K484" s="6">
        <v>110</v>
      </c>
      <c r="L484" s="6">
        <v>0</v>
      </c>
      <c r="M484" s="6">
        <v>0</v>
      </c>
      <c r="N484" s="6">
        <v>0</v>
      </c>
      <c r="O484" s="6">
        <v>0</v>
      </c>
      <c r="P484" s="6">
        <v>1</v>
      </c>
      <c r="Q484" s="4" t="s">
        <v>26</v>
      </c>
      <c r="R484" s="4">
        <v>0</v>
      </c>
      <c r="S484" s="6">
        <v>6</v>
      </c>
      <c r="T484" s="6">
        <v>0</v>
      </c>
      <c r="U484" s="6">
        <v>0</v>
      </c>
      <c r="V484" s="6">
        <f>IF(ISERROR(VLOOKUP($S$484,'TAR FIN'!$A$1:$O$85,15,0)),0,VLOOKUP($S$484,'TAR FIN'!$A$1:$O$85,15,0))</f>
        <v>16.64</v>
      </c>
      <c r="W484" s="6">
        <f>IF(ISERROR(VLOOKUP($T$484,'TAR FIN'!$A$1:$O$85,15,0)),0,VLOOKUP($T$484,'TAR FIN'!$A$1:$O$85,15,0))</f>
        <v>0</v>
      </c>
      <c r="X484" s="6">
        <f>IF(ISERROR(VLOOKUP($U$484,'TAR FIN'!$A$1:$O$85,15,0)),0,VLOOKUP($U$484,'TAR FIN'!$A$1:$O$85,15,0))</f>
        <v>0</v>
      </c>
      <c r="Y484" s="6">
        <f ca="1">('TUSD BE'!$AM$10+'TUSD BF'!$AM$10+'TUSD CVA'!$AM$10)*1</f>
        <v>18.371854423657158</v>
      </c>
      <c r="Z484" s="6"/>
      <c r="AA484" s="6"/>
      <c r="AB484" s="6">
        <f>$K$484*$V$484</f>
        <v>1830.4</v>
      </c>
      <c r="AC484" s="6">
        <f>$M$484*$W$484</f>
        <v>0</v>
      </c>
      <c r="AD484" s="6">
        <f>$O$484*$X$484</f>
        <v>0</v>
      </c>
      <c r="AE484" s="6">
        <f ca="1">$K$484*$Y$484</f>
        <v>2020.9039866022874</v>
      </c>
      <c r="AF484" s="6">
        <f>$M$484*$Z$484</f>
        <v>0</v>
      </c>
      <c r="AG484" s="6">
        <f>$O$484*$AA$484</f>
        <v>0</v>
      </c>
    </row>
    <row r="485" spans="1:33" ht="11.25" customHeight="1" x14ac:dyDescent="0.25">
      <c r="A485" s="4" t="s">
        <v>56</v>
      </c>
      <c r="B485" s="4" t="s">
        <v>39</v>
      </c>
      <c r="C485" s="4" t="s">
        <v>40</v>
      </c>
      <c r="D485" s="4" t="s">
        <v>45</v>
      </c>
      <c r="E485" s="4" t="s">
        <v>25</v>
      </c>
      <c r="F485" s="4" t="s">
        <v>25</v>
      </c>
      <c r="G485" s="4" t="s">
        <v>25</v>
      </c>
      <c r="H485" s="4" t="s">
        <v>25</v>
      </c>
      <c r="I485" s="5">
        <v>44774</v>
      </c>
      <c r="J485" s="6">
        <v>1523</v>
      </c>
      <c r="K485" s="6">
        <v>1523</v>
      </c>
      <c r="L485" s="6">
        <v>0</v>
      </c>
      <c r="M485" s="6">
        <v>0</v>
      </c>
      <c r="N485" s="6">
        <v>0</v>
      </c>
      <c r="O485" s="6">
        <v>0</v>
      </c>
      <c r="P485" s="6">
        <v>16</v>
      </c>
      <c r="Q485" s="4" t="s">
        <v>26</v>
      </c>
      <c r="R485" s="4">
        <v>0</v>
      </c>
      <c r="S485" s="6">
        <v>6</v>
      </c>
      <c r="T485" s="6">
        <v>0</v>
      </c>
      <c r="U485" s="6">
        <v>0</v>
      </c>
      <c r="V485" s="6">
        <f>IF(ISERROR(VLOOKUP($S$485,'TAR FIN'!$A$1:$O$85,15,0)),0,VLOOKUP($S$485,'TAR FIN'!$A$1:$O$85,15,0))</f>
        <v>16.64</v>
      </c>
      <c r="W485" s="6">
        <f>IF(ISERROR(VLOOKUP($T$485,'TAR FIN'!$A$1:$O$85,15,0)),0,VLOOKUP($T$485,'TAR FIN'!$A$1:$O$85,15,0))</f>
        <v>0</v>
      </c>
      <c r="X485" s="6">
        <f>IF(ISERROR(VLOOKUP($U$485,'TAR FIN'!$A$1:$O$85,15,0)),0,VLOOKUP($U$485,'TAR FIN'!$A$1:$O$85,15,0))</f>
        <v>0</v>
      </c>
      <c r="Y485" s="6">
        <f ca="1">('TUSD BE'!$AM$10+'TUSD BF'!$AM$10+'TUSD CVA'!$AM$10)*1</f>
        <v>18.371854423657158</v>
      </c>
      <c r="Z485" s="6"/>
      <c r="AA485" s="6"/>
      <c r="AB485" s="6">
        <f>$K$485*$V$485</f>
        <v>25342.720000000001</v>
      </c>
      <c r="AC485" s="6">
        <f>$M$485*$W$485</f>
        <v>0</v>
      </c>
      <c r="AD485" s="6">
        <f>$O$485*$X$485</f>
        <v>0</v>
      </c>
      <c r="AE485" s="6">
        <f ca="1">$K$485*$Y$485</f>
        <v>27980.334287229853</v>
      </c>
      <c r="AF485" s="6">
        <f>$M$485*$Z$485</f>
        <v>0</v>
      </c>
      <c r="AG485" s="6">
        <f>$O$485*$AA$485</f>
        <v>0</v>
      </c>
    </row>
    <row r="486" spans="1:33" ht="11.25" customHeight="1" x14ac:dyDescent="0.25">
      <c r="A486" s="4" t="s">
        <v>56</v>
      </c>
      <c r="B486" s="4" t="s">
        <v>39</v>
      </c>
      <c r="C486" s="4" t="s">
        <v>40</v>
      </c>
      <c r="D486" s="4" t="s">
        <v>45</v>
      </c>
      <c r="E486" s="4" t="s">
        <v>25</v>
      </c>
      <c r="F486" s="4" t="s">
        <v>25</v>
      </c>
      <c r="G486" s="4" t="s">
        <v>25</v>
      </c>
      <c r="H486" s="4" t="s">
        <v>25</v>
      </c>
      <c r="I486" s="5">
        <v>44774</v>
      </c>
      <c r="J486" s="6">
        <v>110</v>
      </c>
      <c r="K486" s="6">
        <v>110</v>
      </c>
      <c r="L486" s="6">
        <v>0</v>
      </c>
      <c r="M486" s="6">
        <v>0</v>
      </c>
      <c r="N486" s="6">
        <v>0</v>
      </c>
      <c r="O486" s="6">
        <v>0</v>
      </c>
      <c r="P486" s="6">
        <v>1</v>
      </c>
      <c r="Q486" s="4" t="s">
        <v>26</v>
      </c>
      <c r="R486" s="4">
        <v>0</v>
      </c>
      <c r="S486" s="6">
        <v>6</v>
      </c>
      <c r="T486" s="6">
        <v>0</v>
      </c>
      <c r="U486" s="6">
        <v>0</v>
      </c>
      <c r="V486" s="6">
        <f>IF(ISERROR(VLOOKUP($S$486,'TAR FIN'!$A$1:$O$85,15,0)),0,VLOOKUP($S$486,'TAR FIN'!$A$1:$O$85,15,0))</f>
        <v>16.64</v>
      </c>
      <c r="W486" s="6">
        <f>IF(ISERROR(VLOOKUP($T$486,'TAR FIN'!$A$1:$O$85,15,0)),0,VLOOKUP($T$486,'TAR FIN'!$A$1:$O$85,15,0))</f>
        <v>0</v>
      </c>
      <c r="X486" s="6">
        <f>IF(ISERROR(VLOOKUP($U$486,'TAR FIN'!$A$1:$O$85,15,0)),0,VLOOKUP($U$486,'TAR FIN'!$A$1:$O$85,15,0))</f>
        <v>0</v>
      </c>
      <c r="Y486" s="6">
        <f ca="1">('TUSD BE'!$AM$10+'TUSD BF'!$AM$10+'TUSD CVA'!$AM$10)*1</f>
        <v>18.371854423657158</v>
      </c>
      <c r="Z486" s="6"/>
      <c r="AA486" s="6"/>
      <c r="AB486" s="6">
        <f>$K$486*$V$486</f>
        <v>1830.4</v>
      </c>
      <c r="AC486" s="6">
        <f>$M$486*$W$486</f>
        <v>0</v>
      </c>
      <c r="AD486" s="6">
        <f>$O$486*$X$486</f>
        <v>0</v>
      </c>
      <c r="AE486" s="6">
        <f ca="1">$K$486*$Y$486</f>
        <v>2020.9039866022874</v>
      </c>
      <c r="AF486" s="6">
        <f>$M$486*$Z$486</f>
        <v>0</v>
      </c>
      <c r="AG486" s="6">
        <f>$O$486*$AA$486</f>
        <v>0</v>
      </c>
    </row>
    <row r="487" spans="1:33" ht="11.25" customHeight="1" x14ac:dyDescent="0.25">
      <c r="A487" s="4" t="s">
        <v>21</v>
      </c>
      <c r="B487" s="4" t="s">
        <v>39</v>
      </c>
      <c r="C487" s="4" t="s">
        <v>40</v>
      </c>
      <c r="D487" s="4" t="s">
        <v>45</v>
      </c>
      <c r="E487" s="4" t="s">
        <v>25</v>
      </c>
      <c r="F487" s="4" t="s">
        <v>25</v>
      </c>
      <c r="G487" s="4" t="s">
        <v>25</v>
      </c>
      <c r="H487" s="4" t="s">
        <v>34</v>
      </c>
      <c r="I487" s="5">
        <v>44440</v>
      </c>
      <c r="J487" s="6">
        <v>0</v>
      </c>
      <c r="K487" s="6">
        <v>0</v>
      </c>
      <c r="L487" s="6">
        <v>29.747</v>
      </c>
      <c r="M487" s="6">
        <v>29.747</v>
      </c>
      <c r="N487" s="6">
        <v>29.747</v>
      </c>
      <c r="O487" s="6">
        <v>29.747</v>
      </c>
      <c r="P487" s="6">
        <v>0</v>
      </c>
      <c r="Q487" s="4" t="s">
        <v>26</v>
      </c>
      <c r="R487" s="4">
        <v>0</v>
      </c>
      <c r="S487" s="6">
        <v>0</v>
      </c>
      <c r="T487" s="6">
        <v>7</v>
      </c>
      <c r="U487" s="6">
        <v>48</v>
      </c>
      <c r="V487" s="6">
        <f>IF(ISERROR(VLOOKUP($S$487,'TAR FIN'!$A$1:$O$85,15,0)),0,VLOOKUP($S$487,'TAR FIN'!$A$1:$O$85,15,0))</f>
        <v>0</v>
      </c>
      <c r="W487" s="6">
        <f>IF(ISERROR(VLOOKUP($T$487,'TAR FIN'!$A$1:$O$85,15,0)),0,VLOOKUP($T$487,'TAR FIN'!$A$1:$O$85,15,0))</f>
        <v>1326.39</v>
      </c>
      <c r="X487" s="6">
        <f>IF(ISERROR(VLOOKUP($U$487,'TAR FIN'!$A$1:$O$85,15,0)),0,VLOOKUP($U$487,'TAR FIN'!$A$1:$O$85,15,0))</f>
        <v>492.64</v>
      </c>
      <c r="Y487" s="6"/>
      <c r="Z487" s="6">
        <f ca="1">('TUSD BE'!$AM$11+'TUSD BF'!$AM$11+'TUSD CVA'!$AM$11)*1</f>
        <v>1532.0020380763981</v>
      </c>
      <c r="AA487" s="6">
        <f>('TE BE'!$AB$5+'TE BF'!$AB$5+'TE CVA'!$AB$5)*1</f>
        <v>485.87597641853409</v>
      </c>
      <c r="AB487" s="6">
        <f>$K$487*$V$487</f>
        <v>0</v>
      </c>
      <c r="AC487" s="6">
        <f>$M$487*$W$487</f>
        <v>39456.123330000002</v>
      </c>
      <c r="AD487" s="6">
        <f>$O$487*$X$487</f>
        <v>14654.56208</v>
      </c>
      <c r="AE487" s="6">
        <f>$K$487*$Y$487</f>
        <v>0</v>
      </c>
      <c r="AF487" s="6">
        <f ca="1">$M$487*$Z$487</f>
        <v>45572.464626658613</v>
      </c>
      <c r="AG487" s="6">
        <f>$O$487*$AA$487</f>
        <v>14453.352670522134</v>
      </c>
    </row>
    <row r="488" spans="1:33" ht="11.25" customHeight="1" x14ac:dyDescent="0.25">
      <c r="A488" s="4" t="s">
        <v>21</v>
      </c>
      <c r="B488" s="4" t="s">
        <v>39</v>
      </c>
      <c r="C488" s="4" t="s">
        <v>40</v>
      </c>
      <c r="D488" s="4" t="s">
        <v>45</v>
      </c>
      <c r="E488" s="4" t="s">
        <v>25</v>
      </c>
      <c r="F488" s="4" t="s">
        <v>25</v>
      </c>
      <c r="G488" s="4" t="s">
        <v>25</v>
      </c>
      <c r="H488" s="4" t="s">
        <v>34</v>
      </c>
      <c r="I488" s="5">
        <v>44470</v>
      </c>
      <c r="J488" s="6">
        <v>0</v>
      </c>
      <c r="K488" s="6">
        <v>0</v>
      </c>
      <c r="L488" s="6">
        <v>31.172999999999998</v>
      </c>
      <c r="M488" s="6">
        <v>31.172999999999998</v>
      </c>
      <c r="N488" s="6">
        <v>31.172999999999998</v>
      </c>
      <c r="O488" s="6">
        <v>31.172999999999998</v>
      </c>
      <c r="P488" s="6">
        <v>0</v>
      </c>
      <c r="Q488" s="4" t="s">
        <v>26</v>
      </c>
      <c r="R488" s="4">
        <v>0</v>
      </c>
      <c r="S488" s="6">
        <v>0</v>
      </c>
      <c r="T488" s="6">
        <v>7</v>
      </c>
      <c r="U488" s="6">
        <v>48</v>
      </c>
      <c r="V488" s="6">
        <f>IF(ISERROR(VLOOKUP($S$488,'TAR FIN'!$A$1:$O$85,15,0)),0,VLOOKUP($S$488,'TAR FIN'!$A$1:$O$85,15,0))</f>
        <v>0</v>
      </c>
      <c r="W488" s="6">
        <f>IF(ISERROR(VLOOKUP($T$488,'TAR FIN'!$A$1:$O$85,15,0)),0,VLOOKUP($T$488,'TAR FIN'!$A$1:$O$85,15,0))</f>
        <v>1326.39</v>
      </c>
      <c r="X488" s="6">
        <f>IF(ISERROR(VLOOKUP($U$488,'TAR FIN'!$A$1:$O$85,15,0)),0,VLOOKUP($U$488,'TAR FIN'!$A$1:$O$85,15,0))</f>
        <v>492.64</v>
      </c>
      <c r="Y488" s="6"/>
      <c r="Z488" s="6">
        <f ca="1">('TUSD BE'!$AM$11+'TUSD BF'!$AM$11+'TUSD CVA'!$AM$11)*1</f>
        <v>1532.0020380763981</v>
      </c>
      <c r="AA488" s="6">
        <f>('TE BE'!$AB$5+'TE BF'!$AB$5+'TE CVA'!$AB$5)*1</f>
        <v>485.87597641853409</v>
      </c>
      <c r="AB488" s="6">
        <f>$K$488*$V$488</f>
        <v>0</v>
      </c>
      <c r="AC488" s="6">
        <f>$M$488*$W$488</f>
        <v>41347.555469999999</v>
      </c>
      <c r="AD488" s="6">
        <f>$O$488*$X$488</f>
        <v>15357.066719999999</v>
      </c>
      <c r="AE488" s="6">
        <f>$K$488*$Y$488</f>
        <v>0</v>
      </c>
      <c r="AF488" s="6">
        <f ca="1">$M$488*$Z$488</f>
        <v>47757.099532955552</v>
      </c>
      <c r="AG488" s="6">
        <f>$O$488*$AA$488</f>
        <v>15146.211812894962</v>
      </c>
    </row>
    <row r="489" spans="1:33" ht="11.25" customHeight="1" x14ac:dyDescent="0.25">
      <c r="A489" s="4" t="s">
        <v>21</v>
      </c>
      <c r="B489" s="4" t="s">
        <v>39</v>
      </c>
      <c r="C489" s="4" t="s">
        <v>40</v>
      </c>
      <c r="D489" s="4" t="s">
        <v>45</v>
      </c>
      <c r="E489" s="4" t="s">
        <v>25</v>
      </c>
      <c r="F489" s="4" t="s">
        <v>25</v>
      </c>
      <c r="G489" s="4" t="s">
        <v>25</v>
      </c>
      <c r="H489" s="4" t="s">
        <v>34</v>
      </c>
      <c r="I489" s="5">
        <v>44501</v>
      </c>
      <c r="J489" s="6">
        <v>0</v>
      </c>
      <c r="K489" s="6">
        <v>0</v>
      </c>
      <c r="L489" s="6">
        <v>27.193000000000001</v>
      </c>
      <c r="M489" s="6">
        <v>27.193000000000001</v>
      </c>
      <c r="N489" s="6">
        <v>27.193000000000001</v>
      </c>
      <c r="O489" s="6">
        <v>27.193000000000001</v>
      </c>
      <c r="P489" s="6">
        <v>0</v>
      </c>
      <c r="Q489" s="4" t="s">
        <v>26</v>
      </c>
      <c r="R489" s="4">
        <v>0</v>
      </c>
      <c r="S489" s="6">
        <v>0</v>
      </c>
      <c r="T489" s="6">
        <v>7</v>
      </c>
      <c r="U489" s="6">
        <v>48</v>
      </c>
      <c r="V489" s="6">
        <f>IF(ISERROR(VLOOKUP($S$489,'TAR FIN'!$A$1:$O$85,15,0)),0,VLOOKUP($S$489,'TAR FIN'!$A$1:$O$85,15,0))</f>
        <v>0</v>
      </c>
      <c r="W489" s="6">
        <f>IF(ISERROR(VLOOKUP($T$489,'TAR FIN'!$A$1:$O$85,15,0)),0,VLOOKUP($T$489,'TAR FIN'!$A$1:$O$85,15,0))</f>
        <v>1326.39</v>
      </c>
      <c r="X489" s="6">
        <f>IF(ISERROR(VLOOKUP($U$489,'TAR FIN'!$A$1:$O$85,15,0)),0,VLOOKUP($U$489,'TAR FIN'!$A$1:$O$85,15,0))</f>
        <v>492.64</v>
      </c>
      <c r="Y489" s="6"/>
      <c r="Z489" s="6">
        <f ca="1">('TUSD BE'!$AM$11+'TUSD BF'!$AM$11+'TUSD CVA'!$AM$11)*1</f>
        <v>1532.0020380763981</v>
      </c>
      <c r="AA489" s="6">
        <f>('TE BE'!$AB$5+'TE BF'!$AB$5+'TE CVA'!$AB$5)*1</f>
        <v>485.87597641853409</v>
      </c>
      <c r="AB489" s="6">
        <f>$K$489*$V$489</f>
        <v>0</v>
      </c>
      <c r="AC489" s="6">
        <f>$M$489*$W$489</f>
        <v>36068.523270000005</v>
      </c>
      <c r="AD489" s="6">
        <f>$O$489*$X$489</f>
        <v>13396.35952</v>
      </c>
      <c r="AE489" s="6">
        <f>$K$489*$Y$489</f>
        <v>0</v>
      </c>
      <c r="AF489" s="6">
        <f ca="1">$M$489*$Z$489</f>
        <v>41659.731421411496</v>
      </c>
      <c r="AG489" s="6">
        <f>$O$489*$AA$489</f>
        <v>13212.425426749198</v>
      </c>
    </row>
    <row r="490" spans="1:33" ht="11.25" customHeight="1" x14ac:dyDescent="0.25">
      <c r="A490" s="4" t="s">
        <v>21</v>
      </c>
      <c r="B490" s="4" t="s">
        <v>39</v>
      </c>
      <c r="C490" s="4" t="s">
        <v>40</v>
      </c>
      <c r="D490" s="4" t="s">
        <v>45</v>
      </c>
      <c r="E490" s="4" t="s">
        <v>25</v>
      </c>
      <c r="F490" s="4" t="s">
        <v>25</v>
      </c>
      <c r="G490" s="4" t="s">
        <v>25</v>
      </c>
      <c r="H490" s="4" t="s">
        <v>34</v>
      </c>
      <c r="I490" s="5">
        <v>44531</v>
      </c>
      <c r="J490" s="6">
        <v>0</v>
      </c>
      <c r="K490" s="6">
        <v>0</v>
      </c>
      <c r="L490" s="6">
        <v>30.817</v>
      </c>
      <c r="M490" s="6">
        <v>30.817</v>
      </c>
      <c r="N490" s="6">
        <v>30.817</v>
      </c>
      <c r="O490" s="6">
        <v>30.817</v>
      </c>
      <c r="P490" s="6">
        <v>0</v>
      </c>
      <c r="Q490" s="4" t="s">
        <v>26</v>
      </c>
      <c r="R490" s="4">
        <v>0</v>
      </c>
      <c r="S490" s="6">
        <v>0</v>
      </c>
      <c r="T490" s="6">
        <v>7</v>
      </c>
      <c r="U490" s="6">
        <v>48</v>
      </c>
      <c r="V490" s="6">
        <f>IF(ISERROR(VLOOKUP($S$490,'TAR FIN'!$A$1:$O$85,15,0)),0,VLOOKUP($S$490,'TAR FIN'!$A$1:$O$85,15,0))</f>
        <v>0</v>
      </c>
      <c r="W490" s="6">
        <f>IF(ISERROR(VLOOKUP($T$490,'TAR FIN'!$A$1:$O$85,15,0)),0,VLOOKUP($T$490,'TAR FIN'!$A$1:$O$85,15,0))</f>
        <v>1326.39</v>
      </c>
      <c r="X490" s="6">
        <f>IF(ISERROR(VLOOKUP($U$490,'TAR FIN'!$A$1:$O$85,15,0)),0,VLOOKUP($U$490,'TAR FIN'!$A$1:$O$85,15,0))</f>
        <v>492.64</v>
      </c>
      <c r="Y490" s="6"/>
      <c r="Z490" s="6">
        <f ca="1">('TUSD BE'!$AM$11+'TUSD BF'!$AM$11+'TUSD CVA'!$AM$11)*1</f>
        <v>1532.0020380763981</v>
      </c>
      <c r="AA490" s="6">
        <f>('TE BE'!$AB$5+'TE BF'!$AB$5+'TE CVA'!$AB$5)*1</f>
        <v>485.87597641853409</v>
      </c>
      <c r="AB490" s="6">
        <f>$K$490*$V$490</f>
        <v>0</v>
      </c>
      <c r="AC490" s="6">
        <f>$M$490*$W$490</f>
        <v>40875.360630000003</v>
      </c>
      <c r="AD490" s="6">
        <f>$O$490*$X$490</f>
        <v>15181.686879999999</v>
      </c>
      <c r="AE490" s="6">
        <f>$K$490*$Y$490</f>
        <v>0</v>
      </c>
      <c r="AF490" s="6">
        <f ca="1">$M$490*$Z$490</f>
        <v>47211.706807400362</v>
      </c>
      <c r="AG490" s="6">
        <f>$O$490*$AA$490</f>
        <v>14973.239965289966</v>
      </c>
    </row>
    <row r="491" spans="1:33" ht="11.25" customHeight="1" x14ac:dyDescent="0.25">
      <c r="A491" s="4" t="s">
        <v>21</v>
      </c>
      <c r="B491" s="4" t="s">
        <v>39</v>
      </c>
      <c r="C491" s="4" t="s">
        <v>40</v>
      </c>
      <c r="D491" s="4" t="s">
        <v>45</v>
      </c>
      <c r="E491" s="4" t="s">
        <v>25</v>
      </c>
      <c r="F491" s="4" t="s">
        <v>25</v>
      </c>
      <c r="G491" s="4" t="s">
        <v>25</v>
      </c>
      <c r="H491" s="4" t="s">
        <v>34</v>
      </c>
      <c r="I491" s="5">
        <v>44562</v>
      </c>
      <c r="J491" s="6">
        <v>0</v>
      </c>
      <c r="K491" s="6">
        <v>0</v>
      </c>
      <c r="L491" s="6">
        <v>31.513000000000002</v>
      </c>
      <c r="M491" s="6">
        <v>31.513000000000002</v>
      </c>
      <c r="N491" s="6">
        <v>31.513000000000002</v>
      </c>
      <c r="O491" s="6">
        <v>31.513000000000002</v>
      </c>
      <c r="P491" s="6">
        <v>0</v>
      </c>
      <c r="Q491" s="4" t="s">
        <v>26</v>
      </c>
      <c r="R491" s="4">
        <v>0</v>
      </c>
      <c r="S491" s="6">
        <v>0</v>
      </c>
      <c r="T491" s="6">
        <v>7</v>
      </c>
      <c r="U491" s="6">
        <v>48</v>
      </c>
      <c r="V491" s="6">
        <f>IF(ISERROR(VLOOKUP($S$491,'TAR FIN'!$A$1:$O$85,15,0)),0,VLOOKUP($S$491,'TAR FIN'!$A$1:$O$85,15,0))</f>
        <v>0</v>
      </c>
      <c r="W491" s="6">
        <f>IF(ISERROR(VLOOKUP($T$491,'TAR FIN'!$A$1:$O$85,15,0)),0,VLOOKUP($T$491,'TAR FIN'!$A$1:$O$85,15,0))</f>
        <v>1326.39</v>
      </c>
      <c r="X491" s="6">
        <f>IF(ISERROR(VLOOKUP($U$491,'TAR FIN'!$A$1:$O$85,15,0)),0,VLOOKUP($U$491,'TAR FIN'!$A$1:$O$85,15,0))</f>
        <v>492.64</v>
      </c>
      <c r="Y491" s="6"/>
      <c r="Z491" s="6">
        <f ca="1">('TUSD BE'!$AM$11+'TUSD BF'!$AM$11+'TUSD CVA'!$AM$11)*1</f>
        <v>1532.0020380763981</v>
      </c>
      <c r="AA491" s="6">
        <f>('TE BE'!$AB$5+'TE BF'!$AB$5+'TE CVA'!$AB$5)*1</f>
        <v>485.87597641853409</v>
      </c>
      <c r="AB491" s="6">
        <f>$K$491*$V$491</f>
        <v>0</v>
      </c>
      <c r="AC491" s="6">
        <f>$M$491*$W$491</f>
        <v>41798.528070000008</v>
      </c>
      <c r="AD491" s="6">
        <f>$O$491*$X$491</f>
        <v>15524.564319999999</v>
      </c>
      <c r="AE491" s="6">
        <f>$K$491*$Y$491</f>
        <v>0</v>
      </c>
      <c r="AF491" s="6">
        <f ca="1">$M$491*$Z$491</f>
        <v>48277.980225901534</v>
      </c>
      <c r="AG491" s="6">
        <f>$O$491*$AA$491</f>
        <v>15311.409644877265</v>
      </c>
    </row>
    <row r="492" spans="1:33" ht="11.25" customHeight="1" x14ac:dyDescent="0.25">
      <c r="A492" s="4" t="s">
        <v>21</v>
      </c>
      <c r="B492" s="4" t="s">
        <v>39</v>
      </c>
      <c r="C492" s="4" t="s">
        <v>40</v>
      </c>
      <c r="D492" s="4" t="s">
        <v>45</v>
      </c>
      <c r="E492" s="4" t="s">
        <v>25</v>
      </c>
      <c r="F492" s="4" t="s">
        <v>25</v>
      </c>
      <c r="G492" s="4" t="s">
        <v>25</v>
      </c>
      <c r="H492" s="4" t="s">
        <v>34</v>
      </c>
      <c r="I492" s="5">
        <v>44593</v>
      </c>
      <c r="J492" s="6">
        <v>0</v>
      </c>
      <c r="K492" s="6">
        <v>0</v>
      </c>
      <c r="L492" s="6">
        <v>32.475999999999999</v>
      </c>
      <c r="M492" s="6">
        <v>32.475999999999999</v>
      </c>
      <c r="N492" s="6">
        <v>32.475999999999999</v>
      </c>
      <c r="O492" s="6">
        <v>32.475999999999999</v>
      </c>
      <c r="P492" s="6">
        <v>0</v>
      </c>
      <c r="Q492" s="4" t="s">
        <v>26</v>
      </c>
      <c r="R492" s="4">
        <v>0</v>
      </c>
      <c r="S492" s="6">
        <v>0</v>
      </c>
      <c r="T492" s="6">
        <v>7</v>
      </c>
      <c r="U492" s="6">
        <v>48</v>
      </c>
      <c r="V492" s="6">
        <f>IF(ISERROR(VLOOKUP($S$492,'TAR FIN'!$A$1:$O$85,15,0)),0,VLOOKUP($S$492,'TAR FIN'!$A$1:$O$85,15,0))</f>
        <v>0</v>
      </c>
      <c r="W492" s="6">
        <f>IF(ISERROR(VLOOKUP($T$492,'TAR FIN'!$A$1:$O$85,15,0)),0,VLOOKUP($T$492,'TAR FIN'!$A$1:$O$85,15,0))</f>
        <v>1326.39</v>
      </c>
      <c r="X492" s="6">
        <f>IF(ISERROR(VLOOKUP($U$492,'TAR FIN'!$A$1:$O$85,15,0)),0,VLOOKUP($U$492,'TAR FIN'!$A$1:$O$85,15,0))</f>
        <v>492.64</v>
      </c>
      <c r="Y492" s="6"/>
      <c r="Z492" s="6">
        <f ca="1">('TUSD BE'!$AM$11+'TUSD BF'!$AM$11+'TUSD CVA'!$AM$11)*1</f>
        <v>1532.0020380763981</v>
      </c>
      <c r="AA492" s="6">
        <f>('TE BE'!$AB$5+'TE BF'!$AB$5+'TE CVA'!$AB$5)*1</f>
        <v>485.87597641853409</v>
      </c>
      <c r="AB492" s="6">
        <f>$K$492*$V$492</f>
        <v>0</v>
      </c>
      <c r="AC492" s="6">
        <f>$M$492*$W$492</f>
        <v>43075.841639999999</v>
      </c>
      <c r="AD492" s="6">
        <f>$O$492*$X$492</f>
        <v>15998.976639999999</v>
      </c>
      <c r="AE492" s="6">
        <f>$K$492*$Y$492</f>
        <v>0</v>
      </c>
      <c r="AF492" s="6">
        <f ca="1">$M$492*$Z$492</f>
        <v>49753.298188569104</v>
      </c>
      <c r="AG492" s="6">
        <f>$O$492*$AA$492</f>
        <v>15779.308210168312</v>
      </c>
    </row>
    <row r="493" spans="1:33" ht="11.25" customHeight="1" x14ac:dyDescent="0.25">
      <c r="A493" s="4" t="s">
        <v>21</v>
      </c>
      <c r="B493" s="4" t="s">
        <v>39</v>
      </c>
      <c r="C493" s="4" t="s">
        <v>40</v>
      </c>
      <c r="D493" s="4" t="s">
        <v>45</v>
      </c>
      <c r="E493" s="4" t="s">
        <v>25</v>
      </c>
      <c r="F493" s="4" t="s">
        <v>25</v>
      </c>
      <c r="G493" s="4" t="s">
        <v>25</v>
      </c>
      <c r="H493" s="4" t="s">
        <v>34</v>
      </c>
      <c r="I493" s="5">
        <v>44621</v>
      </c>
      <c r="J493" s="6">
        <v>0</v>
      </c>
      <c r="K493" s="6">
        <v>0</v>
      </c>
      <c r="L493" s="6">
        <v>37.331000000000003</v>
      </c>
      <c r="M493" s="6">
        <v>37.331000000000003</v>
      </c>
      <c r="N493" s="6">
        <v>37.331000000000003</v>
      </c>
      <c r="O493" s="6">
        <v>37.331000000000003</v>
      </c>
      <c r="P493" s="6">
        <v>0</v>
      </c>
      <c r="Q493" s="4" t="s">
        <v>26</v>
      </c>
      <c r="R493" s="4">
        <v>0</v>
      </c>
      <c r="S493" s="6">
        <v>0</v>
      </c>
      <c r="T493" s="6">
        <v>7</v>
      </c>
      <c r="U493" s="6">
        <v>48</v>
      </c>
      <c r="V493" s="6">
        <f>IF(ISERROR(VLOOKUP($S$493,'TAR FIN'!$A$1:$O$85,15,0)),0,VLOOKUP($S$493,'TAR FIN'!$A$1:$O$85,15,0))</f>
        <v>0</v>
      </c>
      <c r="W493" s="6">
        <f>IF(ISERROR(VLOOKUP($T$493,'TAR FIN'!$A$1:$O$85,15,0)),0,VLOOKUP($T$493,'TAR FIN'!$A$1:$O$85,15,0))</f>
        <v>1326.39</v>
      </c>
      <c r="X493" s="6">
        <f>IF(ISERROR(VLOOKUP($U$493,'TAR FIN'!$A$1:$O$85,15,0)),0,VLOOKUP($U$493,'TAR FIN'!$A$1:$O$85,15,0))</f>
        <v>492.64</v>
      </c>
      <c r="Y493" s="6"/>
      <c r="Z493" s="6">
        <f ca="1">('TUSD BE'!$AM$11+'TUSD BF'!$AM$11+'TUSD CVA'!$AM$11)*1</f>
        <v>1532.0020380763981</v>
      </c>
      <c r="AA493" s="6">
        <f>('TE BE'!$AB$5+'TE BF'!$AB$5+'TE CVA'!$AB$5)*1</f>
        <v>485.87597641853409</v>
      </c>
      <c r="AB493" s="6">
        <f>$K$493*$V$493</f>
        <v>0</v>
      </c>
      <c r="AC493" s="6">
        <f>$M$493*$W$493</f>
        <v>49515.465090000005</v>
      </c>
      <c r="AD493" s="6">
        <f>$O$493*$X$493</f>
        <v>18390.743840000003</v>
      </c>
      <c r="AE493" s="6">
        <f>$K$493*$Y$493</f>
        <v>0</v>
      </c>
      <c r="AF493" s="6">
        <f ca="1">$M$493*$Z$493</f>
        <v>57191.16808343002</v>
      </c>
      <c r="AG493" s="6">
        <f>$O$493*$AA$493</f>
        <v>18138.236075680299</v>
      </c>
    </row>
    <row r="494" spans="1:33" ht="11.25" customHeight="1" x14ac:dyDescent="0.25">
      <c r="A494" s="4" t="s">
        <v>21</v>
      </c>
      <c r="B494" s="4" t="s">
        <v>39</v>
      </c>
      <c r="C494" s="4" t="s">
        <v>40</v>
      </c>
      <c r="D494" s="4" t="s">
        <v>45</v>
      </c>
      <c r="E494" s="4" t="s">
        <v>25</v>
      </c>
      <c r="F494" s="4" t="s">
        <v>25</v>
      </c>
      <c r="G494" s="4" t="s">
        <v>25</v>
      </c>
      <c r="H494" s="4" t="s">
        <v>34</v>
      </c>
      <c r="I494" s="5">
        <v>44652</v>
      </c>
      <c r="J494" s="6">
        <v>0</v>
      </c>
      <c r="K494" s="6">
        <v>0</v>
      </c>
      <c r="L494" s="6">
        <v>33.877000000000002</v>
      </c>
      <c r="M494" s="6">
        <v>33.877000000000002</v>
      </c>
      <c r="N494" s="6">
        <v>33.877000000000002</v>
      </c>
      <c r="O494" s="6">
        <v>33.877000000000002</v>
      </c>
      <c r="P494" s="6">
        <v>0</v>
      </c>
      <c r="Q494" s="4" t="s">
        <v>26</v>
      </c>
      <c r="R494" s="4">
        <v>0</v>
      </c>
      <c r="S494" s="6">
        <v>0</v>
      </c>
      <c r="T494" s="6">
        <v>7</v>
      </c>
      <c r="U494" s="6">
        <v>48</v>
      </c>
      <c r="V494" s="6">
        <f>IF(ISERROR(VLOOKUP($S$494,'TAR FIN'!$A$1:$O$85,15,0)),0,VLOOKUP($S$494,'TAR FIN'!$A$1:$O$85,15,0))</f>
        <v>0</v>
      </c>
      <c r="W494" s="6">
        <f>IF(ISERROR(VLOOKUP($T$494,'TAR FIN'!$A$1:$O$85,15,0)),0,VLOOKUP($T$494,'TAR FIN'!$A$1:$O$85,15,0))</f>
        <v>1326.39</v>
      </c>
      <c r="X494" s="6">
        <f>IF(ISERROR(VLOOKUP($U$494,'TAR FIN'!$A$1:$O$85,15,0)),0,VLOOKUP($U$494,'TAR FIN'!$A$1:$O$85,15,0))</f>
        <v>492.64</v>
      </c>
      <c r="Y494" s="6"/>
      <c r="Z494" s="6">
        <f ca="1">('TUSD BE'!$AM$11+'TUSD BF'!$AM$11+'TUSD CVA'!$AM$11)*1</f>
        <v>1532.0020380763981</v>
      </c>
      <c r="AA494" s="6">
        <f>('TE BE'!$AB$5+'TE BF'!$AB$5+'TE CVA'!$AB$5)*1</f>
        <v>485.87597641853409</v>
      </c>
      <c r="AB494" s="6">
        <f>$K$494*$V$494</f>
        <v>0</v>
      </c>
      <c r="AC494" s="6">
        <f>$M$494*$W$494</f>
        <v>44934.114030000004</v>
      </c>
      <c r="AD494" s="6">
        <f>$O$494*$X$494</f>
        <v>16689.165280000001</v>
      </c>
      <c r="AE494" s="6">
        <f>$K$494*$Y$494</f>
        <v>0</v>
      </c>
      <c r="AF494" s="6">
        <f ca="1">$M$494*$Z$494</f>
        <v>51899.633043914138</v>
      </c>
      <c r="AG494" s="6">
        <f>$O$494*$AA$494</f>
        <v>16460.020453130681</v>
      </c>
    </row>
    <row r="495" spans="1:33" ht="11.25" customHeight="1" x14ac:dyDescent="0.25">
      <c r="A495" s="4" t="s">
        <v>21</v>
      </c>
      <c r="B495" s="4" t="s">
        <v>39</v>
      </c>
      <c r="C495" s="4" t="s">
        <v>40</v>
      </c>
      <c r="D495" s="4" t="s">
        <v>45</v>
      </c>
      <c r="E495" s="4" t="s">
        <v>25</v>
      </c>
      <c r="F495" s="4" t="s">
        <v>25</v>
      </c>
      <c r="G495" s="4" t="s">
        <v>25</v>
      </c>
      <c r="H495" s="4" t="s">
        <v>34</v>
      </c>
      <c r="I495" s="5">
        <v>44682</v>
      </c>
      <c r="J495" s="6">
        <v>0</v>
      </c>
      <c r="K495" s="6">
        <v>0</v>
      </c>
      <c r="L495" s="6">
        <v>25.931999999999999</v>
      </c>
      <c r="M495" s="6">
        <v>25.931999999999999</v>
      </c>
      <c r="N495" s="6">
        <v>25.931999999999999</v>
      </c>
      <c r="O495" s="6">
        <v>25.931999999999999</v>
      </c>
      <c r="P495" s="6">
        <v>0</v>
      </c>
      <c r="Q495" s="4" t="s">
        <v>26</v>
      </c>
      <c r="R495" s="4">
        <v>0</v>
      </c>
      <c r="S495" s="6">
        <v>0</v>
      </c>
      <c r="T495" s="6">
        <v>7</v>
      </c>
      <c r="U495" s="6">
        <v>48</v>
      </c>
      <c r="V495" s="6">
        <f>IF(ISERROR(VLOOKUP($S$495,'TAR FIN'!$A$1:$O$85,15,0)),0,VLOOKUP($S$495,'TAR FIN'!$A$1:$O$85,15,0))</f>
        <v>0</v>
      </c>
      <c r="W495" s="6">
        <f>IF(ISERROR(VLOOKUP($T$495,'TAR FIN'!$A$1:$O$85,15,0)),0,VLOOKUP($T$495,'TAR FIN'!$A$1:$O$85,15,0))</f>
        <v>1326.39</v>
      </c>
      <c r="X495" s="6">
        <f>IF(ISERROR(VLOOKUP($U$495,'TAR FIN'!$A$1:$O$85,15,0)),0,VLOOKUP($U$495,'TAR FIN'!$A$1:$O$85,15,0))</f>
        <v>492.64</v>
      </c>
      <c r="Y495" s="6"/>
      <c r="Z495" s="6">
        <f ca="1">('TUSD BE'!$AM$11+'TUSD BF'!$AM$11+'TUSD CVA'!$AM$11)*1</f>
        <v>1532.0020380763981</v>
      </c>
      <c r="AA495" s="6">
        <f>('TE BE'!$AB$5+'TE BF'!$AB$5+'TE CVA'!$AB$5)*1</f>
        <v>485.87597641853409</v>
      </c>
      <c r="AB495" s="6">
        <f>$K$495*$V$495</f>
        <v>0</v>
      </c>
      <c r="AC495" s="6">
        <f>$M$495*$W$495</f>
        <v>34395.945480000002</v>
      </c>
      <c r="AD495" s="6">
        <f>$O$495*$X$495</f>
        <v>12775.140479999998</v>
      </c>
      <c r="AE495" s="6">
        <f>$K$495*$Y$495</f>
        <v>0</v>
      </c>
      <c r="AF495" s="6">
        <f ca="1">$M$495*$Z$495</f>
        <v>39727.876851397152</v>
      </c>
      <c r="AG495" s="6">
        <f>$O$495*$AA$495</f>
        <v>12599.735820485426</v>
      </c>
    </row>
    <row r="496" spans="1:33" ht="11.25" customHeight="1" x14ac:dyDescent="0.25">
      <c r="A496" s="4" t="s">
        <v>21</v>
      </c>
      <c r="B496" s="4" t="s">
        <v>39</v>
      </c>
      <c r="C496" s="4" t="s">
        <v>40</v>
      </c>
      <c r="D496" s="4" t="s">
        <v>45</v>
      </c>
      <c r="E496" s="4" t="s">
        <v>25</v>
      </c>
      <c r="F496" s="4" t="s">
        <v>25</v>
      </c>
      <c r="G496" s="4" t="s">
        <v>25</v>
      </c>
      <c r="H496" s="4" t="s">
        <v>34</v>
      </c>
      <c r="I496" s="5">
        <v>44713</v>
      </c>
      <c r="J496" s="6">
        <v>0</v>
      </c>
      <c r="K496" s="6">
        <v>0</v>
      </c>
      <c r="L496" s="6">
        <v>23.073</v>
      </c>
      <c r="M496" s="6">
        <v>23.073</v>
      </c>
      <c r="N496" s="6">
        <v>23.073</v>
      </c>
      <c r="O496" s="6">
        <v>23.073</v>
      </c>
      <c r="P496" s="6">
        <v>0</v>
      </c>
      <c r="Q496" s="4" t="s">
        <v>26</v>
      </c>
      <c r="R496" s="4">
        <v>0</v>
      </c>
      <c r="S496" s="6">
        <v>0</v>
      </c>
      <c r="T496" s="6">
        <v>7</v>
      </c>
      <c r="U496" s="6">
        <v>48</v>
      </c>
      <c r="V496" s="6">
        <f>IF(ISERROR(VLOOKUP($S$496,'TAR FIN'!$A$1:$O$85,15,0)),0,VLOOKUP($S$496,'TAR FIN'!$A$1:$O$85,15,0))</f>
        <v>0</v>
      </c>
      <c r="W496" s="6">
        <f>IF(ISERROR(VLOOKUP($T$496,'TAR FIN'!$A$1:$O$85,15,0)),0,VLOOKUP($T$496,'TAR FIN'!$A$1:$O$85,15,0))</f>
        <v>1326.39</v>
      </c>
      <c r="X496" s="6">
        <f>IF(ISERROR(VLOOKUP($U$496,'TAR FIN'!$A$1:$O$85,15,0)),0,VLOOKUP($U$496,'TAR FIN'!$A$1:$O$85,15,0))</f>
        <v>492.64</v>
      </c>
      <c r="Y496" s="6"/>
      <c r="Z496" s="6">
        <f ca="1">('TUSD BE'!$AM$11+'TUSD BF'!$AM$11+'TUSD CVA'!$AM$11)*1</f>
        <v>1532.0020380763981</v>
      </c>
      <c r="AA496" s="6">
        <f>('TE BE'!$AB$5+'TE BF'!$AB$5+'TE CVA'!$AB$5)*1</f>
        <v>485.87597641853409</v>
      </c>
      <c r="AB496" s="6">
        <f>$K$496*$V$496</f>
        <v>0</v>
      </c>
      <c r="AC496" s="6">
        <f>$M$496*$W$496</f>
        <v>30603.796470000001</v>
      </c>
      <c r="AD496" s="6">
        <f>$O$496*$X$496</f>
        <v>11366.682720000001</v>
      </c>
      <c r="AE496" s="6">
        <f>$K$496*$Y$496</f>
        <v>0</v>
      </c>
      <c r="AF496" s="6">
        <f ca="1">$M$496*$Z$496</f>
        <v>35347.883024536735</v>
      </c>
      <c r="AG496" s="6">
        <f>$O$496*$AA$496</f>
        <v>11210.616403904838</v>
      </c>
    </row>
    <row r="497" spans="1:33" ht="11.25" customHeight="1" x14ac:dyDescent="0.25">
      <c r="A497" s="4" t="s">
        <v>21</v>
      </c>
      <c r="B497" s="4" t="s">
        <v>39</v>
      </c>
      <c r="C497" s="4" t="s">
        <v>40</v>
      </c>
      <c r="D497" s="4" t="s">
        <v>45</v>
      </c>
      <c r="E497" s="4" t="s">
        <v>25</v>
      </c>
      <c r="F497" s="4" t="s">
        <v>25</v>
      </c>
      <c r="G497" s="4" t="s">
        <v>25</v>
      </c>
      <c r="H497" s="4" t="s">
        <v>34</v>
      </c>
      <c r="I497" s="5">
        <v>44743</v>
      </c>
      <c r="J497" s="6">
        <v>0</v>
      </c>
      <c r="K497" s="6">
        <v>0</v>
      </c>
      <c r="L497" s="6">
        <v>22.210999999999999</v>
      </c>
      <c r="M497" s="6">
        <v>22.210999999999999</v>
      </c>
      <c r="N497" s="6">
        <v>22.210999999999999</v>
      </c>
      <c r="O497" s="6">
        <v>22.210999999999999</v>
      </c>
      <c r="P497" s="6">
        <v>0</v>
      </c>
      <c r="Q497" s="4" t="s">
        <v>26</v>
      </c>
      <c r="R497" s="4">
        <v>0</v>
      </c>
      <c r="S497" s="6">
        <v>0</v>
      </c>
      <c r="T497" s="6">
        <v>7</v>
      </c>
      <c r="U497" s="6">
        <v>48</v>
      </c>
      <c r="V497" s="6">
        <f>IF(ISERROR(VLOOKUP($S$497,'TAR FIN'!$A$1:$O$85,15,0)),0,VLOOKUP($S$497,'TAR FIN'!$A$1:$O$85,15,0))</f>
        <v>0</v>
      </c>
      <c r="W497" s="6">
        <f>IF(ISERROR(VLOOKUP($T$497,'TAR FIN'!$A$1:$O$85,15,0)),0,VLOOKUP($T$497,'TAR FIN'!$A$1:$O$85,15,0))</f>
        <v>1326.39</v>
      </c>
      <c r="X497" s="6">
        <f>IF(ISERROR(VLOOKUP($U$497,'TAR FIN'!$A$1:$O$85,15,0)),0,VLOOKUP($U$497,'TAR FIN'!$A$1:$O$85,15,0))</f>
        <v>492.64</v>
      </c>
      <c r="Y497" s="6"/>
      <c r="Z497" s="6">
        <f ca="1">('TUSD BE'!$AM$11+'TUSD BF'!$AM$11+'TUSD CVA'!$AM$11)*1</f>
        <v>1532.0020380763981</v>
      </c>
      <c r="AA497" s="6">
        <f>('TE BE'!$AB$5+'TE BF'!$AB$5+'TE CVA'!$AB$5)*1</f>
        <v>485.87597641853409</v>
      </c>
      <c r="AB497" s="6">
        <f>$K$497*$V$497</f>
        <v>0</v>
      </c>
      <c r="AC497" s="6">
        <f>$M$497*$W$497</f>
        <v>29460.44829</v>
      </c>
      <c r="AD497" s="6">
        <f>$O$497*$X$497</f>
        <v>10942.027039999999</v>
      </c>
      <c r="AE497" s="6">
        <f>$K$497*$Y$497</f>
        <v>0</v>
      </c>
      <c r="AF497" s="6">
        <f ca="1">$M$497*$Z$497</f>
        <v>34027.297267714879</v>
      </c>
      <c r="AG497" s="6">
        <f>$O$497*$AA$497</f>
        <v>10791.791312232061</v>
      </c>
    </row>
    <row r="498" spans="1:33" ht="11.25" customHeight="1" x14ac:dyDescent="0.25">
      <c r="A498" s="4" t="s">
        <v>56</v>
      </c>
      <c r="B498" s="4" t="s">
        <v>39</v>
      </c>
      <c r="C498" s="4" t="s">
        <v>40</v>
      </c>
      <c r="D498" s="4" t="s">
        <v>45</v>
      </c>
      <c r="E498" s="4" t="s">
        <v>25</v>
      </c>
      <c r="F498" s="4" t="s">
        <v>25</v>
      </c>
      <c r="G498" s="4" t="s">
        <v>25</v>
      </c>
      <c r="H498" s="4" t="s">
        <v>34</v>
      </c>
      <c r="I498" s="5">
        <v>44774</v>
      </c>
      <c r="J498" s="6">
        <v>0</v>
      </c>
      <c r="K498" s="6">
        <v>0</v>
      </c>
      <c r="L498" s="6">
        <v>22.210999999999999</v>
      </c>
      <c r="M498" s="6">
        <v>22.210999999999999</v>
      </c>
      <c r="N498" s="6">
        <v>22.210999999999999</v>
      </c>
      <c r="O498" s="6">
        <v>22.210999999999999</v>
      </c>
      <c r="P498" s="6">
        <v>0</v>
      </c>
      <c r="Q498" s="4" t="s">
        <v>26</v>
      </c>
      <c r="R498" s="4">
        <v>0</v>
      </c>
      <c r="S498" s="6">
        <v>0</v>
      </c>
      <c r="T498" s="6">
        <v>7</v>
      </c>
      <c r="U498" s="6">
        <v>48</v>
      </c>
      <c r="V498" s="6">
        <f>IF(ISERROR(VLOOKUP($S$498,'TAR FIN'!$A$1:$O$85,15,0)),0,VLOOKUP($S$498,'TAR FIN'!$A$1:$O$85,15,0))</f>
        <v>0</v>
      </c>
      <c r="W498" s="6">
        <f>IF(ISERROR(VLOOKUP($T$498,'TAR FIN'!$A$1:$O$85,15,0)),0,VLOOKUP($T$498,'TAR FIN'!$A$1:$O$85,15,0))</f>
        <v>1326.39</v>
      </c>
      <c r="X498" s="6">
        <f>IF(ISERROR(VLOOKUP($U$498,'TAR FIN'!$A$1:$O$85,15,0)),0,VLOOKUP($U$498,'TAR FIN'!$A$1:$O$85,15,0))</f>
        <v>492.64</v>
      </c>
      <c r="Y498" s="6"/>
      <c r="Z498" s="6">
        <f ca="1">('TUSD BE'!$AM$11+'TUSD BF'!$AM$11+'TUSD CVA'!$AM$11)*1</f>
        <v>1532.0020380763981</v>
      </c>
      <c r="AA498" s="6">
        <f>('TE BE'!$AB$5+'TE BF'!$AB$5+'TE CVA'!$AB$5)*1</f>
        <v>485.87597641853409</v>
      </c>
      <c r="AB498" s="6">
        <f>$K$498*$V$498</f>
        <v>0</v>
      </c>
      <c r="AC498" s="6">
        <f>$M$498*$W$498</f>
        <v>29460.44829</v>
      </c>
      <c r="AD498" s="6">
        <f>$O$498*$X$498</f>
        <v>10942.027039999999</v>
      </c>
      <c r="AE498" s="6">
        <f>$K$498*$Y$498</f>
        <v>0</v>
      </c>
      <c r="AF498" s="6">
        <f ca="1">$M$498*$Z$498</f>
        <v>34027.297267714879</v>
      </c>
      <c r="AG498" s="6">
        <f>$O$498*$AA$498</f>
        <v>10791.791312232061</v>
      </c>
    </row>
    <row r="499" spans="1:33" ht="11.25" customHeight="1" x14ac:dyDescent="0.25">
      <c r="A499" s="4" t="s">
        <v>21</v>
      </c>
      <c r="B499" s="4" t="s">
        <v>39</v>
      </c>
      <c r="C499" s="4" t="s">
        <v>40</v>
      </c>
      <c r="D499" s="4" t="s">
        <v>49</v>
      </c>
      <c r="E499" s="4" t="s">
        <v>50</v>
      </c>
      <c r="F499" s="4" t="s">
        <v>25</v>
      </c>
      <c r="G499" s="4" t="s">
        <v>25</v>
      </c>
      <c r="H499" s="4" t="s">
        <v>35</v>
      </c>
      <c r="I499" s="5">
        <v>44440</v>
      </c>
      <c r="J499" s="6">
        <v>0</v>
      </c>
      <c r="K499" s="70">
        <v>0</v>
      </c>
      <c r="L499" s="6">
        <v>110.005</v>
      </c>
      <c r="M499" s="70">
        <v>110.005</v>
      </c>
      <c r="N499" s="6">
        <v>110.005</v>
      </c>
      <c r="O499" s="70">
        <v>110.005</v>
      </c>
      <c r="P499" s="6">
        <v>0</v>
      </c>
      <c r="Q499" s="4" t="s">
        <v>26</v>
      </c>
      <c r="R499" s="4">
        <v>0</v>
      </c>
      <c r="S499" s="6">
        <v>0</v>
      </c>
      <c r="T499" s="6">
        <v>8</v>
      </c>
      <c r="U499" s="6">
        <v>49</v>
      </c>
      <c r="V499" s="70">
        <f>IF(ISERROR(VLOOKUP($S$499,'TAR FIN'!$A$1:$O$85,15,0)),0,VLOOKUP($S$499,'TAR FIN'!$A$1:$O$85,15,0))</f>
        <v>0</v>
      </c>
      <c r="W499" s="70">
        <f>IF(ISERROR(VLOOKUP($T$499,'TAR FIN'!$A$1:$O$85,15,0)),0,VLOOKUP($T$499,'TAR FIN'!$A$1:$O$85,15,0))*(1-0.06)</f>
        <v>72.144999999999996</v>
      </c>
      <c r="X499" s="70">
        <f>IF(ISERROR(VLOOKUP($U$499,'TAR FIN'!$A$1:$O$85,15,0)),0,VLOOKUP($U$499,'TAR FIN'!$A$1:$O$85,15,0))*(1-0.06)</f>
        <v>288.65519999999998</v>
      </c>
      <c r="Y499" s="70"/>
      <c r="Z499" s="70">
        <f ca="1">('TUSD BE'!$AM$12+'TUSD BF'!$AM$12+'TUSD CVA'!$AM$12)*1*(1-0.03)</f>
        <v>143.55448214271752</v>
      </c>
      <c r="AA499" s="70">
        <f>('TE BE'!$AB$6+'TE BF'!$AB$6+'TE CVA'!$AB$6)*1*(1-0.03)</f>
        <v>295.72417018043757</v>
      </c>
      <c r="AB499" s="6">
        <f>$K$499*$V$499</f>
        <v>0</v>
      </c>
      <c r="AC499" s="6">
        <f>$M$499*$W$499</f>
        <v>7936.3107249999994</v>
      </c>
      <c r="AD499" s="6">
        <f>$O$499*$X$499</f>
        <v>31753.515275999995</v>
      </c>
      <c r="AE499" s="6">
        <f>$K$499*$Y$499</f>
        <v>0</v>
      </c>
      <c r="AF499" s="6">
        <f ca="1">$M$499*$Z$499</f>
        <v>15791.710808109639</v>
      </c>
      <c r="AG499" s="6">
        <f>$O$499*$AA$499</f>
        <v>32531.137340699035</v>
      </c>
    </row>
    <row r="500" spans="1:33" ht="11.25" customHeight="1" x14ac:dyDescent="0.25">
      <c r="A500" s="4" t="s">
        <v>21</v>
      </c>
      <c r="B500" s="4" t="s">
        <v>39</v>
      </c>
      <c r="C500" s="4" t="s">
        <v>40</v>
      </c>
      <c r="D500" s="4" t="s">
        <v>49</v>
      </c>
      <c r="E500" s="4" t="s">
        <v>50</v>
      </c>
      <c r="F500" s="4" t="s">
        <v>25</v>
      </c>
      <c r="G500" s="4" t="s">
        <v>25</v>
      </c>
      <c r="H500" s="4" t="s">
        <v>35</v>
      </c>
      <c r="I500" s="5">
        <v>44470</v>
      </c>
      <c r="J500" s="6">
        <v>0</v>
      </c>
      <c r="K500" s="70">
        <v>0</v>
      </c>
      <c r="L500" s="6">
        <v>110.5</v>
      </c>
      <c r="M500" s="70">
        <v>110.5</v>
      </c>
      <c r="N500" s="6">
        <v>110.5</v>
      </c>
      <c r="O500" s="70">
        <v>110.5</v>
      </c>
      <c r="P500" s="6">
        <v>0</v>
      </c>
      <c r="Q500" s="4" t="s">
        <v>26</v>
      </c>
      <c r="R500" s="4">
        <v>0</v>
      </c>
      <c r="S500" s="6">
        <v>0</v>
      </c>
      <c r="T500" s="6">
        <v>8</v>
      </c>
      <c r="U500" s="6">
        <v>49</v>
      </c>
      <c r="V500" s="70">
        <f>IF(ISERROR(VLOOKUP($S$500,'TAR FIN'!$A$1:$O$85,15,0)),0,VLOOKUP($S$500,'TAR FIN'!$A$1:$O$85,15,0))</f>
        <v>0</v>
      </c>
      <c r="W500" s="70">
        <f>IF(ISERROR(VLOOKUP($T$500,'TAR FIN'!$A$1:$O$85,15,0)),0,VLOOKUP($T$500,'TAR FIN'!$A$1:$O$85,15,0))*(1-0.06)</f>
        <v>72.144999999999996</v>
      </c>
      <c r="X500" s="70">
        <f>IF(ISERROR(VLOOKUP($U$500,'TAR FIN'!$A$1:$O$85,15,0)),0,VLOOKUP($U$500,'TAR FIN'!$A$1:$O$85,15,0))*(1-0.06)</f>
        <v>288.65519999999998</v>
      </c>
      <c r="Y500" s="70"/>
      <c r="Z500" s="70">
        <f ca="1">('TUSD BE'!$AM$12+'TUSD BF'!$AM$12+'TUSD CVA'!$AM$12)*1*(1-0.03)</f>
        <v>143.55448214271752</v>
      </c>
      <c r="AA500" s="70">
        <f>('TE BE'!$AB$6+'TE BF'!$AB$6+'TE CVA'!$AB$6)*1*(1-0.03)</f>
        <v>295.72417018043757</v>
      </c>
      <c r="AB500" s="6">
        <f>$K$500*$V$500</f>
        <v>0</v>
      </c>
      <c r="AC500" s="6">
        <f>$M$500*$W$500</f>
        <v>7972.0224999999991</v>
      </c>
      <c r="AD500" s="6">
        <f>$O$500*$X$500</f>
        <v>31896.399599999997</v>
      </c>
      <c r="AE500" s="6">
        <f>$K$500*$Y$500</f>
        <v>0</v>
      </c>
      <c r="AF500" s="6">
        <f ca="1">$M$500*$Z$500</f>
        <v>15862.770276770285</v>
      </c>
      <c r="AG500" s="6">
        <f>$O$500*$AA$500</f>
        <v>32677.520804938351</v>
      </c>
    </row>
    <row r="501" spans="1:33" ht="11.25" customHeight="1" x14ac:dyDescent="0.25">
      <c r="A501" s="4" t="s">
        <v>21</v>
      </c>
      <c r="B501" s="4" t="s">
        <v>39</v>
      </c>
      <c r="C501" s="4" t="s">
        <v>40</v>
      </c>
      <c r="D501" s="4" t="s">
        <v>49</v>
      </c>
      <c r="E501" s="4" t="s">
        <v>50</v>
      </c>
      <c r="F501" s="4" t="s">
        <v>25</v>
      </c>
      <c r="G501" s="4" t="s">
        <v>25</v>
      </c>
      <c r="H501" s="4" t="s">
        <v>35</v>
      </c>
      <c r="I501" s="5">
        <v>44501</v>
      </c>
      <c r="J501" s="6">
        <v>0</v>
      </c>
      <c r="K501" s="70">
        <v>0</v>
      </c>
      <c r="L501" s="6">
        <v>134.03100000000001</v>
      </c>
      <c r="M501" s="70">
        <v>134.03100000000001</v>
      </c>
      <c r="N501" s="6">
        <v>134.03100000000001</v>
      </c>
      <c r="O501" s="70">
        <v>134.03100000000001</v>
      </c>
      <c r="P501" s="6">
        <v>0</v>
      </c>
      <c r="Q501" s="4" t="s">
        <v>26</v>
      </c>
      <c r="R501" s="4">
        <v>0</v>
      </c>
      <c r="S501" s="6">
        <v>0</v>
      </c>
      <c r="T501" s="6">
        <v>8</v>
      </c>
      <c r="U501" s="6">
        <v>49</v>
      </c>
      <c r="V501" s="70">
        <f>IF(ISERROR(VLOOKUP($S$501,'TAR FIN'!$A$1:$O$85,15,0)),0,VLOOKUP($S$501,'TAR FIN'!$A$1:$O$85,15,0))</f>
        <v>0</v>
      </c>
      <c r="W501" s="70">
        <f>IF(ISERROR(VLOOKUP($T$501,'TAR FIN'!$A$1:$O$85,15,0)),0,VLOOKUP($T$501,'TAR FIN'!$A$1:$O$85,15,0))*(1-0.06)</f>
        <v>72.144999999999996</v>
      </c>
      <c r="X501" s="70">
        <f>IF(ISERROR(VLOOKUP($U$501,'TAR FIN'!$A$1:$O$85,15,0)),0,VLOOKUP($U$501,'TAR FIN'!$A$1:$O$85,15,0))*(1-0.06)</f>
        <v>288.65519999999998</v>
      </c>
      <c r="Y501" s="70"/>
      <c r="Z501" s="70">
        <f ca="1">('TUSD BE'!$AM$12+'TUSD BF'!$AM$12+'TUSD CVA'!$AM$12)*1*(1-0.03)</f>
        <v>143.55448214271752</v>
      </c>
      <c r="AA501" s="70">
        <f>('TE BE'!$AB$6+'TE BF'!$AB$6+'TE CVA'!$AB$6)*1*(1-0.03)</f>
        <v>295.72417018043757</v>
      </c>
      <c r="AB501" s="6">
        <f>$K$501*$V$501</f>
        <v>0</v>
      </c>
      <c r="AC501" s="6">
        <f>$M$501*$W$501</f>
        <v>9669.6664949999995</v>
      </c>
      <c r="AD501" s="6">
        <f>$O$501*$X$501</f>
        <v>38688.745111199998</v>
      </c>
      <c r="AE501" s="6">
        <f>$K$501*$Y$501</f>
        <v>0</v>
      </c>
      <c r="AF501" s="6">
        <f ca="1">$M$501*$Z$501</f>
        <v>19240.750796070573</v>
      </c>
      <c r="AG501" s="6">
        <f>$O$501*$AA$501</f>
        <v>39636.206253454227</v>
      </c>
    </row>
    <row r="502" spans="1:33" ht="11.25" customHeight="1" x14ac:dyDescent="0.25">
      <c r="A502" s="4" t="s">
        <v>27</v>
      </c>
      <c r="B502" s="4" t="s">
        <v>39</v>
      </c>
      <c r="C502" s="4" t="s">
        <v>40</v>
      </c>
      <c r="D502" s="4" t="s">
        <v>49</v>
      </c>
      <c r="E502" s="4" t="s">
        <v>50</v>
      </c>
      <c r="F502" s="4" t="s">
        <v>25</v>
      </c>
      <c r="G502" s="4" t="s">
        <v>25</v>
      </c>
      <c r="H502" s="4" t="s">
        <v>35</v>
      </c>
      <c r="I502" s="5">
        <v>44501</v>
      </c>
      <c r="J502" s="6">
        <v>0</v>
      </c>
      <c r="K502" s="70">
        <v>0</v>
      </c>
      <c r="L502" s="6">
        <v>28.565000000000001</v>
      </c>
      <c r="M502" s="70">
        <v>28.565000000000001</v>
      </c>
      <c r="N502" s="6">
        <v>28.565000000000001</v>
      </c>
      <c r="O502" s="70">
        <v>28.565000000000001</v>
      </c>
      <c r="P502" s="6">
        <v>0</v>
      </c>
      <c r="Q502" s="4" t="s">
        <v>26</v>
      </c>
      <c r="R502" s="4">
        <v>0</v>
      </c>
      <c r="S502" s="6">
        <v>0</v>
      </c>
      <c r="T502" s="6">
        <v>8</v>
      </c>
      <c r="U502" s="6">
        <v>49</v>
      </c>
      <c r="V502" s="70">
        <f>IF(ISERROR(VLOOKUP($S$502,'TAR FIN'!$A$1:$O$85,15,0)),0,VLOOKUP($S$502,'TAR FIN'!$A$1:$O$85,15,0))</f>
        <v>0</v>
      </c>
      <c r="W502" s="70">
        <f>IF(ISERROR(VLOOKUP($T$502,'TAR FIN'!$A$1:$O$85,15,0)),0,VLOOKUP($T$502,'TAR FIN'!$A$1:$O$85,15,0))*(1-0.06)</f>
        <v>72.144999999999996</v>
      </c>
      <c r="X502" s="70">
        <f>IF(ISERROR(VLOOKUP($U$502,'TAR FIN'!$A$1:$O$85,15,0)),0,VLOOKUP($U$502,'TAR FIN'!$A$1:$O$85,15,0))*(1-0.06)</f>
        <v>288.65519999999998</v>
      </c>
      <c r="Y502" s="70"/>
      <c r="Z502" s="70">
        <f ca="1">('TUSD BE'!$AM$12+'TUSD BF'!$AM$12+'TUSD CVA'!$AM$12)*1*(1-0.03)</f>
        <v>143.55448214271752</v>
      </c>
      <c r="AA502" s="70">
        <f>('TE BE'!$AB$6+'TE BF'!$AB$6+'TE CVA'!$AB$6)*1*(1-0.03)</f>
        <v>295.72417018043757</v>
      </c>
      <c r="AB502" s="6">
        <f>$K$502*$V$502</f>
        <v>0</v>
      </c>
      <c r="AC502" s="6">
        <f>$M$502*$W$502</f>
        <v>2060.8219250000002</v>
      </c>
      <c r="AD502" s="6">
        <f>$O$502*$X$502</f>
        <v>8245.4357880000007</v>
      </c>
      <c r="AE502" s="6">
        <f>$K$502*$Y$502</f>
        <v>0</v>
      </c>
      <c r="AF502" s="6">
        <f ca="1">$M$502*$Z$502</f>
        <v>4100.6337824067259</v>
      </c>
      <c r="AG502" s="6">
        <f>$O$502*$AA$502</f>
        <v>8447.3609212041993</v>
      </c>
    </row>
    <row r="503" spans="1:33" ht="11.25" customHeight="1" x14ac:dyDescent="0.25">
      <c r="A503" s="4" t="s">
        <v>21</v>
      </c>
      <c r="B503" s="4" t="s">
        <v>39</v>
      </c>
      <c r="C503" s="4" t="s">
        <v>40</v>
      </c>
      <c r="D503" s="4" t="s">
        <v>49</v>
      </c>
      <c r="E503" s="4" t="s">
        <v>50</v>
      </c>
      <c r="F503" s="4" t="s">
        <v>25</v>
      </c>
      <c r="G503" s="4" t="s">
        <v>25</v>
      </c>
      <c r="H503" s="4" t="s">
        <v>35</v>
      </c>
      <c r="I503" s="5">
        <v>44531</v>
      </c>
      <c r="J503" s="6">
        <v>0</v>
      </c>
      <c r="K503" s="70">
        <v>0</v>
      </c>
      <c r="L503" s="6">
        <v>134.548</v>
      </c>
      <c r="M503" s="70">
        <v>134.548</v>
      </c>
      <c r="N503" s="6">
        <v>134.548</v>
      </c>
      <c r="O503" s="70">
        <v>134.548</v>
      </c>
      <c r="P503" s="6">
        <v>0</v>
      </c>
      <c r="Q503" s="4" t="s">
        <v>26</v>
      </c>
      <c r="R503" s="4">
        <v>0</v>
      </c>
      <c r="S503" s="6">
        <v>0</v>
      </c>
      <c r="T503" s="6">
        <v>8</v>
      </c>
      <c r="U503" s="6">
        <v>49</v>
      </c>
      <c r="V503" s="70">
        <f>IF(ISERROR(VLOOKUP($S$503,'TAR FIN'!$A$1:$O$85,15,0)),0,VLOOKUP($S$503,'TAR FIN'!$A$1:$O$85,15,0))</f>
        <v>0</v>
      </c>
      <c r="W503" s="70">
        <f>IF(ISERROR(VLOOKUP($T$503,'TAR FIN'!$A$1:$O$85,15,0)),0,VLOOKUP($T$503,'TAR FIN'!$A$1:$O$85,15,0))*(1-0.06)</f>
        <v>72.144999999999996</v>
      </c>
      <c r="X503" s="70">
        <f>IF(ISERROR(VLOOKUP($U$503,'TAR FIN'!$A$1:$O$85,15,0)),0,VLOOKUP($U$503,'TAR FIN'!$A$1:$O$85,15,0))*(1-0.06)</f>
        <v>288.65519999999998</v>
      </c>
      <c r="Y503" s="70"/>
      <c r="Z503" s="70">
        <f ca="1">('TUSD BE'!$AM$12+'TUSD BF'!$AM$12+'TUSD CVA'!$AM$12)*1*(1-0.03)</f>
        <v>143.55448214271752</v>
      </c>
      <c r="AA503" s="70">
        <f>('TE BE'!$AB$6+'TE BF'!$AB$6+'TE CVA'!$AB$6)*1*(1-0.03)</f>
        <v>295.72417018043757</v>
      </c>
      <c r="AB503" s="6">
        <f>$K$503*$V$503</f>
        <v>0</v>
      </c>
      <c r="AC503" s="6">
        <f>$M$503*$W$503</f>
        <v>9706.9654599999994</v>
      </c>
      <c r="AD503" s="6">
        <f>$O$503*$X$503</f>
        <v>38837.9798496</v>
      </c>
      <c r="AE503" s="6">
        <f>$K$503*$Y$503</f>
        <v>0</v>
      </c>
      <c r="AF503" s="6">
        <f ca="1">$M$503*$Z$503</f>
        <v>19314.968463338359</v>
      </c>
      <c r="AG503" s="6">
        <f>$O$503*$AA$503</f>
        <v>39789.095649437513</v>
      </c>
    </row>
    <row r="504" spans="1:33" ht="11.25" customHeight="1" x14ac:dyDescent="0.25">
      <c r="A504" s="4" t="s">
        <v>21</v>
      </c>
      <c r="B504" s="4" t="s">
        <v>39</v>
      </c>
      <c r="C504" s="4" t="s">
        <v>40</v>
      </c>
      <c r="D504" s="4" t="s">
        <v>49</v>
      </c>
      <c r="E504" s="4" t="s">
        <v>50</v>
      </c>
      <c r="F504" s="4" t="s">
        <v>25</v>
      </c>
      <c r="G504" s="4" t="s">
        <v>25</v>
      </c>
      <c r="H504" s="4" t="s">
        <v>35</v>
      </c>
      <c r="I504" s="5">
        <v>44562</v>
      </c>
      <c r="J504" s="6">
        <v>0</v>
      </c>
      <c r="K504" s="70">
        <v>0</v>
      </c>
      <c r="L504" s="6">
        <v>145.012</v>
      </c>
      <c r="M504" s="70">
        <v>145.012</v>
      </c>
      <c r="N504" s="6">
        <v>145.012</v>
      </c>
      <c r="O504" s="70">
        <v>145.012</v>
      </c>
      <c r="P504" s="6">
        <v>0</v>
      </c>
      <c r="Q504" s="4" t="s">
        <v>26</v>
      </c>
      <c r="R504" s="4">
        <v>0</v>
      </c>
      <c r="S504" s="6">
        <v>0</v>
      </c>
      <c r="T504" s="6">
        <v>8</v>
      </c>
      <c r="U504" s="6">
        <v>49</v>
      </c>
      <c r="V504" s="70">
        <f>IF(ISERROR(VLOOKUP($S$504,'TAR FIN'!$A$1:$O$85,15,0)),0,VLOOKUP($S$504,'TAR FIN'!$A$1:$O$85,15,0))</f>
        <v>0</v>
      </c>
      <c r="W504" s="70">
        <f>IF(ISERROR(VLOOKUP($T$504,'TAR FIN'!$A$1:$O$85,15,0)),0,VLOOKUP($T$504,'TAR FIN'!$A$1:$O$85,15,0))*(1-0.06)</f>
        <v>72.144999999999996</v>
      </c>
      <c r="X504" s="70">
        <f>IF(ISERROR(VLOOKUP($U$504,'TAR FIN'!$A$1:$O$85,15,0)),0,VLOOKUP($U$504,'TAR FIN'!$A$1:$O$85,15,0))*(1-0.06)</f>
        <v>288.65519999999998</v>
      </c>
      <c r="Y504" s="70"/>
      <c r="Z504" s="70">
        <f ca="1">('TUSD BE'!$AM$12+'TUSD BF'!$AM$12+'TUSD CVA'!$AM$12)*1*(1-0.03)</f>
        <v>143.55448214271752</v>
      </c>
      <c r="AA504" s="70">
        <f>('TE BE'!$AB$6+'TE BF'!$AB$6+'TE CVA'!$AB$6)*1*(1-0.03)</f>
        <v>295.72417018043757</v>
      </c>
      <c r="AB504" s="6">
        <f>$K$504*$V$504</f>
        <v>0</v>
      </c>
      <c r="AC504" s="6">
        <f>$M$504*$W$504</f>
        <v>10461.890739999999</v>
      </c>
      <c r="AD504" s="6">
        <f>$O$504*$X$504</f>
        <v>41858.467862400001</v>
      </c>
      <c r="AE504" s="6">
        <f>$K$504*$Y$504</f>
        <v>0</v>
      </c>
      <c r="AF504" s="6">
        <f ca="1">$M$504*$Z$504</f>
        <v>20817.122564479752</v>
      </c>
      <c r="AG504" s="6">
        <f>$O$504*$AA$504</f>
        <v>42883.553366205611</v>
      </c>
    </row>
    <row r="505" spans="1:33" ht="11.25" customHeight="1" x14ac:dyDescent="0.25">
      <c r="A505" s="4" t="s">
        <v>21</v>
      </c>
      <c r="B505" s="4" t="s">
        <v>39</v>
      </c>
      <c r="C505" s="4" t="s">
        <v>40</v>
      </c>
      <c r="D505" s="4" t="s">
        <v>49</v>
      </c>
      <c r="E505" s="4" t="s">
        <v>50</v>
      </c>
      <c r="F505" s="4" t="s">
        <v>25</v>
      </c>
      <c r="G505" s="4" t="s">
        <v>25</v>
      </c>
      <c r="H505" s="4" t="s">
        <v>35</v>
      </c>
      <c r="I505" s="5">
        <v>44593</v>
      </c>
      <c r="J505" s="6">
        <v>0</v>
      </c>
      <c r="K505" s="70">
        <v>0</v>
      </c>
      <c r="L505" s="6">
        <v>136.35</v>
      </c>
      <c r="M505" s="70">
        <v>136.35</v>
      </c>
      <c r="N505" s="6">
        <v>136.35</v>
      </c>
      <c r="O505" s="70">
        <v>136.35</v>
      </c>
      <c r="P505" s="6">
        <v>0</v>
      </c>
      <c r="Q505" s="4" t="s">
        <v>26</v>
      </c>
      <c r="R505" s="4">
        <v>0</v>
      </c>
      <c r="S505" s="6">
        <v>0</v>
      </c>
      <c r="T505" s="6">
        <v>8</v>
      </c>
      <c r="U505" s="6">
        <v>49</v>
      </c>
      <c r="V505" s="70">
        <f>IF(ISERROR(VLOOKUP($S$505,'TAR FIN'!$A$1:$O$85,15,0)),0,VLOOKUP($S$505,'TAR FIN'!$A$1:$O$85,15,0))</f>
        <v>0</v>
      </c>
      <c r="W505" s="70">
        <f>IF(ISERROR(VLOOKUP($T$505,'TAR FIN'!$A$1:$O$85,15,0)),0,VLOOKUP($T$505,'TAR FIN'!$A$1:$O$85,15,0))*(1-0.06)</f>
        <v>72.144999999999996</v>
      </c>
      <c r="X505" s="70">
        <f>IF(ISERROR(VLOOKUP($U$505,'TAR FIN'!$A$1:$O$85,15,0)),0,VLOOKUP($U$505,'TAR FIN'!$A$1:$O$85,15,0))*(1-0.06)</f>
        <v>288.65519999999998</v>
      </c>
      <c r="Y505" s="70"/>
      <c r="Z505" s="70">
        <f ca="1">('TUSD BE'!$AM$12+'TUSD BF'!$AM$12+'TUSD CVA'!$AM$12)*1*(1-0.03)</f>
        <v>143.55448214271752</v>
      </c>
      <c r="AA505" s="70">
        <f>('TE BE'!$AB$6+'TE BF'!$AB$6+'TE CVA'!$AB$6)*1*(1-0.03)</f>
        <v>295.72417018043757</v>
      </c>
      <c r="AB505" s="6">
        <f>$K$505*$V$505</f>
        <v>0</v>
      </c>
      <c r="AC505" s="6">
        <f>$M$505*$W$505</f>
        <v>9836.9707499999986</v>
      </c>
      <c r="AD505" s="6">
        <f>$O$505*$X$505</f>
        <v>39358.136519999993</v>
      </c>
      <c r="AE505" s="6">
        <f>$K$505*$Y$505</f>
        <v>0</v>
      </c>
      <c r="AF505" s="6">
        <f ca="1">$M$505*$Z$505</f>
        <v>19573.653640159533</v>
      </c>
      <c r="AG505" s="6">
        <f>$O$505*$AA$505</f>
        <v>40321.990604102662</v>
      </c>
    </row>
    <row r="506" spans="1:33" ht="11.25" customHeight="1" x14ac:dyDescent="0.25">
      <c r="A506" s="4" t="s">
        <v>21</v>
      </c>
      <c r="B506" s="4" t="s">
        <v>39</v>
      </c>
      <c r="C506" s="4" t="s">
        <v>40</v>
      </c>
      <c r="D506" s="4" t="s">
        <v>49</v>
      </c>
      <c r="E506" s="4" t="s">
        <v>50</v>
      </c>
      <c r="F506" s="4" t="s">
        <v>25</v>
      </c>
      <c r="G506" s="4" t="s">
        <v>25</v>
      </c>
      <c r="H506" s="4" t="s">
        <v>35</v>
      </c>
      <c r="I506" s="5">
        <v>44621</v>
      </c>
      <c r="J506" s="6">
        <v>0</v>
      </c>
      <c r="K506" s="70">
        <v>0</v>
      </c>
      <c r="L506" s="6">
        <v>141.87299999999999</v>
      </c>
      <c r="M506" s="70">
        <v>141.87299999999999</v>
      </c>
      <c r="N506" s="6">
        <v>141.87299999999999</v>
      </c>
      <c r="O506" s="70">
        <v>141.87299999999999</v>
      </c>
      <c r="P506" s="6">
        <v>0</v>
      </c>
      <c r="Q506" s="4" t="s">
        <v>26</v>
      </c>
      <c r="R506" s="4">
        <v>0</v>
      </c>
      <c r="S506" s="6">
        <v>0</v>
      </c>
      <c r="T506" s="6">
        <v>8</v>
      </c>
      <c r="U506" s="6">
        <v>49</v>
      </c>
      <c r="V506" s="70">
        <f>IF(ISERROR(VLOOKUP($S$506,'TAR FIN'!$A$1:$O$85,15,0)),0,VLOOKUP($S$506,'TAR FIN'!$A$1:$O$85,15,0))</f>
        <v>0</v>
      </c>
      <c r="W506" s="70">
        <f>IF(ISERROR(VLOOKUP($T$506,'TAR FIN'!$A$1:$O$85,15,0)),0,VLOOKUP($T$506,'TAR FIN'!$A$1:$O$85,15,0))*(1-0.06)</f>
        <v>72.144999999999996</v>
      </c>
      <c r="X506" s="70">
        <f>IF(ISERROR(VLOOKUP($U$506,'TAR FIN'!$A$1:$O$85,15,0)),0,VLOOKUP($U$506,'TAR FIN'!$A$1:$O$85,15,0))*(1-0.06)</f>
        <v>288.65519999999998</v>
      </c>
      <c r="Y506" s="70"/>
      <c r="Z506" s="70">
        <f ca="1">('TUSD BE'!$AM$12+'TUSD BF'!$AM$12+'TUSD CVA'!$AM$12)*1*(1-0.03)</f>
        <v>143.55448214271752</v>
      </c>
      <c r="AA506" s="70">
        <f>('TE BE'!$AB$6+'TE BF'!$AB$6+'TE CVA'!$AB$6)*1*(1-0.03)</f>
        <v>295.72417018043757</v>
      </c>
      <c r="AB506" s="6">
        <f>$K$506*$V$506</f>
        <v>0</v>
      </c>
      <c r="AC506" s="6">
        <f>$M$506*$W$506</f>
        <v>10235.427584999999</v>
      </c>
      <c r="AD506" s="6">
        <f>$O$506*$X$506</f>
        <v>40952.379189599997</v>
      </c>
      <c r="AE506" s="6">
        <f>$K$506*$Y$506</f>
        <v>0</v>
      </c>
      <c r="AF506" s="6">
        <f ca="1">$M$506*$Z$506</f>
        <v>20366.505045033762</v>
      </c>
      <c r="AG506" s="6">
        <f>$O$506*$AA$506</f>
        <v>41955.275196009214</v>
      </c>
    </row>
    <row r="507" spans="1:33" ht="11.25" customHeight="1" x14ac:dyDescent="0.25">
      <c r="A507" s="4" t="s">
        <v>21</v>
      </c>
      <c r="B507" s="4" t="s">
        <v>39</v>
      </c>
      <c r="C507" s="4" t="s">
        <v>40</v>
      </c>
      <c r="D507" s="4" t="s">
        <v>49</v>
      </c>
      <c r="E507" s="4" t="s">
        <v>50</v>
      </c>
      <c r="F507" s="4" t="s">
        <v>25</v>
      </c>
      <c r="G507" s="4" t="s">
        <v>25</v>
      </c>
      <c r="H507" s="4" t="s">
        <v>35</v>
      </c>
      <c r="I507" s="5">
        <v>44652</v>
      </c>
      <c r="J507" s="6">
        <v>0</v>
      </c>
      <c r="K507" s="70">
        <v>0</v>
      </c>
      <c r="L507" s="6">
        <v>138.80799999999999</v>
      </c>
      <c r="M507" s="70">
        <v>138.80799999999999</v>
      </c>
      <c r="N507" s="6">
        <v>138.80799999999999</v>
      </c>
      <c r="O507" s="70">
        <v>138.80799999999999</v>
      </c>
      <c r="P507" s="6">
        <v>0</v>
      </c>
      <c r="Q507" s="4" t="s">
        <v>26</v>
      </c>
      <c r="R507" s="4">
        <v>0</v>
      </c>
      <c r="S507" s="6">
        <v>0</v>
      </c>
      <c r="T507" s="6">
        <v>8</v>
      </c>
      <c r="U507" s="6">
        <v>49</v>
      </c>
      <c r="V507" s="70">
        <f>IF(ISERROR(VLOOKUP($S$507,'TAR FIN'!$A$1:$O$85,15,0)),0,VLOOKUP($S$507,'TAR FIN'!$A$1:$O$85,15,0))</f>
        <v>0</v>
      </c>
      <c r="W507" s="70">
        <f>IF(ISERROR(VLOOKUP($T$507,'TAR FIN'!$A$1:$O$85,15,0)),0,VLOOKUP($T$507,'TAR FIN'!$A$1:$O$85,15,0))*(1-0.06)</f>
        <v>72.144999999999996</v>
      </c>
      <c r="X507" s="70">
        <f>IF(ISERROR(VLOOKUP($U$507,'TAR FIN'!$A$1:$O$85,15,0)),0,VLOOKUP($U$507,'TAR FIN'!$A$1:$O$85,15,0))*(1-0.06)</f>
        <v>288.65519999999998</v>
      </c>
      <c r="Y507" s="70"/>
      <c r="Z507" s="70">
        <f ca="1">('TUSD BE'!$AM$12+'TUSD BF'!$AM$12+'TUSD CVA'!$AM$12)*1*(1-0.03)</f>
        <v>143.55448214271752</v>
      </c>
      <c r="AA507" s="70">
        <f>('TE BE'!$AB$6+'TE BF'!$AB$6+'TE CVA'!$AB$6)*1*(1-0.03)</f>
        <v>295.72417018043757</v>
      </c>
      <c r="AB507" s="6">
        <f>$K$507*$V$507</f>
        <v>0</v>
      </c>
      <c r="AC507" s="6">
        <f>$M$507*$W$507</f>
        <v>10014.303159999999</v>
      </c>
      <c r="AD507" s="6">
        <f>$O$507*$X$507</f>
        <v>40067.651001599996</v>
      </c>
      <c r="AE507" s="6">
        <f>$K$507*$Y$507</f>
        <v>0</v>
      </c>
      <c r="AF507" s="6">
        <f ca="1">$M$507*$Z$507</f>
        <v>19926.510557266331</v>
      </c>
      <c r="AG507" s="6">
        <f>$O$507*$AA$507</f>
        <v>41048.880614406175</v>
      </c>
    </row>
    <row r="508" spans="1:33" ht="11.25" customHeight="1" x14ac:dyDescent="0.25">
      <c r="A508" s="4" t="s">
        <v>21</v>
      </c>
      <c r="B508" s="4" t="s">
        <v>39</v>
      </c>
      <c r="C508" s="4" t="s">
        <v>40</v>
      </c>
      <c r="D508" s="4" t="s">
        <v>49</v>
      </c>
      <c r="E508" s="4" t="s">
        <v>50</v>
      </c>
      <c r="F508" s="4" t="s">
        <v>25</v>
      </c>
      <c r="G508" s="4" t="s">
        <v>25</v>
      </c>
      <c r="H508" s="4" t="s">
        <v>35</v>
      </c>
      <c r="I508" s="5">
        <v>44682</v>
      </c>
      <c r="J508" s="6">
        <v>0</v>
      </c>
      <c r="K508" s="70">
        <v>0</v>
      </c>
      <c r="L508" s="6">
        <v>134.70400000000001</v>
      </c>
      <c r="M508" s="70">
        <v>134.70400000000001</v>
      </c>
      <c r="N508" s="6">
        <v>134.70400000000001</v>
      </c>
      <c r="O508" s="70">
        <v>134.70400000000001</v>
      </c>
      <c r="P508" s="6">
        <v>0</v>
      </c>
      <c r="Q508" s="4" t="s">
        <v>26</v>
      </c>
      <c r="R508" s="4">
        <v>0</v>
      </c>
      <c r="S508" s="6">
        <v>0</v>
      </c>
      <c r="T508" s="6">
        <v>8</v>
      </c>
      <c r="U508" s="6">
        <v>49</v>
      </c>
      <c r="V508" s="70">
        <f>IF(ISERROR(VLOOKUP($S$508,'TAR FIN'!$A$1:$O$85,15,0)),0,VLOOKUP($S$508,'TAR FIN'!$A$1:$O$85,15,0))</f>
        <v>0</v>
      </c>
      <c r="W508" s="70">
        <f>IF(ISERROR(VLOOKUP($T$508,'TAR FIN'!$A$1:$O$85,15,0)),0,VLOOKUP($T$508,'TAR FIN'!$A$1:$O$85,15,0))*(1-0.06)</f>
        <v>72.144999999999996</v>
      </c>
      <c r="X508" s="70">
        <f>IF(ISERROR(VLOOKUP($U$508,'TAR FIN'!$A$1:$O$85,15,0)),0,VLOOKUP($U$508,'TAR FIN'!$A$1:$O$85,15,0))*(1-0.06)</f>
        <v>288.65519999999998</v>
      </c>
      <c r="Y508" s="70"/>
      <c r="Z508" s="70">
        <f ca="1">('TUSD BE'!$AM$12+'TUSD BF'!$AM$12+'TUSD CVA'!$AM$12)*1*(1-0.03)</f>
        <v>143.55448214271752</v>
      </c>
      <c r="AA508" s="70">
        <f>('TE BE'!$AB$6+'TE BF'!$AB$6+'TE CVA'!$AB$6)*1*(1-0.03)</f>
        <v>295.72417018043757</v>
      </c>
      <c r="AB508" s="6">
        <f>$K$508*$V$508</f>
        <v>0</v>
      </c>
      <c r="AC508" s="6">
        <f>$M$508*$W$508</f>
        <v>9718.2200799999991</v>
      </c>
      <c r="AD508" s="6">
        <f>$O$508*$X$508</f>
        <v>38883.010060799999</v>
      </c>
      <c r="AE508" s="6">
        <f>$K$508*$Y$508</f>
        <v>0</v>
      </c>
      <c r="AF508" s="6">
        <f ca="1">$M$508*$Z$508</f>
        <v>19337.362962552623</v>
      </c>
      <c r="AG508" s="6">
        <f>$O$508*$AA$508</f>
        <v>39835.228619985668</v>
      </c>
    </row>
    <row r="509" spans="1:33" ht="11.25" customHeight="1" x14ac:dyDescent="0.25">
      <c r="A509" s="4" t="s">
        <v>21</v>
      </c>
      <c r="B509" s="4" t="s">
        <v>39</v>
      </c>
      <c r="C509" s="4" t="s">
        <v>40</v>
      </c>
      <c r="D509" s="4" t="s">
        <v>49</v>
      </c>
      <c r="E509" s="4" t="s">
        <v>50</v>
      </c>
      <c r="F509" s="4" t="s">
        <v>25</v>
      </c>
      <c r="G509" s="4" t="s">
        <v>25</v>
      </c>
      <c r="H509" s="4" t="s">
        <v>35</v>
      </c>
      <c r="I509" s="5">
        <v>44713</v>
      </c>
      <c r="J509" s="6">
        <v>0</v>
      </c>
      <c r="K509" s="70">
        <v>0</v>
      </c>
      <c r="L509" s="6">
        <v>123.182</v>
      </c>
      <c r="M509" s="70">
        <v>123.182</v>
      </c>
      <c r="N509" s="6">
        <v>123.182</v>
      </c>
      <c r="O509" s="70">
        <v>123.182</v>
      </c>
      <c r="P509" s="6">
        <v>0</v>
      </c>
      <c r="Q509" s="4" t="s">
        <v>26</v>
      </c>
      <c r="R509" s="4">
        <v>0</v>
      </c>
      <c r="S509" s="6">
        <v>0</v>
      </c>
      <c r="T509" s="6">
        <v>8</v>
      </c>
      <c r="U509" s="6">
        <v>49</v>
      </c>
      <c r="V509" s="70">
        <f>IF(ISERROR(VLOOKUP($S$509,'TAR FIN'!$A$1:$O$85,15,0)),0,VLOOKUP($S$509,'TAR FIN'!$A$1:$O$85,15,0))</f>
        <v>0</v>
      </c>
      <c r="W509" s="70">
        <f>IF(ISERROR(VLOOKUP($T$509,'TAR FIN'!$A$1:$O$85,15,0)),0,VLOOKUP($T$509,'TAR FIN'!$A$1:$O$85,15,0))*(1-0.06)</f>
        <v>72.144999999999996</v>
      </c>
      <c r="X509" s="70">
        <f>IF(ISERROR(VLOOKUP($U$509,'TAR FIN'!$A$1:$O$85,15,0)),0,VLOOKUP($U$509,'TAR FIN'!$A$1:$O$85,15,0))*(1-0.06)</f>
        <v>288.65519999999998</v>
      </c>
      <c r="Y509" s="70"/>
      <c r="Z509" s="70">
        <f ca="1">('TUSD BE'!$AM$12+'TUSD BF'!$AM$12+'TUSD CVA'!$AM$12)*1*(1-0.03)</f>
        <v>143.55448214271752</v>
      </c>
      <c r="AA509" s="70">
        <f>('TE BE'!$AB$6+'TE BF'!$AB$6+'TE CVA'!$AB$6)*1*(1-0.03)</f>
        <v>295.72417018043757</v>
      </c>
      <c r="AB509" s="6">
        <f>$K$509*$V$509</f>
        <v>0</v>
      </c>
      <c r="AC509" s="6">
        <f>$M$509*$W$509</f>
        <v>8886.9653899999994</v>
      </c>
      <c r="AD509" s="6">
        <f>$O$509*$X$509</f>
        <v>35557.124846399995</v>
      </c>
      <c r="AE509" s="6">
        <f>$K$509*$Y$509</f>
        <v>0</v>
      </c>
      <c r="AF509" s="6">
        <f ca="1">$M$509*$Z$509</f>
        <v>17683.328219304229</v>
      </c>
      <c r="AG509" s="6">
        <f>$O$509*$AA$509</f>
        <v>36427.894731166663</v>
      </c>
    </row>
    <row r="510" spans="1:33" ht="11.25" customHeight="1" x14ac:dyDescent="0.25">
      <c r="A510" s="4" t="s">
        <v>21</v>
      </c>
      <c r="B510" s="4" t="s">
        <v>39</v>
      </c>
      <c r="C510" s="4" t="s">
        <v>40</v>
      </c>
      <c r="D510" s="4" t="s">
        <v>49</v>
      </c>
      <c r="E510" s="4" t="s">
        <v>50</v>
      </c>
      <c r="F510" s="4" t="s">
        <v>25</v>
      </c>
      <c r="G510" s="4" t="s">
        <v>25</v>
      </c>
      <c r="H510" s="4" t="s">
        <v>35</v>
      </c>
      <c r="I510" s="5">
        <v>44743</v>
      </c>
      <c r="J510" s="6">
        <v>0</v>
      </c>
      <c r="K510" s="70">
        <v>0</v>
      </c>
      <c r="L510" s="6">
        <v>125.96</v>
      </c>
      <c r="M510" s="70">
        <v>125.96</v>
      </c>
      <c r="N510" s="6">
        <v>125.96</v>
      </c>
      <c r="O510" s="70">
        <v>125.96</v>
      </c>
      <c r="P510" s="6">
        <v>0</v>
      </c>
      <c r="Q510" s="4" t="s">
        <v>26</v>
      </c>
      <c r="R510" s="4">
        <v>0</v>
      </c>
      <c r="S510" s="6">
        <v>0</v>
      </c>
      <c r="T510" s="6">
        <v>8</v>
      </c>
      <c r="U510" s="6">
        <v>49</v>
      </c>
      <c r="V510" s="70">
        <f>IF(ISERROR(VLOOKUP($S$510,'TAR FIN'!$A$1:$O$85,15,0)),0,VLOOKUP($S$510,'TAR FIN'!$A$1:$O$85,15,0))</f>
        <v>0</v>
      </c>
      <c r="W510" s="70">
        <f>IF(ISERROR(VLOOKUP($T$510,'TAR FIN'!$A$1:$O$85,15,0)),0,VLOOKUP($T$510,'TAR FIN'!$A$1:$O$85,15,0))*(1-0.06)</f>
        <v>72.144999999999996</v>
      </c>
      <c r="X510" s="70">
        <f>IF(ISERROR(VLOOKUP($U$510,'TAR FIN'!$A$1:$O$85,15,0)),0,VLOOKUP($U$510,'TAR FIN'!$A$1:$O$85,15,0))*(1-0.06)</f>
        <v>288.65519999999998</v>
      </c>
      <c r="Y510" s="70"/>
      <c r="Z510" s="70">
        <f ca="1">('TUSD BE'!$AM$12+'TUSD BF'!$AM$12+'TUSD CVA'!$AM$12)*1*(1-0.03)</f>
        <v>143.55448214271752</v>
      </c>
      <c r="AA510" s="70">
        <f>('TE BE'!$AB$6+'TE BF'!$AB$6+'TE CVA'!$AB$6)*1*(1-0.03)</f>
        <v>295.72417018043757</v>
      </c>
      <c r="AB510" s="6">
        <f>$K$510*$V$510</f>
        <v>0</v>
      </c>
      <c r="AC510" s="6">
        <f>$M$510*$W$510</f>
        <v>9087.3841999999986</v>
      </c>
      <c r="AD510" s="6">
        <f>$O$510*$X$510</f>
        <v>36359.008991999995</v>
      </c>
      <c r="AE510" s="6">
        <f>$K$510*$Y$510</f>
        <v>0</v>
      </c>
      <c r="AF510" s="6">
        <f ca="1">$M$510*$Z$510</f>
        <v>18082.122570696698</v>
      </c>
      <c r="AG510" s="6">
        <f>$O$510*$AA$510</f>
        <v>37249.416475927916</v>
      </c>
    </row>
    <row r="511" spans="1:33" ht="11.25" customHeight="1" x14ac:dyDescent="0.25">
      <c r="A511" s="4" t="s">
        <v>56</v>
      </c>
      <c r="B511" s="4" t="s">
        <v>39</v>
      </c>
      <c r="C511" s="4" t="s">
        <v>40</v>
      </c>
      <c r="D511" s="4" t="s">
        <v>49</v>
      </c>
      <c r="E511" s="4" t="s">
        <v>50</v>
      </c>
      <c r="F511" s="4" t="s">
        <v>25</v>
      </c>
      <c r="G511" s="4" t="s">
        <v>25</v>
      </c>
      <c r="H511" s="4" t="s">
        <v>35</v>
      </c>
      <c r="I511" s="5">
        <v>44774</v>
      </c>
      <c r="J511" s="6">
        <v>0</v>
      </c>
      <c r="K511" s="70">
        <v>0</v>
      </c>
      <c r="L511" s="6">
        <v>125.96</v>
      </c>
      <c r="M511" s="70">
        <v>125.96</v>
      </c>
      <c r="N511" s="6">
        <v>125.96</v>
      </c>
      <c r="O511" s="70">
        <v>125.96</v>
      </c>
      <c r="P511" s="6">
        <v>0</v>
      </c>
      <c r="Q511" s="4" t="s">
        <v>26</v>
      </c>
      <c r="R511" s="4">
        <v>0</v>
      </c>
      <c r="S511" s="6">
        <v>0</v>
      </c>
      <c r="T511" s="6">
        <v>8</v>
      </c>
      <c r="U511" s="6">
        <v>49</v>
      </c>
      <c r="V511" s="70">
        <f>IF(ISERROR(VLOOKUP($S$511,'TAR FIN'!$A$1:$O$85,15,0)),0,VLOOKUP($S$511,'TAR FIN'!$A$1:$O$85,15,0))</f>
        <v>0</v>
      </c>
      <c r="W511" s="70">
        <f>IF(ISERROR(VLOOKUP($T$511,'TAR FIN'!$A$1:$O$85,15,0)),0,VLOOKUP($T$511,'TAR FIN'!$A$1:$O$85,15,0))*(1-0.06)</f>
        <v>72.144999999999996</v>
      </c>
      <c r="X511" s="70">
        <f>IF(ISERROR(VLOOKUP($U$511,'TAR FIN'!$A$1:$O$85,15,0)),0,VLOOKUP($U$511,'TAR FIN'!$A$1:$O$85,15,0))*(1-0.06)</f>
        <v>288.65519999999998</v>
      </c>
      <c r="Y511" s="70"/>
      <c r="Z511" s="70">
        <f ca="1">('TUSD BE'!$AM$12+'TUSD BF'!$AM$12+'TUSD CVA'!$AM$12)*1*(1-0.03)</f>
        <v>143.55448214271752</v>
      </c>
      <c r="AA511" s="70">
        <f>('TE BE'!$AB$6+'TE BF'!$AB$6+'TE CVA'!$AB$6)*1*(1-0.03)</f>
        <v>295.72417018043757</v>
      </c>
      <c r="AB511" s="6">
        <f>$K$511*$V$511</f>
        <v>0</v>
      </c>
      <c r="AC511" s="6">
        <f>$M$511*$W$511</f>
        <v>9087.3841999999986</v>
      </c>
      <c r="AD511" s="6">
        <f>$O$511*$X$511</f>
        <v>36359.008991999995</v>
      </c>
      <c r="AE511" s="6">
        <f>$K$511*$Y$511</f>
        <v>0</v>
      </c>
      <c r="AF511" s="6">
        <f ca="1">$M$511*$Z$511</f>
        <v>18082.122570696698</v>
      </c>
      <c r="AG511" s="6">
        <f>$O$511*$AA$511</f>
        <v>37249.416475927916</v>
      </c>
    </row>
    <row r="512" spans="1:33" ht="11.25" customHeight="1" x14ac:dyDescent="0.25">
      <c r="A512" s="4" t="s">
        <v>21</v>
      </c>
      <c r="B512" s="4" t="s">
        <v>39</v>
      </c>
      <c r="C512" s="4" t="s">
        <v>40</v>
      </c>
      <c r="D512" s="4" t="s">
        <v>49</v>
      </c>
      <c r="E512" s="4" t="s">
        <v>50</v>
      </c>
      <c r="F512" s="4" t="s">
        <v>25</v>
      </c>
      <c r="G512" s="4" t="s">
        <v>25</v>
      </c>
      <c r="H512" s="4" t="s">
        <v>25</v>
      </c>
      <c r="I512" s="5">
        <v>44440</v>
      </c>
      <c r="J512" s="6">
        <v>536</v>
      </c>
      <c r="K512" s="71">
        <v>536</v>
      </c>
      <c r="L512" s="6">
        <v>0</v>
      </c>
      <c r="M512" s="70">
        <v>0</v>
      </c>
      <c r="N512" s="6">
        <v>0</v>
      </c>
      <c r="O512" s="70">
        <v>0</v>
      </c>
      <c r="P512" s="6">
        <v>12</v>
      </c>
      <c r="Q512" s="4" t="s">
        <v>26</v>
      </c>
      <c r="R512" s="4">
        <v>0</v>
      </c>
      <c r="S512" s="6">
        <v>6</v>
      </c>
      <c r="T512" s="6">
        <v>0</v>
      </c>
      <c r="U512" s="6">
        <v>0</v>
      </c>
      <c r="V512" s="70">
        <f>IF(ISERROR(VLOOKUP($S$512,'TAR FIN'!$A$1:$O$85,15,0)),0,VLOOKUP($S$512,'TAR FIN'!$A$1:$O$85,15,0))*(1-0.06)</f>
        <v>15.6416</v>
      </c>
      <c r="W512" s="70">
        <f>IF(ISERROR(VLOOKUP($T$512,'TAR FIN'!$A$1:$O$85,15,0)),0,VLOOKUP($T$512,'TAR FIN'!$A$1:$O$85,15,0))</f>
        <v>0</v>
      </c>
      <c r="X512" s="70">
        <f>IF(ISERROR(VLOOKUP($U$512,'TAR FIN'!$A$1:$O$85,15,0)),0,VLOOKUP($U$512,'TAR FIN'!$A$1:$O$85,15,0))</f>
        <v>0</v>
      </c>
      <c r="Y512" s="70">
        <f ca="1">('TUSD BE'!$AM$10+'TUSD BF'!$AM$10+'TUSD CVA'!$AM$10)*1*(1-0.03)</f>
        <v>17.820698790947443</v>
      </c>
      <c r="Z512" s="70"/>
      <c r="AA512" s="70"/>
      <c r="AB512" s="6">
        <f>$K$512*$V$512</f>
        <v>8383.8976000000002</v>
      </c>
      <c r="AC512" s="6">
        <f>$M$512*$W$512</f>
        <v>0</v>
      </c>
      <c r="AD512" s="6">
        <f>$O$512*$X$512</f>
        <v>0</v>
      </c>
      <c r="AE512" s="6">
        <f ca="1">$K$512*$Y$512</f>
        <v>9551.8945519478293</v>
      </c>
      <c r="AF512" s="6">
        <f>$M$512*$Z$512</f>
        <v>0</v>
      </c>
      <c r="AG512" s="6">
        <f>$O$512*$AA$512</f>
        <v>0</v>
      </c>
    </row>
    <row r="513" spans="1:33" ht="11.25" customHeight="1" x14ac:dyDescent="0.25">
      <c r="A513" s="4" t="s">
        <v>21</v>
      </c>
      <c r="B513" s="4" t="s">
        <v>39</v>
      </c>
      <c r="C513" s="4" t="s">
        <v>40</v>
      </c>
      <c r="D513" s="4" t="s">
        <v>49</v>
      </c>
      <c r="E513" s="4" t="s">
        <v>50</v>
      </c>
      <c r="F513" s="4" t="s">
        <v>25</v>
      </c>
      <c r="G513" s="4" t="s">
        <v>25</v>
      </c>
      <c r="H513" s="4" t="s">
        <v>25</v>
      </c>
      <c r="I513" s="5">
        <v>44470</v>
      </c>
      <c r="J513" s="6">
        <v>537</v>
      </c>
      <c r="K513" s="71">
        <v>537</v>
      </c>
      <c r="L513" s="6">
        <v>0</v>
      </c>
      <c r="M513" s="70">
        <v>0</v>
      </c>
      <c r="N513" s="6">
        <v>0</v>
      </c>
      <c r="O513" s="70">
        <v>0</v>
      </c>
      <c r="P513" s="6">
        <v>12</v>
      </c>
      <c r="Q513" s="4" t="s">
        <v>26</v>
      </c>
      <c r="R513" s="4">
        <v>0</v>
      </c>
      <c r="S513" s="6">
        <v>6</v>
      </c>
      <c r="T513" s="6">
        <v>0</v>
      </c>
      <c r="U513" s="6">
        <v>0</v>
      </c>
      <c r="V513" s="70">
        <f>IF(ISERROR(VLOOKUP($S$513,'TAR FIN'!$A$1:$O$85,15,0)),0,VLOOKUP($S$513,'TAR FIN'!$A$1:$O$85,15,0))*(1-0.06)</f>
        <v>15.6416</v>
      </c>
      <c r="W513" s="70">
        <f>IF(ISERROR(VLOOKUP($T$513,'TAR FIN'!$A$1:$O$85,15,0)),0,VLOOKUP($T$513,'TAR FIN'!$A$1:$O$85,15,0))</f>
        <v>0</v>
      </c>
      <c r="X513" s="70">
        <f>IF(ISERROR(VLOOKUP($U$513,'TAR FIN'!$A$1:$O$85,15,0)),0,VLOOKUP($U$513,'TAR FIN'!$A$1:$O$85,15,0))</f>
        <v>0</v>
      </c>
      <c r="Y513" s="70">
        <f ca="1">('TUSD BE'!$AM$10+'TUSD BF'!$AM$10+'TUSD CVA'!$AM$10)*1*(1-0.03)</f>
        <v>17.820698790947443</v>
      </c>
      <c r="Z513" s="70"/>
      <c r="AA513" s="70"/>
      <c r="AB513" s="6">
        <f>$K$513*$V$513</f>
        <v>8399.5392000000011</v>
      </c>
      <c r="AC513" s="6">
        <f>$M$513*$W$513</f>
        <v>0</v>
      </c>
      <c r="AD513" s="6">
        <f>$O$513*$X$513</f>
        <v>0</v>
      </c>
      <c r="AE513" s="6">
        <f ca="1">$K$513*$Y$513</f>
        <v>9569.7152507387764</v>
      </c>
      <c r="AF513" s="6">
        <f>$M$513*$Z$513</f>
        <v>0</v>
      </c>
      <c r="AG513" s="6">
        <f>$O$513*$AA$513</f>
        <v>0</v>
      </c>
    </row>
    <row r="514" spans="1:33" ht="11.25" customHeight="1" x14ac:dyDescent="0.25">
      <c r="A514" s="4" t="s">
        <v>21</v>
      </c>
      <c r="B514" s="4" t="s">
        <v>39</v>
      </c>
      <c r="C514" s="4" t="s">
        <v>40</v>
      </c>
      <c r="D514" s="4" t="s">
        <v>49</v>
      </c>
      <c r="E514" s="4" t="s">
        <v>50</v>
      </c>
      <c r="F514" s="4" t="s">
        <v>25</v>
      </c>
      <c r="G514" s="4" t="s">
        <v>25</v>
      </c>
      <c r="H514" s="4" t="s">
        <v>25</v>
      </c>
      <c r="I514" s="5">
        <v>44501</v>
      </c>
      <c r="J514" s="6">
        <v>591</v>
      </c>
      <c r="K514" s="71">
        <v>591</v>
      </c>
      <c r="L514" s="6">
        <v>0</v>
      </c>
      <c r="M514" s="70">
        <v>0</v>
      </c>
      <c r="N514" s="6">
        <v>0</v>
      </c>
      <c r="O514" s="70">
        <v>0</v>
      </c>
      <c r="P514" s="6">
        <v>13</v>
      </c>
      <c r="Q514" s="4" t="s">
        <v>26</v>
      </c>
      <c r="R514" s="4">
        <v>0</v>
      </c>
      <c r="S514" s="6">
        <v>6</v>
      </c>
      <c r="T514" s="6">
        <v>0</v>
      </c>
      <c r="U514" s="6">
        <v>0</v>
      </c>
      <c r="V514" s="70">
        <f>IF(ISERROR(VLOOKUP($S$514,'TAR FIN'!$A$1:$O$85,15,0)),0,VLOOKUP($S$514,'TAR FIN'!$A$1:$O$85,15,0))*(1-0.06)</f>
        <v>15.6416</v>
      </c>
      <c r="W514" s="70">
        <f>IF(ISERROR(VLOOKUP($T$514,'TAR FIN'!$A$1:$O$85,15,0)),0,VLOOKUP($T$514,'TAR FIN'!$A$1:$O$85,15,0))</f>
        <v>0</v>
      </c>
      <c r="X514" s="70">
        <f>IF(ISERROR(VLOOKUP($U$514,'TAR FIN'!$A$1:$O$85,15,0)),0,VLOOKUP($U$514,'TAR FIN'!$A$1:$O$85,15,0))</f>
        <v>0</v>
      </c>
      <c r="Y514" s="70">
        <f ca="1">('TUSD BE'!$AM$10+'TUSD BF'!$AM$10+'TUSD CVA'!$AM$10)*1*(1-0.03)</f>
        <v>17.820698790947443</v>
      </c>
      <c r="Z514" s="70"/>
      <c r="AA514" s="70"/>
      <c r="AB514" s="6">
        <f>$K$514*$V$514</f>
        <v>9244.1856000000007</v>
      </c>
      <c r="AC514" s="6">
        <f>$M$514*$W$514</f>
        <v>0</v>
      </c>
      <c r="AD514" s="6">
        <f>$O$514*$X$514</f>
        <v>0</v>
      </c>
      <c r="AE514" s="6">
        <f ca="1">$K$514*$Y$514</f>
        <v>10532.03298544994</v>
      </c>
      <c r="AF514" s="6">
        <f>$M$514*$Z$514</f>
        <v>0</v>
      </c>
      <c r="AG514" s="6">
        <f>$O$514*$AA$514</f>
        <v>0</v>
      </c>
    </row>
    <row r="515" spans="1:33" ht="11.25" customHeight="1" x14ac:dyDescent="0.25">
      <c r="A515" s="4" t="s">
        <v>27</v>
      </c>
      <c r="B515" s="4" t="s">
        <v>39</v>
      </c>
      <c r="C515" s="4" t="s">
        <v>40</v>
      </c>
      <c r="D515" s="4" t="s">
        <v>49</v>
      </c>
      <c r="E515" s="4" t="s">
        <v>50</v>
      </c>
      <c r="F515" s="4" t="s">
        <v>25</v>
      </c>
      <c r="G515" s="4" t="s">
        <v>25</v>
      </c>
      <c r="H515" s="4" t="s">
        <v>25</v>
      </c>
      <c r="I515" s="5">
        <v>44501</v>
      </c>
      <c r="J515" s="6">
        <v>57</v>
      </c>
      <c r="K515" s="71">
        <v>57</v>
      </c>
      <c r="L515" s="6">
        <v>0</v>
      </c>
      <c r="M515" s="70">
        <v>0</v>
      </c>
      <c r="N515" s="6">
        <v>0</v>
      </c>
      <c r="O515" s="70">
        <v>0</v>
      </c>
      <c r="P515" s="6">
        <v>1</v>
      </c>
      <c r="Q515" s="4" t="s">
        <v>26</v>
      </c>
      <c r="R515" s="4">
        <v>0</v>
      </c>
      <c r="S515" s="6">
        <v>6</v>
      </c>
      <c r="T515" s="6">
        <v>0</v>
      </c>
      <c r="U515" s="6">
        <v>0</v>
      </c>
      <c r="V515" s="70">
        <f>IF(ISERROR(VLOOKUP($S$515,'TAR FIN'!$A$1:$O$85,15,0)),0,VLOOKUP($S$515,'TAR FIN'!$A$1:$O$85,15,0))*(1-0.06)</f>
        <v>15.6416</v>
      </c>
      <c r="W515" s="70">
        <f>IF(ISERROR(VLOOKUP($T$515,'TAR FIN'!$A$1:$O$85,15,0)),0,VLOOKUP($T$515,'TAR FIN'!$A$1:$O$85,15,0))</f>
        <v>0</v>
      </c>
      <c r="X515" s="70">
        <f>IF(ISERROR(VLOOKUP($U$515,'TAR FIN'!$A$1:$O$85,15,0)),0,VLOOKUP($U$515,'TAR FIN'!$A$1:$O$85,15,0))</f>
        <v>0</v>
      </c>
      <c r="Y515" s="70">
        <f ca="1">('TUSD BE'!$AM$10+'TUSD BF'!$AM$10+'TUSD CVA'!$AM$10)*1*(1-0.03)</f>
        <v>17.820698790947443</v>
      </c>
      <c r="Z515" s="70"/>
      <c r="AA515" s="70"/>
      <c r="AB515" s="6">
        <f>$K$515*$V$515</f>
        <v>891.57119999999998</v>
      </c>
      <c r="AC515" s="6">
        <f>$M$515*$W$515</f>
        <v>0</v>
      </c>
      <c r="AD515" s="6">
        <f>$O$515*$X$515</f>
        <v>0</v>
      </c>
      <c r="AE515" s="6">
        <f ca="1">$K$515*$Y$515</f>
        <v>1015.7798310840043</v>
      </c>
      <c r="AF515" s="6">
        <f>$M$515*$Z$515</f>
        <v>0</v>
      </c>
      <c r="AG515" s="6">
        <f>$O$515*$AA$515</f>
        <v>0</v>
      </c>
    </row>
    <row r="516" spans="1:33" ht="11.25" customHeight="1" x14ac:dyDescent="0.25">
      <c r="A516" s="4" t="s">
        <v>21</v>
      </c>
      <c r="B516" s="4" t="s">
        <v>39</v>
      </c>
      <c r="C516" s="4" t="s">
        <v>40</v>
      </c>
      <c r="D516" s="4" t="s">
        <v>49</v>
      </c>
      <c r="E516" s="4" t="s">
        <v>50</v>
      </c>
      <c r="F516" s="4" t="s">
        <v>25</v>
      </c>
      <c r="G516" s="4" t="s">
        <v>25</v>
      </c>
      <c r="H516" s="4" t="s">
        <v>25</v>
      </c>
      <c r="I516" s="5">
        <v>44531</v>
      </c>
      <c r="J516" s="6">
        <v>601</v>
      </c>
      <c r="K516" s="71">
        <v>601</v>
      </c>
      <c r="L516" s="6">
        <v>0</v>
      </c>
      <c r="M516" s="70">
        <v>0</v>
      </c>
      <c r="N516" s="6">
        <v>0</v>
      </c>
      <c r="O516" s="70">
        <v>0</v>
      </c>
      <c r="P516" s="6">
        <v>13</v>
      </c>
      <c r="Q516" s="4" t="s">
        <v>26</v>
      </c>
      <c r="R516" s="4">
        <v>0</v>
      </c>
      <c r="S516" s="6">
        <v>6</v>
      </c>
      <c r="T516" s="6">
        <v>0</v>
      </c>
      <c r="U516" s="6">
        <v>0</v>
      </c>
      <c r="V516" s="70">
        <f>IF(ISERROR(VLOOKUP($S$516,'TAR FIN'!$A$1:$O$85,15,0)),0,VLOOKUP($S$516,'TAR FIN'!$A$1:$O$85,15,0))*(1-0.06)</f>
        <v>15.6416</v>
      </c>
      <c r="W516" s="70">
        <f>IF(ISERROR(VLOOKUP($T$516,'TAR FIN'!$A$1:$O$85,15,0)),0,VLOOKUP($T$516,'TAR FIN'!$A$1:$O$85,15,0))</f>
        <v>0</v>
      </c>
      <c r="X516" s="70">
        <f>IF(ISERROR(VLOOKUP($U$516,'TAR FIN'!$A$1:$O$85,15,0)),0,VLOOKUP($U$516,'TAR FIN'!$A$1:$O$85,15,0))</f>
        <v>0</v>
      </c>
      <c r="Y516" s="70">
        <f ca="1">('TUSD BE'!$AM$10+'TUSD BF'!$AM$10+'TUSD CVA'!$AM$10)*1*(1-0.03)</f>
        <v>17.820698790947443</v>
      </c>
      <c r="Z516" s="70"/>
      <c r="AA516" s="70"/>
      <c r="AB516" s="6">
        <f>$K$516*$V$516</f>
        <v>9400.6016</v>
      </c>
      <c r="AC516" s="6">
        <f>$M$516*$W$516</f>
        <v>0</v>
      </c>
      <c r="AD516" s="6">
        <f>$O$516*$X$516</f>
        <v>0</v>
      </c>
      <c r="AE516" s="6">
        <f ca="1">$K$516*$Y$516</f>
        <v>10710.239973359414</v>
      </c>
      <c r="AF516" s="6">
        <f>$M$516*$Z$516</f>
        <v>0</v>
      </c>
      <c r="AG516" s="6">
        <f>$O$516*$AA$516</f>
        <v>0</v>
      </c>
    </row>
    <row r="517" spans="1:33" ht="11.25" customHeight="1" x14ac:dyDescent="0.25">
      <c r="A517" s="4" t="s">
        <v>21</v>
      </c>
      <c r="B517" s="4" t="s">
        <v>39</v>
      </c>
      <c r="C517" s="4" t="s">
        <v>40</v>
      </c>
      <c r="D517" s="4" t="s">
        <v>49</v>
      </c>
      <c r="E517" s="4" t="s">
        <v>50</v>
      </c>
      <c r="F517" s="4" t="s">
        <v>25</v>
      </c>
      <c r="G517" s="4" t="s">
        <v>25</v>
      </c>
      <c r="H517" s="4" t="s">
        <v>25</v>
      </c>
      <c r="I517" s="5">
        <v>44562</v>
      </c>
      <c r="J517" s="6">
        <v>591</v>
      </c>
      <c r="K517" s="71">
        <v>591</v>
      </c>
      <c r="L517" s="6">
        <v>0</v>
      </c>
      <c r="M517" s="70">
        <v>0</v>
      </c>
      <c r="N517" s="6">
        <v>0</v>
      </c>
      <c r="O517" s="70">
        <v>0</v>
      </c>
      <c r="P517" s="6">
        <v>13</v>
      </c>
      <c r="Q517" s="4" t="s">
        <v>26</v>
      </c>
      <c r="R517" s="4">
        <v>0</v>
      </c>
      <c r="S517" s="6">
        <v>6</v>
      </c>
      <c r="T517" s="6">
        <v>0</v>
      </c>
      <c r="U517" s="6">
        <v>0</v>
      </c>
      <c r="V517" s="70">
        <f>IF(ISERROR(VLOOKUP($S$517,'TAR FIN'!$A$1:$O$85,15,0)),0,VLOOKUP($S$517,'TAR FIN'!$A$1:$O$85,15,0))*(1-0.06)</f>
        <v>15.6416</v>
      </c>
      <c r="W517" s="70">
        <f>IF(ISERROR(VLOOKUP($T$517,'TAR FIN'!$A$1:$O$85,15,0)),0,VLOOKUP($T$517,'TAR FIN'!$A$1:$O$85,15,0))</f>
        <v>0</v>
      </c>
      <c r="X517" s="70">
        <f>IF(ISERROR(VLOOKUP($U$517,'TAR FIN'!$A$1:$O$85,15,0)),0,VLOOKUP($U$517,'TAR FIN'!$A$1:$O$85,15,0))</f>
        <v>0</v>
      </c>
      <c r="Y517" s="70">
        <f ca="1">('TUSD BE'!$AM$10+'TUSD BF'!$AM$10+'TUSD CVA'!$AM$10)*1*(1-0.03)</f>
        <v>17.820698790947443</v>
      </c>
      <c r="Z517" s="70"/>
      <c r="AA517" s="70"/>
      <c r="AB517" s="6">
        <f>$K$517*$V$517</f>
        <v>9244.1856000000007</v>
      </c>
      <c r="AC517" s="6">
        <f>$M$517*$W$517</f>
        <v>0</v>
      </c>
      <c r="AD517" s="6">
        <f>$O$517*$X$517</f>
        <v>0</v>
      </c>
      <c r="AE517" s="6">
        <f ca="1">$K$517*$Y$517</f>
        <v>10532.03298544994</v>
      </c>
      <c r="AF517" s="6">
        <f>$M$517*$Z$517</f>
        <v>0</v>
      </c>
      <c r="AG517" s="6">
        <f>$O$517*$AA$517</f>
        <v>0</v>
      </c>
    </row>
    <row r="518" spans="1:33" ht="11.25" customHeight="1" x14ac:dyDescent="0.25">
      <c r="A518" s="4" t="s">
        <v>21</v>
      </c>
      <c r="B518" s="4" t="s">
        <v>39</v>
      </c>
      <c r="C518" s="4" t="s">
        <v>40</v>
      </c>
      <c r="D518" s="4" t="s">
        <v>49</v>
      </c>
      <c r="E518" s="4" t="s">
        <v>50</v>
      </c>
      <c r="F518" s="4" t="s">
        <v>25</v>
      </c>
      <c r="G518" s="4" t="s">
        <v>25</v>
      </c>
      <c r="H518" s="4" t="s">
        <v>25</v>
      </c>
      <c r="I518" s="5">
        <v>44593</v>
      </c>
      <c r="J518" s="6">
        <v>595</v>
      </c>
      <c r="K518" s="71">
        <v>595</v>
      </c>
      <c r="L518" s="6">
        <v>0</v>
      </c>
      <c r="M518" s="70">
        <v>0</v>
      </c>
      <c r="N518" s="6">
        <v>0</v>
      </c>
      <c r="O518" s="70">
        <v>0</v>
      </c>
      <c r="P518" s="6">
        <v>13</v>
      </c>
      <c r="Q518" s="4" t="s">
        <v>26</v>
      </c>
      <c r="R518" s="4">
        <v>0</v>
      </c>
      <c r="S518" s="6">
        <v>6</v>
      </c>
      <c r="T518" s="6">
        <v>0</v>
      </c>
      <c r="U518" s="6">
        <v>0</v>
      </c>
      <c r="V518" s="70">
        <f>IF(ISERROR(VLOOKUP($S$518,'TAR FIN'!$A$1:$O$85,15,0)),0,VLOOKUP($S$518,'TAR FIN'!$A$1:$O$85,15,0))*(1-0.06)</f>
        <v>15.6416</v>
      </c>
      <c r="W518" s="70">
        <f>IF(ISERROR(VLOOKUP($T$518,'TAR FIN'!$A$1:$O$85,15,0)),0,VLOOKUP($T$518,'TAR FIN'!$A$1:$O$85,15,0))</f>
        <v>0</v>
      </c>
      <c r="X518" s="70">
        <f>IF(ISERROR(VLOOKUP($U$518,'TAR FIN'!$A$1:$O$85,15,0)),0,VLOOKUP($U$518,'TAR FIN'!$A$1:$O$85,15,0))</f>
        <v>0</v>
      </c>
      <c r="Y518" s="70">
        <f ca="1">('TUSD BE'!$AM$10+'TUSD BF'!$AM$10+'TUSD CVA'!$AM$10)*1*(1-0.03)</f>
        <v>17.820698790947443</v>
      </c>
      <c r="Z518" s="70"/>
      <c r="AA518" s="70"/>
      <c r="AB518" s="6">
        <f>$K$518*$V$518</f>
        <v>9306.7520000000004</v>
      </c>
      <c r="AC518" s="6">
        <f>$M$518*$W$518</f>
        <v>0</v>
      </c>
      <c r="AD518" s="6">
        <f>$O$518*$X$518</f>
        <v>0</v>
      </c>
      <c r="AE518" s="6">
        <f ca="1">$K$518*$Y$518</f>
        <v>10603.315780613728</v>
      </c>
      <c r="AF518" s="6">
        <f>$M$518*$Z$518</f>
        <v>0</v>
      </c>
      <c r="AG518" s="6">
        <f>$O$518*$AA$518</f>
        <v>0</v>
      </c>
    </row>
    <row r="519" spans="1:33" ht="11.25" customHeight="1" x14ac:dyDescent="0.25">
      <c r="A519" s="4" t="s">
        <v>21</v>
      </c>
      <c r="B519" s="4" t="s">
        <v>39</v>
      </c>
      <c r="C519" s="4" t="s">
        <v>40</v>
      </c>
      <c r="D519" s="4" t="s">
        <v>49</v>
      </c>
      <c r="E519" s="4" t="s">
        <v>50</v>
      </c>
      <c r="F519" s="4" t="s">
        <v>25</v>
      </c>
      <c r="G519" s="4" t="s">
        <v>25</v>
      </c>
      <c r="H519" s="4" t="s">
        <v>25</v>
      </c>
      <c r="I519" s="5">
        <v>44621</v>
      </c>
      <c r="J519" s="6">
        <v>593</v>
      </c>
      <c r="K519" s="71">
        <v>593</v>
      </c>
      <c r="L519" s="6">
        <v>0</v>
      </c>
      <c r="M519" s="70">
        <v>0</v>
      </c>
      <c r="N519" s="6">
        <v>0</v>
      </c>
      <c r="O519" s="70">
        <v>0</v>
      </c>
      <c r="P519" s="6">
        <v>13</v>
      </c>
      <c r="Q519" s="4" t="s">
        <v>26</v>
      </c>
      <c r="R519" s="4">
        <v>0</v>
      </c>
      <c r="S519" s="6">
        <v>6</v>
      </c>
      <c r="T519" s="6">
        <v>0</v>
      </c>
      <c r="U519" s="6">
        <v>0</v>
      </c>
      <c r="V519" s="70">
        <f>IF(ISERROR(VLOOKUP($S$519,'TAR FIN'!$A$1:$O$85,15,0)),0,VLOOKUP($S$519,'TAR FIN'!$A$1:$O$85,15,0))*(1-0.06)</f>
        <v>15.6416</v>
      </c>
      <c r="W519" s="70">
        <f>IF(ISERROR(VLOOKUP($T$519,'TAR FIN'!$A$1:$O$85,15,0)),0,VLOOKUP($T$519,'TAR FIN'!$A$1:$O$85,15,0))</f>
        <v>0</v>
      </c>
      <c r="X519" s="70">
        <f>IF(ISERROR(VLOOKUP($U$519,'TAR FIN'!$A$1:$O$85,15,0)),0,VLOOKUP($U$519,'TAR FIN'!$A$1:$O$85,15,0))</f>
        <v>0</v>
      </c>
      <c r="Y519" s="70">
        <f ca="1">('TUSD BE'!$AM$10+'TUSD BF'!$AM$10+'TUSD CVA'!$AM$10)*1*(1-0.03)</f>
        <v>17.820698790947443</v>
      </c>
      <c r="Z519" s="70"/>
      <c r="AA519" s="70"/>
      <c r="AB519" s="6">
        <f>$K$519*$V$519</f>
        <v>9275.4688000000006</v>
      </c>
      <c r="AC519" s="6">
        <f>$M$519*$W$519</f>
        <v>0</v>
      </c>
      <c r="AD519" s="6">
        <f>$O$519*$X$519</f>
        <v>0</v>
      </c>
      <c r="AE519" s="6">
        <f ca="1">$K$519*$Y$519</f>
        <v>10567.674383031834</v>
      </c>
      <c r="AF519" s="6">
        <f>$M$519*$Z$519</f>
        <v>0</v>
      </c>
      <c r="AG519" s="6">
        <f>$O$519*$AA$519</f>
        <v>0</v>
      </c>
    </row>
    <row r="520" spans="1:33" ht="11.25" customHeight="1" x14ac:dyDescent="0.25">
      <c r="A520" s="4" t="s">
        <v>21</v>
      </c>
      <c r="B520" s="4" t="s">
        <v>39</v>
      </c>
      <c r="C520" s="4" t="s">
        <v>40</v>
      </c>
      <c r="D520" s="4" t="s">
        <v>49</v>
      </c>
      <c r="E520" s="4" t="s">
        <v>50</v>
      </c>
      <c r="F520" s="4" t="s">
        <v>25</v>
      </c>
      <c r="G520" s="4" t="s">
        <v>25</v>
      </c>
      <c r="H520" s="4" t="s">
        <v>25</v>
      </c>
      <c r="I520" s="5">
        <v>44652</v>
      </c>
      <c r="J520" s="6">
        <v>592</v>
      </c>
      <c r="K520" s="71">
        <v>592</v>
      </c>
      <c r="L520" s="6">
        <v>0</v>
      </c>
      <c r="M520" s="70">
        <v>0</v>
      </c>
      <c r="N520" s="6">
        <v>0</v>
      </c>
      <c r="O520" s="70">
        <v>0</v>
      </c>
      <c r="P520" s="6">
        <v>13</v>
      </c>
      <c r="Q520" s="4" t="s">
        <v>26</v>
      </c>
      <c r="R520" s="4">
        <v>0</v>
      </c>
      <c r="S520" s="6">
        <v>6</v>
      </c>
      <c r="T520" s="6">
        <v>0</v>
      </c>
      <c r="U520" s="6">
        <v>0</v>
      </c>
      <c r="V520" s="70">
        <f>IF(ISERROR(VLOOKUP($S$520,'TAR FIN'!$A$1:$O$85,15,0)),0,VLOOKUP($S$520,'TAR FIN'!$A$1:$O$85,15,0))*(1-0.06)</f>
        <v>15.6416</v>
      </c>
      <c r="W520" s="70">
        <f>IF(ISERROR(VLOOKUP($T$520,'TAR FIN'!$A$1:$O$85,15,0)),0,VLOOKUP($T$520,'TAR FIN'!$A$1:$O$85,15,0))</f>
        <v>0</v>
      </c>
      <c r="X520" s="70">
        <f>IF(ISERROR(VLOOKUP($U$520,'TAR FIN'!$A$1:$O$85,15,0)),0,VLOOKUP($U$520,'TAR FIN'!$A$1:$O$85,15,0))</f>
        <v>0</v>
      </c>
      <c r="Y520" s="70">
        <f ca="1">('TUSD BE'!$AM$10+'TUSD BF'!$AM$10+'TUSD CVA'!$AM$10)*1*(1-0.03)</f>
        <v>17.820698790947443</v>
      </c>
      <c r="Z520" s="70"/>
      <c r="AA520" s="70"/>
      <c r="AB520" s="6">
        <f>$K$520*$V$520</f>
        <v>9259.8271999999997</v>
      </c>
      <c r="AC520" s="6">
        <f>$M$520*$W$520</f>
        <v>0</v>
      </c>
      <c r="AD520" s="6">
        <f>$O$520*$X$520</f>
        <v>0</v>
      </c>
      <c r="AE520" s="6">
        <f ca="1">$K$520*$Y$520</f>
        <v>10549.853684240887</v>
      </c>
      <c r="AF520" s="6">
        <f>$M$520*$Z$520</f>
        <v>0</v>
      </c>
      <c r="AG520" s="6">
        <f>$O$520*$AA$520</f>
        <v>0</v>
      </c>
    </row>
    <row r="521" spans="1:33" ht="11.25" customHeight="1" x14ac:dyDescent="0.25">
      <c r="A521" s="4" t="s">
        <v>21</v>
      </c>
      <c r="B521" s="4" t="s">
        <v>39</v>
      </c>
      <c r="C521" s="4" t="s">
        <v>40</v>
      </c>
      <c r="D521" s="4" t="s">
        <v>49</v>
      </c>
      <c r="E521" s="4" t="s">
        <v>50</v>
      </c>
      <c r="F521" s="4" t="s">
        <v>25</v>
      </c>
      <c r="G521" s="4" t="s">
        <v>25</v>
      </c>
      <c r="H521" s="4" t="s">
        <v>25</v>
      </c>
      <c r="I521" s="5">
        <v>44682</v>
      </c>
      <c r="J521" s="6">
        <v>591</v>
      </c>
      <c r="K521" s="71">
        <v>591</v>
      </c>
      <c r="L521" s="6">
        <v>0</v>
      </c>
      <c r="M521" s="70">
        <v>0</v>
      </c>
      <c r="N521" s="6">
        <v>0</v>
      </c>
      <c r="O521" s="70">
        <v>0</v>
      </c>
      <c r="P521" s="6">
        <v>13</v>
      </c>
      <c r="Q521" s="4" t="s">
        <v>26</v>
      </c>
      <c r="R521" s="4">
        <v>0</v>
      </c>
      <c r="S521" s="6">
        <v>6</v>
      </c>
      <c r="T521" s="6">
        <v>0</v>
      </c>
      <c r="U521" s="6">
        <v>0</v>
      </c>
      <c r="V521" s="70">
        <f>IF(ISERROR(VLOOKUP($S$521,'TAR FIN'!$A$1:$O$85,15,0)),0,VLOOKUP($S$521,'TAR FIN'!$A$1:$O$85,15,0))*(1-0.06)</f>
        <v>15.6416</v>
      </c>
      <c r="W521" s="70">
        <f>IF(ISERROR(VLOOKUP($T$521,'TAR FIN'!$A$1:$O$85,15,0)),0,VLOOKUP($T$521,'TAR FIN'!$A$1:$O$85,15,0))</f>
        <v>0</v>
      </c>
      <c r="X521" s="70">
        <f>IF(ISERROR(VLOOKUP($U$521,'TAR FIN'!$A$1:$O$85,15,0)),0,VLOOKUP($U$521,'TAR FIN'!$A$1:$O$85,15,0))</f>
        <v>0</v>
      </c>
      <c r="Y521" s="70">
        <f ca="1">('TUSD BE'!$AM$10+'TUSD BF'!$AM$10+'TUSD CVA'!$AM$10)*1*(1-0.03)</f>
        <v>17.820698790947443</v>
      </c>
      <c r="Z521" s="70"/>
      <c r="AA521" s="70"/>
      <c r="AB521" s="6">
        <f>$K$521*$V$521</f>
        <v>9244.1856000000007</v>
      </c>
      <c r="AC521" s="6">
        <f>$M$521*$W$521</f>
        <v>0</v>
      </c>
      <c r="AD521" s="6">
        <f>$O$521*$X$521</f>
        <v>0</v>
      </c>
      <c r="AE521" s="6">
        <f ca="1">$K$521*$Y$521</f>
        <v>10532.03298544994</v>
      </c>
      <c r="AF521" s="6">
        <f>$M$521*$Z$521</f>
        <v>0</v>
      </c>
      <c r="AG521" s="6">
        <f>$O$521*$AA$521</f>
        <v>0</v>
      </c>
    </row>
    <row r="522" spans="1:33" ht="11.25" customHeight="1" x14ac:dyDescent="0.25">
      <c r="A522" s="4" t="s">
        <v>21</v>
      </c>
      <c r="B522" s="4" t="s">
        <v>39</v>
      </c>
      <c r="C522" s="4" t="s">
        <v>40</v>
      </c>
      <c r="D522" s="4" t="s">
        <v>49</v>
      </c>
      <c r="E522" s="4" t="s">
        <v>50</v>
      </c>
      <c r="F522" s="4" t="s">
        <v>25</v>
      </c>
      <c r="G522" s="4" t="s">
        <v>25</v>
      </c>
      <c r="H522" s="4" t="s">
        <v>25</v>
      </c>
      <c r="I522" s="5">
        <v>44713</v>
      </c>
      <c r="J522" s="6">
        <v>597</v>
      </c>
      <c r="K522" s="71">
        <v>597</v>
      </c>
      <c r="L522" s="6">
        <v>0</v>
      </c>
      <c r="M522" s="70">
        <v>0</v>
      </c>
      <c r="N522" s="6">
        <v>0</v>
      </c>
      <c r="O522" s="70">
        <v>0</v>
      </c>
      <c r="P522" s="6">
        <v>13</v>
      </c>
      <c r="Q522" s="4" t="s">
        <v>26</v>
      </c>
      <c r="R522" s="4">
        <v>0</v>
      </c>
      <c r="S522" s="6">
        <v>6</v>
      </c>
      <c r="T522" s="6">
        <v>0</v>
      </c>
      <c r="U522" s="6">
        <v>0</v>
      </c>
      <c r="V522" s="70">
        <f>IF(ISERROR(VLOOKUP($S$522,'TAR FIN'!$A$1:$O$85,15,0)),0,VLOOKUP($S$522,'TAR FIN'!$A$1:$O$85,15,0))*(1-0.06)</f>
        <v>15.6416</v>
      </c>
      <c r="W522" s="70">
        <f>IF(ISERROR(VLOOKUP($T$522,'TAR FIN'!$A$1:$O$85,15,0)),0,VLOOKUP($T$522,'TAR FIN'!$A$1:$O$85,15,0))</f>
        <v>0</v>
      </c>
      <c r="X522" s="70">
        <f>IF(ISERROR(VLOOKUP($U$522,'TAR FIN'!$A$1:$O$85,15,0)),0,VLOOKUP($U$522,'TAR FIN'!$A$1:$O$85,15,0))</f>
        <v>0</v>
      </c>
      <c r="Y522" s="70">
        <f ca="1">('TUSD BE'!$AM$10+'TUSD BF'!$AM$10+'TUSD CVA'!$AM$10)*1*(1-0.03)</f>
        <v>17.820698790947443</v>
      </c>
      <c r="Z522" s="70"/>
      <c r="AA522" s="70"/>
      <c r="AB522" s="6">
        <f>$K$522*$V$522</f>
        <v>9338.0352000000003</v>
      </c>
      <c r="AC522" s="6">
        <f>$M$522*$W$522</f>
        <v>0</v>
      </c>
      <c r="AD522" s="6">
        <f>$O$522*$X$522</f>
        <v>0</v>
      </c>
      <c r="AE522" s="6">
        <f ca="1">$K$522*$Y$522</f>
        <v>10638.957178195624</v>
      </c>
      <c r="AF522" s="6">
        <f>$M$522*$Z$522</f>
        <v>0</v>
      </c>
      <c r="AG522" s="6">
        <f>$O$522*$AA$522</f>
        <v>0</v>
      </c>
    </row>
    <row r="523" spans="1:33" ht="11.25" customHeight="1" x14ac:dyDescent="0.25">
      <c r="A523" s="4" t="s">
        <v>21</v>
      </c>
      <c r="B523" s="4" t="s">
        <v>39</v>
      </c>
      <c r="C523" s="4" t="s">
        <v>40</v>
      </c>
      <c r="D523" s="4" t="s">
        <v>49</v>
      </c>
      <c r="E523" s="4" t="s">
        <v>50</v>
      </c>
      <c r="F523" s="4" t="s">
        <v>25</v>
      </c>
      <c r="G523" s="4" t="s">
        <v>25</v>
      </c>
      <c r="H523" s="4" t="s">
        <v>25</v>
      </c>
      <c r="I523" s="5">
        <v>44743</v>
      </c>
      <c r="J523" s="6">
        <v>588</v>
      </c>
      <c r="K523" s="71">
        <v>588</v>
      </c>
      <c r="L523" s="6">
        <v>0</v>
      </c>
      <c r="M523" s="70">
        <v>0</v>
      </c>
      <c r="N523" s="6">
        <v>0</v>
      </c>
      <c r="O523" s="70">
        <v>0</v>
      </c>
      <c r="P523" s="6">
        <v>13</v>
      </c>
      <c r="Q523" s="4" t="s">
        <v>26</v>
      </c>
      <c r="R523" s="4">
        <v>0</v>
      </c>
      <c r="S523" s="6">
        <v>6</v>
      </c>
      <c r="T523" s="6">
        <v>0</v>
      </c>
      <c r="U523" s="6">
        <v>0</v>
      </c>
      <c r="V523" s="70">
        <f>IF(ISERROR(VLOOKUP($S$523,'TAR FIN'!$A$1:$O$85,15,0)),0,VLOOKUP($S$523,'TAR FIN'!$A$1:$O$85,15,0))*(1-0.06)</f>
        <v>15.6416</v>
      </c>
      <c r="W523" s="70">
        <f>IF(ISERROR(VLOOKUP($T$523,'TAR FIN'!$A$1:$O$85,15,0)),0,VLOOKUP($T$523,'TAR FIN'!$A$1:$O$85,15,0))</f>
        <v>0</v>
      </c>
      <c r="X523" s="70">
        <f>IF(ISERROR(VLOOKUP($U$523,'TAR FIN'!$A$1:$O$85,15,0)),0,VLOOKUP($U$523,'TAR FIN'!$A$1:$O$85,15,0))</f>
        <v>0</v>
      </c>
      <c r="Y523" s="70">
        <f ca="1">('TUSD BE'!$AM$10+'TUSD BF'!$AM$10+'TUSD CVA'!$AM$10)*1*(1-0.03)</f>
        <v>17.820698790947443</v>
      </c>
      <c r="Z523" s="70"/>
      <c r="AA523" s="70"/>
      <c r="AB523" s="6">
        <f>$K$523*$V$523</f>
        <v>9197.2608</v>
      </c>
      <c r="AC523" s="6">
        <f>$M$523*$W$523</f>
        <v>0</v>
      </c>
      <c r="AD523" s="6">
        <f>$O$523*$X$523</f>
        <v>0</v>
      </c>
      <c r="AE523" s="6">
        <f ca="1">$K$523*$Y$523</f>
        <v>10478.570889077097</v>
      </c>
      <c r="AF523" s="6">
        <f>$M$523*$Z$523</f>
        <v>0</v>
      </c>
      <c r="AG523" s="6">
        <f>$O$523*$AA$523</f>
        <v>0</v>
      </c>
    </row>
    <row r="524" spans="1:33" ht="11.25" customHeight="1" x14ac:dyDescent="0.25">
      <c r="A524" s="4" t="s">
        <v>56</v>
      </c>
      <c r="B524" s="4" t="s">
        <v>39</v>
      </c>
      <c r="C524" s="4" t="s">
        <v>40</v>
      </c>
      <c r="D524" s="4" t="s">
        <v>49</v>
      </c>
      <c r="E524" s="4" t="s">
        <v>50</v>
      </c>
      <c r="F524" s="4" t="s">
        <v>25</v>
      </c>
      <c r="G524" s="4" t="s">
        <v>25</v>
      </c>
      <c r="H524" s="4" t="s">
        <v>25</v>
      </c>
      <c r="I524" s="5">
        <v>44774</v>
      </c>
      <c r="J524" s="6">
        <v>588</v>
      </c>
      <c r="K524" s="71">
        <v>588</v>
      </c>
      <c r="L524" s="6">
        <v>0</v>
      </c>
      <c r="M524" s="70">
        <v>0</v>
      </c>
      <c r="N524" s="6">
        <v>0</v>
      </c>
      <c r="O524" s="70">
        <v>0</v>
      </c>
      <c r="P524" s="6">
        <v>13</v>
      </c>
      <c r="Q524" s="4" t="s">
        <v>26</v>
      </c>
      <c r="R524" s="4">
        <v>0</v>
      </c>
      <c r="S524" s="6">
        <v>6</v>
      </c>
      <c r="T524" s="6">
        <v>0</v>
      </c>
      <c r="U524" s="6">
        <v>0</v>
      </c>
      <c r="V524" s="70">
        <f>IF(ISERROR(VLOOKUP($S$524,'TAR FIN'!$A$1:$O$85,15,0)),0,VLOOKUP($S$524,'TAR FIN'!$A$1:$O$85,15,0))*(1-0.06)</f>
        <v>15.6416</v>
      </c>
      <c r="W524" s="70">
        <f>IF(ISERROR(VLOOKUP($T$524,'TAR FIN'!$A$1:$O$85,15,0)),0,VLOOKUP($T$524,'TAR FIN'!$A$1:$O$85,15,0))</f>
        <v>0</v>
      </c>
      <c r="X524" s="70">
        <f>IF(ISERROR(VLOOKUP($U$524,'TAR FIN'!$A$1:$O$85,15,0)),0,VLOOKUP($U$524,'TAR FIN'!$A$1:$O$85,15,0))</f>
        <v>0</v>
      </c>
      <c r="Y524" s="70">
        <f ca="1">('TUSD BE'!$AM$10+'TUSD BF'!$AM$10+'TUSD CVA'!$AM$10)*1*(1-0.03)</f>
        <v>17.820698790947443</v>
      </c>
      <c r="Z524" s="70"/>
      <c r="AA524" s="70"/>
      <c r="AB524" s="6">
        <f>$K$524*$V$524</f>
        <v>9197.2608</v>
      </c>
      <c r="AC524" s="6">
        <f>$M$524*$W$524</f>
        <v>0</v>
      </c>
      <c r="AD524" s="6">
        <f>$O$524*$X$524</f>
        <v>0</v>
      </c>
      <c r="AE524" s="6">
        <f ca="1">$K$524*$Y$524</f>
        <v>10478.570889077097</v>
      </c>
      <c r="AF524" s="6">
        <f>$M$524*$Z$524</f>
        <v>0</v>
      </c>
      <c r="AG524" s="6">
        <f>$O$524*$AA$524</f>
        <v>0</v>
      </c>
    </row>
    <row r="525" spans="1:33" ht="11.25" customHeight="1" x14ac:dyDescent="0.25">
      <c r="A525" s="4" t="s">
        <v>21</v>
      </c>
      <c r="B525" s="4" t="s">
        <v>39</v>
      </c>
      <c r="C525" s="4" t="s">
        <v>40</v>
      </c>
      <c r="D525" s="4" t="s">
        <v>49</v>
      </c>
      <c r="E525" s="4" t="s">
        <v>50</v>
      </c>
      <c r="F525" s="4" t="s">
        <v>25</v>
      </c>
      <c r="G525" s="4" t="s">
        <v>25</v>
      </c>
      <c r="H525" s="4" t="s">
        <v>34</v>
      </c>
      <c r="I525" s="5">
        <v>44440</v>
      </c>
      <c r="J525" s="6">
        <v>0</v>
      </c>
      <c r="K525" s="70">
        <v>0</v>
      </c>
      <c r="L525" s="6">
        <v>15.111000000000001</v>
      </c>
      <c r="M525" s="70">
        <v>15.111000000000001</v>
      </c>
      <c r="N525" s="6">
        <v>15.111000000000001</v>
      </c>
      <c r="O525" s="70">
        <v>15.111000000000001</v>
      </c>
      <c r="P525" s="6">
        <v>0</v>
      </c>
      <c r="Q525" s="4" t="s">
        <v>26</v>
      </c>
      <c r="R525" s="4">
        <v>0</v>
      </c>
      <c r="S525" s="6">
        <v>0</v>
      </c>
      <c r="T525" s="6">
        <v>7</v>
      </c>
      <c r="U525" s="6">
        <v>48</v>
      </c>
      <c r="V525" s="70">
        <f>IF(ISERROR(VLOOKUP($S$525,'TAR FIN'!$A$1:$O$85,15,0)),0,VLOOKUP($S$525,'TAR FIN'!$A$1:$O$85,15,0))</f>
        <v>0</v>
      </c>
      <c r="W525" s="70">
        <f>IF(ISERROR(VLOOKUP($T$525,'TAR FIN'!$A$1:$O$85,15,0)),0,VLOOKUP($T$525,'TAR FIN'!$A$1:$O$85,15,0))*(1-0.06)</f>
        <v>1246.8066000000001</v>
      </c>
      <c r="X525" s="70">
        <f>IF(ISERROR(VLOOKUP($U$525,'TAR FIN'!$A$1:$O$85,15,0)),0,VLOOKUP($U$525,'TAR FIN'!$A$1:$O$85,15,0))*(1-0.06)</f>
        <v>463.08159999999998</v>
      </c>
      <c r="Y525" s="70"/>
      <c r="Z525" s="70">
        <f ca="1">('TUSD BE'!$AM$11+'TUSD BF'!$AM$11+'TUSD CVA'!$AM$11)*1*(1-0.03)</f>
        <v>1486.0419769341061</v>
      </c>
      <c r="AA525" s="70">
        <f>('TE BE'!$AB$5+'TE BF'!$AB$5+'TE CVA'!$AB$5)*1*(1-0.03)</f>
        <v>471.29969712597807</v>
      </c>
      <c r="AB525" s="6">
        <f>$K$525*$V$525</f>
        <v>0</v>
      </c>
      <c r="AC525" s="6">
        <f>$M$525*$W$525</f>
        <v>18840.494532600002</v>
      </c>
      <c r="AD525" s="6">
        <f>$O$525*$X$525</f>
        <v>6997.6260576000004</v>
      </c>
      <c r="AE525" s="6">
        <f>$K$525*$Y$525</f>
        <v>0</v>
      </c>
      <c r="AF525" s="6">
        <f ca="1">$M$525*$Z$525</f>
        <v>22455.580313451279</v>
      </c>
      <c r="AG525" s="6">
        <f>$O$525*$AA$525</f>
        <v>7121.809723270655</v>
      </c>
    </row>
    <row r="526" spans="1:33" ht="11.25" customHeight="1" x14ac:dyDescent="0.25">
      <c r="A526" s="4" t="s">
        <v>21</v>
      </c>
      <c r="B526" s="4" t="s">
        <v>39</v>
      </c>
      <c r="C526" s="4" t="s">
        <v>40</v>
      </c>
      <c r="D526" s="4" t="s">
        <v>49</v>
      </c>
      <c r="E526" s="4" t="s">
        <v>50</v>
      </c>
      <c r="F526" s="4" t="s">
        <v>25</v>
      </c>
      <c r="G526" s="4" t="s">
        <v>25</v>
      </c>
      <c r="H526" s="4" t="s">
        <v>34</v>
      </c>
      <c r="I526" s="5">
        <v>44470</v>
      </c>
      <c r="J526" s="6">
        <v>0</v>
      </c>
      <c r="K526" s="70">
        <v>0</v>
      </c>
      <c r="L526" s="6">
        <v>14.802</v>
      </c>
      <c r="M526" s="70">
        <v>14.802</v>
      </c>
      <c r="N526" s="6">
        <v>14.802</v>
      </c>
      <c r="O526" s="70">
        <v>14.802</v>
      </c>
      <c r="P526" s="6">
        <v>0</v>
      </c>
      <c r="Q526" s="4" t="s">
        <v>26</v>
      </c>
      <c r="R526" s="4">
        <v>0</v>
      </c>
      <c r="S526" s="6">
        <v>0</v>
      </c>
      <c r="T526" s="6">
        <v>7</v>
      </c>
      <c r="U526" s="6">
        <v>48</v>
      </c>
      <c r="V526" s="70">
        <f>IF(ISERROR(VLOOKUP($S$526,'TAR FIN'!$A$1:$O$85,15,0)),0,VLOOKUP($S$526,'TAR FIN'!$A$1:$O$85,15,0))</f>
        <v>0</v>
      </c>
      <c r="W526" s="70">
        <f>IF(ISERROR(VLOOKUP($T$526,'TAR FIN'!$A$1:$O$85,15,0)),0,VLOOKUP($T$526,'TAR FIN'!$A$1:$O$85,15,0))*(1-0.06)</f>
        <v>1246.8066000000001</v>
      </c>
      <c r="X526" s="70">
        <f>IF(ISERROR(VLOOKUP($U$526,'TAR FIN'!$A$1:$O$85,15,0)),0,VLOOKUP($U$526,'TAR FIN'!$A$1:$O$85,15,0))*(1-0.06)</f>
        <v>463.08159999999998</v>
      </c>
      <c r="Y526" s="70"/>
      <c r="Z526" s="70">
        <f ca="1">('TUSD BE'!$AM$11+'TUSD BF'!$AM$11+'TUSD CVA'!$AM$11)*1*(1-0.03)</f>
        <v>1486.0419769341061</v>
      </c>
      <c r="AA526" s="70">
        <f>('TE BE'!$AB$5+'TE BF'!$AB$5+'TE CVA'!$AB$5)*1*(1-0.03)</f>
        <v>471.29969712597807</v>
      </c>
      <c r="AB526" s="6">
        <f>$K$526*$V$526</f>
        <v>0</v>
      </c>
      <c r="AC526" s="6">
        <f>$M$526*$W$526</f>
        <v>18455.231293200002</v>
      </c>
      <c r="AD526" s="6">
        <f>$O$526*$X$526</f>
        <v>6854.5338431999999</v>
      </c>
      <c r="AE526" s="6">
        <f>$K$526*$Y$526</f>
        <v>0</v>
      </c>
      <c r="AF526" s="6">
        <f ca="1">$M$526*$Z$526</f>
        <v>21996.393342578638</v>
      </c>
      <c r="AG526" s="6">
        <f>$O$526*$AA$526</f>
        <v>6976.1781168587277</v>
      </c>
    </row>
    <row r="527" spans="1:33" ht="11.25" customHeight="1" x14ac:dyDescent="0.25">
      <c r="A527" s="4" t="s">
        <v>21</v>
      </c>
      <c r="B527" s="4" t="s">
        <v>39</v>
      </c>
      <c r="C527" s="4" t="s">
        <v>40</v>
      </c>
      <c r="D527" s="4" t="s">
        <v>49</v>
      </c>
      <c r="E527" s="4" t="s">
        <v>50</v>
      </c>
      <c r="F527" s="4" t="s">
        <v>25</v>
      </c>
      <c r="G527" s="4" t="s">
        <v>25</v>
      </c>
      <c r="H527" s="4" t="s">
        <v>34</v>
      </c>
      <c r="I527" s="5">
        <v>44501</v>
      </c>
      <c r="J527" s="6">
        <v>0</v>
      </c>
      <c r="K527" s="70">
        <v>0</v>
      </c>
      <c r="L527" s="6">
        <v>16.186</v>
      </c>
      <c r="M527" s="70">
        <v>16.186</v>
      </c>
      <c r="N527" s="6">
        <v>16.186</v>
      </c>
      <c r="O527" s="70">
        <v>16.186</v>
      </c>
      <c r="P527" s="6">
        <v>0</v>
      </c>
      <c r="Q527" s="4" t="s">
        <v>26</v>
      </c>
      <c r="R527" s="4">
        <v>0</v>
      </c>
      <c r="S527" s="6">
        <v>0</v>
      </c>
      <c r="T527" s="6">
        <v>7</v>
      </c>
      <c r="U527" s="6">
        <v>48</v>
      </c>
      <c r="V527" s="70">
        <f>IF(ISERROR(VLOOKUP($S$527,'TAR FIN'!$A$1:$O$85,15,0)),0,VLOOKUP($S$527,'TAR FIN'!$A$1:$O$85,15,0))</f>
        <v>0</v>
      </c>
      <c r="W527" s="70">
        <f>IF(ISERROR(VLOOKUP($T$527,'TAR FIN'!$A$1:$O$85,15,0)),0,VLOOKUP($T$527,'TAR FIN'!$A$1:$O$85,15,0))*(1-0.06)</f>
        <v>1246.8066000000001</v>
      </c>
      <c r="X527" s="70">
        <f>IF(ISERROR(VLOOKUP($U$527,'TAR FIN'!$A$1:$O$85,15,0)),0,VLOOKUP($U$527,'TAR FIN'!$A$1:$O$85,15,0))*(1-0.06)</f>
        <v>463.08159999999998</v>
      </c>
      <c r="Y527" s="70"/>
      <c r="Z527" s="70">
        <f ca="1">('TUSD BE'!$AM$11+'TUSD BF'!$AM$11+'TUSD CVA'!$AM$11)*1*(1-0.03)</f>
        <v>1486.0419769341061</v>
      </c>
      <c r="AA527" s="70">
        <f>('TE BE'!$AB$5+'TE BF'!$AB$5+'TE CVA'!$AB$5)*1*(1-0.03)</f>
        <v>471.29969712597807</v>
      </c>
      <c r="AB527" s="6">
        <f>$K$527*$V$527</f>
        <v>0</v>
      </c>
      <c r="AC527" s="6">
        <f>$M$527*$W$527</f>
        <v>20180.8116276</v>
      </c>
      <c r="AD527" s="6">
        <f>$O$527*$X$527</f>
        <v>7495.4387775999994</v>
      </c>
      <c r="AE527" s="6">
        <f>$K$527*$Y$527</f>
        <v>0</v>
      </c>
      <c r="AF527" s="6">
        <f ca="1">$M$527*$Z$527</f>
        <v>24053.07543865544</v>
      </c>
      <c r="AG527" s="6">
        <f>$O$527*$AA$527</f>
        <v>7628.4568976810806</v>
      </c>
    </row>
    <row r="528" spans="1:33" ht="11.25" customHeight="1" x14ac:dyDescent="0.25">
      <c r="A528" s="4" t="s">
        <v>27</v>
      </c>
      <c r="B528" s="4" t="s">
        <v>39</v>
      </c>
      <c r="C528" s="4" t="s">
        <v>40</v>
      </c>
      <c r="D528" s="4" t="s">
        <v>49</v>
      </c>
      <c r="E528" s="4" t="s">
        <v>50</v>
      </c>
      <c r="F528" s="4" t="s">
        <v>25</v>
      </c>
      <c r="G528" s="4" t="s">
        <v>25</v>
      </c>
      <c r="H528" s="4" t="s">
        <v>34</v>
      </c>
      <c r="I528" s="5">
        <v>44501</v>
      </c>
      <c r="J528" s="6">
        <v>0</v>
      </c>
      <c r="K528" s="70">
        <v>0</v>
      </c>
      <c r="L528" s="6">
        <v>3.3559999999999999</v>
      </c>
      <c r="M528" s="70">
        <v>3.3559999999999999</v>
      </c>
      <c r="N528" s="6">
        <v>3.3559999999999999</v>
      </c>
      <c r="O528" s="70">
        <v>3.3559999999999999</v>
      </c>
      <c r="P528" s="6">
        <v>0</v>
      </c>
      <c r="Q528" s="4" t="s">
        <v>26</v>
      </c>
      <c r="R528" s="4">
        <v>0</v>
      </c>
      <c r="S528" s="6">
        <v>0</v>
      </c>
      <c r="T528" s="6">
        <v>7</v>
      </c>
      <c r="U528" s="6">
        <v>48</v>
      </c>
      <c r="V528" s="70">
        <f>IF(ISERROR(VLOOKUP($S$528,'TAR FIN'!$A$1:$O$85,15,0)),0,VLOOKUP($S$528,'TAR FIN'!$A$1:$O$85,15,0))</f>
        <v>0</v>
      </c>
      <c r="W528" s="70">
        <f>IF(ISERROR(VLOOKUP($T$528,'TAR FIN'!$A$1:$O$85,15,0)),0,VLOOKUP($T$528,'TAR FIN'!$A$1:$O$85,15,0))*(1-0.06)</f>
        <v>1246.8066000000001</v>
      </c>
      <c r="X528" s="70">
        <f>IF(ISERROR(VLOOKUP($U$528,'TAR FIN'!$A$1:$O$85,15,0)),0,VLOOKUP($U$528,'TAR FIN'!$A$1:$O$85,15,0))*(1-0.06)</f>
        <v>463.08159999999998</v>
      </c>
      <c r="Y528" s="70"/>
      <c r="Z528" s="70">
        <f ca="1">('TUSD BE'!$AM$11+'TUSD BF'!$AM$11+'TUSD CVA'!$AM$11)*1*(1-0.03)</f>
        <v>1486.0419769341061</v>
      </c>
      <c r="AA528" s="70">
        <f>('TE BE'!$AB$5+'TE BF'!$AB$5+'TE CVA'!$AB$5)*1*(1-0.03)</f>
        <v>471.29969712597807</v>
      </c>
      <c r="AB528" s="6">
        <f>$K$528*$V$528</f>
        <v>0</v>
      </c>
      <c r="AC528" s="6">
        <f>$M$528*$W$528</f>
        <v>4184.2829496000004</v>
      </c>
      <c r="AD528" s="6">
        <f>$O$528*$X$528</f>
        <v>1554.1018495999999</v>
      </c>
      <c r="AE528" s="6">
        <f>$K$528*$Y$528</f>
        <v>0</v>
      </c>
      <c r="AF528" s="6">
        <f ca="1">$M$528*$Z$528</f>
        <v>4987.1568745908598</v>
      </c>
      <c r="AG528" s="6">
        <f>$O$528*$AA$528</f>
        <v>1581.6817835547824</v>
      </c>
    </row>
    <row r="529" spans="1:33" ht="11.25" customHeight="1" x14ac:dyDescent="0.25">
      <c r="A529" s="4" t="s">
        <v>21</v>
      </c>
      <c r="B529" s="4" t="s">
        <v>39</v>
      </c>
      <c r="C529" s="4" t="s">
        <v>40</v>
      </c>
      <c r="D529" s="4" t="s">
        <v>49</v>
      </c>
      <c r="E529" s="4" t="s">
        <v>50</v>
      </c>
      <c r="F529" s="4" t="s">
        <v>25</v>
      </c>
      <c r="G529" s="4" t="s">
        <v>25</v>
      </c>
      <c r="H529" s="4" t="s">
        <v>34</v>
      </c>
      <c r="I529" s="5">
        <v>44531</v>
      </c>
      <c r="J529" s="6">
        <v>0</v>
      </c>
      <c r="K529" s="70">
        <v>0</v>
      </c>
      <c r="L529" s="6">
        <v>18.338999999999999</v>
      </c>
      <c r="M529" s="70">
        <v>18.338999999999999</v>
      </c>
      <c r="N529" s="6">
        <v>18.338999999999999</v>
      </c>
      <c r="O529" s="70">
        <v>18.338999999999999</v>
      </c>
      <c r="P529" s="6">
        <v>0</v>
      </c>
      <c r="Q529" s="4" t="s">
        <v>26</v>
      </c>
      <c r="R529" s="4">
        <v>0</v>
      </c>
      <c r="S529" s="6">
        <v>0</v>
      </c>
      <c r="T529" s="6">
        <v>7</v>
      </c>
      <c r="U529" s="6">
        <v>48</v>
      </c>
      <c r="V529" s="70">
        <f>IF(ISERROR(VLOOKUP($S$529,'TAR FIN'!$A$1:$O$85,15,0)),0,VLOOKUP($S$529,'TAR FIN'!$A$1:$O$85,15,0))</f>
        <v>0</v>
      </c>
      <c r="W529" s="70">
        <f>IF(ISERROR(VLOOKUP($T$529,'TAR FIN'!$A$1:$O$85,15,0)),0,VLOOKUP($T$529,'TAR FIN'!$A$1:$O$85,15,0))*(1-0.06)</f>
        <v>1246.8066000000001</v>
      </c>
      <c r="X529" s="70">
        <f>IF(ISERROR(VLOOKUP($U$529,'TAR FIN'!$A$1:$O$85,15,0)),0,VLOOKUP($U$529,'TAR FIN'!$A$1:$O$85,15,0))*(1-0.06)</f>
        <v>463.08159999999998</v>
      </c>
      <c r="Y529" s="70"/>
      <c r="Z529" s="70">
        <f ca="1">('TUSD BE'!$AM$11+'TUSD BF'!$AM$11+'TUSD CVA'!$AM$11)*1*(1-0.03)</f>
        <v>1486.0419769341061</v>
      </c>
      <c r="AA529" s="70">
        <f>('TE BE'!$AB$5+'TE BF'!$AB$5+'TE CVA'!$AB$5)*1*(1-0.03)</f>
        <v>471.29969712597807</v>
      </c>
      <c r="AB529" s="6">
        <f>$K$529*$V$529</f>
        <v>0</v>
      </c>
      <c r="AC529" s="6">
        <f>$M$529*$W$529</f>
        <v>22865.186237400001</v>
      </c>
      <c r="AD529" s="6">
        <f>$O$529*$X$529</f>
        <v>8492.4534623999989</v>
      </c>
      <c r="AE529" s="6">
        <f>$K$529*$Y$529</f>
        <v>0</v>
      </c>
      <c r="AF529" s="6">
        <f ca="1">$M$529*$Z$529</f>
        <v>27252.523814994569</v>
      </c>
      <c r="AG529" s="6">
        <f>$O$529*$AA$529</f>
        <v>8643.1651455933115</v>
      </c>
    </row>
    <row r="530" spans="1:33" ht="11.25" customHeight="1" x14ac:dyDescent="0.25">
      <c r="A530" s="4" t="s">
        <v>21</v>
      </c>
      <c r="B530" s="4" t="s">
        <v>39</v>
      </c>
      <c r="C530" s="4" t="s">
        <v>40</v>
      </c>
      <c r="D530" s="4" t="s">
        <v>49</v>
      </c>
      <c r="E530" s="4" t="s">
        <v>50</v>
      </c>
      <c r="F530" s="4" t="s">
        <v>25</v>
      </c>
      <c r="G530" s="4" t="s">
        <v>25</v>
      </c>
      <c r="H530" s="4" t="s">
        <v>34</v>
      </c>
      <c r="I530" s="5">
        <v>44562</v>
      </c>
      <c r="J530" s="6">
        <v>0</v>
      </c>
      <c r="K530" s="70">
        <v>0</v>
      </c>
      <c r="L530" s="6">
        <v>18.408000000000001</v>
      </c>
      <c r="M530" s="70">
        <v>18.408000000000001</v>
      </c>
      <c r="N530" s="6">
        <v>18.408000000000001</v>
      </c>
      <c r="O530" s="70">
        <v>18.408000000000001</v>
      </c>
      <c r="P530" s="6">
        <v>0</v>
      </c>
      <c r="Q530" s="4" t="s">
        <v>26</v>
      </c>
      <c r="R530" s="4">
        <v>0</v>
      </c>
      <c r="S530" s="6">
        <v>0</v>
      </c>
      <c r="T530" s="6">
        <v>7</v>
      </c>
      <c r="U530" s="6">
        <v>48</v>
      </c>
      <c r="V530" s="70">
        <f>IF(ISERROR(VLOOKUP($S$530,'TAR FIN'!$A$1:$O$85,15,0)),0,VLOOKUP($S$530,'TAR FIN'!$A$1:$O$85,15,0))</f>
        <v>0</v>
      </c>
      <c r="W530" s="70">
        <f>IF(ISERROR(VLOOKUP($T$530,'TAR FIN'!$A$1:$O$85,15,0)),0,VLOOKUP($T$530,'TAR FIN'!$A$1:$O$85,15,0))*(1-0.06)</f>
        <v>1246.8066000000001</v>
      </c>
      <c r="X530" s="70">
        <f>IF(ISERROR(VLOOKUP($U$530,'TAR FIN'!$A$1:$O$85,15,0)),0,VLOOKUP($U$530,'TAR FIN'!$A$1:$O$85,15,0))*(1-0.06)</f>
        <v>463.08159999999998</v>
      </c>
      <c r="Y530" s="70"/>
      <c r="Z530" s="70">
        <f ca="1">('TUSD BE'!$AM$11+'TUSD BF'!$AM$11+'TUSD CVA'!$AM$11)*1*(1-0.03)</f>
        <v>1486.0419769341061</v>
      </c>
      <c r="AA530" s="70">
        <f>('TE BE'!$AB$5+'TE BF'!$AB$5+'TE CVA'!$AB$5)*1*(1-0.03)</f>
        <v>471.29969712597807</v>
      </c>
      <c r="AB530" s="6">
        <f>$K$530*$V$530</f>
        <v>0</v>
      </c>
      <c r="AC530" s="6">
        <f>$M$530*$W$530</f>
        <v>22951.215892800003</v>
      </c>
      <c r="AD530" s="6">
        <f>$O$530*$X$530</f>
        <v>8524.4060927999999</v>
      </c>
      <c r="AE530" s="6">
        <f>$K$530*$Y$530</f>
        <v>0</v>
      </c>
      <c r="AF530" s="6">
        <f ca="1">$M$530*$Z$530</f>
        <v>27355.060711403024</v>
      </c>
      <c r="AG530" s="6">
        <f>$O$530*$AA$530</f>
        <v>8675.6848246950049</v>
      </c>
    </row>
    <row r="531" spans="1:33" ht="11.25" customHeight="1" x14ac:dyDescent="0.25">
      <c r="A531" s="4" t="s">
        <v>21</v>
      </c>
      <c r="B531" s="4" t="s">
        <v>39</v>
      </c>
      <c r="C531" s="4" t="s">
        <v>40</v>
      </c>
      <c r="D531" s="4" t="s">
        <v>49</v>
      </c>
      <c r="E531" s="4" t="s">
        <v>50</v>
      </c>
      <c r="F531" s="4" t="s">
        <v>25</v>
      </c>
      <c r="G531" s="4" t="s">
        <v>25</v>
      </c>
      <c r="H531" s="4" t="s">
        <v>34</v>
      </c>
      <c r="I531" s="5">
        <v>44593</v>
      </c>
      <c r="J531" s="6">
        <v>0</v>
      </c>
      <c r="K531" s="70">
        <v>0</v>
      </c>
      <c r="L531" s="6">
        <v>17.873000000000001</v>
      </c>
      <c r="M531" s="70">
        <v>17.873000000000001</v>
      </c>
      <c r="N531" s="6">
        <v>17.873000000000001</v>
      </c>
      <c r="O531" s="70">
        <v>17.873000000000001</v>
      </c>
      <c r="P531" s="6">
        <v>0</v>
      </c>
      <c r="Q531" s="4" t="s">
        <v>26</v>
      </c>
      <c r="R531" s="4">
        <v>0</v>
      </c>
      <c r="S531" s="6">
        <v>0</v>
      </c>
      <c r="T531" s="6">
        <v>7</v>
      </c>
      <c r="U531" s="6">
        <v>48</v>
      </c>
      <c r="V531" s="70">
        <f>IF(ISERROR(VLOOKUP($S$531,'TAR FIN'!$A$1:$O$85,15,0)),0,VLOOKUP($S$531,'TAR FIN'!$A$1:$O$85,15,0))</f>
        <v>0</v>
      </c>
      <c r="W531" s="70">
        <f>IF(ISERROR(VLOOKUP($T$531,'TAR FIN'!$A$1:$O$85,15,0)),0,VLOOKUP($T$531,'TAR FIN'!$A$1:$O$85,15,0))*(1-0.06)</f>
        <v>1246.8066000000001</v>
      </c>
      <c r="X531" s="70">
        <f>IF(ISERROR(VLOOKUP($U$531,'TAR FIN'!$A$1:$O$85,15,0)),0,VLOOKUP($U$531,'TAR FIN'!$A$1:$O$85,15,0))*(1-0.06)</f>
        <v>463.08159999999998</v>
      </c>
      <c r="Y531" s="70"/>
      <c r="Z531" s="70">
        <f ca="1">('TUSD BE'!$AM$11+'TUSD BF'!$AM$11+'TUSD CVA'!$AM$11)*1*(1-0.03)</f>
        <v>1486.0419769341061</v>
      </c>
      <c r="AA531" s="70">
        <f>('TE BE'!$AB$5+'TE BF'!$AB$5+'TE CVA'!$AB$5)*1*(1-0.03)</f>
        <v>471.29969712597807</v>
      </c>
      <c r="AB531" s="6">
        <f>$K$531*$V$531</f>
        <v>0</v>
      </c>
      <c r="AC531" s="6">
        <f>$M$531*$W$531</f>
        <v>22284.174361800004</v>
      </c>
      <c r="AD531" s="6">
        <f>$O$531*$X$531</f>
        <v>8276.6574368000001</v>
      </c>
      <c r="AE531" s="6">
        <f>$K$531*$Y$531</f>
        <v>0</v>
      </c>
      <c r="AF531" s="6">
        <f ca="1">$M$531*$Z$531</f>
        <v>26560.028253743279</v>
      </c>
      <c r="AG531" s="6">
        <f>$O$531*$AA$531</f>
        <v>8423.5394867326067</v>
      </c>
    </row>
    <row r="532" spans="1:33" ht="11.25" customHeight="1" x14ac:dyDescent="0.25">
      <c r="A532" s="4" t="s">
        <v>21</v>
      </c>
      <c r="B532" s="4" t="s">
        <v>39</v>
      </c>
      <c r="C532" s="4" t="s">
        <v>40</v>
      </c>
      <c r="D532" s="4" t="s">
        <v>49</v>
      </c>
      <c r="E532" s="4" t="s">
        <v>50</v>
      </c>
      <c r="F532" s="4" t="s">
        <v>25</v>
      </c>
      <c r="G532" s="4" t="s">
        <v>25</v>
      </c>
      <c r="H532" s="4" t="s">
        <v>34</v>
      </c>
      <c r="I532" s="5">
        <v>44621</v>
      </c>
      <c r="J532" s="6">
        <v>0</v>
      </c>
      <c r="K532" s="70">
        <v>0</v>
      </c>
      <c r="L532" s="6">
        <v>19.698</v>
      </c>
      <c r="M532" s="70">
        <v>19.698</v>
      </c>
      <c r="N532" s="6">
        <v>19.698</v>
      </c>
      <c r="O532" s="70">
        <v>19.698</v>
      </c>
      <c r="P532" s="6">
        <v>0</v>
      </c>
      <c r="Q532" s="4" t="s">
        <v>26</v>
      </c>
      <c r="R532" s="4">
        <v>0</v>
      </c>
      <c r="S532" s="6">
        <v>0</v>
      </c>
      <c r="T532" s="6">
        <v>7</v>
      </c>
      <c r="U532" s="6">
        <v>48</v>
      </c>
      <c r="V532" s="70">
        <f>IF(ISERROR(VLOOKUP($S$532,'TAR FIN'!$A$1:$O$85,15,0)),0,VLOOKUP($S$532,'TAR FIN'!$A$1:$O$85,15,0))</f>
        <v>0</v>
      </c>
      <c r="W532" s="70">
        <f>IF(ISERROR(VLOOKUP($T$532,'TAR FIN'!$A$1:$O$85,15,0)),0,VLOOKUP($T$532,'TAR FIN'!$A$1:$O$85,15,0))*(1-0.06)</f>
        <v>1246.8066000000001</v>
      </c>
      <c r="X532" s="70">
        <f>IF(ISERROR(VLOOKUP($U$532,'TAR FIN'!$A$1:$O$85,15,0)),0,VLOOKUP($U$532,'TAR FIN'!$A$1:$O$85,15,0))*(1-0.06)</f>
        <v>463.08159999999998</v>
      </c>
      <c r="Y532" s="70"/>
      <c r="Z532" s="70">
        <f ca="1">('TUSD BE'!$AM$11+'TUSD BF'!$AM$11+'TUSD CVA'!$AM$11)*1*(1-0.03)</f>
        <v>1486.0419769341061</v>
      </c>
      <c r="AA532" s="70">
        <f>('TE BE'!$AB$5+'TE BF'!$AB$5+'TE CVA'!$AB$5)*1*(1-0.03)</f>
        <v>471.29969712597807</v>
      </c>
      <c r="AB532" s="6">
        <f>$K$532*$V$532</f>
        <v>0</v>
      </c>
      <c r="AC532" s="6">
        <f>$M$532*$W$532</f>
        <v>24559.596406800003</v>
      </c>
      <c r="AD532" s="6">
        <f>$O$532*$X$532</f>
        <v>9121.7813568000001</v>
      </c>
      <c r="AE532" s="6">
        <f>$K$532*$Y$532</f>
        <v>0</v>
      </c>
      <c r="AF532" s="6">
        <f ca="1">$M$532*$Z$532</f>
        <v>29272.054861648023</v>
      </c>
      <c r="AG532" s="6">
        <f>$O$532*$AA$532</f>
        <v>9283.6614339875159</v>
      </c>
    </row>
    <row r="533" spans="1:33" ht="11.25" customHeight="1" x14ac:dyDescent="0.25">
      <c r="A533" s="4" t="s">
        <v>21</v>
      </c>
      <c r="B533" s="4" t="s">
        <v>39</v>
      </c>
      <c r="C533" s="4" t="s">
        <v>40</v>
      </c>
      <c r="D533" s="4" t="s">
        <v>49</v>
      </c>
      <c r="E533" s="4" t="s">
        <v>50</v>
      </c>
      <c r="F533" s="4" t="s">
        <v>25</v>
      </c>
      <c r="G533" s="4" t="s">
        <v>25</v>
      </c>
      <c r="H533" s="4" t="s">
        <v>34</v>
      </c>
      <c r="I533" s="5">
        <v>44652</v>
      </c>
      <c r="J533" s="6">
        <v>0</v>
      </c>
      <c r="K533" s="70">
        <v>0</v>
      </c>
      <c r="L533" s="6">
        <v>19.228000000000002</v>
      </c>
      <c r="M533" s="70">
        <v>19.228000000000002</v>
      </c>
      <c r="N533" s="6">
        <v>19.228000000000002</v>
      </c>
      <c r="O533" s="70">
        <v>19.228000000000002</v>
      </c>
      <c r="P533" s="6">
        <v>0</v>
      </c>
      <c r="Q533" s="4" t="s">
        <v>26</v>
      </c>
      <c r="R533" s="4">
        <v>0</v>
      </c>
      <c r="S533" s="6">
        <v>0</v>
      </c>
      <c r="T533" s="6">
        <v>7</v>
      </c>
      <c r="U533" s="6">
        <v>48</v>
      </c>
      <c r="V533" s="70">
        <f>IF(ISERROR(VLOOKUP($S$533,'TAR FIN'!$A$1:$O$85,15,0)),0,VLOOKUP($S$533,'TAR FIN'!$A$1:$O$85,15,0))</f>
        <v>0</v>
      </c>
      <c r="W533" s="70">
        <f>IF(ISERROR(VLOOKUP($T$533,'TAR FIN'!$A$1:$O$85,15,0)),0,VLOOKUP($T$533,'TAR FIN'!$A$1:$O$85,15,0))*(1-0.06)</f>
        <v>1246.8066000000001</v>
      </c>
      <c r="X533" s="70">
        <f>IF(ISERROR(VLOOKUP($U$533,'TAR FIN'!$A$1:$O$85,15,0)),0,VLOOKUP($U$533,'TAR FIN'!$A$1:$O$85,15,0))*(1-0.06)</f>
        <v>463.08159999999998</v>
      </c>
      <c r="Y533" s="70"/>
      <c r="Z533" s="70">
        <f ca="1">('TUSD BE'!$AM$11+'TUSD BF'!$AM$11+'TUSD CVA'!$AM$11)*1*(1-0.03)</f>
        <v>1486.0419769341061</v>
      </c>
      <c r="AA533" s="70">
        <f>('TE BE'!$AB$5+'TE BF'!$AB$5+'TE CVA'!$AB$5)*1*(1-0.03)</f>
        <v>471.29969712597807</v>
      </c>
      <c r="AB533" s="6">
        <f>$K$533*$V$533</f>
        <v>0</v>
      </c>
      <c r="AC533" s="6">
        <f>$M$533*$W$533</f>
        <v>23973.597304800005</v>
      </c>
      <c r="AD533" s="6">
        <f>$O$533*$X$533</f>
        <v>8904.1330048</v>
      </c>
      <c r="AE533" s="6">
        <f>$K$533*$Y$533</f>
        <v>0</v>
      </c>
      <c r="AF533" s="6">
        <f ca="1">$M$533*$Z$533</f>
        <v>28573.615132488994</v>
      </c>
      <c r="AG533" s="6">
        <f>$O$533*$AA$533</f>
        <v>9062.1505763383066</v>
      </c>
    </row>
    <row r="534" spans="1:33" ht="11.25" customHeight="1" x14ac:dyDescent="0.25">
      <c r="A534" s="4" t="s">
        <v>21</v>
      </c>
      <c r="B534" s="4" t="s">
        <v>39</v>
      </c>
      <c r="C534" s="4" t="s">
        <v>40</v>
      </c>
      <c r="D534" s="4" t="s">
        <v>49</v>
      </c>
      <c r="E534" s="4" t="s">
        <v>50</v>
      </c>
      <c r="F534" s="4" t="s">
        <v>25</v>
      </c>
      <c r="G534" s="4" t="s">
        <v>25</v>
      </c>
      <c r="H534" s="4" t="s">
        <v>34</v>
      </c>
      <c r="I534" s="5">
        <v>44682</v>
      </c>
      <c r="J534" s="6">
        <v>0</v>
      </c>
      <c r="K534" s="70">
        <v>0</v>
      </c>
      <c r="L534" s="6">
        <v>17.064</v>
      </c>
      <c r="M534" s="70">
        <v>17.064</v>
      </c>
      <c r="N534" s="6">
        <v>17.064</v>
      </c>
      <c r="O534" s="70">
        <v>17.064</v>
      </c>
      <c r="P534" s="6">
        <v>0</v>
      </c>
      <c r="Q534" s="4" t="s">
        <v>26</v>
      </c>
      <c r="R534" s="4">
        <v>0</v>
      </c>
      <c r="S534" s="6">
        <v>0</v>
      </c>
      <c r="T534" s="6">
        <v>7</v>
      </c>
      <c r="U534" s="6">
        <v>48</v>
      </c>
      <c r="V534" s="70">
        <f>IF(ISERROR(VLOOKUP($S$534,'TAR FIN'!$A$1:$O$85,15,0)),0,VLOOKUP($S$534,'TAR FIN'!$A$1:$O$85,15,0))</f>
        <v>0</v>
      </c>
      <c r="W534" s="70">
        <f>IF(ISERROR(VLOOKUP($T$534,'TAR FIN'!$A$1:$O$85,15,0)),0,VLOOKUP($T$534,'TAR FIN'!$A$1:$O$85,15,0))*(1-0.06)</f>
        <v>1246.8066000000001</v>
      </c>
      <c r="X534" s="70">
        <f>IF(ISERROR(VLOOKUP($U$534,'TAR FIN'!$A$1:$O$85,15,0)),0,VLOOKUP($U$534,'TAR FIN'!$A$1:$O$85,15,0))*(1-0.06)</f>
        <v>463.08159999999998</v>
      </c>
      <c r="Y534" s="70"/>
      <c r="Z534" s="70">
        <f ca="1">('TUSD BE'!$AM$11+'TUSD BF'!$AM$11+'TUSD CVA'!$AM$11)*1*(1-0.03)</f>
        <v>1486.0419769341061</v>
      </c>
      <c r="AA534" s="70">
        <f>('TE BE'!$AB$5+'TE BF'!$AB$5+'TE CVA'!$AB$5)*1*(1-0.03)</f>
        <v>471.29969712597807</v>
      </c>
      <c r="AB534" s="6">
        <f>$K$534*$V$534</f>
        <v>0</v>
      </c>
      <c r="AC534" s="6">
        <f>$M$534*$W$534</f>
        <v>21275.507822400003</v>
      </c>
      <c r="AD534" s="6">
        <f>$O$534*$X$534</f>
        <v>7902.0244223999998</v>
      </c>
      <c r="AE534" s="6">
        <f>$K$534*$Y$534</f>
        <v>0</v>
      </c>
      <c r="AF534" s="6">
        <f ca="1">$M$534*$Z$534</f>
        <v>25357.820294403587</v>
      </c>
      <c r="AG534" s="6">
        <f>$O$534*$AA$534</f>
        <v>8042.2580317576894</v>
      </c>
    </row>
    <row r="535" spans="1:33" ht="11.25" customHeight="1" x14ac:dyDescent="0.25">
      <c r="A535" s="4" t="s">
        <v>21</v>
      </c>
      <c r="B535" s="4" t="s">
        <v>39</v>
      </c>
      <c r="C535" s="4" t="s">
        <v>40</v>
      </c>
      <c r="D535" s="4" t="s">
        <v>49</v>
      </c>
      <c r="E535" s="4" t="s">
        <v>50</v>
      </c>
      <c r="F535" s="4" t="s">
        <v>25</v>
      </c>
      <c r="G535" s="4" t="s">
        <v>25</v>
      </c>
      <c r="H535" s="4" t="s">
        <v>34</v>
      </c>
      <c r="I535" s="5">
        <v>44713</v>
      </c>
      <c r="J535" s="6">
        <v>0</v>
      </c>
      <c r="K535" s="70">
        <v>0</v>
      </c>
      <c r="L535" s="6">
        <v>16.731000000000002</v>
      </c>
      <c r="M535" s="70">
        <v>16.731000000000002</v>
      </c>
      <c r="N535" s="6">
        <v>16.731000000000002</v>
      </c>
      <c r="O535" s="70">
        <v>16.731000000000002</v>
      </c>
      <c r="P535" s="6">
        <v>0</v>
      </c>
      <c r="Q535" s="4" t="s">
        <v>26</v>
      </c>
      <c r="R535" s="4">
        <v>0</v>
      </c>
      <c r="S535" s="6">
        <v>0</v>
      </c>
      <c r="T535" s="6">
        <v>7</v>
      </c>
      <c r="U535" s="6">
        <v>48</v>
      </c>
      <c r="V535" s="70">
        <f>IF(ISERROR(VLOOKUP($S$535,'TAR FIN'!$A$1:$O$85,15,0)),0,VLOOKUP($S$535,'TAR FIN'!$A$1:$O$85,15,0))</f>
        <v>0</v>
      </c>
      <c r="W535" s="70">
        <f>IF(ISERROR(VLOOKUP($T$535,'TAR FIN'!$A$1:$O$85,15,0)),0,VLOOKUP($T$535,'TAR FIN'!$A$1:$O$85,15,0))*(1-0.06)</f>
        <v>1246.8066000000001</v>
      </c>
      <c r="X535" s="70">
        <f>IF(ISERROR(VLOOKUP($U$535,'TAR FIN'!$A$1:$O$85,15,0)),0,VLOOKUP($U$535,'TAR FIN'!$A$1:$O$85,15,0))*(1-0.06)</f>
        <v>463.08159999999998</v>
      </c>
      <c r="Y535" s="70"/>
      <c r="Z535" s="70">
        <f ca="1">('TUSD BE'!$AM$11+'TUSD BF'!$AM$11+'TUSD CVA'!$AM$11)*1*(1-0.03)</f>
        <v>1486.0419769341061</v>
      </c>
      <c r="AA535" s="70">
        <f>('TE BE'!$AB$5+'TE BF'!$AB$5+'TE CVA'!$AB$5)*1*(1-0.03)</f>
        <v>471.29969712597807</v>
      </c>
      <c r="AB535" s="6">
        <f>$K$535*$V$535</f>
        <v>0</v>
      </c>
      <c r="AC535" s="6">
        <f>$M$535*$W$535</f>
        <v>20860.321224600004</v>
      </c>
      <c r="AD535" s="6">
        <f>$O$535*$X$535</f>
        <v>7747.8182496000009</v>
      </c>
      <c r="AE535" s="6">
        <f>$K$535*$Y$535</f>
        <v>0</v>
      </c>
      <c r="AF535" s="6">
        <f ca="1">$M$535*$Z$535</f>
        <v>24862.968316084531</v>
      </c>
      <c r="AG535" s="6">
        <f>$O$535*$AA$535</f>
        <v>7885.3152326147401</v>
      </c>
    </row>
    <row r="536" spans="1:33" ht="11.25" customHeight="1" x14ac:dyDescent="0.25">
      <c r="A536" s="4" t="s">
        <v>21</v>
      </c>
      <c r="B536" s="4" t="s">
        <v>39</v>
      </c>
      <c r="C536" s="4" t="s">
        <v>40</v>
      </c>
      <c r="D536" s="4" t="s">
        <v>49</v>
      </c>
      <c r="E536" s="4" t="s">
        <v>50</v>
      </c>
      <c r="F536" s="4" t="s">
        <v>25</v>
      </c>
      <c r="G536" s="4" t="s">
        <v>25</v>
      </c>
      <c r="H536" s="4" t="s">
        <v>34</v>
      </c>
      <c r="I536" s="5">
        <v>44743</v>
      </c>
      <c r="J536" s="6">
        <v>0</v>
      </c>
      <c r="K536" s="70">
        <v>0</v>
      </c>
      <c r="L536" s="6">
        <v>16.405000000000001</v>
      </c>
      <c r="M536" s="70">
        <v>16.405000000000001</v>
      </c>
      <c r="N536" s="6">
        <v>16.405000000000001</v>
      </c>
      <c r="O536" s="70">
        <v>16.405000000000001</v>
      </c>
      <c r="P536" s="6">
        <v>0</v>
      </c>
      <c r="Q536" s="4" t="s">
        <v>26</v>
      </c>
      <c r="R536" s="4">
        <v>0</v>
      </c>
      <c r="S536" s="6">
        <v>0</v>
      </c>
      <c r="T536" s="6">
        <v>7</v>
      </c>
      <c r="U536" s="6">
        <v>48</v>
      </c>
      <c r="V536" s="70">
        <f>IF(ISERROR(VLOOKUP($S$536,'TAR FIN'!$A$1:$O$85,15,0)),0,VLOOKUP($S$536,'TAR FIN'!$A$1:$O$85,15,0))</f>
        <v>0</v>
      </c>
      <c r="W536" s="70">
        <f>IF(ISERROR(VLOOKUP($T$536,'TAR FIN'!$A$1:$O$85,15,0)),0,VLOOKUP($T$536,'TAR FIN'!$A$1:$O$85,15,0))*(1-0.06)</f>
        <v>1246.8066000000001</v>
      </c>
      <c r="X536" s="70">
        <f>IF(ISERROR(VLOOKUP($U$536,'TAR FIN'!$A$1:$O$85,15,0)),0,VLOOKUP($U$536,'TAR FIN'!$A$1:$O$85,15,0))*(1-0.06)</f>
        <v>463.08159999999998</v>
      </c>
      <c r="Y536" s="70"/>
      <c r="Z536" s="70">
        <f ca="1">('TUSD BE'!$AM$11+'TUSD BF'!$AM$11+'TUSD CVA'!$AM$11)*1*(1-0.03)</f>
        <v>1486.0419769341061</v>
      </c>
      <c r="AA536" s="70">
        <f>('TE BE'!$AB$5+'TE BF'!$AB$5+'TE CVA'!$AB$5)*1*(1-0.03)</f>
        <v>471.29969712597807</v>
      </c>
      <c r="AB536" s="6">
        <f>$K$536*$V$536</f>
        <v>0</v>
      </c>
      <c r="AC536" s="6">
        <f>$M$536*$W$536</f>
        <v>20453.862273000002</v>
      </c>
      <c r="AD536" s="6">
        <f>$O$536*$X$536</f>
        <v>7596.8536480000002</v>
      </c>
      <c r="AE536" s="6">
        <f>$K$536*$Y$536</f>
        <v>0</v>
      </c>
      <c r="AF536" s="6">
        <f ca="1">$M$536*$Z$536</f>
        <v>24378.518631604013</v>
      </c>
      <c r="AG536" s="6">
        <f>$O$536*$AA$536</f>
        <v>7731.6715313516706</v>
      </c>
    </row>
    <row r="537" spans="1:33" ht="11.25" customHeight="1" x14ac:dyDescent="0.25">
      <c r="A537" s="4" t="s">
        <v>56</v>
      </c>
      <c r="B537" s="4" t="s">
        <v>39</v>
      </c>
      <c r="C537" s="4" t="s">
        <v>40</v>
      </c>
      <c r="D537" s="4" t="s">
        <v>49</v>
      </c>
      <c r="E537" s="4" t="s">
        <v>50</v>
      </c>
      <c r="F537" s="4" t="s">
        <v>25</v>
      </c>
      <c r="G537" s="4" t="s">
        <v>25</v>
      </c>
      <c r="H537" s="4" t="s">
        <v>34</v>
      </c>
      <c r="I537" s="5">
        <v>44774</v>
      </c>
      <c r="J537" s="6">
        <v>0</v>
      </c>
      <c r="K537" s="70">
        <v>0</v>
      </c>
      <c r="L537" s="6">
        <v>16.405000000000001</v>
      </c>
      <c r="M537" s="70">
        <v>16.405000000000001</v>
      </c>
      <c r="N537" s="6">
        <v>16.405000000000001</v>
      </c>
      <c r="O537" s="70">
        <v>16.405000000000001</v>
      </c>
      <c r="P537" s="6">
        <v>0</v>
      </c>
      <c r="Q537" s="4" t="s">
        <v>26</v>
      </c>
      <c r="R537" s="4">
        <v>0</v>
      </c>
      <c r="S537" s="6">
        <v>0</v>
      </c>
      <c r="T537" s="6">
        <v>7</v>
      </c>
      <c r="U537" s="6">
        <v>48</v>
      </c>
      <c r="V537" s="70">
        <f>IF(ISERROR(VLOOKUP($S$537,'TAR FIN'!$A$1:$O$85,15,0)),0,VLOOKUP($S$537,'TAR FIN'!$A$1:$O$85,15,0))</f>
        <v>0</v>
      </c>
      <c r="W537" s="70">
        <f>IF(ISERROR(VLOOKUP($T$537,'TAR FIN'!$A$1:$O$85,15,0)),0,VLOOKUP($T$537,'TAR FIN'!$A$1:$O$85,15,0))*(1-0.06)</f>
        <v>1246.8066000000001</v>
      </c>
      <c r="X537" s="70">
        <f>IF(ISERROR(VLOOKUP($U$537,'TAR FIN'!$A$1:$O$85,15,0)),0,VLOOKUP($U$537,'TAR FIN'!$A$1:$O$85,15,0))*(1-0.06)</f>
        <v>463.08159999999998</v>
      </c>
      <c r="Y537" s="70"/>
      <c r="Z537" s="70">
        <f ca="1">('TUSD BE'!$AM$11+'TUSD BF'!$AM$11+'TUSD CVA'!$AM$11)*1*(1-0.03)</f>
        <v>1486.0419769341061</v>
      </c>
      <c r="AA537" s="70">
        <f>('TE BE'!$AB$5+'TE BF'!$AB$5+'TE CVA'!$AB$5)*1*(1-0.03)</f>
        <v>471.29969712597807</v>
      </c>
      <c r="AB537" s="6">
        <f>$K$537*$V$537</f>
        <v>0</v>
      </c>
      <c r="AC537" s="6">
        <f>$M$537*$W$537</f>
        <v>20453.862273000002</v>
      </c>
      <c r="AD537" s="6">
        <f>$O$537*$X$537</f>
        <v>7596.8536480000002</v>
      </c>
      <c r="AE537" s="6">
        <f>$K$537*$Y$537</f>
        <v>0</v>
      </c>
      <c r="AF537" s="6">
        <f ca="1">$M$537*$Z$537</f>
        <v>24378.518631604013</v>
      </c>
      <c r="AG537" s="6">
        <f>$O$537*$AA$537</f>
        <v>7731.6715313516706</v>
      </c>
    </row>
    <row r="538" spans="1:33" ht="11.25" customHeight="1" x14ac:dyDescent="0.25">
      <c r="A538" s="4" t="s">
        <v>21</v>
      </c>
      <c r="B538" s="4" t="s">
        <v>22</v>
      </c>
      <c r="C538" s="4" t="s">
        <v>33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35</v>
      </c>
      <c r="I538" s="5">
        <v>44440</v>
      </c>
      <c r="J538" s="6">
        <v>0</v>
      </c>
      <c r="K538" s="6">
        <v>0</v>
      </c>
      <c r="L538" s="6">
        <v>9.4320000000000004</v>
      </c>
      <c r="M538" s="6">
        <v>9.4320000000000004</v>
      </c>
      <c r="N538" s="6">
        <v>9.4320000000000004</v>
      </c>
      <c r="O538" s="6">
        <v>9.4320000000000004</v>
      </c>
      <c r="P538" s="6">
        <v>0</v>
      </c>
      <c r="Q538" s="4" t="s">
        <v>26</v>
      </c>
      <c r="R538" s="4">
        <v>0</v>
      </c>
      <c r="S538" s="6">
        <v>0</v>
      </c>
      <c r="T538" s="6">
        <v>15</v>
      </c>
      <c r="U538" s="6">
        <v>52</v>
      </c>
      <c r="V538" s="6">
        <f>IF(ISERROR(VLOOKUP($S$538,'TAR FIN'!$A$1:$O$85,15,0)),0,VLOOKUP($S$538,'TAR FIN'!$A$1:$O$85,15,0))</f>
        <v>0</v>
      </c>
      <c r="W538" s="6">
        <f>IF(ISERROR(VLOOKUP($T$538,'TAR FIN'!$A$1:$O$85,15,0)),0,VLOOKUP($T$538,'TAR FIN'!$A$1:$O$85,15,0))</f>
        <v>241.1</v>
      </c>
      <c r="X538" s="6">
        <f>IF(ISERROR(VLOOKUP($U$538,'TAR FIN'!$A$1:$O$85,15,0)),0,VLOOKUP($U$538,'TAR FIN'!$A$1:$O$85,15,0))</f>
        <v>307.08</v>
      </c>
      <c r="Y538" s="6"/>
      <c r="Z538" s="6">
        <f ca="1">('TUSD BE'!$AM$19+'TUSD BF'!$AM$19+'TUSD CVA'!$AM$19)*1</f>
        <v>342.61950973574812</v>
      </c>
      <c r="AA538" s="6">
        <f>('TE BE'!$AB$9+'TE BF'!$AB$9+'TE CVA'!$AB$9)*1</f>
        <v>304.87027853653359</v>
      </c>
      <c r="AB538" s="6">
        <f>$K$538*$V$538</f>
        <v>0</v>
      </c>
      <c r="AC538" s="6">
        <f>$M$538*$W$538</f>
        <v>2274.0552000000002</v>
      </c>
      <c r="AD538" s="6">
        <f>$O$538*$X$538</f>
        <v>2896.3785600000001</v>
      </c>
      <c r="AE538" s="6">
        <f>$K$538*$Y$538</f>
        <v>0</v>
      </c>
      <c r="AF538" s="6">
        <f ca="1">$M$538*$Z$538</f>
        <v>3231.5872158275765</v>
      </c>
      <c r="AG538" s="6">
        <f>$O$538*$AA$538</f>
        <v>2875.5364671565849</v>
      </c>
    </row>
    <row r="539" spans="1:33" ht="11.25" customHeight="1" x14ac:dyDescent="0.25">
      <c r="A539" s="4" t="s">
        <v>21</v>
      </c>
      <c r="B539" s="4" t="s">
        <v>22</v>
      </c>
      <c r="C539" s="4" t="s">
        <v>33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35</v>
      </c>
      <c r="I539" s="5">
        <v>44470</v>
      </c>
      <c r="J539" s="6">
        <v>0</v>
      </c>
      <c r="K539" s="6">
        <v>0</v>
      </c>
      <c r="L539" s="6">
        <v>10.689</v>
      </c>
      <c r="M539" s="6">
        <v>10.689</v>
      </c>
      <c r="N539" s="6">
        <v>10.689</v>
      </c>
      <c r="O539" s="6">
        <v>10.689</v>
      </c>
      <c r="P539" s="6">
        <v>0</v>
      </c>
      <c r="Q539" s="4" t="s">
        <v>26</v>
      </c>
      <c r="R539" s="4">
        <v>0</v>
      </c>
      <c r="S539" s="6">
        <v>0</v>
      </c>
      <c r="T539" s="6">
        <v>15</v>
      </c>
      <c r="U539" s="6">
        <v>52</v>
      </c>
      <c r="V539" s="6">
        <f>IF(ISERROR(VLOOKUP($S$539,'TAR FIN'!$A$1:$O$85,15,0)),0,VLOOKUP($S$539,'TAR FIN'!$A$1:$O$85,15,0))</f>
        <v>0</v>
      </c>
      <c r="W539" s="6">
        <f>IF(ISERROR(VLOOKUP($T$539,'TAR FIN'!$A$1:$O$85,15,0)),0,VLOOKUP($T$539,'TAR FIN'!$A$1:$O$85,15,0))</f>
        <v>241.1</v>
      </c>
      <c r="X539" s="6">
        <f>IF(ISERROR(VLOOKUP($U$539,'TAR FIN'!$A$1:$O$85,15,0)),0,VLOOKUP($U$539,'TAR FIN'!$A$1:$O$85,15,0))</f>
        <v>307.08</v>
      </c>
      <c r="Y539" s="6"/>
      <c r="Z539" s="6">
        <f ca="1">('TUSD BE'!$AM$19+'TUSD BF'!$AM$19+'TUSD CVA'!$AM$19)*1</f>
        <v>342.61950973574812</v>
      </c>
      <c r="AA539" s="6">
        <f>('TE BE'!$AB$9+'TE BF'!$AB$9+'TE CVA'!$AB$9)*1</f>
        <v>304.87027853653359</v>
      </c>
      <c r="AB539" s="6">
        <f>$K$539*$V$539</f>
        <v>0</v>
      </c>
      <c r="AC539" s="6">
        <f>$M$539*$W$539</f>
        <v>2577.1178999999997</v>
      </c>
      <c r="AD539" s="6">
        <f>$O$539*$X$539</f>
        <v>3282.3781199999999</v>
      </c>
      <c r="AE539" s="6">
        <f>$K$539*$Y$539</f>
        <v>0</v>
      </c>
      <c r="AF539" s="6">
        <f ca="1">$M$539*$Z$539</f>
        <v>3662.2599395654115</v>
      </c>
      <c r="AG539" s="6">
        <f>$O$539*$AA$539</f>
        <v>3258.7584072770073</v>
      </c>
    </row>
    <row r="540" spans="1:33" ht="11.25" customHeight="1" x14ac:dyDescent="0.25">
      <c r="A540" s="4" t="s">
        <v>21</v>
      </c>
      <c r="B540" s="4" t="s">
        <v>22</v>
      </c>
      <c r="C540" s="4" t="s">
        <v>33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35</v>
      </c>
      <c r="I540" s="5">
        <v>44501</v>
      </c>
      <c r="J540" s="6">
        <v>0</v>
      </c>
      <c r="K540" s="6">
        <v>0</v>
      </c>
      <c r="L540" s="6">
        <v>9.8710000000000004</v>
      </c>
      <c r="M540" s="6">
        <v>9.8710000000000004</v>
      </c>
      <c r="N540" s="6">
        <v>9.8710000000000004</v>
      </c>
      <c r="O540" s="6">
        <v>9.8710000000000004</v>
      </c>
      <c r="P540" s="6">
        <v>0</v>
      </c>
      <c r="Q540" s="4" t="s">
        <v>26</v>
      </c>
      <c r="R540" s="4">
        <v>0</v>
      </c>
      <c r="S540" s="6">
        <v>0</v>
      </c>
      <c r="T540" s="6">
        <v>15</v>
      </c>
      <c r="U540" s="6">
        <v>52</v>
      </c>
      <c r="V540" s="6">
        <f>IF(ISERROR(VLOOKUP($S$540,'TAR FIN'!$A$1:$O$85,15,0)),0,VLOOKUP($S$540,'TAR FIN'!$A$1:$O$85,15,0))</f>
        <v>0</v>
      </c>
      <c r="W540" s="6">
        <f>IF(ISERROR(VLOOKUP($T$540,'TAR FIN'!$A$1:$O$85,15,0)),0,VLOOKUP($T$540,'TAR FIN'!$A$1:$O$85,15,0))</f>
        <v>241.1</v>
      </c>
      <c r="X540" s="6">
        <f>IF(ISERROR(VLOOKUP($U$540,'TAR FIN'!$A$1:$O$85,15,0)),0,VLOOKUP($U$540,'TAR FIN'!$A$1:$O$85,15,0))</f>
        <v>307.08</v>
      </c>
      <c r="Y540" s="6"/>
      <c r="Z540" s="6">
        <f ca="1">('TUSD BE'!$AM$19+'TUSD BF'!$AM$19+'TUSD CVA'!$AM$19)*1</f>
        <v>342.61950973574812</v>
      </c>
      <c r="AA540" s="6">
        <f>('TE BE'!$AB$9+'TE BF'!$AB$9+'TE CVA'!$AB$9)*1</f>
        <v>304.87027853653359</v>
      </c>
      <c r="AB540" s="6">
        <f>$K$540*$V$540</f>
        <v>0</v>
      </c>
      <c r="AC540" s="6">
        <f>$M$540*$W$540</f>
        <v>2379.8980999999999</v>
      </c>
      <c r="AD540" s="6">
        <f>$O$540*$X$540</f>
        <v>3031.1866799999998</v>
      </c>
      <c r="AE540" s="6">
        <f>$K$540*$Y$540</f>
        <v>0</v>
      </c>
      <c r="AF540" s="6">
        <f ca="1">$M$540*$Z$540</f>
        <v>3381.9971806015701</v>
      </c>
      <c r="AG540" s="6">
        <f>$O$540*$AA$540</f>
        <v>3009.3745194341232</v>
      </c>
    </row>
    <row r="541" spans="1:33" ht="11.25" customHeight="1" x14ac:dyDescent="0.25">
      <c r="A541" s="4" t="s">
        <v>21</v>
      </c>
      <c r="B541" s="4" t="s">
        <v>22</v>
      </c>
      <c r="C541" s="4" t="s">
        <v>33</v>
      </c>
      <c r="D541" s="4" t="s">
        <v>24</v>
      </c>
      <c r="E541" s="4" t="s">
        <v>24</v>
      </c>
      <c r="F541" s="4" t="s">
        <v>25</v>
      </c>
      <c r="G541" s="4" t="s">
        <v>25</v>
      </c>
      <c r="H541" s="4" t="s">
        <v>35</v>
      </c>
      <c r="I541" s="5">
        <v>44531</v>
      </c>
      <c r="J541" s="6">
        <v>0</v>
      </c>
      <c r="K541" s="6">
        <v>0</v>
      </c>
      <c r="L541" s="6">
        <v>11.031000000000001</v>
      </c>
      <c r="M541" s="6">
        <v>11.031000000000001</v>
      </c>
      <c r="N541" s="6">
        <v>11.031000000000001</v>
      </c>
      <c r="O541" s="6">
        <v>11.031000000000001</v>
      </c>
      <c r="P541" s="6">
        <v>0</v>
      </c>
      <c r="Q541" s="4" t="s">
        <v>26</v>
      </c>
      <c r="R541" s="4">
        <v>0</v>
      </c>
      <c r="S541" s="6">
        <v>0</v>
      </c>
      <c r="T541" s="6">
        <v>15</v>
      </c>
      <c r="U541" s="6">
        <v>52</v>
      </c>
      <c r="V541" s="6">
        <f>IF(ISERROR(VLOOKUP($S$541,'TAR FIN'!$A$1:$O$85,15,0)),0,VLOOKUP($S$541,'TAR FIN'!$A$1:$O$85,15,0))</f>
        <v>0</v>
      </c>
      <c r="W541" s="6">
        <f>IF(ISERROR(VLOOKUP($T$541,'TAR FIN'!$A$1:$O$85,15,0)),0,VLOOKUP($T$541,'TAR FIN'!$A$1:$O$85,15,0))</f>
        <v>241.1</v>
      </c>
      <c r="X541" s="6">
        <f>IF(ISERROR(VLOOKUP($U$541,'TAR FIN'!$A$1:$O$85,15,0)),0,VLOOKUP($U$541,'TAR FIN'!$A$1:$O$85,15,0))</f>
        <v>307.08</v>
      </c>
      <c r="Y541" s="6"/>
      <c r="Z541" s="6">
        <f ca="1">('TUSD BE'!$AM$19+'TUSD BF'!$AM$19+'TUSD CVA'!$AM$19)*1</f>
        <v>342.61950973574812</v>
      </c>
      <c r="AA541" s="6">
        <f>('TE BE'!$AB$9+'TE BF'!$AB$9+'TE CVA'!$AB$9)*1</f>
        <v>304.87027853653359</v>
      </c>
      <c r="AB541" s="6">
        <f>$K$541*$V$541</f>
        <v>0</v>
      </c>
      <c r="AC541" s="6">
        <f>$M$541*$W$541</f>
        <v>2659.5741000000003</v>
      </c>
      <c r="AD541" s="6">
        <f>$O$541*$X$541</f>
        <v>3387.39948</v>
      </c>
      <c r="AE541" s="6">
        <f>$K$541*$Y$541</f>
        <v>0</v>
      </c>
      <c r="AF541" s="6">
        <f ca="1">$M$541*$Z$541</f>
        <v>3779.4358118950377</v>
      </c>
      <c r="AG541" s="6">
        <f>$O$541*$AA$541</f>
        <v>3363.0240425365023</v>
      </c>
    </row>
    <row r="542" spans="1:33" ht="11.25" customHeight="1" x14ac:dyDescent="0.25">
      <c r="A542" s="4" t="s">
        <v>21</v>
      </c>
      <c r="B542" s="4" t="s">
        <v>22</v>
      </c>
      <c r="C542" s="4" t="s">
        <v>33</v>
      </c>
      <c r="D542" s="4" t="s">
        <v>24</v>
      </c>
      <c r="E542" s="4" t="s">
        <v>24</v>
      </c>
      <c r="F542" s="4" t="s">
        <v>25</v>
      </c>
      <c r="G542" s="4" t="s">
        <v>25</v>
      </c>
      <c r="H542" s="4" t="s">
        <v>35</v>
      </c>
      <c r="I542" s="5">
        <v>44562</v>
      </c>
      <c r="J542" s="6">
        <v>0</v>
      </c>
      <c r="K542" s="6">
        <v>0</v>
      </c>
      <c r="L542" s="6">
        <v>11.08</v>
      </c>
      <c r="M542" s="6">
        <v>11.08</v>
      </c>
      <c r="N542" s="6">
        <v>11.08</v>
      </c>
      <c r="O542" s="6">
        <v>11.08</v>
      </c>
      <c r="P542" s="6">
        <v>0</v>
      </c>
      <c r="Q542" s="4" t="s">
        <v>26</v>
      </c>
      <c r="R542" s="4">
        <v>0</v>
      </c>
      <c r="S542" s="6">
        <v>0</v>
      </c>
      <c r="T542" s="6">
        <v>15</v>
      </c>
      <c r="U542" s="6">
        <v>52</v>
      </c>
      <c r="V542" s="6">
        <f>IF(ISERROR(VLOOKUP($S$542,'TAR FIN'!$A$1:$O$85,15,0)),0,VLOOKUP($S$542,'TAR FIN'!$A$1:$O$85,15,0))</f>
        <v>0</v>
      </c>
      <c r="W542" s="6">
        <f>IF(ISERROR(VLOOKUP($T$542,'TAR FIN'!$A$1:$O$85,15,0)),0,VLOOKUP($T$542,'TAR FIN'!$A$1:$O$85,15,0))</f>
        <v>241.1</v>
      </c>
      <c r="X542" s="6">
        <f>IF(ISERROR(VLOOKUP($U$542,'TAR FIN'!$A$1:$O$85,15,0)),0,VLOOKUP($U$542,'TAR FIN'!$A$1:$O$85,15,0))</f>
        <v>307.08</v>
      </c>
      <c r="Y542" s="6"/>
      <c r="Z542" s="6">
        <f ca="1">('TUSD BE'!$AM$19+'TUSD BF'!$AM$19+'TUSD CVA'!$AM$19)*1</f>
        <v>342.61950973574812</v>
      </c>
      <c r="AA542" s="6">
        <f>('TE BE'!$AB$9+'TE BF'!$AB$9+'TE CVA'!$AB$9)*1</f>
        <v>304.87027853653359</v>
      </c>
      <c r="AB542" s="6">
        <f>$K$542*$V$542</f>
        <v>0</v>
      </c>
      <c r="AC542" s="6">
        <f>$M$542*$W$542</f>
        <v>2671.3879999999999</v>
      </c>
      <c r="AD542" s="6">
        <f>$O$542*$X$542</f>
        <v>3402.4463999999998</v>
      </c>
      <c r="AE542" s="6">
        <f>$K$542*$Y$542</f>
        <v>0</v>
      </c>
      <c r="AF542" s="6">
        <f ca="1">$M$542*$Z$542</f>
        <v>3796.2241678720893</v>
      </c>
      <c r="AG542" s="6">
        <f>$O$542*$AA$542</f>
        <v>3377.9626861847923</v>
      </c>
    </row>
    <row r="543" spans="1:33" ht="11.25" customHeight="1" x14ac:dyDescent="0.25">
      <c r="A543" s="4" t="s">
        <v>21</v>
      </c>
      <c r="B543" s="4" t="s">
        <v>22</v>
      </c>
      <c r="C543" s="4" t="s">
        <v>33</v>
      </c>
      <c r="D543" s="4" t="s">
        <v>24</v>
      </c>
      <c r="E543" s="4" t="s">
        <v>24</v>
      </c>
      <c r="F543" s="4" t="s">
        <v>25</v>
      </c>
      <c r="G543" s="4" t="s">
        <v>25</v>
      </c>
      <c r="H543" s="4" t="s">
        <v>35</v>
      </c>
      <c r="I543" s="5">
        <v>44593</v>
      </c>
      <c r="J543" s="6">
        <v>0</v>
      </c>
      <c r="K543" s="6">
        <v>0</v>
      </c>
      <c r="L543" s="6">
        <v>13.28</v>
      </c>
      <c r="M543" s="6">
        <v>13.28</v>
      </c>
      <c r="N543" s="6">
        <v>13.28</v>
      </c>
      <c r="O543" s="6">
        <v>13.28</v>
      </c>
      <c r="P543" s="6">
        <v>0</v>
      </c>
      <c r="Q543" s="4" t="s">
        <v>26</v>
      </c>
      <c r="R543" s="4">
        <v>0</v>
      </c>
      <c r="S543" s="6">
        <v>0</v>
      </c>
      <c r="T543" s="6">
        <v>15</v>
      </c>
      <c r="U543" s="6">
        <v>52</v>
      </c>
      <c r="V543" s="6">
        <f>IF(ISERROR(VLOOKUP($S$543,'TAR FIN'!$A$1:$O$85,15,0)),0,VLOOKUP($S$543,'TAR FIN'!$A$1:$O$85,15,0))</f>
        <v>0</v>
      </c>
      <c r="W543" s="6">
        <f>IF(ISERROR(VLOOKUP($T$543,'TAR FIN'!$A$1:$O$85,15,0)),0,VLOOKUP($T$543,'TAR FIN'!$A$1:$O$85,15,0))</f>
        <v>241.1</v>
      </c>
      <c r="X543" s="6">
        <f>IF(ISERROR(VLOOKUP($U$543,'TAR FIN'!$A$1:$O$85,15,0)),0,VLOOKUP($U$543,'TAR FIN'!$A$1:$O$85,15,0))</f>
        <v>307.08</v>
      </c>
      <c r="Y543" s="6"/>
      <c r="Z543" s="6">
        <f ca="1">('TUSD BE'!$AM$19+'TUSD BF'!$AM$19+'TUSD CVA'!$AM$19)*1</f>
        <v>342.61950973574812</v>
      </c>
      <c r="AA543" s="6">
        <f>('TE BE'!$AB$9+'TE BF'!$AB$9+'TE CVA'!$AB$9)*1</f>
        <v>304.87027853653359</v>
      </c>
      <c r="AB543" s="6">
        <f>$K$543*$V$543</f>
        <v>0</v>
      </c>
      <c r="AC543" s="6">
        <f>$M$543*$W$543</f>
        <v>3201.808</v>
      </c>
      <c r="AD543" s="6">
        <f>$O$543*$X$543</f>
        <v>4078.0223999999994</v>
      </c>
      <c r="AE543" s="6">
        <f>$K$543*$Y$543</f>
        <v>0</v>
      </c>
      <c r="AF543" s="6">
        <f ca="1">$M$543*$Z$543</f>
        <v>4549.9870892907347</v>
      </c>
      <c r="AG543" s="6">
        <f>$O$543*$AA$543</f>
        <v>4048.6772989651658</v>
      </c>
    </row>
    <row r="544" spans="1:33" ht="11.25" customHeight="1" x14ac:dyDescent="0.25">
      <c r="A544" s="4" t="s">
        <v>21</v>
      </c>
      <c r="B544" s="4" t="s">
        <v>22</v>
      </c>
      <c r="C544" s="4" t="s">
        <v>33</v>
      </c>
      <c r="D544" s="4" t="s">
        <v>24</v>
      </c>
      <c r="E544" s="4" t="s">
        <v>24</v>
      </c>
      <c r="F544" s="4" t="s">
        <v>25</v>
      </c>
      <c r="G544" s="4" t="s">
        <v>25</v>
      </c>
      <c r="H544" s="4" t="s">
        <v>35</v>
      </c>
      <c r="I544" s="5">
        <v>44621</v>
      </c>
      <c r="J544" s="6">
        <v>0</v>
      </c>
      <c r="K544" s="6">
        <v>0</v>
      </c>
      <c r="L544" s="6">
        <v>12.452999999999999</v>
      </c>
      <c r="M544" s="6">
        <v>12.452999999999999</v>
      </c>
      <c r="N544" s="6">
        <v>12.452999999999999</v>
      </c>
      <c r="O544" s="6">
        <v>12.452999999999999</v>
      </c>
      <c r="P544" s="6">
        <v>0</v>
      </c>
      <c r="Q544" s="4" t="s">
        <v>26</v>
      </c>
      <c r="R544" s="4">
        <v>0</v>
      </c>
      <c r="S544" s="6">
        <v>0</v>
      </c>
      <c r="T544" s="6">
        <v>15</v>
      </c>
      <c r="U544" s="6">
        <v>52</v>
      </c>
      <c r="V544" s="6">
        <f>IF(ISERROR(VLOOKUP($S$544,'TAR FIN'!$A$1:$O$85,15,0)),0,VLOOKUP($S$544,'TAR FIN'!$A$1:$O$85,15,0))</f>
        <v>0</v>
      </c>
      <c r="W544" s="6">
        <f>IF(ISERROR(VLOOKUP($T$544,'TAR FIN'!$A$1:$O$85,15,0)),0,VLOOKUP($T$544,'TAR FIN'!$A$1:$O$85,15,0))</f>
        <v>241.1</v>
      </c>
      <c r="X544" s="6">
        <f>IF(ISERROR(VLOOKUP($U$544,'TAR FIN'!$A$1:$O$85,15,0)),0,VLOOKUP($U$544,'TAR FIN'!$A$1:$O$85,15,0))</f>
        <v>307.08</v>
      </c>
      <c r="Y544" s="6"/>
      <c r="Z544" s="6">
        <f ca="1">('TUSD BE'!$AM$19+'TUSD BF'!$AM$19+'TUSD CVA'!$AM$19)*1</f>
        <v>342.61950973574812</v>
      </c>
      <c r="AA544" s="6">
        <f>('TE BE'!$AB$9+'TE BF'!$AB$9+'TE CVA'!$AB$9)*1</f>
        <v>304.87027853653359</v>
      </c>
      <c r="AB544" s="6">
        <f>$K$544*$V$544</f>
        <v>0</v>
      </c>
      <c r="AC544" s="6">
        <f>$M$544*$W$544</f>
        <v>3002.4182999999998</v>
      </c>
      <c r="AD544" s="6">
        <f>$O$544*$X$544</f>
        <v>3824.0672399999994</v>
      </c>
      <c r="AE544" s="6">
        <f>$K$544*$Y$544</f>
        <v>0</v>
      </c>
      <c r="AF544" s="6">
        <f ca="1">$M$544*$Z$544</f>
        <v>4266.640754739271</v>
      </c>
      <c r="AG544" s="6">
        <f>$O$544*$AA$544</f>
        <v>3796.5495786154524</v>
      </c>
    </row>
    <row r="545" spans="1:33" ht="11.25" customHeight="1" x14ac:dyDescent="0.25">
      <c r="A545" s="4" t="s">
        <v>21</v>
      </c>
      <c r="B545" s="4" t="s">
        <v>22</v>
      </c>
      <c r="C545" s="4" t="s">
        <v>33</v>
      </c>
      <c r="D545" s="4" t="s">
        <v>24</v>
      </c>
      <c r="E545" s="4" t="s">
        <v>24</v>
      </c>
      <c r="F545" s="4" t="s">
        <v>25</v>
      </c>
      <c r="G545" s="4" t="s">
        <v>25</v>
      </c>
      <c r="H545" s="4" t="s">
        <v>35</v>
      </c>
      <c r="I545" s="5">
        <v>44652</v>
      </c>
      <c r="J545" s="6">
        <v>0</v>
      </c>
      <c r="K545" s="6">
        <v>0</v>
      </c>
      <c r="L545" s="6">
        <v>12.731999999999999</v>
      </c>
      <c r="M545" s="6">
        <v>12.731999999999999</v>
      </c>
      <c r="N545" s="6">
        <v>12.731999999999999</v>
      </c>
      <c r="O545" s="6">
        <v>12.731999999999999</v>
      </c>
      <c r="P545" s="6">
        <v>0</v>
      </c>
      <c r="Q545" s="4" t="s">
        <v>26</v>
      </c>
      <c r="R545" s="4">
        <v>0</v>
      </c>
      <c r="S545" s="6">
        <v>0</v>
      </c>
      <c r="T545" s="6">
        <v>15</v>
      </c>
      <c r="U545" s="6">
        <v>52</v>
      </c>
      <c r="V545" s="6">
        <f>IF(ISERROR(VLOOKUP($S$545,'TAR FIN'!$A$1:$O$85,15,0)),0,VLOOKUP($S$545,'TAR FIN'!$A$1:$O$85,15,0))</f>
        <v>0</v>
      </c>
      <c r="W545" s="6">
        <f>IF(ISERROR(VLOOKUP($T$545,'TAR FIN'!$A$1:$O$85,15,0)),0,VLOOKUP($T$545,'TAR FIN'!$A$1:$O$85,15,0))</f>
        <v>241.1</v>
      </c>
      <c r="X545" s="6">
        <f>IF(ISERROR(VLOOKUP($U$545,'TAR FIN'!$A$1:$O$85,15,0)),0,VLOOKUP($U$545,'TAR FIN'!$A$1:$O$85,15,0))</f>
        <v>307.08</v>
      </c>
      <c r="Y545" s="6"/>
      <c r="Z545" s="6">
        <f ca="1">('TUSD BE'!$AM$19+'TUSD BF'!$AM$19+'TUSD CVA'!$AM$19)*1</f>
        <v>342.61950973574812</v>
      </c>
      <c r="AA545" s="6">
        <f>('TE BE'!$AB$9+'TE BF'!$AB$9+'TE CVA'!$AB$9)*1</f>
        <v>304.87027853653359</v>
      </c>
      <c r="AB545" s="6">
        <f>$K$545*$V$545</f>
        <v>0</v>
      </c>
      <c r="AC545" s="6">
        <f>$M$545*$W$545</f>
        <v>3069.6851999999999</v>
      </c>
      <c r="AD545" s="6">
        <f>$O$545*$X$545</f>
        <v>3909.7425599999997</v>
      </c>
      <c r="AE545" s="6">
        <f>$K$545*$Y$545</f>
        <v>0</v>
      </c>
      <c r="AF545" s="6">
        <f ca="1">$M$545*$Z$545</f>
        <v>4362.2315979555451</v>
      </c>
      <c r="AG545" s="6">
        <f>$O$545*$AA$545</f>
        <v>3881.6083863271456</v>
      </c>
    </row>
    <row r="546" spans="1:33" ht="11.25" customHeight="1" x14ac:dyDescent="0.25">
      <c r="A546" s="4" t="s">
        <v>28</v>
      </c>
      <c r="B546" s="4" t="s">
        <v>22</v>
      </c>
      <c r="C546" s="4" t="s">
        <v>33</v>
      </c>
      <c r="D546" s="4" t="s">
        <v>24</v>
      </c>
      <c r="E546" s="4" t="s">
        <v>24</v>
      </c>
      <c r="F546" s="4" t="s">
        <v>25</v>
      </c>
      <c r="G546" s="4" t="s">
        <v>25</v>
      </c>
      <c r="H546" s="4" t="s">
        <v>35</v>
      </c>
      <c r="I546" s="5">
        <v>44652</v>
      </c>
      <c r="J546" s="6">
        <v>0</v>
      </c>
      <c r="K546" s="6">
        <v>0</v>
      </c>
      <c r="L546" s="6">
        <v>0.14000000000000001</v>
      </c>
      <c r="M546" s="6">
        <v>0.14000000000000001</v>
      </c>
      <c r="N546" s="6">
        <v>0.14000000000000001</v>
      </c>
      <c r="O546" s="6">
        <v>0.14000000000000001</v>
      </c>
      <c r="P546" s="6">
        <v>0</v>
      </c>
      <c r="Q546" s="4" t="s">
        <v>26</v>
      </c>
      <c r="R546" s="4">
        <v>0</v>
      </c>
      <c r="S546" s="6">
        <v>0</v>
      </c>
      <c r="T546" s="6">
        <v>15</v>
      </c>
      <c r="U546" s="6">
        <v>52</v>
      </c>
      <c r="V546" s="6">
        <f>IF(ISERROR(VLOOKUP($S$546,'TAR FIN'!$A$1:$O$85,15,0)),0,VLOOKUP($S$546,'TAR FIN'!$A$1:$O$85,15,0))</f>
        <v>0</v>
      </c>
      <c r="W546" s="6">
        <f>IF(ISERROR(VLOOKUP($T$546,'TAR FIN'!$A$1:$O$85,15,0)),0,VLOOKUP($T$546,'TAR FIN'!$A$1:$O$85,15,0))</f>
        <v>241.1</v>
      </c>
      <c r="X546" s="6">
        <f>IF(ISERROR(VLOOKUP($U$546,'TAR FIN'!$A$1:$O$85,15,0)),0,VLOOKUP($U$546,'TAR FIN'!$A$1:$O$85,15,0))</f>
        <v>307.08</v>
      </c>
      <c r="Y546" s="6"/>
      <c r="Z546" s="6">
        <f ca="1">('TUSD BE'!$AM$19+'TUSD BF'!$AM$19+'TUSD CVA'!$AM$19)*1</f>
        <v>342.61950973574812</v>
      </c>
      <c r="AA546" s="6">
        <f>('TE BE'!$AB$9+'TE BF'!$AB$9+'TE CVA'!$AB$9)*1</f>
        <v>304.87027853653359</v>
      </c>
      <c r="AB546" s="6">
        <f>$K$546*$V$546</f>
        <v>0</v>
      </c>
      <c r="AC546" s="6">
        <f>$M$546*$W$546</f>
        <v>33.754000000000005</v>
      </c>
      <c r="AD546" s="6">
        <f>$O$546*$X$546</f>
        <v>42.991199999999999</v>
      </c>
      <c r="AE546" s="6">
        <f>$K$546*$Y$546</f>
        <v>0</v>
      </c>
      <c r="AF546" s="6">
        <f ca="1">$M$546*$Z$546</f>
        <v>47.96673136300474</v>
      </c>
      <c r="AG546" s="6">
        <f>$O$546*$AA$546</f>
        <v>42.68183899511471</v>
      </c>
    </row>
    <row r="547" spans="1:33" ht="11.25" customHeight="1" x14ac:dyDescent="0.25">
      <c r="A547" s="4" t="s">
        <v>21</v>
      </c>
      <c r="B547" s="4" t="s">
        <v>22</v>
      </c>
      <c r="C547" s="4" t="s">
        <v>33</v>
      </c>
      <c r="D547" s="4" t="s">
        <v>24</v>
      </c>
      <c r="E547" s="4" t="s">
        <v>24</v>
      </c>
      <c r="F547" s="4" t="s">
        <v>25</v>
      </c>
      <c r="G547" s="4" t="s">
        <v>25</v>
      </c>
      <c r="H547" s="4" t="s">
        <v>35</v>
      </c>
      <c r="I547" s="5">
        <v>44682</v>
      </c>
      <c r="J547" s="6">
        <v>0</v>
      </c>
      <c r="K547" s="6">
        <v>0</v>
      </c>
      <c r="L547" s="6">
        <v>9.3740000000000006</v>
      </c>
      <c r="M547" s="6">
        <v>9.3740000000000006</v>
      </c>
      <c r="N547" s="6">
        <v>9.3740000000000006</v>
      </c>
      <c r="O547" s="6">
        <v>9.3740000000000006</v>
      </c>
      <c r="P547" s="6">
        <v>0</v>
      </c>
      <c r="Q547" s="4" t="s">
        <v>26</v>
      </c>
      <c r="R547" s="4">
        <v>0</v>
      </c>
      <c r="S547" s="6">
        <v>0</v>
      </c>
      <c r="T547" s="6">
        <v>15</v>
      </c>
      <c r="U547" s="6">
        <v>52</v>
      </c>
      <c r="V547" s="6">
        <f>IF(ISERROR(VLOOKUP($S$547,'TAR FIN'!$A$1:$O$85,15,0)),0,VLOOKUP($S$547,'TAR FIN'!$A$1:$O$85,15,0))</f>
        <v>0</v>
      </c>
      <c r="W547" s="6">
        <f>IF(ISERROR(VLOOKUP($T$547,'TAR FIN'!$A$1:$O$85,15,0)),0,VLOOKUP($T$547,'TAR FIN'!$A$1:$O$85,15,0))</f>
        <v>241.1</v>
      </c>
      <c r="X547" s="6">
        <f>IF(ISERROR(VLOOKUP($U$547,'TAR FIN'!$A$1:$O$85,15,0)),0,VLOOKUP($U$547,'TAR FIN'!$A$1:$O$85,15,0))</f>
        <v>307.08</v>
      </c>
      <c r="Y547" s="6"/>
      <c r="Z547" s="6">
        <f ca="1">('TUSD BE'!$AM$19+'TUSD BF'!$AM$19+'TUSD CVA'!$AM$19)*1</f>
        <v>342.61950973574812</v>
      </c>
      <c r="AA547" s="6">
        <f>('TE BE'!$AB$9+'TE BF'!$AB$9+'TE CVA'!$AB$9)*1</f>
        <v>304.87027853653359</v>
      </c>
      <c r="AB547" s="6">
        <f>$K$547*$V$547</f>
        <v>0</v>
      </c>
      <c r="AC547" s="6">
        <f>$M$547*$W$547</f>
        <v>2260.0714000000003</v>
      </c>
      <c r="AD547" s="6">
        <f>$O$547*$X$547</f>
        <v>2878.56792</v>
      </c>
      <c r="AE547" s="6">
        <f>$K$547*$Y$547</f>
        <v>0</v>
      </c>
      <c r="AF547" s="6">
        <f ca="1">$M$547*$Z$547</f>
        <v>3211.715284262903</v>
      </c>
      <c r="AG547" s="6">
        <f>$O$547*$AA$547</f>
        <v>2857.8539910014661</v>
      </c>
    </row>
    <row r="548" spans="1:33" ht="11.25" customHeight="1" x14ac:dyDescent="0.25">
      <c r="A548" s="4" t="s">
        <v>27</v>
      </c>
      <c r="B548" s="4" t="s">
        <v>22</v>
      </c>
      <c r="C548" s="4" t="s">
        <v>33</v>
      </c>
      <c r="D548" s="4" t="s">
        <v>24</v>
      </c>
      <c r="E548" s="4" t="s">
        <v>24</v>
      </c>
      <c r="F548" s="4" t="s">
        <v>25</v>
      </c>
      <c r="G548" s="4" t="s">
        <v>25</v>
      </c>
      <c r="H548" s="4" t="s">
        <v>35</v>
      </c>
      <c r="I548" s="5">
        <v>44682</v>
      </c>
      <c r="J548" s="6">
        <v>0</v>
      </c>
      <c r="K548" s="6">
        <v>0</v>
      </c>
      <c r="L548" s="6">
        <v>5.8999999999999997E-2</v>
      </c>
      <c r="M548" s="6">
        <v>5.8999999999999997E-2</v>
      </c>
      <c r="N548" s="6">
        <v>5.8999999999999997E-2</v>
      </c>
      <c r="O548" s="6">
        <v>5.8999999999999997E-2</v>
      </c>
      <c r="P548" s="6">
        <v>0</v>
      </c>
      <c r="Q548" s="4" t="s">
        <v>26</v>
      </c>
      <c r="R548" s="4">
        <v>0</v>
      </c>
      <c r="S548" s="6">
        <v>0</v>
      </c>
      <c r="T548" s="6">
        <v>15</v>
      </c>
      <c r="U548" s="6">
        <v>52</v>
      </c>
      <c r="V548" s="6">
        <f>IF(ISERROR(VLOOKUP($S$548,'TAR FIN'!$A$1:$O$85,15,0)),0,VLOOKUP($S$548,'TAR FIN'!$A$1:$O$85,15,0))</f>
        <v>0</v>
      </c>
      <c r="W548" s="6">
        <f>IF(ISERROR(VLOOKUP($T$548,'TAR FIN'!$A$1:$O$85,15,0)),0,VLOOKUP($T$548,'TAR FIN'!$A$1:$O$85,15,0))</f>
        <v>241.1</v>
      </c>
      <c r="X548" s="6">
        <f>IF(ISERROR(VLOOKUP($U$548,'TAR FIN'!$A$1:$O$85,15,0)),0,VLOOKUP($U$548,'TAR FIN'!$A$1:$O$85,15,0))</f>
        <v>307.08</v>
      </c>
      <c r="Y548" s="6"/>
      <c r="Z548" s="6">
        <f ca="1">('TUSD BE'!$AM$19+'TUSD BF'!$AM$19+'TUSD CVA'!$AM$19)*1</f>
        <v>342.61950973574812</v>
      </c>
      <c r="AA548" s="6">
        <f>('TE BE'!$AB$9+'TE BF'!$AB$9+'TE CVA'!$AB$9)*1</f>
        <v>304.87027853653359</v>
      </c>
      <c r="AB548" s="6">
        <f>$K$548*$V$548</f>
        <v>0</v>
      </c>
      <c r="AC548" s="6">
        <f>$M$548*$W$548</f>
        <v>14.224899999999998</v>
      </c>
      <c r="AD548" s="6">
        <f>$O$548*$X$548</f>
        <v>18.117719999999998</v>
      </c>
      <c r="AE548" s="6">
        <f>$K$548*$Y$548</f>
        <v>0</v>
      </c>
      <c r="AF548" s="6">
        <f ca="1">$M$548*$Z$548</f>
        <v>20.214551074409137</v>
      </c>
      <c r="AG548" s="6">
        <f>$O$548*$AA$548</f>
        <v>17.987346433655482</v>
      </c>
    </row>
    <row r="549" spans="1:33" ht="11.25" customHeight="1" x14ac:dyDescent="0.25">
      <c r="A549" s="4" t="s">
        <v>21</v>
      </c>
      <c r="B549" s="4" t="s">
        <v>22</v>
      </c>
      <c r="C549" s="4" t="s">
        <v>33</v>
      </c>
      <c r="D549" s="4" t="s">
        <v>24</v>
      </c>
      <c r="E549" s="4" t="s">
        <v>24</v>
      </c>
      <c r="F549" s="4" t="s">
        <v>25</v>
      </c>
      <c r="G549" s="4" t="s">
        <v>25</v>
      </c>
      <c r="H549" s="4" t="s">
        <v>35</v>
      </c>
      <c r="I549" s="5">
        <v>44713</v>
      </c>
      <c r="J549" s="6">
        <v>0</v>
      </c>
      <c r="K549" s="6">
        <v>0</v>
      </c>
      <c r="L549" s="6">
        <v>6.7210000000000001</v>
      </c>
      <c r="M549" s="6">
        <v>6.7210000000000001</v>
      </c>
      <c r="N549" s="6">
        <v>6.7210000000000001</v>
      </c>
      <c r="O549" s="6">
        <v>6.7210000000000001</v>
      </c>
      <c r="P549" s="6">
        <v>0</v>
      </c>
      <c r="Q549" s="4" t="s">
        <v>26</v>
      </c>
      <c r="R549" s="4">
        <v>0</v>
      </c>
      <c r="S549" s="6">
        <v>0</v>
      </c>
      <c r="T549" s="6">
        <v>15</v>
      </c>
      <c r="U549" s="6">
        <v>52</v>
      </c>
      <c r="V549" s="6">
        <f>IF(ISERROR(VLOOKUP($S$549,'TAR FIN'!$A$1:$O$85,15,0)),0,VLOOKUP($S$549,'TAR FIN'!$A$1:$O$85,15,0))</f>
        <v>0</v>
      </c>
      <c r="W549" s="6">
        <f>IF(ISERROR(VLOOKUP($T$549,'TAR FIN'!$A$1:$O$85,15,0)),0,VLOOKUP($T$549,'TAR FIN'!$A$1:$O$85,15,0))</f>
        <v>241.1</v>
      </c>
      <c r="X549" s="6">
        <f>IF(ISERROR(VLOOKUP($U$549,'TAR FIN'!$A$1:$O$85,15,0)),0,VLOOKUP($U$549,'TAR FIN'!$A$1:$O$85,15,0))</f>
        <v>307.08</v>
      </c>
      <c r="Y549" s="6"/>
      <c r="Z549" s="6">
        <f ca="1">('TUSD BE'!$AM$19+'TUSD BF'!$AM$19+'TUSD CVA'!$AM$19)*1</f>
        <v>342.61950973574812</v>
      </c>
      <c r="AA549" s="6">
        <f>('TE BE'!$AB$9+'TE BF'!$AB$9+'TE CVA'!$AB$9)*1</f>
        <v>304.87027853653359</v>
      </c>
      <c r="AB549" s="6">
        <f>$K$549*$V$549</f>
        <v>0</v>
      </c>
      <c r="AC549" s="6">
        <f>$M$549*$W$549</f>
        <v>1620.4331</v>
      </c>
      <c r="AD549" s="6">
        <f>$O$549*$X$549</f>
        <v>2063.8846800000001</v>
      </c>
      <c r="AE549" s="6">
        <f>$K$549*$Y$549</f>
        <v>0</v>
      </c>
      <c r="AF549" s="6">
        <f ca="1">$M$549*$Z$549</f>
        <v>2302.7457249339632</v>
      </c>
      <c r="AG549" s="6">
        <f>$O$549*$AA$549</f>
        <v>2049.0331420440425</v>
      </c>
    </row>
    <row r="550" spans="1:33" ht="11.25" customHeight="1" x14ac:dyDescent="0.25">
      <c r="A550" s="4" t="s">
        <v>21</v>
      </c>
      <c r="B550" s="4" t="s">
        <v>22</v>
      </c>
      <c r="C550" s="4" t="s">
        <v>33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35</v>
      </c>
      <c r="I550" s="5">
        <v>44743</v>
      </c>
      <c r="J550" s="6">
        <v>0</v>
      </c>
      <c r="K550" s="6">
        <v>0</v>
      </c>
      <c r="L550" s="6">
        <v>6.5010000000000003</v>
      </c>
      <c r="M550" s="6">
        <v>6.5010000000000003</v>
      </c>
      <c r="N550" s="6">
        <v>6.5010000000000003</v>
      </c>
      <c r="O550" s="6">
        <v>6.5010000000000003</v>
      </c>
      <c r="P550" s="6">
        <v>0</v>
      </c>
      <c r="Q550" s="4" t="s">
        <v>26</v>
      </c>
      <c r="R550" s="4">
        <v>0</v>
      </c>
      <c r="S550" s="6">
        <v>0</v>
      </c>
      <c r="T550" s="6">
        <v>15</v>
      </c>
      <c r="U550" s="6">
        <v>52</v>
      </c>
      <c r="V550" s="6">
        <f>IF(ISERROR(VLOOKUP($S$550,'TAR FIN'!$A$1:$O$85,15,0)),0,VLOOKUP($S$550,'TAR FIN'!$A$1:$O$85,15,0))</f>
        <v>0</v>
      </c>
      <c r="W550" s="6">
        <f>IF(ISERROR(VLOOKUP($T$550,'TAR FIN'!$A$1:$O$85,15,0)),0,VLOOKUP($T$550,'TAR FIN'!$A$1:$O$85,15,0))</f>
        <v>241.1</v>
      </c>
      <c r="X550" s="6">
        <f>IF(ISERROR(VLOOKUP($U$550,'TAR FIN'!$A$1:$O$85,15,0)),0,VLOOKUP($U$550,'TAR FIN'!$A$1:$O$85,15,0))</f>
        <v>307.08</v>
      </c>
      <c r="Y550" s="6"/>
      <c r="Z550" s="6">
        <f ca="1">('TUSD BE'!$AM$19+'TUSD BF'!$AM$19+'TUSD CVA'!$AM$19)*1</f>
        <v>342.61950973574812</v>
      </c>
      <c r="AA550" s="6">
        <f>('TE BE'!$AB$9+'TE BF'!$AB$9+'TE CVA'!$AB$9)*1</f>
        <v>304.87027853653359</v>
      </c>
      <c r="AB550" s="6">
        <f>$K$550*$V$550</f>
        <v>0</v>
      </c>
      <c r="AC550" s="6">
        <f>$M$550*$W$550</f>
        <v>1567.3911000000001</v>
      </c>
      <c r="AD550" s="6">
        <f>$O$550*$X$550</f>
        <v>1996.32708</v>
      </c>
      <c r="AE550" s="6">
        <f>$K$550*$Y$550</f>
        <v>0</v>
      </c>
      <c r="AF550" s="6">
        <f ca="1">$M$550*$Z$550</f>
        <v>2227.3694327920985</v>
      </c>
      <c r="AG550" s="6">
        <f>$O$550*$AA$550</f>
        <v>1981.961680766005</v>
      </c>
    </row>
    <row r="551" spans="1:33" ht="11.25" customHeight="1" x14ac:dyDescent="0.25">
      <c r="A551" s="4" t="s">
        <v>28</v>
      </c>
      <c r="B551" s="4" t="s">
        <v>22</v>
      </c>
      <c r="C551" s="4" t="s">
        <v>33</v>
      </c>
      <c r="D551" s="4" t="s">
        <v>24</v>
      </c>
      <c r="E551" s="4" t="s">
        <v>24</v>
      </c>
      <c r="F551" s="4" t="s">
        <v>25</v>
      </c>
      <c r="G551" s="4" t="s">
        <v>25</v>
      </c>
      <c r="H551" s="4" t="s">
        <v>35</v>
      </c>
      <c r="I551" s="5">
        <v>44743</v>
      </c>
      <c r="J551" s="6">
        <v>0</v>
      </c>
      <c r="K551" s="6">
        <v>0</v>
      </c>
      <c r="L551" s="6">
        <v>0.159</v>
      </c>
      <c r="M551" s="6">
        <v>0.159</v>
      </c>
      <c r="N551" s="6">
        <v>0.159</v>
      </c>
      <c r="O551" s="6">
        <v>0.159</v>
      </c>
      <c r="P551" s="6">
        <v>0</v>
      </c>
      <c r="Q551" s="4" t="s">
        <v>26</v>
      </c>
      <c r="R551" s="4">
        <v>0</v>
      </c>
      <c r="S551" s="6">
        <v>0</v>
      </c>
      <c r="T551" s="6">
        <v>15</v>
      </c>
      <c r="U551" s="6">
        <v>52</v>
      </c>
      <c r="V551" s="6">
        <f>IF(ISERROR(VLOOKUP($S$551,'TAR FIN'!$A$1:$O$85,15,0)),0,VLOOKUP($S$551,'TAR FIN'!$A$1:$O$85,15,0))</f>
        <v>0</v>
      </c>
      <c r="W551" s="6">
        <f>IF(ISERROR(VLOOKUP($T$551,'TAR FIN'!$A$1:$O$85,15,0)),0,VLOOKUP($T$551,'TAR FIN'!$A$1:$O$85,15,0))</f>
        <v>241.1</v>
      </c>
      <c r="X551" s="6">
        <f>IF(ISERROR(VLOOKUP($U$551,'TAR FIN'!$A$1:$O$85,15,0)),0,VLOOKUP($U$551,'TAR FIN'!$A$1:$O$85,15,0))</f>
        <v>307.08</v>
      </c>
      <c r="Y551" s="6"/>
      <c r="Z551" s="6">
        <f ca="1">('TUSD BE'!$AM$19+'TUSD BF'!$AM$19+'TUSD CVA'!$AM$19)*1</f>
        <v>342.61950973574812</v>
      </c>
      <c r="AA551" s="6">
        <f>('TE BE'!$AB$9+'TE BF'!$AB$9+'TE CVA'!$AB$9)*1</f>
        <v>304.87027853653359</v>
      </c>
      <c r="AB551" s="6">
        <f>$K$551*$V$551</f>
        <v>0</v>
      </c>
      <c r="AC551" s="6">
        <f>$M$551*$W$551</f>
        <v>38.334899999999998</v>
      </c>
      <c r="AD551" s="6">
        <f>$O$551*$X$551</f>
        <v>48.825719999999997</v>
      </c>
      <c r="AE551" s="6">
        <f>$K$551*$Y$551</f>
        <v>0</v>
      </c>
      <c r="AF551" s="6">
        <f ca="1">$M$551*$Z$551</f>
        <v>54.476502047983949</v>
      </c>
      <c r="AG551" s="6">
        <f>$O$551*$AA$551</f>
        <v>48.474374287308841</v>
      </c>
    </row>
    <row r="552" spans="1:33" ht="11.25" customHeight="1" x14ac:dyDescent="0.25">
      <c r="A552" s="4" t="s">
        <v>56</v>
      </c>
      <c r="B552" s="4" t="s">
        <v>22</v>
      </c>
      <c r="C552" s="4" t="s">
        <v>33</v>
      </c>
      <c r="D552" s="4" t="s">
        <v>24</v>
      </c>
      <c r="E552" s="4" t="s">
        <v>24</v>
      </c>
      <c r="F552" s="4" t="s">
        <v>25</v>
      </c>
      <c r="G552" s="4" t="s">
        <v>25</v>
      </c>
      <c r="H552" s="4" t="s">
        <v>35</v>
      </c>
      <c r="I552" s="5">
        <v>44774</v>
      </c>
      <c r="J552" s="6">
        <v>0</v>
      </c>
      <c r="K552" s="6">
        <v>0</v>
      </c>
      <c r="L552" s="6">
        <v>6.5010000000000003</v>
      </c>
      <c r="M552" s="6">
        <v>6.5010000000000003</v>
      </c>
      <c r="N552" s="6">
        <v>6.5010000000000003</v>
      </c>
      <c r="O552" s="6">
        <v>6.5010000000000003</v>
      </c>
      <c r="P552" s="6">
        <v>0</v>
      </c>
      <c r="Q552" s="4" t="s">
        <v>26</v>
      </c>
      <c r="R552" s="4">
        <v>0</v>
      </c>
      <c r="S552" s="6">
        <v>0</v>
      </c>
      <c r="T552" s="6">
        <v>15</v>
      </c>
      <c r="U552" s="6">
        <v>52</v>
      </c>
      <c r="V552" s="6">
        <f>IF(ISERROR(VLOOKUP($S$552,'TAR FIN'!$A$1:$O$85,15,0)),0,VLOOKUP($S$552,'TAR FIN'!$A$1:$O$85,15,0))</f>
        <v>0</v>
      </c>
      <c r="W552" s="6">
        <f>IF(ISERROR(VLOOKUP($T$552,'TAR FIN'!$A$1:$O$85,15,0)),0,VLOOKUP($T$552,'TAR FIN'!$A$1:$O$85,15,0))</f>
        <v>241.1</v>
      </c>
      <c r="X552" s="6">
        <f>IF(ISERROR(VLOOKUP($U$552,'TAR FIN'!$A$1:$O$85,15,0)),0,VLOOKUP($U$552,'TAR FIN'!$A$1:$O$85,15,0))</f>
        <v>307.08</v>
      </c>
      <c r="Y552" s="6"/>
      <c r="Z552" s="6">
        <f ca="1">('TUSD BE'!$AM$19+'TUSD BF'!$AM$19+'TUSD CVA'!$AM$19)*1</f>
        <v>342.61950973574812</v>
      </c>
      <c r="AA552" s="6">
        <f>('TE BE'!$AB$9+'TE BF'!$AB$9+'TE CVA'!$AB$9)*1</f>
        <v>304.87027853653359</v>
      </c>
      <c r="AB552" s="6">
        <f>$K$552*$V$552</f>
        <v>0</v>
      </c>
      <c r="AC552" s="6">
        <f>$M$552*$W$552</f>
        <v>1567.3911000000001</v>
      </c>
      <c r="AD552" s="6">
        <f>$O$552*$X$552</f>
        <v>1996.32708</v>
      </c>
      <c r="AE552" s="6">
        <f>$K$552*$Y$552</f>
        <v>0</v>
      </c>
      <c r="AF552" s="6">
        <f ca="1">$M$552*$Z$552</f>
        <v>2227.3694327920985</v>
      </c>
      <c r="AG552" s="6">
        <f>$O$552*$AA$552</f>
        <v>1981.961680766005</v>
      </c>
    </row>
    <row r="553" spans="1:33" ht="11.25" customHeight="1" x14ac:dyDescent="0.25">
      <c r="A553" s="4" t="s">
        <v>56</v>
      </c>
      <c r="B553" s="4" t="s">
        <v>22</v>
      </c>
      <c r="C553" s="4" t="s">
        <v>33</v>
      </c>
      <c r="D553" s="4" t="s">
        <v>24</v>
      </c>
      <c r="E553" s="4" t="s">
        <v>24</v>
      </c>
      <c r="F553" s="4" t="s">
        <v>25</v>
      </c>
      <c r="G553" s="4" t="s">
        <v>25</v>
      </c>
      <c r="H553" s="4" t="s">
        <v>35</v>
      </c>
      <c r="I553" s="5">
        <v>44774</v>
      </c>
      <c r="J553" s="6">
        <v>0</v>
      </c>
      <c r="K553" s="6">
        <v>0</v>
      </c>
      <c r="L553" s="6">
        <v>0.159</v>
      </c>
      <c r="M553" s="6">
        <v>0.159</v>
      </c>
      <c r="N553" s="6">
        <v>0.159</v>
      </c>
      <c r="O553" s="6">
        <v>0.159</v>
      </c>
      <c r="P553" s="6">
        <v>0</v>
      </c>
      <c r="Q553" s="4" t="s">
        <v>26</v>
      </c>
      <c r="R553" s="4">
        <v>0</v>
      </c>
      <c r="S553" s="6">
        <v>0</v>
      </c>
      <c r="T553" s="6">
        <v>15</v>
      </c>
      <c r="U553" s="6">
        <v>52</v>
      </c>
      <c r="V553" s="6">
        <f>IF(ISERROR(VLOOKUP($S$553,'TAR FIN'!$A$1:$O$85,15,0)),0,VLOOKUP($S$553,'TAR FIN'!$A$1:$O$85,15,0))</f>
        <v>0</v>
      </c>
      <c r="W553" s="6">
        <f>IF(ISERROR(VLOOKUP($T$553,'TAR FIN'!$A$1:$O$85,15,0)),0,VLOOKUP($T$553,'TAR FIN'!$A$1:$O$85,15,0))</f>
        <v>241.1</v>
      </c>
      <c r="X553" s="6">
        <f>IF(ISERROR(VLOOKUP($U$553,'TAR FIN'!$A$1:$O$85,15,0)),0,VLOOKUP($U$553,'TAR FIN'!$A$1:$O$85,15,0))</f>
        <v>307.08</v>
      </c>
      <c r="Y553" s="6"/>
      <c r="Z553" s="6">
        <f ca="1">('TUSD BE'!$AM$19+'TUSD BF'!$AM$19+'TUSD CVA'!$AM$19)*1</f>
        <v>342.61950973574812</v>
      </c>
      <c r="AA553" s="6">
        <f>('TE BE'!$AB$9+'TE BF'!$AB$9+'TE CVA'!$AB$9)*1</f>
        <v>304.87027853653359</v>
      </c>
      <c r="AB553" s="6">
        <f>$K$553*$V$553</f>
        <v>0</v>
      </c>
      <c r="AC553" s="6">
        <f>$M$553*$W$553</f>
        <v>38.334899999999998</v>
      </c>
      <c r="AD553" s="6">
        <f>$O$553*$X$553</f>
        <v>48.825719999999997</v>
      </c>
      <c r="AE553" s="6">
        <f>$K$553*$Y$553</f>
        <v>0</v>
      </c>
      <c r="AF553" s="6">
        <f ca="1">$M$553*$Z$553</f>
        <v>54.476502047983949</v>
      </c>
      <c r="AG553" s="6">
        <f>$O$553*$AA$553</f>
        <v>48.474374287308841</v>
      </c>
    </row>
    <row r="554" spans="1:33" ht="11.25" customHeight="1" x14ac:dyDescent="0.25">
      <c r="A554" s="4" t="s">
        <v>21</v>
      </c>
      <c r="B554" s="4" t="s">
        <v>22</v>
      </c>
      <c r="C554" s="4" t="s">
        <v>33</v>
      </c>
      <c r="D554" s="4" t="s">
        <v>24</v>
      </c>
      <c r="E554" s="4" t="s">
        <v>24</v>
      </c>
      <c r="F554" s="4" t="s">
        <v>25</v>
      </c>
      <c r="G554" s="4" t="s">
        <v>25</v>
      </c>
      <c r="H554" s="4" t="s">
        <v>36</v>
      </c>
      <c r="I554" s="5">
        <v>44440</v>
      </c>
      <c r="J554" s="6">
        <v>0</v>
      </c>
      <c r="K554" s="6">
        <v>0</v>
      </c>
      <c r="L554" s="6">
        <v>0.56000000000000005</v>
      </c>
      <c r="M554" s="6">
        <v>0.56000000000000005</v>
      </c>
      <c r="N554" s="6">
        <v>0.56000000000000005</v>
      </c>
      <c r="O554" s="6">
        <v>0.56000000000000005</v>
      </c>
      <c r="P554" s="6">
        <v>0</v>
      </c>
      <c r="Q554" s="4" t="s">
        <v>26</v>
      </c>
      <c r="R554" s="4">
        <v>0</v>
      </c>
      <c r="S554" s="6">
        <v>0</v>
      </c>
      <c r="T554" s="6">
        <v>14</v>
      </c>
      <c r="U554" s="6">
        <v>51</v>
      </c>
      <c r="V554" s="6">
        <f>IF(ISERROR(VLOOKUP($S$554,'TAR FIN'!$A$1:$O$85,15,0)),0,VLOOKUP($S$554,'TAR FIN'!$A$1:$O$85,15,0))</f>
        <v>0</v>
      </c>
      <c r="W554" s="6">
        <f>IF(ISERROR(VLOOKUP($T$554,'TAR FIN'!$A$1:$O$85,15,0)),0,VLOOKUP($T$554,'TAR FIN'!$A$1:$O$85,15,0))</f>
        <v>526.41</v>
      </c>
      <c r="X554" s="6">
        <f>IF(ISERROR(VLOOKUP($U$554,'TAR FIN'!$A$1:$O$85,15,0)),0,VLOOKUP($U$554,'TAR FIN'!$A$1:$O$85,15,0))</f>
        <v>307.08</v>
      </c>
      <c r="Y554" s="6"/>
      <c r="Z554" s="6">
        <f ca="1">('TUSD BE'!$AM$18+'TUSD BF'!$AM$18+'TUSD CVA'!$AM$18)*1</f>
        <v>656.54150643706566</v>
      </c>
      <c r="AA554" s="6">
        <f>('TE BE'!$AB$8+'TE BF'!$AB$8+'TE CVA'!$AB$8)*1</f>
        <v>304.87027853653359</v>
      </c>
      <c r="AB554" s="6">
        <f>$K$554*$V$554</f>
        <v>0</v>
      </c>
      <c r="AC554" s="6">
        <f>$M$554*$W$554</f>
        <v>294.78960000000001</v>
      </c>
      <c r="AD554" s="6">
        <f>$O$554*$X$554</f>
        <v>171.9648</v>
      </c>
      <c r="AE554" s="6">
        <f>$K$554*$Y$554</f>
        <v>0</v>
      </c>
      <c r="AF554" s="6">
        <f ca="1">$M$554*$Z$554</f>
        <v>367.66324360475681</v>
      </c>
      <c r="AG554" s="6">
        <f>$O$554*$AA$554</f>
        <v>170.72735598045884</v>
      </c>
    </row>
    <row r="555" spans="1:33" ht="11.25" customHeight="1" x14ac:dyDescent="0.25">
      <c r="A555" s="4" t="s">
        <v>21</v>
      </c>
      <c r="B555" s="4" t="s">
        <v>22</v>
      </c>
      <c r="C555" s="4" t="s">
        <v>33</v>
      </c>
      <c r="D555" s="4" t="s">
        <v>24</v>
      </c>
      <c r="E555" s="4" t="s">
        <v>24</v>
      </c>
      <c r="F555" s="4" t="s">
        <v>25</v>
      </c>
      <c r="G555" s="4" t="s">
        <v>25</v>
      </c>
      <c r="H555" s="4" t="s">
        <v>36</v>
      </c>
      <c r="I555" s="5">
        <v>44470</v>
      </c>
      <c r="J555" s="6">
        <v>0</v>
      </c>
      <c r="K555" s="6">
        <v>0</v>
      </c>
      <c r="L555" s="6">
        <v>0.63200000000000001</v>
      </c>
      <c r="M555" s="6">
        <v>0.63200000000000001</v>
      </c>
      <c r="N555" s="6">
        <v>0.63200000000000001</v>
      </c>
      <c r="O555" s="6">
        <v>0.63200000000000001</v>
      </c>
      <c r="P555" s="6">
        <v>0</v>
      </c>
      <c r="Q555" s="4" t="s">
        <v>26</v>
      </c>
      <c r="R555" s="4">
        <v>0</v>
      </c>
      <c r="S555" s="6">
        <v>0</v>
      </c>
      <c r="T555" s="6">
        <v>14</v>
      </c>
      <c r="U555" s="6">
        <v>51</v>
      </c>
      <c r="V555" s="6">
        <f>IF(ISERROR(VLOOKUP($S$555,'TAR FIN'!$A$1:$O$85,15,0)),0,VLOOKUP($S$555,'TAR FIN'!$A$1:$O$85,15,0))</f>
        <v>0</v>
      </c>
      <c r="W555" s="6">
        <f>IF(ISERROR(VLOOKUP($T$555,'TAR FIN'!$A$1:$O$85,15,0)),0,VLOOKUP($T$555,'TAR FIN'!$A$1:$O$85,15,0))</f>
        <v>526.41</v>
      </c>
      <c r="X555" s="6">
        <f>IF(ISERROR(VLOOKUP($U$555,'TAR FIN'!$A$1:$O$85,15,0)),0,VLOOKUP($U$555,'TAR FIN'!$A$1:$O$85,15,0))</f>
        <v>307.08</v>
      </c>
      <c r="Y555" s="6"/>
      <c r="Z555" s="6">
        <f ca="1">('TUSD BE'!$AM$18+'TUSD BF'!$AM$18+'TUSD CVA'!$AM$18)*1</f>
        <v>656.54150643706566</v>
      </c>
      <c r="AA555" s="6">
        <f>('TE BE'!$AB$8+'TE BF'!$AB$8+'TE CVA'!$AB$8)*1</f>
        <v>304.87027853653359</v>
      </c>
      <c r="AB555" s="6">
        <f>$K$555*$V$555</f>
        <v>0</v>
      </c>
      <c r="AC555" s="6">
        <f>$M$555*$W$555</f>
        <v>332.69111999999996</v>
      </c>
      <c r="AD555" s="6">
        <f>$O$555*$X$555</f>
        <v>194.07455999999999</v>
      </c>
      <c r="AE555" s="6">
        <f>$K$555*$Y$555</f>
        <v>0</v>
      </c>
      <c r="AF555" s="6">
        <f ca="1">$M$555*$Z$555</f>
        <v>414.93423206822553</v>
      </c>
      <c r="AG555" s="6">
        <f>$O$555*$AA$555</f>
        <v>192.67801603508923</v>
      </c>
    </row>
    <row r="556" spans="1:33" ht="11.25" customHeight="1" x14ac:dyDescent="0.25">
      <c r="A556" s="4" t="s">
        <v>21</v>
      </c>
      <c r="B556" s="4" t="s">
        <v>22</v>
      </c>
      <c r="C556" s="4" t="s">
        <v>33</v>
      </c>
      <c r="D556" s="4" t="s">
        <v>24</v>
      </c>
      <c r="E556" s="4" t="s">
        <v>24</v>
      </c>
      <c r="F556" s="4" t="s">
        <v>25</v>
      </c>
      <c r="G556" s="4" t="s">
        <v>25</v>
      </c>
      <c r="H556" s="4" t="s">
        <v>36</v>
      </c>
      <c r="I556" s="5">
        <v>44501</v>
      </c>
      <c r="J556" s="6">
        <v>0</v>
      </c>
      <c r="K556" s="6">
        <v>0</v>
      </c>
      <c r="L556" s="6">
        <v>0.57899999999999996</v>
      </c>
      <c r="M556" s="6">
        <v>0.57899999999999996</v>
      </c>
      <c r="N556" s="6">
        <v>0.57899999999999996</v>
      </c>
      <c r="O556" s="6">
        <v>0.57899999999999996</v>
      </c>
      <c r="P556" s="6">
        <v>0</v>
      </c>
      <c r="Q556" s="4" t="s">
        <v>26</v>
      </c>
      <c r="R556" s="4">
        <v>0</v>
      </c>
      <c r="S556" s="6">
        <v>0</v>
      </c>
      <c r="T556" s="6">
        <v>14</v>
      </c>
      <c r="U556" s="6">
        <v>51</v>
      </c>
      <c r="V556" s="6">
        <f>IF(ISERROR(VLOOKUP($S$556,'TAR FIN'!$A$1:$O$85,15,0)),0,VLOOKUP($S$556,'TAR FIN'!$A$1:$O$85,15,0))</f>
        <v>0</v>
      </c>
      <c r="W556" s="6">
        <f>IF(ISERROR(VLOOKUP($T$556,'TAR FIN'!$A$1:$O$85,15,0)),0,VLOOKUP($T$556,'TAR FIN'!$A$1:$O$85,15,0))</f>
        <v>526.41</v>
      </c>
      <c r="X556" s="6">
        <f>IF(ISERROR(VLOOKUP($U$556,'TAR FIN'!$A$1:$O$85,15,0)),0,VLOOKUP($U$556,'TAR FIN'!$A$1:$O$85,15,0))</f>
        <v>307.08</v>
      </c>
      <c r="Y556" s="6"/>
      <c r="Z556" s="6">
        <f ca="1">('TUSD BE'!$AM$18+'TUSD BF'!$AM$18+'TUSD CVA'!$AM$18)*1</f>
        <v>656.54150643706566</v>
      </c>
      <c r="AA556" s="6">
        <f>('TE BE'!$AB$8+'TE BF'!$AB$8+'TE CVA'!$AB$8)*1</f>
        <v>304.87027853653359</v>
      </c>
      <c r="AB556" s="6">
        <f>$K$556*$V$556</f>
        <v>0</v>
      </c>
      <c r="AC556" s="6">
        <f>$M$556*$W$556</f>
        <v>304.79138999999998</v>
      </c>
      <c r="AD556" s="6">
        <f>$O$556*$X$556</f>
        <v>177.79931999999997</v>
      </c>
      <c r="AE556" s="6">
        <f>$K$556*$Y$556</f>
        <v>0</v>
      </c>
      <c r="AF556" s="6">
        <f ca="1">$M$556*$Z$556</f>
        <v>380.137532227061</v>
      </c>
      <c r="AG556" s="6">
        <f>$O$556*$AA$556</f>
        <v>176.51989127265293</v>
      </c>
    </row>
    <row r="557" spans="1:33" ht="11.25" customHeight="1" x14ac:dyDescent="0.25">
      <c r="A557" s="4" t="s">
        <v>21</v>
      </c>
      <c r="B557" s="4" t="s">
        <v>22</v>
      </c>
      <c r="C557" s="4" t="s">
        <v>33</v>
      </c>
      <c r="D557" s="4" t="s">
        <v>24</v>
      </c>
      <c r="E557" s="4" t="s">
        <v>24</v>
      </c>
      <c r="F557" s="4" t="s">
        <v>25</v>
      </c>
      <c r="G557" s="4" t="s">
        <v>25</v>
      </c>
      <c r="H557" s="4" t="s">
        <v>36</v>
      </c>
      <c r="I557" s="5">
        <v>44531</v>
      </c>
      <c r="J557" s="6">
        <v>0</v>
      </c>
      <c r="K557" s="6">
        <v>0</v>
      </c>
      <c r="L557" s="6">
        <v>0.73499999999999999</v>
      </c>
      <c r="M557" s="6">
        <v>0.73499999999999999</v>
      </c>
      <c r="N557" s="6">
        <v>0.73499999999999999</v>
      </c>
      <c r="O557" s="6">
        <v>0.73499999999999999</v>
      </c>
      <c r="P557" s="6">
        <v>0</v>
      </c>
      <c r="Q557" s="4" t="s">
        <v>26</v>
      </c>
      <c r="R557" s="4">
        <v>0</v>
      </c>
      <c r="S557" s="6">
        <v>0</v>
      </c>
      <c r="T557" s="6">
        <v>14</v>
      </c>
      <c r="U557" s="6">
        <v>51</v>
      </c>
      <c r="V557" s="6">
        <f>IF(ISERROR(VLOOKUP($S$557,'TAR FIN'!$A$1:$O$85,15,0)),0,VLOOKUP($S$557,'TAR FIN'!$A$1:$O$85,15,0))</f>
        <v>0</v>
      </c>
      <c r="W557" s="6">
        <f>IF(ISERROR(VLOOKUP($T$557,'TAR FIN'!$A$1:$O$85,15,0)),0,VLOOKUP($T$557,'TAR FIN'!$A$1:$O$85,15,0))</f>
        <v>526.41</v>
      </c>
      <c r="X557" s="6">
        <f>IF(ISERROR(VLOOKUP($U$557,'TAR FIN'!$A$1:$O$85,15,0)),0,VLOOKUP($U$557,'TAR FIN'!$A$1:$O$85,15,0))</f>
        <v>307.08</v>
      </c>
      <c r="Y557" s="6"/>
      <c r="Z557" s="6">
        <f ca="1">('TUSD BE'!$AM$18+'TUSD BF'!$AM$18+'TUSD CVA'!$AM$18)*1</f>
        <v>656.54150643706566</v>
      </c>
      <c r="AA557" s="6">
        <f>('TE BE'!$AB$8+'TE BF'!$AB$8+'TE CVA'!$AB$8)*1</f>
        <v>304.87027853653359</v>
      </c>
      <c r="AB557" s="6">
        <f>$K$557*$V$557</f>
        <v>0</v>
      </c>
      <c r="AC557" s="6">
        <f>$M$557*$W$557</f>
        <v>386.91134999999997</v>
      </c>
      <c r="AD557" s="6">
        <f>$O$557*$X$557</f>
        <v>225.70379999999997</v>
      </c>
      <c r="AE557" s="6">
        <f>$K$557*$Y$557</f>
        <v>0</v>
      </c>
      <c r="AF557" s="6">
        <f ca="1">$M$557*$Z$557</f>
        <v>482.55800723124327</v>
      </c>
      <c r="AG557" s="6">
        <f>$O$557*$AA$557</f>
        <v>224.0796547243522</v>
      </c>
    </row>
    <row r="558" spans="1:33" ht="11.25" customHeight="1" x14ac:dyDescent="0.25">
      <c r="A558" s="4" t="s">
        <v>21</v>
      </c>
      <c r="B558" s="4" t="s">
        <v>22</v>
      </c>
      <c r="C558" s="4" t="s">
        <v>33</v>
      </c>
      <c r="D558" s="4" t="s">
        <v>24</v>
      </c>
      <c r="E558" s="4" t="s">
        <v>24</v>
      </c>
      <c r="F558" s="4" t="s">
        <v>25</v>
      </c>
      <c r="G558" s="4" t="s">
        <v>25</v>
      </c>
      <c r="H558" s="4" t="s">
        <v>36</v>
      </c>
      <c r="I558" s="5">
        <v>44562</v>
      </c>
      <c r="J558" s="6">
        <v>0</v>
      </c>
      <c r="K558" s="6">
        <v>0</v>
      </c>
      <c r="L558" s="6">
        <v>0.621</v>
      </c>
      <c r="M558" s="6">
        <v>0.621</v>
      </c>
      <c r="N558" s="6">
        <v>0.621</v>
      </c>
      <c r="O558" s="6">
        <v>0.621</v>
      </c>
      <c r="P558" s="6">
        <v>0</v>
      </c>
      <c r="Q558" s="4" t="s">
        <v>26</v>
      </c>
      <c r="R558" s="4">
        <v>0</v>
      </c>
      <c r="S558" s="6">
        <v>0</v>
      </c>
      <c r="T558" s="6">
        <v>14</v>
      </c>
      <c r="U558" s="6">
        <v>51</v>
      </c>
      <c r="V558" s="6">
        <f>IF(ISERROR(VLOOKUP($S$558,'TAR FIN'!$A$1:$O$85,15,0)),0,VLOOKUP($S$558,'TAR FIN'!$A$1:$O$85,15,0))</f>
        <v>0</v>
      </c>
      <c r="W558" s="6">
        <f>IF(ISERROR(VLOOKUP($T$558,'TAR FIN'!$A$1:$O$85,15,0)),0,VLOOKUP($T$558,'TAR FIN'!$A$1:$O$85,15,0))</f>
        <v>526.41</v>
      </c>
      <c r="X558" s="6">
        <f>IF(ISERROR(VLOOKUP($U$558,'TAR FIN'!$A$1:$O$85,15,0)),0,VLOOKUP($U$558,'TAR FIN'!$A$1:$O$85,15,0))</f>
        <v>307.08</v>
      </c>
      <c r="Y558" s="6"/>
      <c r="Z558" s="6">
        <f ca="1">('TUSD BE'!$AM$18+'TUSD BF'!$AM$18+'TUSD CVA'!$AM$18)*1</f>
        <v>656.54150643706566</v>
      </c>
      <c r="AA558" s="6">
        <f>('TE BE'!$AB$8+'TE BF'!$AB$8+'TE CVA'!$AB$8)*1</f>
        <v>304.87027853653359</v>
      </c>
      <c r="AB558" s="6">
        <f>$K$558*$V$558</f>
        <v>0</v>
      </c>
      <c r="AC558" s="6">
        <f>$M$558*$W$558</f>
        <v>326.90060999999997</v>
      </c>
      <c r="AD558" s="6">
        <f>$O$558*$X$558</f>
        <v>190.69667999999999</v>
      </c>
      <c r="AE558" s="6">
        <f>$K$558*$Y$558</f>
        <v>0</v>
      </c>
      <c r="AF558" s="6">
        <f ca="1">$M$558*$Z$558</f>
        <v>407.71227549741775</v>
      </c>
      <c r="AG558" s="6">
        <f>$O$558*$AA$558</f>
        <v>189.32444297118735</v>
      </c>
    </row>
    <row r="559" spans="1:33" ht="11.25" customHeight="1" x14ac:dyDescent="0.25">
      <c r="A559" s="4" t="s">
        <v>21</v>
      </c>
      <c r="B559" s="4" t="s">
        <v>22</v>
      </c>
      <c r="C559" s="4" t="s">
        <v>33</v>
      </c>
      <c r="D559" s="4" t="s">
        <v>24</v>
      </c>
      <c r="E559" s="4" t="s">
        <v>24</v>
      </c>
      <c r="F559" s="4" t="s">
        <v>25</v>
      </c>
      <c r="G559" s="4" t="s">
        <v>25</v>
      </c>
      <c r="H559" s="4" t="s">
        <v>36</v>
      </c>
      <c r="I559" s="5">
        <v>44593</v>
      </c>
      <c r="J559" s="6">
        <v>0</v>
      </c>
      <c r="K559" s="6">
        <v>0</v>
      </c>
      <c r="L559" s="6">
        <v>0.72</v>
      </c>
      <c r="M559" s="6">
        <v>0.72</v>
      </c>
      <c r="N559" s="6">
        <v>0.72</v>
      </c>
      <c r="O559" s="6">
        <v>0.72</v>
      </c>
      <c r="P559" s="6">
        <v>0</v>
      </c>
      <c r="Q559" s="4" t="s">
        <v>26</v>
      </c>
      <c r="R559" s="4">
        <v>0</v>
      </c>
      <c r="S559" s="6">
        <v>0</v>
      </c>
      <c r="T559" s="6">
        <v>14</v>
      </c>
      <c r="U559" s="6">
        <v>51</v>
      </c>
      <c r="V559" s="6">
        <f>IF(ISERROR(VLOOKUP($S$559,'TAR FIN'!$A$1:$O$85,15,0)),0,VLOOKUP($S$559,'TAR FIN'!$A$1:$O$85,15,0))</f>
        <v>0</v>
      </c>
      <c r="W559" s="6">
        <f>IF(ISERROR(VLOOKUP($T$559,'TAR FIN'!$A$1:$O$85,15,0)),0,VLOOKUP($T$559,'TAR FIN'!$A$1:$O$85,15,0))</f>
        <v>526.41</v>
      </c>
      <c r="X559" s="6">
        <f>IF(ISERROR(VLOOKUP($U$559,'TAR FIN'!$A$1:$O$85,15,0)),0,VLOOKUP($U$559,'TAR FIN'!$A$1:$O$85,15,0))</f>
        <v>307.08</v>
      </c>
      <c r="Y559" s="6"/>
      <c r="Z559" s="6">
        <f ca="1">('TUSD BE'!$AM$18+'TUSD BF'!$AM$18+'TUSD CVA'!$AM$18)*1</f>
        <v>656.54150643706566</v>
      </c>
      <c r="AA559" s="6">
        <f>('TE BE'!$AB$8+'TE BF'!$AB$8+'TE CVA'!$AB$8)*1</f>
        <v>304.87027853653359</v>
      </c>
      <c r="AB559" s="6">
        <f>$K$559*$V$559</f>
        <v>0</v>
      </c>
      <c r="AC559" s="6">
        <f>$M$559*$W$559</f>
        <v>379.01519999999994</v>
      </c>
      <c r="AD559" s="6">
        <f>$O$559*$X$559</f>
        <v>221.09759999999997</v>
      </c>
      <c r="AE559" s="6">
        <f>$K$559*$Y$559</f>
        <v>0</v>
      </c>
      <c r="AF559" s="6">
        <f ca="1">$M$559*$Z$559</f>
        <v>472.70988463468728</v>
      </c>
      <c r="AG559" s="6">
        <f>$O$559*$AA$559</f>
        <v>219.50660054630418</v>
      </c>
    </row>
    <row r="560" spans="1:33" ht="11.25" customHeight="1" x14ac:dyDescent="0.25">
      <c r="A560" s="4" t="s">
        <v>21</v>
      </c>
      <c r="B560" s="4" t="s">
        <v>22</v>
      </c>
      <c r="C560" s="4" t="s">
        <v>33</v>
      </c>
      <c r="D560" s="4" t="s">
        <v>24</v>
      </c>
      <c r="E560" s="4" t="s">
        <v>24</v>
      </c>
      <c r="F560" s="4" t="s">
        <v>25</v>
      </c>
      <c r="G560" s="4" t="s">
        <v>25</v>
      </c>
      <c r="H560" s="4" t="s">
        <v>36</v>
      </c>
      <c r="I560" s="5">
        <v>44621</v>
      </c>
      <c r="J560" s="6">
        <v>0</v>
      </c>
      <c r="K560" s="6">
        <v>0</v>
      </c>
      <c r="L560" s="6">
        <v>0.69599999999999995</v>
      </c>
      <c r="M560" s="6">
        <v>0.69599999999999995</v>
      </c>
      <c r="N560" s="6">
        <v>0.69599999999999995</v>
      </c>
      <c r="O560" s="6">
        <v>0.69599999999999995</v>
      </c>
      <c r="P560" s="6">
        <v>0</v>
      </c>
      <c r="Q560" s="4" t="s">
        <v>26</v>
      </c>
      <c r="R560" s="4">
        <v>0</v>
      </c>
      <c r="S560" s="6">
        <v>0</v>
      </c>
      <c r="T560" s="6">
        <v>14</v>
      </c>
      <c r="U560" s="6">
        <v>51</v>
      </c>
      <c r="V560" s="6">
        <f>IF(ISERROR(VLOOKUP($S$560,'TAR FIN'!$A$1:$O$85,15,0)),0,VLOOKUP($S$560,'TAR FIN'!$A$1:$O$85,15,0))</f>
        <v>0</v>
      </c>
      <c r="W560" s="6">
        <f>IF(ISERROR(VLOOKUP($T$560,'TAR FIN'!$A$1:$O$85,15,0)),0,VLOOKUP($T$560,'TAR FIN'!$A$1:$O$85,15,0))</f>
        <v>526.41</v>
      </c>
      <c r="X560" s="6">
        <f>IF(ISERROR(VLOOKUP($U$560,'TAR FIN'!$A$1:$O$85,15,0)),0,VLOOKUP($U$560,'TAR FIN'!$A$1:$O$85,15,0))</f>
        <v>307.08</v>
      </c>
      <c r="Y560" s="6"/>
      <c r="Z560" s="6">
        <f ca="1">('TUSD BE'!$AM$18+'TUSD BF'!$AM$18+'TUSD CVA'!$AM$18)*1</f>
        <v>656.54150643706566</v>
      </c>
      <c r="AA560" s="6">
        <f>('TE BE'!$AB$8+'TE BF'!$AB$8+'TE CVA'!$AB$8)*1</f>
        <v>304.87027853653359</v>
      </c>
      <c r="AB560" s="6">
        <f>$K$560*$V$560</f>
        <v>0</v>
      </c>
      <c r="AC560" s="6">
        <f>$M$560*$W$560</f>
        <v>366.38135999999997</v>
      </c>
      <c r="AD560" s="6">
        <f>$O$560*$X$560</f>
        <v>213.72767999999996</v>
      </c>
      <c r="AE560" s="6">
        <f>$K$560*$Y$560</f>
        <v>0</v>
      </c>
      <c r="AF560" s="6">
        <f ca="1">$M$560*$Z$560</f>
        <v>456.95288848019766</v>
      </c>
      <c r="AG560" s="6">
        <f>$O$560*$AA$560</f>
        <v>212.18971386142735</v>
      </c>
    </row>
    <row r="561" spans="1:33" ht="11.25" customHeight="1" x14ac:dyDescent="0.25">
      <c r="A561" s="4" t="s">
        <v>21</v>
      </c>
      <c r="B561" s="4" t="s">
        <v>22</v>
      </c>
      <c r="C561" s="4" t="s">
        <v>33</v>
      </c>
      <c r="D561" s="4" t="s">
        <v>24</v>
      </c>
      <c r="E561" s="4" t="s">
        <v>24</v>
      </c>
      <c r="F561" s="4" t="s">
        <v>25</v>
      </c>
      <c r="G561" s="4" t="s">
        <v>25</v>
      </c>
      <c r="H561" s="4" t="s">
        <v>36</v>
      </c>
      <c r="I561" s="5">
        <v>44652</v>
      </c>
      <c r="J561" s="6">
        <v>0</v>
      </c>
      <c r="K561" s="6">
        <v>0</v>
      </c>
      <c r="L561" s="6">
        <v>0.69</v>
      </c>
      <c r="M561" s="6">
        <v>0.69</v>
      </c>
      <c r="N561" s="6">
        <v>0.69</v>
      </c>
      <c r="O561" s="6">
        <v>0.69</v>
      </c>
      <c r="P561" s="6">
        <v>0</v>
      </c>
      <c r="Q561" s="4" t="s">
        <v>26</v>
      </c>
      <c r="R561" s="4">
        <v>0</v>
      </c>
      <c r="S561" s="6">
        <v>0</v>
      </c>
      <c r="T561" s="6">
        <v>14</v>
      </c>
      <c r="U561" s="6">
        <v>51</v>
      </c>
      <c r="V561" s="6">
        <f>IF(ISERROR(VLOOKUP($S$561,'TAR FIN'!$A$1:$O$85,15,0)),0,VLOOKUP($S$561,'TAR FIN'!$A$1:$O$85,15,0))</f>
        <v>0</v>
      </c>
      <c r="W561" s="6">
        <f>IF(ISERROR(VLOOKUP($T$561,'TAR FIN'!$A$1:$O$85,15,0)),0,VLOOKUP($T$561,'TAR FIN'!$A$1:$O$85,15,0))</f>
        <v>526.41</v>
      </c>
      <c r="X561" s="6">
        <f>IF(ISERROR(VLOOKUP($U$561,'TAR FIN'!$A$1:$O$85,15,0)),0,VLOOKUP($U$561,'TAR FIN'!$A$1:$O$85,15,0))</f>
        <v>307.08</v>
      </c>
      <c r="Y561" s="6"/>
      <c r="Z561" s="6">
        <f ca="1">('TUSD BE'!$AM$18+'TUSD BF'!$AM$18+'TUSD CVA'!$AM$18)*1</f>
        <v>656.54150643706566</v>
      </c>
      <c r="AA561" s="6">
        <f>('TE BE'!$AB$8+'TE BF'!$AB$8+'TE CVA'!$AB$8)*1</f>
        <v>304.87027853653359</v>
      </c>
      <c r="AB561" s="6">
        <f>$K$561*$V$561</f>
        <v>0</v>
      </c>
      <c r="AC561" s="6">
        <f>$M$561*$W$561</f>
        <v>363.22289999999992</v>
      </c>
      <c r="AD561" s="6">
        <f>$O$561*$X$561</f>
        <v>211.88519999999997</v>
      </c>
      <c r="AE561" s="6">
        <f>$K$561*$Y$561</f>
        <v>0</v>
      </c>
      <c r="AF561" s="6">
        <f ca="1">$M$561*$Z$561</f>
        <v>453.01363944157526</v>
      </c>
      <c r="AG561" s="6">
        <f>$O$561*$AA$561</f>
        <v>210.36049219020816</v>
      </c>
    </row>
    <row r="562" spans="1:33" ht="11.25" customHeight="1" x14ac:dyDescent="0.25">
      <c r="A562" s="4" t="s">
        <v>28</v>
      </c>
      <c r="B562" s="4" t="s">
        <v>22</v>
      </c>
      <c r="C562" s="4" t="s">
        <v>33</v>
      </c>
      <c r="D562" s="4" t="s">
        <v>24</v>
      </c>
      <c r="E562" s="4" t="s">
        <v>24</v>
      </c>
      <c r="F562" s="4" t="s">
        <v>25</v>
      </c>
      <c r="G562" s="4" t="s">
        <v>25</v>
      </c>
      <c r="H562" s="4" t="s">
        <v>36</v>
      </c>
      <c r="I562" s="5">
        <v>44652</v>
      </c>
      <c r="J562" s="6">
        <v>0</v>
      </c>
      <c r="K562" s="6">
        <v>0</v>
      </c>
      <c r="L562" s="6">
        <v>3.3000000000000002E-2</v>
      </c>
      <c r="M562" s="6">
        <v>3.3000000000000002E-2</v>
      </c>
      <c r="N562" s="6">
        <v>3.3000000000000002E-2</v>
      </c>
      <c r="O562" s="6">
        <v>3.3000000000000002E-2</v>
      </c>
      <c r="P562" s="6">
        <v>0</v>
      </c>
      <c r="Q562" s="4" t="s">
        <v>26</v>
      </c>
      <c r="R562" s="4">
        <v>0</v>
      </c>
      <c r="S562" s="6">
        <v>0</v>
      </c>
      <c r="T562" s="6">
        <v>14</v>
      </c>
      <c r="U562" s="6">
        <v>51</v>
      </c>
      <c r="V562" s="6">
        <f>IF(ISERROR(VLOOKUP($S$562,'TAR FIN'!$A$1:$O$85,15,0)),0,VLOOKUP($S$562,'TAR FIN'!$A$1:$O$85,15,0))</f>
        <v>0</v>
      </c>
      <c r="W562" s="6">
        <f>IF(ISERROR(VLOOKUP($T$562,'TAR FIN'!$A$1:$O$85,15,0)),0,VLOOKUP($T$562,'TAR FIN'!$A$1:$O$85,15,0))</f>
        <v>526.41</v>
      </c>
      <c r="X562" s="6">
        <f>IF(ISERROR(VLOOKUP($U$562,'TAR FIN'!$A$1:$O$85,15,0)),0,VLOOKUP($U$562,'TAR FIN'!$A$1:$O$85,15,0))</f>
        <v>307.08</v>
      </c>
      <c r="Y562" s="6"/>
      <c r="Z562" s="6">
        <f ca="1">('TUSD BE'!$AM$18+'TUSD BF'!$AM$18+'TUSD CVA'!$AM$18)*1</f>
        <v>656.54150643706566</v>
      </c>
      <c r="AA562" s="6">
        <f>('TE BE'!$AB$8+'TE BF'!$AB$8+'TE CVA'!$AB$8)*1</f>
        <v>304.87027853653359</v>
      </c>
      <c r="AB562" s="6">
        <f>$K$562*$V$562</f>
        <v>0</v>
      </c>
      <c r="AC562" s="6">
        <f>$M$562*$W$562</f>
        <v>17.37153</v>
      </c>
      <c r="AD562" s="6">
        <f>$O$562*$X$562</f>
        <v>10.13364</v>
      </c>
      <c r="AE562" s="6">
        <f>$K$562*$Y$562</f>
        <v>0</v>
      </c>
      <c r="AF562" s="6">
        <f ca="1">$M$562*$Z$562</f>
        <v>21.665869712423167</v>
      </c>
      <c r="AG562" s="6">
        <f>$O$562*$AA$562</f>
        <v>10.060719191705608</v>
      </c>
    </row>
    <row r="563" spans="1:33" ht="11.25" customHeight="1" x14ac:dyDescent="0.25">
      <c r="A563" s="4" t="s">
        <v>21</v>
      </c>
      <c r="B563" s="4" t="s">
        <v>22</v>
      </c>
      <c r="C563" s="4" t="s">
        <v>33</v>
      </c>
      <c r="D563" s="4" t="s">
        <v>24</v>
      </c>
      <c r="E563" s="4" t="s">
        <v>24</v>
      </c>
      <c r="F563" s="4" t="s">
        <v>25</v>
      </c>
      <c r="G563" s="4" t="s">
        <v>25</v>
      </c>
      <c r="H563" s="4" t="s">
        <v>36</v>
      </c>
      <c r="I563" s="5">
        <v>44682</v>
      </c>
      <c r="J563" s="6">
        <v>0</v>
      </c>
      <c r="K563" s="6">
        <v>0</v>
      </c>
      <c r="L563" s="6">
        <v>0.55500000000000005</v>
      </c>
      <c r="M563" s="6">
        <v>0.55500000000000005</v>
      </c>
      <c r="N563" s="6">
        <v>0.55500000000000005</v>
      </c>
      <c r="O563" s="6">
        <v>0.55500000000000005</v>
      </c>
      <c r="P563" s="6">
        <v>0</v>
      </c>
      <c r="Q563" s="4" t="s">
        <v>26</v>
      </c>
      <c r="R563" s="4">
        <v>0</v>
      </c>
      <c r="S563" s="6">
        <v>0</v>
      </c>
      <c r="T563" s="6">
        <v>14</v>
      </c>
      <c r="U563" s="6">
        <v>51</v>
      </c>
      <c r="V563" s="6">
        <f>IF(ISERROR(VLOOKUP($S$563,'TAR FIN'!$A$1:$O$85,15,0)),0,VLOOKUP($S$563,'TAR FIN'!$A$1:$O$85,15,0))</f>
        <v>0</v>
      </c>
      <c r="W563" s="6">
        <f>IF(ISERROR(VLOOKUP($T$563,'TAR FIN'!$A$1:$O$85,15,0)),0,VLOOKUP($T$563,'TAR FIN'!$A$1:$O$85,15,0))</f>
        <v>526.41</v>
      </c>
      <c r="X563" s="6">
        <f>IF(ISERROR(VLOOKUP($U$563,'TAR FIN'!$A$1:$O$85,15,0)),0,VLOOKUP($U$563,'TAR FIN'!$A$1:$O$85,15,0))</f>
        <v>307.08</v>
      </c>
      <c r="Y563" s="6"/>
      <c r="Z563" s="6">
        <f ca="1">('TUSD BE'!$AM$18+'TUSD BF'!$AM$18+'TUSD CVA'!$AM$18)*1</f>
        <v>656.54150643706566</v>
      </c>
      <c r="AA563" s="6">
        <f>('TE BE'!$AB$8+'TE BF'!$AB$8+'TE CVA'!$AB$8)*1</f>
        <v>304.87027853653359</v>
      </c>
      <c r="AB563" s="6">
        <f>$K$563*$V$563</f>
        <v>0</v>
      </c>
      <c r="AC563" s="6">
        <f>$M$563*$W$563</f>
        <v>292.15755000000001</v>
      </c>
      <c r="AD563" s="6">
        <f>$O$563*$X$563</f>
        <v>170.42940000000002</v>
      </c>
      <c r="AE563" s="6">
        <f>$K$563*$Y$563</f>
        <v>0</v>
      </c>
      <c r="AF563" s="6">
        <f ca="1">$M$563*$Z$563</f>
        <v>364.38053607257149</v>
      </c>
      <c r="AG563" s="6">
        <f>$O$563*$AA$563</f>
        <v>169.20300458777615</v>
      </c>
    </row>
    <row r="564" spans="1:33" ht="11.25" customHeight="1" x14ac:dyDescent="0.25">
      <c r="A564" s="4" t="s">
        <v>27</v>
      </c>
      <c r="B564" s="4" t="s">
        <v>22</v>
      </c>
      <c r="C564" s="4" t="s">
        <v>33</v>
      </c>
      <c r="D564" s="4" t="s">
        <v>24</v>
      </c>
      <c r="E564" s="4" t="s">
        <v>24</v>
      </c>
      <c r="F564" s="4" t="s">
        <v>25</v>
      </c>
      <c r="G564" s="4" t="s">
        <v>25</v>
      </c>
      <c r="H564" s="4" t="s">
        <v>36</v>
      </c>
      <c r="I564" s="5">
        <v>44682</v>
      </c>
      <c r="J564" s="6">
        <v>0</v>
      </c>
      <c r="K564" s="6">
        <v>0</v>
      </c>
      <c r="L564" s="6">
        <v>7.0000000000000001E-3</v>
      </c>
      <c r="M564" s="6">
        <v>7.0000000000000001E-3</v>
      </c>
      <c r="N564" s="6">
        <v>7.0000000000000001E-3</v>
      </c>
      <c r="O564" s="6">
        <v>7.0000000000000001E-3</v>
      </c>
      <c r="P564" s="6">
        <v>0</v>
      </c>
      <c r="Q564" s="4" t="s">
        <v>26</v>
      </c>
      <c r="R564" s="4">
        <v>0</v>
      </c>
      <c r="S564" s="6">
        <v>0</v>
      </c>
      <c r="T564" s="6">
        <v>14</v>
      </c>
      <c r="U564" s="6">
        <v>51</v>
      </c>
      <c r="V564" s="6">
        <f>IF(ISERROR(VLOOKUP($S$564,'TAR FIN'!$A$1:$O$85,15,0)),0,VLOOKUP($S$564,'TAR FIN'!$A$1:$O$85,15,0))</f>
        <v>0</v>
      </c>
      <c r="W564" s="6">
        <f>IF(ISERROR(VLOOKUP($T$564,'TAR FIN'!$A$1:$O$85,15,0)),0,VLOOKUP($T$564,'TAR FIN'!$A$1:$O$85,15,0))</f>
        <v>526.41</v>
      </c>
      <c r="X564" s="6">
        <f>IF(ISERROR(VLOOKUP($U$564,'TAR FIN'!$A$1:$O$85,15,0)),0,VLOOKUP($U$564,'TAR FIN'!$A$1:$O$85,15,0))</f>
        <v>307.08</v>
      </c>
      <c r="Y564" s="6"/>
      <c r="Z564" s="6">
        <f ca="1">('TUSD BE'!$AM$18+'TUSD BF'!$AM$18+'TUSD CVA'!$AM$18)*1</f>
        <v>656.54150643706566</v>
      </c>
      <c r="AA564" s="6">
        <f>('TE BE'!$AB$8+'TE BF'!$AB$8+'TE CVA'!$AB$8)*1</f>
        <v>304.87027853653359</v>
      </c>
      <c r="AB564" s="6">
        <f>$K$564*$V$564</f>
        <v>0</v>
      </c>
      <c r="AC564" s="6">
        <f>$M$564*$W$564</f>
        <v>3.6848699999999996</v>
      </c>
      <c r="AD564" s="6">
        <f>$O$564*$X$564</f>
        <v>2.1495600000000001</v>
      </c>
      <c r="AE564" s="6">
        <f>$K$564*$Y$564</f>
        <v>0</v>
      </c>
      <c r="AF564" s="6">
        <f ca="1">$M$564*$Z$564</f>
        <v>4.5957905450594598</v>
      </c>
      <c r="AG564" s="6">
        <f>$O$564*$AA$564</f>
        <v>2.1340919497557351</v>
      </c>
    </row>
    <row r="565" spans="1:33" ht="11.25" customHeight="1" x14ac:dyDescent="0.25">
      <c r="A565" s="4" t="s">
        <v>21</v>
      </c>
      <c r="B565" s="4" t="s">
        <v>22</v>
      </c>
      <c r="C565" s="4" t="s">
        <v>33</v>
      </c>
      <c r="D565" s="4" t="s">
        <v>24</v>
      </c>
      <c r="E565" s="4" t="s">
        <v>24</v>
      </c>
      <c r="F565" s="4" t="s">
        <v>25</v>
      </c>
      <c r="G565" s="4" t="s">
        <v>25</v>
      </c>
      <c r="H565" s="4" t="s">
        <v>36</v>
      </c>
      <c r="I565" s="5">
        <v>44713</v>
      </c>
      <c r="J565" s="6">
        <v>0</v>
      </c>
      <c r="K565" s="6">
        <v>0</v>
      </c>
      <c r="L565" s="6">
        <v>0.496</v>
      </c>
      <c r="M565" s="6">
        <v>0.496</v>
      </c>
      <c r="N565" s="6">
        <v>0.496</v>
      </c>
      <c r="O565" s="6">
        <v>0.496</v>
      </c>
      <c r="P565" s="6">
        <v>0</v>
      </c>
      <c r="Q565" s="4" t="s">
        <v>26</v>
      </c>
      <c r="R565" s="4">
        <v>0</v>
      </c>
      <c r="S565" s="6">
        <v>0</v>
      </c>
      <c r="T565" s="6">
        <v>14</v>
      </c>
      <c r="U565" s="6">
        <v>51</v>
      </c>
      <c r="V565" s="6">
        <f>IF(ISERROR(VLOOKUP($S$565,'TAR FIN'!$A$1:$O$85,15,0)),0,VLOOKUP($S$565,'TAR FIN'!$A$1:$O$85,15,0))</f>
        <v>0</v>
      </c>
      <c r="W565" s="6">
        <f>IF(ISERROR(VLOOKUP($T$565,'TAR FIN'!$A$1:$O$85,15,0)),0,VLOOKUP($T$565,'TAR FIN'!$A$1:$O$85,15,0))</f>
        <v>526.41</v>
      </c>
      <c r="X565" s="6">
        <f>IF(ISERROR(VLOOKUP($U$565,'TAR FIN'!$A$1:$O$85,15,0)),0,VLOOKUP($U$565,'TAR FIN'!$A$1:$O$85,15,0))</f>
        <v>307.08</v>
      </c>
      <c r="Y565" s="6"/>
      <c r="Z565" s="6">
        <f ca="1">('TUSD BE'!$AM$18+'TUSD BF'!$AM$18+'TUSD CVA'!$AM$18)*1</f>
        <v>656.54150643706566</v>
      </c>
      <c r="AA565" s="6">
        <f>('TE BE'!$AB$8+'TE BF'!$AB$8+'TE CVA'!$AB$8)*1</f>
        <v>304.87027853653359</v>
      </c>
      <c r="AB565" s="6">
        <f>$K$565*$V$565</f>
        <v>0</v>
      </c>
      <c r="AC565" s="6">
        <f>$M$565*$W$565</f>
        <v>261.09935999999999</v>
      </c>
      <c r="AD565" s="6">
        <f>$O$565*$X$565</f>
        <v>152.31168</v>
      </c>
      <c r="AE565" s="6">
        <f>$K$565*$Y$565</f>
        <v>0</v>
      </c>
      <c r="AF565" s="6">
        <f ca="1">$M$565*$Z$565</f>
        <v>325.64458719278457</v>
      </c>
      <c r="AG565" s="6">
        <f>$O$565*$AA$565</f>
        <v>151.21565815412066</v>
      </c>
    </row>
    <row r="566" spans="1:33" ht="11.25" customHeight="1" x14ac:dyDescent="0.25">
      <c r="A566" s="4" t="s">
        <v>21</v>
      </c>
      <c r="B566" s="4" t="s">
        <v>22</v>
      </c>
      <c r="C566" s="4" t="s">
        <v>33</v>
      </c>
      <c r="D566" s="4" t="s">
        <v>24</v>
      </c>
      <c r="E566" s="4" t="s">
        <v>24</v>
      </c>
      <c r="F566" s="4" t="s">
        <v>25</v>
      </c>
      <c r="G566" s="4" t="s">
        <v>25</v>
      </c>
      <c r="H566" s="4" t="s">
        <v>36</v>
      </c>
      <c r="I566" s="5">
        <v>44743</v>
      </c>
      <c r="J566" s="6">
        <v>0</v>
      </c>
      <c r="K566" s="6">
        <v>0</v>
      </c>
      <c r="L566" s="6">
        <v>0.502</v>
      </c>
      <c r="M566" s="6">
        <v>0.502</v>
      </c>
      <c r="N566" s="6">
        <v>0.502</v>
      </c>
      <c r="O566" s="6">
        <v>0.502</v>
      </c>
      <c r="P566" s="6">
        <v>0</v>
      </c>
      <c r="Q566" s="4" t="s">
        <v>26</v>
      </c>
      <c r="R566" s="4">
        <v>0</v>
      </c>
      <c r="S566" s="6">
        <v>0</v>
      </c>
      <c r="T566" s="6">
        <v>14</v>
      </c>
      <c r="U566" s="6">
        <v>51</v>
      </c>
      <c r="V566" s="6">
        <f>IF(ISERROR(VLOOKUP($S$566,'TAR FIN'!$A$1:$O$85,15,0)),0,VLOOKUP($S$566,'TAR FIN'!$A$1:$O$85,15,0))</f>
        <v>0</v>
      </c>
      <c r="W566" s="6">
        <f>IF(ISERROR(VLOOKUP($T$566,'TAR FIN'!$A$1:$O$85,15,0)),0,VLOOKUP($T$566,'TAR FIN'!$A$1:$O$85,15,0))</f>
        <v>526.41</v>
      </c>
      <c r="X566" s="6">
        <f>IF(ISERROR(VLOOKUP($U$566,'TAR FIN'!$A$1:$O$85,15,0)),0,VLOOKUP($U$566,'TAR FIN'!$A$1:$O$85,15,0))</f>
        <v>307.08</v>
      </c>
      <c r="Y566" s="6"/>
      <c r="Z566" s="6">
        <f ca="1">('TUSD BE'!$AM$18+'TUSD BF'!$AM$18+'TUSD CVA'!$AM$18)*1</f>
        <v>656.54150643706566</v>
      </c>
      <c r="AA566" s="6">
        <f>('TE BE'!$AB$8+'TE BF'!$AB$8+'TE CVA'!$AB$8)*1</f>
        <v>304.87027853653359</v>
      </c>
      <c r="AB566" s="6">
        <f>$K$566*$V$566</f>
        <v>0</v>
      </c>
      <c r="AC566" s="6">
        <f>$M$566*$W$566</f>
        <v>264.25781999999998</v>
      </c>
      <c r="AD566" s="6">
        <f>$O$566*$X$566</f>
        <v>154.15415999999999</v>
      </c>
      <c r="AE566" s="6">
        <f>$K$566*$Y$566</f>
        <v>0</v>
      </c>
      <c r="AF566" s="6">
        <f ca="1">$M$566*$Z$566</f>
        <v>329.58383623140696</v>
      </c>
      <c r="AG566" s="6">
        <f>$O$566*$AA$566</f>
        <v>153.04487982533988</v>
      </c>
    </row>
    <row r="567" spans="1:33" ht="11.25" customHeight="1" x14ac:dyDescent="0.25">
      <c r="A567" s="4" t="s">
        <v>28</v>
      </c>
      <c r="B567" s="4" t="s">
        <v>22</v>
      </c>
      <c r="C567" s="4" t="s">
        <v>33</v>
      </c>
      <c r="D567" s="4" t="s">
        <v>24</v>
      </c>
      <c r="E567" s="4" t="s">
        <v>24</v>
      </c>
      <c r="F567" s="4" t="s">
        <v>25</v>
      </c>
      <c r="G567" s="4" t="s">
        <v>25</v>
      </c>
      <c r="H567" s="4" t="s">
        <v>36</v>
      </c>
      <c r="I567" s="5">
        <v>44743</v>
      </c>
      <c r="J567" s="6">
        <v>0</v>
      </c>
      <c r="K567" s="6">
        <v>0</v>
      </c>
      <c r="L567" s="6">
        <v>8.0000000000000002E-3</v>
      </c>
      <c r="M567" s="6">
        <v>8.0000000000000002E-3</v>
      </c>
      <c r="N567" s="6">
        <v>8.0000000000000002E-3</v>
      </c>
      <c r="O567" s="6">
        <v>8.0000000000000002E-3</v>
      </c>
      <c r="P567" s="6">
        <v>0</v>
      </c>
      <c r="Q567" s="4" t="s">
        <v>26</v>
      </c>
      <c r="R567" s="4">
        <v>0</v>
      </c>
      <c r="S567" s="6">
        <v>0</v>
      </c>
      <c r="T567" s="6">
        <v>14</v>
      </c>
      <c r="U567" s="6">
        <v>51</v>
      </c>
      <c r="V567" s="6">
        <f>IF(ISERROR(VLOOKUP($S$567,'TAR FIN'!$A$1:$O$85,15,0)),0,VLOOKUP($S$567,'TAR FIN'!$A$1:$O$85,15,0))</f>
        <v>0</v>
      </c>
      <c r="W567" s="6">
        <f>IF(ISERROR(VLOOKUP($T$567,'TAR FIN'!$A$1:$O$85,15,0)),0,VLOOKUP($T$567,'TAR FIN'!$A$1:$O$85,15,0))</f>
        <v>526.41</v>
      </c>
      <c r="X567" s="6">
        <f>IF(ISERROR(VLOOKUP($U$567,'TAR FIN'!$A$1:$O$85,15,0)),0,VLOOKUP($U$567,'TAR FIN'!$A$1:$O$85,15,0))</f>
        <v>307.08</v>
      </c>
      <c r="Y567" s="6"/>
      <c r="Z567" s="6">
        <f ca="1">('TUSD BE'!$AM$18+'TUSD BF'!$AM$18+'TUSD CVA'!$AM$18)*1</f>
        <v>656.54150643706566</v>
      </c>
      <c r="AA567" s="6">
        <f>('TE BE'!$AB$8+'TE BF'!$AB$8+'TE CVA'!$AB$8)*1</f>
        <v>304.87027853653359</v>
      </c>
      <c r="AB567" s="6">
        <f>$K$567*$V$567</f>
        <v>0</v>
      </c>
      <c r="AC567" s="6">
        <f>$M$567*$W$567</f>
        <v>4.2112799999999995</v>
      </c>
      <c r="AD567" s="6">
        <f>$O$567*$X$567</f>
        <v>2.4566399999999997</v>
      </c>
      <c r="AE567" s="6">
        <f>$K$567*$Y$567</f>
        <v>0</v>
      </c>
      <c r="AF567" s="6">
        <f ca="1">$M$567*$Z$567</f>
        <v>5.2523320514965253</v>
      </c>
      <c r="AG567" s="6">
        <f>$O$567*$AA$567</f>
        <v>2.4389622282922687</v>
      </c>
    </row>
    <row r="568" spans="1:33" ht="11.25" customHeight="1" x14ac:dyDescent="0.25">
      <c r="A568" s="4" t="s">
        <v>56</v>
      </c>
      <c r="B568" s="4" t="s">
        <v>22</v>
      </c>
      <c r="C568" s="4" t="s">
        <v>33</v>
      </c>
      <c r="D568" s="4" t="s">
        <v>24</v>
      </c>
      <c r="E568" s="4" t="s">
        <v>24</v>
      </c>
      <c r="F568" s="4" t="s">
        <v>25</v>
      </c>
      <c r="G568" s="4" t="s">
        <v>25</v>
      </c>
      <c r="H568" s="4" t="s">
        <v>36</v>
      </c>
      <c r="I568" s="5">
        <v>44774</v>
      </c>
      <c r="J568" s="6">
        <v>0</v>
      </c>
      <c r="K568" s="6">
        <v>0</v>
      </c>
      <c r="L568" s="6">
        <v>0.502</v>
      </c>
      <c r="M568" s="6">
        <v>0.502</v>
      </c>
      <c r="N568" s="6">
        <v>0.502</v>
      </c>
      <c r="O568" s="6">
        <v>0.502</v>
      </c>
      <c r="P568" s="6">
        <v>0</v>
      </c>
      <c r="Q568" s="4" t="s">
        <v>26</v>
      </c>
      <c r="R568" s="4">
        <v>0</v>
      </c>
      <c r="S568" s="6">
        <v>0</v>
      </c>
      <c r="T568" s="6">
        <v>14</v>
      </c>
      <c r="U568" s="6">
        <v>51</v>
      </c>
      <c r="V568" s="6">
        <f>IF(ISERROR(VLOOKUP($S$568,'TAR FIN'!$A$1:$O$85,15,0)),0,VLOOKUP($S$568,'TAR FIN'!$A$1:$O$85,15,0))</f>
        <v>0</v>
      </c>
      <c r="W568" s="6">
        <f>IF(ISERROR(VLOOKUP($T$568,'TAR FIN'!$A$1:$O$85,15,0)),0,VLOOKUP($T$568,'TAR FIN'!$A$1:$O$85,15,0))</f>
        <v>526.41</v>
      </c>
      <c r="X568" s="6">
        <f>IF(ISERROR(VLOOKUP($U$568,'TAR FIN'!$A$1:$O$85,15,0)),0,VLOOKUP($U$568,'TAR FIN'!$A$1:$O$85,15,0))</f>
        <v>307.08</v>
      </c>
      <c r="Y568" s="6"/>
      <c r="Z568" s="6">
        <f ca="1">('TUSD BE'!$AM$18+'TUSD BF'!$AM$18+'TUSD CVA'!$AM$18)*1</f>
        <v>656.54150643706566</v>
      </c>
      <c r="AA568" s="6">
        <f>('TE BE'!$AB$8+'TE BF'!$AB$8+'TE CVA'!$AB$8)*1</f>
        <v>304.87027853653359</v>
      </c>
      <c r="AB568" s="6">
        <f>$K$568*$V$568</f>
        <v>0</v>
      </c>
      <c r="AC568" s="6">
        <f>$M$568*$W$568</f>
        <v>264.25781999999998</v>
      </c>
      <c r="AD568" s="6">
        <f>$O$568*$X$568</f>
        <v>154.15415999999999</v>
      </c>
      <c r="AE568" s="6">
        <f>$K$568*$Y$568</f>
        <v>0</v>
      </c>
      <c r="AF568" s="6">
        <f ca="1">$M$568*$Z$568</f>
        <v>329.58383623140696</v>
      </c>
      <c r="AG568" s="6">
        <f>$O$568*$AA$568</f>
        <v>153.04487982533988</v>
      </c>
    </row>
    <row r="569" spans="1:33" ht="11.25" customHeight="1" x14ac:dyDescent="0.25">
      <c r="A569" s="4" t="s">
        <v>56</v>
      </c>
      <c r="B569" s="4" t="s">
        <v>22</v>
      </c>
      <c r="C569" s="4" t="s">
        <v>33</v>
      </c>
      <c r="D569" s="4" t="s">
        <v>24</v>
      </c>
      <c r="E569" s="4" t="s">
        <v>24</v>
      </c>
      <c r="F569" s="4" t="s">
        <v>25</v>
      </c>
      <c r="G569" s="4" t="s">
        <v>25</v>
      </c>
      <c r="H569" s="4" t="s">
        <v>36</v>
      </c>
      <c r="I569" s="5">
        <v>44774</v>
      </c>
      <c r="J569" s="6">
        <v>0</v>
      </c>
      <c r="K569" s="6">
        <v>0</v>
      </c>
      <c r="L569" s="6">
        <v>8.0000000000000002E-3</v>
      </c>
      <c r="M569" s="6">
        <v>8.0000000000000002E-3</v>
      </c>
      <c r="N569" s="6">
        <v>8.0000000000000002E-3</v>
      </c>
      <c r="O569" s="6">
        <v>8.0000000000000002E-3</v>
      </c>
      <c r="P569" s="6">
        <v>0</v>
      </c>
      <c r="Q569" s="4" t="s">
        <v>26</v>
      </c>
      <c r="R569" s="4">
        <v>0</v>
      </c>
      <c r="S569" s="6">
        <v>0</v>
      </c>
      <c r="T569" s="6">
        <v>14</v>
      </c>
      <c r="U569" s="6">
        <v>51</v>
      </c>
      <c r="V569" s="6">
        <f>IF(ISERROR(VLOOKUP($S$569,'TAR FIN'!$A$1:$O$85,15,0)),0,VLOOKUP($S$569,'TAR FIN'!$A$1:$O$85,15,0))</f>
        <v>0</v>
      </c>
      <c r="W569" s="6">
        <f>IF(ISERROR(VLOOKUP($T$569,'TAR FIN'!$A$1:$O$85,15,0)),0,VLOOKUP($T$569,'TAR FIN'!$A$1:$O$85,15,0))</f>
        <v>526.41</v>
      </c>
      <c r="X569" s="6">
        <f>IF(ISERROR(VLOOKUP($U$569,'TAR FIN'!$A$1:$O$85,15,0)),0,VLOOKUP($U$569,'TAR FIN'!$A$1:$O$85,15,0))</f>
        <v>307.08</v>
      </c>
      <c r="Y569" s="6"/>
      <c r="Z569" s="6">
        <f ca="1">('TUSD BE'!$AM$18+'TUSD BF'!$AM$18+'TUSD CVA'!$AM$18)*1</f>
        <v>656.54150643706566</v>
      </c>
      <c r="AA569" s="6">
        <f>('TE BE'!$AB$8+'TE BF'!$AB$8+'TE CVA'!$AB$8)*1</f>
        <v>304.87027853653359</v>
      </c>
      <c r="AB569" s="6">
        <f>$K$569*$V$569</f>
        <v>0</v>
      </c>
      <c r="AC569" s="6">
        <f>$M$569*$W$569</f>
        <v>4.2112799999999995</v>
      </c>
      <c r="AD569" s="6">
        <f>$O$569*$X$569</f>
        <v>2.4566399999999997</v>
      </c>
      <c r="AE569" s="6">
        <f>$K$569*$Y$569</f>
        <v>0</v>
      </c>
      <c r="AF569" s="6">
        <f ca="1">$M$569*$Z$569</f>
        <v>5.2523320514965253</v>
      </c>
      <c r="AG569" s="6">
        <f>$O$569*$AA$569</f>
        <v>2.4389622282922687</v>
      </c>
    </row>
    <row r="570" spans="1:33" ht="11.25" customHeight="1" x14ac:dyDescent="0.25">
      <c r="A570" s="4" t="s">
        <v>21</v>
      </c>
      <c r="B570" s="4" t="s">
        <v>22</v>
      </c>
      <c r="C570" s="4" t="s">
        <v>33</v>
      </c>
      <c r="D570" s="4" t="s">
        <v>24</v>
      </c>
      <c r="E570" s="4" t="s">
        <v>24</v>
      </c>
      <c r="F570" s="4" t="s">
        <v>25</v>
      </c>
      <c r="G570" s="4" t="s">
        <v>25</v>
      </c>
      <c r="H570" s="4" t="s">
        <v>25</v>
      </c>
      <c r="I570" s="5">
        <v>44440</v>
      </c>
      <c r="J570" s="6">
        <v>0</v>
      </c>
      <c r="K570" s="6">
        <v>0</v>
      </c>
      <c r="L570" s="6">
        <v>0.1</v>
      </c>
      <c r="M570" s="6">
        <v>0.1</v>
      </c>
      <c r="N570" s="6">
        <v>0.1</v>
      </c>
      <c r="O570" s="6">
        <v>0.1</v>
      </c>
      <c r="P570" s="6">
        <v>32</v>
      </c>
      <c r="Q570" s="4" t="s">
        <v>26</v>
      </c>
      <c r="R570" s="4">
        <v>0</v>
      </c>
      <c r="S570" s="6">
        <v>0</v>
      </c>
      <c r="T570" s="6">
        <v>16</v>
      </c>
      <c r="U570" s="6">
        <v>53</v>
      </c>
      <c r="V570" s="6">
        <f>IF(ISERROR(VLOOKUP($S$570,'TAR FIN'!$A$1:$O$85,15,0)),0,VLOOKUP($S$570,'TAR FIN'!$A$1:$O$85,15,0))</f>
        <v>0</v>
      </c>
      <c r="W570" s="6">
        <f>IF(ISERROR(VLOOKUP($T$570,'TAR FIN'!$A$1:$O$85,15,0)),0,VLOOKUP($T$570,'TAR FIN'!$A$1:$O$85,15,0))</f>
        <v>324.88</v>
      </c>
      <c r="X570" s="6">
        <f>IF(ISERROR(VLOOKUP($U$570,'TAR FIN'!$A$1:$O$85,15,0)),0,VLOOKUP($U$570,'TAR FIN'!$A$1:$O$85,15,0))</f>
        <v>322.54000000000002</v>
      </c>
      <c r="Y570" s="6"/>
      <c r="Z570" s="6">
        <f ca="1">('TUSD BE'!$AM$20+'TUSD BF'!$AM$20+'TUSD CVA'!$AM$20)*1</f>
        <v>434.80310925202969</v>
      </c>
      <c r="AA570" s="6">
        <f>('TE BE'!$AB$10+'TE BF'!$AB$10+'TE CVA'!$AB$10)*1</f>
        <v>319.954086693367</v>
      </c>
      <c r="AB570" s="6">
        <f>$K$570*$V$570</f>
        <v>0</v>
      </c>
      <c r="AC570" s="6">
        <f>$M$570*$W$570</f>
        <v>32.488</v>
      </c>
      <c r="AD570" s="6">
        <f>$O$570*$X$570</f>
        <v>32.254000000000005</v>
      </c>
      <c r="AE570" s="6">
        <f>$K$570*$Y$570</f>
        <v>0</v>
      </c>
      <c r="AF570" s="6">
        <f ca="1">$M$570*$Z$570</f>
        <v>43.480310925202971</v>
      </c>
      <c r="AG570" s="6">
        <f>$O$570*$AA$570</f>
        <v>31.995408669336701</v>
      </c>
    </row>
    <row r="571" spans="1:33" ht="11.25" customHeight="1" x14ac:dyDescent="0.25">
      <c r="A571" s="4" t="s">
        <v>28</v>
      </c>
      <c r="B571" s="4" t="s">
        <v>22</v>
      </c>
      <c r="C571" s="4" t="s">
        <v>33</v>
      </c>
      <c r="D571" s="4" t="s">
        <v>24</v>
      </c>
      <c r="E571" s="4" t="s">
        <v>24</v>
      </c>
      <c r="F571" s="4" t="s">
        <v>25</v>
      </c>
      <c r="G571" s="4" t="s">
        <v>25</v>
      </c>
      <c r="H571" s="4" t="s">
        <v>25</v>
      </c>
      <c r="I571" s="5">
        <v>44440</v>
      </c>
      <c r="J571" s="6">
        <v>0</v>
      </c>
      <c r="K571" s="6">
        <v>0</v>
      </c>
      <c r="L571" s="6">
        <v>0.23</v>
      </c>
      <c r="M571" s="6">
        <v>0.23</v>
      </c>
      <c r="N571" s="6">
        <v>0.23</v>
      </c>
      <c r="O571" s="6">
        <v>0.23</v>
      </c>
      <c r="P571" s="6">
        <v>3</v>
      </c>
      <c r="Q571" s="4" t="s">
        <v>26</v>
      </c>
      <c r="R571" s="4">
        <v>0</v>
      </c>
      <c r="S571" s="6">
        <v>0</v>
      </c>
      <c r="T571" s="6">
        <v>16</v>
      </c>
      <c r="U571" s="6">
        <v>53</v>
      </c>
      <c r="V571" s="6">
        <f>IF(ISERROR(VLOOKUP($S$571,'TAR FIN'!$A$1:$O$85,15,0)),0,VLOOKUP($S$571,'TAR FIN'!$A$1:$O$85,15,0))</f>
        <v>0</v>
      </c>
      <c r="W571" s="6">
        <f>IF(ISERROR(VLOOKUP($T$571,'TAR FIN'!$A$1:$O$85,15,0)),0,VLOOKUP($T$571,'TAR FIN'!$A$1:$O$85,15,0))</f>
        <v>324.88</v>
      </c>
      <c r="X571" s="6">
        <f>IF(ISERROR(VLOOKUP($U$571,'TAR FIN'!$A$1:$O$85,15,0)),0,VLOOKUP($U$571,'TAR FIN'!$A$1:$O$85,15,0))</f>
        <v>322.54000000000002</v>
      </c>
      <c r="Y571" s="6"/>
      <c r="Z571" s="6">
        <f ca="1">('TUSD BE'!$AM$20+'TUSD BF'!$AM$20+'TUSD CVA'!$AM$20)*1</f>
        <v>434.80310925202969</v>
      </c>
      <c r="AA571" s="6">
        <f>('TE BE'!$AB$10+'TE BF'!$AB$10+'TE CVA'!$AB$10)*1</f>
        <v>319.954086693367</v>
      </c>
      <c r="AB571" s="6">
        <f>$K$571*$V$571</f>
        <v>0</v>
      </c>
      <c r="AC571" s="6">
        <f>$M$571*$W$571</f>
        <v>74.722400000000007</v>
      </c>
      <c r="AD571" s="6">
        <f>$O$571*$X$571</f>
        <v>74.184200000000004</v>
      </c>
      <c r="AE571" s="6">
        <f>$K$571*$Y$571</f>
        <v>0</v>
      </c>
      <c r="AF571" s="6">
        <f ca="1">$M$571*$Z$571</f>
        <v>100.00471512796683</v>
      </c>
      <c r="AG571" s="6">
        <f>$O$571*$AA$571</f>
        <v>73.589439939474417</v>
      </c>
    </row>
    <row r="572" spans="1:33" ht="11.25" customHeight="1" x14ac:dyDescent="0.25">
      <c r="A572" s="4" t="s">
        <v>21</v>
      </c>
      <c r="B572" s="4" t="s">
        <v>22</v>
      </c>
      <c r="C572" s="4" t="s">
        <v>33</v>
      </c>
      <c r="D572" s="4" t="s">
        <v>24</v>
      </c>
      <c r="E572" s="4" t="s">
        <v>24</v>
      </c>
      <c r="F572" s="4" t="s">
        <v>25</v>
      </c>
      <c r="G572" s="4" t="s">
        <v>25</v>
      </c>
      <c r="H572" s="4" t="s">
        <v>25</v>
      </c>
      <c r="I572" s="5">
        <v>44470</v>
      </c>
      <c r="J572" s="6">
        <v>0</v>
      </c>
      <c r="K572" s="6">
        <v>0</v>
      </c>
      <c r="L572" s="6">
        <v>0.08</v>
      </c>
      <c r="M572" s="6">
        <v>0.08</v>
      </c>
      <c r="N572" s="6">
        <v>0.08</v>
      </c>
      <c r="O572" s="6">
        <v>0.08</v>
      </c>
      <c r="P572" s="6">
        <v>33</v>
      </c>
      <c r="Q572" s="4" t="s">
        <v>26</v>
      </c>
      <c r="R572" s="4">
        <v>0</v>
      </c>
      <c r="S572" s="6">
        <v>0</v>
      </c>
      <c r="T572" s="6">
        <v>16</v>
      </c>
      <c r="U572" s="6">
        <v>53</v>
      </c>
      <c r="V572" s="6">
        <f>IF(ISERROR(VLOOKUP($S$572,'TAR FIN'!$A$1:$O$85,15,0)),0,VLOOKUP($S$572,'TAR FIN'!$A$1:$O$85,15,0))</f>
        <v>0</v>
      </c>
      <c r="W572" s="6">
        <f>IF(ISERROR(VLOOKUP($T$572,'TAR FIN'!$A$1:$O$85,15,0)),0,VLOOKUP($T$572,'TAR FIN'!$A$1:$O$85,15,0))</f>
        <v>324.88</v>
      </c>
      <c r="X572" s="6">
        <f>IF(ISERROR(VLOOKUP($U$572,'TAR FIN'!$A$1:$O$85,15,0)),0,VLOOKUP($U$572,'TAR FIN'!$A$1:$O$85,15,0))</f>
        <v>322.54000000000002</v>
      </c>
      <c r="Y572" s="6"/>
      <c r="Z572" s="6">
        <f ca="1">('TUSD BE'!$AM$20+'TUSD BF'!$AM$20+'TUSD CVA'!$AM$20)*1</f>
        <v>434.80310925202969</v>
      </c>
      <c r="AA572" s="6">
        <f>('TE BE'!$AB$10+'TE BF'!$AB$10+'TE CVA'!$AB$10)*1</f>
        <v>319.954086693367</v>
      </c>
      <c r="AB572" s="6">
        <f>$K$572*$V$572</f>
        <v>0</v>
      </c>
      <c r="AC572" s="6">
        <f>$M$572*$W$572</f>
        <v>25.990400000000001</v>
      </c>
      <c r="AD572" s="6">
        <f>$O$572*$X$572</f>
        <v>25.803200000000004</v>
      </c>
      <c r="AE572" s="6">
        <f>$K$572*$Y$572</f>
        <v>0</v>
      </c>
      <c r="AF572" s="6">
        <f ca="1">$M$572*$Z$572</f>
        <v>34.784248740162376</v>
      </c>
      <c r="AG572" s="6">
        <f>$O$572*$AA$572</f>
        <v>25.59632693546936</v>
      </c>
    </row>
    <row r="573" spans="1:33" ht="11.25" customHeight="1" x14ac:dyDescent="0.25">
      <c r="A573" s="4" t="s">
        <v>28</v>
      </c>
      <c r="B573" s="4" t="s">
        <v>22</v>
      </c>
      <c r="C573" s="4" t="s">
        <v>33</v>
      </c>
      <c r="D573" s="4" t="s">
        <v>24</v>
      </c>
      <c r="E573" s="4" t="s">
        <v>24</v>
      </c>
      <c r="F573" s="4" t="s">
        <v>25</v>
      </c>
      <c r="G573" s="4" t="s">
        <v>25</v>
      </c>
      <c r="H573" s="4" t="s">
        <v>25</v>
      </c>
      <c r="I573" s="5">
        <v>44470</v>
      </c>
      <c r="J573" s="6">
        <v>0</v>
      </c>
      <c r="K573" s="6">
        <v>0</v>
      </c>
      <c r="L573" s="6">
        <v>0.2</v>
      </c>
      <c r="M573" s="6">
        <v>0.2</v>
      </c>
      <c r="N573" s="6">
        <v>0.2</v>
      </c>
      <c r="O573" s="6">
        <v>0.2</v>
      </c>
      <c r="P573" s="6">
        <v>2</v>
      </c>
      <c r="Q573" s="4" t="s">
        <v>26</v>
      </c>
      <c r="R573" s="4">
        <v>0</v>
      </c>
      <c r="S573" s="6">
        <v>0</v>
      </c>
      <c r="T573" s="6">
        <v>16</v>
      </c>
      <c r="U573" s="6">
        <v>53</v>
      </c>
      <c r="V573" s="6">
        <f>IF(ISERROR(VLOOKUP($S$573,'TAR FIN'!$A$1:$O$85,15,0)),0,VLOOKUP($S$573,'TAR FIN'!$A$1:$O$85,15,0))</f>
        <v>0</v>
      </c>
      <c r="W573" s="6">
        <f>IF(ISERROR(VLOOKUP($T$573,'TAR FIN'!$A$1:$O$85,15,0)),0,VLOOKUP($T$573,'TAR FIN'!$A$1:$O$85,15,0))</f>
        <v>324.88</v>
      </c>
      <c r="X573" s="6">
        <f>IF(ISERROR(VLOOKUP($U$573,'TAR FIN'!$A$1:$O$85,15,0)),0,VLOOKUP($U$573,'TAR FIN'!$A$1:$O$85,15,0))</f>
        <v>322.54000000000002</v>
      </c>
      <c r="Y573" s="6"/>
      <c r="Z573" s="6">
        <f ca="1">('TUSD BE'!$AM$20+'TUSD BF'!$AM$20+'TUSD CVA'!$AM$20)*1</f>
        <v>434.80310925202969</v>
      </c>
      <c r="AA573" s="6">
        <f>('TE BE'!$AB$10+'TE BF'!$AB$10+'TE CVA'!$AB$10)*1</f>
        <v>319.954086693367</v>
      </c>
      <c r="AB573" s="6">
        <f>$K$573*$V$573</f>
        <v>0</v>
      </c>
      <c r="AC573" s="6">
        <f>$M$573*$W$573</f>
        <v>64.975999999999999</v>
      </c>
      <c r="AD573" s="6">
        <f>$O$573*$X$573</f>
        <v>64.50800000000001</v>
      </c>
      <c r="AE573" s="6">
        <f>$K$573*$Y$573</f>
        <v>0</v>
      </c>
      <c r="AF573" s="6">
        <f ca="1">$M$573*$Z$573</f>
        <v>86.960621850405943</v>
      </c>
      <c r="AG573" s="6">
        <f>$O$573*$AA$573</f>
        <v>63.990817338673402</v>
      </c>
    </row>
    <row r="574" spans="1:33" ht="11.25" customHeight="1" x14ac:dyDescent="0.25">
      <c r="A574" s="4" t="s">
        <v>21</v>
      </c>
      <c r="B574" s="4" t="s">
        <v>22</v>
      </c>
      <c r="C574" s="4" t="s">
        <v>33</v>
      </c>
      <c r="D574" s="4" t="s">
        <v>24</v>
      </c>
      <c r="E574" s="4" t="s">
        <v>24</v>
      </c>
      <c r="F574" s="4" t="s">
        <v>25</v>
      </c>
      <c r="G574" s="4" t="s">
        <v>25</v>
      </c>
      <c r="H574" s="4" t="s">
        <v>25</v>
      </c>
      <c r="I574" s="5">
        <v>44501</v>
      </c>
      <c r="J574" s="6">
        <v>0</v>
      </c>
      <c r="K574" s="6">
        <v>0</v>
      </c>
      <c r="L574" s="6">
        <v>0.13</v>
      </c>
      <c r="M574" s="6">
        <v>0.13</v>
      </c>
      <c r="N574" s="6">
        <v>0.13</v>
      </c>
      <c r="O574" s="6">
        <v>0.13</v>
      </c>
      <c r="P574" s="6">
        <v>33</v>
      </c>
      <c r="Q574" s="4" t="s">
        <v>26</v>
      </c>
      <c r="R574" s="4">
        <v>0</v>
      </c>
      <c r="S574" s="6">
        <v>0</v>
      </c>
      <c r="T574" s="6">
        <v>16</v>
      </c>
      <c r="U574" s="6">
        <v>53</v>
      </c>
      <c r="V574" s="6">
        <f>IF(ISERROR(VLOOKUP($S$574,'TAR FIN'!$A$1:$O$85,15,0)),0,VLOOKUP($S$574,'TAR FIN'!$A$1:$O$85,15,0))</f>
        <v>0</v>
      </c>
      <c r="W574" s="6">
        <f>IF(ISERROR(VLOOKUP($T$574,'TAR FIN'!$A$1:$O$85,15,0)),0,VLOOKUP($T$574,'TAR FIN'!$A$1:$O$85,15,0))</f>
        <v>324.88</v>
      </c>
      <c r="X574" s="6">
        <f>IF(ISERROR(VLOOKUP($U$574,'TAR FIN'!$A$1:$O$85,15,0)),0,VLOOKUP($U$574,'TAR FIN'!$A$1:$O$85,15,0))</f>
        <v>322.54000000000002</v>
      </c>
      <c r="Y574" s="6"/>
      <c r="Z574" s="6">
        <f ca="1">('TUSD BE'!$AM$20+'TUSD BF'!$AM$20+'TUSD CVA'!$AM$20)*1</f>
        <v>434.80310925202969</v>
      </c>
      <c r="AA574" s="6">
        <f>('TE BE'!$AB$10+'TE BF'!$AB$10+'TE CVA'!$AB$10)*1</f>
        <v>319.954086693367</v>
      </c>
      <c r="AB574" s="6">
        <f>$K$574*$V$574</f>
        <v>0</v>
      </c>
      <c r="AC574" s="6">
        <f>$M$574*$W$574</f>
        <v>42.234400000000001</v>
      </c>
      <c r="AD574" s="6">
        <f>$O$574*$X$574</f>
        <v>41.930200000000006</v>
      </c>
      <c r="AE574" s="6">
        <f>$K$574*$Y$574</f>
        <v>0</v>
      </c>
      <c r="AF574" s="6">
        <f ca="1">$M$574*$Z$574</f>
        <v>56.524404202763861</v>
      </c>
      <c r="AG574" s="6">
        <f>$O$574*$AA$574</f>
        <v>41.594031270137712</v>
      </c>
    </row>
    <row r="575" spans="1:33" ht="11.25" customHeight="1" x14ac:dyDescent="0.25">
      <c r="A575" s="4" t="s">
        <v>28</v>
      </c>
      <c r="B575" s="4" t="s">
        <v>22</v>
      </c>
      <c r="C575" s="4" t="s">
        <v>33</v>
      </c>
      <c r="D575" s="4" t="s">
        <v>24</v>
      </c>
      <c r="E575" s="4" t="s">
        <v>24</v>
      </c>
      <c r="F575" s="4" t="s">
        <v>25</v>
      </c>
      <c r="G575" s="4" t="s">
        <v>25</v>
      </c>
      <c r="H575" s="4" t="s">
        <v>25</v>
      </c>
      <c r="I575" s="5">
        <v>44501</v>
      </c>
      <c r="J575" s="6">
        <v>0</v>
      </c>
      <c r="K575" s="6">
        <v>0</v>
      </c>
      <c r="L575" s="6">
        <v>0.2</v>
      </c>
      <c r="M575" s="6">
        <v>0.2</v>
      </c>
      <c r="N575" s="6">
        <v>0.2</v>
      </c>
      <c r="O575" s="6">
        <v>0.2</v>
      </c>
      <c r="P575" s="6">
        <v>2</v>
      </c>
      <c r="Q575" s="4" t="s">
        <v>26</v>
      </c>
      <c r="R575" s="4">
        <v>0</v>
      </c>
      <c r="S575" s="6">
        <v>0</v>
      </c>
      <c r="T575" s="6">
        <v>16</v>
      </c>
      <c r="U575" s="6">
        <v>53</v>
      </c>
      <c r="V575" s="6">
        <f>IF(ISERROR(VLOOKUP($S$575,'TAR FIN'!$A$1:$O$85,15,0)),0,VLOOKUP($S$575,'TAR FIN'!$A$1:$O$85,15,0))</f>
        <v>0</v>
      </c>
      <c r="W575" s="6">
        <f>IF(ISERROR(VLOOKUP($T$575,'TAR FIN'!$A$1:$O$85,15,0)),0,VLOOKUP($T$575,'TAR FIN'!$A$1:$O$85,15,0))</f>
        <v>324.88</v>
      </c>
      <c r="X575" s="6">
        <f>IF(ISERROR(VLOOKUP($U$575,'TAR FIN'!$A$1:$O$85,15,0)),0,VLOOKUP($U$575,'TAR FIN'!$A$1:$O$85,15,0))</f>
        <v>322.54000000000002</v>
      </c>
      <c r="Y575" s="6"/>
      <c r="Z575" s="6">
        <f ca="1">('TUSD BE'!$AM$20+'TUSD BF'!$AM$20+'TUSD CVA'!$AM$20)*1</f>
        <v>434.80310925202969</v>
      </c>
      <c r="AA575" s="6">
        <f>('TE BE'!$AB$10+'TE BF'!$AB$10+'TE CVA'!$AB$10)*1</f>
        <v>319.954086693367</v>
      </c>
      <c r="AB575" s="6">
        <f>$K$575*$V$575</f>
        <v>0</v>
      </c>
      <c r="AC575" s="6">
        <f>$M$575*$W$575</f>
        <v>64.975999999999999</v>
      </c>
      <c r="AD575" s="6">
        <f>$O$575*$X$575</f>
        <v>64.50800000000001</v>
      </c>
      <c r="AE575" s="6">
        <f>$K$575*$Y$575</f>
        <v>0</v>
      </c>
      <c r="AF575" s="6">
        <f ca="1">$M$575*$Z$575</f>
        <v>86.960621850405943</v>
      </c>
      <c r="AG575" s="6">
        <f>$O$575*$AA$575</f>
        <v>63.990817338673402</v>
      </c>
    </row>
    <row r="576" spans="1:33" ht="11.25" customHeight="1" x14ac:dyDescent="0.25">
      <c r="A576" s="4" t="s">
        <v>21</v>
      </c>
      <c r="B576" s="4" t="s">
        <v>22</v>
      </c>
      <c r="C576" s="4" t="s">
        <v>33</v>
      </c>
      <c r="D576" s="4" t="s">
        <v>24</v>
      </c>
      <c r="E576" s="4" t="s">
        <v>24</v>
      </c>
      <c r="F576" s="4" t="s">
        <v>25</v>
      </c>
      <c r="G576" s="4" t="s">
        <v>25</v>
      </c>
      <c r="H576" s="4" t="s">
        <v>25</v>
      </c>
      <c r="I576" s="5">
        <v>44531</v>
      </c>
      <c r="J576" s="6">
        <v>0</v>
      </c>
      <c r="K576" s="6">
        <v>0</v>
      </c>
      <c r="L576" s="6">
        <v>0.05</v>
      </c>
      <c r="M576" s="6">
        <v>0.05</v>
      </c>
      <c r="N576" s="6">
        <v>0.05</v>
      </c>
      <c r="O576" s="6">
        <v>0.05</v>
      </c>
      <c r="P576" s="6">
        <v>32</v>
      </c>
      <c r="Q576" s="4" t="s">
        <v>26</v>
      </c>
      <c r="R576" s="4">
        <v>0</v>
      </c>
      <c r="S576" s="6">
        <v>0</v>
      </c>
      <c r="T576" s="6">
        <v>16</v>
      </c>
      <c r="U576" s="6">
        <v>53</v>
      </c>
      <c r="V576" s="6">
        <f>IF(ISERROR(VLOOKUP($S$576,'TAR FIN'!$A$1:$O$85,15,0)),0,VLOOKUP($S$576,'TAR FIN'!$A$1:$O$85,15,0))</f>
        <v>0</v>
      </c>
      <c r="W576" s="6">
        <f>IF(ISERROR(VLOOKUP($T$576,'TAR FIN'!$A$1:$O$85,15,0)),0,VLOOKUP($T$576,'TAR FIN'!$A$1:$O$85,15,0))</f>
        <v>324.88</v>
      </c>
      <c r="X576" s="6">
        <f>IF(ISERROR(VLOOKUP($U$576,'TAR FIN'!$A$1:$O$85,15,0)),0,VLOOKUP($U$576,'TAR FIN'!$A$1:$O$85,15,0))</f>
        <v>322.54000000000002</v>
      </c>
      <c r="Y576" s="6"/>
      <c r="Z576" s="6">
        <f ca="1">('TUSD BE'!$AM$20+'TUSD BF'!$AM$20+'TUSD CVA'!$AM$20)*1</f>
        <v>434.80310925202969</v>
      </c>
      <c r="AA576" s="6">
        <f>('TE BE'!$AB$10+'TE BF'!$AB$10+'TE CVA'!$AB$10)*1</f>
        <v>319.954086693367</v>
      </c>
      <c r="AB576" s="6">
        <f>$K$576*$V$576</f>
        <v>0</v>
      </c>
      <c r="AC576" s="6">
        <f>$M$576*$W$576</f>
        <v>16.244</v>
      </c>
      <c r="AD576" s="6">
        <f>$O$576*$X$576</f>
        <v>16.127000000000002</v>
      </c>
      <c r="AE576" s="6">
        <f>$K$576*$Y$576</f>
        <v>0</v>
      </c>
      <c r="AF576" s="6">
        <f ca="1">$M$576*$Z$576</f>
        <v>21.740155462601486</v>
      </c>
      <c r="AG576" s="6">
        <f>$O$576*$AA$576</f>
        <v>15.997704334668351</v>
      </c>
    </row>
    <row r="577" spans="1:33" ht="11.25" customHeight="1" x14ac:dyDescent="0.25">
      <c r="A577" s="4" t="s">
        <v>28</v>
      </c>
      <c r="B577" s="4" t="s">
        <v>22</v>
      </c>
      <c r="C577" s="4" t="s">
        <v>33</v>
      </c>
      <c r="D577" s="4" t="s">
        <v>24</v>
      </c>
      <c r="E577" s="4" t="s">
        <v>24</v>
      </c>
      <c r="F577" s="4" t="s">
        <v>25</v>
      </c>
      <c r="G577" s="4" t="s">
        <v>25</v>
      </c>
      <c r="H577" s="4" t="s">
        <v>25</v>
      </c>
      <c r="I577" s="5">
        <v>44531</v>
      </c>
      <c r="J577" s="6">
        <v>0</v>
      </c>
      <c r="K577" s="6">
        <v>0</v>
      </c>
      <c r="L577" s="6">
        <v>0.2</v>
      </c>
      <c r="M577" s="6">
        <v>0.2</v>
      </c>
      <c r="N577" s="6">
        <v>0.2</v>
      </c>
      <c r="O577" s="6">
        <v>0.2</v>
      </c>
      <c r="P577" s="6">
        <v>2</v>
      </c>
      <c r="Q577" s="4" t="s">
        <v>26</v>
      </c>
      <c r="R577" s="4">
        <v>0</v>
      </c>
      <c r="S577" s="6">
        <v>0</v>
      </c>
      <c r="T577" s="6">
        <v>16</v>
      </c>
      <c r="U577" s="6">
        <v>53</v>
      </c>
      <c r="V577" s="6">
        <f>IF(ISERROR(VLOOKUP($S$577,'TAR FIN'!$A$1:$O$85,15,0)),0,VLOOKUP($S$577,'TAR FIN'!$A$1:$O$85,15,0))</f>
        <v>0</v>
      </c>
      <c r="W577" s="6">
        <f>IF(ISERROR(VLOOKUP($T$577,'TAR FIN'!$A$1:$O$85,15,0)),0,VLOOKUP($T$577,'TAR FIN'!$A$1:$O$85,15,0))</f>
        <v>324.88</v>
      </c>
      <c r="X577" s="6">
        <f>IF(ISERROR(VLOOKUP($U$577,'TAR FIN'!$A$1:$O$85,15,0)),0,VLOOKUP($U$577,'TAR FIN'!$A$1:$O$85,15,0))</f>
        <v>322.54000000000002</v>
      </c>
      <c r="Y577" s="6"/>
      <c r="Z577" s="6">
        <f ca="1">('TUSD BE'!$AM$20+'TUSD BF'!$AM$20+'TUSD CVA'!$AM$20)*1</f>
        <v>434.80310925202969</v>
      </c>
      <c r="AA577" s="6">
        <f>('TE BE'!$AB$10+'TE BF'!$AB$10+'TE CVA'!$AB$10)*1</f>
        <v>319.954086693367</v>
      </c>
      <c r="AB577" s="6">
        <f>$K$577*$V$577</f>
        <v>0</v>
      </c>
      <c r="AC577" s="6">
        <f>$M$577*$W$577</f>
        <v>64.975999999999999</v>
      </c>
      <c r="AD577" s="6">
        <f>$O$577*$X$577</f>
        <v>64.50800000000001</v>
      </c>
      <c r="AE577" s="6">
        <f>$K$577*$Y$577</f>
        <v>0</v>
      </c>
      <c r="AF577" s="6">
        <f ca="1">$M$577*$Z$577</f>
        <v>86.960621850405943</v>
      </c>
      <c r="AG577" s="6">
        <f>$O$577*$AA$577</f>
        <v>63.990817338673402</v>
      </c>
    </row>
    <row r="578" spans="1:33" ht="11.25" customHeight="1" x14ac:dyDescent="0.25">
      <c r="A578" s="4" t="s">
        <v>21</v>
      </c>
      <c r="B578" s="4" t="s">
        <v>22</v>
      </c>
      <c r="C578" s="4" t="s">
        <v>33</v>
      </c>
      <c r="D578" s="4" t="s">
        <v>24</v>
      </c>
      <c r="E578" s="4" t="s">
        <v>24</v>
      </c>
      <c r="F578" s="4" t="s">
        <v>25</v>
      </c>
      <c r="G578" s="4" t="s">
        <v>25</v>
      </c>
      <c r="H578" s="4" t="s">
        <v>25</v>
      </c>
      <c r="I578" s="5">
        <v>44562</v>
      </c>
      <c r="J578" s="6">
        <v>0</v>
      </c>
      <c r="K578" s="6">
        <v>0</v>
      </c>
      <c r="L578" s="6">
        <v>0.05</v>
      </c>
      <c r="M578" s="6">
        <v>0.05</v>
      </c>
      <c r="N578" s="6">
        <v>0.05</v>
      </c>
      <c r="O578" s="6">
        <v>0.05</v>
      </c>
      <c r="P578" s="6">
        <v>32</v>
      </c>
      <c r="Q578" s="4" t="s">
        <v>26</v>
      </c>
      <c r="R578" s="4">
        <v>0</v>
      </c>
      <c r="S578" s="6">
        <v>0</v>
      </c>
      <c r="T578" s="6">
        <v>16</v>
      </c>
      <c r="U578" s="6">
        <v>53</v>
      </c>
      <c r="V578" s="6">
        <f>IF(ISERROR(VLOOKUP($S$578,'TAR FIN'!$A$1:$O$85,15,0)),0,VLOOKUP($S$578,'TAR FIN'!$A$1:$O$85,15,0))</f>
        <v>0</v>
      </c>
      <c r="W578" s="6">
        <f>IF(ISERROR(VLOOKUP($T$578,'TAR FIN'!$A$1:$O$85,15,0)),0,VLOOKUP($T$578,'TAR FIN'!$A$1:$O$85,15,0))</f>
        <v>324.88</v>
      </c>
      <c r="X578" s="6">
        <f>IF(ISERROR(VLOOKUP($U$578,'TAR FIN'!$A$1:$O$85,15,0)),0,VLOOKUP($U$578,'TAR FIN'!$A$1:$O$85,15,0))</f>
        <v>322.54000000000002</v>
      </c>
      <c r="Y578" s="6"/>
      <c r="Z578" s="6">
        <f ca="1">('TUSD BE'!$AM$20+'TUSD BF'!$AM$20+'TUSD CVA'!$AM$20)*1</f>
        <v>434.80310925202969</v>
      </c>
      <c r="AA578" s="6">
        <f>('TE BE'!$AB$10+'TE BF'!$AB$10+'TE CVA'!$AB$10)*1</f>
        <v>319.954086693367</v>
      </c>
      <c r="AB578" s="6">
        <f>$K$578*$V$578</f>
        <v>0</v>
      </c>
      <c r="AC578" s="6">
        <f>$M$578*$W$578</f>
        <v>16.244</v>
      </c>
      <c r="AD578" s="6">
        <f>$O$578*$X$578</f>
        <v>16.127000000000002</v>
      </c>
      <c r="AE578" s="6">
        <f>$K$578*$Y$578</f>
        <v>0</v>
      </c>
      <c r="AF578" s="6">
        <f ca="1">$M$578*$Z$578</f>
        <v>21.740155462601486</v>
      </c>
      <c r="AG578" s="6">
        <f>$O$578*$AA$578</f>
        <v>15.997704334668351</v>
      </c>
    </row>
    <row r="579" spans="1:33" ht="11.25" customHeight="1" x14ac:dyDescent="0.25">
      <c r="A579" s="4" t="s">
        <v>28</v>
      </c>
      <c r="B579" s="4" t="s">
        <v>22</v>
      </c>
      <c r="C579" s="4" t="s">
        <v>33</v>
      </c>
      <c r="D579" s="4" t="s">
        <v>24</v>
      </c>
      <c r="E579" s="4" t="s">
        <v>24</v>
      </c>
      <c r="F579" s="4" t="s">
        <v>25</v>
      </c>
      <c r="G579" s="4" t="s">
        <v>25</v>
      </c>
      <c r="H579" s="4" t="s">
        <v>25</v>
      </c>
      <c r="I579" s="5">
        <v>44562</v>
      </c>
      <c r="J579" s="6">
        <v>0</v>
      </c>
      <c r="K579" s="6">
        <v>0</v>
      </c>
      <c r="L579" s="6">
        <v>0.2</v>
      </c>
      <c r="M579" s="6">
        <v>0.2</v>
      </c>
      <c r="N579" s="6">
        <v>0.2</v>
      </c>
      <c r="O579" s="6">
        <v>0.2</v>
      </c>
      <c r="P579" s="6">
        <v>2</v>
      </c>
      <c r="Q579" s="4" t="s">
        <v>26</v>
      </c>
      <c r="R579" s="4">
        <v>0</v>
      </c>
      <c r="S579" s="6">
        <v>0</v>
      </c>
      <c r="T579" s="6">
        <v>16</v>
      </c>
      <c r="U579" s="6">
        <v>53</v>
      </c>
      <c r="V579" s="6">
        <f>IF(ISERROR(VLOOKUP($S$579,'TAR FIN'!$A$1:$O$85,15,0)),0,VLOOKUP($S$579,'TAR FIN'!$A$1:$O$85,15,0))</f>
        <v>0</v>
      </c>
      <c r="W579" s="6">
        <f>IF(ISERROR(VLOOKUP($T$579,'TAR FIN'!$A$1:$O$85,15,0)),0,VLOOKUP($T$579,'TAR FIN'!$A$1:$O$85,15,0))</f>
        <v>324.88</v>
      </c>
      <c r="X579" s="6">
        <f>IF(ISERROR(VLOOKUP($U$579,'TAR FIN'!$A$1:$O$85,15,0)),0,VLOOKUP($U$579,'TAR FIN'!$A$1:$O$85,15,0))</f>
        <v>322.54000000000002</v>
      </c>
      <c r="Y579" s="6"/>
      <c r="Z579" s="6">
        <f ca="1">('TUSD BE'!$AM$20+'TUSD BF'!$AM$20+'TUSD CVA'!$AM$20)*1</f>
        <v>434.80310925202969</v>
      </c>
      <c r="AA579" s="6">
        <f>('TE BE'!$AB$10+'TE BF'!$AB$10+'TE CVA'!$AB$10)*1</f>
        <v>319.954086693367</v>
      </c>
      <c r="AB579" s="6">
        <f>$K$579*$V$579</f>
        <v>0</v>
      </c>
      <c r="AC579" s="6">
        <f>$M$579*$W$579</f>
        <v>64.975999999999999</v>
      </c>
      <c r="AD579" s="6">
        <f>$O$579*$X$579</f>
        <v>64.50800000000001</v>
      </c>
      <c r="AE579" s="6">
        <f>$K$579*$Y$579</f>
        <v>0</v>
      </c>
      <c r="AF579" s="6">
        <f ca="1">$M$579*$Z$579</f>
        <v>86.960621850405943</v>
      </c>
      <c r="AG579" s="6">
        <f>$O$579*$AA$579</f>
        <v>63.990817338673402</v>
      </c>
    </row>
    <row r="580" spans="1:33" ht="11.25" customHeight="1" x14ac:dyDescent="0.25">
      <c r="A580" s="4" t="s">
        <v>21</v>
      </c>
      <c r="B580" s="4" t="s">
        <v>22</v>
      </c>
      <c r="C580" s="4" t="s">
        <v>33</v>
      </c>
      <c r="D580" s="4" t="s">
        <v>24</v>
      </c>
      <c r="E580" s="4" t="s">
        <v>24</v>
      </c>
      <c r="F580" s="4" t="s">
        <v>25</v>
      </c>
      <c r="G580" s="4" t="s">
        <v>25</v>
      </c>
      <c r="H580" s="4" t="s">
        <v>25</v>
      </c>
      <c r="I580" s="5">
        <v>44593</v>
      </c>
      <c r="J580" s="6">
        <v>0</v>
      </c>
      <c r="K580" s="6">
        <v>0</v>
      </c>
      <c r="L580" s="6">
        <v>0.05</v>
      </c>
      <c r="M580" s="6">
        <v>0.05</v>
      </c>
      <c r="N580" s="6">
        <v>0.05</v>
      </c>
      <c r="O580" s="6">
        <v>0.05</v>
      </c>
      <c r="P580" s="6">
        <v>32</v>
      </c>
      <c r="Q580" s="4" t="s">
        <v>26</v>
      </c>
      <c r="R580" s="4">
        <v>0</v>
      </c>
      <c r="S580" s="6">
        <v>0</v>
      </c>
      <c r="T580" s="6">
        <v>16</v>
      </c>
      <c r="U580" s="6">
        <v>53</v>
      </c>
      <c r="V580" s="6">
        <f>IF(ISERROR(VLOOKUP($S$580,'TAR FIN'!$A$1:$O$85,15,0)),0,VLOOKUP($S$580,'TAR FIN'!$A$1:$O$85,15,0))</f>
        <v>0</v>
      </c>
      <c r="W580" s="6">
        <f>IF(ISERROR(VLOOKUP($T$580,'TAR FIN'!$A$1:$O$85,15,0)),0,VLOOKUP($T$580,'TAR FIN'!$A$1:$O$85,15,0))</f>
        <v>324.88</v>
      </c>
      <c r="X580" s="6">
        <f>IF(ISERROR(VLOOKUP($U$580,'TAR FIN'!$A$1:$O$85,15,0)),0,VLOOKUP($U$580,'TAR FIN'!$A$1:$O$85,15,0))</f>
        <v>322.54000000000002</v>
      </c>
      <c r="Y580" s="6"/>
      <c r="Z580" s="6">
        <f ca="1">('TUSD BE'!$AM$20+'TUSD BF'!$AM$20+'TUSD CVA'!$AM$20)*1</f>
        <v>434.80310925202969</v>
      </c>
      <c r="AA580" s="6">
        <f>('TE BE'!$AB$10+'TE BF'!$AB$10+'TE CVA'!$AB$10)*1</f>
        <v>319.954086693367</v>
      </c>
      <c r="AB580" s="6">
        <f>$K$580*$V$580</f>
        <v>0</v>
      </c>
      <c r="AC580" s="6">
        <f>$M$580*$W$580</f>
        <v>16.244</v>
      </c>
      <c r="AD580" s="6">
        <f>$O$580*$X$580</f>
        <v>16.127000000000002</v>
      </c>
      <c r="AE580" s="6">
        <f>$K$580*$Y$580</f>
        <v>0</v>
      </c>
      <c r="AF580" s="6">
        <f ca="1">$M$580*$Z$580</f>
        <v>21.740155462601486</v>
      </c>
      <c r="AG580" s="6">
        <f>$O$580*$AA$580</f>
        <v>15.997704334668351</v>
      </c>
    </row>
    <row r="581" spans="1:33" ht="11.25" customHeight="1" x14ac:dyDescent="0.25">
      <c r="A581" s="4" t="s">
        <v>28</v>
      </c>
      <c r="B581" s="4" t="s">
        <v>22</v>
      </c>
      <c r="C581" s="4" t="s">
        <v>33</v>
      </c>
      <c r="D581" s="4" t="s">
        <v>24</v>
      </c>
      <c r="E581" s="4" t="s">
        <v>24</v>
      </c>
      <c r="F581" s="4" t="s">
        <v>25</v>
      </c>
      <c r="G581" s="4" t="s">
        <v>25</v>
      </c>
      <c r="H581" s="4" t="s">
        <v>25</v>
      </c>
      <c r="I581" s="5">
        <v>44593</v>
      </c>
      <c r="J581" s="6">
        <v>0</v>
      </c>
      <c r="K581" s="6">
        <v>0</v>
      </c>
      <c r="L581" s="6">
        <v>0.2</v>
      </c>
      <c r="M581" s="6">
        <v>0.2</v>
      </c>
      <c r="N581" s="6">
        <v>0.2</v>
      </c>
      <c r="O581" s="6">
        <v>0.2</v>
      </c>
      <c r="P581" s="6">
        <v>2</v>
      </c>
      <c r="Q581" s="4" t="s">
        <v>26</v>
      </c>
      <c r="R581" s="4">
        <v>0</v>
      </c>
      <c r="S581" s="6">
        <v>0</v>
      </c>
      <c r="T581" s="6">
        <v>16</v>
      </c>
      <c r="U581" s="6">
        <v>53</v>
      </c>
      <c r="V581" s="6">
        <f>IF(ISERROR(VLOOKUP($S$581,'TAR FIN'!$A$1:$O$85,15,0)),0,VLOOKUP($S$581,'TAR FIN'!$A$1:$O$85,15,0))</f>
        <v>0</v>
      </c>
      <c r="W581" s="6">
        <f>IF(ISERROR(VLOOKUP($T$581,'TAR FIN'!$A$1:$O$85,15,0)),0,VLOOKUP($T$581,'TAR FIN'!$A$1:$O$85,15,0))</f>
        <v>324.88</v>
      </c>
      <c r="X581" s="6">
        <f>IF(ISERROR(VLOOKUP($U$581,'TAR FIN'!$A$1:$O$85,15,0)),0,VLOOKUP($U$581,'TAR FIN'!$A$1:$O$85,15,0))</f>
        <v>322.54000000000002</v>
      </c>
      <c r="Y581" s="6"/>
      <c r="Z581" s="6">
        <f ca="1">('TUSD BE'!$AM$20+'TUSD BF'!$AM$20+'TUSD CVA'!$AM$20)*1</f>
        <v>434.80310925202969</v>
      </c>
      <c r="AA581" s="6">
        <f>('TE BE'!$AB$10+'TE BF'!$AB$10+'TE CVA'!$AB$10)*1</f>
        <v>319.954086693367</v>
      </c>
      <c r="AB581" s="6">
        <f>$K$581*$V$581</f>
        <v>0</v>
      </c>
      <c r="AC581" s="6">
        <f>$M$581*$W$581</f>
        <v>64.975999999999999</v>
      </c>
      <c r="AD581" s="6">
        <f>$O$581*$X$581</f>
        <v>64.50800000000001</v>
      </c>
      <c r="AE581" s="6">
        <f>$K$581*$Y$581</f>
        <v>0</v>
      </c>
      <c r="AF581" s="6">
        <f ca="1">$M$581*$Z$581</f>
        <v>86.960621850405943</v>
      </c>
      <c r="AG581" s="6">
        <f>$O$581*$AA$581</f>
        <v>63.990817338673402</v>
      </c>
    </row>
    <row r="582" spans="1:33" ht="11.25" customHeight="1" x14ac:dyDescent="0.25">
      <c r="A582" s="4" t="s">
        <v>21</v>
      </c>
      <c r="B582" s="4" t="s">
        <v>22</v>
      </c>
      <c r="C582" s="4" t="s">
        <v>33</v>
      </c>
      <c r="D582" s="4" t="s">
        <v>24</v>
      </c>
      <c r="E582" s="4" t="s">
        <v>24</v>
      </c>
      <c r="F582" s="4" t="s">
        <v>25</v>
      </c>
      <c r="G582" s="4" t="s">
        <v>25</v>
      </c>
      <c r="H582" s="4" t="s">
        <v>25</v>
      </c>
      <c r="I582" s="5">
        <v>44621</v>
      </c>
      <c r="J582" s="6">
        <v>0</v>
      </c>
      <c r="K582" s="6">
        <v>0</v>
      </c>
      <c r="L582" s="6">
        <v>0.05</v>
      </c>
      <c r="M582" s="6">
        <v>0.05</v>
      </c>
      <c r="N582" s="6">
        <v>0.05</v>
      </c>
      <c r="O582" s="6">
        <v>0.05</v>
      </c>
      <c r="P582" s="6">
        <v>32</v>
      </c>
      <c r="Q582" s="4" t="s">
        <v>26</v>
      </c>
      <c r="R582" s="4">
        <v>0</v>
      </c>
      <c r="S582" s="6">
        <v>0</v>
      </c>
      <c r="T582" s="6">
        <v>16</v>
      </c>
      <c r="U582" s="6">
        <v>53</v>
      </c>
      <c r="V582" s="6">
        <f>IF(ISERROR(VLOOKUP($S$582,'TAR FIN'!$A$1:$O$85,15,0)),0,VLOOKUP($S$582,'TAR FIN'!$A$1:$O$85,15,0))</f>
        <v>0</v>
      </c>
      <c r="W582" s="6">
        <f>IF(ISERROR(VLOOKUP($T$582,'TAR FIN'!$A$1:$O$85,15,0)),0,VLOOKUP($T$582,'TAR FIN'!$A$1:$O$85,15,0))</f>
        <v>324.88</v>
      </c>
      <c r="X582" s="6">
        <f>IF(ISERROR(VLOOKUP($U$582,'TAR FIN'!$A$1:$O$85,15,0)),0,VLOOKUP($U$582,'TAR FIN'!$A$1:$O$85,15,0))</f>
        <v>322.54000000000002</v>
      </c>
      <c r="Y582" s="6"/>
      <c r="Z582" s="6">
        <f ca="1">('TUSD BE'!$AM$20+'TUSD BF'!$AM$20+'TUSD CVA'!$AM$20)*1</f>
        <v>434.80310925202969</v>
      </c>
      <c r="AA582" s="6">
        <f>('TE BE'!$AB$10+'TE BF'!$AB$10+'TE CVA'!$AB$10)*1</f>
        <v>319.954086693367</v>
      </c>
      <c r="AB582" s="6">
        <f>$K$582*$V$582</f>
        <v>0</v>
      </c>
      <c r="AC582" s="6">
        <f>$M$582*$W$582</f>
        <v>16.244</v>
      </c>
      <c r="AD582" s="6">
        <f>$O$582*$X$582</f>
        <v>16.127000000000002</v>
      </c>
      <c r="AE582" s="6">
        <f>$K$582*$Y$582</f>
        <v>0</v>
      </c>
      <c r="AF582" s="6">
        <f ca="1">$M$582*$Z$582</f>
        <v>21.740155462601486</v>
      </c>
      <c r="AG582" s="6">
        <f>$O$582*$AA$582</f>
        <v>15.997704334668351</v>
      </c>
    </row>
    <row r="583" spans="1:33" ht="11.25" customHeight="1" x14ac:dyDescent="0.25">
      <c r="A583" s="4" t="s">
        <v>28</v>
      </c>
      <c r="B583" s="4" t="s">
        <v>22</v>
      </c>
      <c r="C583" s="4" t="s">
        <v>33</v>
      </c>
      <c r="D583" s="4" t="s">
        <v>24</v>
      </c>
      <c r="E583" s="4" t="s">
        <v>24</v>
      </c>
      <c r="F583" s="4" t="s">
        <v>25</v>
      </c>
      <c r="G583" s="4" t="s">
        <v>25</v>
      </c>
      <c r="H583" s="4" t="s">
        <v>25</v>
      </c>
      <c r="I583" s="5">
        <v>44621</v>
      </c>
      <c r="J583" s="6">
        <v>0</v>
      </c>
      <c r="K583" s="6">
        <v>0</v>
      </c>
      <c r="L583" s="6">
        <v>0.2</v>
      </c>
      <c r="M583" s="6">
        <v>0.2</v>
      </c>
      <c r="N583" s="6">
        <v>0.2</v>
      </c>
      <c r="O583" s="6">
        <v>0.2</v>
      </c>
      <c r="P583" s="6">
        <v>2</v>
      </c>
      <c r="Q583" s="4" t="s">
        <v>26</v>
      </c>
      <c r="R583" s="4">
        <v>0</v>
      </c>
      <c r="S583" s="6">
        <v>0</v>
      </c>
      <c r="T583" s="6">
        <v>16</v>
      </c>
      <c r="U583" s="6">
        <v>53</v>
      </c>
      <c r="V583" s="6">
        <f>IF(ISERROR(VLOOKUP($S$583,'TAR FIN'!$A$1:$O$85,15,0)),0,VLOOKUP($S$583,'TAR FIN'!$A$1:$O$85,15,0))</f>
        <v>0</v>
      </c>
      <c r="W583" s="6">
        <f>IF(ISERROR(VLOOKUP($T$583,'TAR FIN'!$A$1:$O$85,15,0)),0,VLOOKUP($T$583,'TAR FIN'!$A$1:$O$85,15,0))</f>
        <v>324.88</v>
      </c>
      <c r="X583" s="6">
        <f>IF(ISERROR(VLOOKUP($U$583,'TAR FIN'!$A$1:$O$85,15,0)),0,VLOOKUP($U$583,'TAR FIN'!$A$1:$O$85,15,0))</f>
        <v>322.54000000000002</v>
      </c>
      <c r="Y583" s="6"/>
      <c r="Z583" s="6">
        <f ca="1">('TUSD BE'!$AM$20+'TUSD BF'!$AM$20+'TUSD CVA'!$AM$20)*1</f>
        <v>434.80310925202969</v>
      </c>
      <c r="AA583" s="6">
        <f>('TE BE'!$AB$10+'TE BF'!$AB$10+'TE CVA'!$AB$10)*1</f>
        <v>319.954086693367</v>
      </c>
      <c r="AB583" s="6">
        <f>$K$583*$V$583</f>
        <v>0</v>
      </c>
      <c r="AC583" s="6">
        <f>$M$583*$W$583</f>
        <v>64.975999999999999</v>
      </c>
      <c r="AD583" s="6">
        <f>$O$583*$X$583</f>
        <v>64.50800000000001</v>
      </c>
      <c r="AE583" s="6">
        <f>$K$583*$Y$583</f>
        <v>0</v>
      </c>
      <c r="AF583" s="6">
        <f ca="1">$M$583*$Z$583</f>
        <v>86.960621850405943</v>
      </c>
      <c r="AG583" s="6">
        <f>$O$583*$AA$583</f>
        <v>63.990817338673402</v>
      </c>
    </row>
    <row r="584" spans="1:33" ht="11.25" customHeight="1" x14ac:dyDescent="0.25">
      <c r="A584" s="4" t="s">
        <v>21</v>
      </c>
      <c r="B584" s="4" t="s">
        <v>22</v>
      </c>
      <c r="C584" s="4" t="s">
        <v>33</v>
      </c>
      <c r="D584" s="4" t="s">
        <v>24</v>
      </c>
      <c r="E584" s="4" t="s">
        <v>24</v>
      </c>
      <c r="F584" s="4" t="s">
        <v>25</v>
      </c>
      <c r="G584" s="4" t="s">
        <v>25</v>
      </c>
      <c r="H584" s="4" t="s">
        <v>25</v>
      </c>
      <c r="I584" s="5">
        <v>44652</v>
      </c>
      <c r="J584" s="6">
        <v>0</v>
      </c>
      <c r="K584" s="6">
        <v>0</v>
      </c>
      <c r="L584" s="6">
        <v>0.05</v>
      </c>
      <c r="M584" s="6">
        <v>0.05</v>
      </c>
      <c r="N584" s="6">
        <v>0.05</v>
      </c>
      <c r="O584" s="6">
        <v>0.05</v>
      </c>
      <c r="P584" s="6">
        <v>31</v>
      </c>
      <c r="Q584" s="4" t="s">
        <v>26</v>
      </c>
      <c r="R584" s="4">
        <v>0</v>
      </c>
      <c r="S584" s="6">
        <v>0</v>
      </c>
      <c r="T584" s="6">
        <v>16</v>
      </c>
      <c r="U584" s="6">
        <v>53</v>
      </c>
      <c r="V584" s="6">
        <f>IF(ISERROR(VLOOKUP($S$584,'TAR FIN'!$A$1:$O$85,15,0)),0,VLOOKUP($S$584,'TAR FIN'!$A$1:$O$85,15,0))</f>
        <v>0</v>
      </c>
      <c r="W584" s="6">
        <f>IF(ISERROR(VLOOKUP($T$584,'TAR FIN'!$A$1:$O$85,15,0)),0,VLOOKUP($T$584,'TAR FIN'!$A$1:$O$85,15,0))</f>
        <v>324.88</v>
      </c>
      <c r="X584" s="6">
        <f>IF(ISERROR(VLOOKUP($U$584,'TAR FIN'!$A$1:$O$85,15,0)),0,VLOOKUP($U$584,'TAR FIN'!$A$1:$O$85,15,0))</f>
        <v>322.54000000000002</v>
      </c>
      <c r="Y584" s="6"/>
      <c r="Z584" s="6">
        <f ca="1">('TUSD BE'!$AM$20+'TUSD BF'!$AM$20+'TUSD CVA'!$AM$20)*1</f>
        <v>434.80310925202969</v>
      </c>
      <c r="AA584" s="6">
        <f>('TE BE'!$AB$10+'TE BF'!$AB$10+'TE CVA'!$AB$10)*1</f>
        <v>319.954086693367</v>
      </c>
      <c r="AB584" s="6">
        <f>$K$584*$V$584</f>
        <v>0</v>
      </c>
      <c r="AC584" s="6">
        <f>$M$584*$W$584</f>
        <v>16.244</v>
      </c>
      <c r="AD584" s="6">
        <f>$O$584*$X$584</f>
        <v>16.127000000000002</v>
      </c>
      <c r="AE584" s="6">
        <f>$K$584*$Y$584</f>
        <v>0</v>
      </c>
      <c r="AF584" s="6">
        <f ca="1">$M$584*$Z$584</f>
        <v>21.740155462601486</v>
      </c>
      <c r="AG584" s="6">
        <f>$O$584*$AA$584</f>
        <v>15.997704334668351</v>
      </c>
    </row>
    <row r="585" spans="1:33" ht="11.25" customHeight="1" x14ac:dyDescent="0.25">
      <c r="A585" s="4" t="s">
        <v>28</v>
      </c>
      <c r="B585" s="4" t="s">
        <v>22</v>
      </c>
      <c r="C585" s="4" t="s">
        <v>33</v>
      </c>
      <c r="D585" s="4" t="s">
        <v>24</v>
      </c>
      <c r="E585" s="4" t="s">
        <v>24</v>
      </c>
      <c r="F585" s="4" t="s">
        <v>25</v>
      </c>
      <c r="G585" s="4" t="s">
        <v>25</v>
      </c>
      <c r="H585" s="4" t="s">
        <v>25</v>
      </c>
      <c r="I585" s="5">
        <v>44652</v>
      </c>
      <c r="J585" s="6">
        <v>0</v>
      </c>
      <c r="K585" s="6">
        <v>0</v>
      </c>
      <c r="L585" s="6">
        <v>0.2</v>
      </c>
      <c r="M585" s="6">
        <v>0.2</v>
      </c>
      <c r="N585" s="6">
        <v>0.2</v>
      </c>
      <c r="O585" s="6">
        <v>0.2</v>
      </c>
      <c r="P585" s="6">
        <v>3</v>
      </c>
      <c r="Q585" s="4" t="s">
        <v>26</v>
      </c>
      <c r="R585" s="4">
        <v>0</v>
      </c>
      <c r="S585" s="6">
        <v>0</v>
      </c>
      <c r="T585" s="6">
        <v>16</v>
      </c>
      <c r="U585" s="6">
        <v>53</v>
      </c>
      <c r="V585" s="6">
        <f>IF(ISERROR(VLOOKUP($S$585,'TAR FIN'!$A$1:$O$85,15,0)),0,VLOOKUP($S$585,'TAR FIN'!$A$1:$O$85,15,0))</f>
        <v>0</v>
      </c>
      <c r="W585" s="6">
        <f>IF(ISERROR(VLOOKUP($T$585,'TAR FIN'!$A$1:$O$85,15,0)),0,VLOOKUP($T$585,'TAR FIN'!$A$1:$O$85,15,0))</f>
        <v>324.88</v>
      </c>
      <c r="X585" s="6">
        <f>IF(ISERROR(VLOOKUP($U$585,'TAR FIN'!$A$1:$O$85,15,0)),0,VLOOKUP($U$585,'TAR FIN'!$A$1:$O$85,15,0))</f>
        <v>322.54000000000002</v>
      </c>
      <c r="Y585" s="6"/>
      <c r="Z585" s="6">
        <f ca="1">('TUSD BE'!$AM$20+'TUSD BF'!$AM$20+'TUSD CVA'!$AM$20)*1</f>
        <v>434.80310925202969</v>
      </c>
      <c r="AA585" s="6">
        <f>('TE BE'!$AB$10+'TE BF'!$AB$10+'TE CVA'!$AB$10)*1</f>
        <v>319.954086693367</v>
      </c>
      <c r="AB585" s="6">
        <f>$K$585*$V$585</f>
        <v>0</v>
      </c>
      <c r="AC585" s="6">
        <f>$M$585*$W$585</f>
        <v>64.975999999999999</v>
      </c>
      <c r="AD585" s="6">
        <f>$O$585*$X$585</f>
        <v>64.50800000000001</v>
      </c>
      <c r="AE585" s="6">
        <f>$K$585*$Y$585</f>
        <v>0</v>
      </c>
      <c r="AF585" s="6">
        <f ca="1">$M$585*$Z$585</f>
        <v>86.960621850405943</v>
      </c>
      <c r="AG585" s="6">
        <f>$O$585*$AA$585</f>
        <v>63.990817338673402</v>
      </c>
    </row>
    <row r="586" spans="1:33" ht="11.25" customHeight="1" x14ac:dyDescent="0.25">
      <c r="A586" s="4" t="s">
        <v>21</v>
      </c>
      <c r="B586" s="4" t="s">
        <v>22</v>
      </c>
      <c r="C586" s="4" t="s">
        <v>33</v>
      </c>
      <c r="D586" s="4" t="s">
        <v>24</v>
      </c>
      <c r="E586" s="4" t="s">
        <v>24</v>
      </c>
      <c r="F586" s="4" t="s">
        <v>25</v>
      </c>
      <c r="G586" s="4" t="s">
        <v>25</v>
      </c>
      <c r="H586" s="4" t="s">
        <v>25</v>
      </c>
      <c r="I586" s="5">
        <v>44682</v>
      </c>
      <c r="J586" s="6">
        <v>0</v>
      </c>
      <c r="K586" s="6">
        <v>0</v>
      </c>
      <c r="L586" s="6">
        <v>0.05</v>
      </c>
      <c r="M586" s="6">
        <v>0.05</v>
      </c>
      <c r="N586" s="6">
        <v>0.05</v>
      </c>
      <c r="O586" s="6">
        <v>0.05</v>
      </c>
      <c r="P586" s="6">
        <v>29</v>
      </c>
      <c r="Q586" s="4" t="s">
        <v>26</v>
      </c>
      <c r="R586" s="4">
        <v>0</v>
      </c>
      <c r="S586" s="6">
        <v>0</v>
      </c>
      <c r="T586" s="6">
        <v>16</v>
      </c>
      <c r="U586" s="6">
        <v>53</v>
      </c>
      <c r="V586" s="6">
        <f>IF(ISERROR(VLOOKUP($S$586,'TAR FIN'!$A$1:$O$85,15,0)),0,VLOOKUP($S$586,'TAR FIN'!$A$1:$O$85,15,0))</f>
        <v>0</v>
      </c>
      <c r="W586" s="6">
        <f>IF(ISERROR(VLOOKUP($T$586,'TAR FIN'!$A$1:$O$85,15,0)),0,VLOOKUP($T$586,'TAR FIN'!$A$1:$O$85,15,0))</f>
        <v>324.88</v>
      </c>
      <c r="X586" s="6">
        <f>IF(ISERROR(VLOOKUP($U$586,'TAR FIN'!$A$1:$O$85,15,0)),0,VLOOKUP($U$586,'TAR FIN'!$A$1:$O$85,15,0))</f>
        <v>322.54000000000002</v>
      </c>
      <c r="Y586" s="6"/>
      <c r="Z586" s="6">
        <f ca="1">('TUSD BE'!$AM$20+'TUSD BF'!$AM$20+'TUSD CVA'!$AM$20)*1</f>
        <v>434.80310925202969</v>
      </c>
      <c r="AA586" s="6">
        <f>('TE BE'!$AB$10+'TE BF'!$AB$10+'TE CVA'!$AB$10)*1</f>
        <v>319.954086693367</v>
      </c>
      <c r="AB586" s="6">
        <f>$K$586*$V$586</f>
        <v>0</v>
      </c>
      <c r="AC586" s="6">
        <f>$M$586*$W$586</f>
        <v>16.244</v>
      </c>
      <c r="AD586" s="6">
        <f>$O$586*$X$586</f>
        <v>16.127000000000002</v>
      </c>
      <c r="AE586" s="6">
        <f>$K$586*$Y$586</f>
        <v>0</v>
      </c>
      <c r="AF586" s="6">
        <f ca="1">$M$586*$Z$586</f>
        <v>21.740155462601486</v>
      </c>
      <c r="AG586" s="6">
        <f>$O$586*$AA$586</f>
        <v>15.997704334668351</v>
      </c>
    </row>
    <row r="587" spans="1:33" ht="11.25" customHeight="1" x14ac:dyDescent="0.25">
      <c r="A587" s="4" t="s">
        <v>28</v>
      </c>
      <c r="B587" s="4" t="s">
        <v>22</v>
      </c>
      <c r="C587" s="4" t="s">
        <v>33</v>
      </c>
      <c r="D587" s="4" t="s">
        <v>24</v>
      </c>
      <c r="E587" s="4" t="s">
        <v>24</v>
      </c>
      <c r="F587" s="4" t="s">
        <v>25</v>
      </c>
      <c r="G587" s="4" t="s">
        <v>25</v>
      </c>
      <c r="H587" s="4" t="s">
        <v>25</v>
      </c>
      <c r="I587" s="5">
        <v>44682</v>
      </c>
      <c r="J587" s="6">
        <v>0</v>
      </c>
      <c r="K587" s="6">
        <v>0</v>
      </c>
      <c r="L587" s="6">
        <v>0.3</v>
      </c>
      <c r="M587" s="6">
        <v>0.3</v>
      </c>
      <c r="N587" s="6">
        <v>0.3</v>
      </c>
      <c r="O587" s="6">
        <v>0.3</v>
      </c>
      <c r="P587" s="6">
        <v>3</v>
      </c>
      <c r="Q587" s="4" t="s">
        <v>26</v>
      </c>
      <c r="R587" s="4">
        <v>0</v>
      </c>
      <c r="S587" s="6">
        <v>0</v>
      </c>
      <c r="T587" s="6">
        <v>16</v>
      </c>
      <c r="U587" s="6">
        <v>53</v>
      </c>
      <c r="V587" s="6">
        <f>IF(ISERROR(VLOOKUP($S$587,'TAR FIN'!$A$1:$O$85,15,0)),0,VLOOKUP($S$587,'TAR FIN'!$A$1:$O$85,15,0))</f>
        <v>0</v>
      </c>
      <c r="W587" s="6">
        <f>IF(ISERROR(VLOOKUP($T$587,'TAR FIN'!$A$1:$O$85,15,0)),0,VLOOKUP($T$587,'TAR FIN'!$A$1:$O$85,15,0))</f>
        <v>324.88</v>
      </c>
      <c r="X587" s="6">
        <f>IF(ISERROR(VLOOKUP($U$587,'TAR FIN'!$A$1:$O$85,15,0)),0,VLOOKUP($U$587,'TAR FIN'!$A$1:$O$85,15,0))</f>
        <v>322.54000000000002</v>
      </c>
      <c r="Y587" s="6"/>
      <c r="Z587" s="6">
        <f ca="1">('TUSD BE'!$AM$20+'TUSD BF'!$AM$20+'TUSD CVA'!$AM$20)*1</f>
        <v>434.80310925202969</v>
      </c>
      <c r="AA587" s="6">
        <f>('TE BE'!$AB$10+'TE BF'!$AB$10+'TE CVA'!$AB$10)*1</f>
        <v>319.954086693367</v>
      </c>
      <c r="AB587" s="6">
        <f>$K$587*$V$587</f>
        <v>0</v>
      </c>
      <c r="AC587" s="6">
        <f>$M$587*$W$587</f>
        <v>97.463999999999999</v>
      </c>
      <c r="AD587" s="6">
        <f>$O$587*$X$587</f>
        <v>96.762</v>
      </c>
      <c r="AE587" s="6">
        <f>$K$587*$Y$587</f>
        <v>0</v>
      </c>
      <c r="AF587" s="6">
        <f ca="1">$M$587*$Z$587</f>
        <v>130.4409327756089</v>
      </c>
      <c r="AG587" s="6">
        <f>$O$587*$AA$587</f>
        <v>95.986226008010092</v>
      </c>
    </row>
    <row r="588" spans="1:33" ht="11.25" customHeight="1" x14ac:dyDescent="0.25">
      <c r="A588" s="4" t="s">
        <v>21</v>
      </c>
      <c r="B588" s="4" t="s">
        <v>22</v>
      </c>
      <c r="C588" s="4" t="s">
        <v>33</v>
      </c>
      <c r="D588" s="4" t="s">
        <v>24</v>
      </c>
      <c r="E588" s="4" t="s">
        <v>24</v>
      </c>
      <c r="F588" s="4" t="s">
        <v>25</v>
      </c>
      <c r="G588" s="4" t="s">
        <v>25</v>
      </c>
      <c r="H588" s="4" t="s">
        <v>25</v>
      </c>
      <c r="I588" s="5">
        <v>44713</v>
      </c>
      <c r="J588" s="6">
        <v>0</v>
      </c>
      <c r="K588" s="6">
        <v>0</v>
      </c>
      <c r="L588" s="6">
        <v>0.05</v>
      </c>
      <c r="M588" s="6">
        <v>0.05</v>
      </c>
      <c r="N588" s="6">
        <v>0.05</v>
      </c>
      <c r="O588" s="6">
        <v>0.05</v>
      </c>
      <c r="P588" s="6">
        <v>28</v>
      </c>
      <c r="Q588" s="4" t="s">
        <v>26</v>
      </c>
      <c r="R588" s="4">
        <v>0</v>
      </c>
      <c r="S588" s="6">
        <v>0</v>
      </c>
      <c r="T588" s="6">
        <v>16</v>
      </c>
      <c r="U588" s="6">
        <v>53</v>
      </c>
      <c r="V588" s="6">
        <f>IF(ISERROR(VLOOKUP($S$588,'TAR FIN'!$A$1:$O$85,15,0)),0,VLOOKUP($S$588,'TAR FIN'!$A$1:$O$85,15,0))</f>
        <v>0</v>
      </c>
      <c r="W588" s="6">
        <f>IF(ISERROR(VLOOKUP($T$588,'TAR FIN'!$A$1:$O$85,15,0)),0,VLOOKUP($T$588,'TAR FIN'!$A$1:$O$85,15,0))</f>
        <v>324.88</v>
      </c>
      <c r="X588" s="6">
        <f>IF(ISERROR(VLOOKUP($U$588,'TAR FIN'!$A$1:$O$85,15,0)),0,VLOOKUP($U$588,'TAR FIN'!$A$1:$O$85,15,0))</f>
        <v>322.54000000000002</v>
      </c>
      <c r="Y588" s="6"/>
      <c r="Z588" s="6">
        <f ca="1">('TUSD BE'!$AM$20+'TUSD BF'!$AM$20+'TUSD CVA'!$AM$20)*1</f>
        <v>434.80310925202969</v>
      </c>
      <c r="AA588" s="6">
        <f>('TE BE'!$AB$10+'TE BF'!$AB$10+'TE CVA'!$AB$10)*1</f>
        <v>319.954086693367</v>
      </c>
      <c r="AB588" s="6">
        <f>$K$588*$V$588</f>
        <v>0</v>
      </c>
      <c r="AC588" s="6">
        <f>$M$588*$W$588</f>
        <v>16.244</v>
      </c>
      <c r="AD588" s="6">
        <f>$O$588*$X$588</f>
        <v>16.127000000000002</v>
      </c>
      <c r="AE588" s="6">
        <f>$K$588*$Y$588</f>
        <v>0</v>
      </c>
      <c r="AF588" s="6">
        <f ca="1">$M$588*$Z$588</f>
        <v>21.740155462601486</v>
      </c>
      <c r="AG588" s="6">
        <f>$O$588*$AA$588</f>
        <v>15.997704334668351</v>
      </c>
    </row>
    <row r="589" spans="1:33" ht="11.25" customHeight="1" x14ac:dyDescent="0.25">
      <c r="A589" s="4" t="s">
        <v>28</v>
      </c>
      <c r="B589" s="4" t="s">
        <v>22</v>
      </c>
      <c r="C589" s="4" t="s">
        <v>33</v>
      </c>
      <c r="D589" s="4" t="s">
        <v>24</v>
      </c>
      <c r="E589" s="4" t="s">
        <v>24</v>
      </c>
      <c r="F589" s="4" t="s">
        <v>25</v>
      </c>
      <c r="G589" s="4" t="s">
        <v>25</v>
      </c>
      <c r="H589" s="4" t="s">
        <v>25</v>
      </c>
      <c r="I589" s="5">
        <v>44713</v>
      </c>
      <c r="J589" s="6">
        <v>0</v>
      </c>
      <c r="K589" s="6">
        <v>0</v>
      </c>
      <c r="L589" s="6">
        <v>0.4</v>
      </c>
      <c r="M589" s="6">
        <v>0.4</v>
      </c>
      <c r="N589" s="6">
        <v>0.4</v>
      </c>
      <c r="O589" s="6">
        <v>0.4</v>
      </c>
      <c r="P589" s="6">
        <v>4</v>
      </c>
      <c r="Q589" s="4" t="s">
        <v>26</v>
      </c>
      <c r="R589" s="4">
        <v>0</v>
      </c>
      <c r="S589" s="6">
        <v>0</v>
      </c>
      <c r="T589" s="6">
        <v>16</v>
      </c>
      <c r="U589" s="6">
        <v>53</v>
      </c>
      <c r="V589" s="6">
        <f>IF(ISERROR(VLOOKUP($S$589,'TAR FIN'!$A$1:$O$85,15,0)),0,VLOOKUP($S$589,'TAR FIN'!$A$1:$O$85,15,0))</f>
        <v>0</v>
      </c>
      <c r="W589" s="6">
        <f>IF(ISERROR(VLOOKUP($T$589,'TAR FIN'!$A$1:$O$85,15,0)),0,VLOOKUP($T$589,'TAR FIN'!$A$1:$O$85,15,0))</f>
        <v>324.88</v>
      </c>
      <c r="X589" s="6">
        <f>IF(ISERROR(VLOOKUP($U$589,'TAR FIN'!$A$1:$O$85,15,0)),0,VLOOKUP($U$589,'TAR FIN'!$A$1:$O$85,15,0))</f>
        <v>322.54000000000002</v>
      </c>
      <c r="Y589" s="6"/>
      <c r="Z589" s="6">
        <f ca="1">('TUSD BE'!$AM$20+'TUSD BF'!$AM$20+'TUSD CVA'!$AM$20)*1</f>
        <v>434.80310925202969</v>
      </c>
      <c r="AA589" s="6">
        <f>('TE BE'!$AB$10+'TE BF'!$AB$10+'TE CVA'!$AB$10)*1</f>
        <v>319.954086693367</v>
      </c>
      <c r="AB589" s="6">
        <f>$K$589*$V$589</f>
        <v>0</v>
      </c>
      <c r="AC589" s="6">
        <f>$M$589*$W$589</f>
        <v>129.952</v>
      </c>
      <c r="AD589" s="6">
        <f>$O$589*$X$589</f>
        <v>129.01600000000002</v>
      </c>
      <c r="AE589" s="6">
        <f>$K$589*$Y$589</f>
        <v>0</v>
      </c>
      <c r="AF589" s="6">
        <f ca="1">$M$589*$Z$589</f>
        <v>173.92124370081189</v>
      </c>
      <c r="AG589" s="6">
        <f>$O$589*$AA$589</f>
        <v>127.9816346773468</v>
      </c>
    </row>
    <row r="590" spans="1:33" ht="11.25" customHeight="1" x14ac:dyDescent="0.25">
      <c r="A590" s="4" t="s">
        <v>21</v>
      </c>
      <c r="B590" s="4" t="s">
        <v>22</v>
      </c>
      <c r="C590" s="4" t="s">
        <v>33</v>
      </c>
      <c r="D590" s="4" t="s">
        <v>24</v>
      </c>
      <c r="E590" s="4" t="s">
        <v>24</v>
      </c>
      <c r="F590" s="4" t="s">
        <v>25</v>
      </c>
      <c r="G590" s="4" t="s">
        <v>25</v>
      </c>
      <c r="H590" s="4" t="s">
        <v>25</v>
      </c>
      <c r="I590" s="5">
        <v>44743</v>
      </c>
      <c r="J590" s="6">
        <v>0</v>
      </c>
      <c r="K590" s="6">
        <v>0</v>
      </c>
      <c r="L590" s="6">
        <v>0.1</v>
      </c>
      <c r="M590" s="6">
        <v>0.1</v>
      </c>
      <c r="N590" s="6">
        <v>0.1</v>
      </c>
      <c r="O590" s="6">
        <v>0.1</v>
      </c>
      <c r="P590" s="6">
        <v>28</v>
      </c>
      <c r="Q590" s="4" t="s">
        <v>26</v>
      </c>
      <c r="R590" s="4">
        <v>0</v>
      </c>
      <c r="S590" s="6">
        <v>0</v>
      </c>
      <c r="T590" s="6">
        <v>16</v>
      </c>
      <c r="U590" s="6">
        <v>53</v>
      </c>
      <c r="V590" s="6">
        <f>IF(ISERROR(VLOOKUP($S$590,'TAR FIN'!$A$1:$O$85,15,0)),0,VLOOKUP($S$590,'TAR FIN'!$A$1:$O$85,15,0))</f>
        <v>0</v>
      </c>
      <c r="W590" s="6">
        <f>IF(ISERROR(VLOOKUP($T$590,'TAR FIN'!$A$1:$O$85,15,0)),0,VLOOKUP($T$590,'TAR FIN'!$A$1:$O$85,15,0))</f>
        <v>324.88</v>
      </c>
      <c r="X590" s="6">
        <f>IF(ISERROR(VLOOKUP($U$590,'TAR FIN'!$A$1:$O$85,15,0)),0,VLOOKUP($U$590,'TAR FIN'!$A$1:$O$85,15,0))</f>
        <v>322.54000000000002</v>
      </c>
      <c r="Y590" s="6"/>
      <c r="Z590" s="6">
        <f ca="1">('TUSD BE'!$AM$20+'TUSD BF'!$AM$20+'TUSD CVA'!$AM$20)*1</f>
        <v>434.80310925202969</v>
      </c>
      <c r="AA590" s="6">
        <f>('TE BE'!$AB$10+'TE BF'!$AB$10+'TE CVA'!$AB$10)*1</f>
        <v>319.954086693367</v>
      </c>
      <c r="AB590" s="6">
        <f>$K$590*$V$590</f>
        <v>0</v>
      </c>
      <c r="AC590" s="6">
        <f>$M$590*$W$590</f>
        <v>32.488</v>
      </c>
      <c r="AD590" s="6">
        <f>$O$590*$X$590</f>
        <v>32.254000000000005</v>
      </c>
      <c r="AE590" s="6">
        <f>$K$590*$Y$590</f>
        <v>0</v>
      </c>
      <c r="AF590" s="6">
        <f ca="1">$M$590*$Z$590</f>
        <v>43.480310925202971</v>
      </c>
      <c r="AG590" s="6">
        <f>$O$590*$AA$590</f>
        <v>31.995408669336701</v>
      </c>
    </row>
    <row r="591" spans="1:33" ht="11.25" customHeight="1" x14ac:dyDescent="0.25">
      <c r="A591" s="4" t="s">
        <v>28</v>
      </c>
      <c r="B591" s="4" t="s">
        <v>22</v>
      </c>
      <c r="C591" s="4" t="s">
        <v>33</v>
      </c>
      <c r="D591" s="4" t="s">
        <v>24</v>
      </c>
      <c r="E591" s="4" t="s">
        <v>24</v>
      </c>
      <c r="F591" s="4" t="s">
        <v>25</v>
      </c>
      <c r="G591" s="4" t="s">
        <v>25</v>
      </c>
      <c r="H591" s="4" t="s">
        <v>25</v>
      </c>
      <c r="I591" s="5">
        <v>44743</v>
      </c>
      <c r="J591" s="6">
        <v>0</v>
      </c>
      <c r="K591" s="6">
        <v>0</v>
      </c>
      <c r="L591" s="6">
        <v>0.3</v>
      </c>
      <c r="M591" s="6">
        <v>0.3</v>
      </c>
      <c r="N591" s="6">
        <v>0.3</v>
      </c>
      <c r="O591" s="6">
        <v>0.3</v>
      </c>
      <c r="P591" s="6">
        <v>4</v>
      </c>
      <c r="Q591" s="4" t="s">
        <v>26</v>
      </c>
      <c r="R591" s="4">
        <v>0</v>
      </c>
      <c r="S591" s="6">
        <v>0</v>
      </c>
      <c r="T591" s="6">
        <v>16</v>
      </c>
      <c r="U591" s="6">
        <v>53</v>
      </c>
      <c r="V591" s="6">
        <f>IF(ISERROR(VLOOKUP($S$591,'TAR FIN'!$A$1:$O$85,15,0)),0,VLOOKUP($S$591,'TAR FIN'!$A$1:$O$85,15,0))</f>
        <v>0</v>
      </c>
      <c r="W591" s="6">
        <f>IF(ISERROR(VLOOKUP($T$591,'TAR FIN'!$A$1:$O$85,15,0)),0,VLOOKUP($T$591,'TAR FIN'!$A$1:$O$85,15,0))</f>
        <v>324.88</v>
      </c>
      <c r="X591" s="6">
        <f>IF(ISERROR(VLOOKUP($U$591,'TAR FIN'!$A$1:$O$85,15,0)),0,VLOOKUP($U$591,'TAR FIN'!$A$1:$O$85,15,0))</f>
        <v>322.54000000000002</v>
      </c>
      <c r="Y591" s="6"/>
      <c r="Z591" s="6">
        <f ca="1">('TUSD BE'!$AM$20+'TUSD BF'!$AM$20+'TUSD CVA'!$AM$20)*1</f>
        <v>434.80310925202969</v>
      </c>
      <c r="AA591" s="6">
        <f>('TE BE'!$AB$10+'TE BF'!$AB$10+'TE CVA'!$AB$10)*1</f>
        <v>319.954086693367</v>
      </c>
      <c r="AB591" s="6">
        <f>$K$591*$V$591</f>
        <v>0</v>
      </c>
      <c r="AC591" s="6">
        <f>$M$591*$W$591</f>
        <v>97.463999999999999</v>
      </c>
      <c r="AD591" s="6">
        <f>$O$591*$X$591</f>
        <v>96.762</v>
      </c>
      <c r="AE591" s="6">
        <f>$K$591*$Y$591</f>
        <v>0</v>
      </c>
      <c r="AF591" s="6">
        <f ca="1">$M$591*$Z$591</f>
        <v>130.4409327756089</v>
      </c>
      <c r="AG591" s="6">
        <f>$O$591*$AA$591</f>
        <v>95.986226008010092</v>
      </c>
    </row>
    <row r="592" spans="1:33" ht="11.25" customHeight="1" x14ac:dyDescent="0.25">
      <c r="A592" s="4" t="s">
        <v>56</v>
      </c>
      <c r="B592" s="4" t="s">
        <v>22</v>
      </c>
      <c r="C592" s="4" t="s">
        <v>33</v>
      </c>
      <c r="D592" s="4" t="s">
        <v>24</v>
      </c>
      <c r="E592" s="4" t="s">
        <v>24</v>
      </c>
      <c r="F592" s="4" t="s">
        <v>25</v>
      </c>
      <c r="G592" s="4" t="s">
        <v>25</v>
      </c>
      <c r="H592" s="4" t="s">
        <v>25</v>
      </c>
      <c r="I592" s="5">
        <v>44774</v>
      </c>
      <c r="J592" s="6">
        <v>0</v>
      </c>
      <c r="K592" s="6">
        <v>0</v>
      </c>
      <c r="L592" s="6">
        <v>0.1</v>
      </c>
      <c r="M592" s="6">
        <v>0.1</v>
      </c>
      <c r="N592" s="6">
        <v>0.1</v>
      </c>
      <c r="O592" s="6">
        <v>0.1</v>
      </c>
      <c r="P592" s="6">
        <v>28</v>
      </c>
      <c r="Q592" s="4" t="s">
        <v>26</v>
      </c>
      <c r="R592" s="4">
        <v>0</v>
      </c>
      <c r="S592" s="6">
        <v>0</v>
      </c>
      <c r="T592" s="6">
        <v>16</v>
      </c>
      <c r="U592" s="6">
        <v>53</v>
      </c>
      <c r="V592" s="6">
        <f>IF(ISERROR(VLOOKUP($S$592,'TAR FIN'!$A$1:$O$85,15,0)),0,VLOOKUP($S$592,'TAR FIN'!$A$1:$O$85,15,0))</f>
        <v>0</v>
      </c>
      <c r="W592" s="6">
        <f>IF(ISERROR(VLOOKUP($T$592,'TAR FIN'!$A$1:$O$85,15,0)),0,VLOOKUP($T$592,'TAR FIN'!$A$1:$O$85,15,0))</f>
        <v>324.88</v>
      </c>
      <c r="X592" s="6">
        <f>IF(ISERROR(VLOOKUP($U$592,'TAR FIN'!$A$1:$O$85,15,0)),0,VLOOKUP($U$592,'TAR FIN'!$A$1:$O$85,15,0))</f>
        <v>322.54000000000002</v>
      </c>
      <c r="Y592" s="6"/>
      <c r="Z592" s="6">
        <f ca="1">('TUSD BE'!$AM$20+'TUSD BF'!$AM$20+'TUSD CVA'!$AM$20)*1</f>
        <v>434.80310925202969</v>
      </c>
      <c r="AA592" s="6">
        <f>('TE BE'!$AB$10+'TE BF'!$AB$10+'TE CVA'!$AB$10)*1</f>
        <v>319.954086693367</v>
      </c>
      <c r="AB592" s="6">
        <f>$K$592*$V$592</f>
        <v>0</v>
      </c>
      <c r="AC592" s="6">
        <f>$M$592*$W$592</f>
        <v>32.488</v>
      </c>
      <c r="AD592" s="6">
        <f>$O$592*$X$592</f>
        <v>32.254000000000005</v>
      </c>
      <c r="AE592" s="6">
        <f>$K$592*$Y$592</f>
        <v>0</v>
      </c>
      <c r="AF592" s="6">
        <f ca="1">$M$592*$Z$592</f>
        <v>43.480310925202971</v>
      </c>
      <c r="AG592" s="6">
        <f>$O$592*$AA$592</f>
        <v>31.995408669336701</v>
      </c>
    </row>
    <row r="593" spans="1:33" ht="11.25" customHeight="1" x14ac:dyDescent="0.25">
      <c r="A593" s="4" t="s">
        <v>56</v>
      </c>
      <c r="B593" s="4" t="s">
        <v>22</v>
      </c>
      <c r="C593" s="4" t="s">
        <v>33</v>
      </c>
      <c r="D593" s="4" t="s">
        <v>24</v>
      </c>
      <c r="E593" s="4" t="s">
        <v>24</v>
      </c>
      <c r="F593" s="4" t="s">
        <v>25</v>
      </c>
      <c r="G593" s="4" t="s">
        <v>25</v>
      </c>
      <c r="H593" s="4" t="s">
        <v>25</v>
      </c>
      <c r="I593" s="5">
        <v>44774</v>
      </c>
      <c r="J593" s="6">
        <v>0</v>
      </c>
      <c r="K593" s="6">
        <v>0</v>
      </c>
      <c r="L593" s="6">
        <v>0.3</v>
      </c>
      <c r="M593" s="6">
        <v>0.3</v>
      </c>
      <c r="N593" s="6">
        <v>0.3</v>
      </c>
      <c r="O593" s="6">
        <v>0.3</v>
      </c>
      <c r="P593" s="6">
        <v>4</v>
      </c>
      <c r="Q593" s="4" t="s">
        <v>26</v>
      </c>
      <c r="R593" s="4">
        <v>0</v>
      </c>
      <c r="S593" s="6">
        <v>0</v>
      </c>
      <c r="T593" s="6">
        <v>16</v>
      </c>
      <c r="U593" s="6">
        <v>53</v>
      </c>
      <c r="V593" s="6">
        <f>IF(ISERROR(VLOOKUP($S$593,'TAR FIN'!$A$1:$O$85,15,0)),0,VLOOKUP($S$593,'TAR FIN'!$A$1:$O$85,15,0))</f>
        <v>0</v>
      </c>
      <c r="W593" s="6">
        <f>IF(ISERROR(VLOOKUP($T$593,'TAR FIN'!$A$1:$O$85,15,0)),0,VLOOKUP($T$593,'TAR FIN'!$A$1:$O$85,15,0))</f>
        <v>324.88</v>
      </c>
      <c r="X593" s="6">
        <f>IF(ISERROR(VLOOKUP($U$593,'TAR FIN'!$A$1:$O$85,15,0)),0,VLOOKUP($U$593,'TAR FIN'!$A$1:$O$85,15,0))</f>
        <v>322.54000000000002</v>
      </c>
      <c r="Y593" s="6"/>
      <c r="Z593" s="6">
        <f ca="1">('TUSD BE'!$AM$20+'TUSD BF'!$AM$20+'TUSD CVA'!$AM$20)*1</f>
        <v>434.80310925202969</v>
      </c>
      <c r="AA593" s="6">
        <f>('TE BE'!$AB$10+'TE BF'!$AB$10+'TE CVA'!$AB$10)*1</f>
        <v>319.954086693367</v>
      </c>
      <c r="AB593" s="6">
        <f>$K$593*$V$593</f>
        <v>0</v>
      </c>
      <c r="AC593" s="6">
        <f>$M$593*$W$593</f>
        <v>97.463999999999999</v>
      </c>
      <c r="AD593" s="6">
        <f>$O$593*$X$593</f>
        <v>96.762</v>
      </c>
      <c r="AE593" s="6">
        <f>$K$593*$Y$593</f>
        <v>0</v>
      </c>
      <c r="AF593" s="6">
        <f ca="1">$M$593*$Z$593</f>
        <v>130.4409327756089</v>
      </c>
      <c r="AG593" s="6">
        <f>$O$593*$AA$593</f>
        <v>95.986226008010092</v>
      </c>
    </row>
    <row r="594" spans="1:33" ht="11.25" customHeight="1" x14ac:dyDescent="0.25">
      <c r="A594" s="4" t="s">
        <v>21</v>
      </c>
      <c r="B594" s="4" t="s">
        <v>22</v>
      </c>
      <c r="C594" s="4" t="s">
        <v>33</v>
      </c>
      <c r="D594" s="4" t="s">
        <v>24</v>
      </c>
      <c r="E594" s="4" t="s">
        <v>24</v>
      </c>
      <c r="F594" s="4" t="s">
        <v>25</v>
      </c>
      <c r="G594" s="4" t="s">
        <v>25</v>
      </c>
      <c r="H594" s="4" t="s">
        <v>34</v>
      </c>
      <c r="I594" s="5">
        <v>44440</v>
      </c>
      <c r="J594" s="6">
        <v>0</v>
      </c>
      <c r="K594" s="6">
        <v>0</v>
      </c>
      <c r="L594" s="6">
        <v>1.484</v>
      </c>
      <c r="M594" s="6">
        <v>1.484</v>
      </c>
      <c r="N594" s="6">
        <v>1.484</v>
      </c>
      <c r="O594" s="6">
        <v>1.484</v>
      </c>
      <c r="P594" s="6">
        <v>0</v>
      </c>
      <c r="Q594" s="4" t="s">
        <v>26</v>
      </c>
      <c r="R594" s="4">
        <v>0</v>
      </c>
      <c r="S594" s="6">
        <v>0</v>
      </c>
      <c r="T594" s="6">
        <v>13</v>
      </c>
      <c r="U594" s="6">
        <v>50</v>
      </c>
      <c r="V594" s="6">
        <f>IF(ISERROR(VLOOKUP($S$594,'TAR FIN'!$A$1:$O$85,15,0)),0,VLOOKUP($S$594,'TAR FIN'!$A$1:$O$85,15,0))</f>
        <v>0</v>
      </c>
      <c r="W594" s="6">
        <f>IF(ISERROR(VLOOKUP($T$594,'TAR FIN'!$A$1:$O$85,15,0)),0,VLOOKUP($T$594,'TAR FIN'!$A$1:$O$85,15,0))</f>
        <v>811.72</v>
      </c>
      <c r="X594" s="6">
        <f>IF(ISERROR(VLOOKUP($U$594,'TAR FIN'!$A$1:$O$85,15,0)),0,VLOOKUP($U$594,'TAR FIN'!$A$1:$O$85,15,0))</f>
        <v>492.64</v>
      </c>
      <c r="Y594" s="6"/>
      <c r="Z594" s="6">
        <f ca="1">('TUSD BE'!$AM$17+'TUSD BF'!$AM$17+'TUSD CVA'!$AM$17)*1</f>
        <v>970.46398545052875</v>
      </c>
      <c r="AA594" s="6">
        <f>('TE BE'!$AB$7+'TE BF'!$AB$7+'TE CVA'!$AB$7)*1</f>
        <v>485.87597641853409</v>
      </c>
      <c r="AB594" s="6">
        <f>$K$594*$V$594</f>
        <v>0</v>
      </c>
      <c r="AC594" s="6">
        <f>$M$594*$W$594</f>
        <v>1204.59248</v>
      </c>
      <c r="AD594" s="6">
        <f>$O$594*$X$594</f>
        <v>731.07776000000001</v>
      </c>
      <c r="AE594" s="6">
        <f>$K$594*$Y$594</f>
        <v>0</v>
      </c>
      <c r="AF594" s="6">
        <f ca="1">$M$594*$Z$594</f>
        <v>1440.1685544085847</v>
      </c>
      <c r="AG594" s="6">
        <f>$O$594*$AA$594</f>
        <v>721.03994900510463</v>
      </c>
    </row>
    <row r="595" spans="1:33" ht="11.25" customHeight="1" x14ac:dyDescent="0.25">
      <c r="A595" s="4" t="s">
        <v>21</v>
      </c>
      <c r="B595" s="4" t="s">
        <v>22</v>
      </c>
      <c r="C595" s="4" t="s">
        <v>33</v>
      </c>
      <c r="D595" s="4" t="s">
        <v>24</v>
      </c>
      <c r="E595" s="4" t="s">
        <v>24</v>
      </c>
      <c r="F595" s="4" t="s">
        <v>25</v>
      </c>
      <c r="G595" s="4" t="s">
        <v>25</v>
      </c>
      <c r="H595" s="4" t="s">
        <v>34</v>
      </c>
      <c r="I595" s="5">
        <v>44470</v>
      </c>
      <c r="J595" s="6">
        <v>0</v>
      </c>
      <c r="K595" s="6">
        <v>0</v>
      </c>
      <c r="L595" s="6">
        <v>1.653</v>
      </c>
      <c r="M595" s="6">
        <v>1.653</v>
      </c>
      <c r="N595" s="6">
        <v>1.653</v>
      </c>
      <c r="O595" s="6">
        <v>1.653</v>
      </c>
      <c r="P595" s="6">
        <v>0</v>
      </c>
      <c r="Q595" s="4" t="s">
        <v>26</v>
      </c>
      <c r="R595" s="4">
        <v>0</v>
      </c>
      <c r="S595" s="6">
        <v>0</v>
      </c>
      <c r="T595" s="6">
        <v>13</v>
      </c>
      <c r="U595" s="6">
        <v>50</v>
      </c>
      <c r="V595" s="6">
        <f>IF(ISERROR(VLOOKUP($S$595,'TAR FIN'!$A$1:$O$85,15,0)),0,VLOOKUP($S$595,'TAR FIN'!$A$1:$O$85,15,0))</f>
        <v>0</v>
      </c>
      <c r="W595" s="6">
        <f>IF(ISERROR(VLOOKUP($T$595,'TAR FIN'!$A$1:$O$85,15,0)),0,VLOOKUP($T$595,'TAR FIN'!$A$1:$O$85,15,0))</f>
        <v>811.72</v>
      </c>
      <c r="X595" s="6">
        <f>IF(ISERROR(VLOOKUP($U$595,'TAR FIN'!$A$1:$O$85,15,0)),0,VLOOKUP($U$595,'TAR FIN'!$A$1:$O$85,15,0))</f>
        <v>492.64</v>
      </c>
      <c r="Y595" s="6"/>
      <c r="Z595" s="6">
        <f ca="1">('TUSD BE'!$AM$17+'TUSD BF'!$AM$17+'TUSD CVA'!$AM$17)*1</f>
        <v>970.46398545052875</v>
      </c>
      <c r="AA595" s="6">
        <f>('TE BE'!$AB$7+'TE BF'!$AB$7+'TE CVA'!$AB$7)*1</f>
        <v>485.87597641853409</v>
      </c>
      <c r="AB595" s="6">
        <f>$K$595*$V$595</f>
        <v>0</v>
      </c>
      <c r="AC595" s="6">
        <f>$M$595*$W$595</f>
        <v>1341.77316</v>
      </c>
      <c r="AD595" s="6">
        <f>$O$595*$X$595</f>
        <v>814.33392000000003</v>
      </c>
      <c r="AE595" s="6">
        <f>$K$595*$Y$595</f>
        <v>0</v>
      </c>
      <c r="AF595" s="6">
        <f ca="1">$M$595*$Z$595</f>
        <v>1604.176967949724</v>
      </c>
      <c r="AG595" s="6">
        <f>$O$595*$AA$595</f>
        <v>803.15298901983692</v>
      </c>
    </row>
    <row r="596" spans="1:33" ht="11.25" customHeight="1" x14ac:dyDescent="0.25">
      <c r="A596" s="4" t="s">
        <v>21</v>
      </c>
      <c r="B596" s="4" t="s">
        <v>22</v>
      </c>
      <c r="C596" s="4" t="s">
        <v>33</v>
      </c>
      <c r="D596" s="4" t="s">
        <v>24</v>
      </c>
      <c r="E596" s="4" t="s">
        <v>24</v>
      </c>
      <c r="F596" s="4" t="s">
        <v>25</v>
      </c>
      <c r="G596" s="4" t="s">
        <v>25</v>
      </c>
      <c r="H596" s="4" t="s">
        <v>34</v>
      </c>
      <c r="I596" s="5">
        <v>44501</v>
      </c>
      <c r="J596" s="6">
        <v>0</v>
      </c>
      <c r="K596" s="6">
        <v>0</v>
      </c>
      <c r="L596" s="6">
        <v>1.482</v>
      </c>
      <c r="M596" s="6">
        <v>1.482</v>
      </c>
      <c r="N596" s="6">
        <v>1.482</v>
      </c>
      <c r="O596" s="6">
        <v>1.482</v>
      </c>
      <c r="P596" s="6">
        <v>0</v>
      </c>
      <c r="Q596" s="4" t="s">
        <v>26</v>
      </c>
      <c r="R596" s="4">
        <v>0</v>
      </c>
      <c r="S596" s="6">
        <v>0</v>
      </c>
      <c r="T596" s="6">
        <v>13</v>
      </c>
      <c r="U596" s="6">
        <v>50</v>
      </c>
      <c r="V596" s="6">
        <f>IF(ISERROR(VLOOKUP($S$596,'TAR FIN'!$A$1:$O$85,15,0)),0,VLOOKUP($S$596,'TAR FIN'!$A$1:$O$85,15,0))</f>
        <v>0</v>
      </c>
      <c r="W596" s="6">
        <f>IF(ISERROR(VLOOKUP($T$596,'TAR FIN'!$A$1:$O$85,15,0)),0,VLOOKUP($T$596,'TAR FIN'!$A$1:$O$85,15,0))</f>
        <v>811.72</v>
      </c>
      <c r="X596" s="6">
        <f>IF(ISERROR(VLOOKUP($U$596,'TAR FIN'!$A$1:$O$85,15,0)),0,VLOOKUP($U$596,'TAR FIN'!$A$1:$O$85,15,0))</f>
        <v>492.64</v>
      </c>
      <c r="Y596" s="6"/>
      <c r="Z596" s="6">
        <f ca="1">('TUSD BE'!$AM$17+'TUSD BF'!$AM$17+'TUSD CVA'!$AM$17)*1</f>
        <v>970.46398545052875</v>
      </c>
      <c r="AA596" s="6">
        <f>('TE BE'!$AB$7+'TE BF'!$AB$7+'TE CVA'!$AB$7)*1</f>
        <v>485.87597641853409</v>
      </c>
      <c r="AB596" s="6">
        <f>$K$596*$V$596</f>
        <v>0</v>
      </c>
      <c r="AC596" s="6">
        <f>$M$596*$W$596</f>
        <v>1202.9690399999999</v>
      </c>
      <c r="AD596" s="6">
        <f>$O$596*$X$596</f>
        <v>730.09248000000002</v>
      </c>
      <c r="AE596" s="6">
        <f>$K$596*$Y$596</f>
        <v>0</v>
      </c>
      <c r="AF596" s="6">
        <f ca="1">$M$596*$Z$596</f>
        <v>1438.2276264376835</v>
      </c>
      <c r="AG596" s="6">
        <f>$O$596*$AA$596</f>
        <v>720.06819705226746</v>
      </c>
    </row>
    <row r="597" spans="1:33" ht="11.25" customHeight="1" x14ac:dyDescent="0.25">
      <c r="A597" s="4" t="s">
        <v>21</v>
      </c>
      <c r="B597" s="4" t="s">
        <v>22</v>
      </c>
      <c r="C597" s="4" t="s">
        <v>33</v>
      </c>
      <c r="D597" s="4" t="s">
        <v>24</v>
      </c>
      <c r="E597" s="4" t="s">
        <v>24</v>
      </c>
      <c r="F597" s="4" t="s">
        <v>25</v>
      </c>
      <c r="G597" s="4" t="s">
        <v>25</v>
      </c>
      <c r="H597" s="4" t="s">
        <v>34</v>
      </c>
      <c r="I597" s="5">
        <v>44531</v>
      </c>
      <c r="J597" s="6">
        <v>0</v>
      </c>
      <c r="K597" s="6">
        <v>0</v>
      </c>
      <c r="L597" s="6">
        <v>1.6040000000000001</v>
      </c>
      <c r="M597" s="6">
        <v>1.6040000000000001</v>
      </c>
      <c r="N597" s="6">
        <v>1.6040000000000001</v>
      </c>
      <c r="O597" s="6">
        <v>1.6040000000000001</v>
      </c>
      <c r="P597" s="6">
        <v>0</v>
      </c>
      <c r="Q597" s="4" t="s">
        <v>26</v>
      </c>
      <c r="R597" s="4">
        <v>0</v>
      </c>
      <c r="S597" s="6">
        <v>0</v>
      </c>
      <c r="T597" s="6">
        <v>13</v>
      </c>
      <c r="U597" s="6">
        <v>50</v>
      </c>
      <c r="V597" s="6">
        <f>IF(ISERROR(VLOOKUP($S$597,'TAR FIN'!$A$1:$O$85,15,0)),0,VLOOKUP($S$597,'TAR FIN'!$A$1:$O$85,15,0))</f>
        <v>0</v>
      </c>
      <c r="W597" s="6">
        <f>IF(ISERROR(VLOOKUP($T$597,'TAR FIN'!$A$1:$O$85,15,0)),0,VLOOKUP($T$597,'TAR FIN'!$A$1:$O$85,15,0))</f>
        <v>811.72</v>
      </c>
      <c r="X597" s="6">
        <f>IF(ISERROR(VLOOKUP($U$597,'TAR FIN'!$A$1:$O$85,15,0)),0,VLOOKUP($U$597,'TAR FIN'!$A$1:$O$85,15,0))</f>
        <v>492.64</v>
      </c>
      <c r="Y597" s="6"/>
      <c r="Z597" s="6">
        <f ca="1">('TUSD BE'!$AM$17+'TUSD BF'!$AM$17+'TUSD CVA'!$AM$17)*1</f>
        <v>970.46398545052875</v>
      </c>
      <c r="AA597" s="6">
        <f>('TE BE'!$AB$7+'TE BF'!$AB$7+'TE CVA'!$AB$7)*1</f>
        <v>485.87597641853409</v>
      </c>
      <c r="AB597" s="6">
        <f>$K$597*$V$597</f>
        <v>0</v>
      </c>
      <c r="AC597" s="6">
        <f>$M$597*$W$597</f>
        <v>1301.9988800000001</v>
      </c>
      <c r="AD597" s="6">
        <f>$O$597*$X$597</f>
        <v>790.19456000000002</v>
      </c>
      <c r="AE597" s="6">
        <f>$K$597*$Y$597</f>
        <v>0</v>
      </c>
      <c r="AF597" s="6">
        <f ca="1">$M$597*$Z$597</f>
        <v>1556.6242326626482</v>
      </c>
      <c r="AG597" s="6">
        <f>$O$597*$AA$597</f>
        <v>779.34506617532872</v>
      </c>
    </row>
    <row r="598" spans="1:33" ht="11.25" customHeight="1" x14ac:dyDescent="0.25">
      <c r="A598" s="4" t="s">
        <v>21</v>
      </c>
      <c r="B598" s="4" t="s">
        <v>22</v>
      </c>
      <c r="C598" s="4" t="s">
        <v>33</v>
      </c>
      <c r="D598" s="4" t="s">
        <v>24</v>
      </c>
      <c r="E598" s="4" t="s">
        <v>24</v>
      </c>
      <c r="F598" s="4" t="s">
        <v>25</v>
      </c>
      <c r="G598" s="4" t="s">
        <v>25</v>
      </c>
      <c r="H598" s="4" t="s">
        <v>34</v>
      </c>
      <c r="I598" s="5">
        <v>44562</v>
      </c>
      <c r="J598" s="6">
        <v>0</v>
      </c>
      <c r="K598" s="6">
        <v>0</v>
      </c>
      <c r="L598" s="6">
        <v>1.5620000000000001</v>
      </c>
      <c r="M598" s="6">
        <v>1.5620000000000001</v>
      </c>
      <c r="N598" s="6">
        <v>1.5620000000000001</v>
      </c>
      <c r="O598" s="6">
        <v>1.5620000000000001</v>
      </c>
      <c r="P598" s="6">
        <v>0</v>
      </c>
      <c r="Q598" s="4" t="s">
        <v>26</v>
      </c>
      <c r="R598" s="4">
        <v>0</v>
      </c>
      <c r="S598" s="6">
        <v>0</v>
      </c>
      <c r="T598" s="6">
        <v>13</v>
      </c>
      <c r="U598" s="6">
        <v>50</v>
      </c>
      <c r="V598" s="6">
        <f>IF(ISERROR(VLOOKUP($S$598,'TAR FIN'!$A$1:$O$85,15,0)),0,VLOOKUP($S$598,'TAR FIN'!$A$1:$O$85,15,0))</f>
        <v>0</v>
      </c>
      <c r="W598" s="6">
        <f>IF(ISERROR(VLOOKUP($T$598,'TAR FIN'!$A$1:$O$85,15,0)),0,VLOOKUP($T$598,'TAR FIN'!$A$1:$O$85,15,0))</f>
        <v>811.72</v>
      </c>
      <c r="X598" s="6">
        <f>IF(ISERROR(VLOOKUP($U$598,'TAR FIN'!$A$1:$O$85,15,0)),0,VLOOKUP($U$598,'TAR FIN'!$A$1:$O$85,15,0))</f>
        <v>492.64</v>
      </c>
      <c r="Y598" s="6"/>
      <c r="Z598" s="6">
        <f ca="1">('TUSD BE'!$AM$17+'TUSD BF'!$AM$17+'TUSD CVA'!$AM$17)*1</f>
        <v>970.46398545052875</v>
      </c>
      <c r="AA598" s="6">
        <f>('TE BE'!$AB$7+'TE BF'!$AB$7+'TE CVA'!$AB$7)*1</f>
        <v>485.87597641853409</v>
      </c>
      <c r="AB598" s="6">
        <f>$K$598*$V$598</f>
        <v>0</v>
      </c>
      <c r="AC598" s="6">
        <f>$M$598*$W$598</f>
        <v>1267.9066400000002</v>
      </c>
      <c r="AD598" s="6">
        <f>$O$598*$X$598</f>
        <v>769.50368000000003</v>
      </c>
      <c r="AE598" s="6">
        <f>$K$598*$Y$598</f>
        <v>0</v>
      </c>
      <c r="AF598" s="6">
        <f ca="1">$M$598*$Z$598</f>
        <v>1515.8647452737259</v>
      </c>
      <c r="AG598" s="6">
        <f>$O$598*$AA$598</f>
        <v>758.93827516575027</v>
      </c>
    </row>
    <row r="599" spans="1:33" ht="11.25" customHeight="1" x14ac:dyDescent="0.25">
      <c r="A599" s="4" t="s">
        <v>21</v>
      </c>
      <c r="B599" s="4" t="s">
        <v>22</v>
      </c>
      <c r="C599" s="4" t="s">
        <v>33</v>
      </c>
      <c r="D599" s="4" t="s">
        <v>24</v>
      </c>
      <c r="E599" s="4" t="s">
        <v>24</v>
      </c>
      <c r="F599" s="4" t="s">
        <v>25</v>
      </c>
      <c r="G599" s="4" t="s">
        <v>25</v>
      </c>
      <c r="H599" s="4" t="s">
        <v>34</v>
      </c>
      <c r="I599" s="5">
        <v>44593</v>
      </c>
      <c r="J599" s="6">
        <v>0</v>
      </c>
      <c r="K599" s="6">
        <v>0</v>
      </c>
      <c r="L599" s="6">
        <v>1.6719999999999999</v>
      </c>
      <c r="M599" s="6">
        <v>1.6719999999999999</v>
      </c>
      <c r="N599" s="6">
        <v>1.6719999999999999</v>
      </c>
      <c r="O599" s="6">
        <v>1.6719999999999999</v>
      </c>
      <c r="P599" s="6">
        <v>0</v>
      </c>
      <c r="Q599" s="4" t="s">
        <v>26</v>
      </c>
      <c r="R599" s="4">
        <v>0</v>
      </c>
      <c r="S599" s="6">
        <v>0</v>
      </c>
      <c r="T599" s="6">
        <v>13</v>
      </c>
      <c r="U599" s="6">
        <v>50</v>
      </c>
      <c r="V599" s="6">
        <f>IF(ISERROR(VLOOKUP($S$599,'TAR FIN'!$A$1:$O$85,15,0)),0,VLOOKUP($S$599,'TAR FIN'!$A$1:$O$85,15,0))</f>
        <v>0</v>
      </c>
      <c r="W599" s="6">
        <f>IF(ISERROR(VLOOKUP($T$599,'TAR FIN'!$A$1:$O$85,15,0)),0,VLOOKUP($T$599,'TAR FIN'!$A$1:$O$85,15,0))</f>
        <v>811.72</v>
      </c>
      <c r="X599" s="6">
        <f>IF(ISERROR(VLOOKUP($U$599,'TAR FIN'!$A$1:$O$85,15,0)),0,VLOOKUP($U$599,'TAR FIN'!$A$1:$O$85,15,0))</f>
        <v>492.64</v>
      </c>
      <c r="Y599" s="6"/>
      <c r="Z599" s="6">
        <f ca="1">('TUSD BE'!$AM$17+'TUSD BF'!$AM$17+'TUSD CVA'!$AM$17)*1</f>
        <v>970.46398545052875</v>
      </c>
      <c r="AA599" s="6">
        <f>('TE BE'!$AB$7+'TE BF'!$AB$7+'TE CVA'!$AB$7)*1</f>
        <v>485.87597641853409</v>
      </c>
      <c r="AB599" s="6">
        <f>$K$599*$V$599</f>
        <v>0</v>
      </c>
      <c r="AC599" s="6">
        <f>$M$599*$W$599</f>
        <v>1357.1958400000001</v>
      </c>
      <c r="AD599" s="6">
        <f>$O$599*$X$599</f>
        <v>823.69407999999999</v>
      </c>
      <c r="AE599" s="6">
        <f>$K$599*$Y$599</f>
        <v>0</v>
      </c>
      <c r="AF599" s="6">
        <f ca="1">$M$599*$Z$599</f>
        <v>1622.6157836732841</v>
      </c>
      <c r="AG599" s="6">
        <f>$O$599*$AA$599</f>
        <v>812.38463257178898</v>
      </c>
    </row>
    <row r="600" spans="1:33" ht="11.25" customHeight="1" x14ac:dyDescent="0.25">
      <c r="A600" s="4" t="s">
        <v>21</v>
      </c>
      <c r="B600" s="4" t="s">
        <v>22</v>
      </c>
      <c r="C600" s="4" t="s">
        <v>33</v>
      </c>
      <c r="D600" s="4" t="s">
        <v>24</v>
      </c>
      <c r="E600" s="4" t="s">
        <v>24</v>
      </c>
      <c r="F600" s="4" t="s">
        <v>25</v>
      </c>
      <c r="G600" s="4" t="s">
        <v>25</v>
      </c>
      <c r="H600" s="4" t="s">
        <v>34</v>
      </c>
      <c r="I600" s="5">
        <v>44621</v>
      </c>
      <c r="J600" s="6">
        <v>0</v>
      </c>
      <c r="K600" s="6">
        <v>0</v>
      </c>
      <c r="L600" s="6">
        <v>1.627</v>
      </c>
      <c r="M600" s="6">
        <v>1.627</v>
      </c>
      <c r="N600" s="6">
        <v>1.627</v>
      </c>
      <c r="O600" s="6">
        <v>1.627</v>
      </c>
      <c r="P600" s="6">
        <v>0</v>
      </c>
      <c r="Q600" s="4" t="s">
        <v>26</v>
      </c>
      <c r="R600" s="4">
        <v>0</v>
      </c>
      <c r="S600" s="6">
        <v>0</v>
      </c>
      <c r="T600" s="6">
        <v>13</v>
      </c>
      <c r="U600" s="6">
        <v>50</v>
      </c>
      <c r="V600" s="6">
        <f>IF(ISERROR(VLOOKUP($S$600,'TAR FIN'!$A$1:$O$85,15,0)),0,VLOOKUP($S$600,'TAR FIN'!$A$1:$O$85,15,0))</f>
        <v>0</v>
      </c>
      <c r="W600" s="6">
        <f>IF(ISERROR(VLOOKUP($T$600,'TAR FIN'!$A$1:$O$85,15,0)),0,VLOOKUP($T$600,'TAR FIN'!$A$1:$O$85,15,0))</f>
        <v>811.72</v>
      </c>
      <c r="X600" s="6">
        <f>IF(ISERROR(VLOOKUP($U$600,'TAR FIN'!$A$1:$O$85,15,0)),0,VLOOKUP($U$600,'TAR FIN'!$A$1:$O$85,15,0))</f>
        <v>492.64</v>
      </c>
      <c r="Y600" s="6"/>
      <c r="Z600" s="6">
        <f ca="1">('TUSD BE'!$AM$17+'TUSD BF'!$AM$17+'TUSD CVA'!$AM$17)*1</f>
        <v>970.46398545052875</v>
      </c>
      <c r="AA600" s="6">
        <f>('TE BE'!$AB$7+'TE BF'!$AB$7+'TE CVA'!$AB$7)*1</f>
        <v>485.87597641853409</v>
      </c>
      <c r="AB600" s="6">
        <f>$K$600*$V$600</f>
        <v>0</v>
      </c>
      <c r="AC600" s="6">
        <f>$M$600*$W$600</f>
        <v>1320.6684400000001</v>
      </c>
      <c r="AD600" s="6">
        <f>$O$600*$X$600</f>
        <v>801.52527999999995</v>
      </c>
      <c r="AE600" s="6">
        <f>$K$600*$Y$600</f>
        <v>0</v>
      </c>
      <c r="AF600" s="6">
        <f ca="1">$M$600*$Z$600</f>
        <v>1578.9449043280104</v>
      </c>
      <c r="AG600" s="6">
        <f>$O$600*$AA$600</f>
        <v>790.52021363295501</v>
      </c>
    </row>
    <row r="601" spans="1:33" ht="11.25" customHeight="1" x14ac:dyDescent="0.25">
      <c r="A601" s="4" t="s">
        <v>21</v>
      </c>
      <c r="B601" s="4" t="s">
        <v>22</v>
      </c>
      <c r="C601" s="4" t="s">
        <v>33</v>
      </c>
      <c r="D601" s="4" t="s">
        <v>24</v>
      </c>
      <c r="E601" s="4" t="s">
        <v>24</v>
      </c>
      <c r="F601" s="4" t="s">
        <v>25</v>
      </c>
      <c r="G601" s="4" t="s">
        <v>25</v>
      </c>
      <c r="H601" s="4" t="s">
        <v>34</v>
      </c>
      <c r="I601" s="5">
        <v>44652</v>
      </c>
      <c r="J601" s="6">
        <v>0</v>
      </c>
      <c r="K601" s="6">
        <v>0</v>
      </c>
      <c r="L601" s="6">
        <v>1.679</v>
      </c>
      <c r="M601" s="6">
        <v>1.679</v>
      </c>
      <c r="N601" s="6">
        <v>1.679</v>
      </c>
      <c r="O601" s="6">
        <v>1.679</v>
      </c>
      <c r="P601" s="6">
        <v>0</v>
      </c>
      <c r="Q601" s="4" t="s">
        <v>26</v>
      </c>
      <c r="R601" s="4">
        <v>0</v>
      </c>
      <c r="S601" s="6">
        <v>0</v>
      </c>
      <c r="T601" s="6">
        <v>13</v>
      </c>
      <c r="U601" s="6">
        <v>50</v>
      </c>
      <c r="V601" s="6">
        <f>IF(ISERROR(VLOOKUP($S$601,'TAR FIN'!$A$1:$O$85,15,0)),0,VLOOKUP($S$601,'TAR FIN'!$A$1:$O$85,15,0))</f>
        <v>0</v>
      </c>
      <c r="W601" s="6">
        <f>IF(ISERROR(VLOOKUP($T$601,'TAR FIN'!$A$1:$O$85,15,0)),0,VLOOKUP($T$601,'TAR FIN'!$A$1:$O$85,15,0))</f>
        <v>811.72</v>
      </c>
      <c r="X601" s="6">
        <f>IF(ISERROR(VLOOKUP($U$601,'TAR FIN'!$A$1:$O$85,15,0)),0,VLOOKUP($U$601,'TAR FIN'!$A$1:$O$85,15,0))</f>
        <v>492.64</v>
      </c>
      <c r="Y601" s="6"/>
      <c r="Z601" s="6">
        <f ca="1">('TUSD BE'!$AM$17+'TUSD BF'!$AM$17+'TUSD CVA'!$AM$17)*1</f>
        <v>970.46398545052875</v>
      </c>
      <c r="AA601" s="6">
        <f>('TE BE'!$AB$7+'TE BF'!$AB$7+'TE CVA'!$AB$7)*1</f>
        <v>485.87597641853409</v>
      </c>
      <c r="AB601" s="6">
        <f>$K$601*$V$601</f>
        <v>0</v>
      </c>
      <c r="AC601" s="6">
        <f>$M$601*$W$601</f>
        <v>1362.87788</v>
      </c>
      <c r="AD601" s="6">
        <f>$O$601*$X$601</f>
        <v>827.14256</v>
      </c>
      <c r="AE601" s="6">
        <f>$K$601*$Y$601</f>
        <v>0</v>
      </c>
      <c r="AF601" s="6">
        <f ca="1">$M$601*$Z$601</f>
        <v>1629.4090315714379</v>
      </c>
      <c r="AG601" s="6">
        <f>$O$601*$AA$601</f>
        <v>815.78576440671873</v>
      </c>
    </row>
    <row r="602" spans="1:33" ht="11.25" customHeight="1" x14ac:dyDescent="0.25">
      <c r="A602" s="4" t="s">
        <v>28</v>
      </c>
      <c r="B602" s="4" t="s">
        <v>22</v>
      </c>
      <c r="C602" s="4" t="s">
        <v>33</v>
      </c>
      <c r="D602" s="4" t="s">
        <v>24</v>
      </c>
      <c r="E602" s="4" t="s">
        <v>24</v>
      </c>
      <c r="F602" s="4" t="s">
        <v>25</v>
      </c>
      <c r="G602" s="4" t="s">
        <v>25</v>
      </c>
      <c r="H602" s="4" t="s">
        <v>34</v>
      </c>
      <c r="I602" s="5">
        <v>44652</v>
      </c>
      <c r="J602" s="6">
        <v>0</v>
      </c>
      <c r="K602" s="6">
        <v>0</v>
      </c>
      <c r="L602" s="6">
        <v>4.1000000000000002E-2</v>
      </c>
      <c r="M602" s="6">
        <v>4.1000000000000002E-2</v>
      </c>
      <c r="N602" s="6">
        <v>4.1000000000000002E-2</v>
      </c>
      <c r="O602" s="6">
        <v>4.1000000000000002E-2</v>
      </c>
      <c r="P602" s="6">
        <v>0</v>
      </c>
      <c r="Q602" s="4" t="s">
        <v>26</v>
      </c>
      <c r="R602" s="4">
        <v>0</v>
      </c>
      <c r="S602" s="6">
        <v>0</v>
      </c>
      <c r="T602" s="6">
        <v>13</v>
      </c>
      <c r="U602" s="6">
        <v>50</v>
      </c>
      <c r="V602" s="6">
        <f>IF(ISERROR(VLOOKUP($S$602,'TAR FIN'!$A$1:$O$85,15,0)),0,VLOOKUP($S$602,'TAR FIN'!$A$1:$O$85,15,0))</f>
        <v>0</v>
      </c>
      <c r="W602" s="6">
        <f>IF(ISERROR(VLOOKUP($T$602,'TAR FIN'!$A$1:$O$85,15,0)),0,VLOOKUP($T$602,'TAR FIN'!$A$1:$O$85,15,0))</f>
        <v>811.72</v>
      </c>
      <c r="X602" s="6">
        <f>IF(ISERROR(VLOOKUP($U$602,'TAR FIN'!$A$1:$O$85,15,0)),0,VLOOKUP($U$602,'TAR FIN'!$A$1:$O$85,15,0))</f>
        <v>492.64</v>
      </c>
      <c r="Y602" s="6"/>
      <c r="Z602" s="6">
        <f ca="1">('TUSD BE'!$AM$17+'TUSD BF'!$AM$17+'TUSD CVA'!$AM$17)*1</f>
        <v>970.46398545052875</v>
      </c>
      <c r="AA602" s="6">
        <f>('TE BE'!$AB$7+'TE BF'!$AB$7+'TE CVA'!$AB$7)*1</f>
        <v>485.87597641853409</v>
      </c>
      <c r="AB602" s="6">
        <f>$K$602*$V$602</f>
        <v>0</v>
      </c>
      <c r="AC602" s="6">
        <f>$M$602*$W$602</f>
        <v>33.280520000000003</v>
      </c>
      <c r="AD602" s="6">
        <f>$O$602*$X$602</f>
        <v>20.198240000000002</v>
      </c>
      <c r="AE602" s="6">
        <f>$K$602*$Y$602</f>
        <v>0</v>
      </c>
      <c r="AF602" s="6">
        <f ca="1">$M$602*$Z$602</f>
        <v>39.789023403471681</v>
      </c>
      <c r="AG602" s="6">
        <f>$O$602*$AA$602</f>
        <v>19.920915033159897</v>
      </c>
    </row>
    <row r="603" spans="1:33" ht="11.25" customHeight="1" x14ac:dyDescent="0.25">
      <c r="A603" s="4" t="s">
        <v>21</v>
      </c>
      <c r="B603" s="4" t="s">
        <v>22</v>
      </c>
      <c r="C603" s="4" t="s">
        <v>33</v>
      </c>
      <c r="D603" s="4" t="s">
        <v>24</v>
      </c>
      <c r="E603" s="4" t="s">
        <v>24</v>
      </c>
      <c r="F603" s="4" t="s">
        <v>25</v>
      </c>
      <c r="G603" s="4" t="s">
        <v>25</v>
      </c>
      <c r="H603" s="4" t="s">
        <v>34</v>
      </c>
      <c r="I603" s="5">
        <v>44682</v>
      </c>
      <c r="J603" s="6">
        <v>0</v>
      </c>
      <c r="K603" s="6">
        <v>0</v>
      </c>
      <c r="L603" s="6">
        <v>1.272</v>
      </c>
      <c r="M603" s="6">
        <v>1.272</v>
      </c>
      <c r="N603" s="6">
        <v>1.272</v>
      </c>
      <c r="O603" s="6">
        <v>1.272</v>
      </c>
      <c r="P603" s="6">
        <v>0</v>
      </c>
      <c r="Q603" s="4" t="s">
        <v>26</v>
      </c>
      <c r="R603" s="4">
        <v>0</v>
      </c>
      <c r="S603" s="6">
        <v>0</v>
      </c>
      <c r="T603" s="6">
        <v>13</v>
      </c>
      <c r="U603" s="6">
        <v>50</v>
      </c>
      <c r="V603" s="6">
        <f>IF(ISERROR(VLOOKUP($S$603,'TAR FIN'!$A$1:$O$85,15,0)),0,VLOOKUP($S$603,'TAR FIN'!$A$1:$O$85,15,0))</f>
        <v>0</v>
      </c>
      <c r="W603" s="6">
        <f>IF(ISERROR(VLOOKUP($T$603,'TAR FIN'!$A$1:$O$85,15,0)),0,VLOOKUP($T$603,'TAR FIN'!$A$1:$O$85,15,0))</f>
        <v>811.72</v>
      </c>
      <c r="X603" s="6">
        <f>IF(ISERROR(VLOOKUP($U$603,'TAR FIN'!$A$1:$O$85,15,0)),0,VLOOKUP($U$603,'TAR FIN'!$A$1:$O$85,15,0))</f>
        <v>492.64</v>
      </c>
      <c r="Y603" s="6"/>
      <c r="Z603" s="6">
        <f ca="1">('TUSD BE'!$AM$17+'TUSD BF'!$AM$17+'TUSD CVA'!$AM$17)*1</f>
        <v>970.46398545052875</v>
      </c>
      <c r="AA603" s="6">
        <f>('TE BE'!$AB$7+'TE BF'!$AB$7+'TE CVA'!$AB$7)*1</f>
        <v>485.87597641853409</v>
      </c>
      <c r="AB603" s="6">
        <f>$K$603*$V$603</f>
        <v>0</v>
      </c>
      <c r="AC603" s="6">
        <f>$M$603*$W$603</f>
        <v>1032.50784</v>
      </c>
      <c r="AD603" s="6">
        <f>$O$603*$X$603</f>
        <v>626.63807999999995</v>
      </c>
      <c r="AE603" s="6">
        <f>$K$603*$Y$603</f>
        <v>0</v>
      </c>
      <c r="AF603" s="6">
        <f ca="1">$M$603*$Z$603</f>
        <v>1234.4301894930727</v>
      </c>
      <c r="AG603" s="6">
        <f>$O$603*$AA$603</f>
        <v>618.03424200437541</v>
      </c>
    </row>
    <row r="604" spans="1:33" ht="11.25" customHeight="1" x14ac:dyDescent="0.25">
      <c r="A604" s="4" t="s">
        <v>27</v>
      </c>
      <c r="B604" s="4" t="s">
        <v>22</v>
      </c>
      <c r="C604" s="4" t="s">
        <v>33</v>
      </c>
      <c r="D604" s="4" t="s">
        <v>24</v>
      </c>
      <c r="E604" s="4" t="s">
        <v>24</v>
      </c>
      <c r="F604" s="4" t="s">
        <v>25</v>
      </c>
      <c r="G604" s="4" t="s">
        <v>25</v>
      </c>
      <c r="H604" s="4" t="s">
        <v>34</v>
      </c>
      <c r="I604" s="5">
        <v>44682</v>
      </c>
      <c r="J604" s="6">
        <v>0</v>
      </c>
      <c r="K604" s="6">
        <v>0</v>
      </c>
      <c r="L604" s="6">
        <v>8.9999999999999993E-3</v>
      </c>
      <c r="M604" s="6">
        <v>8.9999999999999993E-3</v>
      </c>
      <c r="N604" s="6">
        <v>8.9999999999999993E-3</v>
      </c>
      <c r="O604" s="6">
        <v>8.9999999999999993E-3</v>
      </c>
      <c r="P604" s="6">
        <v>0</v>
      </c>
      <c r="Q604" s="4" t="s">
        <v>26</v>
      </c>
      <c r="R604" s="4">
        <v>0</v>
      </c>
      <c r="S604" s="6">
        <v>0</v>
      </c>
      <c r="T604" s="6">
        <v>13</v>
      </c>
      <c r="U604" s="6">
        <v>50</v>
      </c>
      <c r="V604" s="6">
        <f>IF(ISERROR(VLOOKUP($S$604,'TAR FIN'!$A$1:$O$85,15,0)),0,VLOOKUP($S$604,'TAR FIN'!$A$1:$O$85,15,0))</f>
        <v>0</v>
      </c>
      <c r="W604" s="6">
        <f>IF(ISERROR(VLOOKUP($T$604,'TAR FIN'!$A$1:$O$85,15,0)),0,VLOOKUP($T$604,'TAR FIN'!$A$1:$O$85,15,0))</f>
        <v>811.72</v>
      </c>
      <c r="X604" s="6">
        <f>IF(ISERROR(VLOOKUP($U$604,'TAR FIN'!$A$1:$O$85,15,0)),0,VLOOKUP($U$604,'TAR FIN'!$A$1:$O$85,15,0))</f>
        <v>492.64</v>
      </c>
      <c r="Y604" s="6"/>
      <c r="Z604" s="6">
        <f ca="1">('TUSD BE'!$AM$17+'TUSD BF'!$AM$17+'TUSD CVA'!$AM$17)*1</f>
        <v>970.46398545052875</v>
      </c>
      <c r="AA604" s="6">
        <f>('TE BE'!$AB$7+'TE BF'!$AB$7+'TE CVA'!$AB$7)*1</f>
        <v>485.87597641853409</v>
      </c>
      <c r="AB604" s="6">
        <f>$K$604*$V$604</f>
        <v>0</v>
      </c>
      <c r="AC604" s="6">
        <f>$M$604*$W$604</f>
        <v>7.3054799999999993</v>
      </c>
      <c r="AD604" s="6">
        <f>$O$604*$X$604</f>
        <v>4.4337599999999995</v>
      </c>
      <c r="AE604" s="6">
        <f>$K$604*$Y$604</f>
        <v>0</v>
      </c>
      <c r="AF604" s="6">
        <f ca="1">$M$604*$Z$604</f>
        <v>8.7341758690547575</v>
      </c>
      <c r="AG604" s="6">
        <f>$O$604*$AA$604</f>
        <v>4.3728837877668063</v>
      </c>
    </row>
    <row r="605" spans="1:33" ht="11.25" customHeight="1" x14ac:dyDescent="0.25">
      <c r="A605" s="4" t="s">
        <v>21</v>
      </c>
      <c r="B605" s="4" t="s">
        <v>22</v>
      </c>
      <c r="C605" s="4" t="s">
        <v>33</v>
      </c>
      <c r="D605" s="4" t="s">
        <v>24</v>
      </c>
      <c r="E605" s="4" t="s">
        <v>24</v>
      </c>
      <c r="F605" s="4" t="s">
        <v>25</v>
      </c>
      <c r="G605" s="4" t="s">
        <v>25</v>
      </c>
      <c r="H605" s="4" t="s">
        <v>34</v>
      </c>
      <c r="I605" s="5">
        <v>44713</v>
      </c>
      <c r="J605" s="6">
        <v>0</v>
      </c>
      <c r="K605" s="6">
        <v>0</v>
      </c>
      <c r="L605" s="6">
        <v>1.111</v>
      </c>
      <c r="M605" s="6">
        <v>1.111</v>
      </c>
      <c r="N605" s="6">
        <v>1.111</v>
      </c>
      <c r="O605" s="6">
        <v>1.111</v>
      </c>
      <c r="P605" s="6">
        <v>0</v>
      </c>
      <c r="Q605" s="4" t="s">
        <v>26</v>
      </c>
      <c r="R605" s="4">
        <v>0</v>
      </c>
      <c r="S605" s="6">
        <v>0</v>
      </c>
      <c r="T605" s="6">
        <v>13</v>
      </c>
      <c r="U605" s="6">
        <v>50</v>
      </c>
      <c r="V605" s="6">
        <f>IF(ISERROR(VLOOKUP($S$605,'TAR FIN'!$A$1:$O$85,15,0)),0,VLOOKUP($S$605,'TAR FIN'!$A$1:$O$85,15,0))</f>
        <v>0</v>
      </c>
      <c r="W605" s="6">
        <f>IF(ISERROR(VLOOKUP($T$605,'TAR FIN'!$A$1:$O$85,15,0)),0,VLOOKUP($T$605,'TAR FIN'!$A$1:$O$85,15,0))</f>
        <v>811.72</v>
      </c>
      <c r="X605" s="6">
        <f>IF(ISERROR(VLOOKUP($U$605,'TAR FIN'!$A$1:$O$85,15,0)),0,VLOOKUP($U$605,'TAR FIN'!$A$1:$O$85,15,0))</f>
        <v>492.64</v>
      </c>
      <c r="Y605" s="6"/>
      <c r="Z605" s="6">
        <f ca="1">('TUSD BE'!$AM$17+'TUSD BF'!$AM$17+'TUSD CVA'!$AM$17)*1</f>
        <v>970.46398545052875</v>
      </c>
      <c r="AA605" s="6">
        <f>('TE BE'!$AB$7+'TE BF'!$AB$7+'TE CVA'!$AB$7)*1</f>
        <v>485.87597641853409</v>
      </c>
      <c r="AB605" s="6">
        <f>$K$605*$V$605</f>
        <v>0</v>
      </c>
      <c r="AC605" s="6">
        <f>$M$605*$W$605</f>
        <v>901.82092</v>
      </c>
      <c r="AD605" s="6">
        <f>$O$605*$X$605</f>
        <v>547.32303999999999</v>
      </c>
      <c r="AE605" s="6">
        <f>$K$605*$Y$605</f>
        <v>0</v>
      </c>
      <c r="AF605" s="6">
        <f ca="1">$M$605*$Z$605</f>
        <v>1078.1854878355375</v>
      </c>
      <c r="AG605" s="6">
        <f>$O$605*$AA$605</f>
        <v>539.80820980099134</v>
      </c>
    </row>
    <row r="606" spans="1:33" ht="11.25" customHeight="1" x14ac:dyDescent="0.25">
      <c r="A606" s="4" t="s">
        <v>21</v>
      </c>
      <c r="B606" s="4" t="s">
        <v>22</v>
      </c>
      <c r="C606" s="4" t="s">
        <v>33</v>
      </c>
      <c r="D606" s="4" t="s">
        <v>24</v>
      </c>
      <c r="E606" s="4" t="s">
        <v>24</v>
      </c>
      <c r="F606" s="4" t="s">
        <v>25</v>
      </c>
      <c r="G606" s="4" t="s">
        <v>25</v>
      </c>
      <c r="H606" s="4" t="s">
        <v>34</v>
      </c>
      <c r="I606" s="5">
        <v>44743</v>
      </c>
      <c r="J606" s="6">
        <v>0</v>
      </c>
      <c r="K606" s="6">
        <v>0</v>
      </c>
      <c r="L606" s="6">
        <v>1.1599999999999999</v>
      </c>
      <c r="M606" s="6">
        <v>1.1599999999999999</v>
      </c>
      <c r="N606" s="6">
        <v>1.1599999999999999</v>
      </c>
      <c r="O606" s="6">
        <v>1.1599999999999999</v>
      </c>
      <c r="P606" s="6">
        <v>0</v>
      </c>
      <c r="Q606" s="4" t="s">
        <v>26</v>
      </c>
      <c r="R606" s="4">
        <v>0</v>
      </c>
      <c r="S606" s="6">
        <v>0</v>
      </c>
      <c r="T606" s="6">
        <v>13</v>
      </c>
      <c r="U606" s="6">
        <v>50</v>
      </c>
      <c r="V606" s="6">
        <f>IF(ISERROR(VLOOKUP($S$606,'TAR FIN'!$A$1:$O$85,15,0)),0,VLOOKUP($S$606,'TAR FIN'!$A$1:$O$85,15,0))</f>
        <v>0</v>
      </c>
      <c r="W606" s="6">
        <f>IF(ISERROR(VLOOKUP($T$606,'TAR FIN'!$A$1:$O$85,15,0)),0,VLOOKUP($T$606,'TAR FIN'!$A$1:$O$85,15,0))</f>
        <v>811.72</v>
      </c>
      <c r="X606" s="6">
        <f>IF(ISERROR(VLOOKUP($U$606,'TAR FIN'!$A$1:$O$85,15,0)),0,VLOOKUP($U$606,'TAR FIN'!$A$1:$O$85,15,0))</f>
        <v>492.64</v>
      </c>
      <c r="Y606" s="6"/>
      <c r="Z606" s="6">
        <f ca="1">('TUSD BE'!$AM$17+'TUSD BF'!$AM$17+'TUSD CVA'!$AM$17)*1</f>
        <v>970.46398545052875</v>
      </c>
      <c r="AA606" s="6">
        <f>('TE BE'!$AB$7+'TE BF'!$AB$7+'TE CVA'!$AB$7)*1</f>
        <v>485.87597641853409</v>
      </c>
      <c r="AB606" s="6">
        <f>$K$606*$V$606</f>
        <v>0</v>
      </c>
      <c r="AC606" s="6">
        <f>$M$606*$W$606</f>
        <v>941.59519999999998</v>
      </c>
      <c r="AD606" s="6">
        <f>$O$606*$X$606</f>
        <v>571.46239999999989</v>
      </c>
      <c r="AE606" s="6">
        <f>$K$606*$Y$606</f>
        <v>0</v>
      </c>
      <c r="AF606" s="6">
        <f ca="1">$M$606*$Z$606</f>
        <v>1125.7382231226134</v>
      </c>
      <c r="AG606" s="6">
        <f>$O$606*$AA$606</f>
        <v>563.61613264549953</v>
      </c>
    </row>
    <row r="607" spans="1:33" ht="11.25" customHeight="1" x14ac:dyDescent="0.25">
      <c r="A607" s="4" t="s">
        <v>28</v>
      </c>
      <c r="B607" s="4" t="s">
        <v>22</v>
      </c>
      <c r="C607" s="4" t="s">
        <v>33</v>
      </c>
      <c r="D607" s="4" t="s">
        <v>24</v>
      </c>
      <c r="E607" s="4" t="s">
        <v>24</v>
      </c>
      <c r="F607" s="4" t="s">
        <v>25</v>
      </c>
      <c r="G607" s="4" t="s">
        <v>25</v>
      </c>
      <c r="H607" s="4" t="s">
        <v>34</v>
      </c>
      <c r="I607" s="5">
        <v>44743</v>
      </c>
      <c r="J607" s="6">
        <v>0</v>
      </c>
      <c r="K607" s="6">
        <v>0</v>
      </c>
      <c r="L607" s="6">
        <v>4.5999999999999999E-2</v>
      </c>
      <c r="M607" s="6">
        <v>4.5999999999999999E-2</v>
      </c>
      <c r="N607" s="6">
        <v>4.5999999999999999E-2</v>
      </c>
      <c r="O607" s="6">
        <v>4.5999999999999999E-2</v>
      </c>
      <c r="P607" s="6">
        <v>0</v>
      </c>
      <c r="Q607" s="4" t="s">
        <v>26</v>
      </c>
      <c r="R607" s="4">
        <v>0</v>
      </c>
      <c r="S607" s="6">
        <v>0</v>
      </c>
      <c r="T607" s="6">
        <v>13</v>
      </c>
      <c r="U607" s="6">
        <v>50</v>
      </c>
      <c r="V607" s="6">
        <f>IF(ISERROR(VLOOKUP($S$607,'TAR FIN'!$A$1:$O$85,15,0)),0,VLOOKUP($S$607,'TAR FIN'!$A$1:$O$85,15,0))</f>
        <v>0</v>
      </c>
      <c r="W607" s="6">
        <f>IF(ISERROR(VLOOKUP($T$607,'TAR FIN'!$A$1:$O$85,15,0)),0,VLOOKUP($T$607,'TAR FIN'!$A$1:$O$85,15,0))</f>
        <v>811.72</v>
      </c>
      <c r="X607" s="6">
        <f>IF(ISERROR(VLOOKUP($U$607,'TAR FIN'!$A$1:$O$85,15,0)),0,VLOOKUP($U$607,'TAR FIN'!$A$1:$O$85,15,0))</f>
        <v>492.64</v>
      </c>
      <c r="Y607" s="6"/>
      <c r="Z607" s="6">
        <f ca="1">('TUSD BE'!$AM$17+'TUSD BF'!$AM$17+'TUSD CVA'!$AM$17)*1</f>
        <v>970.46398545052875</v>
      </c>
      <c r="AA607" s="6">
        <f>('TE BE'!$AB$7+'TE BF'!$AB$7+'TE CVA'!$AB$7)*1</f>
        <v>485.87597641853409</v>
      </c>
      <c r="AB607" s="6">
        <f>$K$607*$V$607</f>
        <v>0</v>
      </c>
      <c r="AC607" s="6">
        <f>$M$607*$W$607</f>
        <v>37.339120000000001</v>
      </c>
      <c r="AD607" s="6">
        <f>$O$607*$X$607</f>
        <v>22.661439999999999</v>
      </c>
      <c r="AE607" s="6">
        <f>$K$607*$Y$607</f>
        <v>0</v>
      </c>
      <c r="AF607" s="6">
        <f ca="1">$M$607*$Z$607</f>
        <v>44.641343330724325</v>
      </c>
      <c r="AG607" s="6">
        <f>$O$607*$AA$607</f>
        <v>22.350294915252569</v>
      </c>
    </row>
    <row r="608" spans="1:33" ht="11.25" customHeight="1" x14ac:dyDescent="0.25">
      <c r="A608" s="4" t="s">
        <v>56</v>
      </c>
      <c r="B608" s="4" t="s">
        <v>22</v>
      </c>
      <c r="C608" s="4" t="s">
        <v>33</v>
      </c>
      <c r="D608" s="4" t="s">
        <v>24</v>
      </c>
      <c r="E608" s="4" t="s">
        <v>24</v>
      </c>
      <c r="F608" s="4" t="s">
        <v>25</v>
      </c>
      <c r="G608" s="4" t="s">
        <v>25</v>
      </c>
      <c r="H608" s="4" t="s">
        <v>34</v>
      </c>
      <c r="I608" s="5">
        <v>44774</v>
      </c>
      <c r="J608" s="6">
        <v>0</v>
      </c>
      <c r="K608" s="6">
        <v>0</v>
      </c>
      <c r="L608" s="6">
        <v>1.1599999999999999</v>
      </c>
      <c r="M608" s="6">
        <v>1.1599999999999999</v>
      </c>
      <c r="N608" s="6">
        <v>1.1599999999999999</v>
      </c>
      <c r="O608" s="6">
        <v>1.1599999999999999</v>
      </c>
      <c r="P608" s="6">
        <v>0</v>
      </c>
      <c r="Q608" s="4" t="s">
        <v>26</v>
      </c>
      <c r="R608" s="4">
        <v>0</v>
      </c>
      <c r="S608" s="6">
        <v>0</v>
      </c>
      <c r="T608" s="6">
        <v>13</v>
      </c>
      <c r="U608" s="6">
        <v>50</v>
      </c>
      <c r="V608" s="6">
        <f>IF(ISERROR(VLOOKUP($S$608,'TAR FIN'!$A$1:$O$85,15,0)),0,VLOOKUP($S$608,'TAR FIN'!$A$1:$O$85,15,0))</f>
        <v>0</v>
      </c>
      <c r="W608" s="6">
        <f>IF(ISERROR(VLOOKUP($T$608,'TAR FIN'!$A$1:$O$85,15,0)),0,VLOOKUP($T$608,'TAR FIN'!$A$1:$O$85,15,0))</f>
        <v>811.72</v>
      </c>
      <c r="X608" s="6">
        <f>IF(ISERROR(VLOOKUP($U$608,'TAR FIN'!$A$1:$O$85,15,0)),0,VLOOKUP($U$608,'TAR FIN'!$A$1:$O$85,15,0))</f>
        <v>492.64</v>
      </c>
      <c r="Y608" s="6"/>
      <c r="Z608" s="6">
        <f ca="1">('TUSD BE'!$AM$17+'TUSD BF'!$AM$17+'TUSD CVA'!$AM$17)*1</f>
        <v>970.46398545052875</v>
      </c>
      <c r="AA608" s="6">
        <f>('TE BE'!$AB$7+'TE BF'!$AB$7+'TE CVA'!$AB$7)*1</f>
        <v>485.87597641853409</v>
      </c>
      <c r="AB608" s="6">
        <f>$K$608*$V$608</f>
        <v>0</v>
      </c>
      <c r="AC608" s="6">
        <f>$M$608*$W$608</f>
        <v>941.59519999999998</v>
      </c>
      <c r="AD608" s="6">
        <f>$O$608*$X$608</f>
        <v>571.46239999999989</v>
      </c>
      <c r="AE608" s="6">
        <f>$K$608*$Y$608</f>
        <v>0</v>
      </c>
      <c r="AF608" s="6">
        <f ca="1">$M$608*$Z$608</f>
        <v>1125.7382231226134</v>
      </c>
      <c r="AG608" s="6">
        <f>$O$608*$AA$608</f>
        <v>563.61613264549953</v>
      </c>
    </row>
    <row r="609" spans="1:33" ht="11.25" customHeight="1" x14ac:dyDescent="0.25">
      <c r="A609" s="4" t="s">
        <v>56</v>
      </c>
      <c r="B609" s="4" t="s">
        <v>22</v>
      </c>
      <c r="C609" s="4" t="s">
        <v>33</v>
      </c>
      <c r="D609" s="4" t="s">
        <v>24</v>
      </c>
      <c r="E609" s="4" t="s">
        <v>24</v>
      </c>
      <c r="F609" s="4" t="s">
        <v>25</v>
      </c>
      <c r="G609" s="4" t="s">
        <v>25</v>
      </c>
      <c r="H609" s="4" t="s">
        <v>34</v>
      </c>
      <c r="I609" s="5">
        <v>44774</v>
      </c>
      <c r="J609" s="6">
        <v>0</v>
      </c>
      <c r="K609" s="6">
        <v>0</v>
      </c>
      <c r="L609" s="6">
        <v>4.5999999999999999E-2</v>
      </c>
      <c r="M609" s="6">
        <v>4.5999999999999999E-2</v>
      </c>
      <c r="N609" s="6">
        <v>4.5999999999999999E-2</v>
      </c>
      <c r="O609" s="6">
        <v>4.5999999999999999E-2</v>
      </c>
      <c r="P609" s="6">
        <v>0</v>
      </c>
      <c r="Q609" s="4" t="s">
        <v>26</v>
      </c>
      <c r="R609" s="4">
        <v>0</v>
      </c>
      <c r="S609" s="6">
        <v>0</v>
      </c>
      <c r="T609" s="6">
        <v>13</v>
      </c>
      <c r="U609" s="6">
        <v>50</v>
      </c>
      <c r="V609" s="6">
        <f>IF(ISERROR(VLOOKUP($S$609,'TAR FIN'!$A$1:$O$85,15,0)),0,VLOOKUP($S$609,'TAR FIN'!$A$1:$O$85,15,0))</f>
        <v>0</v>
      </c>
      <c r="W609" s="6">
        <f>IF(ISERROR(VLOOKUP($T$609,'TAR FIN'!$A$1:$O$85,15,0)),0,VLOOKUP($T$609,'TAR FIN'!$A$1:$O$85,15,0))</f>
        <v>811.72</v>
      </c>
      <c r="X609" s="6">
        <f>IF(ISERROR(VLOOKUP($U$609,'TAR FIN'!$A$1:$O$85,15,0)),0,VLOOKUP($U$609,'TAR FIN'!$A$1:$O$85,15,0))</f>
        <v>492.64</v>
      </c>
      <c r="Y609" s="6"/>
      <c r="Z609" s="6">
        <f ca="1">('TUSD BE'!$AM$17+'TUSD BF'!$AM$17+'TUSD CVA'!$AM$17)*1</f>
        <v>970.46398545052875</v>
      </c>
      <c r="AA609" s="6">
        <f>('TE BE'!$AB$7+'TE BF'!$AB$7+'TE CVA'!$AB$7)*1</f>
        <v>485.87597641853409</v>
      </c>
      <c r="AB609" s="6">
        <f>$K$609*$V$609</f>
        <v>0</v>
      </c>
      <c r="AC609" s="6">
        <f>$M$609*$W$609</f>
        <v>37.339120000000001</v>
      </c>
      <c r="AD609" s="6">
        <f>$O$609*$X$609</f>
        <v>22.661439999999999</v>
      </c>
      <c r="AE609" s="6">
        <f>$K$609*$Y$609</f>
        <v>0</v>
      </c>
      <c r="AF609" s="6">
        <f ca="1">$M$609*$Z$609</f>
        <v>44.641343330724325</v>
      </c>
      <c r="AG609" s="6">
        <f>$O$609*$AA$609</f>
        <v>22.350294915252569</v>
      </c>
    </row>
    <row r="610" spans="1:33" ht="11.25" customHeight="1" x14ac:dyDescent="0.25">
      <c r="A610" s="4" t="s">
        <v>21</v>
      </c>
      <c r="B610" s="4" t="s">
        <v>22</v>
      </c>
      <c r="C610" s="4" t="s">
        <v>23</v>
      </c>
      <c r="D610" s="4" t="s">
        <v>24</v>
      </c>
      <c r="E610" s="4" t="s">
        <v>24</v>
      </c>
      <c r="F610" s="4" t="s">
        <v>25</v>
      </c>
      <c r="G610" s="4" t="s">
        <v>25</v>
      </c>
      <c r="H610" s="4" t="s">
        <v>25</v>
      </c>
      <c r="I610" s="5">
        <v>44440</v>
      </c>
      <c r="J610" s="6">
        <v>0</v>
      </c>
      <c r="K610" s="6">
        <v>0</v>
      </c>
      <c r="L610" s="6">
        <v>10121.222</v>
      </c>
      <c r="M610" s="6">
        <v>10121.222</v>
      </c>
      <c r="N610" s="6">
        <v>10121.222</v>
      </c>
      <c r="O610" s="6">
        <v>10121.222</v>
      </c>
      <c r="P610" s="6">
        <v>61897</v>
      </c>
      <c r="Q610" s="4" t="s">
        <v>26</v>
      </c>
      <c r="R610" s="4">
        <v>0</v>
      </c>
      <c r="S610" s="6">
        <v>0</v>
      </c>
      <c r="T610" s="6">
        <v>16</v>
      </c>
      <c r="U610" s="6">
        <v>53</v>
      </c>
      <c r="V610" s="6">
        <f>IF(ISERROR(VLOOKUP($S$610,'TAR FIN'!$A$1:$O$85,15,0)),0,VLOOKUP($S$610,'TAR FIN'!$A$1:$O$85,15,0))</f>
        <v>0</v>
      </c>
      <c r="W610" s="6">
        <f>IF(ISERROR(VLOOKUP($T$610,'TAR FIN'!$A$1:$O$85,15,0)),0,VLOOKUP($T$610,'TAR FIN'!$A$1:$O$85,15,0))</f>
        <v>324.88</v>
      </c>
      <c r="X610" s="6">
        <f>IF(ISERROR(VLOOKUP($U$610,'TAR FIN'!$A$1:$O$85,15,0)),0,VLOOKUP($U$610,'TAR FIN'!$A$1:$O$85,15,0))</f>
        <v>322.54000000000002</v>
      </c>
      <c r="Y610" s="6"/>
      <c r="Z610" s="6">
        <f ca="1">('TUSD BE'!$AM$20+'TUSD BF'!$AM$20+'TUSD CVA'!$AM$20)*1</f>
        <v>434.80310925202969</v>
      </c>
      <c r="AA610" s="6">
        <f>('TE BE'!$AB$10+'TE BF'!$AB$10+'TE CVA'!$AB$10)*1</f>
        <v>319.954086693367</v>
      </c>
      <c r="AB610" s="6">
        <f>$K$610*$V$610</f>
        <v>0</v>
      </c>
      <c r="AC610" s="6">
        <f>$M$610*$W$610</f>
        <v>3288182.6033600001</v>
      </c>
      <c r="AD610" s="6">
        <f>$O$610*$X$610</f>
        <v>3264498.9438800002</v>
      </c>
      <c r="AE610" s="6">
        <f>$K$610*$Y$610</f>
        <v>0</v>
      </c>
      <c r="AF610" s="6">
        <f ca="1">$M$610*$Z$610</f>
        <v>4400738.7950300463</v>
      </c>
      <c r="AG610" s="6">
        <f>$O$610*$AA$610</f>
        <v>3238326.3412308134</v>
      </c>
    </row>
    <row r="611" spans="1:33" ht="11.25" customHeight="1" x14ac:dyDescent="0.25">
      <c r="A611" s="4" t="s">
        <v>27</v>
      </c>
      <c r="B611" s="4" t="s">
        <v>22</v>
      </c>
      <c r="C611" s="4" t="s">
        <v>23</v>
      </c>
      <c r="D611" s="4" t="s">
        <v>24</v>
      </c>
      <c r="E611" s="4" t="s">
        <v>24</v>
      </c>
      <c r="F611" s="4" t="s">
        <v>25</v>
      </c>
      <c r="G611" s="4" t="s">
        <v>25</v>
      </c>
      <c r="H611" s="4" t="s">
        <v>25</v>
      </c>
      <c r="I611" s="5">
        <v>44440</v>
      </c>
      <c r="J611" s="6">
        <v>0</v>
      </c>
      <c r="K611" s="6">
        <v>0</v>
      </c>
      <c r="L611" s="6">
        <v>-3.2029999999999998</v>
      </c>
      <c r="M611" s="6">
        <v>-3.2029999999999998</v>
      </c>
      <c r="N611" s="6">
        <v>-3.2029999999999998</v>
      </c>
      <c r="O611" s="6">
        <v>-3.2029999999999998</v>
      </c>
      <c r="P611" s="6">
        <v>1</v>
      </c>
      <c r="Q611" s="4" t="s">
        <v>26</v>
      </c>
      <c r="R611" s="4">
        <v>0</v>
      </c>
      <c r="S611" s="6">
        <v>0</v>
      </c>
      <c r="T611" s="6">
        <v>16</v>
      </c>
      <c r="U611" s="6">
        <v>53</v>
      </c>
      <c r="V611" s="6">
        <f>IF(ISERROR(VLOOKUP($S$611,'TAR FIN'!$A$1:$O$85,15,0)),0,VLOOKUP($S$611,'TAR FIN'!$A$1:$O$85,15,0))</f>
        <v>0</v>
      </c>
      <c r="W611" s="6">
        <f>IF(ISERROR(VLOOKUP($T$611,'TAR FIN'!$A$1:$O$85,15,0)),0,VLOOKUP($T$611,'TAR FIN'!$A$1:$O$85,15,0))</f>
        <v>324.88</v>
      </c>
      <c r="X611" s="6">
        <f>IF(ISERROR(VLOOKUP($U$611,'TAR FIN'!$A$1:$O$85,15,0)),0,VLOOKUP($U$611,'TAR FIN'!$A$1:$O$85,15,0))</f>
        <v>322.54000000000002</v>
      </c>
      <c r="Y611" s="6"/>
      <c r="Z611" s="6">
        <f ca="1">('TUSD BE'!$AM$20+'TUSD BF'!$AM$20+'TUSD CVA'!$AM$20)*1</f>
        <v>434.80310925202969</v>
      </c>
      <c r="AA611" s="6">
        <f>('TE BE'!$AB$10+'TE BF'!$AB$10+'TE CVA'!$AB$10)*1</f>
        <v>319.954086693367</v>
      </c>
      <c r="AB611" s="6">
        <f>$K$611*$V$611</f>
        <v>0</v>
      </c>
      <c r="AC611" s="6">
        <f>$M$611*$W$611</f>
        <v>-1040.5906399999999</v>
      </c>
      <c r="AD611" s="6">
        <f>$O$611*$X$611</f>
        <v>-1033.0956200000001</v>
      </c>
      <c r="AE611" s="6">
        <f>$K$611*$Y$611</f>
        <v>0</v>
      </c>
      <c r="AF611" s="6">
        <f ca="1">$M$611*$Z$611</f>
        <v>-1392.6743589342509</v>
      </c>
      <c r="AG611" s="6">
        <f>$O$611*$AA$611</f>
        <v>-1024.8129396788545</v>
      </c>
    </row>
    <row r="612" spans="1:33" ht="11.25" customHeight="1" x14ac:dyDescent="0.25">
      <c r="A612" s="4" t="s">
        <v>28</v>
      </c>
      <c r="B612" s="4" t="s">
        <v>22</v>
      </c>
      <c r="C612" s="4" t="s">
        <v>23</v>
      </c>
      <c r="D612" s="4" t="s">
        <v>24</v>
      </c>
      <c r="E612" s="4" t="s">
        <v>24</v>
      </c>
      <c r="F612" s="4" t="s">
        <v>25</v>
      </c>
      <c r="G612" s="4" t="s">
        <v>25</v>
      </c>
      <c r="H612" s="4" t="s">
        <v>25</v>
      </c>
      <c r="I612" s="5">
        <v>44440</v>
      </c>
      <c r="J612" s="6">
        <v>0</v>
      </c>
      <c r="K612" s="6">
        <v>0</v>
      </c>
      <c r="L612" s="6">
        <v>108.348</v>
      </c>
      <c r="M612" s="6">
        <v>108.348</v>
      </c>
      <c r="N612" s="6">
        <v>108.348</v>
      </c>
      <c r="O612" s="6">
        <v>108.348</v>
      </c>
      <c r="P612" s="6">
        <v>933</v>
      </c>
      <c r="Q612" s="4" t="s">
        <v>26</v>
      </c>
      <c r="R612" s="4">
        <v>0</v>
      </c>
      <c r="S612" s="6">
        <v>0</v>
      </c>
      <c r="T612" s="6">
        <v>16</v>
      </c>
      <c r="U612" s="6">
        <v>53</v>
      </c>
      <c r="V612" s="6">
        <f>IF(ISERROR(VLOOKUP($S$612,'TAR FIN'!$A$1:$O$85,15,0)),0,VLOOKUP($S$612,'TAR FIN'!$A$1:$O$85,15,0))</f>
        <v>0</v>
      </c>
      <c r="W612" s="6">
        <f>IF(ISERROR(VLOOKUP($T$612,'TAR FIN'!$A$1:$O$85,15,0)),0,VLOOKUP($T$612,'TAR FIN'!$A$1:$O$85,15,0))</f>
        <v>324.88</v>
      </c>
      <c r="X612" s="6">
        <f>IF(ISERROR(VLOOKUP($U$612,'TAR FIN'!$A$1:$O$85,15,0)),0,VLOOKUP($U$612,'TAR FIN'!$A$1:$O$85,15,0))</f>
        <v>322.54000000000002</v>
      </c>
      <c r="Y612" s="6"/>
      <c r="Z612" s="6">
        <f ca="1">('TUSD BE'!$AM$20+'TUSD BF'!$AM$20+'TUSD CVA'!$AM$20)*1</f>
        <v>434.80310925202969</v>
      </c>
      <c r="AA612" s="6">
        <f>('TE BE'!$AB$10+'TE BF'!$AB$10+'TE CVA'!$AB$10)*1</f>
        <v>319.954086693367</v>
      </c>
      <c r="AB612" s="6">
        <f>$K$612*$V$612</f>
        <v>0</v>
      </c>
      <c r="AC612" s="6">
        <f>$M$612*$W$612</f>
        <v>35200.098239999999</v>
      </c>
      <c r="AD612" s="6">
        <f>$O$612*$X$612</f>
        <v>34946.563920000001</v>
      </c>
      <c r="AE612" s="6">
        <f>$K$612*$Y$612</f>
        <v>0</v>
      </c>
      <c r="AF612" s="6">
        <f ca="1">$M$612*$Z$612</f>
        <v>47110.047281238913</v>
      </c>
      <c r="AG612" s="6">
        <f>$O$612*$AA$612</f>
        <v>34666.385385052927</v>
      </c>
    </row>
    <row r="613" spans="1:33" ht="11.25" customHeight="1" x14ac:dyDescent="0.25">
      <c r="A613" s="4" t="s">
        <v>28</v>
      </c>
      <c r="B613" s="4" t="s">
        <v>22</v>
      </c>
      <c r="C613" s="4" t="s">
        <v>23</v>
      </c>
      <c r="D613" s="4" t="s">
        <v>24</v>
      </c>
      <c r="E613" s="4" t="s">
        <v>24</v>
      </c>
      <c r="F613" s="4" t="s">
        <v>25</v>
      </c>
      <c r="G613" s="4" t="s">
        <v>25</v>
      </c>
      <c r="H613" s="4" t="s">
        <v>25</v>
      </c>
      <c r="I613" s="5">
        <v>44440</v>
      </c>
      <c r="J613" s="6">
        <v>0</v>
      </c>
      <c r="K613" s="6">
        <v>0</v>
      </c>
      <c r="L613" s="6">
        <v>0.15</v>
      </c>
      <c r="M613" s="6">
        <v>0.15</v>
      </c>
      <c r="N613" s="6">
        <v>0.15</v>
      </c>
      <c r="O613" s="6">
        <v>0.15</v>
      </c>
      <c r="P613" s="6">
        <v>2</v>
      </c>
      <c r="Q613" s="4" t="s">
        <v>26</v>
      </c>
      <c r="R613" s="4">
        <v>0</v>
      </c>
      <c r="S613" s="6">
        <v>0</v>
      </c>
      <c r="T613" s="6">
        <v>16</v>
      </c>
      <c r="U613" s="6">
        <v>53</v>
      </c>
      <c r="V613" s="6">
        <f>IF(ISERROR(VLOOKUP($S$613,'TAR FIN'!$A$1:$O$85,15,0)),0,VLOOKUP($S$613,'TAR FIN'!$A$1:$O$85,15,0))</f>
        <v>0</v>
      </c>
      <c r="W613" s="6">
        <f>IF(ISERROR(VLOOKUP($T$613,'TAR FIN'!$A$1:$O$85,15,0)),0,VLOOKUP($T$613,'TAR FIN'!$A$1:$O$85,15,0))</f>
        <v>324.88</v>
      </c>
      <c r="X613" s="6">
        <f>IF(ISERROR(VLOOKUP($U$613,'TAR FIN'!$A$1:$O$85,15,0)),0,VLOOKUP($U$613,'TAR FIN'!$A$1:$O$85,15,0))</f>
        <v>322.54000000000002</v>
      </c>
      <c r="Y613" s="6"/>
      <c r="Z613" s="6">
        <f ca="1">('TUSD BE'!$AM$20+'TUSD BF'!$AM$20+'TUSD CVA'!$AM$20)*1</f>
        <v>434.80310925202969</v>
      </c>
      <c r="AA613" s="6">
        <f>('TE BE'!$AB$10+'TE BF'!$AB$10+'TE CVA'!$AB$10)*1</f>
        <v>319.954086693367</v>
      </c>
      <c r="AB613" s="6">
        <f>$K$613*$V$613</f>
        <v>0</v>
      </c>
      <c r="AC613" s="6">
        <f>$M$613*$W$613</f>
        <v>48.731999999999999</v>
      </c>
      <c r="AD613" s="6">
        <f>$O$613*$X$613</f>
        <v>48.381</v>
      </c>
      <c r="AE613" s="6">
        <f>$K$613*$Y$613</f>
        <v>0</v>
      </c>
      <c r="AF613" s="6">
        <f ca="1">$M$613*$Z$613</f>
        <v>65.22046638780445</v>
      </c>
      <c r="AG613" s="6">
        <f>$O$613*$AA$613</f>
        <v>47.993113004005046</v>
      </c>
    </row>
    <row r="614" spans="1:33" ht="11.25" customHeight="1" x14ac:dyDescent="0.25">
      <c r="A614" s="4" t="s">
        <v>21</v>
      </c>
      <c r="B614" s="4" t="s">
        <v>22</v>
      </c>
      <c r="C614" s="4" t="s">
        <v>23</v>
      </c>
      <c r="D614" s="4" t="s">
        <v>24</v>
      </c>
      <c r="E614" s="4" t="s">
        <v>24</v>
      </c>
      <c r="F614" s="4" t="s">
        <v>25</v>
      </c>
      <c r="G614" s="4" t="s">
        <v>25</v>
      </c>
      <c r="H614" s="4" t="s">
        <v>25</v>
      </c>
      <c r="I614" s="5">
        <v>44470</v>
      </c>
      <c r="J614" s="6">
        <v>0</v>
      </c>
      <c r="K614" s="6">
        <v>0</v>
      </c>
      <c r="L614" s="6">
        <v>10660.375</v>
      </c>
      <c r="M614" s="6">
        <v>10660.375</v>
      </c>
      <c r="N614" s="6">
        <v>10660.375</v>
      </c>
      <c r="O614" s="6">
        <v>10660.375</v>
      </c>
      <c r="P614" s="6">
        <v>61799</v>
      </c>
      <c r="Q614" s="4" t="s">
        <v>26</v>
      </c>
      <c r="R614" s="4">
        <v>0</v>
      </c>
      <c r="S614" s="6">
        <v>0</v>
      </c>
      <c r="T614" s="6">
        <v>16</v>
      </c>
      <c r="U614" s="6">
        <v>53</v>
      </c>
      <c r="V614" s="6">
        <f>IF(ISERROR(VLOOKUP($S$614,'TAR FIN'!$A$1:$O$85,15,0)),0,VLOOKUP($S$614,'TAR FIN'!$A$1:$O$85,15,0))</f>
        <v>0</v>
      </c>
      <c r="W614" s="6">
        <f>IF(ISERROR(VLOOKUP($T$614,'TAR FIN'!$A$1:$O$85,15,0)),0,VLOOKUP($T$614,'TAR FIN'!$A$1:$O$85,15,0))</f>
        <v>324.88</v>
      </c>
      <c r="X614" s="6">
        <f>IF(ISERROR(VLOOKUP($U$614,'TAR FIN'!$A$1:$O$85,15,0)),0,VLOOKUP($U$614,'TAR FIN'!$A$1:$O$85,15,0))</f>
        <v>322.54000000000002</v>
      </c>
      <c r="Y614" s="6"/>
      <c r="Z614" s="6">
        <f ca="1">('TUSD BE'!$AM$20+'TUSD BF'!$AM$20+'TUSD CVA'!$AM$20)*1</f>
        <v>434.80310925202969</v>
      </c>
      <c r="AA614" s="6">
        <f>('TE BE'!$AB$10+'TE BF'!$AB$10+'TE CVA'!$AB$10)*1</f>
        <v>319.954086693367</v>
      </c>
      <c r="AB614" s="6">
        <f>$K$614*$V$614</f>
        <v>0</v>
      </c>
      <c r="AC614" s="6">
        <f>$M$614*$W$614</f>
        <v>3463342.63</v>
      </c>
      <c r="AD614" s="6">
        <f>$O$614*$X$614</f>
        <v>3438397.3525</v>
      </c>
      <c r="AE614" s="6">
        <f>$K$614*$Y$614</f>
        <v>0</v>
      </c>
      <c r="AF614" s="6">
        <f ca="1">$M$614*$Z$614</f>
        <v>4635164.1957926061</v>
      </c>
      <c r="AG614" s="6">
        <f>$O$614*$AA$614</f>
        <v>3410830.5469338023</v>
      </c>
    </row>
    <row r="615" spans="1:33" ht="11.25" customHeight="1" x14ac:dyDescent="0.25">
      <c r="A615" s="4" t="s">
        <v>27</v>
      </c>
      <c r="B615" s="4" t="s">
        <v>22</v>
      </c>
      <c r="C615" s="4" t="s">
        <v>23</v>
      </c>
      <c r="D615" s="4" t="s">
        <v>24</v>
      </c>
      <c r="E615" s="4" t="s">
        <v>24</v>
      </c>
      <c r="F615" s="4" t="s">
        <v>25</v>
      </c>
      <c r="G615" s="4" t="s">
        <v>25</v>
      </c>
      <c r="H615" s="4" t="s">
        <v>25</v>
      </c>
      <c r="I615" s="5">
        <v>44470</v>
      </c>
      <c r="J615" s="6">
        <v>0</v>
      </c>
      <c r="K615" s="6">
        <v>0</v>
      </c>
      <c r="L615" s="6">
        <v>-0.61499999999999999</v>
      </c>
      <c r="M615" s="6">
        <v>-0.61499999999999999</v>
      </c>
      <c r="N615" s="6">
        <v>-0.61499999999999999</v>
      </c>
      <c r="O615" s="6">
        <v>-0.61499999999999999</v>
      </c>
      <c r="P615" s="6">
        <v>-4</v>
      </c>
      <c r="Q615" s="4" t="s">
        <v>26</v>
      </c>
      <c r="R615" s="4">
        <v>0</v>
      </c>
      <c r="S615" s="6">
        <v>0</v>
      </c>
      <c r="T615" s="6">
        <v>16</v>
      </c>
      <c r="U615" s="6">
        <v>53</v>
      </c>
      <c r="V615" s="6">
        <f>IF(ISERROR(VLOOKUP($S$615,'TAR FIN'!$A$1:$O$85,15,0)),0,VLOOKUP($S$615,'TAR FIN'!$A$1:$O$85,15,0))</f>
        <v>0</v>
      </c>
      <c r="W615" s="6">
        <f>IF(ISERROR(VLOOKUP($T$615,'TAR FIN'!$A$1:$O$85,15,0)),0,VLOOKUP($T$615,'TAR FIN'!$A$1:$O$85,15,0))</f>
        <v>324.88</v>
      </c>
      <c r="X615" s="6">
        <f>IF(ISERROR(VLOOKUP($U$615,'TAR FIN'!$A$1:$O$85,15,0)),0,VLOOKUP($U$615,'TAR FIN'!$A$1:$O$85,15,0))</f>
        <v>322.54000000000002</v>
      </c>
      <c r="Y615" s="6"/>
      <c r="Z615" s="6">
        <f ca="1">('TUSD BE'!$AM$20+'TUSD BF'!$AM$20+'TUSD CVA'!$AM$20)*1</f>
        <v>434.80310925202969</v>
      </c>
      <c r="AA615" s="6">
        <f>('TE BE'!$AB$10+'TE BF'!$AB$10+'TE CVA'!$AB$10)*1</f>
        <v>319.954086693367</v>
      </c>
      <c r="AB615" s="6">
        <f>$K$615*$V$615</f>
        <v>0</v>
      </c>
      <c r="AC615" s="6">
        <f>$M$615*$W$615</f>
        <v>-199.80119999999999</v>
      </c>
      <c r="AD615" s="6">
        <f>$O$615*$X$615</f>
        <v>-198.3621</v>
      </c>
      <c r="AE615" s="6">
        <f>$K$615*$Y$615</f>
        <v>0</v>
      </c>
      <c r="AF615" s="6">
        <f ca="1">$M$615*$Z$615</f>
        <v>-267.40391218999827</v>
      </c>
      <c r="AG615" s="6">
        <f>$O$615*$AA$615</f>
        <v>-196.7717633164207</v>
      </c>
    </row>
    <row r="616" spans="1:33" ht="11.25" customHeight="1" x14ac:dyDescent="0.25">
      <c r="A616" s="4" t="s">
        <v>28</v>
      </c>
      <c r="B616" s="4" t="s">
        <v>22</v>
      </c>
      <c r="C616" s="4" t="s">
        <v>23</v>
      </c>
      <c r="D616" s="4" t="s">
        <v>24</v>
      </c>
      <c r="E616" s="4" t="s">
        <v>24</v>
      </c>
      <c r="F616" s="4" t="s">
        <v>25</v>
      </c>
      <c r="G616" s="4" t="s">
        <v>25</v>
      </c>
      <c r="H616" s="4" t="s">
        <v>25</v>
      </c>
      <c r="I616" s="5">
        <v>44470</v>
      </c>
      <c r="J616" s="6">
        <v>0</v>
      </c>
      <c r="K616" s="6">
        <v>0</v>
      </c>
      <c r="L616" s="6">
        <v>140.95500000000001</v>
      </c>
      <c r="M616" s="6">
        <v>140.95500000000001</v>
      </c>
      <c r="N616" s="6">
        <v>140.95500000000001</v>
      </c>
      <c r="O616" s="6">
        <v>140.95500000000001</v>
      </c>
      <c r="P616" s="6">
        <v>971</v>
      </c>
      <c r="Q616" s="4" t="s">
        <v>26</v>
      </c>
      <c r="R616" s="4">
        <v>0</v>
      </c>
      <c r="S616" s="6">
        <v>0</v>
      </c>
      <c r="T616" s="6">
        <v>16</v>
      </c>
      <c r="U616" s="6">
        <v>53</v>
      </c>
      <c r="V616" s="6">
        <f>IF(ISERROR(VLOOKUP($S$616,'TAR FIN'!$A$1:$O$85,15,0)),0,VLOOKUP($S$616,'TAR FIN'!$A$1:$O$85,15,0))</f>
        <v>0</v>
      </c>
      <c r="W616" s="6">
        <f>IF(ISERROR(VLOOKUP($T$616,'TAR FIN'!$A$1:$O$85,15,0)),0,VLOOKUP($T$616,'TAR FIN'!$A$1:$O$85,15,0))</f>
        <v>324.88</v>
      </c>
      <c r="X616" s="6">
        <f>IF(ISERROR(VLOOKUP($U$616,'TAR FIN'!$A$1:$O$85,15,0)),0,VLOOKUP($U$616,'TAR FIN'!$A$1:$O$85,15,0))</f>
        <v>322.54000000000002</v>
      </c>
      <c r="Y616" s="6"/>
      <c r="Z616" s="6">
        <f ca="1">('TUSD BE'!$AM$20+'TUSD BF'!$AM$20+'TUSD CVA'!$AM$20)*1</f>
        <v>434.80310925202969</v>
      </c>
      <c r="AA616" s="6">
        <f>('TE BE'!$AB$10+'TE BF'!$AB$10+'TE CVA'!$AB$10)*1</f>
        <v>319.954086693367</v>
      </c>
      <c r="AB616" s="6">
        <f>$K$616*$V$616</f>
        <v>0</v>
      </c>
      <c r="AC616" s="6">
        <f>$M$616*$W$616</f>
        <v>45793.460400000004</v>
      </c>
      <c r="AD616" s="6">
        <f>$O$616*$X$616</f>
        <v>45463.625700000004</v>
      </c>
      <c r="AE616" s="6">
        <f>$K$616*$Y$616</f>
        <v>0</v>
      </c>
      <c r="AF616" s="6">
        <f ca="1">$M$616*$Z$616</f>
        <v>61287.672264619847</v>
      </c>
      <c r="AG616" s="6">
        <f>$O$616*$AA$616</f>
        <v>45099.128289863547</v>
      </c>
    </row>
    <row r="617" spans="1:33" ht="11.25" customHeight="1" x14ac:dyDescent="0.25">
      <c r="A617" s="4" t="s">
        <v>28</v>
      </c>
      <c r="B617" s="4" t="s">
        <v>22</v>
      </c>
      <c r="C617" s="4" t="s">
        <v>23</v>
      </c>
      <c r="D617" s="4" t="s">
        <v>24</v>
      </c>
      <c r="E617" s="4" t="s">
        <v>24</v>
      </c>
      <c r="F617" s="4" t="s">
        <v>25</v>
      </c>
      <c r="G617" s="4" t="s">
        <v>25</v>
      </c>
      <c r="H617" s="4" t="s">
        <v>25</v>
      </c>
      <c r="I617" s="5">
        <v>44470</v>
      </c>
      <c r="J617" s="6">
        <v>0</v>
      </c>
      <c r="K617" s="6">
        <v>0</v>
      </c>
      <c r="L617" s="6">
        <v>0.92600000000000005</v>
      </c>
      <c r="M617" s="6">
        <v>0.92600000000000005</v>
      </c>
      <c r="N617" s="6">
        <v>0.92600000000000005</v>
      </c>
      <c r="O617" s="6">
        <v>0.92600000000000005</v>
      </c>
      <c r="P617" s="6">
        <v>1</v>
      </c>
      <c r="Q617" s="4" t="s">
        <v>26</v>
      </c>
      <c r="R617" s="4">
        <v>0</v>
      </c>
      <c r="S617" s="6">
        <v>0</v>
      </c>
      <c r="T617" s="6">
        <v>16</v>
      </c>
      <c r="U617" s="6">
        <v>53</v>
      </c>
      <c r="V617" s="6">
        <f>IF(ISERROR(VLOOKUP($S$617,'TAR FIN'!$A$1:$O$85,15,0)),0,VLOOKUP($S$617,'TAR FIN'!$A$1:$O$85,15,0))</f>
        <v>0</v>
      </c>
      <c r="W617" s="6">
        <f>IF(ISERROR(VLOOKUP($T$617,'TAR FIN'!$A$1:$O$85,15,0)),0,VLOOKUP($T$617,'TAR FIN'!$A$1:$O$85,15,0))</f>
        <v>324.88</v>
      </c>
      <c r="X617" s="6">
        <f>IF(ISERROR(VLOOKUP($U$617,'TAR FIN'!$A$1:$O$85,15,0)),0,VLOOKUP($U$617,'TAR FIN'!$A$1:$O$85,15,0))</f>
        <v>322.54000000000002</v>
      </c>
      <c r="Y617" s="6"/>
      <c r="Z617" s="6">
        <f ca="1">('TUSD BE'!$AM$20+'TUSD BF'!$AM$20+'TUSD CVA'!$AM$20)*1</f>
        <v>434.80310925202969</v>
      </c>
      <c r="AA617" s="6">
        <f>('TE BE'!$AB$10+'TE BF'!$AB$10+'TE CVA'!$AB$10)*1</f>
        <v>319.954086693367</v>
      </c>
      <c r="AB617" s="6">
        <f>$K$617*$V$617</f>
        <v>0</v>
      </c>
      <c r="AC617" s="6">
        <f>$M$617*$W$617</f>
        <v>300.83888000000002</v>
      </c>
      <c r="AD617" s="6">
        <f>$O$617*$X$617</f>
        <v>298.67204000000004</v>
      </c>
      <c r="AE617" s="6">
        <f>$K$617*$Y$617</f>
        <v>0</v>
      </c>
      <c r="AF617" s="6">
        <f ca="1">$M$617*$Z$617</f>
        <v>402.62767916737948</v>
      </c>
      <c r="AG617" s="6">
        <f>$O$617*$AA$617</f>
        <v>296.27748427805784</v>
      </c>
    </row>
    <row r="618" spans="1:33" ht="11.25" customHeight="1" x14ac:dyDescent="0.25">
      <c r="A618" s="4" t="s">
        <v>21</v>
      </c>
      <c r="B618" s="4" t="s">
        <v>22</v>
      </c>
      <c r="C618" s="4" t="s">
        <v>23</v>
      </c>
      <c r="D618" s="4" t="s">
        <v>24</v>
      </c>
      <c r="E618" s="4" t="s">
        <v>24</v>
      </c>
      <c r="F618" s="4" t="s">
        <v>25</v>
      </c>
      <c r="G618" s="4" t="s">
        <v>25</v>
      </c>
      <c r="H618" s="4" t="s">
        <v>25</v>
      </c>
      <c r="I618" s="5">
        <v>44501</v>
      </c>
      <c r="J618" s="6">
        <v>0</v>
      </c>
      <c r="K618" s="6">
        <v>0</v>
      </c>
      <c r="L618" s="6">
        <v>10268.814</v>
      </c>
      <c r="M618" s="6">
        <v>10268.814</v>
      </c>
      <c r="N618" s="6">
        <v>10268.814</v>
      </c>
      <c r="O618" s="6">
        <v>10268.814</v>
      </c>
      <c r="P618" s="6">
        <v>61586</v>
      </c>
      <c r="Q618" s="4" t="s">
        <v>26</v>
      </c>
      <c r="R618" s="4">
        <v>0</v>
      </c>
      <c r="S618" s="6">
        <v>0</v>
      </c>
      <c r="T618" s="6">
        <v>16</v>
      </c>
      <c r="U618" s="6">
        <v>53</v>
      </c>
      <c r="V618" s="6">
        <f>IF(ISERROR(VLOOKUP($S$618,'TAR FIN'!$A$1:$O$85,15,0)),0,VLOOKUP($S$618,'TAR FIN'!$A$1:$O$85,15,0))</f>
        <v>0</v>
      </c>
      <c r="W618" s="6">
        <f>IF(ISERROR(VLOOKUP($T$618,'TAR FIN'!$A$1:$O$85,15,0)),0,VLOOKUP($T$618,'TAR FIN'!$A$1:$O$85,15,0))</f>
        <v>324.88</v>
      </c>
      <c r="X618" s="6">
        <f>IF(ISERROR(VLOOKUP($U$618,'TAR FIN'!$A$1:$O$85,15,0)),0,VLOOKUP($U$618,'TAR FIN'!$A$1:$O$85,15,0))</f>
        <v>322.54000000000002</v>
      </c>
      <c r="Y618" s="6"/>
      <c r="Z618" s="6">
        <f ca="1">('TUSD BE'!$AM$20+'TUSD BF'!$AM$20+'TUSD CVA'!$AM$20)*1</f>
        <v>434.80310925202969</v>
      </c>
      <c r="AA618" s="6">
        <f>('TE BE'!$AB$10+'TE BF'!$AB$10+'TE CVA'!$AB$10)*1</f>
        <v>319.954086693367</v>
      </c>
      <c r="AB618" s="6">
        <f>$K$618*$V$618</f>
        <v>0</v>
      </c>
      <c r="AC618" s="6">
        <f>$M$618*$W$618</f>
        <v>3336132.29232</v>
      </c>
      <c r="AD618" s="6">
        <f>$O$618*$X$618</f>
        <v>3312103.2675600005</v>
      </c>
      <c r="AE618" s="6">
        <f>$K$618*$Y$618</f>
        <v>0</v>
      </c>
      <c r="AF618" s="6">
        <f ca="1">$M$618*$Z$618</f>
        <v>4464912.2555307718</v>
      </c>
      <c r="AG618" s="6">
        <f>$O$618*$AA$618</f>
        <v>3285549.0047940607</v>
      </c>
    </row>
    <row r="619" spans="1:33" ht="11.25" customHeight="1" x14ac:dyDescent="0.25">
      <c r="A619" s="4" t="s">
        <v>27</v>
      </c>
      <c r="B619" s="4" t="s">
        <v>22</v>
      </c>
      <c r="C619" s="4" t="s">
        <v>23</v>
      </c>
      <c r="D619" s="4" t="s">
        <v>24</v>
      </c>
      <c r="E619" s="4" t="s">
        <v>24</v>
      </c>
      <c r="F619" s="4" t="s">
        <v>25</v>
      </c>
      <c r="G619" s="4" t="s">
        <v>25</v>
      </c>
      <c r="H619" s="4" t="s">
        <v>25</v>
      </c>
      <c r="I619" s="5">
        <v>44501</v>
      </c>
      <c r="J619" s="6">
        <v>0</v>
      </c>
      <c r="K619" s="6">
        <v>0</v>
      </c>
      <c r="L619" s="6">
        <v>-1.3440000000000001</v>
      </c>
      <c r="M619" s="6">
        <v>-1.3440000000000001</v>
      </c>
      <c r="N619" s="6">
        <v>-1.3440000000000001</v>
      </c>
      <c r="O619" s="6">
        <v>-1.3440000000000001</v>
      </c>
      <c r="P619" s="6">
        <v>5</v>
      </c>
      <c r="Q619" s="4" t="s">
        <v>26</v>
      </c>
      <c r="R619" s="4">
        <v>0</v>
      </c>
      <c r="S619" s="6">
        <v>0</v>
      </c>
      <c r="T619" s="6">
        <v>16</v>
      </c>
      <c r="U619" s="6">
        <v>53</v>
      </c>
      <c r="V619" s="6">
        <f>IF(ISERROR(VLOOKUP($S$619,'TAR FIN'!$A$1:$O$85,15,0)),0,VLOOKUP($S$619,'TAR FIN'!$A$1:$O$85,15,0))</f>
        <v>0</v>
      </c>
      <c r="W619" s="6">
        <f>IF(ISERROR(VLOOKUP($T$619,'TAR FIN'!$A$1:$O$85,15,0)),0,VLOOKUP($T$619,'TAR FIN'!$A$1:$O$85,15,0))</f>
        <v>324.88</v>
      </c>
      <c r="X619" s="6">
        <f>IF(ISERROR(VLOOKUP($U$619,'TAR FIN'!$A$1:$O$85,15,0)),0,VLOOKUP($U$619,'TAR FIN'!$A$1:$O$85,15,0))</f>
        <v>322.54000000000002</v>
      </c>
      <c r="Y619" s="6"/>
      <c r="Z619" s="6">
        <f ca="1">('TUSD BE'!$AM$20+'TUSD BF'!$AM$20+'TUSD CVA'!$AM$20)*1</f>
        <v>434.80310925202969</v>
      </c>
      <c r="AA619" s="6">
        <f>('TE BE'!$AB$10+'TE BF'!$AB$10+'TE CVA'!$AB$10)*1</f>
        <v>319.954086693367</v>
      </c>
      <c r="AB619" s="6">
        <f>$K$619*$V$619</f>
        <v>0</v>
      </c>
      <c r="AC619" s="6">
        <f>$M$619*$W$619</f>
        <v>-436.63872000000003</v>
      </c>
      <c r="AD619" s="6">
        <f>$O$619*$X$619</f>
        <v>-433.49376000000007</v>
      </c>
      <c r="AE619" s="6">
        <f>$K$619*$Y$619</f>
        <v>0</v>
      </c>
      <c r="AF619" s="6">
        <f ca="1">$M$619*$Z$619</f>
        <v>-584.37537883472794</v>
      </c>
      <c r="AG619" s="6">
        <f>$O$619*$AA$619</f>
        <v>-430.01829251588526</v>
      </c>
    </row>
    <row r="620" spans="1:33" ht="11.25" customHeight="1" x14ac:dyDescent="0.25">
      <c r="A620" s="4" t="s">
        <v>28</v>
      </c>
      <c r="B620" s="4" t="s">
        <v>22</v>
      </c>
      <c r="C620" s="4" t="s">
        <v>23</v>
      </c>
      <c r="D620" s="4" t="s">
        <v>24</v>
      </c>
      <c r="E620" s="4" t="s">
        <v>24</v>
      </c>
      <c r="F620" s="4" t="s">
        <v>25</v>
      </c>
      <c r="G620" s="4" t="s">
        <v>25</v>
      </c>
      <c r="H620" s="4" t="s">
        <v>25</v>
      </c>
      <c r="I620" s="5">
        <v>44501</v>
      </c>
      <c r="J620" s="6">
        <v>0</v>
      </c>
      <c r="K620" s="6">
        <v>0</v>
      </c>
      <c r="L620" s="6">
        <v>123.248</v>
      </c>
      <c r="M620" s="6">
        <v>123.248</v>
      </c>
      <c r="N620" s="6">
        <v>123.248</v>
      </c>
      <c r="O620" s="6">
        <v>123.248</v>
      </c>
      <c r="P620" s="6">
        <v>997</v>
      </c>
      <c r="Q620" s="4" t="s">
        <v>26</v>
      </c>
      <c r="R620" s="4">
        <v>0</v>
      </c>
      <c r="S620" s="6">
        <v>0</v>
      </c>
      <c r="T620" s="6">
        <v>16</v>
      </c>
      <c r="U620" s="6">
        <v>53</v>
      </c>
      <c r="V620" s="6">
        <f>IF(ISERROR(VLOOKUP($S$620,'TAR FIN'!$A$1:$O$85,15,0)),0,VLOOKUP($S$620,'TAR FIN'!$A$1:$O$85,15,0))</f>
        <v>0</v>
      </c>
      <c r="W620" s="6">
        <f>IF(ISERROR(VLOOKUP($T$620,'TAR FIN'!$A$1:$O$85,15,0)),0,VLOOKUP($T$620,'TAR FIN'!$A$1:$O$85,15,0))</f>
        <v>324.88</v>
      </c>
      <c r="X620" s="6">
        <f>IF(ISERROR(VLOOKUP($U$620,'TAR FIN'!$A$1:$O$85,15,0)),0,VLOOKUP($U$620,'TAR FIN'!$A$1:$O$85,15,0))</f>
        <v>322.54000000000002</v>
      </c>
      <c r="Y620" s="6"/>
      <c r="Z620" s="6">
        <f ca="1">('TUSD BE'!$AM$20+'TUSD BF'!$AM$20+'TUSD CVA'!$AM$20)*1</f>
        <v>434.80310925202969</v>
      </c>
      <c r="AA620" s="6">
        <f>('TE BE'!$AB$10+'TE BF'!$AB$10+'TE CVA'!$AB$10)*1</f>
        <v>319.954086693367</v>
      </c>
      <c r="AB620" s="6">
        <f>$K$620*$V$620</f>
        <v>0</v>
      </c>
      <c r="AC620" s="6">
        <f>$M$620*$W$620</f>
        <v>40040.810239999999</v>
      </c>
      <c r="AD620" s="6">
        <f>$O$620*$X$620</f>
        <v>39752.409920000006</v>
      </c>
      <c r="AE620" s="6">
        <f>$K$620*$Y$620</f>
        <v>0</v>
      </c>
      <c r="AF620" s="6">
        <f ca="1">$M$620*$Z$620</f>
        <v>53588.613609094158</v>
      </c>
      <c r="AG620" s="6">
        <f>$O$620*$AA$620</f>
        <v>39433.701276784101</v>
      </c>
    </row>
    <row r="621" spans="1:33" ht="11.25" customHeight="1" x14ac:dyDescent="0.25">
      <c r="A621" s="4" t="s">
        <v>28</v>
      </c>
      <c r="B621" s="4" t="s">
        <v>22</v>
      </c>
      <c r="C621" s="4" t="s">
        <v>23</v>
      </c>
      <c r="D621" s="4" t="s">
        <v>24</v>
      </c>
      <c r="E621" s="4" t="s">
        <v>24</v>
      </c>
      <c r="F621" s="4" t="s">
        <v>25</v>
      </c>
      <c r="G621" s="4" t="s">
        <v>25</v>
      </c>
      <c r="H621" s="4" t="s">
        <v>25</v>
      </c>
      <c r="I621" s="5">
        <v>44501</v>
      </c>
      <c r="J621" s="6">
        <v>0</v>
      </c>
      <c r="K621" s="6">
        <v>0</v>
      </c>
      <c r="L621" s="6">
        <v>0.7</v>
      </c>
      <c r="M621" s="6">
        <v>0.7</v>
      </c>
      <c r="N621" s="6">
        <v>0.7</v>
      </c>
      <c r="O621" s="6">
        <v>0.7</v>
      </c>
      <c r="P621" s="6">
        <v>2</v>
      </c>
      <c r="Q621" s="4" t="s">
        <v>26</v>
      </c>
      <c r="R621" s="4">
        <v>0</v>
      </c>
      <c r="S621" s="6">
        <v>0</v>
      </c>
      <c r="T621" s="6">
        <v>16</v>
      </c>
      <c r="U621" s="6">
        <v>53</v>
      </c>
      <c r="V621" s="6">
        <f>IF(ISERROR(VLOOKUP($S$621,'TAR FIN'!$A$1:$O$85,15,0)),0,VLOOKUP($S$621,'TAR FIN'!$A$1:$O$85,15,0))</f>
        <v>0</v>
      </c>
      <c r="W621" s="6">
        <f>IF(ISERROR(VLOOKUP($T$621,'TAR FIN'!$A$1:$O$85,15,0)),0,VLOOKUP($T$621,'TAR FIN'!$A$1:$O$85,15,0))</f>
        <v>324.88</v>
      </c>
      <c r="X621" s="6">
        <f>IF(ISERROR(VLOOKUP($U$621,'TAR FIN'!$A$1:$O$85,15,0)),0,VLOOKUP($U$621,'TAR FIN'!$A$1:$O$85,15,0))</f>
        <v>322.54000000000002</v>
      </c>
      <c r="Y621" s="6"/>
      <c r="Z621" s="6">
        <f ca="1">('TUSD BE'!$AM$20+'TUSD BF'!$AM$20+'TUSD CVA'!$AM$20)*1</f>
        <v>434.80310925202969</v>
      </c>
      <c r="AA621" s="6">
        <f>('TE BE'!$AB$10+'TE BF'!$AB$10+'TE CVA'!$AB$10)*1</f>
        <v>319.954086693367</v>
      </c>
      <c r="AB621" s="6">
        <f>$K$621*$V$621</f>
        <v>0</v>
      </c>
      <c r="AC621" s="6">
        <f>$M$621*$W$621</f>
        <v>227.41599999999997</v>
      </c>
      <c r="AD621" s="6">
        <f>$O$621*$X$621</f>
        <v>225.77799999999999</v>
      </c>
      <c r="AE621" s="6">
        <f>$K$621*$Y$621</f>
        <v>0</v>
      </c>
      <c r="AF621" s="6">
        <f ca="1">$M$621*$Z$621</f>
        <v>304.36217647642076</v>
      </c>
      <c r="AG621" s="6">
        <f>$O$621*$AA$621</f>
        <v>223.9678606853569</v>
      </c>
    </row>
    <row r="622" spans="1:33" ht="11.25" customHeight="1" x14ac:dyDescent="0.25">
      <c r="A622" s="4" t="s">
        <v>21</v>
      </c>
      <c r="B622" s="4" t="s">
        <v>22</v>
      </c>
      <c r="C622" s="4" t="s">
        <v>23</v>
      </c>
      <c r="D622" s="4" t="s">
        <v>24</v>
      </c>
      <c r="E622" s="4" t="s">
        <v>24</v>
      </c>
      <c r="F622" s="4" t="s">
        <v>25</v>
      </c>
      <c r="G622" s="4" t="s">
        <v>25</v>
      </c>
      <c r="H622" s="4" t="s">
        <v>25</v>
      </c>
      <c r="I622" s="5">
        <v>44531</v>
      </c>
      <c r="J622" s="6">
        <v>0</v>
      </c>
      <c r="K622" s="6">
        <v>0</v>
      </c>
      <c r="L622" s="6">
        <v>10602.251</v>
      </c>
      <c r="M622" s="6">
        <v>10602.251</v>
      </c>
      <c r="N622" s="6">
        <v>10602.251</v>
      </c>
      <c r="O622" s="6">
        <v>10602.251</v>
      </c>
      <c r="P622" s="6">
        <v>61350</v>
      </c>
      <c r="Q622" s="4" t="s">
        <v>26</v>
      </c>
      <c r="R622" s="4">
        <v>0</v>
      </c>
      <c r="S622" s="6">
        <v>0</v>
      </c>
      <c r="T622" s="6">
        <v>16</v>
      </c>
      <c r="U622" s="6">
        <v>53</v>
      </c>
      <c r="V622" s="6">
        <f>IF(ISERROR(VLOOKUP($S$622,'TAR FIN'!$A$1:$O$85,15,0)),0,VLOOKUP($S$622,'TAR FIN'!$A$1:$O$85,15,0))</f>
        <v>0</v>
      </c>
      <c r="W622" s="6">
        <f>IF(ISERROR(VLOOKUP($T$622,'TAR FIN'!$A$1:$O$85,15,0)),0,VLOOKUP($T$622,'TAR FIN'!$A$1:$O$85,15,0))</f>
        <v>324.88</v>
      </c>
      <c r="X622" s="6">
        <f>IF(ISERROR(VLOOKUP($U$622,'TAR FIN'!$A$1:$O$85,15,0)),0,VLOOKUP($U$622,'TAR FIN'!$A$1:$O$85,15,0))</f>
        <v>322.54000000000002</v>
      </c>
      <c r="Y622" s="6"/>
      <c r="Z622" s="6">
        <f ca="1">('TUSD BE'!$AM$20+'TUSD BF'!$AM$20+'TUSD CVA'!$AM$20)*1</f>
        <v>434.80310925202969</v>
      </c>
      <c r="AA622" s="6">
        <f>('TE BE'!$AB$10+'TE BF'!$AB$10+'TE CVA'!$AB$10)*1</f>
        <v>319.954086693367</v>
      </c>
      <c r="AB622" s="6">
        <f>$K$622*$V$622</f>
        <v>0</v>
      </c>
      <c r="AC622" s="6">
        <f>$M$622*$W$622</f>
        <v>3444459.3048800002</v>
      </c>
      <c r="AD622" s="6">
        <f>$O$622*$X$622</f>
        <v>3419650.0375400004</v>
      </c>
      <c r="AE622" s="6">
        <f>$K$622*$Y$622</f>
        <v>0</v>
      </c>
      <c r="AF622" s="6">
        <f ca="1">$M$622*$Z$622</f>
        <v>4609891.6998704411</v>
      </c>
      <c r="AG622" s="6">
        <f>$O$622*$AA$622</f>
        <v>3392233.5355988368</v>
      </c>
    </row>
    <row r="623" spans="1:33" ht="11.25" customHeight="1" x14ac:dyDescent="0.25">
      <c r="A623" s="4" t="s">
        <v>27</v>
      </c>
      <c r="B623" s="4" t="s">
        <v>22</v>
      </c>
      <c r="C623" s="4" t="s">
        <v>23</v>
      </c>
      <c r="D623" s="4" t="s">
        <v>24</v>
      </c>
      <c r="E623" s="4" t="s">
        <v>24</v>
      </c>
      <c r="F623" s="4" t="s">
        <v>25</v>
      </c>
      <c r="G623" s="4" t="s">
        <v>25</v>
      </c>
      <c r="H623" s="4" t="s">
        <v>25</v>
      </c>
      <c r="I623" s="5">
        <v>44531</v>
      </c>
      <c r="J623" s="6">
        <v>0</v>
      </c>
      <c r="K623" s="6">
        <v>0</v>
      </c>
      <c r="L623" s="6">
        <v>-0.3</v>
      </c>
      <c r="M623" s="6">
        <v>-0.3</v>
      </c>
      <c r="N623" s="6">
        <v>-0.3</v>
      </c>
      <c r="O623" s="6">
        <v>-0.3</v>
      </c>
      <c r="P623" s="6">
        <v>17</v>
      </c>
      <c r="Q623" s="4" t="s">
        <v>26</v>
      </c>
      <c r="R623" s="4">
        <v>0</v>
      </c>
      <c r="S623" s="6">
        <v>0</v>
      </c>
      <c r="T623" s="6">
        <v>16</v>
      </c>
      <c r="U623" s="6">
        <v>53</v>
      </c>
      <c r="V623" s="6">
        <f>IF(ISERROR(VLOOKUP($S$623,'TAR FIN'!$A$1:$O$85,15,0)),0,VLOOKUP($S$623,'TAR FIN'!$A$1:$O$85,15,0))</f>
        <v>0</v>
      </c>
      <c r="W623" s="6">
        <f>IF(ISERROR(VLOOKUP($T$623,'TAR FIN'!$A$1:$O$85,15,0)),0,VLOOKUP($T$623,'TAR FIN'!$A$1:$O$85,15,0))</f>
        <v>324.88</v>
      </c>
      <c r="X623" s="6">
        <f>IF(ISERROR(VLOOKUP($U$623,'TAR FIN'!$A$1:$O$85,15,0)),0,VLOOKUP($U$623,'TAR FIN'!$A$1:$O$85,15,0))</f>
        <v>322.54000000000002</v>
      </c>
      <c r="Y623" s="6"/>
      <c r="Z623" s="6">
        <f ca="1">('TUSD BE'!$AM$20+'TUSD BF'!$AM$20+'TUSD CVA'!$AM$20)*1</f>
        <v>434.80310925202969</v>
      </c>
      <c r="AA623" s="6">
        <f>('TE BE'!$AB$10+'TE BF'!$AB$10+'TE CVA'!$AB$10)*1</f>
        <v>319.954086693367</v>
      </c>
      <c r="AB623" s="6">
        <f>$K$623*$V$623</f>
        <v>0</v>
      </c>
      <c r="AC623" s="6">
        <f>$M$623*$W$623</f>
        <v>-97.463999999999999</v>
      </c>
      <c r="AD623" s="6">
        <f>$O$623*$X$623</f>
        <v>-96.762</v>
      </c>
      <c r="AE623" s="6">
        <f>$K$623*$Y$623</f>
        <v>0</v>
      </c>
      <c r="AF623" s="6">
        <f ca="1">$M$623*$Z$623</f>
        <v>-130.4409327756089</v>
      </c>
      <c r="AG623" s="6">
        <f>$O$623*$AA$623</f>
        <v>-95.986226008010092</v>
      </c>
    </row>
    <row r="624" spans="1:33" ht="11.25" customHeight="1" x14ac:dyDescent="0.25">
      <c r="A624" s="4" t="s">
        <v>28</v>
      </c>
      <c r="B624" s="4" t="s">
        <v>22</v>
      </c>
      <c r="C624" s="4" t="s">
        <v>23</v>
      </c>
      <c r="D624" s="4" t="s">
        <v>24</v>
      </c>
      <c r="E624" s="4" t="s">
        <v>24</v>
      </c>
      <c r="F624" s="4" t="s">
        <v>25</v>
      </c>
      <c r="G624" s="4" t="s">
        <v>25</v>
      </c>
      <c r="H624" s="4" t="s">
        <v>25</v>
      </c>
      <c r="I624" s="5">
        <v>44531</v>
      </c>
      <c r="J624" s="6">
        <v>0</v>
      </c>
      <c r="K624" s="6">
        <v>0</v>
      </c>
      <c r="L624" s="6">
        <v>144.768</v>
      </c>
      <c r="M624" s="6">
        <v>144.768</v>
      </c>
      <c r="N624" s="6">
        <v>144.768</v>
      </c>
      <c r="O624" s="6">
        <v>144.768</v>
      </c>
      <c r="P624" s="6">
        <v>1073</v>
      </c>
      <c r="Q624" s="4" t="s">
        <v>26</v>
      </c>
      <c r="R624" s="4">
        <v>0</v>
      </c>
      <c r="S624" s="6">
        <v>0</v>
      </c>
      <c r="T624" s="6">
        <v>16</v>
      </c>
      <c r="U624" s="6">
        <v>53</v>
      </c>
      <c r="V624" s="6">
        <f>IF(ISERROR(VLOOKUP($S$624,'TAR FIN'!$A$1:$O$85,15,0)),0,VLOOKUP($S$624,'TAR FIN'!$A$1:$O$85,15,0))</f>
        <v>0</v>
      </c>
      <c r="W624" s="6">
        <f>IF(ISERROR(VLOOKUP($T$624,'TAR FIN'!$A$1:$O$85,15,0)),0,VLOOKUP($T$624,'TAR FIN'!$A$1:$O$85,15,0))</f>
        <v>324.88</v>
      </c>
      <c r="X624" s="6">
        <f>IF(ISERROR(VLOOKUP($U$624,'TAR FIN'!$A$1:$O$85,15,0)),0,VLOOKUP($U$624,'TAR FIN'!$A$1:$O$85,15,0))</f>
        <v>322.54000000000002</v>
      </c>
      <c r="Y624" s="6"/>
      <c r="Z624" s="6">
        <f ca="1">('TUSD BE'!$AM$20+'TUSD BF'!$AM$20+'TUSD CVA'!$AM$20)*1</f>
        <v>434.80310925202969</v>
      </c>
      <c r="AA624" s="6">
        <f>('TE BE'!$AB$10+'TE BF'!$AB$10+'TE CVA'!$AB$10)*1</f>
        <v>319.954086693367</v>
      </c>
      <c r="AB624" s="6">
        <f>$K$624*$V$624</f>
        <v>0</v>
      </c>
      <c r="AC624" s="6">
        <f>$M$624*$W$624</f>
        <v>47032.22784</v>
      </c>
      <c r="AD624" s="6">
        <f>$O$624*$X$624</f>
        <v>46693.470720000005</v>
      </c>
      <c r="AE624" s="6">
        <f>$K$624*$Y$624</f>
        <v>0</v>
      </c>
      <c r="AF624" s="6">
        <f ca="1">$M$624*$Z$624</f>
        <v>62945.576520197836</v>
      </c>
      <c r="AG624" s="6">
        <f>$O$624*$AA$624</f>
        <v>46319.113222425352</v>
      </c>
    </row>
    <row r="625" spans="1:33" ht="11.25" customHeight="1" x14ac:dyDescent="0.25">
      <c r="A625" s="4" t="s">
        <v>28</v>
      </c>
      <c r="B625" s="4" t="s">
        <v>22</v>
      </c>
      <c r="C625" s="4" t="s">
        <v>23</v>
      </c>
      <c r="D625" s="4" t="s">
        <v>24</v>
      </c>
      <c r="E625" s="4" t="s">
        <v>24</v>
      </c>
      <c r="F625" s="4" t="s">
        <v>25</v>
      </c>
      <c r="G625" s="4" t="s">
        <v>25</v>
      </c>
      <c r="H625" s="4" t="s">
        <v>25</v>
      </c>
      <c r="I625" s="5">
        <v>44531</v>
      </c>
      <c r="J625" s="6">
        <v>0</v>
      </c>
      <c r="K625" s="6">
        <v>0</v>
      </c>
      <c r="L625" s="6">
        <v>0.11899999999999999</v>
      </c>
      <c r="M625" s="6">
        <v>0.11899999999999999</v>
      </c>
      <c r="N625" s="6">
        <v>0.11899999999999999</v>
      </c>
      <c r="O625" s="6">
        <v>0.11899999999999999</v>
      </c>
      <c r="P625" s="6">
        <v>1</v>
      </c>
      <c r="Q625" s="4" t="s">
        <v>26</v>
      </c>
      <c r="R625" s="4">
        <v>0</v>
      </c>
      <c r="S625" s="6">
        <v>0</v>
      </c>
      <c r="T625" s="6">
        <v>16</v>
      </c>
      <c r="U625" s="6">
        <v>53</v>
      </c>
      <c r="V625" s="6">
        <f>IF(ISERROR(VLOOKUP($S$625,'TAR FIN'!$A$1:$O$85,15,0)),0,VLOOKUP($S$625,'TAR FIN'!$A$1:$O$85,15,0))</f>
        <v>0</v>
      </c>
      <c r="W625" s="6">
        <f>IF(ISERROR(VLOOKUP($T$625,'TAR FIN'!$A$1:$O$85,15,0)),0,VLOOKUP($T$625,'TAR FIN'!$A$1:$O$85,15,0))</f>
        <v>324.88</v>
      </c>
      <c r="X625" s="6">
        <f>IF(ISERROR(VLOOKUP($U$625,'TAR FIN'!$A$1:$O$85,15,0)),0,VLOOKUP($U$625,'TAR FIN'!$A$1:$O$85,15,0))</f>
        <v>322.54000000000002</v>
      </c>
      <c r="Y625" s="6"/>
      <c r="Z625" s="6">
        <f ca="1">('TUSD BE'!$AM$20+'TUSD BF'!$AM$20+'TUSD CVA'!$AM$20)*1</f>
        <v>434.80310925202969</v>
      </c>
      <c r="AA625" s="6">
        <f>('TE BE'!$AB$10+'TE BF'!$AB$10+'TE CVA'!$AB$10)*1</f>
        <v>319.954086693367</v>
      </c>
      <c r="AB625" s="6">
        <f>$K$625*$V$625</f>
        <v>0</v>
      </c>
      <c r="AC625" s="6">
        <f>$M$625*$W$625</f>
        <v>38.660719999999998</v>
      </c>
      <c r="AD625" s="6">
        <f>$O$625*$X$625</f>
        <v>38.382260000000002</v>
      </c>
      <c r="AE625" s="6">
        <f>$K$625*$Y$625</f>
        <v>0</v>
      </c>
      <c r="AF625" s="6">
        <f ca="1">$M$625*$Z$625</f>
        <v>51.74157000099153</v>
      </c>
      <c r="AG625" s="6">
        <f>$O$625*$AA$625</f>
        <v>38.074536316510674</v>
      </c>
    </row>
    <row r="626" spans="1:33" ht="11.25" customHeight="1" x14ac:dyDescent="0.25">
      <c r="A626" s="4" t="s">
        <v>21</v>
      </c>
      <c r="B626" s="4" t="s">
        <v>22</v>
      </c>
      <c r="C626" s="4" t="s">
        <v>23</v>
      </c>
      <c r="D626" s="4" t="s">
        <v>24</v>
      </c>
      <c r="E626" s="4" t="s">
        <v>24</v>
      </c>
      <c r="F626" s="4" t="s">
        <v>25</v>
      </c>
      <c r="G626" s="4" t="s">
        <v>25</v>
      </c>
      <c r="H626" s="4" t="s">
        <v>25</v>
      </c>
      <c r="I626" s="5">
        <v>44562</v>
      </c>
      <c r="J626" s="6">
        <v>0</v>
      </c>
      <c r="K626" s="6">
        <v>0</v>
      </c>
      <c r="L626" s="6">
        <v>10986.397999999999</v>
      </c>
      <c r="M626" s="6">
        <v>10986.397999999999</v>
      </c>
      <c r="N626" s="6">
        <v>10986.397999999999</v>
      </c>
      <c r="O626" s="6">
        <v>10986.397999999999</v>
      </c>
      <c r="P626" s="6">
        <v>61192</v>
      </c>
      <c r="Q626" s="4" t="s">
        <v>26</v>
      </c>
      <c r="R626" s="4">
        <v>0</v>
      </c>
      <c r="S626" s="6">
        <v>0</v>
      </c>
      <c r="T626" s="6">
        <v>16</v>
      </c>
      <c r="U626" s="6">
        <v>53</v>
      </c>
      <c r="V626" s="6">
        <f>IF(ISERROR(VLOOKUP($S$626,'TAR FIN'!$A$1:$O$85,15,0)),0,VLOOKUP($S$626,'TAR FIN'!$A$1:$O$85,15,0))</f>
        <v>0</v>
      </c>
      <c r="W626" s="6">
        <f>IF(ISERROR(VLOOKUP($T$626,'TAR FIN'!$A$1:$O$85,15,0)),0,VLOOKUP($T$626,'TAR FIN'!$A$1:$O$85,15,0))</f>
        <v>324.88</v>
      </c>
      <c r="X626" s="6">
        <f>IF(ISERROR(VLOOKUP($U$626,'TAR FIN'!$A$1:$O$85,15,0)),0,VLOOKUP($U$626,'TAR FIN'!$A$1:$O$85,15,0))</f>
        <v>322.54000000000002</v>
      </c>
      <c r="Y626" s="6"/>
      <c r="Z626" s="6">
        <f ca="1">('TUSD BE'!$AM$20+'TUSD BF'!$AM$20+'TUSD CVA'!$AM$20)*1</f>
        <v>434.80310925202969</v>
      </c>
      <c r="AA626" s="6">
        <f>('TE BE'!$AB$10+'TE BF'!$AB$10+'TE CVA'!$AB$10)*1</f>
        <v>319.954086693367</v>
      </c>
      <c r="AB626" s="6">
        <f>$K$626*$V$626</f>
        <v>0</v>
      </c>
      <c r="AC626" s="6">
        <f>$M$626*$W$626</f>
        <v>3569260.9822399998</v>
      </c>
      <c r="AD626" s="6">
        <f>$O$626*$X$626</f>
        <v>3543552.8109200001</v>
      </c>
      <c r="AE626" s="6">
        <f>$K$626*$Y$626</f>
        <v>0</v>
      </c>
      <c r="AF626" s="6">
        <f ca="1">$M$626*$Z$626</f>
        <v>4776920.0098802801</v>
      </c>
      <c r="AG626" s="6">
        <f>$O$626*$AA$626</f>
        <v>3515142.9381398335</v>
      </c>
    </row>
    <row r="627" spans="1:33" ht="11.25" customHeight="1" x14ac:dyDescent="0.25">
      <c r="A627" s="4" t="s">
        <v>27</v>
      </c>
      <c r="B627" s="4" t="s">
        <v>22</v>
      </c>
      <c r="C627" s="4" t="s">
        <v>23</v>
      </c>
      <c r="D627" s="4" t="s">
        <v>24</v>
      </c>
      <c r="E627" s="4" t="s">
        <v>24</v>
      </c>
      <c r="F627" s="4" t="s">
        <v>25</v>
      </c>
      <c r="G627" s="4" t="s">
        <v>25</v>
      </c>
      <c r="H627" s="4" t="s">
        <v>25</v>
      </c>
      <c r="I627" s="5">
        <v>44562</v>
      </c>
      <c r="J627" s="6">
        <v>0</v>
      </c>
      <c r="K627" s="6">
        <v>0</v>
      </c>
      <c r="L627" s="6">
        <v>-0.89800000000000002</v>
      </c>
      <c r="M627" s="6">
        <v>-0.89800000000000002</v>
      </c>
      <c r="N627" s="6">
        <v>-0.89800000000000002</v>
      </c>
      <c r="O627" s="6">
        <v>-0.89800000000000002</v>
      </c>
      <c r="P627" s="6">
        <v>25</v>
      </c>
      <c r="Q627" s="4" t="s">
        <v>26</v>
      </c>
      <c r="R627" s="4">
        <v>0</v>
      </c>
      <c r="S627" s="6">
        <v>0</v>
      </c>
      <c r="T627" s="6">
        <v>16</v>
      </c>
      <c r="U627" s="6">
        <v>53</v>
      </c>
      <c r="V627" s="6">
        <f>IF(ISERROR(VLOOKUP($S$627,'TAR FIN'!$A$1:$O$85,15,0)),0,VLOOKUP($S$627,'TAR FIN'!$A$1:$O$85,15,0))</f>
        <v>0</v>
      </c>
      <c r="W627" s="6">
        <f>IF(ISERROR(VLOOKUP($T$627,'TAR FIN'!$A$1:$O$85,15,0)),0,VLOOKUP($T$627,'TAR FIN'!$A$1:$O$85,15,0))</f>
        <v>324.88</v>
      </c>
      <c r="X627" s="6">
        <f>IF(ISERROR(VLOOKUP($U$627,'TAR FIN'!$A$1:$O$85,15,0)),0,VLOOKUP($U$627,'TAR FIN'!$A$1:$O$85,15,0))</f>
        <v>322.54000000000002</v>
      </c>
      <c r="Y627" s="6"/>
      <c r="Z627" s="6">
        <f ca="1">('TUSD BE'!$AM$20+'TUSD BF'!$AM$20+'TUSD CVA'!$AM$20)*1</f>
        <v>434.80310925202969</v>
      </c>
      <c r="AA627" s="6">
        <f>('TE BE'!$AB$10+'TE BF'!$AB$10+'TE CVA'!$AB$10)*1</f>
        <v>319.954086693367</v>
      </c>
      <c r="AB627" s="6">
        <f>$K$627*$V$627</f>
        <v>0</v>
      </c>
      <c r="AC627" s="6">
        <f>$M$627*$W$627</f>
        <v>-291.74223999999998</v>
      </c>
      <c r="AD627" s="6">
        <f>$O$627*$X$627</f>
        <v>-289.64092000000005</v>
      </c>
      <c r="AE627" s="6">
        <f>$K$627*$Y$627</f>
        <v>0</v>
      </c>
      <c r="AF627" s="6">
        <f ca="1">$M$627*$Z$627</f>
        <v>-390.45319210832264</v>
      </c>
      <c r="AG627" s="6">
        <f>$O$627*$AA$627</f>
        <v>-287.31876985064355</v>
      </c>
    </row>
    <row r="628" spans="1:33" ht="11.25" customHeight="1" x14ac:dyDescent="0.25">
      <c r="A628" s="4" t="s">
        <v>28</v>
      </c>
      <c r="B628" s="4" t="s">
        <v>22</v>
      </c>
      <c r="C628" s="4" t="s">
        <v>23</v>
      </c>
      <c r="D628" s="4" t="s">
        <v>24</v>
      </c>
      <c r="E628" s="4" t="s">
        <v>24</v>
      </c>
      <c r="F628" s="4" t="s">
        <v>25</v>
      </c>
      <c r="G628" s="4" t="s">
        <v>25</v>
      </c>
      <c r="H628" s="4" t="s">
        <v>25</v>
      </c>
      <c r="I628" s="5">
        <v>44562</v>
      </c>
      <c r="J628" s="6">
        <v>0</v>
      </c>
      <c r="K628" s="6">
        <v>0</v>
      </c>
      <c r="L628" s="6">
        <v>136.268</v>
      </c>
      <c r="M628" s="6">
        <v>136.268</v>
      </c>
      <c r="N628" s="6">
        <v>136.268</v>
      </c>
      <c r="O628" s="6">
        <v>136.268</v>
      </c>
      <c r="P628" s="6">
        <v>1111</v>
      </c>
      <c r="Q628" s="4" t="s">
        <v>26</v>
      </c>
      <c r="R628" s="4">
        <v>0</v>
      </c>
      <c r="S628" s="6">
        <v>0</v>
      </c>
      <c r="T628" s="6">
        <v>16</v>
      </c>
      <c r="U628" s="6">
        <v>53</v>
      </c>
      <c r="V628" s="6">
        <f>IF(ISERROR(VLOOKUP($S$628,'TAR FIN'!$A$1:$O$85,15,0)),0,VLOOKUP($S$628,'TAR FIN'!$A$1:$O$85,15,0))</f>
        <v>0</v>
      </c>
      <c r="W628" s="6">
        <f>IF(ISERROR(VLOOKUP($T$628,'TAR FIN'!$A$1:$O$85,15,0)),0,VLOOKUP($T$628,'TAR FIN'!$A$1:$O$85,15,0))</f>
        <v>324.88</v>
      </c>
      <c r="X628" s="6">
        <f>IF(ISERROR(VLOOKUP($U$628,'TAR FIN'!$A$1:$O$85,15,0)),0,VLOOKUP($U$628,'TAR FIN'!$A$1:$O$85,15,0))</f>
        <v>322.54000000000002</v>
      </c>
      <c r="Y628" s="6"/>
      <c r="Z628" s="6">
        <f ca="1">('TUSD BE'!$AM$20+'TUSD BF'!$AM$20+'TUSD CVA'!$AM$20)*1</f>
        <v>434.80310925202969</v>
      </c>
      <c r="AA628" s="6">
        <f>('TE BE'!$AB$10+'TE BF'!$AB$10+'TE CVA'!$AB$10)*1</f>
        <v>319.954086693367</v>
      </c>
      <c r="AB628" s="6">
        <f>$K$628*$V$628</f>
        <v>0</v>
      </c>
      <c r="AC628" s="6">
        <f>$M$628*$W$628</f>
        <v>44270.747839999996</v>
      </c>
      <c r="AD628" s="6">
        <f>$O$628*$X$628</f>
        <v>43951.880720000001</v>
      </c>
      <c r="AE628" s="6">
        <f>$K$628*$Y$628</f>
        <v>0</v>
      </c>
      <c r="AF628" s="6">
        <f ca="1">$M$628*$Z$628</f>
        <v>59249.750091555579</v>
      </c>
      <c r="AG628" s="6">
        <f>$O$628*$AA$628</f>
        <v>43599.503485531735</v>
      </c>
    </row>
    <row r="629" spans="1:33" ht="11.25" customHeight="1" x14ac:dyDescent="0.25">
      <c r="A629" s="4" t="s">
        <v>28</v>
      </c>
      <c r="B629" s="4" t="s">
        <v>22</v>
      </c>
      <c r="C629" s="4" t="s">
        <v>23</v>
      </c>
      <c r="D629" s="4" t="s">
        <v>24</v>
      </c>
      <c r="E629" s="4" t="s">
        <v>24</v>
      </c>
      <c r="F629" s="4" t="s">
        <v>25</v>
      </c>
      <c r="G629" s="4" t="s">
        <v>25</v>
      </c>
      <c r="H629" s="4" t="s">
        <v>25</v>
      </c>
      <c r="I629" s="5">
        <v>44562</v>
      </c>
      <c r="J629" s="6">
        <v>0</v>
      </c>
      <c r="K629" s="6">
        <v>0</v>
      </c>
      <c r="L629" s="6">
        <v>1.82</v>
      </c>
      <c r="M629" s="6">
        <v>1.82</v>
      </c>
      <c r="N629" s="6">
        <v>1.82</v>
      </c>
      <c r="O629" s="6">
        <v>1.82</v>
      </c>
      <c r="P629" s="6">
        <v>0</v>
      </c>
      <c r="Q629" s="4" t="s">
        <v>26</v>
      </c>
      <c r="R629" s="4">
        <v>0</v>
      </c>
      <c r="S629" s="6">
        <v>0</v>
      </c>
      <c r="T629" s="6">
        <v>16</v>
      </c>
      <c r="U629" s="6">
        <v>53</v>
      </c>
      <c r="V629" s="6">
        <f>IF(ISERROR(VLOOKUP($S$629,'TAR FIN'!$A$1:$O$85,15,0)),0,VLOOKUP($S$629,'TAR FIN'!$A$1:$O$85,15,0))</f>
        <v>0</v>
      </c>
      <c r="W629" s="6">
        <f>IF(ISERROR(VLOOKUP($T$629,'TAR FIN'!$A$1:$O$85,15,0)),0,VLOOKUP($T$629,'TAR FIN'!$A$1:$O$85,15,0))</f>
        <v>324.88</v>
      </c>
      <c r="X629" s="6">
        <f>IF(ISERROR(VLOOKUP($U$629,'TAR FIN'!$A$1:$O$85,15,0)),0,VLOOKUP($U$629,'TAR FIN'!$A$1:$O$85,15,0))</f>
        <v>322.54000000000002</v>
      </c>
      <c r="Y629" s="6"/>
      <c r="Z629" s="6">
        <f ca="1">('TUSD BE'!$AM$20+'TUSD BF'!$AM$20+'TUSD CVA'!$AM$20)*1</f>
        <v>434.80310925202969</v>
      </c>
      <c r="AA629" s="6">
        <f>('TE BE'!$AB$10+'TE BF'!$AB$10+'TE CVA'!$AB$10)*1</f>
        <v>319.954086693367</v>
      </c>
      <c r="AB629" s="6">
        <f>$K$629*$V$629</f>
        <v>0</v>
      </c>
      <c r="AC629" s="6">
        <f>$M$629*$W$629</f>
        <v>591.28160000000003</v>
      </c>
      <c r="AD629" s="6">
        <f>$O$629*$X$629</f>
        <v>587.02280000000007</v>
      </c>
      <c r="AE629" s="6">
        <f>$K$629*$Y$629</f>
        <v>0</v>
      </c>
      <c r="AF629" s="6">
        <f ca="1">$M$629*$Z$629</f>
        <v>791.341658838694</v>
      </c>
      <c r="AG629" s="6">
        <f>$O$629*$AA$629</f>
        <v>582.31643778192802</v>
      </c>
    </row>
    <row r="630" spans="1:33" ht="11.25" customHeight="1" x14ac:dyDescent="0.25">
      <c r="A630" s="4" t="s">
        <v>21</v>
      </c>
      <c r="B630" s="4" t="s">
        <v>22</v>
      </c>
      <c r="C630" s="4" t="s">
        <v>23</v>
      </c>
      <c r="D630" s="4" t="s">
        <v>24</v>
      </c>
      <c r="E630" s="4" t="s">
        <v>24</v>
      </c>
      <c r="F630" s="4" t="s">
        <v>25</v>
      </c>
      <c r="G630" s="4" t="s">
        <v>25</v>
      </c>
      <c r="H630" s="4" t="s">
        <v>25</v>
      </c>
      <c r="I630" s="5">
        <v>44593</v>
      </c>
      <c r="J630" s="6">
        <v>0</v>
      </c>
      <c r="K630" s="6">
        <v>0</v>
      </c>
      <c r="L630" s="6">
        <v>11973.48</v>
      </c>
      <c r="M630" s="6">
        <v>11973.48</v>
      </c>
      <c r="N630" s="6">
        <v>11973.48</v>
      </c>
      <c r="O630" s="6">
        <v>11973.48</v>
      </c>
      <c r="P630" s="6">
        <v>60975</v>
      </c>
      <c r="Q630" s="4" t="s">
        <v>26</v>
      </c>
      <c r="R630" s="4">
        <v>0</v>
      </c>
      <c r="S630" s="6">
        <v>0</v>
      </c>
      <c r="T630" s="6">
        <v>16</v>
      </c>
      <c r="U630" s="6">
        <v>53</v>
      </c>
      <c r="V630" s="6">
        <f>IF(ISERROR(VLOOKUP($S$630,'TAR FIN'!$A$1:$O$85,15,0)),0,VLOOKUP($S$630,'TAR FIN'!$A$1:$O$85,15,0))</f>
        <v>0</v>
      </c>
      <c r="W630" s="6">
        <f>IF(ISERROR(VLOOKUP($T$630,'TAR FIN'!$A$1:$O$85,15,0)),0,VLOOKUP($T$630,'TAR FIN'!$A$1:$O$85,15,0))</f>
        <v>324.88</v>
      </c>
      <c r="X630" s="6">
        <f>IF(ISERROR(VLOOKUP($U$630,'TAR FIN'!$A$1:$O$85,15,0)),0,VLOOKUP($U$630,'TAR FIN'!$A$1:$O$85,15,0))</f>
        <v>322.54000000000002</v>
      </c>
      <c r="Y630" s="6"/>
      <c r="Z630" s="6">
        <f ca="1">('TUSD BE'!$AM$20+'TUSD BF'!$AM$20+'TUSD CVA'!$AM$20)*1</f>
        <v>434.80310925202969</v>
      </c>
      <c r="AA630" s="6">
        <f>('TE BE'!$AB$10+'TE BF'!$AB$10+'TE CVA'!$AB$10)*1</f>
        <v>319.954086693367</v>
      </c>
      <c r="AB630" s="6">
        <f>$K$630*$V$630</f>
        <v>0</v>
      </c>
      <c r="AC630" s="6">
        <f>$M$630*$W$630</f>
        <v>3889944.1823999998</v>
      </c>
      <c r="AD630" s="6">
        <f>$O$630*$X$630</f>
        <v>3861926.2392000002</v>
      </c>
      <c r="AE630" s="6">
        <f>$K$630*$Y$630</f>
        <v>0</v>
      </c>
      <c r="AF630" s="6">
        <f ca="1">$M$630*$Z$630</f>
        <v>5206106.3325669924</v>
      </c>
      <c r="AG630" s="6">
        <f>$O$630*$AA$630</f>
        <v>3830963.857941296</v>
      </c>
    </row>
    <row r="631" spans="1:33" ht="11.25" customHeight="1" x14ac:dyDescent="0.25">
      <c r="A631" s="4" t="s">
        <v>27</v>
      </c>
      <c r="B631" s="4" t="s">
        <v>22</v>
      </c>
      <c r="C631" s="4" t="s">
        <v>23</v>
      </c>
      <c r="D631" s="4" t="s">
        <v>24</v>
      </c>
      <c r="E631" s="4" t="s">
        <v>24</v>
      </c>
      <c r="F631" s="4" t="s">
        <v>25</v>
      </c>
      <c r="G631" s="4" t="s">
        <v>25</v>
      </c>
      <c r="H631" s="4" t="s">
        <v>25</v>
      </c>
      <c r="I631" s="5">
        <v>44593</v>
      </c>
      <c r="J631" s="6">
        <v>0</v>
      </c>
      <c r="K631" s="6">
        <v>0</v>
      </c>
      <c r="L631" s="6">
        <v>0.21299999999999999</v>
      </c>
      <c r="M631" s="6">
        <v>0.21299999999999999</v>
      </c>
      <c r="N631" s="6">
        <v>0.21299999999999999</v>
      </c>
      <c r="O631" s="6">
        <v>0.21299999999999999</v>
      </c>
      <c r="P631" s="6">
        <v>20</v>
      </c>
      <c r="Q631" s="4" t="s">
        <v>26</v>
      </c>
      <c r="R631" s="4">
        <v>0</v>
      </c>
      <c r="S631" s="6">
        <v>0</v>
      </c>
      <c r="T631" s="6">
        <v>16</v>
      </c>
      <c r="U631" s="6">
        <v>53</v>
      </c>
      <c r="V631" s="6">
        <f>IF(ISERROR(VLOOKUP($S$631,'TAR FIN'!$A$1:$O$85,15,0)),0,VLOOKUP($S$631,'TAR FIN'!$A$1:$O$85,15,0))</f>
        <v>0</v>
      </c>
      <c r="W631" s="6">
        <f>IF(ISERROR(VLOOKUP($T$631,'TAR FIN'!$A$1:$O$85,15,0)),0,VLOOKUP($T$631,'TAR FIN'!$A$1:$O$85,15,0))</f>
        <v>324.88</v>
      </c>
      <c r="X631" s="6">
        <f>IF(ISERROR(VLOOKUP($U$631,'TAR FIN'!$A$1:$O$85,15,0)),0,VLOOKUP($U$631,'TAR FIN'!$A$1:$O$85,15,0))</f>
        <v>322.54000000000002</v>
      </c>
      <c r="Y631" s="6"/>
      <c r="Z631" s="6">
        <f ca="1">('TUSD BE'!$AM$20+'TUSD BF'!$AM$20+'TUSD CVA'!$AM$20)*1</f>
        <v>434.80310925202969</v>
      </c>
      <c r="AA631" s="6">
        <f>('TE BE'!$AB$10+'TE BF'!$AB$10+'TE CVA'!$AB$10)*1</f>
        <v>319.954086693367</v>
      </c>
      <c r="AB631" s="6">
        <f>$K$631*$V$631</f>
        <v>0</v>
      </c>
      <c r="AC631" s="6">
        <f>$M$631*$W$631</f>
        <v>69.199439999999996</v>
      </c>
      <c r="AD631" s="6">
        <f>$O$631*$X$631</f>
        <v>68.70102</v>
      </c>
      <c r="AE631" s="6">
        <f>$K$631*$Y$631</f>
        <v>0</v>
      </c>
      <c r="AF631" s="6">
        <f ca="1">$M$631*$Z$631</f>
        <v>92.61306227068232</v>
      </c>
      <c r="AG631" s="6">
        <f>$O$631*$AA$631</f>
        <v>68.15022046568717</v>
      </c>
    </row>
    <row r="632" spans="1:33" ht="11.25" customHeight="1" x14ac:dyDescent="0.25">
      <c r="A632" s="4" t="s">
        <v>28</v>
      </c>
      <c r="B632" s="4" t="s">
        <v>22</v>
      </c>
      <c r="C632" s="4" t="s">
        <v>23</v>
      </c>
      <c r="D632" s="4" t="s">
        <v>24</v>
      </c>
      <c r="E632" s="4" t="s">
        <v>24</v>
      </c>
      <c r="F632" s="4" t="s">
        <v>25</v>
      </c>
      <c r="G632" s="4" t="s">
        <v>25</v>
      </c>
      <c r="H632" s="4" t="s">
        <v>25</v>
      </c>
      <c r="I632" s="5">
        <v>44593</v>
      </c>
      <c r="J632" s="6">
        <v>0</v>
      </c>
      <c r="K632" s="6">
        <v>0</v>
      </c>
      <c r="L632" s="6">
        <v>151.86000000000001</v>
      </c>
      <c r="M632" s="6">
        <v>151.86000000000001</v>
      </c>
      <c r="N632" s="6">
        <v>151.86000000000001</v>
      </c>
      <c r="O632" s="6">
        <v>151.86000000000001</v>
      </c>
      <c r="P632" s="6">
        <v>1171</v>
      </c>
      <c r="Q632" s="4" t="s">
        <v>26</v>
      </c>
      <c r="R632" s="4">
        <v>0</v>
      </c>
      <c r="S632" s="6">
        <v>0</v>
      </c>
      <c r="T632" s="6">
        <v>16</v>
      </c>
      <c r="U632" s="6">
        <v>53</v>
      </c>
      <c r="V632" s="6">
        <f>IF(ISERROR(VLOOKUP($S$632,'TAR FIN'!$A$1:$O$85,15,0)),0,VLOOKUP($S$632,'TAR FIN'!$A$1:$O$85,15,0))</f>
        <v>0</v>
      </c>
      <c r="W632" s="6">
        <f>IF(ISERROR(VLOOKUP($T$632,'TAR FIN'!$A$1:$O$85,15,0)),0,VLOOKUP($T$632,'TAR FIN'!$A$1:$O$85,15,0))</f>
        <v>324.88</v>
      </c>
      <c r="X632" s="6">
        <f>IF(ISERROR(VLOOKUP($U$632,'TAR FIN'!$A$1:$O$85,15,0)),0,VLOOKUP($U$632,'TAR FIN'!$A$1:$O$85,15,0))</f>
        <v>322.54000000000002</v>
      </c>
      <c r="Y632" s="6"/>
      <c r="Z632" s="6">
        <f ca="1">('TUSD BE'!$AM$20+'TUSD BF'!$AM$20+'TUSD CVA'!$AM$20)*1</f>
        <v>434.80310925202969</v>
      </c>
      <c r="AA632" s="6">
        <f>('TE BE'!$AB$10+'TE BF'!$AB$10+'TE CVA'!$AB$10)*1</f>
        <v>319.954086693367</v>
      </c>
      <c r="AB632" s="6">
        <f>$K$632*$V$632</f>
        <v>0</v>
      </c>
      <c r="AC632" s="6">
        <f>$M$632*$W$632</f>
        <v>49336.276800000007</v>
      </c>
      <c r="AD632" s="6">
        <f>$O$632*$X$632</f>
        <v>48980.924400000011</v>
      </c>
      <c r="AE632" s="6">
        <f>$K$632*$Y$632</f>
        <v>0</v>
      </c>
      <c r="AF632" s="6">
        <f ca="1">$M$632*$Z$632</f>
        <v>66029.200171013232</v>
      </c>
      <c r="AG632" s="6">
        <f>$O$632*$AA$632</f>
        <v>48588.227605254717</v>
      </c>
    </row>
    <row r="633" spans="1:33" ht="11.25" customHeight="1" x14ac:dyDescent="0.25">
      <c r="A633" s="4" t="s">
        <v>21</v>
      </c>
      <c r="B633" s="4" t="s">
        <v>22</v>
      </c>
      <c r="C633" s="4" t="s">
        <v>23</v>
      </c>
      <c r="D633" s="4" t="s">
        <v>24</v>
      </c>
      <c r="E633" s="4" t="s">
        <v>24</v>
      </c>
      <c r="F633" s="4" t="s">
        <v>25</v>
      </c>
      <c r="G633" s="4" t="s">
        <v>25</v>
      </c>
      <c r="H633" s="4" t="s">
        <v>25</v>
      </c>
      <c r="I633" s="5">
        <v>44621</v>
      </c>
      <c r="J633" s="6">
        <v>0</v>
      </c>
      <c r="K633" s="6">
        <v>0</v>
      </c>
      <c r="L633" s="6">
        <v>11630.394</v>
      </c>
      <c r="M633" s="6">
        <v>11630.394</v>
      </c>
      <c r="N633" s="6">
        <v>11630.394</v>
      </c>
      <c r="O633" s="6">
        <v>11630.394</v>
      </c>
      <c r="P633" s="6">
        <v>58822</v>
      </c>
      <c r="Q633" s="4" t="s">
        <v>26</v>
      </c>
      <c r="R633" s="4">
        <v>0</v>
      </c>
      <c r="S633" s="6">
        <v>0</v>
      </c>
      <c r="T633" s="6">
        <v>16</v>
      </c>
      <c r="U633" s="6">
        <v>53</v>
      </c>
      <c r="V633" s="6">
        <f>IF(ISERROR(VLOOKUP($S$633,'TAR FIN'!$A$1:$O$85,15,0)),0,VLOOKUP($S$633,'TAR FIN'!$A$1:$O$85,15,0))</f>
        <v>0</v>
      </c>
      <c r="W633" s="6">
        <f>IF(ISERROR(VLOOKUP($T$633,'TAR FIN'!$A$1:$O$85,15,0)),0,VLOOKUP($T$633,'TAR FIN'!$A$1:$O$85,15,0))</f>
        <v>324.88</v>
      </c>
      <c r="X633" s="6">
        <f>IF(ISERROR(VLOOKUP($U$633,'TAR FIN'!$A$1:$O$85,15,0)),0,VLOOKUP($U$633,'TAR FIN'!$A$1:$O$85,15,0))</f>
        <v>322.54000000000002</v>
      </c>
      <c r="Y633" s="6"/>
      <c r="Z633" s="6">
        <f ca="1">('TUSD BE'!$AM$20+'TUSD BF'!$AM$20+'TUSD CVA'!$AM$20)*1</f>
        <v>434.80310925202969</v>
      </c>
      <c r="AA633" s="6">
        <f>('TE BE'!$AB$10+'TE BF'!$AB$10+'TE CVA'!$AB$10)*1</f>
        <v>319.954086693367</v>
      </c>
      <c r="AB633" s="6">
        <f>$K$633*$V$633</f>
        <v>0</v>
      </c>
      <c r="AC633" s="6">
        <f>$M$633*$W$633</f>
        <v>3778482.4027200001</v>
      </c>
      <c r="AD633" s="6">
        <f>$O$633*$X$633</f>
        <v>3751267.2807600005</v>
      </c>
      <c r="AE633" s="6">
        <f>$K$633*$Y$633</f>
        <v>0</v>
      </c>
      <c r="AF633" s="6">
        <f ca="1">$M$633*$Z$633</f>
        <v>5056931.4730261508</v>
      </c>
      <c r="AG633" s="6">
        <f>$O$633*$AA$633</f>
        <v>3721192.0901540155</v>
      </c>
    </row>
    <row r="634" spans="1:33" ht="11.25" customHeight="1" x14ac:dyDescent="0.25">
      <c r="A634" s="4" t="s">
        <v>27</v>
      </c>
      <c r="B634" s="4" t="s">
        <v>22</v>
      </c>
      <c r="C634" s="4" t="s">
        <v>23</v>
      </c>
      <c r="D634" s="4" t="s">
        <v>24</v>
      </c>
      <c r="E634" s="4" t="s">
        <v>24</v>
      </c>
      <c r="F634" s="4" t="s">
        <v>25</v>
      </c>
      <c r="G634" s="4" t="s">
        <v>25</v>
      </c>
      <c r="H634" s="4" t="s">
        <v>25</v>
      </c>
      <c r="I634" s="5">
        <v>44621</v>
      </c>
      <c r="J634" s="6">
        <v>0</v>
      </c>
      <c r="K634" s="6">
        <v>0</v>
      </c>
      <c r="L634" s="6">
        <v>-95.64</v>
      </c>
      <c r="M634" s="6">
        <v>-95.64</v>
      </c>
      <c r="N634" s="6">
        <v>-95.64</v>
      </c>
      <c r="O634" s="6">
        <v>-95.64</v>
      </c>
      <c r="P634" s="6">
        <v>20</v>
      </c>
      <c r="Q634" s="4" t="s">
        <v>26</v>
      </c>
      <c r="R634" s="4">
        <v>0</v>
      </c>
      <c r="S634" s="6">
        <v>0</v>
      </c>
      <c r="T634" s="6">
        <v>16</v>
      </c>
      <c r="U634" s="6">
        <v>53</v>
      </c>
      <c r="V634" s="6">
        <f>IF(ISERROR(VLOOKUP($S$634,'TAR FIN'!$A$1:$O$85,15,0)),0,VLOOKUP($S$634,'TAR FIN'!$A$1:$O$85,15,0))</f>
        <v>0</v>
      </c>
      <c r="W634" s="6">
        <f>IF(ISERROR(VLOOKUP($T$634,'TAR FIN'!$A$1:$O$85,15,0)),0,VLOOKUP($T$634,'TAR FIN'!$A$1:$O$85,15,0))</f>
        <v>324.88</v>
      </c>
      <c r="X634" s="6">
        <f>IF(ISERROR(VLOOKUP($U$634,'TAR FIN'!$A$1:$O$85,15,0)),0,VLOOKUP($U$634,'TAR FIN'!$A$1:$O$85,15,0))</f>
        <v>322.54000000000002</v>
      </c>
      <c r="Y634" s="6"/>
      <c r="Z634" s="6">
        <f ca="1">('TUSD BE'!$AM$20+'TUSD BF'!$AM$20+'TUSD CVA'!$AM$20)*1</f>
        <v>434.80310925202969</v>
      </c>
      <c r="AA634" s="6">
        <f>('TE BE'!$AB$10+'TE BF'!$AB$10+'TE CVA'!$AB$10)*1</f>
        <v>319.954086693367</v>
      </c>
      <c r="AB634" s="6">
        <f>$K$634*$V$634</f>
        <v>0</v>
      </c>
      <c r="AC634" s="6">
        <f>$M$634*$W$634</f>
        <v>-31071.5232</v>
      </c>
      <c r="AD634" s="6">
        <f>$O$634*$X$634</f>
        <v>-30847.725600000002</v>
      </c>
      <c r="AE634" s="6">
        <f>$K$634*$Y$634</f>
        <v>0</v>
      </c>
      <c r="AF634" s="6">
        <f ca="1">$M$634*$Z$634</f>
        <v>-41584.569368864119</v>
      </c>
      <c r="AG634" s="6">
        <f>$O$634*$AA$634</f>
        <v>-30600.408851353619</v>
      </c>
    </row>
    <row r="635" spans="1:33" ht="11.25" customHeight="1" x14ac:dyDescent="0.25">
      <c r="A635" s="4" t="s">
        <v>28</v>
      </c>
      <c r="B635" s="4" t="s">
        <v>22</v>
      </c>
      <c r="C635" s="4" t="s">
        <v>23</v>
      </c>
      <c r="D635" s="4" t="s">
        <v>24</v>
      </c>
      <c r="E635" s="4" t="s">
        <v>24</v>
      </c>
      <c r="F635" s="4" t="s">
        <v>25</v>
      </c>
      <c r="G635" s="4" t="s">
        <v>25</v>
      </c>
      <c r="H635" s="4" t="s">
        <v>25</v>
      </c>
      <c r="I635" s="5">
        <v>44621</v>
      </c>
      <c r="J635" s="6">
        <v>0</v>
      </c>
      <c r="K635" s="6">
        <v>0</v>
      </c>
      <c r="L635" s="6">
        <v>155.41999999999999</v>
      </c>
      <c r="M635" s="6">
        <v>155.41999999999999</v>
      </c>
      <c r="N635" s="6">
        <v>155.41999999999999</v>
      </c>
      <c r="O635" s="6">
        <v>155.41999999999999</v>
      </c>
      <c r="P635" s="6">
        <v>1205</v>
      </c>
      <c r="Q635" s="4" t="s">
        <v>26</v>
      </c>
      <c r="R635" s="4">
        <v>0</v>
      </c>
      <c r="S635" s="6">
        <v>0</v>
      </c>
      <c r="T635" s="6">
        <v>16</v>
      </c>
      <c r="U635" s="6">
        <v>53</v>
      </c>
      <c r="V635" s="6">
        <f>IF(ISERROR(VLOOKUP($S$635,'TAR FIN'!$A$1:$O$85,15,0)),0,VLOOKUP($S$635,'TAR FIN'!$A$1:$O$85,15,0))</f>
        <v>0</v>
      </c>
      <c r="W635" s="6">
        <f>IF(ISERROR(VLOOKUP($T$635,'TAR FIN'!$A$1:$O$85,15,0)),0,VLOOKUP($T$635,'TAR FIN'!$A$1:$O$85,15,0))</f>
        <v>324.88</v>
      </c>
      <c r="X635" s="6">
        <f>IF(ISERROR(VLOOKUP($U$635,'TAR FIN'!$A$1:$O$85,15,0)),0,VLOOKUP($U$635,'TAR FIN'!$A$1:$O$85,15,0))</f>
        <v>322.54000000000002</v>
      </c>
      <c r="Y635" s="6"/>
      <c r="Z635" s="6">
        <f ca="1">('TUSD BE'!$AM$20+'TUSD BF'!$AM$20+'TUSD CVA'!$AM$20)*1</f>
        <v>434.80310925202969</v>
      </c>
      <c r="AA635" s="6">
        <f>('TE BE'!$AB$10+'TE BF'!$AB$10+'TE CVA'!$AB$10)*1</f>
        <v>319.954086693367</v>
      </c>
      <c r="AB635" s="6">
        <f>$K$635*$V$635</f>
        <v>0</v>
      </c>
      <c r="AC635" s="6">
        <f>$M$635*$W$635</f>
        <v>50492.849599999994</v>
      </c>
      <c r="AD635" s="6">
        <f>$O$635*$X$635</f>
        <v>50129.166799999999</v>
      </c>
      <c r="AE635" s="6">
        <f>$K$635*$Y$635</f>
        <v>0</v>
      </c>
      <c r="AF635" s="6">
        <f ca="1">$M$635*$Z$635</f>
        <v>67577.099239950447</v>
      </c>
      <c r="AG635" s="6">
        <f>$O$635*$AA$635</f>
        <v>49727.264153883094</v>
      </c>
    </row>
    <row r="636" spans="1:33" ht="11.25" customHeight="1" x14ac:dyDescent="0.25">
      <c r="A636" s="4" t="s">
        <v>28</v>
      </c>
      <c r="B636" s="4" t="s">
        <v>22</v>
      </c>
      <c r="C636" s="4" t="s">
        <v>23</v>
      </c>
      <c r="D636" s="4" t="s">
        <v>24</v>
      </c>
      <c r="E636" s="4" t="s">
        <v>24</v>
      </c>
      <c r="F636" s="4" t="s">
        <v>25</v>
      </c>
      <c r="G636" s="4" t="s">
        <v>25</v>
      </c>
      <c r="H636" s="4" t="s">
        <v>25</v>
      </c>
      <c r="I636" s="5">
        <v>44621</v>
      </c>
      <c r="J636" s="6">
        <v>0</v>
      </c>
      <c r="K636" s="6">
        <v>0</v>
      </c>
      <c r="L636" s="6">
        <v>0.375</v>
      </c>
      <c r="M636" s="6">
        <v>0.375</v>
      </c>
      <c r="N636" s="6">
        <v>0.375</v>
      </c>
      <c r="O636" s="6">
        <v>0.375</v>
      </c>
      <c r="P636" s="6">
        <v>2</v>
      </c>
      <c r="Q636" s="4" t="s">
        <v>26</v>
      </c>
      <c r="R636" s="4">
        <v>0</v>
      </c>
      <c r="S636" s="6">
        <v>0</v>
      </c>
      <c r="T636" s="6">
        <v>16</v>
      </c>
      <c r="U636" s="6">
        <v>53</v>
      </c>
      <c r="V636" s="6">
        <f>IF(ISERROR(VLOOKUP($S$636,'TAR FIN'!$A$1:$O$85,15,0)),0,VLOOKUP($S$636,'TAR FIN'!$A$1:$O$85,15,0))</f>
        <v>0</v>
      </c>
      <c r="W636" s="6">
        <f>IF(ISERROR(VLOOKUP($T$636,'TAR FIN'!$A$1:$O$85,15,0)),0,VLOOKUP($T$636,'TAR FIN'!$A$1:$O$85,15,0))</f>
        <v>324.88</v>
      </c>
      <c r="X636" s="6">
        <f>IF(ISERROR(VLOOKUP($U$636,'TAR FIN'!$A$1:$O$85,15,0)),0,VLOOKUP($U$636,'TAR FIN'!$A$1:$O$85,15,0))</f>
        <v>322.54000000000002</v>
      </c>
      <c r="Y636" s="6"/>
      <c r="Z636" s="6">
        <f ca="1">('TUSD BE'!$AM$20+'TUSD BF'!$AM$20+'TUSD CVA'!$AM$20)*1</f>
        <v>434.80310925202969</v>
      </c>
      <c r="AA636" s="6">
        <f>('TE BE'!$AB$10+'TE BF'!$AB$10+'TE CVA'!$AB$10)*1</f>
        <v>319.954086693367</v>
      </c>
      <c r="AB636" s="6">
        <f>$K$636*$V$636</f>
        <v>0</v>
      </c>
      <c r="AC636" s="6">
        <f>$M$636*$W$636</f>
        <v>121.83</v>
      </c>
      <c r="AD636" s="6">
        <f>$O$636*$X$636</f>
        <v>120.95250000000001</v>
      </c>
      <c r="AE636" s="6">
        <f>$K$636*$Y$636</f>
        <v>0</v>
      </c>
      <c r="AF636" s="6">
        <f ca="1">$M$636*$Z$636</f>
        <v>163.05116596951115</v>
      </c>
      <c r="AG636" s="6">
        <f>$O$636*$AA$636</f>
        <v>119.98278251001263</v>
      </c>
    </row>
    <row r="637" spans="1:33" ht="11.25" customHeight="1" x14ac:dyDescent="0.25">
      <c r="A637" s="4" t="s">
        <v>21</v>
      </c>
      <c r="B637" s="4" t="s">
        <v>22</v>
      </c>
      <c r="C637" s="4" t="s">
        <v>23</v>
      </c>
      <c r="D637" s="4" t="s">
        <v>24</v>
      </c>
      <c r="E637" s="4" t="s">
        <v>24</v>
      </c>
      <c r="F637" s="4" t="s">
        <v>25</v>
      </c>
      <c r="G637" s="4" t="s">
        <v>25</v>
      </c>
      <c r="H637" s="4" t="s">
        <v>25</v>
      </c>
      <c r="I637" s="5">
        <v>44652</v>
      </c>
      <c r="J637" s="6">
        <v>0</v>
      </c>
      <c r="K637" s="6">
        <v>0</v>
      </c>
      <c r="L637" s="6">
        <v>11631.782999999999</v>
      </c>
      <c r="M637" s="6">
        <v>11631.782999999999</v>
      </c>
      <c r="N637" s="6">
        <v>11631.782999999999</v>
      </c>
      <c r="O637" s="6">
        <v>11631.782999999999</v>
      </c>
      <c r="P637" s="6">
        <v>58593</v>
      </c>
      <c r="Q637" s="4" t="s">
        <v>26</v>
      </c>
      <c r="R637" s="4">
        <v>0</v>
      </c>
      <c r="S637" s="6">
        <v>0</v>
      </c>
      <c r="T637" s="6">
        <v>16</v>
      </c>
      <c r="U637" s="6">
        <v>53</v>
      </c>
      <c r="V637" s="6">
        <f>IF(ISERROR(VLOOKUP($S$637,'TAR FIN'!$A$1:$O$85,15,0)),0,VLOOKUP($S$637,'TAR FIN'!$A$1:$O$85,15,0))</f>
        <v>0</v>
      </c>
      <c r="W637" s="6">
        <f>IF(ISERROR(VLOOKUP($T$637,'TAR FIN'!$A$1:$O$85,15,0)),0,VLOOKUP($T$637,'TAR FIN'!$A$1:$O$85,15,0))</f>
        <v>324.88</v>
      </c>
      <c r="X637" s="6">
        <f>IF(ISERROR(VLOOKUP($U$637,'TAR FIN'!$A$1:$O$85,15,0)),0,VLOOKUP($U$637,'TAR FIN'!$A$1:$O$85,15,0))</f>
        <v>322.54000000000002</v>
      </c>
      <c r="Y637" s="6"/>
      <c r="Z637" s="6">
        <f ca="1">('TUSD BE'!$AM$20+'TUSD BF'!$AM$20+'TUSD CVA'!$AM$20)*1</f>
        <v>434.80310925202969</v>
      </c>
      <c r="AA637" s="6">
        <f>('TE BE'!$AB$10+'TE BF'!$AB$10+'TE CVA'!$AB$10)*1</f>
        <v>319.954086693367</v>
      </c>
      <c r="AB637" s="6">
        <f>$K$637*$V$637</f>
        <v>0</v>
      </c>
      <c r="AC637" s="6">
        <f>$M$637*$W$637</f>
        <v>3778933.6610399997</v>
      </c>
      <c r="AD637" s="6">
        <f>$O$637*$X$637</f>
        <v>3751715.2888199999</v>
      </c>
      <c r="AE637" s="6">
        <f>$K$637*$Y$637</f>
        <v>0</v>
      </c>
      <c r="AF637" s="6">
        <f ca="1">$M$637*$Z$637</f>
        <v>5057535.4145449018</v>
      </c>
      <c r="AG637" s="6">
        <f>$O$637*$AA$637</f>
        <v>3721636.5063804323</v>
      </c>
    </row>
    <row r="638" spans="1:33" ht="11.25" customHeight="1" x14ac:dyDescent="0.25">
      <c r="A638" s="4" t="s">
        <v>27</v>
      </c>
      <c r="B638" s="4" t="s">
        <v>22</v>
      </c>
      <c r="C638" s="4" t="s">
        <v>23</v>
      </c>
      <c r="D638" s="4" t="s">
        <v>24</v>
      </c>
      <c r="E638" s="4" t="s">
        <v>24</v>
      </c>
      <c r="F638" s="4" t="s">
        <v>25</v>
      </c>
      <c r="G638" s="4" t="s">
        <v>25</v>
      </c>
      <c r="H638" s="4" t="s">
        <v>25</v>
      </c>
      <c r="I638" s="5">
        <v>44652</v>
      </c>
      <c r="J638" s="6">
        <v>0</v>
      </c>
      <c r="K638" s="6">
        <v>0</v>
      </c>
      <c r="L638" s="6">
        <v>-5.1999999999999998E-2</v>
      </c>
      <c r="M638" s="6">
        <v>-5.1999999999999998E-2</v>
      </c>
      <c r="N638" s="6">
        <v>-5.1999999999999998E-2</v>
      </c>
      <c r="O638" s="6">
        <v>-5.1999999999999998E-2</v>
      </c>
      <c r="P638" s="6">
        <v>32</v>
      </c>
      <c r="Q638" s="4" t="s">
        <v>26</v>
      </c>
      <c r="R638" s="4">
        <v>0</v>
      </c>
      <c r="S638" s="6">
        <v>0</v>
      </c>
      <c r="T638" s="6">
        <v>16</v>
      </c>
      <c r="U638" s="6">
        <v>53</v>
      </c>
      <c r="V638" s="6">
        <f>IF(ISERROR(VLOOKUP($S$638,'TAR FIN'!$A$1:$O$85,15,0)),0,VLOOKUP($S$638,'TAR FIN'!$A$1:$O$85,15,0))</f>
        <v>0</v>
      </c>
      <c r="W638" s="6">
        <f>IF(ISERROR(VLOOKUP($T$638,'TAR FIN'!$A$1:$O$85,15,0)),0,VLOOKUP($T$638,'TAR FIN'!$A$1:$O$85,15,0))</f>
        <v>324.88</v>
      </c>
      <c r="X638" s="6">
        <f>IF(ISERROR(VLOOKUP($U$638,'TAR FIN'!$A$1:$O$85,15,0)),0,VLOOKUP($U$638,'TAR FIN'!$A$1:$O$85,15,0))</f>
        <v>322.54000000000002</v>
      </c>
      <c r="Y638" s="6"/>
      <c r="Z638" s="6">
        <f ca="1">('TUSD BE'!$AM$20+'TUSD BF'!$AM$20+'TUSD CVA'!$AM$20)*1</f>
        <v>434.80310925202969</v>
      </c>
      <c r="AA638" s="6">
        <f>('TE BE'!$AB$10+'TE BF'!$AB$10+'TE CVA'!$AB$10)*1</f>
        <v>319.954086693367</v>
      </c>
      <c r="AB638" s="6">
        <f>$K$638*$V$638</f>
        <v>0</v>
      </c>
      <c r="AC638" s="6">
        <f>$M$638*$W$638</f>
        <v>-16.89376</v>
      </c>
      <c r="AD638" s="6">
        <f>$O$638*$X$638</f>
        <v>-16.772079999999999</v>
      </c>
      <c r="AE638" s="6">
        <f>$K$638*$Y$638</f>
        <v>0</v>
      </c>
      <c r="AF638" s="6">
        <f ca="1">$M$638*$Z$638</f>
        <v>-22.609761681105542</v>
      </c>
      <c r="AG638" s="6">
        <f>$O$638*$AA$638</f>
        <v>-16.637612508055085</v>
      </c>
    </row>
    <row r="639" spans="1:33" ht="11.25" customHeight="1" x14ac:dyDescent="0.25">
      <c r="A639" s="4" t="s">
        <v>28</v>
      </c>
      <c r="B639" s="4" t="s">
        <v>22</v>
      </c>
      <c r="C639" s="4" t="s">
        <v>23</v>
      </c>
      <c r="D639" s="4" t="s">
        <v>24</v>
      </c>
      <c r="E639" s="4" t="s">
        <v>24</v>
      </c>
      <c r="F639" s="4" t="s">
        <v>25</v>
      </c>
      <c r="G639" s="4" t="s">
        <v>25</v>
      </c>
      <c r="H639" s="4" t="s">
        <v>25</v>
      </c>
      <c r="I639" s="5">
        <v>44652</v>
      </c>
      <c r="J639" s="6">
        <v>0</v>
      </c>
      <c r="K639" s="6">
        <v>0</v>
      </c>
      <c r="L639" s="6">
        <v>195.16800000000001</v>
      </c>
      <c r="M639" s="6">
        <v>195.16800000000001</v>
      </c>
      <c r="N639" s="6">
        <v>195.16800000000001</v>
      </c>
      <c r="O639" s="6">
        <v>195.16800000000001</v>
      </c>
      <c r="P639" s="6">
        <v>1309</v>
      </c>
      <c r="Q639" s="4" t="s">
        <v>26</v>
      </c>
      <c r="R639" s="4">
        <v>0</v>
      </c>
      <c r="S639" s="6">
        <v>0</v>
      </c>
      <c r="T639" s="6">
        <v>16</v>
      </c>
      <c r="U639" s="6">
        <v>53</v>
      </c>
      <c r="V639" s="6">
        <f>IF(ISERROR(VLOOKUP($S$639,'TAR FIN'!$A$1:$O$85,15,0)),0,VLOOKUP($S$639,'TAR FIN'!$A$1:$O$85,15,0))</f>
        <v>0</v>
      </c>
      <c r="W639" s="6">
        <f>IF(ISERROR(VLOOKUP($T$639,'TAR FIN'!$A$1:$O$85,15,0)),0,VLOOKUP($T$639,'TAR FIN'!$A$1:$O$85,15,0))</f>
        <v>324.88</v>
      </c>
      <c r="X639" s="6">
        <f>IF(ISERROR(VLOOKUP($U$639,'TAR FIN'!$A$1:$O$85,15,0)),0,VLOOKUP($U$639,'TAR FIN'!$A$1:$O$85,15,0))</f>
        <v>322.54000000000002</v>
      </c>
      <c r="Y639" s="6"/>
      <c r="Z639" s="6">
        <f ca="1">('TUSD BE'!$AM$20+'TUSD BF'!$AM$20+'TUSD CVA'!$AM$20)*1</f>
        <v>434.80310925202969</v>
      </c>
      <c r="AA639" s="6">
        <f>('TE BE'!$AB$10+'TE BF'!$AB$10+'TE CVA'!$AB$10)*1</f>
        <v>319.954086693367</v>
      </c>
      <c r="AB639" s="6">
        <f>$K$639*$V$639</f>
        <v>0</v>
      </c>
      <c r="AC639" s="6">
        <f>$M$639*$W$639</f>
        <v>63406.179840000004</v>
      </c>
      <c r="AD639" s="6">
        <f>$O$639*$X$639</f>
        <v>62949.486720000008</v>
      </c>
      <c r="AE639" s="6">
        <f>$K$639*$Y$639</f>
        <v>0</v>
      </c>
      <c r="AF639" s="6">
        <f ca="1">$M$639*$Z$639</f>
        <v>84859.65322650013</v>
      </c>
      <c r="AG639" s="6">
        <f>$O$639*$AA$639</f>
        <v>62444.799191771053</v>
      </c>
    </row>
    <row r="640" spans="1:33" ht="11.25" customHeight="1" x14ac:dyDescent="0.25">
      <c r="A640" s="4" t="s">
        <v>28</v>
      </c>
      <c r="B640" s="4" t="s">
        <v>22</v>
      </c>
      <c r="C640" s="4" t="s">
        <v>23</v>
      </c>
      <c r="D640" s="4" t="s">
        <v>24</v>
      </c>
      <c r="E640" s="4" t="s">
        <v>24</v>
      </c>
      <c r="F640" s="4" t="s">
        <v>25</v>
      </c>
      <c r="G640" s="4" t="s">
        <v>25</v>
      </c>
      <c r="H640" s="4" t="s">
        <v>25</v>
      </c>
      <c r="I640" s="5">
        <v>44652</v>
      </c>
      <c r="J640" s="6">
        <v>0</v>
      </c>
      <c r="K640" s="6">
        <v>0</v>
      </c>
      <c r="L640" s="6">
        <v>0.435</v>
      </c>
      <c r="M640" s="6">
        <v>0.435</v>
      </c>
      <c r="N640" s="6">
        <v>0.435</v>
      </c>
      <c r="O640" s="6">
        <v>0.435</v>
      </c>
      <c r="P640" s="6">
        <v>2</v>
      </c>
      <c r="Q640" s="4" t="s">
        <v>26</v>
      </c>
      <c r="R640" s="4">
        <v>0</v>
      </c>
      <c r="S640" s="6">
        <v>0</v>
      </c>
      <c r="T640" s="6">
        <v>16</v>
      </c>
      <c r="U640" s="6">
        <v>53</v>
      </c>
      <c r="V640" s="6">
        <f>IF(ISERROR(VLOOKUP($S$640,'TAR FIN'!$A$1:$O$85,15,0)),0,VLOOKUP($S$640,'TAR FIN'!$A$1:$O$85,15,0))</f>
        <v>0</v>
      </c>
      <c r="W640" s="6">
        <f>IF(ISERROR(VLOOKUP($T$640,'TAR FIN'!$A$1:$O$85,15,0)),0,VLOOKUP($T$640,'TAR FIN'!$A$1:$O$85,15,0))</f>
        <v>324.88</v>
      </c>
      <c r="X640" s="6">
        <f>IF(ISERROR(VLOOKUP($U$640,'TAR FIN'!$A$1:$O$85,15,0)),0,VLOOKUP($U$640,'TAR FIN'!$A$1:$O$85,15,0))</f>
        <v>322.54000000000002</v>
      </c>
      <c r="Y640" s="6"/>
      <c r="Z640" s="6">
        <f ca="1">('TUSD BE'!$AM$20+'TUSD BF'!$AM$20+'TUSD CVA'!$AM$20)*1</f>
        <v>434.80310925202969</v>
      </c>
      <c r="AA640" s="6">
        <f>('TE BE'!$AB$10+'TE BF'!$AB$10+'TE CVA'!$AB$10)*1</f>
        <v>319.954086693367</v>
      </c>
      <c r="AB640" s="6">
        <f>$K$640*$V$640</f>
        <v>0</v>
      </c>
      <c r="AC640" s="6">
        <f>$M$640*$W$640</f>
        <v>141.3228</v>
      </c>
      <c r="AD640" s="6">
        <f>$O$640*$X$640</f>
        <v>140.3049</v>
      </c>
      <c r="AE640" s="6">
        <f>$K$640*$Y$640</f>
        <v>0</v>
      </c>
      <c r="AF640" s="6">
        <f ca="1">$M$640*$Z$640</f>
        <v>189.13935252463293</v>
      </c>
      <c r="AG640" s="6">
        <f>$O$640*$AA$640</f>
        <v>139.18002771161466</v>
      </c>
    </row>
    <row r="641" spans="1:33" ht="11.25" customHeight="1" x14ac:dyDescent="0.25">
      <c r="A641" s="4" t="s">
        <v>21</v>
      </c>
      <c r="B641" s="4" t="s">
        <v>22</v>
      </c>
      <c r="C641" s="4" t="s">
        <v>23</v>
      </c>
      <c r="D641" s="4" t="s">
        <v>24</v>
      </c>
      <c r="E641" s="4" t="s">
        <v>24</v>
      </c>
      <c r="F641" s="4" t="s">
        <v>25</v>
      </c>
      <c r="G641" s="4" t="s">
        <v>25</v>
      </c>
      <c r="H641" s="4" t="s">
        <v>25</v>
      </c>
      <c r="I641" s="5">
        <v>44682</v>
      </c>
      <c r="J641" s="6">
        <v>0</v>
      </c>
      <c r="K641" s="6">
        <v>0</v>
      </c>
      <c r="L641" s="6">
        <v>10110.762000000001</v>
      </c>
      <c r="M641" s="6">
        <v>10110.762000000001</v>
      </c>
      <c r="N641" s="6">
        <v>10110.762000000001</v>
      </c>
      <c r="O641" s="6">
        <v>10110.762000000001</v>
      </c>
      <c r="P641" s="6">
        <v>59627</v>
      </c>
      <c r="Q641" s="4" t="s">
        <v>26</v>
      </c>
      <c r="R641" s="4">
        <v>0</v>
      </c>
      <c r="S641" s="6">
        <v>0</v>
      </c>
      <c r="T641" s="6">
        <v>16</v>
      </c>
      <c r="U641" s="6">
        <v>53</v>
      </c>
      <c r="V641" s="6">
        <f>IF(ISERROR(VLOOKUP($S$641,'TAR FIN'!$A$1:$O$85,15,0)),0,VLOOKUP($S$641,'TAR FIN'!$A$1:$O$85,15,0))</f>
        <v>0</v>
      </c>
      <c r="W641" s="6">
        <f>IF(ISERROR(VLOOKUP($T$641,'TAR FIN'!$A$1:$O$85,15,0)),0,VLOOKUP($T$641,'TAR FIN'!$A$1:$O$85,15,0))</f>
        <v>324.88</v>
      </c>
      <c r="X641" s="6">
        <f>IF(ISERROR(VLOOKUP($U$641,'TAR FIN'!$A$1:$O$85,15,0)),0,VLOOKUP($U$641,'TAR FIN'!$A$1:$O$85,15,0))</f>
        <v>322.54000000000002</v>
      </c>
      <c r="Y641" s="6"/>
      <c r="Z641" s="6">
        <f ca="1">('TUSD BE'!$AM$20+'TUSD BF'!$AM$20+'TUSD CVA'!$AM$20)*1</f>
        <v>434.80310925202969</v>
      </c>
      <c r="AA641" s="6">
        <f>('TE BE'!$AB$10+'TE BF'!$AB$10+'TE CVA'!$AB$10)*1</f>
        <v>319.954086693367</v>
      </c>
      <c r="AB641" s="6">
        <f>$K$641*$V$641</f>
        <v>0</v>
      </c>
      <c r="AC641" s="6">
        <f>$M$641*$W$641</f>
        <v>3284784.3585600001</v>
      </c>
      <c r="AD641" s="6">
        <f>$O$641*$X$641</f>
        <v>3261125.1754800002</v>
      </c>
      <c r="AE641" s="6">
        <f>$K$641*$Y$641</f>
        <v>0</v>
      </c>
      <c r="AF641" s="6">
        <f ca="1">$M$641*$Z$641</f>
        <v>4396190.7545072706</v>
      </c>
      <c r="AG641" s="6">
        <f>$O$641*$AA$641</f>
        <v>3234979.6214840012</v>
      </c>
    </row>
    <row r="642" spans="1:33" ht="11.25" customHeight="1" x14ac:dyDescent="0.25">
      <c r="A642" s="4" t="s">
        <v>27</v>
      </c>
      <c r="B642" s="4" t="s">
        <v>22</v>
      </c>
      <c r="C642" s="4" t="s">
        <v>23</v>
      </c>
      <c r="D642" s="4" t="s">
        <v>24</v>
      </c>
      <c r="E642" s="4" t="s">
        <v>24</v>
      </c>
      <c r="F642" s="4" t="s">
        <v>25</v>
      </c>
      <c r="G642" s="4" t="s">
        <v>25</v>
      </c>
      <c r="H642" s="4" t="s">
        <v>25</v>
      </c>
      <c r="I642" s="5">
        <v>44682</v>
      </c>
      <c r="J642" s="6">
        <v>0</v>
      </c>
      <c r="K642" s="6">
        <v>0</v>
      </c>
      <c r="L642" s="6">
        <v>0.94299999999999995</v>
      </c>
      <c r="M642" s="6">
        <v>0.94299999999999995</v>
      </c>
      <c r="N642" s="6">
        <v>0.94299999999999995</v>
      </c>
      <c r="O642" s="6">
        <v>0.94299999999999995</v>
      </c>
      <c r="P642" s="6">
        <v>38</v>
      </c>
      <c r="Q642" s="4" t="s">
        <v>26</v>
      </c>
      <c r="R642" s="4">
        <v>0</v>
      </c>
      <c r="S642" s="6">
        <v>0</v>
      </c>
      <c r="T642" s="6">
        <v>16</v>
      </c>
      <c r="U642" s="6">
        <v>53</v>
      </c>
      <c r="V642" s="6">
        <f>IF(ISERROR(VLOOKUP($S$642,'TAR FIN'!$A$1:$O$85,15,0)),0,VLOOKUP($S$642,'TAR FIN'!$A$1:$O$85,15,0))</f>
        <v>0</v>
      </c>
      <c r="W642" s="6">
        <f>IF(ISERROR(VLOOKUP($T$642,'TAR FIN'!$A$1:$O$85,15,0)),0,VLOOKUP($T$642,'TAR FIN'!$A$1:$O$85,15,0))</f>
        <v>324.88</v>
      </c>
      <c r="X642" s="6">
        <f>IF(ISERROR(VLOOKUP($U$642,'TAR FIN'!$A$1:$O$85,15,0)),0,VLOOKUP($U$642,'TAR FIN'!$A$1:$O$85,15,0))</f>
        <v>322.54000000000002</v>
      </c>
      <c r="Y642" s="6"/>
      <c r="Z642" s="6">
        <f ca="1">('TUSD BE'!$AM$20+'TUSD BF'!$AM$20+'TUSD CVA'!$AM$20)*1</f>
        <v>434.80310925202969</v>
      </c>
      <c r="AA642" s="6">
        <f>('TE BE'!$AB$10+'TE BF'!$AB$10+'TE CVA'!$AB$10)*1</f>
        <v>319.954086693367</v>
      </c>
      <c r="AB642" s="6">
        <f>$K$642*$V$642</f>
        <v>0</v>
      </c>
      <c r="AC642" s="6">
        <f>$M$642*$W$642</f>
        <v>306.36183999999997</v>
      </c>
      <c r="AD642" s="6">
        <f>$O$642*$X$642</f>
        <v>304.15521999999999</v>
      </c>
      <c r="AE642" s="6">
        <f>$K$642*$Y$642</f>
        <v>0</v>
      </c>
      <c r="AF642" s="6">
        <f ca="1">$M$642*$Z$642</f>
        <v>410.01933202466398</v>
      </c>
      <c r="AG642" s="6">
        <f>$O$642*$AA$642</f>
        <v>301.71670375184505</v>
      </c>
    </row>
    <row r="643" spans="1:33" ht="11.25" customHeight="1" x14ac:dyDescent="0.25">
      <c r="A643" s="4" t="s">
        <v>28</v>
      </c>
      <c r="B643" s="4" t="s">
        <v>22</v>
      </c>
      <c r="C643" s="4" t="s">
        <v>23</v>
      </c>
      <c r="D643" s="4" t="s">
        <v>24</v>
      </c>
      <c r="E643" s="4" t="s">
        <v>24</v>
      </c>
      <c r="F643" s="4" t="s">
        <v>25</v>
      </c>
      <c r="G643" s="4" t="s">
        <v>25</v>
      </c>
      <c r="H643" s="4" t="s">
        <v>25</v>
      </c>
      <c r="I643" s="5">
        <v>44682</v>
      </c>
      <c r="J643" s="6">
        <v>0</v>
      </c>
      <c r="K643" s="6">
        <v>0</v>
      </c>
      <c r="L643" s="6">
        <v>184.58199999999999</v>
      </c>
      <c r="M643" s="6">
        <v>184.58199999999999</v>
      </c>
      <c r="N643" s="6">
        <v>184.58199999999999</v>
      </c>
      <c r="O643" s="6">
        <v>184.58199999999999</v>
      </c>
      <c r="P643" s="6">
        <v>1463</v>
      </c>
      <c r="Q643" s="4" t="s">
        <v>26</v>
      </c>
      <c r="R643" s="4">
        <v>0</v>
      </c>
      <c r="S643" s="6">
        <v>0</v>
      </c>
      <c r="T643" s="6">
        <v>16</v>
      </c>
      <c r="U643" s="6">
        <v>53</v>
      </c>
      <c r="V643" s="6">
        <f>IF(ISERROR(VLOOKUP($S$643,'TAR FIN'!$A$1:$O$85,15,0)),0,VLOOKUP($S$643,'TAR FIN'!$A$1:$O$85,15,0))</f>
        <v>0</v>
      </c>
      <c r="W643" s="6">
        <f>IF(ISERROR(VLOOKUP($T$643,'TAR FIN'!$A$1:$O$85,15,0)),0,VLOOKUP($T$643,'TAR FIN'!$A$1:$O$85,15,0))</f>
        <v>324.88</v>
      </c>
      <c r="X643" s="6">
        <f>IF(ISERROR(VLOOKUP($U$643,'TAR FIN'!$A$1:$O$85,15,0)),0,VLOOKUP($U$643,'TAR FIN'!$A$1:$O$85,15,0))</f>
        <v>322.54000000000002</v>
      </c>
      <c r="Y643" s="6"/>
      <c r="Z643" s="6">
        <f ca="1">('TUSD BE'!$AM$20+'TUSD BF'!$AM$20+'TUSD CVA'!$AM$20)*1</f>
        <v>434.80310925202969</v>
      </c>
      <c r="AA643" s="6">
        <f>('TE BE'!$AB$10+'TE BF'!$AB$10+'TE CVA'!$AB$10)*1</f>
        <v>319.954086693367</v>
      </c>
      <c r="AB643" s="6">
        <f>$K$643*$V$643</f>
        <v>0</v>
      </c>
      <c r="AC643" s="6">
        <f>$M$643*$W$643</f>
        <v>59967.000159999996</v>
      </c>
      <c r="AD643" s="6">
        <f>$O$643*$X$643</f>
        <v>59535.078280000002</v>
      </c>
      <c r="AE643" s="6">
        <f>$K$643*$Y$643</f>
        <v>0</v>
      </c>
      <c r="AF643" s="6">
        <f ca="1">$M$643*$Z$643</f>
        <v>80256.827511958138</v>
      </c>
      <c r="AG643" s="6">
        <f>$O$643*$AA$643</f>
        <v>59057.765230035067</v>
      </c>
    </row>
    <row r="644" spans="1:33" ht="11.25" customHeight="1" x14ac:dyDescent="0.25">
      <c r="A644" s="4" t="s">
        <v>28</v>
      </c>
      <c r="B644" s="4" t="s">
        <v>22</v>
      </c>
      <c r="C644" s="4" t="s">
        <v>23</v>
      </c>
      <c r="D644" s="4" t="s">
        <v>24</v>
      </c>
      <c r="E644" s="4" t="s">
        <v>24</v>
      </c>
      <c r="F644" s="4" t="s">
        <v>25</v>
      </c>
      <c r="G644" s="4" t="s">
        <v>25</v>
      </c>
      <c r="H644" s="4" t="s">
        <v>25</v>
      </c>
      <c r="I644" s="5">
        <v>44682</v>
      </c>
      <c r="J644" s="6">
        <v>0</v>
      </c>
      <c r="K644" s="6">
        <v>0</v>
      </c>
      <c r="L644" s="6">
        <v>0.30499999999999999</v>
      </c>
      <c r="M644" s="6">
        <v>0.30499999999999999</v>
      </c>
      <c r="N644" s="6">
        <v>0.30499999999999999</v>
      </c>
      <c r="O644" s="6">
        <v>0.30499999999999999</v>
      </c>
      <c r="P644" s="6">
        <v>1</v>
      </c>
      <c r="Q644" s="4" t="s">
        <v>26</v>
      </c>
      <c r="R644" s="4">
        <v>0</v>
      </c>
      <c r="S644" s="6">
        <v>0</v>
      </c>
      <c r="T644" s="6">
        <v>16</v>
      </c>
      <c r="U644" s="6">
        <v>53</v>
      </c>
      <c r="V644" s="6">
        <f>IF(ISERROR(VLOOKUP($S$644,'TAR FIN'!$A$1:$O$85,15,0)),0,VLOOKUP($S$644,'TAR FIN'!$A$1:$O$85,15,0))</f>
        <v>0</v>
      </c>
      <c r="W644" s="6">
        <f>IF(ISERROR(VLOOKUP($T$644,'TAR FIN'!$A$1:$O$85,15,0)),0,VLOOKUP($T$644,'TAR FIN'!$A$1:$O$85,15,0))</f>
        <v>324.88</v>
      </c>
      <c r="X644" s="6">
        <f>IF(ISERROR(VLOOKUP($U$644,'TAR FIN'!$A$1:$O$85,15,0)),0,VLOOKUP($U$644,'TAR FIN'!$A$1:$O$85,15,0))</f>
        <v>322.54000000000002</v>
      </c>
      <c r="Y644" s="6"/>
      <c r="Z644" s="6">
        <f ca="1">('TUSD BE'!$AM$20+'TUSD BF'!$AM$20+'TUSD CVA'!$AM$20)*1</f>
        <v>434.80310925202969</v>
      </c>
      <c r="AA644" s="6">
        <f>('TE BE'!$AB$10+'TE BF'!$AB$10+'TE CVA'!$AB$10)*1</f>
        <v>319.954086693367</v>
      </c>
      <c r="AB644" s="6">
        <f>$K$644*$V$644</f>
        <v>0</v>
      </c>
      <c r="AC644" s="6">
        <f>$M$644*$W$644</f>
        <v>99.088399999999993</v>
      </c>
      <c r="AD644" s="6">
        <f>$O$644*$X$644</f>
        <v>98.374700000000004</v>
      </c>
      <c r="AE644" s="6">
        <f>$K$644*$Y$644</f>
        <v>0</v>
      </c>
      <c r="AF644" s="6">
        <f ca="1">$M$644*$Z$644</f>
        <v>132.61494832186906</v>
      </c>
      <c r="AG644" s="6">
        <f>$O$644*$AA$644</f>
        <v>97.585996441476937</v>
      </c>
    </row>
    <row r="645" spans="1:33" ht="11.25" customHeight="1" x14ac:dyDescent="0.25">
      <c r="A645" s="4" t="s">
        <v>21</v>
      </c>
      <c r="B645" s="4" t="s">
        <v>22</v>
      </c>
      <c r="C645" s="4" t="s">
        <v>23</v>
      </c>
      <c r="D645" s="4" t="s">
        <v>24</v>
      </c>
      <c r="E645" s="4" t="s">
        <v>24</v>
      </c>
      <c r="F645" s="4" t="s">
        <v>25</v>
      </c>
      <c r="G645" s="4" t="s">
        <v>25</v>
      </c>
      <c r="H645" s="4" t="s">
        <v>25</v>
      </c>
      <c r="I645" s="5">
        <v>44713</v>
      </c>
      <c r="J645" s="6">
        <v>0</v>
      </c>
      <c r="K645" s="6">
        <v>0</v>
      </c>
      <c r="L645" s="6">
        <v>8718.4410000000007</v>
      </c>
      <c r="M645" s="6">
        <v>8718.4410000000007</v>
      </c>
      <c r="N645" s="6">
        <v>8718.4410000000007</v>
      </c>
      <c r="O645" s="6">
        <v>8718.4410000000007</v>
      </c>
      <c r="P645" s="6">
        <v>58861</v>
      </c>
      <c r="Q645" s="4" t="s">
        <v>26</v>
      </c>
      <c r="R645" s="4">
        <v>0</v>
      </c>
      <c r="S645" s="6">
        <v>0</v>
      </c>
      <c r="T645" s="6">
        <v>16</v>
      </c>
      <c r="U645" s="6">
        <v>53</v>
      </c>
      <c r="V645" s="6">
        <f>IF(ISERROR(VLOOKUP($S$645,'TAR FIN'!$A$1:$O$85,15,0)),0,VLOOKUP($S$645,'TAR FIN'!$A$1:$O$85,15,0))</f>
        <v>0</v>
      </c>
      <c r="W645" s="6">
        <f>IF(ISERROR(VLOOKUP($T$645,'TAR FIN'!$A$1:$O$85,15,0)),0,VLOOKUP($T$645,'TAR FIN'!$A$1:$O$85,15,0))</f>
        <v>324.88</v>
      </c>
      <c r="X645" s="6">
        <f>IF(ISERROR(VLOOKUP($U$645,'TAR FIN'!$A$1:$O$85,15,0)),0,VLOOKUP($U$645,'TAR FIN'!$A$1:$O$85,15,0))</f>
        <v>322.54000000000002</v>
      </c>
      <c r="Y645" s="6"/>
      <c r="Z645" s="6">
        <f ca="1">('TUSD BE'!$AM$20+'TUSD BF'!$AM$20+'TUSD CVA'!$AM$20)*1</f>
        <v>434.80310925202969</v>
      </c>
      <c r="AA645" s="6">
        <f>('TE BE'!$AB$10+'TE BF'!$AB$10+'TE CVA'!$AB$10)*1</f>
        <v>319.954086693367</v>
      </c>
      <c r="AB645" s="6">
        <f>$K$645*$V$645</f>
        <v>0</v>
      </c>
      <c r="AC645" s="6">
        <f>$M$645*$W$645</f>
        <v>2832447.1120800003</v>
      </c>
      <c r="AD645" s="6">
        <f>$O$645*$X$645</f>
        <v>2812045.9601400006</v>
      </c>
      <c r="AE645" s="6">
        <f>$K$645*$Y$645</f>
        <v>0</v>
      </c>
      <c r="AF645" s="6">
        <f ca="1">$M$645*$Z$645</f>
        <v>3790805.2546303752</v>
      </c>
      <c r="AG645" s="6">
        <f>$O$645*$AA$645</f>
        <v>2789500.8275450054</v>
      </c>
    </row>
    <row r="646" spans="1:33" ht="11.25" customHeight="1" x14ac:dyDescent="0.25">
      <c r="A646" s="4" t="s">
        <v>27</v>
      </c>
      <c r="B646" s="4" t="s">
        <v>22</v>
      </c>
      <c r="C646" s="4" t="s">
        <v>23</v>
      </c>
      <c r="D646" s="4" t="s">
        <v>24</v>
      </c>
      <c r="E646" s="4" t="s">
        <v>24</v>
      </c>
      <c r="F646" s="4" t="s">
        <v>25</v>
      </c>
      <c r="G646" s="4" t="s">
        <v>25</v>
      </c>
      <c r="H646" s="4" t="s">
        <v>25</v>
      </c>
      <c r="I646" s="5">
        <v>44713</v>
      </c>
      <c r="J646" s="6">
        <v>0</v>
      </c>
      <c r="K646" s="6">
        <v>0</v>
      </c>
      <c r="L646" s="6">
        <v>0.59799999999999998</v>
      </c>
      <c r="M646" s="6">
        <v>0.59799999999999998</v>
      </c>
      <c r="N646" s="6">
        <v>0.59799999999999998</v>
      </c>
      <c r="O646" s="6">
        <v>0.59799999999999998</v>
      </c>
      <c r="P646" s="6">
        <v>27</v>
      </c>
      <c r="Q646" s="4" t="s">
        <v>26</v>
      </c>
      <c r="R646" s="4">
        <v>0</v>
      </c>
      <c r="S646" s="6">
        <v>0</v>
      </c>
      <c r="T646" s="6">
        <v>16</v>
      </c>
      <c r="U646" s="6">
        <v>53</v>
      </c>
      <c r="V646" s="6">
        <f>IF(ISERROR(VLOOKUP($S$646,'TAR FIN'!$A$1:$O$85,15,0)),0,VLOOKUP($S$646,'TAR FIN'!$A$1:$O$85,15,0))</f>
        <v>0</v>
      </c>
      <c r="W646" s="6">
        <f>IF(ISERROR(VLOOKUP($T$646,'TAR FIN'!$A$1:$O$85,15,0)),0,VLOOKUP($T$646,'TAR FIN'!$A$1:$O$85,15,0))</f>
        <v>324.88</v>
      </c>
      <c r="X646" s="6">
        <f>IF(ISERROR(VLOOKUP($U$646,'TAR FIN'!$A$1:$O$85,15,0)),0,VLOOKUP($U$646,'TAR FIN'!$A$1:$O$85,15,0))</f>
        <v>322.54000000000002</v>
      </c>
      <c r="Y646" s="6"/>
      <c r="Z646" s="6">
        <f ca="1">('TUSD BE'!$AM$20+'TUSD BF'!$AM$20+'TUSD CVA'!$AM$20)*1</f>
        <v>434.80310925202969</v>
      </c>
      <c r="AA646" s="6">
        <f>('TE BE'!$AB$10+'TE BF'!$AB$10+'TE CVA'!$AB$10)*1</f>
        <v>319.954086693367</v>
      </c>
      <c r="AB646" s="6">
        <f>$K$646*$V$646</f>
        <v>0</v>
      </c>
      <c r="AC646" s="6">
        <f>$M$646*$W$646</f>
        <v>194.27823999999998</v>
      </c>
      <c r="AD646" s="6">
        <f>$O$646*$X$646</f>
        <v>192.87891999999999</v>
      </c>
      <c r="AE646" s="6">
        <f>$K$646*$Y$646</f>
        <v>0</v>
      </c>
      <c r="AF646" s="6">
        <f ca="1">$M$646*$Z$646</f>
        <v>260.01225933271377</v>
      </c>
      <c r="AG646" s="6">
        <f>$O$646*$AA$646</f>
        <v>191.33254384263347</v>
      </c>
    </row>
    <row r="647" spans="1:33" ht="11.25" customHeight="1" x14ac:dyDescent="0.25">
      <c r="A647" s="4" t="s">
        <v>28</v>
      </c>
      <c r="B647" s="4" t="s">
        <v>22</v>
      </c>
      <c r="C647" s="4" t="s">
        <v>23</v>
      </c>
      <c r="D647" s="4" t="s">
        <v>24</v>
      </c>
      <c r="E647" s="4" t="s">
        <v>24</v>
      </c>
      <c r="F647" s="4" t="s">
        <v>25</v>
      </c>
      <c r="G647" s="4" t="s">
        <v>25</v>
      </c>
      <c r="H647" s="4" t="s">
        <v>25</v>
      </c>
      <c r="I647" s="5">
        <v>44713</v>
      </c>
      <c r="J647" s="6">
        <v>0</v>
      </c>
      <c r="K647" s="6">
        <v>0</v>
      </c>
      <c r="L647" s="6">
        <v>185.44499999999999</v>
      </c>
      <c r="M647" s="6">
        <v>185.44499999999999</v>
      </c>
      <c r="N647" s="6">
        <v>185.44499999999999</v>
      </c>
      <c r="O647" s="6">
        <v>185.44499999999999</v>
      </c>
      <c r="P647" s="6">
        <v>1625</v>
      </c>
      <c r="Q647" s="4" t="s">
        <v>26</v>
      </c>
      <c r="R647" s="4">
        <v>0</v>
      </c>
      <c r="S647" s="6">
        <v>0</v>
      </c>
      <c r="T647" s="6">
        <v>16</v>
      </c>
      <c r="U647" s="6">
        <v>53</v>
      </c>
      <c r="V647" s="6">
        <f>IF(ISERROR(VLOOKUP($S$647,'TAR FIN'!$A$1:$O$85,15,0)),0,VLOOKUP($S$647,'TAR FIN'!$A$1:$O$85,15,0))</f>
        <v>0</v>
      </c>
      <c r="W647" s="6">
        <f>IF(ISERROR(VLOOKUP($T$647,'TAR FIN'!$A$1:$O$85,15,0)),0,VLOOKUP($T$647,'TAR FIN'!$A$1:$O$85,15,0))</f>
        <v>324.88</v>
      </c>
      <c r="X647" s="6">
        <f>IF(ISERROR(VLOOKUP($U$647,'TAR FIN'!$A$1:$O$85,15,0)),0,VLOOKUP($U$647,'TAR FIN'!$A$1:$O$85,15,0))</f>
        <v>322.54000000000002</v>
      </c>
      <c r="Y647" s="6"/>
      <c r="Z647" s="6">
        <f ca="1">('TUSD BE'!$AM$20+'TUSD BF'!$AM$20+'TUSD CVA'!$AM$20)*1</f>
        <v>434.80310925202969</v>
      </c>
      <c r="AA647" s="6">
        <f>('TE BE'!$AB$10+'TE BF'!$AB$10+'TE CVA'!$AB$10)*1</f>
        <v>319.954086693367</v>
      </c>
      <c r="AB647" s="6">
        <f>$K$647*$V$647</f>
        <v>0</v>
      </c>
      <c r="AC647" s="6">
        <f>$M$647*$W$647</f>
        <v>60247.371599999999</v>
      </c>
      <c r="AD647" s="6">
        <f>$O$647*$X$647</f>
        <v>59813.4303</v>
      </c>
      <c r="AE647" s="6">
        <f>$K$647*$Y$647</f>
        <v>0</v>
      </c>
      <c r="AF647" s="6">
        <f ca="1">$M$647*$Z$647</f>
        <v>80632.062595242649</v>
      </c>
      <c r="AG647" s="6">
        <f>$O$647*$AA$647</f>
        <v>59333.885606851443</v>
      </c>
    </row>
    <row r="648" spans="1:33" ht="11.25" customHeight="1" x14ac:dyDescent="0.25">
      <c r="A648" s="4" t="s">
        <v>28</v>
      </c>
      <c r="B648" s="4" t="s">
        <v>22</v>
      </c>
      <c r="C648" s="4" t="s">
        <v>23</v>
      </c>
      <c r="D648" s="4" t="s">
        <v>24</v>
      </c>
      <c r="E648" s="4" t="s">
        <v>24</v>
      </c>
      <c r="F648" s="4" t="s">
        <v>25</v>
      </c>
      <c r="G648" s="4" t="s">
        <v>25</v>
      </c>
      <c r="H648" s="4" t="s">
        <v>25</v>
      </c>
      <c r="I648" s="5">
        <v>44713</v>
      </c>
      <c r="J648" s="6">
        <v>0</v>
      </c>
      <c r="K648" s="6">
        <v>0</v>
      </c>
      <c r="L648" s="6">
        <v>0.183</v>
      </c>
      <c r="M648" s="6">
        <v>0.183</v>
      </c>
      <c r="N648" s="6">
        <v>0.183</v>
      </c>
      <c r="O648" s="6">
        <v>0.183</v>
      </c>
      <c r="P648" s="6">
        <v>2</v>
      </c>
      <c r="Q648" s="4" t="s">
        <v>26</v>
      </c>
      <c r="R648" s="4">
        <v>0</v>
      </c>
      <c r="S648" s="6">
        <v>0</v>
      </c>
      <c r="T648" s="6">
        <v>16</v>
      </c>
      <c r="U648" s="6">
        <v>53</v>
      </c>
      <c r="V648" s="6">
        <f>IF(ISERROR(VLOOKUP($S$648,'TAR FIN'!$A$1:$O$85,15,0)),0,VLOOKUP($S$648,'TAR FIN'!$A$1:$O$85,15,0))</f>
        <v>0</v>
      </c>
      <c r="W648" s="6">
        <f>IF(ISERROR(VLOOKUP($T$648,'TAR FIN'!$A$1:$O$85,15,0)),0,VLOOKUP($T$648,'TAR FIN'!$A$1:$O$85,15,0))</f>
        <v>324.88</v>
      </c>
      <c r="X648" s="6">
        <f>IF(ISERROR(VLOOKUP($U$648,'TAR FIN'!$A$1:$O$85,15,0)),0,VLOOKUP($U$648,'TAR FIN'!$A$1:$O$85,15,0))</f>
        <v>322.54000000000002</v>
      </c>
      <c r="Y648" s="6"/>
      <c r="Z648" s="6">
        <f ca="1">('TUSD BE'!$AM$20+'TUSD BF'!$AM$20+'TUSD CVA'!$AM$20)*1</f>
        <v>434.80310925202969</v>
      </c>
      <c r="AA648" s="6">
        <f>('TE BE'!$AB$10+'TE BF'!$AB$10+'TE CVA'!$AB$10)*1</f>
        <v>319.954086693367</v>
      </c>
      <c r="AB648" s="6">
        <f>$K$648*$V$648</f>
        <v>0</v>
      </c>
      <c r="AC648" s="6">
        <f>$M$648*$W$648</f>
        <v>59.453039999999994</v>
      </c>
      <c r="AD648" s="6">
        <f>$O$648*$X$648</f>
        <v>59.024820000000005</v>
      </c>
      <c r="AE648" s="6">
        <f>$K$648*$Y$648</f>
        <v>0</v>
      </c>
      <c r="AF648" s="6">
        <f ca="1">$M$648*$Z$648</f>
        <v>79.56896899312143</v>
      </c>
      <c r="AG648" s="6">
        <f>$O$648*$AA$648</f>
        <v>58.551597864886162</v>
      </c>
    </row>
    <row r="649" spans="1:33" ht="11.25" customHeight="1" x14ac:dyDescent="0.25">
      <c r="A649" s="4" t="s">
        <v>21</v>
      </c>
      <c r="B649" s="4" t="s">
        <v>22</v>
      </c>
      <c r="C649" s="4" t="s">
        <v>23</v>
      </c>
      <c r="D649" s="4" t="s">
        <v>24</v>
      </c>
      <c r="E649" s="4" t="s">
        <v>24</v>
      </c>
      <c r="F649" s="4" t="s">
        <v>25</v>
      </c>
      <c r="G649" s="4" t="s">
        <v>25</v>
      </c>
      <c r="H649" s="4" t="s">
        <v>25</v>
      </c>
      <c r="I649" s="5">
        <v>44743</v>
      </c>
      <c r="J649" s="6">
        <v>0</v>
      </c>
      <c r="K649" s="6">
        <v>0</v>
      </c>
      <c r="L649" s="6">
        <v>8307.1640000000007</v>
      </c>
      <c r="M649" s="6">
        <v>8307.1640000000007</v>
      </c>
      <c r="N649" s="6">
        <v>8307.1640000000007</v>
      </c>
      <c r="O649" s="6">
        <v>8307.1640000000007</v>
      </c>
      <c r="P649" s="6">
        <v>60940</v>
      </c>
      <c r="Q649" s="4" t="s">
        <v>26</v>
      </c>
      <c r="R649" s="4">
        <v>0</v>
      </c>
      <c r="S649" s="6">
        <v>0</v>
      </c>
      <c r="T649" s="6">
        <v>16</v>
      </c>
      <c r="U649" s="6">
        <v>53</v>
      </c>
      <c r="V649" s="6">
        <f>IF(ISERROR(VLOOKUP($S$649,'TAR FIN'!$A$1:$O$85,15,0)),0,VLOOKUP($S$649,'TAR FIN'!$A$1:$O$85,15,0))</f>
        <v>0</v>
      </c>
      <c r="W649" s="6">
        <f>IF(ISERROR(VLOOKUP($T$649,'TAR FIN'!$A$1:$O$85,15,0)),0,VLOOKUP($T$649,'TAR FIN'!$A$1:$O$85,15,0))</f>
        <v>324.88</v>
      </c>
      <c r="X649" s="6">
        <f>IF(ISERROR(VLOOKUP($U$649,'TAR FIN'!$A$1:$O$85,15,0)),0,VLOOKUP($U$649,'TAR FIN'!$A$1:$O$85,15,0))</f>
        <v>322.54000000000002</v>
      </c>
      <c r="Y649" s="6"/>
      <c r="Z649" s="6">
        <f ca="1">('TUSD BE'!$AM$20+'TUSD BF'!$AM$20+'TUSD CVA'!$AM$20)*1</f>
        <v>434.80310925202969</v>
      </c>
      <c r="AA649" s="6">
        <f>('TE BE'!$AB$10+'TE BF'!$AB$10+'TE CVA'!$AB$10)*1</f>
        <v>319.954086693367</v>
      </c>
      <c r="AB649" s="6">
        <f>$K$649*$V$649</f>
        <v>0</v>
      </c>
      <c r="AC649" s="6">
        <f>$M$649*$W$649</f>
        <v>2698831.4403200001</v>
      </c>
      <c r="AD649" s="6">
        <f>$O$649*$X$649</f>
        <v>2679392.6765600005</v>
      </c>
      <c r="AE649" s="6">
        <f>$K$649*$Y$649</f>
        <v>0</v>
      </c>
      <c r="AF649" s="6">
        <f ca="1">$M$649*$Z$649</f>
        <v>3611980.7362665283</v>
      </c>
      <c r="AG649" s="6">
        <f>$O$649*$AA$649</f>
        <v>2657911.0706320177</v>
      </c>
    </row>
    <row r="650" spans="1:33" ht="11.25" customHeight="1" x14ac:dyDescent="0.25">
      <c r="A650" s="4" t="s">
        <v>27</v>
      </c>
      <c r="B650" s="4" t="s">
        <v>22</v>
      </c>
      <c r="C650" s="4" t="s">
        <v>23</v>
      </c>
      <c r="D650" s="4" t="s">
        <v>24</v>
      </c>
      <c r="E650" s="4" t="s">
        <v>24</v>
      </c>
      <c r="F650" s="4" t="s">
        <v>25</v>
      </c>
      <c r="G650" s="4" t="s">
        <v>25</v>
      </c>
      <c r="H650" s="4" t="s">
        <v>25</v>
      </c>
      <c r="I650" s="5">
        <v>44743</v>
      </c>
      <c r="J650" s="6">
        <v>0</v>
      </c>
      <c r="K650" s="6">
        <v>0</v>
      </c>
      <c r="L650" s="6">
        <v>2.2999999999999998</v>
      </c>
      <c r="M650" s="6">
        <v>2.2999999999999998</v>
      </c>
      <c r="N650" s="6">
        <v>2.2999999999999998</v>
      </c>
      <c r="O650" s="6">
        <v>2.2999999999999998</v>
      </c>
      <c r="P650" s="6">
        <v>44</v>
      </c>
      <c r="Q650" s="4" t="s">
        <v>26</v>
      </c>
      <c r="R650" s="4">
        <v>0</v>
      </c>
      <c r="S650" s="6">
        <v>0</v>
      </c>
      <c r="T650" s="6">
        <v>16</v>
      </c>
      <c r="U650" s="6">
        <v>53</v>
      </c>
      <c r="V650" s="6">
        <f>IF(ISERROR(VLOOKUP($S$650,'TAR FIN'!$A$1:$O$85,15,0)),0,VLOOKUP($S$650,'TAR FIN'!$A$1:$O$85,15,0))</f>
        <v>0</v>
      </c>
      <c r="W650" s="6">
        <f>IF(ISERROR(VLOOKUP($T$650,'TAR FIN'!$A$1:$O$85,15,0)),0,VLOOKUP($T$650,'TAR FIN'!$A$1:$O$85,15,0))</f>
        <v>324.88</v>
      </c>
      <c r="X650" s="6">
        <f>IF(ISERROR(VLOOKUP($U$650,'TAR FIN'!$A$1:$O$85,15,0)),0,VLOOKUP($U$650,'TAR FIN'!$A$1:$O$85,15,0))</f>
        <v>322.54000000000002</v>
      </c>
      <c r="Y650" s="6"/>
      <c r="Z650" s="6">
        <f ca="1">('TUSD BE'!$AM$20+'TUSD BF'!$AM$20+'TUSD CVA'!$AM$20)*1</f>
        <v>434.80310925202969</v>
      </c>
      <c r="AA650" s="6">
        <f>('TE BE'!$AB$10+'TE BF'!$AB$10+'TE CVA'!$AB$10)*1</f>
        <v>319.954086693367</v>
      </c>
      <c r="AB650" s="6">
        <f>$K$650*$V$650</f>
        <v>0</v>
      </c>
      <c r="AC650" s="6">
        <f>$M$650*$W$650</f>
        <v>747.22399999999993</v>
      </c>
      <c r="AD650" s="6">
        <f>$O$650*$X$650</f>
        <v>741.84199999999998</v>
      </c>
      <c r="AE650" s="6">
        <f>$K$650*$Y$650</f>
        <v>0</v>
      </c>
      <c r="AF650" s="6">
        <f ca="1">$M$650*$Z$650</f>
        <v>1000.0471512796682</v>
      </c>
      <c r="AG650" s="6">
        <f>$O$650*$AA$650</f>
        <v>735.89439939474403</v>
      </c>
    </row>
    <row r="651" spans="1:33" ht="11.25" customHeight="1" x14ac:dyDescent="0.25">
      <c r="A651" s="4" t="s">
        <v>28</v>
      </c>
      <c r="B651" s="4" t="s">
        <v>22</v>
      </c>
      <c r="C651" s="4" t="s">
        <v>23</v>
      </c>
      <c r="D651" s="4" t="s">
        <v>24</v>
      </c>
      <c r="E651" s="4" t="s">
        <v>24</v>
      </c>
      <c r="F651" s="4" t="s">
        <v>25</v>
      </c>
      <c r="G651" s="4" t="s">
        <v>25</v>
      </c>
      <c r="H651" s="4" t="s">
        <v>25</v>
      </c>
      <c r="I651" s="5">
        <v>44743</v>
      </c>
      <c r="J651" s="6">
        <v>0</v>
      </c>
      <c r="K651" s="6">
        <v>0</v>
      </c>
      <c r="L651" s="6">
        <v>187.185</v>
      </c>
      <c r="M651" s="6">
        <v>187.185</v>
      </c>
      <c r="N651" s="6">
        <v>187.185</v>
      </c>
      <c r="O651" s="6">
        <v>187.185</v>
      </c>
      <c r="P651" s="6">
        <v>1729</v>
      </c>
      <c r="Q651" s="4" t="s">
        <v>26</v>
      </c>
      <c r="R651" s="4">
        <v>0</v>
      </c>
      <c r="S651" s="6">
        <v>0</v>
      </c>
      <c r="T651" s="6">
        <v>16</v>
      </c>
      <c r="U651" s="6">
        <v>53</v>
      </c>
      <c r="V651" s="6">
        <f>IF(ISERROR(VLOOKUP($S$651,'TAR FIN'!$A$1:$O$85,15,0)),0,VLOOKUP($S$651,'TAR FIN'!$A$1:$O$85,15,0))</f>
        <v>0</v>
      </c>
      <c r="W651" s="6">
        <f>IF(ISERROR(VLOOKUP($T$651,'TAR FIN'!$A$1:$O$85,15,0)),0,VLOOKUP($T$651,'TAR FIN'!$A$1:$O$85,15,0))</f>
        <v>324.88</v>
      </c>
      <c r="X651" s="6">
        <f>IF(ISERROR(VLOOKUP($U$651,'TAR FIN'!$A$1:$O$85,15,0)),0,VLOOKUP($U$651,'TAR FIN'!$A$1:$O$85,15,0))</f>
        <v>322.54000000000002</v>
      </c>
      <c r="Y651" s="6"/>
      <c r="Z651" s="6">
        <f ca="1">('TUSD BE'!$AM$20+'TUSD BF'!$AM$20+'TUSD CVA'!$AM$20)*1</f>
        <v>434.80310925202969</v>
      </c>
      <c r="AA651" s="6">
        <f>('TE BE'!$AB$10+'TE BF'!$AB$10+'TE CVA'!$AB$10)*1</f>
        <v>319.954086693367</v>
      </c>
      <c r="AB651" s="6">
        <f>$K$651*$V$651</f>
        <v>0</v>
      </c>
      <c r="AC651" s="6">
        <f>$M$651*$W$651</f>
        <v>60812.662799999998</v>
      </c>
      <c r="AD651" s="6">
        <f>$O$651*$X$651</f>
        <v>60374.649900000004</v>
      </c>
      <c r="AE651" s="6">
        <f>$K$651*$Y$651</f>
        <v>0</v>
      </c>
      <c r="AF651" s="6">
        <f ca="1">$M$651*$Z$651</f>
        <v>81388.620005341174</v>
      </c>
      <c r="AG651" s="6">
        <f>$O$651*$AA$651</f>
        <v>59890.605717697901</v>
      </c>
    </row>
    <row r="652" spans="1:33" ht="11.25" customHeight="1" x14ac:dyDescent="0.25">
      <c r="A652" s="4" t="s">
        <v>28</v>
      </c>
      <c r="B652" s="4" t="s">
        <v>22</v>
      </c>
      <c r="C652" s="4" t="s">
        <v>23</v>
      </c>
      <c r="D652" s="4" t="s">
        <v>24</v>
      </c>
      <c r="E652" s="4" t="s">
        <v>24</v>
      </c>
      <c r="F652" s="4" t="s">
        <v>25</v>
      </c>
      <c r="G652" s="4" t="s">
        <v>25</v>
      </c>
      <c r="H652" s="4" t="s">
        <v>25</v>
      </c>
      <c r="I652" s="5">
        <v>44743</v>
      </c>
      <c r="J652" s="6">
        <v>0</v>
      </c>
      <c r="K652" s="6">
        <v>0</v>
      </c>
      <c r="L652" s="6">
        <v>0.48199999999999998</v>
      </c>
      <c r="M652" s="6">
        <v>0.48199999999999998</v>
      </c>
      <c r="N652" s="6">
        <v>0.48199999999999998</v>
      </c>
      <c r="O652" s="6">
        <v>0.48199999999999998</v>
      </c>
      <c r="P652" s="6">
        <v>0</v>
      </c>
      <c r="Q652" s="4" t="s">
        <v>26</v>
      </c>
      <c r="R652" s="4">
        <v>0</v>
      </c>
      <c r="S652" s="6">
        <v>0</v>
      </c>
      <c r="T652" s="6">
        <v>16</v>
      </c>
      <c r="U652" s="6">
        <v>53</v>
      </c>
      <c r="V652" s="6">
        <f>IF(ISERROR(VLOOKUP($S$652,'TAR FIN'!$A$1:$O$85,15,0)),0,VLOOKUP($S$652,'TAR FIN'!$A$1:$O$85,15,0))</f>
        <v>0</v>
      </c>
      <c r="W652" s="6">
        <f>IF(ISERROR(VLOOKUP($T$652,'TAR FIN'!$A$1:$O$85,15,0)),0,VLOOKUP($T$652,'TAR FIN'!$A$1:$O$85,15,0))</f>
        <v>324.88</v>
      </c>
      <c r="X652" s="6">
        <f>IF(ISERROR(VLOOKUP($U$652,'TAR FIN'!$A$1:$O$85,15,0)),0,VLOOKUP($U$652,'TAR FIN'!$A$1:$O$85,15,0))</f>
        <v>322.54000000000002</v>
      </c>
      <c r="Y652" s="6"/>
      <c r="Z652" s="6">
        <f ca="1">('TUSD BE'!$AM$20+'TUSD BF'!$AM$20+'TUSD CVA'!$AM$20)*1</f>
        <v>434.80310925202969</v>
      </c>
      <c r="AA652" s="6">
        <f>('TE BE'!$AB$10+'TE BF'!$AB$10+'TE CVA'!$AB$10)*1</f>
        <v>319.954086693367</v>
      </c>
      <c r="AB652" s="6">
        <f>$K$652*$V$652</f>
        <v>0</v>
      </c>
      <c r="AC652" s="6">
        <f>$M$652*$W$652</f>
        <v>156.59215999999998</v>
      </c>
      <c r="AD652" s="6">
        <f>$O$652*$X$652</f>
        <v>155.46428</v>
      </c>
      <c r="AE652" s="6">
        <f>$K$652*$Y$652</f>
        <v>0</v>
      </c>
      <c r="AF652" s="6">
        <f ca="1">$M$652*$Z$652</f>
        <v>209.5750986594783</v>
      </c>
      <c r="AG652" s="6">
        <f>$O$652*$AA$652</f>
        <v>154.2178697862029</v>
      </c>
    </row>
    <row r="653" spans="1:33" ht="11.25" customHeight="1" x14ac:dyDescent="0.25">
      <c r="A653" s="4" t="s">
        <v>56</v>
      </c>
      <c r="B653" s="4" t="s">
        <v>22</v>
      </c>
      <c r="C653" s="4" t="s">
        <v>23</v>
      </c>
      <c r="D653" s="4" t="s">
        <v>24</v>
      </c>
      <c r="E653" s="4" t="s">
        <v>24</v>
      </c>
      <c r="F653" s="4" t="s">
        <v>25</v>
      </c>
      <c r="G653" s="4" t="s">
        <v>25</v>
      </c>
      <c r="H653" s="4" t="s">
        <v>25</v>
      </c>
      <c r="I653" s="5">
        <v>44774</v>
      </c>
      <c r="J653" s="6">
        <v>0</v>
      </c>
      <c r="K653" s="6">
        <v>0</v>
      </c>
      <c r="L653" s="6">
        <v>8307.1640000000007</v>
      </c>
      <c r="M653" s="6">
        <v>8307.1640000000007</v>
      </c>
      <c r="N653" s="6">
        <v>8307.1640000000007</v>
      </c>
      <c r="O653" s="6">
        <v>8307.1640000000007</v>
      </c>
      <c r="P653" s="6">
        <v>60940</v>
      </c>
      <c r="Q653" s="4" t="s">
        <v>26</v>
      </c>
      <c r="R653" s="4">
        <v>0</v>
      </c>
      <c r="S653" s="6">
        <v>0</v>
      </c>
      <c r="T653" s="6">
        <v>16</v>
      </c>
      <c r="U653" s="6">
        <v>53</v>
      </c>
      <c r="V653" s="6">
        <f>IF(ISERROR(VLOOKUP($S$653,'TAR FIN'!$A$1:$O$85,15,0)),0,VLOOKUP($S$653,'TAR FIN'!$A$1:$O$85,15,0))</f>
        <v>0</v>
      </c>
      <c r="W653" s="6">
        <f>IF(ISERROR(VLOOKUP($T$653,'TAR FIN'!$A$1:$O$85,15,0)),0,VLOOKUP($T$653,'TAR FIN'!$A$1:$O$85,15,0))</f>
        <v>324.88</v>
      </c>
      <c r="X653" s="6">
        <f>IF(ISERROR(VLOOKUP($U$653,'TAR FIN'!$A$1:$O$85,15,0)),0,VLOOKUP($U$653,'TAR FIN'!$A$1:$O$85,15,0))</f>
        <v>322.54000000000002</v>
      </c>
      <c r="Y653" s="6"/>
      <c r="Z653" s="6">
        <f ca="1">('TUSD BE'!$AM$20+'TUSD BF'!$AM$20+'TUSD CVA'!$AM$20)*1</f>
        <v>434.80310925202969</v>
      </c>
      <c r="AA653" s="6">
        <f>('TE BE'!$AB$10+'TE BF'!$AB$10+'TE CVA'!$AB$10)*1</f>
        <v>319.954086693367</v>
      </c>
      <c r="AB653" s="6">
        <f>$K$653*$V$653</f>
        <v>0</v>
      </c>
      <c r="AC653" s="6">
        <f>$M$653*$W$653</f>
        <v>2698831.4403200001</v>
      </c>
      <c r="AD653" s="6">
        <f>$O$653*$X$653</f>
        <v>2679392.6765600005</v>
      </c>
      <c r="AE653" s="6">
        <f>$K$653*$Y$653</f>
        <v>0</v>
      </c>
      <c r="AF653" s="6">
        <f ca="1">$M$653*$Z$653</f>
        <v>3611980.7362665283</v>
      </c>
      <c r="AG653" s="6">
        <f>$O$653*$AA$653</f>
        <v>2657911.0706320177</v>
      </c>
    </row>
    <row r="654" spans="1:33" ht="11.25" customHeight="1" x14ac:dyDescent="0.25">
      <c r="A654" s="4" t="s">
        <v>56</v>
      </c>
      <c r="B654" s="4" t="s">
        <v>22</v>
      </c>
      <c r="C654" s="4" t="s">
        <v>23</v>
      </c>
      <c r="D654" s="4" t="s">
        <v>24</v>
      </c>
      <c r="E654" s="4" t="s">
        <v>24</v>
      </c>
      <c r="F654" s="4" t="s">
        <v>25</v>
      </c>
      <c r="G654" s="4" t="s">
        <v>25</v>
      </c>
      <c r="H654" s="4" t="s">
        <v>25</v>
      </c>
      <c r="I654" s="5">
        <v>44774</v>
      </c>
      <c r="J654" s="6">
        <v>0</v>
      </c>
      <c r="K654" s="6">
        <v>0</v>
      </c>
      <c r="L654" s="6">
        <v>2.2999999999999998</v>
      </c>
      <c r="M654" s="6">
        <v>2.2999999999999998</v>
      </c>
      <c r="N654" s="6">
        <v>2.2999999999999998</v>
      </c>
      <c r="O654" s="6">
        <v>2.2999999999999998</v>
      </c>
      <c r="P654" s="6">
        <v>44</v>
      </c>
      <c r="Q654" s="4" t="s">
        <v>26</v>
      </c>
      <c r="R654" s="4">
        <v>0</v>
      </c>
      <c r="S654" s="6">
        <v>0</v>
      </c>
      <c r="T654" s="6">
        <v>16</v>
      </c>
      <c r="U654" s="6">
        <v>53</v>
      </c>
      <c r="V654" s="6">
        <f>IF(ISERROR(VLOOKUP($S$654,'TAR FIN'!$A$1:$O$85,15,0)),0,VLOOKUP($S$654,'TAR FIN'!$A$1:$O$85,15,0))</f>
        <v>0</v>
      </c>
      <c r="W654" s="6">
        <f>IF(ISERROR(VLOOKUP($T$654,'TAR FIN'!$A$1:$O$85,15,0)),0,VLOOKUP($T$654,'TAR FIN'!$A$1:$O$85,15,0))</f>
        <v>324.88</v>
      </c>
      <c r="X654" s="6">
        <f>IF(ISERROR(VLOOKUP($U$654,'TAR FIN'!$A$1:$O$85,15,0)),0,VLOOKUP($U$654,'TAR FIN'!$A$1:$O$85,15,0))</f>
        <v>322.54000000000002</v>
      </c>
      <c r="Y654" s="6"/>
      <c r="Z654" s="6">
        <f ca="1">('TUSD BE'!$AM$20+'TUSD BF'!$AM$20+'TUSD CVA'!$AM$20)*1</f>
        <v>434.80310925202969</v>
      </c>
      <c r="AA654" s="6">
        <f>('TE BE'!$AB$10+'TE BF'!$AB$10+'TE CVA'!$AB$10)*1</f>
        <v>319.954086693367</v>
      </c>
      <c r="AB654" s="6">
        <f>$K$654*$V$654</f>
        <v>0</v>
      </c>
      <c r="AC654" s="6">
        <f>$M$654*$W$654</f>
        <v>747.22399999999993</v>
      </c>
      <c r="AD654" s="6">
        <f>$O$654*$X$654</f>
        <v>741.84199999999998</v>
      </c>
      <c r="AE654" s="6">
        <f>$K$654*$Y$654</f>
        <v>0</v>
      </c>
      <c r="AF654" s="6">
        <f ca="1">$M$654*$Z$654</f>
        <v>1000.0471512796682</v>
      </c>
      <c r="AG654" s="6">
        <f>$O$654*$AA$654</f>
        <v>735.89439939474403</v>
      </c>
    </row>
    <row r="655" spans="1:33" ht="11.25" customHeight="1" x14ac:dyDescent="0.25">
      <c r="A655" s="4" t="s">
        <v>56</v>
      </c>
      <c r="B655" s="4" t="s">
        <v>22</v>
      </c>
      <c r="C655" s="4" t="s">
        <v>23</v>
      </c>
      <c r="D655" s="4" t="s">
        <v>24</v>
      </c>
      <c r="E655" s="4" t="s">
        <v>24</v>
      </c>
      <c r="F655" s="4" t="s">
        <v>25</v>
      </c>
      <c r="G655" s="4" t="s">
        <v>25</v>
      </c>
      <c r="H655" s="4" t="s">
        <v>25</v>
      </c>
      <c r="I655" s="5">
        <v>44774</v>
      </c>
      <c r="J655" s="6">
        <v>0</v>
      </c>
      <c r="K655" s="6">
        <v>0</v>
      </c>
      <c r="L655" s="6">
        <v>187.185</v>
      </c>
      <c r="M655" s="6">
        <v>187.185</v>
      </c>
      <c r="N655" s="6">
        <v>187.185</v>
      </c>
      <c r="O655" s="6">
        <v>187.185</v>
      </c>
      <c r="P655" s="6">
        <v>1729</v>
      </c>
      <c r="Q655" s="4" t="s">
        <v>26</v>
      </c>
      <c r="R655" s="4">
        <v>0</v>
      </c>
      <c r="S655" s="6">
        <v>0</v>
      </c>
      <c r="T655" s="6">
        <v>16</v>
      </c>
      <c r="U655" s="6">
        <v>53</v>
      </c>
      <c r="V655" s="6">
        <f>IF(ISERROR(VLOOKUP($S$655,'TAR FIN'!$A$1:$O$85,15,0)),0,VLOOKUP($S$655,'TAR FIN'!$A$1:$O$85,15,0))</f>
        <v>0</v>
      </c>
      <c r="W655" s="6">
        <f>IF(ISERROR(VLOOKUP($T$655,'TAR FIN'!$A$1:$O$85,15,0)),0,VLOOKUP($T$655,'TAR FIN'!$A$1:$O$85,15,0))</f>
        <v>324.88</v>
      </c>
      <c r="X655" s="6">
        <f>IF(ISERROR(VLOOKUP($U$655,'TAR FIN'!$A$1:$O$85,15,0)),0,VLOOKUP($U$655,'TAR FIN'!$A$1:$O$85,15,0))</f>
        <v>322.54000000000002</v>
      </c>
      <c r="Y655" s="6"/>
      <c r="Z655" s="6">
        <f ca="1">('TUSD BE'!$AM$20+'TUSD BF'!$AM$20+'TUSD CVA'!$AM$20)*1</f>
        <v>434.80310925202969</v>
      </c>
      <c r="AA655" s="6">
        <f>('TE BE'!$AB$10+'TE BF'!$AB$10+'TE CVA'!$AB$10)*1</f>
        <v>319.954086693367</v>
      </c>
      <c r="AB655" s="6">
        <f>$K$655*$V$655</f>
        <v>0</v>
      </c>
      <c r="AC655" s="6">
        <f>$M$655*$W$655</f>
        <v>60812.662799999998</v>
      </c>
      <c r="AD655" s="6">
        <f>$O$655*$X$655</f>
        <v>60374.649900000004</v>
      </c>
      <c r="AE655" s="6">
        <f>$K$655*$Y$655</f>
        <v>0</v>
      </c>
      <c r="AF655" s="6">
        <f ca="1">$M$655*$Z$655</f>
        <v>81388.620005341174</v>
      </c>
      <c r="AG655" s="6">
        <f>$O$655*$AA$655</f>
        <v>59890.605717697901</v>
      </c>
    </row>
    <row r="656" spans="1:33" ht="11.25" customHeight="1" x14ac:dyDescent="0.25">
      <c r="A656" s="4" t="s">
        <v>56</v>
      </c>
      <c r="B656" s="4" t="s">
        <v>22</v>
      </c>
      <c r="C656" s="4" t="s">
        <v>23</v>
      </c>
      <c r="D656" s="4" t="s">
        <v>24</v>
      </c>
      <c r="E656" s="4" t="s">
        <v>24</v>
      </c>
      <c r="F656" s="4" t="s">
        <v>25</v>
      </c>
      <c r="G656" s="4" t="s">
        <v>25</v>
      </c>
      <c r="H656" s="4" t="s">
        <v>25</v>
      </c>
      <c r="I656" s="5">
        <v>44774</v>
      </c>
      <c r="J656" s="6">
        <v>0</v>
      </c>
      <c r="K656" s="6">
        <v>0</v>
      </c>
      <c r="L656" s="6">
        <v>0.48199999999999998</v>
      </c>
      <c r="M656" s="6">
        <v>0.48199999999999998</v>
      </c>
      <c r="N656" s="6">
        <v>0.48199999999999998</v>
      </c>
      <c r="O656" s="6">
        <v>0.48199999999999998</v>
      </c>
      <c r="P656" s="6">
        <v>0</v>
      </c>
      <c r="Q656" s="4" t="s">
        <v>26</v>
      </c>
      <c r="R656" s="4">
        <v>0</v>
      </c>
      <c r="S656" s="6">
        <v>0</v>
      </c>
      <c r="T656" s="6">
        <v>16</v>
      </c>
      <c r="U656" s="6">
        <v>53</v>
      </c>
      <c r="V656" s="6">
        <f>IF(ISERROR(VLOOKUP($S$656,'TAR FIN'!$A$1:$O$85,15,0)),0,VLOOKUP($S$656,'TAR FIN'!$A$1:$O$85,15,0))</f>
        <v>0</v>
      </c>
      <c r="W656" s="6">
        <f>IF(ISERROR(VLOOKUP($T$656,'TAR FIN'!$A$1:$O$85,15,0)),0,VLOOKUP($T$656,'TAR FIN'!$A$1:$O$85,15,0))</f>
        <v>324.88</v>
      </c>
      <c r="X656" s="6">
        <f>IF(ISERROR(VLOOKUP($U$656,'TAR FIN'!$A$1:$O$85,15,0)),0,VLOOKUP($U$656,'TAR FIN'!$A$1:$O$85,15,0))</f>
        <v>322.54000000000002</v>
      </c>
      <c r="Y656" s="6"/>
      <c r="Z656" s="6">
        <f ca="1">('TUSD BE'!$AM$20+'TUSD BF'!$AM$20+'TUSD CVA'!$AM$20)*1</f>
        <v>434.80310925202969</v>
      </c>
      <c r="AA656" s="6">
        <f>('TE BE'!$AB$10+'TE BF'!$AB$10+'TE CVA'!$AB$10)*1</f>
        <v>319.954086693367</v>
      </c>
      <c r="AB656" s="6">
        <f>$K$656*$V$656</f>
        <v>0</v>
      </c>
      <c r="AC656" s="6">
        <f>$M$656*$W$656</f>
        <v>156.59215999999998</v>
      </c>
      <c r="AD656" s="6">
        <f>$O$656*$X$656</f>
        <v>155.46428</v>
      </c>
      <c r="AE656" s="6">
        <f>$K$656*$Y$656</f>
        <v>0</v>
      </c>
      <c r="AF656" s="6">
        <f ca="1">$M$656*$Z$656</f>
        <v>209.5750986594783</v>
      </c>
      <c r="AG656" s="6">
        <f>$O$656*$AA$656</f>
        <v>154.2178697862029</v>
      </c>
    </row>
    <row r="657" spans="1:33" ht="11.25" customHeight="1" x14ac:dyDescent="0.25">
      <c r="A657" s="4" t="s">
        <v>21</v>
      </c>
      <c r="B657" s="4" t="s">
        <v>22</v>
      </c>
      <c r="C657" s="4" t="s">
        <v>23</v>
      </c>
      <c r="D657" s="4" t="s">
        <v>24</v>
      </c>
      <c r="E657" s="4" t="s">
        <v>29</v>
      </c>
      <c r="F657" s="4" t="s">
        <v>25</v>
      </c>
      <c r="G657" s="4" t="s">
        <v>25</v>
      </c>
      <c r="H657" s="4" t="s">
        <v>25</v>
      </c>
      <c r="I657" s="5">
        <v>44440</v>
      </c>
      <c r="J657" s="6">
        <v>0</v>
      </c>
      <c r="K657" s="6">
        <v>0</v>
      </c>
      <c r="L657" s="6">
        <v>298.62</v>
      </c>
      <c r="M657" s="6">
        <v>298.62</v>
      </c>
      <c r="N657" s="6">
        <v>298.62</v>
      </c>
      <c r="O657" s="6">
        <v>298.62</v>
      </c>
      <c r="P657" s="6">
        <v>387</v>
      </c>
      <c r="Q657" s="4" t="s">
        <v>26</v>
      </c>
      <c r="R657" s="4">
        <v>0</v>
      </c>
      <c r="S657" s="6">
        <v>0</v>
      </c>
      <c r="T657" s="6">
        <v>17</v>
      </c>
      <c r="U657" s="6">
        <v>54</v>
      </c>
      <c r="V657" s="6">
        <f>IF(ISERROR(VLOOKUP($S$657,'TAR FIN'!$A$1:$O$85,15,0)),0,VLOOKUP($S$657,'TAR FIN'!$A$1:$O$85,15,0))</f>
        <v>0</v>
      </c>
      <c r="W657" s="6">
        <f>IF(ISERROR(VLOOKUP($T$657,'TAR FIN'!$A$1:$O$85,15,0)),0,VLOOKUP($T$657,'TAR FIN'!$A$1:$O$85,15,0))</f>
        <v>91.27</v>
      </c>
      <c r="X657" s="6">
        <f>IF(ISERROR(VLOOKUP($U$657,'TAR FIN'!$A$1:$O$85,15,0)),0,VLOOKUP($U$657,'TAR FIN'!$A$1:$O$85,15,0))</f>
        <v>112.89</v>
      </c>
      <c r="Y657" s="6"/>
      <c r="Z657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57" s="6">
        <f>('TE BE'!$AB$11+'TE BF'!$AB$11+'TE CVA'!$AB$11)*(1-CUSTOS!$M$34)</f>
        <v>111.98393034267845</v>
      </c>
      <c r="AB657" s="6">
        <f>$K$657*$V$657</f>
        <v>0</v>
      </c>
      <c r="AC657" s="6">
        <f>$M$657*$W$657</f>
        <v>27255.047399999999</v>
      </c>
      <c r="AD657" s="6">
        <f>$O$657*$X$657</f>
        <v>33711.211799999997</v>
      </c>
      <c r="AE657" s="6">
        <f>$K$657*$Y$657</f>
        <v>0</v>
      </c>
      <c r="AF657" s="6">
        <f ca="1">$M$657*$Z$657</f>
        <v>30194.425096167073</v>
      </c>
      <c r="AG657" s="6">
        <f>$O$657*$AA$657</f>
        <v>33440.641278930641</v>
      </c>
    </row>
    <row r="658" spans="1:33" ht="11.25" customHeight="1" x14ac:dyDescent="0.25">
      <c r="A658" s="4" t="s">
        <v>28</v>
      </c>
      <c r="B658" s="4" t="s">
        <v>22</v>
      </c>
      <c r="C658" s="4" t="s">
        <v>23</v>
      </c>
      <c r="D658" s="4" t="s">
        <v>24</v>
      </c>
      <c r="E658" s="4" t="s">
        <v>29</v>
      </c>
      <c r="F658" s="4" t="s">
        <v>25</v>
      </c>
      <c r="G658" s="4" t="s">
        <v>25</v>
      </c>
      <c r="H658" s="4" t="s">
        <v>25</v>
      </c>
      <c r="I658" s="5">
        <v>44440</v>
      </c>
      <c r="J658" s="6">
        <v>0</v>
      </c>
      <c r="K658" s="6">
        <v>0</v>
      </c>
      <c r="L658" s="6">
        <v>4.92</v>
      </c>
      <c r="M658" s="6">
        <v>4.92</v>
      </c>
      <c r="N658" s="6">
        <v>4.92</v>
      </c>
      <c r="O658" s="6">
        <v>4.92</v>
      </c>
      <c r="P658" s="6">
        <v>17</v>
      </c>
      <c r="Q658" s="4" t="s">
        <v>26</v>
      </c>
      <c r="R658" s="4">
        <v>0</v>
      </c>
      <c r="S658" s="6">
        <v>0</v>
      </c>
      <c r="T658" s="6">
        <v>17</v>
      </c>
      <c r="U658" s="6">
        <v>54</v>
      </c>
      <c r="V658" s="6">
        <f>IF(ISERROR(VLOOKUP($S$658,'TAR FIN'!$A$1:$O$85,15,0)),0,VLOOKUP($S$658,'TAR FIN'!$A$1:$O$85,15,0))</f>
        <v>0</v>
      </c>
      <c r="W658" s="6">
        <f>IF(ISERROR(VLOOKUP($T$658,'TAR FIN'!$A$1:$O$85,15,0)),0,VLOOKUP($T$658,'TAR FIN'!$A$1:$O$85,15,0))</f>
        <v>91.27</v>
      </c>
      <c r="X658" s="6">
        <f>IF(ISERROR(VLOOKUP($U$658,'TAR FIN'!$A$1:$O$85,15,0)),0,VLOOKUP($U$658,'TAR FIN'!$A$1:$O$85,15,0))</f>
        <v>112.89</v>
      </c>
      <c r="Y658" s="6"/>
      <c r="Z658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58" s="6">
        <f>('TE BE'!$AB$11+'TE BF'!$AB$11+'TE CVA'!$AB$11)*(1-CUSTOS!$M$34)</f>
        <v>111.98393034267845</v>
      </c>
      <c r="AB658" s="6">
        <f>$K$658*$V$658</f>
        <v>0</v>
      </c>
      <c r="AC658" s="6">
        <f>$M$658*$W$658</f>
        <v>449.04839999999996</v>
      </c>
      <c r="AD658" s="6">
        <f>$O$658*$X$658</f>
        <v>555.41880000000003</v>
      </c>
      <c r="AE658" s="6">
        <f>$K$658*$Y$658</f>
        <v>0</v>
      </c>
      <c r="AF658" s="6">
        <f ca="1">$M$658*$Z$658</f>
        <v>497.47696561898732</v>
      </c>
      <c r="AG658" s="6">
        <f>$O$658*$AA$658</f>
        <v>550.96093728597793</v>
      </c>
    </row>
    <row r="659" spans="1:33" ht="11.25" customHeight="1" x14ac:dyDescent="0.25">
      <c r="A659" s="4" t="s">
        <v>21</v>
      </c>
      <c r="B659" s="4" t="s">
        <v>22</v>
      </c>
      <c r="C659" s="4" t="s">
        <v>23</v>
      </c>
      <c r="D659" s="4" t="s">
        <v>24</v>
      </c>
      <c r="E659" s="4" t="s">
        <v>29</v>
      </c>
      <c r="F659" s="4" t="s">
        <v>25</v>
      </c>
      <c r="G659" s="4" t="s">
        <v>25</v>
      </c>
      <c r="H659" s="4" t="s">
        <v>25</v>
      </c>
      <c r="I659" s="5">
        <v>44470</v>
      </c>
      <c r="J659" s="6">
        <v>0</v>
      </c>
      <c r="K659" s="6">
        <v>0</v>
      </c>
      <c r="L659" s="6">
        <v>303.66000000000003</v>
      </c>
      <c r="M659" s="6">
        <v>303.66000000000003</v>
      </c>
      <c r="N659" s="6">
        <v>303.66000000000003</v>
      </c>
      <c r="O659" s="6">
        <v>303.66000000000003</v>
      </c>
      <c r="P659" s="6">
        <v>383</v>
      </c>
      <c r="Q659" s="4" t="s">
        <v>26</v>
      </c>
      <c r="R659" s="4">
        <v>0</v>
      </c>
      <c r="S659" s="6">
        <v>0</v>
      </c>
      <c r="T659" s="6">
        <v>17</v>
      </c>
      <c r="U659" s="6">
        <v>54</v>
      </c>
      <c r="V659" s="6">
        <f>IF(ISERROR(VLOOKUP($S$659,'TAR FIN'!$A$1:$O$85,15,0)),0,VLOOKUP($S$659,'TAR FIN'!$A$1:$O$85,15,0))</f>
        <v>0</v>
      </c>
      <c r="W659" s="6">
        <f>IF(ISERROR(VLOOKUP($T$659,'TAR FIN'!$A$1:$O$85,15,0)),0,VLOOKUP($T$659,'TAR FIN'!$A$1:$O$85,15,0))</f>
        <v>91.27</v>
      </c>
      <c r="X659" s="6">
        <f>IF(ISERROR(VLOOKUP($U$659,'TAR FIN'!$A$1:$O$85,15,0)),0,VLOOKUP($U$659,'TAR FIN'!$A$1:$O$85,15,0))</f>
        <v>112.89</v>
      </c>
      <c r="Y659" s="6"/>
      <c r="Z659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59" s="6">
        <f>('TE BE'!$AB$11+'TE BF'!$AB$11+'TE CVA'!$AB$11)*(1-CUSTOS!$M$34)</f>
        <v>111.98393034267845</v>
      </c>
      <c r="AB659" s="6">
        <f>$K$659*$V$659</f>
        <v>0</v>
      </c>
      <c r="AC659" s="6">
        <f>$M$659*$W$659</f>
        <v>27715.048200000001</v>
      </c>
      <c r="AD659" s="6">
        <f>$O$659*$X$659</f>
        <v>34280.1774</v>
      </c>
      <c r="AE659" s="6">
        <f>$K$659*$Y$659</f>
        <v>0</v>
      </c>
      <c r="AF659" s="6">
        <f ca="1">$M$659*$Z$659</f>
        <v>30704.035646313358</v>
      </c>
      <c r="AG659" s="6">
        <f>$O$659*$AA$659</f>
        <v>34005.040287857737</v>
      </c>
    </row>
    <row r="660" spans="1:33" ht="11.25" customHeight="1" x14ac:dyDescent="0.25">
      <c r="A660" s="4" t="s">
        <v>28</v>
      </c>
      <c r="B660" s="4" t="s">
        <v>22</v>
      </c>
      <c r="C660" s="4" t="s">
        <v>23</v>
      </c>
      <c r="D660" s="4" t="s">
        <v>24</v>
      </c>
      <c r="E660" s="4" t="s">
        <v>29</v>
      </c>
      <c r="F660" s="4" t="s">
        <v>25</v>
      </c>
      <c r="G660" s="4" t="s">
        <v>25</v>
      </c>
      <c r="H660" s="4" t="s">
        <v>25</v>
      </c>
      <c r="I660" s="5">
        <v>44470</v>
      </c>
      <c r="J660" s="6">
        <v>0</v>
      </c>
      <c r="K660" s="6">
        <v>0</v>
      </c>
      <c r="L660" s="6">
        <v>4.92</v>
      </c>
      <c r="M660" s="6">
        <v>4.92</v>
      </c>
      <c r="N660" s="6">
        <v>4.92</v>
      </c>
      <c r="O660" s="6">
        <v>4.92</v>
      </c>
      <c r="P660" s="6">
        <v>14</v>
      </c>
      <c r="Q660" s="4" t="s">
        <v>26</v>
      </c>
      <c r="R660" s="4">
        <v>0</v>
      </c>
      <c r="S660" s="6">
        <v>0</v>
      </c>
      <c r="T660" s="6">
        <v>17</v>
      </c>
      <c r="U660" s="6">
        <v>54</v>
      </c>
      <c r="V660" s="6">
        <f>IF(ISERROR(VLOOKUP($S$660,'TAR FIN'!$A$1:$O$85,15,0)),0,VLOOKUP($S$660,'TAR FIN'!$A$1:$O$85,15,0))</f>
        <v>0</v>
      </c>
      <c r="W660" s="6">
        <f>IF(ISERROR(VLOOKUP($T$660,'TAR FIN'!$A$1:$O$85,15,0)),0,VLOOKUP($T$660,'TAR FIN'!$A$1:$O$85,15,0))</f>
        <v>91.27</v>
      </c>
      <c r="X660" s="6">
        <f>IF(ISERROR(VLOOKUP($U$660,'TAR FIN'!$A$1:$O$85,15,0)),0,VLOOKUP($U$660,'TAR FIN'!$A$1:$O$85,15,0))</f>
        <v>112.89</v>
      </c>
      <c r="Y660" s="6"/>
      <c r="Z660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60" s="6">
        <f>('TE BE'!$AB$11+'TE BF'!$AB$11+'TE CVA'!$AB$11)*(1-CUSTOS!$M$34)</f>
        <v>111.98393034267845</v>
      </c>
      <c r="AB660" s="6">
        <f>$K$660*$V$660</f>
        <v>0</v>
      </c>
      <c r="AC660" s="6">
        <f>$M$660*$W$660</f>
        <v>449.04839999999996</v>
      </c>
      <c r="AD660" s="6">
        <f>$O$660*$X$660</f>
        <v>555.41880000000003</v>
      </c>
      <c r="AE660" s="6">
        <f>$K$660*$Y$660</f>
        <v>0</v>
      </c>
      <c r="AF660" s="6">
        <f ca="1">$M$660*$Z$660</f>
        <v>497.47696561898732</v>
      </c>
      <c r="AG660" s="6">
        <f>$O$660*$AA$660</f>
        <v>550.96093728597793</v>
      </c>
    </row>
    <row r="661" spans="1:33" ht="11.25" customHeight="1" x14ac:dyDescent="0.25">
      <c r="A661" s="4" t="s">
        <v>21</v>
      </c>
      <c r="B661" s="4" t="s">
        <v>22</v>
      </c>
      <c r="C661" s="4" t="s">
        <v>23</v>
      </c>
      <c r="D661" s="4" t="s">
        <v>24</v>
      </c>
      <c r="E661" s="4" t="s">
        <v>29</v>
      </c>
      <c r="F661" s="4" t="s">
        <v>25</v>
      </c>
      <c r="G661" s="4" t="s">
        <v>25</v>
      </c>
      <c r="H661" s="4" t="s">
        <v>25</v>
      </c>
      <c r="I661" s="5">
        <v>44501</v>
      </c>
      <c r="J661" s="6">
        <v>0</v>
      </c>
      <c r="K661" s="6">
        <v>0</v>
      </c>
      <c r="L661" s="6">
        <v>311.31</v>
      </c>
      <c r="M661" s="6">
        <v>311.31</v>
      </c>
      <c r="N661" s="6">
        <v>311.31</v>
      </c>
      <c r="O661" s="6">
        <v>311.31</v>
      </c>
      <c r="P661" s="6">
        <v>380</v>
      </c>
      <c r="Q661" s="4" t="s">
        <v>26</v>
      </c>
      <c r="R661" s="4">
        <v>0</v>
      </c>
      <c r="S661" s="6">
        <v>0</v>
      </c>
      <c r="T661" s="6">
        <v>17</v>
      </c>
      <c r="U661" s="6">
        <v>54</v>
      </c>
      <c r="V661" s="6">
        <f>IF(ISERROR(VLOOKUP($S$661,'TAR FIN'!$A$1:$O$85,15,0)),0,VLOOKUP($S$661,'TAR FIN'!$A$1:$O$85,15,0))</f>
        <v>0</v>
      </c>
      <c r="W661" s="6">
        <f>IF(ISERROR(VLOOKUP($T$661,'TAR FIN'!$A$1:$O$85,15,0)),0,VLOOKUP($T$661,'TAR FIN'!$A$1:$O$85,15,0))</f>
        <v>91.27</v>
      </c>
      <c r="X661" s="6">
        <f>IF(ISERROR(VLOOKUP($U$661,'TAR FIN'!$A$1:$O$85,15,0)),0,VLOOKUP($U$661,'TAR FIN'!$A$1:$O$85,15,0))</f>
        <v>112.89</v>
      </c>
      <c r="Y661" s="6"/>
      <c r="Z661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61" s="6">
        <f>('TE BE'!$AB$11+'TE BF'!$AB$11+'TE CVA'!$AB$11)*(1-CUSTOS!$M$34)</f>
        <v>111.98393034267845</v>
      </c>
      <c r="AB661" s="6">
        <f>$K$661*$V$661</f>
        <v>0</v>
      </c>
      <c r="AC661" s="6">
        <f>$M$661*$W$661</f>
        <v>28413.2637</v>
      </c>
      <c r="AD661" s="6">
        <f>$O$661*$X$661</f>
        <v>35143.785900000003</v>
      </c>
      <c r="AE661" s="6">
        <f>$K$661*$Y$661</f>
        <v>0</v>
      </c>
      <c r="AF661" s="6">
        <f ca="1">$M$661*$Z$661</f>
        <v>31477.551659928242</v>
      </c>
      <c r="AG661" s="6">
        <f>$O$661*$AA$661</f>
        <v>34861.717354979228</v>
      </c>
    </row>
    <row r="662" spans="1:33" ht="11.25" customHeight="1" x14ac:dyDescent="0.25">
      <c r="A662" s="4" t="s">
        <v>27</v>
      </c>
      <c r="B662" s="4" t="s">
        <v>22</v>
      </c>
      <c r="C662" s="4" t="s">
        <v>23</v>
      </c>
      <c r="D662" s="4" t="s">
        <v>24</v>
      </c>
      <c r="E662" s="4" t="s">
        <v>29</v>
      </c>
      <c r="F662" s="4" t="s">
        <v>25</v>
      </c>
      <c r="G662" s="4" t="s">
        <v>25</v>
      </c>
      <c r="H662" s="4" t="s">
        <v>25</v>
      </c>
      <c r="I662" s="5">
        <v>44501</v>
      </c>
      <c r="J662" s="6">
        <v>0</v>
      </c>
      <c r="K662" s="6">
        <v>0</v>
      </c>
      <c r="L662" s="6">
        <v>0.03</v>
      </c>
      <c r="M662" s="6">
        <v>0.03</v>
      </c>
      <c r="N662" s="6">
        <v>0.03</v>
      </c>
      <c r="O662" s="6">
        <v>0.03</v>
      </c>
      <c r="P662" s="6">
        <v>0</v>
      </c>
      <c r="Q662" s="4" t="s">
        <v>26</v>
      </c>
      <c r="R662" s="4">
        <v>0</v>
      </c>
      <c r="S662" s="6">
        <v>0</v>
      </c>
      <c r="T662" s="6">
        <v>17</v>
      </c>
      <c r="U662" s="6">
        <v>54</v>
      </c>
      <c r="V662" s="6">
        <f>IF(ISERROR(VLOOKUP($S$662,'TAR FIN'!$A$1:$O$85,15,0)),0,VLOOKUP($S$662,'TAR FIN'!$A$1:$O$85,15,0))</f>
        <v>0</v>
      </c>
      <c r="W662" s="6">
        <f>IF(ISERROR(VLOOKUP($T$662,'TAR FIN'!$A$1:$O$85,15,0)),0,VLOOKUP($T$662,'TAR FIN'!$A$1:$O$85,15,0))</f>
        <v>91.27</v>
      </c>
      <c r="X662" s="6">
        <f>IF(ISERROR(VLOOKUP($U$662,'TAR FIN'!$A$1:$O$85,15,0)),0,VLOOKUP($U$662,'TAR FIN'!$A$1:$O$85,15,0))</f>
        <v>112.89</v>
      </c>
      <c r="Y662" s="6"/>
      <c r="Z662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62" s="6">
        <f>('TE BE'!$AB$11+'TE BF'!$AB$11+'TE CVA'!$AB$11)*(1-CUSTOS!$M$34)</f>
        <v>111.98393034267845</v>
      </c>
      <c r="AB662" s="6">
        <f>$K$662*$V$662</f>
        <v>0</v>
      </c>
      <c r="AC662" s="6">
        <f>$M$662*$W$662</f>
        <v>2.7380999999999998</v>
      </c>
      <c r="AD662" s="6">
        <f>$O$662*$X$662</f>
        <v>3.3866999999999998</v>
      </c>
      <c r="AE662" s="6">
        <f>$K$662*$Y$662</f>
        <v>0</v>
      </c>
      <c r="AF662" s="6">
        <f ca="1">$M$662*$Z$662</f>
        <v>3.0333961318230935</v>
      </c>
      <c r="AG662" s="6">
        <f>$O$662*$AA$662</f>
        <v>3.3595179102803532</v>
      </c>
    </row>
    <row r="663" spans="1:33" ht="11.25" customHeight="1" x14ac:dyDescent="0.25">
      <c r="A663" s="4" t="s">
        <v>28</v>
      </c>
      <c r="B663" s="4" t="s">
        <v>22</v>
      </c>
      <c r="C663" s="4" t="s">
        <v>23</v>
      </c>
      <c r="D663" s="4" t="s">
        <v>24</v>
      </c>
      <c r="E663" s="4" t="s">
        <v>29</v>
      </c>
      <c r="F663" s="4" t="s">
        <v>25</v>
      </c>
      <c r="G663" s="4" t="s">
        <v>25</v>
      </c>
      <c r="H663" s="4" t="s">
        <v>25</v>
      </c>
      <c r="I663" s="5">
        <v>44501</v>
      </c>
      <c r="J663" s="6">
        <v>0</v>
      </c>
      <c r="K663" s="6">
        <v>0</v>
      </c>
      <c r="L663" s="6">
        <v>5.01</v>
      </c>
      <c r="M663" s="6">
        <v>5.01</v>
      </c>
      <c r="N663" s="6">
        <v>5.01</v>
      </c>
      <c r="O663" s="6">
        <v>5.01</v>
      </c>
      <c r="P663" s="6">
        <v>18</v>
      </c>
      <c r="Q663" s="4" t="s">
        <v>26</v>
      </c>
      <c r="R663" s="4">
        <v>0</v>
      </c>
      <c r="S663" s="6">
        <v>0</v>
      </c>
      <c r="T663" s="6">
        <v>17</v>
      </c>
      <c r="U663" s="6">
        <v>54</v>
      </c>
      <c r="V663" s="6">
        <f>IF(ISERROR(VLOOKUP($S$663,'TAR FIN'!$A$1:$O$85,15,0)),0,VLOOKUP($S$663,'TAR FIN'!$A$1:$O$85,15,0))</f>
        <v>0</v>
      </c>
      <c r="W663" s="6">
        <f>IF(ISERROR(VLOOKUP($T$663,'TAR FIN'!$A$1:$O$85,15,0)),0,VLOOKUP($T$663,'TAR FIN'!$A$1:$O$85,15,0))</f>
        <v>91.27</v>
      </c>
      <c r="X663" s="6">
        <f>IF(ISERROR(VLOOKUP($U$663,'TAR FIN'!$A$1:$O$85,15,0)),0,VLOOKUP($U$663,'TAR FIN'!$A$1:$O$85,15,0))</f>
        <v>112.89</v>
      </c>
      <c r="Y663" s="6"/>
      <c r="Z663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63" s="6">
        <f>('TE BE'!$AB$11+'TE BF'!$AB$11+'TE CVA'!$AB$11)*(1-CUSTOS!$M$34)</f>
        <v>111.98393034267845</v>
      </c>
      <c r="AB663" s="6">
        <f>$K$663*$V$663</f>
        <v>0</v>
      </c>
      <c r="AC663" s="6">
        <f>$M$663*$W$663</f>
        <v>457.26269999999994</v>
      </c>
      <c r="AD663" s="6">
        <f>$O$663*$X$663</f>
        <v>565.57889999999998</v>
      </c>
      <c r="AE663" s="6">
        <f>$K$663*$Y$663</f>
        <v>0</v>
      </c>
      <c r="AF663" s="6">
        <f ca="1">$M$663*$Z$663</f>
        <v>506.5771540144566</v>
      </c>
      <c r="AG663" s="6">
        <f>$O$663*$AA$663</f>
        <v>561.03949101681906</v>
      </c>
    </row>
    <row r="664" spans="1:33" ht="11.25" customHeight="1" x14ac:dyDescent="0.25">
      <c r="A664" s="4" t="s">
        <v>21</v>
      </c>
      <c r="B664" s="4" t="s">
        <v>22</v>
      </c>
      <c r="C664" s="4" t="s">
        <v>23</v>
      </c>
      <c r="D664" s="4" t="s">
        <v>24</v>
      </c>
      <c r="E664" s="4" t="s">
        <v>29</v>
      </c>
      <c r="F664" s="4" t="s">
        <v>25</v>
      </c>
      <c r="G664" s="4" t="s">
        <v>25</v>
      </c>
      <c r="H664" s="4" t="s">
        <v>25</v>
      </c>
      <c r="I664" s="5">
        <v>44531</v>
      </c>
      <c r="J664" s="6">
        <v>0</v>
      </c>
      <c r="K664" s="6">
        <v>0</v>
      </c>
      <c r="L664" s="6">
        <v>316.5</v>
      </c>
      <c r="M664" s="6">
        <v>316.5</v>
      </c>
      <c r="N664" s="6">
        <v>316.5</v>
      </c>
      <c r="O664" s="6">
        <v>316.5</v>
      </c>
      <c r="P664" s="6">
        <v>307</v>
      </c>
      <c r="Q664" s="4" t="s">
        <v>26</v>
      </c>
      <c r="R664" s="4">
        <v>0</v>
      </c>
      <c r="S664" s="6">
        <v>0</v>
      </c>
      <c r="T664" s="6">
        <v>17</v>
      </c>
      <c r="U664" s="6">
        <v>54</v>
      </c>
      <c r="V664" s="6">
        <f>IF(ISERROR(VLOOKUP($S$664,'TAR FIN'!$A$1:$O$85,15,0)),0,VLOOKUP($S$664,'TAR FIN'!$A$1:$O$85,15,0))</f>
        <v>0</v>
      </c>
      <c r="W664" s="6">
        <f>IF(ISERROR(VLOOKUP($T$664,'TAR FIN'!$A$1:$O$85,15,0)),0,VLOOKUP($T$664,'TAR FIN'!$A$1:$O$85,15,0))</f>
        <v>91.27</v>
      </c>
      <c r="X664" s="6">
        <f>IF(ISERROR(VLOOKUP($U$664,'TAR FIN'!$A$1:$O$85,15,0)),0,VLOOKUP($U$664,'TAR FIN'!$A$1:$O$85,15,0))</f>
        <v>112.89</v>
      </c>
      <c r="Y664" s="6"/>
      <c r="Z664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64" s="6">
        <f>('TE BE'!$AB$11+'TE BF'!$AB$11+'TE CVA'!$AB$11)*(1-CUSTOS!$M$34)</f>
        <v>111.98393034267845</v>
      </c>
      <c r="AB664" s="6">
        <f>$K$664*$V$664</f>
        <v>0</v>
      </c>
      <c r="AC664" s="6">
        <f>$M$664*$W$664</f>
        <v>28886.954999999998</v>
      </c>
      <c r="AD664" s="6">
        <f>$O$664*$X$664</f>
        <v>35729.684999999998</v>
      </c>
      <c r="AE664" s="6">
        <f>$K$664*$Y$664</f>
        <v>0</v>
      </c>
      <c r="AF664" s="6">
        <f ca="1">$M$664*$Z$664</f>
        <v>32002.329190733639</v>
      </c>
      <c r="AG664" s="6">
        <f>$O$664*$AA$664</f>
        <v>35442.913953457726</v>
      </c>
    </row>
    <row r="665" spans="1:33" ht="11.25" customHeight="1" x14ac:dyDescent="0.25">
      <c r="A665" s="4" t="s">
        <v>27</v>
      </c>
      <c r="B665" s="4" t="s">
        <v>22</v>
      </c>
      <c r="C665" s="4" t="s">
        <v>23</v>
      </c>
      <c r="D665" s="4" t="s">
        <v>24</v>
      </c>
      <c r="E665" s="4" t="s">
        <v>29</v>
      </c>
      <c r="F665" s="4" t="s">
        <v>25</v>
      </c>
      <c r="G665" s="4" t="s">
        <v>25</v>
      </c>
      <c r="H665" s="4" t="s">
        <v>25</v>
      </c>
      <c r="I665" s="5">
        <v>44531</v>
      </c>
      <c r="J665" s="6">
        <v>0</v>
      </c>
      <c r="K665" s="6">
        <v>0</v>
      </c>
      <c r="L665" s="6">
        <v>0.75</v>
      </c>
      <c r="M665" s="6">
        <v>0.75</v>
      </c>
      <c r="N665" s="6">
        <v>0.75</v>
      </c>
      <c r="O665" s="6">
        <v>0.75</v>
      </c>
      <c r="P665" s="6">
        <v>10</v>
      </c>
      <c r="Q665" s="4" t="s">
        <v>26</v>
      </c>
      <c r="R665" s="4">
        <v>0</v>
      </c>
      <c r="S665" s="6">
        <v>0</v>
      </c>
      <c r="T665" s="6">
        <v>17</v>
      </c>
      <c r="U665" s="6">
        <v>54</v>
      </c>
      <c r="V665" s="6">
        <f>IF(ISERROR(VLOOKUP($S$665,'TAR FIN'!$A$1:$O$85,15,0)),0,VLOOKUP($S$665,'TAR FIN'!$A$1:$O$85,15,0))</f>
        <v>0</v>
      </c>
      <c r="W665" s="6">
        <f>IF(ISERROR(VLOOKUP($T$665,'TAR FIN'!$A$1:$O$85,15,0)),0,VLOOKUP($T$665,'TAR FIN'!$A$1:$O$85,15,0))</f>
        <v>91.27</v>
      </c>
      <c r="X665" s="6">
        <f>IF(ISERROR(VLOOKUP($U$665,'TAR FIN'!$A$1:$O$85,15,0)),0,VLOOKUP($U$665,'TAR FIN'!$A$1:$O$85,15,0))</f>
        <v>112.89</v>
      </c>
      <c r="Y665" s="6"/>
      <c r="Z665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65" s="6">
        <f>('TE BE'!$AB$11+'TE BF'!$AB$11+'TE CVA'!$AB$11)*(1-CUSTOS!$M$34)</f>
        <v>111.98393034267845</v>
      </c>
      <c r="AB665" s="6">
        <f>$K$665*$V$665</f>
        <v>0</v>
      </c>
      <c r="AC665" s="6">
        <f>$M$665*$W$665</f>
        <v>68.452500000000001</v>
      </c>
      <c r="AD665" s="6">
        <f>$O$665*$X$665</f>
        <v>84.667500000000004</v>
      </c>
      <c r="AE665" s="6">
        <f>$K$665*$Y$665</f>
        <v>0</v>
      </c>
      <c r="AF665" s="6">
        <f ca="1">$M$665*$Z$665</f>
        <v>75.834903295577334</v>
      </c>
      <c r="AG665" s="6">
        <f>$O$665*$AA$665</f>
        <v>83.98794775700884</v>
      </c>
    </row>
    <row r="666" spans="1:33" ht="11.25" customHeight="1" x14ac:dyDescent="0.25">
      <c r="A666" s="4" t="s">
        <v>28</v>
      </c>
      <c r="B666" s="4" t="s">
        <v>22</v>
      </c>
      <c r="C666" s="4" t="s">
        <v>23</v>
      </c>
      <c r="D666" s="4" t="s">
        <v>24</v>
      </c>
      <c r="E666" s="4" t="s">
        <v>29</v>
      </c>
      <c r="F666" s="4" t="s">
        <v>25</v>
      </c>
      <c r="G666" s="4" t="s">
        <v>25</v>
      </c>
      <c r="H666" s="4" t="s">
        <v>25</v>
      </c>
      <c r="I666" s="5">
        <v>44531</v>
      </c>
      <c r="J666" s="6">
        <v>0</v>
      </c>
      <c r="K666" s="6">
        <v>0</v>
      </c>
      <c r="L666" s="6">
        <v>4.8899999999999997</v>
      </c>
      <c r="M666" s="6">
        <v>4.8899999999999997</v>
      </c>
      <c r="N666" s="6">
        <v>4.8899999999999997</v>
      </c>
      <c r="O666" s="6">
        <v>4.8899999999999997</v>
      </c>
      <c r="P666" s="6">
        <v>16</v>
      </c>
      <c r="Q666" s="4" t="s">
        <v>26</v>
      </c>
      <c r="R666" s="4">
        <v>0</v>
      </c>
      <c r="S666" s="6">
        <v>0</v>
      </c>
      <c r="T666" s="6">
        <v>17</v>
      </c>
      <c r="U666" s="6">
        <v>54</v>
      </c>
      <c r="V666" s="6">
        <f>IF(ISERROR(VLOOKUP($S$666,'TAR FIN'!$A$1:$O$85,15,0)),0,VLOOKUP($S$666,'TAR FIN'!$A$1:$O$85,15,0))</f>
        <v>0</v>
      </c>
      <c r="W666" s="6">
        <f>IF(ISERROR(VLOOKUP($T$666,'TAR FIN'!$A$1:$O$85,15,0)),0,VLOOKUP($T$666,'TAR FIN'!$A$1:$O$85,15,0))</f>
        <v>91.27</v>
      </c>
      <c r="X666" s="6">
        <f>IF(ISERROR(VLOOKUP($U$666,'TAR FIN'!$A$1:$O$85,15,0)),0,VLOOKUP($U$666,'TAR FIN'!$A$1:$O$85,15,0))</f>
        <v>112.89</v>
      </c>
      <c r="Y666" s="6"/>
      <c r="Z666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66" s="6">
        <f>('TE BE'!$AB$11+'TE BF'!$AB$11+'TE CVA'!$AB$11)*(1-CUSTOS!$M$34)</f>
        <v>111.98393034267845</v>
      </c>
      <c r="AB666" s="6">
        <f>$K$666*$V$666</f>
        <v>0</v>
      </c>
      <c r="AC666" s="6">
        <f>$M$666*$W$666</f>
        <v>446.31029999999993</v>
      </c>
      <c r="AD666" s="6">
        <f>$O$666*$X$666</f>
        <v>552.03210000000001</v>
      </c>
      <c r="AE666" s="6">
        <f>$K$666*$Y$666</f>
        <v>0</v>
      </c>
      <c r="AF666" s="6">
        <f ca="1">$M$666*$Z$666</f>
        <v>494.44356948716421</v>
      </c>
      <c r="AG666" s="6">
        <f>$O$666*$AA$666</f>
        <v>547.60141937569756</v>
      </c>
    </row>
    <row r="667" spans="1:33" ht="11.25" customHeight="1" x14ac:dyDescent="0.25">
      <c r="A667" s="4" t="s">
        <v>28</v>
      </c>
      <c r="B667" s="4" t="s">
        <v>22</v>
      </c>
      <c r="C667" s="4" t="s">
        <v>23</v>
      </c>
      <c r="D667" s="4" t="s">
        <v>24</v>
      </c>
      <c r="E667" s="4" t="s">
        <v>29</v>
      </c>
      <c r="F667" s="4" t="s">
        <v>25</v>
      </c>
      <c r="G667" s="4" t="s">
        <v>25</v>
      </c>
      <c r="H667" s="4" t="s">
        <v>25</v>
      </c>
      <c r="I667" s="5">
        <v>44531</v>
      </c>
      <c r="J667" s="6">
        <v>0</v>
      </c>
      <c r="K667" s="6">
        <v>0</v>
      </c>
      <c r="L667" s="6">
        <v>0.03</v>
      </c>
      <c r="M667" s="6">
        <v>0.03</v>
      </c>
      <c r="N667" s="6">
        <v>0.03</v>
      </c>
      <c r="O667" s="6">
        <v>0.03</v>
      </c>
      <c r="P667" s="6">
        <v>1</v>
      </c>
      <c r="Q667" s="4" t="s">
        <v>26</v>
      </c>
      <c r="R667" s="4">
        <v>0</v>
      </c>
      <c r="S667" s="6">
        <v>0</v>
      </c>
      <c r="T667" s="6">
        <v>17</v>
      </c>
      <c r="U667" s="6">
        <v>54</v>
      </c>
      <c r="V667" s="6">
        <f>IF(ISERROR(VLOOKUP($S$667,'TAR FIN'!$A$1:$O$85,15,0)),0,VLOOKUP($S$667,'TAR FIN'!$A$1:$O$85,15,0))</f>
        <v>0</v>
      </c>
      <c r="W667" s="6">
        <f>IF(ISERROR(VLOOKUP($T$667,'TAR FIN'!$A$1:$O$85,15,0)),0,VLOOKUP($T$667,'TAR FIN'!$A$1:$O$85,15,0))</f>
        <v>91.27</v>
      </c>
      <c r="X667" s="6">
        <f>IF(ISERROR(VLOOKUP($U$667,'TAR FIN'!$A$1:$O$85,15,0)),0,VLOOKUP($U$667,'TAR FIN'!$A$1:$O$85,15,0))</f>
        <v>112.89</v>
      </c>
      <c r="Y667" s="6"/>
      <c r="Z667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67" s="6">
        <f>('TE BE'!$AB$11+'TE BF'!$AB$11+'TE CVA'!$AB$11)*(1-CUSTOS!$M$34)</f>
        <v>111.98393034267845</v>
      </c>
      <c r="AB667" s="6">
        <f>$K$667*$V$667</f>
        <v>0</v>
      </c>
      <c r="AC667" s="6">
        <f>$M$667*$W$667</f>
        <v>2.7380999999999998</v>
      </c>
      <c r="AD667" s="6">
        <f>$O$667*$X$667</f>
        <v>3.3866999999999998</v>
      </c>
      <c r="AE667" s="6">
        <f>$K$667*$Y$667</f>
        <v>0</v>
      </c>
      <c r="AF667" s="6">
        <f ca="1">$M$667*$Z$667</f>
        <v>3.0333961318230935</v>
      </c>
      <c r="AG667" s="6">
        <f>$O$667*$AA$667</f>
        <v>3.3595179102803532</v>
      </c>
    </row>
    <row r="668" spans="1:33" ht="11.25" customHeight="1" x14ac:dyDescent="0.25">
      <c r="A668" s="4" t="s">
        <v>21</v>
      </c>
      <c r="B668" s="4" t="s">
        <v>22</v>
      </c>
      <c r="C668" s="4" t="s">
        <v>23</v>
      </c>
      <c r="D668" s="4" t="s">
        <v>24</v>
      </c>
      <c r="E668" s="4" t="s">
        <v>29</v>
      </c>
      <c r="F668" s="4" t="s">
        <v>25</v>
      </c>
      <c r="G668" s="4" t="s">
        <v>25</v>
      </c>
      <c r="H668" s="4" t="s">
        <v>25</v>
      </c>
      <c r="I668" s="5">
        <v>44562</v>
      </c>
      <c r="J668" s="6">
        <v>0</v>
      </c>
      <c r="K668" s="6">
        <v>0</v>
      </c>
      <c r="L668" s="6">
        <v>322.44</v>
      </c>
      <c r="M668" s="6">
        <v>322.44</v>
      </c>
      <c r="N668" s="6">
        <v>322.44</v>
      </c>
      <c r="O668" s="6">
        <v>322.44</v>
      </c>
      <c r="P668" s="6">
        <v>316</v>
      </c>
      <c r="Q668" s="4" t="s">
        <v>26</v>
      </c>
      <c r="R668" s="4">
        <v>0</v>
      </c>
      <c r="S668" s="6">
        <v>0</v>
      </c>
      <c r="T668" s="6">
        <v>17</v>
      </c>
      <c r="U668" s="6">
        <v>54</v>
      </c>
      <c r="V668" s="6">
        <f>IF(ISERROR(VLOOKUP($S$668,'TAR FIN'!$A$1:$O$85,15,0)),0,VLOOKUP($S$668,'TAR FIN'!$A$1:$O$85,15,0))</f>
        <v>0</v>
      </c>
      <c r="W668" s="6">
        <f>IF(ISERROR(VLOOKUP($T$668,'TAR FIN'!$A$1:$O$85,15,0)),0,VLOOKUP($T$668,'TAR FIN'!$A$1:$O$85,15,0))</f>
        <v>91.27</v>
      </c>
      <c r="X668" s="6">
        <f>IF(ISERROR(VLOOKUP($U$668,'TAR FIN'!$A$1:$O$85,15,0)),0,VLOOKUP($U$668,'TAR FIN'!$A$1:$O$85,15,0))</f>
        <v>112.89</v>
      </c>
      <c r="Y668" s="6"/>
      <c r="Z668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68" s="6">
        <f>('TE BE'!$AB$11+'TE BF'!$AB$11+'TE CVA'!$AB$11)*(1-CUSTOS!$M$34)</f>
        <v>111.98393034267845</v>
      </c>
      <c r="AB668" s="6">
        <f>$K$668*$V$668</f>
        <v>0</v>
      </c>
      <c r="AC668" s="6">
        <f>$M$668*$W$668</f>
        <v>29429.0988</v>
      </c>
      <c r="AD668" s="6">
        <f>$O$668*$X$668</f>
        <v>36400.251600000003</v>
      </c>
      <c r="AE668" s="6">
        <f>$K$668*$Y$668</f>
        <v>0</v>
      </c>
      <c r="AF668" s="6">
        <f ca="1">$M$668*$Z$668</f>
        <v>32602.94162483461</v>
      </c>
      <c r="AG668" s="6">
        <f>$O$668*$AA$668</f>
        <v>36108.098499693238</v>
      </c>
    </row>
    <row r="669" spans="1:33" ht="11.25" customHeight="1" x14ac:dyDescent="0.25">
      <c r="A669" s="4" t="s">
        <v>27</v>
      </c>
      <c r="B669" s="4" t="s">
        <v>22</v>
      </c>
      <c r="C669" s="4" t="s">
        <v>23</v>
      </c>
      <c r="D669" s="4" t="s">
        <v>24</v>
      </c>
      <c r="E669" s="4" t="s">
        <v>29</v>
      </c>
      <c r="F669" s="4" t="s">
        <v>25</v>
      </c>
      <c r="G669" s="4" t="s">
        <v>25</v>
      </c>
      <c r="H669" s="4" t="s">
        <v>25</v>
      </c>
      <c r="I669" s="5">
        <v>44562</v>
      </c>
      <c r="J669" s="6">
        <v>0</v>
      </c>
      <c r="K669" s="6">
        <v>0</v>
      </c>
      <c r="L669" s="6">
        <v>0.24</v>
      </c>
      <c r="M669" s="6">
        <v>0.24</v>
      </c>
      <c r="N669" s="6">
        <v>0.24</v>
      </c>
      <c r="O669" s="6">
        <v>0.24</v>
      </c>
      <c r="P669" s="6">
        <v>5</v>
      </c>
      <c r="Q669" s="4" t="s">
        <v>26</v>
      </c>
      <c r="R669" s="4">
        <v>0</v>
      </c>
      <c r="S669" s="6">
        <v>0</v>
      </c>
      <c r="T669" s="6">
        <v>17</v>
      </c>
      <c r="U669" s="6">
        <v>54</v>
      </c>
      <c r="V669" s="6">
        <f>IF(ISERROR(VLOOKUP($S$669,'TAR FIN'!$A$1:$O$85,15,0)),0,VLOOKUP($S$669,'TAR FIN'!$A$1:$O$85,15,0))</f>
        <v>0</v>
      </c>
      <c r="W669" s="6">
        <f>IF(ISERROR(VLOOKUP($T$669,'TAR FIN'!$A$1:$O$85,15,0)),0,VLOOKUP($T$669,'TAR FIN'!$A$1:$O$85,15,0))</f>
        <v>91.27</v>
      </c>
      <c r="X669" s="6">
        <f>IF(ISERROR(VLOOKUP($U$669,'TAR FIN'!$A$1:$O$85,15,0)),0,VLOOKUP($U$669,'TAR FIN'!$A$1:$O$85,15,0))</f>
        <v>112.89</v>
      </c>
      <c r="Y669" s="6"/>
      <c r="Z669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69" s="6">
        <f>('TE BE'!$AB$11+'TE BF'!$AB$11+'TE CVA'!$AB$11)*(1-CUSTOS!$M$34)</f>
        <v>111.98393034267845</v>
      </c>
      <c r="AB669" s="6">
        <f>$K$669*$V$669</f>
        <v>0</v>
      </c>
      <c r="AC669" s="6">
        <f>$M$669*$W$669</f>
        <v>21.904799999999998</v>
      </c>
      <c r="AD669" s="6">
        <f>$O$669*$X$669</f>
        <v>27.093599999999999</v>
      </c>
      <c r="AE669" s="6">
        <f>$K$669*$Y$669</f>
        <v>0</v>
      </c>
      <c r="AF669" s="6">
        <f ca="1">$M$669*$Z$669</f>
        <v>24.267169054584748</v>
      </c>
      <c r="AG669" s="6">
        <f>$O$669*$AA$669</f>
        <v>26.876143282242825</v>
      </c>
    </row>
    <row r="670" spans="1:33" ht="11.25" customHeight="1" x14ac:dyDescent="0.25">
      <c r="A670" s="4" t="s">
        <v>28</v>
      </c>
      <c r="B670" s="4" t="s">
        <v>22</v>
      </c>
      <c r="C670" s="4" t="s">
        <v>23</v>
      </c>
      <c r="D670" s="4" t="s">
        <v>24</v>
      </c>
      <c r="E670" s="4" t="s">
        <v>29</v>
      </c>
      <c r="F670" s="4" t="s">
        <v>25</v>
      </c>
      <c r="G670" s="4" t="s">
        <v>25</v>
      </c>
      <c r="H670" s="4" t="s">
        <v>25</v>
      </c>
      <c r="I670" s="5">
        <v>44562</v>
      </c>
      <c r="J670" s="6">
        <v>0</v>
      </c>
      <c r="K670" s="6">
        <v>0</v>
      </c>
      <c r="L670" s="6">
        <v>5.0999999999999996</v>
      </c>
      <c r="M670" s="6">
        <v>5.0999999999999996</v>
      </c>
      <c r="N670" s="6">
        <v>5.0999999999999996</v>
      </c>
      <c r="O670" s="6">
        <v>5.0999999999999996</v>
      </c>
      <c r="P670" s="6">
        <v>16</v>
      </c>
      <c r="Q670" s="4" t="s">
        <v>26</v>
      </c>
      <c r="R670" s="4">
        <v>0</v>
      </c>
      <c r="S670" s="6">
        <v>0</v>
      </c>
      <c r="T670" s="6">
        <v>17</v>
      </c>
      <c r="U670" s="6">
        <v>54</v>
      </c>
      <c r="V670" s="6">
        <f>IF(ISERROR(VLOOKUP($S$670,'TAR FIN'!$A$1:$O$85,15,0)),0,VLOOKUP($S$670,'TAR FIN'!$A$1:$O$85,15,0))</f>
        <v>0</v>
      </c>
      <c r="W670" s="6">
        <f>IF(ISERROR(VLOOKUP($T$670,'TAR FIN'!$A$1:$O$85,15,0)),0,VLOOKUP($T$670,'TAR FIN'!$A$1:$O$85,15,0))</f>
        <v>91.27</v>
      </c>
      <c r="X670" s="6">
        <f>IF(ISERROR(VLOOKUP($U$670,'TAR FIN'!$A$1:$O$85,15,0)),0,VLOOKUP($U$670,'TAR FIN'!$A$1:$O$85,15,0))</f>
        <v>112.89</v>
      </c>
      <c r="Y670" s="6"/>
      <c r="Z670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70" s="6">
        <f>('TE BE'!$AB$11+'TE BF'!$AB$11+'TE CVA'!$AB$11)*(1-CUSTOS!$M$34)</f>
        <v>111.98393034267845</v>
      </c>
      <c r="AB670" s="6">
        <f>$K$670*$V$670</f>
        <v>0</v>
      </c>
      <c r="AC670" s="6">
        <f>$M$670*$W$670</f>
        <v>465.47699999999998</v>
      </c>
      <c r="AD670" s="6">
        <f>$O$670*$X$670</f>
        <v>575.73899999999992</v>
      </c>
      <c r="AE670" s="6">
        <f>$K$670*$Y$670</f>
        <v>0</v>
      </c>
      <c r="AF670" s="6">
        <f ca="1">$M$670*$Z$670</f>
        <v>515.67734240992593</v>
      </c>
      <c r="AG670" s="6">
        <f>$O$670*$AA$670</f>
        <v>571.11804474766006</v>
      </c>
    </row>
    <row r="671" spans="1:33" ht="11.25" customHeight="1" x14ac:dyDescent="0.25">
      <c r="A671" s="4" t="s">
        <v>21</v>
      </c>
      <c r="B671" s="4" t="s">
        <v>22</v>
      </c>
      <c r="C671" s="4" t="s">
        <v>23</v>
      </c>
      <c r="D671" s="4" t="s">
        <v>24</v>
      </c>
      <c r="E671" s="4" t="s">
        <v>29</v>
      </c>
      <c r="F671" s="4" t="s">
        <v>25</v>
      </c>
      <c r="G671" s="4" t="s">
        <v>25</v>
      </c>
      <c r="H671" s="4" t="s">
        <v>25</v>
      </c>
      <c r="I671" s="5">
        <v>44593</v>
      </c>
      <c r="J671" s="6">
        <v>0</v>
      </c>
      <c r="K671" s="6">
        <v>0</v>
      </c>
      <c r="L671" s="6">
        <v>330.03</v>
      </c>
      <c r="M671" s="6">
        <v>330.03</v>
      </c>
      <c r="N671" s="6">
        <v>330.03</v>
      </c>
      <c r="O671" s="6">
        <v>330.03</v>
      </c>
      <c r="P671" s="6">
        <v>314</v>
      </c>
      <c r="Q671" s="4" t="s">
        <v>26</v>
      </c>
      <c r="R671" s="4">
        <v>0</v>
      </c>
      <c r="S671" s="6">
        <v>0</v>
      </c>
      <c r="T671" s="6">
        <v>17</v>
      </c>
      <c r="U671" s="6">
        <v>54</v>
      </c>
      <c r="V671" s="6">
        <f>IF(ISERROR(VLOOKUP($S$671,'TAR FIN'!$A$1:$O$85,15,0)),0,VLOOKUP($S$671,'TAR FIN'!$A$1:$O$85,15,0))</f>
        <v>0</v>
      </c>
      <c r="W671" s="6">
        <f>IF(ISERROR(VLOOKUP($T$671,'TAR FIN'!$A$1:$O$85,15,0)),0,VLOOKUP($T$671,'TAR FIN'!$A$1:$O$85,15,0))</f>
        <v>91.27</v>
      </c>
      <c r="X671" s="6">
        <f>IF(ISERROR(VLOOKUP($U$671,'TAR FIN'!$A$1:$O$85,15,0)),0,VLOOKUP($U$671,'TAR FIN'!$A$1:$O$85,15,0))</f>
        <v>112.89</v>
      </c>
      <c r="Y671" s="6"/>
      <c r="Z671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71" s="6">
        <f>('TE BE'!$AB$11+'TE BF'!$AB$11+'TE CVA'!$AB$11)*(1-CUSTOS!$M$34)</f>
        <v>111.98393034267845</v>
      </c>
      <c r="AB671" s="6">
        <f>$K$671*$V$671</f>
        <v>0</v>
      </c>
      <c r="AC671" s="6">
        <f>$M$671*$W$671</f>
        <v>30121.838099999997</v>
      </c>
      <c r="AD671" s="6">
        <f>$O$671*$X$671</f>
        <v>37257.0867</v>
      </c>
      <c r="AE671" s="6">
        <f>$K$671*$Y$671</f>
        <v>0</v>
      </c>
      <c r="AF671" s="6">
        <f ca="1">$M$671*$Z$671</f>
        <v>33370.390846185852</v>
      </c>
      <c r="AG671" s="6">
        <f>$O$671*$AA$671</f>
        <v>36958.056530994167</v>
      </c>
    </row>
    <row r="672" spans="1:33" ht="11.25" customHeight="1" x14ac:dyDescent="0.25">
      <c r="A672" s="4" t="s">
        <v>27</v>
      </c>
      <c r="B672" s="4" t="s">
        <v>22</v>
      </c>
      <c r="C672" s="4" t="s">
        <v>23</v>
      </c>
      <c r="D672" s="4" t="s">
        <v>24</v>
      </c>
      <c r="E672" s="4" t="s">
        <v>29</v>
      </c>
      <c r="F672" s="4" t="s">
        <v>25</v>
      </c>
      <c r="G672" s="4" t="s">
        <v>25</v>
      </c>
      <c r="H672" s="4" t="s">
        <v>25</v>
      </c>
      <c r="I672" s="5">
        <v>44593</v>
      </c>
      <c r="J672" s="6">
        <v>0</v>
      </c>
      <c r="K672" s="6">
        <v>0</v>
      </c>
      <c r="L672" s="6">
        <v>0.15</v>
      </c>
      <c r="M672" s="6">
        <v>0.15</v>
      </c>
      <c r="N672" s="6">
        <v>0.15</v>
      </c>
      <c r="O672" s="6">
        <v>0.15</v>
      </c>
      <c r="P672" s="6">
        <v>4</v>
      </c>
      <c r="Q672" s="4" t="s">
        <v>26</v>
      </c>
      <c r="R672" s="4">
        <v>0</v>
      </c>
      <c r="S672" s="6">
        <v>0</v>
      </c>
      <c r="T672" s="6">
        <v>17</v>
      </c>
      <c r="U672" s="6">
        <v>54</v>
      </c>
      <c r="V672" s="6">
        <f>IF(ISERROR(VLOOKUP($S$672,'TAR FIN'!$A$1:$O$85,15,0)),0,VLOOKUP($S$672,'TAR FIN'!$A$1:$O$85,15,0))</f>
        <v>0</v>
      </c>
      <c r="W672" s="6">
        <f>IF(ISERROR(VLOOKUP($T$672,'TAR FIN'!$A$1:$O$85,15,0)),0,VLOOKUP($T$672,'TAR FIN'!$A$1:$O$85,15,0))</f>
        <v>91.27</v>
      </c>
      <c r="X672" s="6">
        <f>IF(ISERROR(VLOOKUP($U$672,'TAR FIN'!$A$1:$O$85,15,0)),0,VLOOKUP($U$672,'TAR FIN'!$A$1:$O$85,15,0))</f>
        <v>112.89</v>
      </c>
      <c r="Y672" s="6"/>
      <c r="Z672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72" s="6">
        <f>('TE BE'!$AB$11+'TE BF'!$AB$11+'TE CVA'!$AB$11)*(1-CUSTOS!$M$34)</f>
        <v>111.98393034267845</v>
      </c>
      <c r="AB672" s="6">
        <f>$K$672*$V$672</f>
        <v>0</v>
      </c>
      <c r="AC672" s="6">
        <f>$M$672*$W$672</f>
        <v>13.690499999999998</v>
      </c>
      <c r="AD672" s="6">
        <f>$O$672*$X$672</f>
        <v>16.933499999999999</v>
      </c>
      <c r="AE672" s="6">
        <f>$K$672*$Y$672</f>
        <v>0</v>
      </c>
      <c r="AF672" s="6">
        <f ca="1">$M$672*$Z$672</f>
        <v>15.166980659115467</v>
      </c>
      <c r="AG672" s="6">
        <f>$O$672*$AA$672</f>
        <v>16.797589551401767</v>
      </c>
    </row>
    <row r="673" spans="1:33" ht="11.25" customHeight="1" x14ac:dyDescent="0.25">
      <c r="A673" s="4" t="s">
        <v>28</v>
      </c>
      <c r="B673" s="4" t="s">
        <v>22</v>
      </c>
      <c r="C673" s="4" t="s">
        <v>23</v>
      </c>
      <c r="D673" s="4" t="s">
        <v>24</v>
      </c>
      <c r="E673" s="4" t="s">
        <v>29</v>
      </c>
      <c r="F673" s="4" t="s">
        <v>25</v>
      </c>
      <c r="G673" s="4" t="s">
        <v>25</v>
      </c>
      <c r="H673" s="4" t="s">
        <v>25</v>
      </c>
      <c r="I673" s="5">
        <v>44593</v>
      </c>
      <c r="J673" s="6">
        <v>0</v>
      </c>
      <c r="K673" s="6">
        <v>0</v>
      </c>
      <c r="L673" s="6">
        <v>5.07</v>
      </c>
      <c r="M673" s="6">
        <v>5.07</v>
      </c>
      <c r="N673" s="6">
        <v>5.07</v>
      </c>
      <c r="O673" s="6">
        <v>5.07</v>
      </c>
      <c r="P673" s="6">
        <v>17</v>
      </c>
      <c r="Q673" s="4" t="s">
        <v>26</v>
      </c>
      <c r="R673" s="4">
        <v>0</v>
      </c>
      <c r="S673" s="6">
        <v>0</v>
      </c>
      <c r="T673" s="6">
        <v>17</v>
      </c>
      <c r="U673" s="6">
        <v>54</v>
      </c>
      <c r="V673" s="6">
        <f>IF(ISERROR(VLOOKUP($S$673,'TAR FIN'!$A$1:$O$85,15,0)),0,VLOOKUP($S$673,'TAR FIN'!$A$1:$O$85,15,0))</f>
        <v>0</v>
      </c>
      <c r="W673" s="6">
        <f>IF(ISERROR(VLOOKUP($T$673,'TAR FIN'!$A$1:$O$85,15,0)),0,VLOOKUP($T$673,'TAR FIN'!$A$1:$O$85,15,0))</f>
        <v>91.27</v>
      </c>
      <c r="X673" s="6">
        <f>IF(ISERROR(VLOOKUP($U$673,'TAR FIN'!$A$1:$O$85,15,0)),0,VLOOKUP($U$673,'TAR FIN'!$A$1:$O$85,15,0))</f>
        <v>112.89</v>
      </c>
      <c r="Y673" s="6"/>
      <c r="Z673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73" s="6">
        <f>('TE BE'!$AB$11+'TE BF'!$AB$11+'TE CVA'!$AB$11)*(1-CUSTOS!$M$34)</f>
        <v>111.98393034267845</v>
      </c>
      <c r="AB673" s="6">
        <f>$K$673*$V$673</f>
        <v>0</v>
      </c>
      <c r="AC673" s="6">
        <f>$M$673*$W$673</f>
        <v>462.7389</v>
      </c>
      <c r="AD673" s="6">
        <f>$O$673*$X$673</f>
        <v>572.35230000000001</v>
      </c>
      <c r="AE673" s="6">
        <f>$K$673*$Y$673</f>
        <v>0</v>
      </c>
      <c r="AF673" s="6">
        <f ca="1">$M$673*$Z$673</f>
        <v>512.64394627810282</v>
      </c>
      <c r="AG673" s="6">
        <f>$O$673*$AA$673</f>
        <v>567.7585268373798</v>
      </c>
    </row>
    <row r="674" spans="1:33" ht="11.25" customHeight="1" x14ac:dyDescent="0.25">
      <c r="A674" s="4" t="s">
        <v>21</v>
      </c>
      <c r="B674" s="4" t="s">
        <v>22</v>
      </c>
      <c r="C674" s="4" t="s">
        <v>23</v>
      </c>
      <c r="D674" s="4" t="s">
        <v>24</v>
      </c>
      <c r="E674" s="4" t="s">
        <v>29</v>
      </c>
      <c r="F674" s="4" t="s">
        <v>25</v>
      </c>
      <c r="G674" s="4" t="s">
        <v>25</v>
      </c>
      <c r="H674" s="4" t="s">
        <v>25</v>
      </c>
      <c r="I674" s="5">
        <v>44621</v>
      </c>
      <c r="J674" s="6">
        <v>0</v>
      </c>
      <c r="K674" s="6">
        <v>0</v>
      </c>
      <c r="L674" s="6">
        <v>397.71</v>
      </c>
      <c r="M674" s="6">
        <v>397.71</v>
      </c>
      <c r="N674" s="6">
        <v>397.71</v>
      </c>
      <c r="O674" s="6">
        <v>397.71</v>
      </c>
      <c r="P674" s="6">
        <v>433</v>
      </c>
      <c r="Q674" s="4" t="s">
        <v>26</v>
      </c>
      <c r="R674" s="4">
        <v>0</v>
      </c>
      <c r="S674" s="6">
        <v>0</v>
      </c>
      <c r="T674" s="6">
        <v>17</v>
      </c>
      <c r="U674" s="6">
        <v>54</v>
      </c>
      <c r="V674" s="6">
        <f>IF(ISERROR(VLOOKUP($S$674,'TAR FIN'!$A$1:$O$85,15,0)),0,VLOOKUP($S$674,'TAR FIN'!$A$1:$O$85,15,0))</f>
        <v>0</v>
      </c>
      <c r="W674" s="6">
        <f>IF(ISERROR(VLOOKUP($T$674,'TAR FIN'!$A$1:$O$85,15,0)),0,VLOOKUP($T$674,'TAR FIN'!$A$1:$O$85,15,0))</f>
        <v>91.27</v>
      </c>
      <c r="X674" s="6">
        <f>IF(ISERROR(VLOOKUP($U$674,'TAR FIN'!$A$1:$O$85,15,0)),0,VLOOKUP($U$674,'TAR FIN'!$A$1:$O$85,15,0))</f>
        <v>112.89</v>
      </c>
      <c r="Y674" s="6"/>
      <c r="Z674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74" s="6">
        <f>('TE BE'!$AB$11+'TE BF'!$AB$11+'TE CVA'!$AB$11)*(1-CUSTOS!$M$34)</f>
        <v>111.98393034267845</v>
      </c>
      <c r="AB674" s="6">
        <f>$K$674*$V$674</f>
        <v>0</v>
      </c>
      <c r="AC674" s="6">
        <f>$M$674*$W$674</f>
        <v>36298.991699999999</v>
      </c>
      <c r="AD674" s="6">
        <f>$O$674*$X$674</f>
        <v>44897.481899999999</v>
      </c>
      <c r="AE674" s="6">
        <f>$K$674*$Y$674</f>
        <v>0</v>
      </c>
      <c r="AF674" s="6">
        <f ca="1">$M$674*$Z$674</f>
        <v>40213.732519578749</v>
      </c>
      <c r="AG674" s="6">
        <f>$O$674*$AA$674</f>
        <v>44537.128936586647</v>
      </c>
    </row>
    <row r="675" spans="1:33" ht="11.25" customHeight="1" x14ac:dyDescent="0.25">
      <c r="A675" s="4" t="s">
        <v>27</v>
      </c>
      <c r="B675" s="4" t="s">
        <v>22</v>
      </c>
      <c r="C675" s="4" t="s">
        <v>23</v>
      </c>
      <c r="D675" s="4" t="s">
        <v>24</v>
      </c>
      <c r="E675" s="4" t="s">
        <v>29</v>
      </c>
      <c r="F675" s="4" t="s">
        <v>25</v>
      </c>
      <c r="G675" s="4" t="s">
        <v>25</v>
      </c>
      <c r="H675" s="4" t="s">
        <v>25</v>
      </c>
      <c r="I675" s="5">
        <v>44621</v>
      </c>
      <c r="J675" s="6">
        <v>0</v>
      </c>
      <c r="K675" s="6">
        <v>0</v>
      </c>
      <c r="L675" s="6">
        <v>0.27</v>
      </c>
      <c r="M675" s="6">
        <v>0.27</v>
      </c>
      <c r="N675" s="6">
        <v>0.27</v>
      </c>
      <c r="O675" s="6">
        <v>0.27</v>
      </c>
      <c r="P675" s="6">
        <v>4</v>
      </c>
      <c r="Q675" s="4" t="s">
        <v>26</v>
      </c>
      <c r="R675" s="4">
        <v>0</v>
      </c>
      <c r="S675" s="6">
        <v>0</v>
      </c>
      <c r="T675" s="6">
        <v>17</v>
      </c>
      <c r="U675" s="6">
        <v>54</v>
      </c>
      <c r="V675" s="6">
        <f>IF(ISERROR(VLOOKUP($S$675,'TAR FIN'!$A$1:$O$85,15,0)),0,VLOOKUP($S$675,'TAR FIN'!$A$1:$O$85,15,0))</f>
        <v>0</v>
      </c>
      <c r="W675" s="6">
        <f>IF(ISERROR(VLOOKUP($T$675,'TAR FIN'!$A$1:$O$85,15,0)),0,VLOOKUP($T$675,'TAR FIN'!$A$1:$O$85,15,0))</f>
        <v>91.27</v>
      </c>
      <c r="X675" s="6">
        <f>IF(ISERROR(VLOOKUP($U$675,'TAR FIN'!$A$1:$O$85,15,0)),0,VLOOKUP($U$675,'TAR FIN'!$A$1:$O$85,15,0))</f>
        <v>112.89</v>
      </c>
      <c r="Y675" s="6"/>
      <c r="Z675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75" s="6">
        <f>('TE BE'!$AB$11+'TE BF'!$AB$11+'TE CVA'!$AB$11)*(1-CUSTOS!$M$34)</f>
        <v>111.98393034267845</v>
      </c>
      <c r="AB675" s="6">
        <f>$K$675*$V$675</f>
        <v>0</v>
      </c>
      <c r="AC675" s="6">
        <f>$M$675*$W$675</f>
        <v>24.642900000000001</v>
      </c>
      <c r="AD675" s="6">
        <f>$O$675*$X$675</f>
        <v>30.480300000000003</v>
      </c>
      <c r="AE675" s="6">
        <f>$K$675*$Y$675</f>
        <v>0</v>
      </c>
      <c r="AF675" s="6">
        <f ca="1">$M$675*$Z$675</f>
        <v>27.300565186407844</v>
      </c>
      <c r="AG675" s="6">
        <f>$O$675*$AA$675</f>
        <v>30.235661192523182</v>
      </c>
    </row>
    <row r="676" spans="1:33" ht="11.25" customHeight="1" x14ac:dyDescent="0.25">
      <c r="A676" s="4" t="s">
        <v>28</v>
      </c>
      <c r="B676" s="4" t="s">
        <v>22</v>
      </c>
      <c r="C676" s="4" t="s">
        <v>23</v>
      </c>
      <c r="D676" s="4" t="s">
        <v>24</v>
      </c>
      <c r="E676" s="4" t="s">
        <v>29</v>
      </c>
      <c r="F676" s="4" t="s">
        <v>25</v>
      </c>
      <c r="G676" s="4" t="s">
        <v>25</v>
      </c>
      <c r="H676" s="4" t="s">
        <v>25</v>
      </c>
      <c r="I676" s="5">
        <v>44621</v>
      </c>
      <c r="J676" s="6">
        <v>0</v>
      </c>
      <c r="K676" s="6">
        <v>0</v>
      </c>
      <c r="L676" s="6">
        <v>5.64</v>
      </c>
      <c r="M676" s="6">
        <v>5.64</v>
      </c>
      <c r="N676" s="6">
        <v>5.64</v>
      </c>
      <c r="O676" s="6">
        <v>5.64</v>
      </c>
      <c r="P676" s="6">
        <v>25</v>
      </c>
      <c r="Q676" s="4" t="s">
        <v>26</v>
      </c>
      <c r="R676" s="4">
        <v>0</v>
      </c>
      <c r="S676" s="6">
        <v>0</v>
      </c>
      <c r="T676" s="6">
        <v>17</v>
      </c>
      <c r="U676" s="6">
        <v>54</v>
      </c>
      <c r="V676" s="6">
        <f>IF(ISERROR(VLOOKUP($S$676,'TAR FIN'!$A$1:$O$85,15,0)),0,VLOOKUP($S$676,'TAR FIN'!$A$1:$O$85,15,0))</f>
        <v>0</v>
      </c>
      <c r="W676" s="6">
        <f>IF(ISERROR(VLOOKUP($T$676,'TAR FIN'!$A$1:$O$85,15,0)),0,VLOOKUP($T$676,'TAR FIN'!$A$1:$O$85,15,0))</f>
        <v>91.27</v>
      </c>
      <c r="X676" s="6">
        <f>IF(ISERROR(VLOOKUP($U$676,'TAR FIN'!$A$1:$O$85,15,0)),0,VLOOKUP($U$676,'TAR FIN'!$A$1:$O$85,15,0))</f>
        <v>112.89</v>
      </c>
      <c r="Y676" s="6"/>
      <c r="Z676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76" s="6">
        <f>('TE BE'!$AB$11+'TE BF'!$AB$11+'TE CVA'!$AB$11)*(1-CUSTOS!$M$34)</f>
        <v>111.98393034267845</v>
      </c>
      <c r="AB676" s="6">
        <f>$K$676*$V$676</f>
        <v>0</v>
      </c>
      <c r="AC676" s="6">
        <f>$M$676*$W$676</f>
        <v>514.76279999999997</v>
      </c>
      <c r="AD676" s="6">
        <f>$O$676*$X$676</f>
        <v>636.69959999999992</v>
      </c>
      <c r="AE676" s="6">
        <f>$K$676*$Y$676</f>
        <v>0</v>
      </c>
      <c r="AF676" s="6">
        <f ca="1">$M$676*$Z$676</f>
        <v>570.27847278274157</v>
      </c>
      <c r="AG676" s="6">
        <f>$O$676*$AA$676</f>
        <v>631.58936713270646</v>
      </c>
    </row>
    <row r="677" spans="1:33" ht="11.25" customHeight="1" x14ac:dyDescent="0.25">
      <c r="A677" s="4" t="s">
        <v>21</v>
      </c>
      <c r="B677" s="4" t="s">
        <v>22</v>
      </c>
      <c r="C677" s="4" t="s">
        <v>23</v>
      </c>
      <c r="D677" s="4" t="s">
        <v>24</v>
      </c>
      <c r="E677" s="4" t="s">
        <v>29</v>
      </c>
      <c r="F677" s="4" t="s">
        <v>25</v>
      </c>
      <c r="G677" s="4" t="s">
        <v>25</v>
      </c>
      <c r="H677" s="4" t="s">
        <v>25</v>
      </c>
      <c r="I677" s="5">
        <v>44652</v>
      </c>
      <c r="J677" s="6">
        <v>0</v>
      </c>
      <c r="K677" s="6">
        <v>0</v>
      </c>
      <c r="L677" s="6">
        <v>404.76</v>
      </c>
      <c r="M677" s="6">
        <v>404.76</v>
      </c>
      <c r="N677" s="6">
        <v>404.76</v>
      </c>
      <c r="O677" s="6">
        <v>404.76</v>
      </c>
      <c r="P677" s="6">
        <v>389</v>
      </c>
      <c r="Q677" s="4" t="s">
        <v>26</v>
      </c>
      <c r="R677" s="4">
        <v>0</v>
      </c>
      <c r="S677" s="6">
        <v>0</v>
      </c>
      <c r="T677" s="6">
        <v>17</v>
      </c>
      <c r="U677" s="6">
        <v>54</v>
      </c>
      <c r="V677" s="6">
        <f>IF(ISERROR(VLOOKUP($S$677,'TAR FIN'!$A$1:$O$85,15,0)),0,VLOOKUP($S$677,'TAR FIN'!$A$1:$O$85,15,0))</f>
        <v>0</v>
      </c>
      <c r="W677" s="6">
        <f>IF(ISERROR(VLOOKUP($T$677,'TAR FIN'!$A$1:$O$85,15,0)),0,VLOOKUP($T$677,'TAR FIN'!$A$1:$O$85,15,0))</f>
        <v>91.27</v>
      </c>
      <c r="X677" s="6">
        <f>IF(ISERROR(VLOOKUP($U$677,'TAR FIN'!$A$1:$O$85,15,0)),0,VLOOKUP($U$677,'TAR FIN'!$A$1:$O$85,15,0))</f>
        <v>112.89</v>
      </c>
      <c r="Y677" s="6"/>
      <c r="Z677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77" s="6">
        <f>('TE BE'!$AB$11+'TE BF'!$AB$11+'TE CVA'!$AB$11)*(1-CUSTOS!$M$34)</f>
        <v>111.98393034267845</v>
      </c>
      <c r="AB677" s="6">
        <f>$K$677*$V$677</f>
        <v>0</v>
      </c>
      <c r="AC677" s="6">
        <f>$M$677*$W$677</f>
        <v>36942.445199999995</v>
      </c>
      <c r="AD677" s="6">
        <f>$O$677*$X$677</f>
        <v>45693.356399999997</v>
      </c>
      <c r="AE677" s="6">
        <f>$K$677*$Y$677</f>
        <v>0</v>
      </c>
      <c r="AF677" s="6">
        <f ca="1">$M$677*$Z$677</f>
        <v>40926.580610557176</v>
      </c>
      <c r="AG677" s="6">
        <f>$O$677*$AA$677</f>
        <v>45326.615645502527</v>
      </c>
    </row>
    <row r="678" spans="1:33" ht="11.25" customHeight="1" x14ac:dyDescent="0.25">
      <c r="A678" s="4" t="s">
        <v>27</v>
      </c>
      <c r="B678" s="4" t="s">
        <v>22</v>
      </c>
      <c r="C678" s="4" t="s">
        <v>23</v>
      </c>
      <c r="D678" s="4" t="s">
        <v>24</v>
      </c>
      <c r="E678" s="4" t="s">
        <v>29</v>
      </c>
      <c r="F678" s="4" t="s">
        <v>25</v>
      </c>
      <c r="G678" s="4" t="s">
        <v>25</v>
      </c>
      <c r="H678" s="4" t="s">
        <v>25</v>
      </c>
      <c r="I678" s="5">
        <v>44652</v>
      </c>
      <c r="J678" s="6">
        <v>0</v>
      </c>
      <c r="K678" s="6">
        <v>0</v>
      </c>
      <c r="L678" s="6">
        <v>0.18</v>
      </c>
      <c r="M678" s="6">
        <v>0.18</v>
      </c>
      <c r="N678" s="6">
        <v>0.18</v>
      </c>
      <c r="O678" s="6">
        <v>0.18</v>
      </c>
      <c r="P678" s="6">
        <v>2</v>
      </c>
      <c r="Q678" s="4" t="s">
        <v>26</v>
      </c>
      <c r="R678" s="4">
        <v>0</v>
      </c>
      <c r="S678" s="6">
        <v>0</v>
      </c>
      <c r="T678" s="6">
        <v>17</v>
      </c>
      <c r="U678" s="6">
        <v>54</v>
      </c>
      <c r="V678" s="6">
        <f>IF(ISERROR(VLOOKUP($S$678,'TAR FIN'!$A$1:$O$85,15,0)),0,VLOOKUP($S$678,'TAR FIN'!$A$1:$O$85,15,0))</f>
        <v>0</v>
      </c>
      <c r="W678" s="6">
        <f>IF(ISERROR(VLOOKUP($T$678,'TAR FIN'!$A$1:$O$85,15,0)),0,VLOOKUP($T$678,'TAR FIN'!$A$1:$O$85,15,0))</f>
        <v>91.27</v>
      </c>
      <c r="X678" s="6">
        <f>IF(ISERROR(VLOOKUP($U$678,'TAR FIN'!$A$1:$O$85,15,0)),0,VLOOKUP($U$678,'TAR FIN'!$A$1:$O$85,15,0))</f>
        <v>112.89</v>
      </c>
      <c r="Y678" s="6"/>
      <c r="Z678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78" s="6">
        <f>('TE BE'!$AB$11+'TE BF'!$AB$11+'TE CVA'!$AB$11)*(1-CUSTOS!$M$34)</f>
        <v>111.98393034267845</v>
      </c>
      <c r="AB678" s="6">
        <f>$K$678*$V$678</f>
        <v>0</v>
      </c>
      <c r="AC678" s="6">
        <f>$M$678*$W$678</f>
        <v>16.428599999999999</v>
      </c>
      <c r="AD678" s="6">
        <f>$O$678*$X$678</f>
        <v>20.3202</v>
      </c>
      <c r="AE678" s="6">
        <f>$K$678*$Y$678</f>
        <v>0</v>
      </c>
      <c r="AF678" s="6">
        <f ca="1">$M$678*$Z$678</f>
        <v>18.200376790938559</v>
      </c>
      <c r="AG678" s="6">
        <f>$O$678*$AA$678</f>
        <v>20.15710746168212</v>
      </c>
    </row>
    <row r="679" spans="1:33" ht="11.25" customHeight="1" x14ac:dyDescent="0.25">
      <c r="A679" s="4" t="s">
        <v>28</v>
      </c>
      <c r="B679" s="4" t="s">
        <v>22</v>
      </c>
      <c r="C679" s="4" t="s">
        <v>23</v>
      </c>
      <c r="D679" s="4" t="s">
        <v>24</v>
      </c>
      <c r="E679" s="4" t="s">
        <v>29</v>
      </c>
      <c r="F679" s="4" t="s">
        <v>25</v>
      </c>
      <c r="G679" s="4" t="s">
        <v>25</v>
      </c>
      <c r="H679" s="4" t="s">
        <v>25</v>
      </c>
      <c r="I679" s="5">
        <v>44652</v>
      </c>
      <c r="J679" s="6">
        <v>0</v>
      </c>
      <c r="K679" s="6">
        <v>0</v>
      </c>
      <c r="L679" s="6">
        <v>5.46</v>
      </c>
      <c r="M679" s="6">
        <v>5.46</v>
      </c>
      <c r="N679" s="6">
        <v>5.46</v>
      </c>
      <c r="O679" s="6">
        <v>5.46</v>
      </c>
      <c r="P679" s="6">
        <v>19</v>
      </c>
      <c r="Q679" s="4" t="s">
        <v>26</v>
      </c>
      <c r="R679" s="4">
        <v>0</v>
      </c>
      <c r="S679" s="6">
        <v>0</v>
      </c>
      <c r="T679" s="6">
        <v>17</v>
      </c>
      <c r="U679" s="6">
        <v>54</v>
      </c>
      <c r="V679" s="6">
        <f>IF(ISERROR(VLOOKUP($S$679,'TAR FIN'!$A$1:$O$85,15,0)),0,VLOOKUP($S$679,'TAR FIN'!$A$1:$O$85,15,0))</f>
        <v>0</v>
      </c>
      <c r="W679" s="6">
        <f>IF(ISERROR(VLOOKUP($T$679,'TAR FIN'!$A$1:$O$85,15,0)),0,VLOOKUP($T$679,'TAR FIN'!$A$1:$O$85,15,0))</f>
        <v>91.27</v>
      </c>
      <c r="X679" s="6">
        <f>IF(ISERROR(VLOOKUP($U$679,'TAR FIN'!$A$1:$O$85,15,0)),0,VLOOKUP($U$679,'TAR FIN'!$A$1:$O$85,15,0))</f>
        <v>112.89</v>
      </c>
      <c r="Y679" s="6"/>
      <c r="Z679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79" s="6">
        <f>('TE BE'!$AB$11+'TE BF'!$AB$11+'TE CVA'!$AB$11)*(1-CUSTOS!$M$34)</f>
        <v>111.98393034267845</v>
      </c>
      <c r="AB679" s="6">
        <f>$K$679*$V$679</f>
        <v>0</v>
      </c>
      <c r="AC679" s="6">
        <f>$M$679*$W$679</f>
        <v>498.33419999999995</v>
      </c>
      <c r="AD679" s="6">
        <f>$O$679*$X$679</f>
        <v>616.37940000000003</v>
      </c>
      <c r="AE679" s="6">
        <f>$K$679*$Y$679</f>
        <v>0</v>
      </c>
      <c r="AF679" s="6">
        <f ca="1">$M$679*$Z$679</f>
        <v>552.07809599180302</v>
      </c>
      <c r="AG679" s="6">
        <f>$O$679*$AA$679</f>
        <v>611.43225967102433</v>
      </c>
    </row>
    <row r="680" spans="1:33" ht="11.25" customHeight="1" x14ac:dyDescent="0.25">
      <c r="A680" s="4" t="s">
        <v>21</v>
      </c>
      <c r="B680" s="4" t="s">
        <v>22</v>
      </c>
      <c r="C680" s="4" t="s">
        <v>23</v>
      </c>
      <c r="D680" s="4" t="s">
        <v>24</v>
      </c>
      <c r="E680" s="4" t="s">
        <v>29</v>
      </c>
      <c r="F680" s="4" t="s">
        <v>25</v>
      </c>
      <c r="G680" s="4" t="s">
        <v>25</v>
      </c>
      <c r="H680" s="4" t="s">
        <v>25</v>
      </c>
      <c r="I680" s="5">
        <v>44682</v>
      </c>
      <c r="J680" s="6">
        <v>0</v>
      </c>
      <c r="K680" s="6">
        <v>0</v>
      </c>
      <c r="L680" s="6">
        <v>373.44</v>
      </c>
      <c r="M680" s="6">
        <v>373.44</v>
      </c>
      <c r="N680" s="6">
        <v>373.44</v>
      </c>
      <c r="O680" s="6">
        <v>373.44</v>
      </c>
      <c r="P680" s="6">
        <v>462</v>
      </c>
      <c r="Q680" s="4" t="s">
        <v>26</v>
      </c>
      <c r="R680" s="4">
        <v>0</v>
      </c>
      <c r="S680" s="6">
        <v>0</v>
      </c>
      <c r="T680" s="6">
        <v>17</v>
      </c>
      <c r="U680" s="6">
        <v>54</v>
      </c>
      <c r="V680" s="6">
        <f>IF(ISERROR(VLOOKUP($S$680,'TAR FIN'!$A$1:$O$85,15,0)),0,VLOOKUP($S$680,'TAR FIN'!$A$1:$O$85,15,0))</f>
        <v>0</v>
      </c>
      <c r="W680" s="6">
        <f>IF(ISERROR(VLOOKUP($T$680,'TAR FIN'!$A$1:$O$85,15,0)),0,VLOOKUP($T$680,'TAR FIN'!$A$1:$O$85,15,0))</f>
        <v>91.27</v>
      </c>
      <c r="X680" s="6">
        <f>IF(ISERROR(VLOOKUP($U$680,'TAR FIN'!$A$1:$O$85,15,0)),0,VLOOKUP($U$680,'TAR FIN'!$A$1:$O$85,15,0))</f>
        <v>112.89</v>
      </c>
      <c r="Y680" s="6"/>
      <c r="Z680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80" s="6">
        <f>('TE BE'!$AB$11+'TE BF'!$AB$11+'TE CVA'!$AB$11)*(1-CUSTOS!$M$34)</f>
        <v>111.98393034267845</v>
      </c>
      <c r="AB680" s="6">
        <f>$K$680*$V$680</f>
        <v>0</v>
      </c>
      <c r="AC680" s="6">
        <f>$M$680*$W$680</f>
        <v>34083.868799999997</v>
      </c>
      <c r="AD680" s="6">
        <f>$O$680*$X$680</f>
        <v>42157.641600000003</v>
      </c>
      <c r="AE680" s="6">
        <f>$K$680*$Y$680</f>
        <v>0</v>
      </c>
      <c r="AF680" s="6">
        <f ca="1">$M$680*$Z$680</f>
        <v>37759.715048933867</v>
      </c>
      <c r="AG680" s="6">
        <f>$O$680*$AA$680</f>
        <v>41819.278947169842</v>
      </c>
    </row>
    <row r="681" spans="1:33" ht="11.25" customHeight="1" x14ac:dyDescent="0.25">
      <c r="A681" s="4" t="s">
        <v>27</v>
      </c>
      <c r="B681" s="4" t="s">
        <v>22</v>
      </c>
      <c r="C681" s="4" t="s">
        <v>23</v>
      </c>
      <c r="D681" s="4" t="s">
        <v>24</v>
      </c>
      <c r="E681" s="4" t="s">
        <v>29</v>
      </c>
      <c r="F681" s="4" t="s">
        <v>25</v>
      </c>
      <c r="G681" s="4" t="s">
        <v>25</v>
      </c>
      <c r="H681" s="4" t="s">
        <v>25</v>
      </c>
      <c r="I681" s="5">
        <v>44682</v>
      </c>
      <c r="J681" s="6">
        <v>0</v>
      </c>
      <c r="K681" s="6">
        <v>0</v>
      </c>
      <c r="L681" s="6">
        <v>0.12</v>
      </c>
      <c r="M681" s="6">
        <v>0.12</v>
      </c>
      <c r="N681" s="6">
        <v>0.12</v>
      </c>
      <c r="O681" s="6">
        <v>0.12</v>
      </c>
      <c r="P681" s="6">
        <v>1</v>
      </c>
      <c r="Q681" s="4" t="s">
        <v>26</v>
      </c>
      <c r="R681" s="4">
        <v>0</v>
      </c>
      <c r="S681" s="6">
        <v>0</v>
      </c>
      <c r="T681" s="6">
        <v>17</v>
      </c>
      <c r="U681" s="6">
        <v>54</v>
      </c>
      <c r="V681" s="6">
        <f>IF(ISERROR(VLOOKUP($S$681,'TAR FIN'!$A$1:$O$85,15,0)),0,VLOOKUP($S$681,'TAR FIN'!$A$1:$O$85,15,0))</f>
        <v>0</v>
      </c>
      <c r="W681" s="6">
        <f>IF(ISERROR(VLOOKUP($T$681,'TAR FIN'!$A$1:$O$85,15,0)),0,VLOOKUP($T$681,'TAR FIN'!$A$1:$O$85,15,0))</f>
        <v>91.27</v>
      </c>
      <c r="X681" s="6">
        <f>IF(ISERROR(VLOOKUP($U$681,'TAR FIN'!$A$1:$O$85,15,0)),0,VLOOKUP($U$681,'TAR FIN'!$A$1:$O$85,15,0))</f>
        <v>112.89</v>
      </c>
      <c r="Y681" s="6"/>
      <c r="Z681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81" s="6">
        <f>('TE BE'!$AB$11+'TE BF'!$AB$11+'TE CVA'!$AB$11)*(1-CUSTOS!$M$34)</f>
        <v>111.98393034267845</v>
      </c>
      <c r="AB681" s="6">
        <f>$K$681*$V$681</f>
        <v>0</v>
      </c>
      <c r="AC681" s="6">
        <f>$M$681*$W$681</f>
        <v>10.952399999999999</v>
      </c>
      <c r="AD681" s="6">
        <f>$O$681*$X$681</f>
        <v>13.546799999999999</v>
      </c>
      <c r="AE681" s="6">
        <f>$K$681*$Y$681</f>
        <v>0</v>
      </c>
      <c r="AF681" s="6">
        <f ca="1">$M$681*$Z$681</f>
        <v>12.133584527292374</v>
      </c>
      <c r="AG681" s="6">
        <f>$O$681*$AA$681</f>
        <v>13.438071641121413</v>
      </c>
    </row>
    <row r="682" spans="1:33" ht="11.25" customHeight="1" x14ac:dyDescent="0.25">
      <c r="A682" s="4" t="s">
        <v>28</v>
      </c>
      <c r="B682" s="4" t="s">
        <v>22</v>
      </c>
      <c r="C682" s="4" t="s">
        <v>23</v>
      </c>
      <c r="D682" s="4" t="s">
        <v>24</v>
      </c>
      <c r="E682" s="4" t="s">
        <v>29</v>
      </c>
      <c r="F682" s="4" t="s">
        <v>25</v>
      </c>
      <c r="G682" s="4" t="s">
        <v>25</v>
      </c>
      <c r="H682" s="4" t="s">
        <v>25</v>
      </c>
      <c r="I682" s="5">
        <v>44682</v>
      </c>
      <c r="J682" s="6">
        <v>0</v>
      </c>
      <c r="K682" s="6">
        <v>0</v>
      </c>
      <c r="L682" s="6">
        <v>4.92</v>
      </c>
      <c r="M682" s="6">
        <v>4.92</v>
      </c>
      <c r="N682" s="6">
        <v>4.92</v>
      </c>
      <c r="O682" s="6">
        <v>4.92</v>
      </c>
      <c r="P682" s="6">
        <v>17</v>
      </c>
      <c r="Q682" s="4" t="s">
        <v>26</v>
      </c>
      <c r="R682" s="4">
        <v>0</v>
      </c>
      <c r="S682" s="6">
        <v>0</v>
      </c>
      <c r="T682" s="6">
        <v>17</v>
      </c>
      <c r="U682" s="6">
        <v>54</v>
      </c>
      <c r="V682" s="6">
        <f>IF(ISERROR(VLOOKUP($S$682,'TAR FIN'!$A$1:$O$85,15,0)),0,VLOOKUP($S$682,'TAR FIN'!$A$1:$O$85,15,0))</f>
        <v>0</v>
      </c>
      <c r="W682" s="6">
        <f>IF(ISERROR(VLOOKUP($T$682,'TAR FIN'!$A$1:$O$85,15,0)),0,VLOOKUP($T$682,'TAR FIN'!$A$1:$O$85,15,0))</f>
        <v>91.27</v>
      </c>
      <c r="X682" s="6">
        <f>IF(ISERROR(VLOOKUP($U$682,'TAR FIN'!$A$1:$O$85,15,0)),0,VLOOKUP($U$682,'TAR FIN'!$A$1:$O$85,15,0))</f>
        <v>112.89</v>
      </c>
      <c r="Y682" s="6"/>
      <c r="Z682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82" s="6">
        <f>('TE BE'!$AB$11+'TE BF'!$AB$11+'TE CVA'!$AB$11)*(1-CUSTOS!$M$34)</f>
        <v>111.98393034267845</v>
      </c>
      <c r="AB682" s="6">
        <f>$K$682*$V$682</f>
        <v>0</v>
      </c>
      <c r="AC682" s="6">
        <f>$M$682*$W$682</f>
        <v>449.04839999999996</v>
      </c>
      <c r="AD682" s="6">
        <f>$O$682*$X$682</f>
        <v>555.41880000000003</v>
      </c>
      <c r="AE682" s="6">
        <f>$K$682*$Y$682</f>
        <v>0</v>
      </c>
      <c r="AF682" s="6">
        <f ca="1">$M$682*$Z$682</f>
        <v>497.47696561898732</v>
      </c>
      <c r="AG682" s="6">
        <f>$O$682*$AA$682</f>
        <v>550.96093728597793</v>
      </c>
    </row>
    <row r="683" spans="1:33" ht="11.25" customHeight="1" x14ac:dyDescent="0.25">
      <c r="A683" s="4" t="s">
        <v>21</v>
      </c>
      <c r="B683" s="4" t="s">
        <v>22</v>
      </c>
      <c r="C683" s="4" t="s">
        <v>23</v>
      </c>
      <c r="D683" s="4" t="s">
        <v>24</v>
      </c>
      <c r="E683" s="4" t="s">
        <v>29</v>
      </c>
      <c r="F683" s="4" t="s">
        <v>25</v>
      </c>
      <c r="G683" s="4" t="s">
        <v>25</v>
      </c>
      <c r="H683" s="4" t="s">
        <v>25</v>
      </c>
      <c r="I683" s="5">
        <v>44713</v>
      </c>
      <c r="J683" s="6">
        <v>0</v>
      </c>
      <c r="K683" s="6">
        <v>0</v>
      </c>
      <c r="L683" s="6">
        <v>393.57</v>
      </c>
      <c r="M683" s="6">
        <v>393.57</v>
      </c>
      <c r="N683" s="6">
        <v>393.57</v>
      </c>
      <c r="O683" s="6">
        <v>393.57</v>
      </c>
      <c r="P683" s="6">
        <v>524</v>
      </c>
      <c r="Q683" s="4" t="s">
        <v>26</v>
      </c>
      <c r="R683" s="4">
        <v>0</v>
      </c>
      <c r="S683" s="6">
        <v>0</v>
      </c>
      <c r="T683" s="6">
        <v>17</v>
      </c>
      <c r="U683" s="6">
        <v>54</v>
      </c>
      <c r="V683" s="6">
        <f>IF(ISERROR(VLOOKUP($S$683,'TAR FIN'!$A$1:$O$85,15,0)),0,VLOOKUP($S$683,'TAR FIN'!$A$1:$O$85,15,0))</f>
        <v>0</v>
      </c>
      <c r="W683" s="6">
        <f>IF(ISERROR(VLOOKUP($T$683,'TAR FIN'!$A$1:$O$85,15,0)),0,VLOOKUP($T$683,'TAR FIN'!$A$1:$O$85,15,0))</f>
        <v>91.27</v>
      </c>
      <c r="X683" s="6">
        <f>IF(ISERROR(VLOOKUP($U$683,'TAR FIN'!$A$1:$O$85,15,0)),0,VLOOKUP($U$683,'TAR FIN'!$A$1:$O$85,15,0))</f>
        <v>112.89</v>
      </c>
      <c r="Y683" s="6"/>
      <c r="Z683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83" s="6">
        <f>('TE BE'!$AB$11+'TE BF'!$AB$11+'TE CVA'!$AB$11)*(1-CUSTOS!$M$34)</f>
        <v>111.98393034267845</v>
      </c>
      <c r="AB683" s="6">
        <f>$K$683*$V$683</f>
        <v>0</v>
      </c>
      <c r="AC683" s="6">
        <f>$M$683*$W$683</f>
        <v>35921.133900000001</v>
      </c>
      <c r="AD683" s="6">
        <f>$O$683*$X$683</f>
        <v>44430.117299999998</v>
      </c>
      <c r="AE683" s="6">
        <f>$K$683*$Y$683</f>
        <v>0</v>
      </c>
      <c r="AF683" s="6">
        <f ca="1">$M$683*$Z$683</f>
        <v>39795.123853387166</v>
      </c>
      <c r="AG683" s="6">
        <f>$O$683*$AA$683</f>
        <v>44073.515464967953</v>
      </c>
    </row>
    <row r="684" spans="1:33" ht="11.25" customHeight="1" x14ac:dyDescent="0.25">
      <c r="A684" s="4" t="s">
        <v>27</v>
      </c>
      <c r="B684" s="4" t="s">
        <v>22</v>
      </c>
      <c r="C684" s="4" t="s">
        <v>23</v>
      </c>
      <c r="D684" s="4" t="s">
        <v>24</v>
      </c>
      <c r="E684" s="4" t="s">
        <v>29</v>
      </c>
      <c r="F684" s="4" t="s">
        <v>25</v>
      </c>
      <c r="G684" s="4" t="s">
        <v>25</v>
      </c>
      <c r="H684" s="4" t="s">
        <v>25</v>
      </c>
      <c r="I684" s="5">
        <v>44713</v>
      </c>
      <c r="J684" s="6">
        <v>0</v>
      </c>
      <c r="K684" s="6">
        <v>0</v>
      </c>
      <c r="L684" s="6">
        <v>0.12</v>
      </c>
      <c r="M684" s="6">
        <v>0.12</v>
      </c>
      <c r="N684" s="6">
        <v>0.12</v>
      </c>
      <c r="O684" s="6">
        <v>0.12</v>
      </c>
      <c r="P684" s="6">
        <v>2</v>
      </c>
      <c r="Q684" s="4" t="s">
        <v>26</v>
      </c>
      <c r="R684" s="4">
        <v>0</v>
      </c>
      <c r="S684" s="6">
        <v>0</v>
      </c>
      <c r="T684" s="6">
        <v>17</v>
      </c>
      <c r="U684" s="6">
        <v>54</v>
      </c>
      <c r="V684" s="6">
        <f>IF(ISERROR(VLOOKUP($S$684,'TAR FIN'!$A$1:$O$85,15,0)),0,VLOOKUP($S$684,'TAR FIN'!$A$1:$O$85,15,0))</f>
        <v>0</v>
      </c>
      <c r="W684" s="6">
        <f>IF(ISERROR(VLOOKUP($T$684,'TAR FIN'!$A$1:$O$85,15,0)),0,VLOOKUP($T$684,'TAR FIN'!$A$1:$O$85,15,0))</f>
        <v>91.27</v>
      </c>
      <c r="X684" s="6">
        <f>IF(ISERROR(VLOOKUP($U$684,'TAR FIN'!$A$1:$O$85,15,0)),0,VLOOKUP($U$684,'TAR FIN'!$A$1:$O$85,15,0))</f>
        <v>112.89</v>
      </c>
      <c r="Y684" s="6"/>
      <c r="Z684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84" s="6">
        <f>('TE BE'!$AB$11+'TE BF'!$AB$11+'TE CVA'!$AB$11)*(1-CUSTOS!$M$34)</f>
        <v>111.98393034267845</v>
      </c>
      <c r="AB684" s="6">
        <f>$K$684*$V$684</f>
        <v>0</v>
      </c>
      <c r="AC684" s="6">
        <f>$M$684*$W$684</f>
        <v>10.952399999999999</v>
      </c>
      <c r="AD684" s="6">
        <f>$O$684*$X$684</f>
        <v>13.546799999999999</v>
      </c>
      <c r="AE684" s="6">
        <f>$K$684*$Y$684</f>
        <v>0</v>
      </c>
      <c r="AF684" s="6">
        <f ca="1">$M$684*$Z$684</f>
        <v>12.133584527292374</v>
      </c>
      <c r="AG684" s="6">
        <f>$O$684*$AA$684</f>
        <v>13.438071641121413</v>
      </c>
    </row>
    <row r="685" spans="1:33" ht="11.25" customHeight="1" x14ac:dyDescent="0.25">
      <c r="A685" s="4" t="s">
        <v>28</v>
      </c>
      <c r="B685" s="4" t="s">
        <v>22</v>
      </c>
      <c r="C685" s="4" t="s">
        <v>23</v>
      </c>
      <c r="D685" s="4" t="s">
        <v>24</v>
      </c>
      <c r="E685" s="4" t="s">
        <v>29</v>
      </c>
      <c r="F685" s="4" t="s">
        <v>25</v>
      </c>
      <c r="G685" s="4" t="s">
        <v>25</v>
      </c>
      <c r="H685" s="4" t="s">
        <v>25</v>
      </c>
      <c r="I685" s="5">
        <v>44713</v>
      </c>
      <c r="J685" s="6">
        <v>0</v>
      </c>
      <c r="K685" s="6">
        <v>0</v>
      </c>
      <c r="L685" s="6">
        <v>5.25</v>
      </c>
      <c r="M685" s="6">
        <v>5.25</v>
      </c>
      <c r="N685" s="6">
        <v>5.25</v>
      </c>
      <c r="O685" s="6">
        <v>5.25</v>
      </c>
      <c r="P685" s="6">
        <v>20</v>
      </c>
      <c r="Q685" s="4" t="s">
        <v>26</v>
      </c>
      <c r="R685" s="4">
        <v>0</v>
      </c>
      <c r="S685" s="6">
        <v>0</v>
      </c>
      <c r="T685" s="6">
        <v>17</v>
      </c>
      <c r="U685" s="6">
        <v>54</v>
      </c>
      <c r="V685" s="6">
        <f>IF(ISERROR(VLOOKUP($S$685,'TAR FIN'!$A$1:$O$85,15,0)),0,VLOOKUP($S$685,'TAR FIN'!$A$1:$O$85,15,0))</f>
        <v>0</v>
      </c>
      <c r="W685" s="6">
        <f>IF(ISERROR(VLOOKUP($T$685,'TAR FIN'!$A$1:$O$85,15,0)),0,VLOOKUP($T$685,'TAR FIN'!$A$1:$O$85,15,0))</f>
        <v>91.27</v>
      </c>
      <c r="X685" s="6">
        <f>IF(ISERROR(VLOOKUP($U$685,'TAR FIN'!$A$1:$O$85,15,0)),0,VLOOKUP($U$685,'TAR FIN'!$A$1:$O$85,15,0))</f>
        <v>112.89</v>
      </c>
      <c r="Y685" s="6"/>
      <c r="Z685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85" s="6">
        <f>('TE BE'!$AB$11+'TE BF'!$AB$11+'TE CVA'!$AB$11)*(1-CUSTOS!$M$34)</f>
        <v>111.98393034267845</v>
      </c>
      <c r="AB685" s="6">
        <f>$K$685*$V$685</f>
        <v>0</v>
      </c>
      <c r="AC685" s="6">
        <f>$M$685*$W$685</f>
        <v>479.16749999999996</v>
      </c>
      <c r="AD685" s="6">
        <f>$O$685*$X$685</f>
        <v>592.67250000000001</v>
      </c>
      <c r="AE685" s="6">
        <f>$K$685*$Y$685</f>
        <v>0</v>
      </c>
      <c r="AF685" s="6">
        <f ca="1">$M$685*$Z$685</f>
        <v>530.84432306904137</v>
      </c>
      <c r="AG685" s="6">
        <f>$O$685*$AA$685</f>
        <v>587.91563429906182</v>
      </c>
    </row>
    <row r="686" spans="1:33" ht="11.25" customHeight="1" x14ac:dyDescent="0.25">
      <c r="A686" s="4" t="s">
        <v>21</v>
      </c>
      <c r="B686" s="4" t="s">
        <v>22</v>
      </c>
      <c r="C686" s="4" t="s">
        <v>23</v>
      </c>
      <c r="D686" s="4" t="s">
        <v>24</v>
      </c>
      <c r="E686" s="4" t="s">
        <v>29</v>
      </c>
      <c r="F686" s="4" t="s">
        <v>25</v>
      </c>
      <c r="G686" s="4" t="s">
        <v>25</v>
      </c>
      <c r="H686" s="4" t="s">
        <v>25</v>
      </c>
      <c r="I686" s="5">
        <v>44743</v>
      </c>
      <c r="J686" s="6">
        <v>0</v>
      </c>
      <c r="K686" s="6">
        <v>0</v>
      </c>
      <c r="L686" s="6">
        <v>332.52</v>
      </c>
      <c r="M686" s="6">
        <v>332.52</v>
      </c>
      <c r="N686" s="6">
        <v>332.52</v>
      </c>
      <c r="O686" s="6">
        <v>332.52</v>
      </c>
      <c r="P686" s="6">
        <v>445</v>
      </c>
      <c r="Q686" s="4" t="s">
        <v>26</v>
      </c>
      <c r="R686" s="4">
        <v>0</v>
      </c>
      <c r="S686" s="6">
        <v>0</v>
      </c>
      <c r="T686" s="6">
        <v>17</v>
      </c>
      <c r="U686" s="6">
        <v>54</v>
      </c>
      <c r="V686" s="6">
        <f>IF(ISERROR(VLOOKUP($S$686,'TAR FIN'!$A$1:$O$85,15,0)),0,VLOOKUP($S$686,'TAR FIN'!$A$1:$O$85,15,0))</f>
        <v>0</v>
      </c>
      <c r="W686" s="6">
        <f>IF(ISERROR(VLOOKUP($T$686,'TAR FIN'!$A$1:$O$85,15,0)),0,VLOOKUP($T$686,'TAR FIN'!$A$1:$O$85,15,0))</f>
        <v>91.27</v>
      </c>
      <c r="X686" s="6">
        <f>IF(ISERROR(VLOOKUP($U$686,'TAR FIN'!$A$1:$O$85,15,0)),0,VLOOKUP($U$686,'TAR FIN'!$A$1:$O$85,15,0))</f>
        <v>112.89</v>
      </c>
      <c r="Y686" s="6"/>
      <c r="Z686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86" s="6">
        <f>('TE BE'!$AB$11+'TE BF'!$AB$11+'TE CVA'!$AB$11)*(1-CUSTOS!$M$34)</f>
        <v>111.98393034267845</v>
      </c>
      <c r="AB686" s="6">
        <f>$K$686*$V$686</f>
        <v>0</v>
      </c>
      <c r="AC686" s="6">
        <f>$M$686*$W$686</f>
        <v>30349.100399999996</v>
      </c>
      <c r="AD686" s="6">
        <f>$O$686*$X$686</f>
        <v>37538.182799999995</v>
      </c>
      <c r="AE686" s="6">
        <f>$K$686*$Y$686</f>
        <v>0</v>
      </c>
      <c r="AF686" s="6">
        <f ca="1">$M$686*$Z$686</f>
        <v>33622.162725127171</v>
      </c>
      <c r="AG686" s="6">
        <f>$O$686*$AA$686</f>
        <v>37236.896517547437</v>
      </c>
    </row>
    <row r="687" spans="1:33" ht="11.25" customHeight="1" x14ac:dyDescent="0.25">
      <c r="A687" s="4" t="s">
        <v>27</v>
      </c>
      <c r="B687" s="4" t="s">
        <v>22</v>
      </c>
      <c r="C687" s="4" t="s">
        <v>23</v>
      </c>
      <c r="D687" s="4" t="s">
        <v>24</v>
      </c>
      <c r="E687" s="4" t="s">
        <v>29</v>
      </c>
      <c r="F687" s="4" t="s">
        <v>25</v>
      </c>
      <c r="G687" s="4" t="s">
        <v>25</v>
      </c>
      <c r="H687" s="4" t="s">
        <v>25</v>
      </c>
      <c r="I687" s="5">
        <v>44743</v>
      </c>
      <c r="J687" s="6">
        <v>0</v>
      </c>
      <c r="K687" s="6">
        <v>0</v>
      </c>
      <c r="L687" s="6">
        <v>0.18</v>
      </c>
      <c r="M687" s="6">
        <v>0.18</v>
      </c>
      <c r="N687" s="6">
        <v>0.18</v>
      </c>
      <c r="O687" s="6">
        <v>0.18</v>
      </c>
      <c r="P687" s="6">
        <v>4</v>
      </c>
      <c r="Q687" s="4" t="s">
        <v>26</v>
      </c>
      <c r="R687" s="4">
        <v>0</v>
      </c>
      <c r="S687" s="6">
        <v>0</v>
      </c>
      <c r="T687" s="6">
        <v>17</v>
      </c>
      <c r="U687" s="6">
        <v>54</v>
      </c>
      <c r="V687" s="6">
        <f>IF(ISERROR(VLOOKUP($S$687,'TAR FIN'!$A$1:$O$85,15,0)),0,VLOOKUP($S$687,'TAR FIN'!$A$1:$O$85,15,0))</f>
        <v>0</v>
      </c>
      <c r="W687" s="6">
        <f>IF(ISERROR(VLOOKUP($T$687,'TAR FIN'!$A$1:$O$85,15,0)),0,VLOOKUP($T$687,'TAR FIN'!$A$1:$O$85,15,0))</f>
        <v>91.27</v>
      </c>
      <c r="X687" s="6">
        <f>IF(ISERROR(VLOOKUP($U$687,'TAR FIN'!$A$1:$O$85,15,0)),0,VLOOKUP($U$687,'TAR FIN'!$A$1:$O$85,15,0))</f>
        <v>112.89</v>
      </c>
      <c r="Y687" s="6"/>
      <c r="Z687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87" s="6">
        <f>('TE BE'!$AB$11+'TE BF'!$AB$11+'TE CVA'!$AB$11)*(1-CUSTOS!$M$34)</f>
        <v>111.98393034267845</v>
      </c>
      <c r="AB687" s="6">
        <f>$K$687*$V$687</f>
        <v>0</v>
      </c>
      <c r="AC687" s="6">
        <f>$M$687*$W$687</f>
        <v>16.428599999999999</v>
      </c>
      <c r="AD687" s="6">
        <f>$O$687*$X$687</f>
        <v>20.3202</v>
      </c>
      <c r="AE687" s="6">
        <f>$K$687*$Y$687</f>
        <v>0</v>
      </c>
      <c r="AF687" s="6">
        <f ca="1">$M$687*$Z$687</f>
        <v>18.200376790938559</v>
      </c>
      <c r="AG687" s="6">
        <f>$O$687*$AA$687</f>
        <v>20.15710746168212</v>
      </c>
    </row>
    <row r="688" spans="1:33" ht="11.25" customHeight="1" x14ac:dyDescent="0.25">
      <c r="A688" s="4" t="s">
        <v>28</v>
      </c>
      <c r="B688" s="4" t="s">
        <v>22</v>
      </c>
      <c r="C688" s="4" t="s">
        <v>23</v>
      </c>
      <c r="D688" s="4" t="s">
        <v>24</v>
      </c>
      <c r="E688" s="4" t="s">
        <v>29</v>
      </c>
      <c r="F688" s="4" t="s">
        <v>25</v>
      </c>
      <c r="G688" s="4" t="s">
        <v>25</v>
      </c>
      <c r="H688" s="4" t="s">
        <v>25</v>
      </c>
      <c r="I688" s="5">
        <v>44743</v>
      </c>
      <c r="J688" s="6">
        <v>0</v>
      </c>
      <c r="K688" s="6">
        <v>0</v>
      </c>
      <c r="L688" s="6">
        <v>4.5</v>
      </c>
      <c r="M688" s="6">
        <v>4.5</v>
      </c>
      <c r="N688" s="6">
        <v>4.5</v>
      </c>
      <c r="O688" s="6">
        <v>4.5</v>
      </c>
      <c r="P688" s="6">
        <v>16</v>
      </c>
      <c r="Q688" s="4" t="s">
        <v>26</v>
      </c>
      <c r="R688" s="4">
        <v>0</v>
      </c>
      <c r="S688" s="6">
        <v>0</v>
      </c>
      <c r="T688" s="6">
        <v>17</v>
      </c>
      <c r="U688" s="6">
        <v>54</v>
      </c>
      <c r="V688" s="6">
        <f>IF(ISERROR(VLOOKUP($S$688,'TAR FIN'!$A$1:$O$85,15,0)),0,VLOOKUP($S$688,'TAR FIN'!$A$1:$O$85,15,0))</f>
        <v>0</v>
      </c>
      <c r="W688" s="6">
        <f>IF(ISERROR(VLOOKUP($T$688,'TAR FIN'!$A$1:$O$85,15,0)),0,VLOOKUP($T$688,'TAR FIN'!$A$1:$O$85,15,0))</f>
        <v>91.27</v>
      </c>
      <c r="X688" s="6">
        <f>IF(ISERROR(VLOOKUP($U$688,'TAR FIN'!$A$1:$O$85,15,0)),0,VLOOKUP($U$688,'TAR FIN'!$A$1:$O$85,15,0))</f>
        <v>112.89</v>
      </c>
      <c r="Y688" s="6"/>
      <c r="Z688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88" s="6">
        <f>('TE BE'!$AB$11+'TE BF'!$AB$11+'TE CVA'!$AB$11)*(1-CUSTOS!$M$34)</f>
        <v>111.98393034267845</v>
      </c>
      <c r="AB688" s="6">
        <f>$K$688*$V$688</f>
        <v>0</v>
      </c>
      <c r="AC688" s="6">
        <f>$M$688*$W$688</f>
        <v>410.71499999999997</v>
      </c>
      <c r="AD688" s="6">
        <f>$O$688*$X$688</f>
        <v>508.005</v>
      </c>
      <c r="AE688" s="6">
        <f>$K$688*$Y$688</f>
        <v>0</v>
      </c>
      <c r="AF688" s="6">
        <f ca="1">$M$688*$Z$688</f>
        <v>455.00941977346406</v>
      </c>
      <c r="AG688" s="6">
        <f>$O$688*$AA$688</f>
        <v>503.92768654205304</v>
      </c>
    </row>
    <row r="689" spans="1:33" ht="11.25" customHeight="1" x14ac:dyDescent="0.25">
      <c r="A689" s="4" t="s">
        <v>56</v>
      </c>
      <c r="B689" s="4" t="s">
        <v>22</v>
      </c>
      <c r="C689" s="4" t="s">
        <v>23</v>
      </c>
      <c r="D689" s="4" t="s">
        <v>24</v>
      </c>
      <c r="E689" s="4" t="s">
        <v>29</v>
      </c>
      <c r="F689" s="4" t="s">
        <v>25</v>
      </c>
      <c r="G689" s="4" t="s">
        <v>25</v>
      </c>
      <c r="H689" s="4" t="s">
        <v>25</v>
      </c>
      <c r="I689" s="5">
        <v>44774</v>
      </c>
      <c r="J689" s="6">
        <v>0</v>
      </c>
      <c r="K689" s="6">
        <v>0</v>
      </c>
      <c r="L689" s="6">
        <v>332.52</v>
      </c>
      <c r="M689" s="6">
        <v>332.52</v>
      </c>
      <c r="N689" s="6">
        <v>332.52</v>
      </c>
      <c r="O689" s="6">
        <v>332.52</v>
      </c>
      <c r="P689" s="6">
        <v>445</v>
      </c>
      <c r="Q689" s="4" t="s">
        <v>26</v>
      </c>
      <c r="R689" s="4">
        <v>0</v>
      </c>
      <c r="S689" s="6">
        <v>0</v>
      </c>
      <c r="T689" s="6">
        <v>17</v>
      </c>
      <c r="U689" s="6">
        <v>54</v>
      </c>
      <c r="V689" s="6">
        <f>IF(ISERROR(VLOOKUP($S$689,'TAR FIN'!$A$1:$O$85,15,0)),0,VLOOKUP($S$689,'TAR FIN'!$A$1:$O$85,15,0))</f>
        <v>0</v>
      </c>
      <c r="W689" s="6">
        <f>IF(ISERROR(VLOOKUP($T$689,'TAR FIN'!$A$1:$O$85,15,0)),0,VLOOKUP($T$689,'TAR FIN'!$A$1:$O$85,15,0))</f>
        <v>91.27</v>
      </c>
      <c r="X689" s="6">
        <f>IF(ISERROR(VLOOKUP($U$689,'TAR FIN'!$A$1:$O$85,15,0)),0,VLOOKUP($U$689,'TAR FIN'!$A$1:$O$85,15,0))</f>
        <v>112.89</v>
      </c>
      <c r="Y689" s="6"/>
      <c r="Z689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89" s="6">
        <f>('TE BE'!$AB$11+'TE BF'!$AB$11+'TE CVA'!$AB$11)*(1-CUSTOS!$M$34)</f>
        <v>111.98393034267845</v>
      </c>
      <c r="AB689" s="6">
        <f>$K$689*$V$689</f>
        <v>0</v>
      </c>
      <c r="AC689" s="6">
        <f>$M$689*$W$689</f>
        <v>30349.100399999996</v>
      </c>
      <c r="AD689" s="6">
        <f>$O$689*$X$689</f>
        <v>37538.182799999995</v>
      </c>
      <c r="AE689" s="6">
        <f>$K$689*$Y$689</f>
        <v>0</v>
      </c>
      <c r="AF689" s="6">
        <f ca="1">$M$689*$Z$689</f>
        <v>33622.162725127171</v>
      </c>
      <c r="AG689" s="6">
        <f>$O$689*$AA$689</f>
        <v>37236.896517547437</v>
      </c>
    </row>
    <row r="690" spans="1:33" ht="11.25" customHeight="1" x14ac:dyDescent="0.25">
      <c r="A690" s="4" t="s">
        <v>56</v>
      </c>
      <c r="B690" s="4" t="s">
        <v>22</v>
      </c>
      <c r="C690" s="4" t="s">
        <v>23</v>
      </c>
      <c r="D690" s="4" t="s">
        <v>24</v>
      </c>
      <c r="E690" s="4" t="s">
        <v>29</v>
      </c>
      <c r="F690" s="4" t="s">
        <v>25</v>
      </c>
      <c r="G690" s="4" t="s">
        <v>25</v>
      </c>
      <c r="H690" s="4" t="s">
        <v>25</v>
      </c>
      <c r="I690" s="5">
        <v>44774</v>
      </c>
      <c r="J690" s="6">
        <v>0</v>
      </c>
      <c r="K690" s="6">
        <v>0</v>
      </c>
      <c r="L690" s="6">
        <v>0.18</v>
      </c>
      <c r="M690" s="6">
        <v>0.18</v>
      </c>
      <c r="N690" s="6">
        <v>0.18</v>
      </c>
      <c r="O690" s="6">
        <v>0.18</v>
      </c>
      <c r="P690" s="6">
        <v>4</v>
      </c>
      <c r="Q690" s="4" t="s">
        <v>26</v>
      </c>
      <c r="R690" s="4">
        <v>0</v>
      </c>
      <c r="S690" s="6">
        <v>0</v>
      </c>
      <c r="T690" s="6">
        <v>17</v>
      </c>
      <c r="U690" s="6">
        <v>54</v>
      </c>
      <c r="V690" s="6">
        <f>IF(ISERROR(VLOOKUP($S$690,'TAR FIN'!$A$1:$O$85,15,0)),0,VLOOKUP($S$690,'TAR FIN'!$A$1:$O$85,15,0))</f>
        <v>0</v>
      </c>
      <c r="W690" s="6">
        <f>IF(ISERROR(VLOOKUP($T$690,'TAR FIN'!$A$1:$O$85,15,0)),0,VLOOKUP($T$690,'TAR FIN'!$A$1:$O$85,15,0))</f>
        <v>91.27</v>
      </c>
      <c r="X690" s="6">
        <f>IF(ISERROR(VLOOKUP($U$690,'TAR FIN'!$A$1:$O$85,15,0)),0,VLOOKUP($U$690,'TAR FIN'!$A$1:$O$85,15,0))</f>
        <v>112.89</v>
      </c>
      <c r="Y690" s="6"/>
      <c r="Z690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90" s="6">
        <f>('TE BE'!$AB$11+'TE BF'!$AB$11+'TE CVA'!$AB$11)*(1-CUSTOS!$M$34)</f>
        <v>111.98393034267845</v>
      </c>
      <c r="AB690" s="6">
        <f>$K$690*$V$690</f>
        <v>0</v>
      </c>
      <c r="AC690" s="6">
        <f>$M$690*$W$690</f>
        <v>16.428599999999999</v>
      </c>
      <c r="AD690" s="6">
        <f>$O$690*$X$690</f>
        <v>20.3202</v>
      </c>
      <c r="AE690" s="6">
        <f>$K$690*$Y$690</f>
        <v>0</v>
      </c>
      <c r="AF690" s="6">
        <f ca="1">$M$690*$Z$690</f>
        <v>18.200376790938559</v>
      </c>
      <c r="AG690" s="6">
        <f>$O$690*$AA$690</f>
        <v>20.15710746168212</v>
      </c>
    </row>
    <row r="691" spans="1:33" ht="11.25" customHeight="1" x14ac:dyDescent="0.25">
      <c r="A691" s="4" t="s">
        <v>56</v>
      </c>
      <c r="B691" s="4" t="s">
        <v>22</v>
      </c>
      <c r="C691" s="4" t="s">
        <v>23</v>
      </c>
      <c r="D691" s="4" t="s">
        <v>24</v>
      </c>
      <c r="E691" s="4" t="s">
        <v>29</v>
      </c>
      <c r="F691" s="4" t="s">
        <v>25</v>
      </c>
      <c r="G691" s="4" t="s">
        <v>25</v>
      </c>
      <c r="H691" s="4" t="s">
        <v>25</v>
      </c>
      <c r="I691" s="5">
        <v>44774</v>
      </c>
      <c r="J691" s="6">
        <v>0</v>
      </c>
      <c r="K691" s="6">
        <v>0</v>
      </c>
      <c r="L691" s="6">
        <v>4.5</v>
      </c>
      <c r="M691" s="6">
        <v>4.5</v>
      </c>
      <c r="N691" s="6">
        <v>4.5</v>
      </c>
      <c r="O691" s="6">
        <v>4.5</v>
      </c>
      <c r="P691" s="6">
        <v>16</v>
      </c>
      <c r="Q691" s="4" t="s">
        <v>26</v>
      </c>
      <c r="R691" s="4">
        <v>0</v>
      </c>
      <c r="S691" s="6">
        <v>0</v>
      </c>
      <c r="T691" s="6">
        <v>17</v>
      </c>
      <c r="U691" s="6">
        <v>54</v>
      </c>
      <c r="V691" s="6">
        <f>IF(ISERROR(VLOOKUP($S$691,'TAR FIN'!$A$1:$O$85,15,0)),0,VLOOKUP($S$691,'TAR FIN'!$A$1:$O$85,15,0))</f>
        <v>0</v>
      </c>
      <c r="W691" s="6">
        <f>IF(ISERROR(VLOOKUP($T$691,'TAR FIN'!$A$1:$O$85,15,0)),0,VLOOKUP($T$691,'TAR FIN'!$A$1:$O$85,15,0))</f>
        <v>91.27</v>
      </c>
      <c r="X691" s="6">
        <f>IF(ISERROR(VLOOKUP($U$691,'TAR FIN'!$A$1:$O$85,15,0)),0,VLOOKUP($U$691,'TAR FIN'!$A$1:$O$85,15,0))</f>
        <v>112.89</v>
      </c>
      <c r="Y691" s="6"/>
      <c r="Z691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691" s="6">
        <f>('TE BE'!$AB$11+'TE BF'!$AB$11+'TE CVA'!$AB$11)*(1-CUSTOS!$M$34)</f>
        <v>111.98393034267845</v>
      </c>
      <c r="AB691" s="6">
        <f>$K$691*$V$691</f>
        <v>0</v>
      </c>
      <c r="AC691" s="6">
        <f>$M$691*$W$691</f>
        <v>410.71499999999997</v>
      </c>
      <c r="AD691" s="6">
        <f>$O$691*$X$691</f>
        <v>508.005</v>
      </c>
      <c r="AE691" s="6">
        <f>$K$691*$Y$691</f>
        <v>0</v>
      </c>
      <c r="AF691" s="6">
        <f ca="1">$M$691*$Z$691</f>
        <v>455.00941977346406</v>
      </c>
      <c r="AG691" s="6">
        <f>$O$691*$AA$691</f>
        <v>503.92768654205304</v>
      </c>
    </row>
    <row r="692" spans="1:33" ht="11.25" customHeight="1" x14ac:dyDescent="0.25">
      <c r="A692" s="4" t="s">
        <v>21</v>
      </c>
      <c r="B692" s="4" t="s">
        <v>22</v>
      </c>
      <c r="C692" s="4" t="s">
        <v>23</v>
      </c>
      <c r="D692" s="4" t="s">
        <v>24</v>
      </c>
      <c r="E692" s="4" t="s">
        <v>30</v>
      </c>
      <c r="F692" s="4" t="s">
        <v>25</v>
      </c>
      <c r="G692" s="4" t="s">
        <v>25</v>
      </c>
      <c r="H692" s="4" t="s">
        <v>25</v>
      </c>
      <c r="I692" s="5">
        <v>44440</v>
      </c>
      <c r="J692" s="6">
        <v>0</v>
      </c>
      <c r="K692" s="6">
        <v>0</v>
      </c>
      <c r="L692" s="6">
        <v>597.149</v>
      </c>
      <c r="M692" s="6">
        <v>597.149</v>
      </c>
      <c r="N692" s="6">
        <v>597.149</v>
      </c>
      <c r="O692" s="6">
        <v>597.149</v>
      </c>
      <c r="P692" s="6">
        <v>2679</v>
      </c>
      <c r="Q692" s="4" t="s">
        <v>26</v>
      </c>
      <c r="R692" s="4">
        <v>0</v>
      </c>
      <c r="S692" s="6">
        <v>0</v>
      </c>
      <c r="T692" s="6">
        <v>18</v>
      </c>
      <c r="U692" s="6">
        <v>55</v>
      </c>
      <c r="V692" s="6">
        <f>IF(ISERROR(VLOOKUP($S$692,'TAR FIN'!$A$1:$O$85,15,0)),0,VLOOKUP($S$692,'TAR FIN'!$A$1:$O$85,15,0))</f>
        <v>0</v>
      </c>
      <c r="W692" s="6">
        <f>IF(ISERROR(VLOOKUP($T$692,'TAR FIN'!$A$1:$O$85,15,0)),0,VLOOKUP($T$692,'TAR FIN'!$A$1:$O$85,15,0))</f>
        <v>156.46</v>
      </c>
      <c r="X692" s="6">
        <f>IF(ISERROR(VLOOKUP($U$692,'TAR FIN'!$A$1:$O$85,15,0)),0,VLOOKUP($U$692,'TAR FIN'!$A$1:$O$85,15,0))</f>
        <v>193.53</v>
      </c>
      <c r="Y692" s="6"/>
      <c r="Z692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692" s="6">
        <f>('TE BE'!$AB$12+'TE BF'!$AB$12+'TE CVA'!$AB$12)*(1-CUSTOS!$M$35)</f>
        <v>191.97245201602018</v>
      </c>
      <c r="AB692" s="6">
        <f>$K$692*$V$692</f>
        <v>0</v>
      </c>
      <c r="AC692" s="6">
        <f>$M$692*$W$692</f>
        <v>93429.932540000009</v>
      </c>
      <c r="AD692" s="6">
        <f>$O$692*$X$692</f>
        <v>115566.24597</v>
      </c>
      <c r="AE692" s="6">
        <f>$K$692*$Y$692</f>
        <v>0</v>
      </c>
      <c r="AF692" s="6">
        <f ca="1">$M$692*$Z$692</f>
        <v>103507.96952697307</v>
      </c>
      <c r="AG692" s="6">
        <f>$O$692*$AA$692</f>
        <v>114636.15774891444</v>
      </c>
    </row>
    <row r="693" spans="1:33" ht="11.25" customHeight="1" x14ac:dyDescent="0.25">
      <c r="A693" s="4" t="s">
        <v>28</v>
      </c>
      <c r="B693" s="4" t="s">
        <v>22</v>
      </c>
      <c r="C693" s="4" t="s">
        <v>23</v>
      </c>
      <c r="D693" s="4" t="s">
        <v>24</v>
      </c>
      <c r="E693" s="4" t="s">
        <v>30</v>
      </c>
      <c r="F693" s="4" t="s">
        <v>25</v>
      </c>
      <c r="G693" s="4" t="s">
        <v>25</v>
      </c>
      <c r="H693" s="4" t="s">
        <v>25</v>
      </c>
      <c r="I693" s="5">
        <v>44440</v>
      </c>
      <c r="J693" s="6">
        <v>0</v>
      </c>
      <c r="K693" s="6">
        <v>0</v>
      </c>
      <c r="L693" s="6">
        <v>8.1050000000000004</v>
      </c>
      <c r="M693" s="6">
        <v>8.1050000000000004</v>
      </c>
      <c r="N693" s="6">
        <v>8.1050000000000004</v>
      </c>
      <c r="O693" s="6">
        <v>8.1050000000000004</v>
      </c>
      <c r="P693" s="6">
        <v>66</v>
      </c>
      <c r="Q693" s="4" t="s">
        <v>26</v>
      </c>
      <c r="R693" s="4">
        <v>0</v>
      </c>
      <c r="S693" s="6">
        <v>0</v>
      </c>
      <c r="T693" s="6">
        <v>18</v>
      </c>
      <c r="U693" s="6">
        <v>55</v>
      </c>
      <c r="V693" s="6">
        <f>IF(ISERROR(VLOOKUP($S$693,'TAR FIN'!$A$1:$O$85,15,0)),0,VLOOKUP($S$693,'TAR FIN'!$A$1:$O$85,15,0))</f>
        <v>0</v>
      </c>
      <c r="W693" s="6">
        <f>IF(ISERROR(VLOOKUP($T$693,'TAR FIN'!$A$1:$O$85,15,0)),0,VLOOKUP($T$693,'TAR FIN'!$A$1:$O$85,15,0))</f>
        <v>156.46</v>
      </c>
      <c r="X693" s="6">
        <f>IF(ISERROR(VLOOKUP($U$693,'TAR FIN'!$A$1:$O$85,15,0)),0,VLOOKUP($U$693,'TAR FIN'!$A$1:$O$85,15,0))</f>
        <v>193.53</v>
      </c>
      <c r="Y693" s="6"/>
      <c r="Z693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693" s="6">
        <f>('TE BE'!$AB$12+'TE BF'!$AB$12+'TE CVA'!$AB$12)*(1-CUSTOS!$M$35)</f>
        <v>191.97245201602018</v>
      </c>
      <c r="AB693" s="6">
        <f>$K$693*$V$693</f>
        <v>0</v>
      </c>
      <c r="AC693" s="6">
        <f>$M$693*$W$693</f>
        <v>1268.1083000000001</v>
      </c>
      <c r="AD693" s="6">
        <f>$O$693*$X$693</f>
        <v>1568.5606500000001</v>
      </c>
      <c r="AE693" s="6">
        <f>$K$693*$Y$693</f>
        <v>0</v>
      </c>
      <c r="AF693" s="6">
        <f ca="1">$M$693*$Z$693</f>
        <v>1404.8957513386388</v>
      </c>
      <c r="AG693" s="6">
        <f>$O$693*$AA$693</f>
        <v>1555.9367235898437</v>
      </c>
    </row>
    <row r="694" spans="1:33" ht="11.25" customHeight="1" x14ac:dyDescent="0.25">
      <c r="A694" s="4" t="s">
        <v>21</v>
      </c>
      <c r="B694" s="4" t="s">
        <v>22</v>
      </c>
      <c r="C694" s="4" t="s">
        <v>23</v>
      </c>
      <c r="D694" s="4" t="s">
        <v>24</v>
      </c>
      <c r="E694" s="4" t="s">
        <v>30</v>
      </c>
      <c r="F694" s="4" t="s">
        <v>25</v>
      </c>
      <c r="G694" s="4" t="s">
        <v>25</v>
      </c>
      <c r="H694" s="4" t="s">
        <v>25</v>
      </c>
      <c r="I694" s="5">
        <v>44470</v>
      </c>
      <c r="J694" s="6">
        <v>0</v>
      </c>
      <c r="K694" s="6">
        <v>0</v>
      </c>
      <c r="L694" s="6">
        <v>615.96799999999996</v>
      </c>
      <c r="M694" s="6">
        <v>615.96799999999996</v>
      </c>
      <c r="N694" s="6">
        <v>615.96799999999996</v>
      </c>
      <c r="O694" s="6">
        <v>615.96799999999996</v>
      </c>
      <c r="P694" s="6">
        <v>2497</v>
      </c>
      <c r="Q694" s="4" t="s">
        <v>26</v>
      </c>
      <c r="R694" s="4">
        <v>0</v>
      </c>
      <c r="S694" s="6">
        <v>0</v>
      </c>
      <c r="T694" s="6">
        <v>18</v>
      </c>
      <c r="U694" s="6">
        <v>55</v>
      </c>
      <c r="V694" s="6">
        <f>IF(ISERROR(VLOOKUP($S$694,'TAR FIN'!$A$1:$O$85,15,0)),0,VLOOKUP($S$694,'TAR FIN'!$A$1:$O$85,15,0))</f>
        <v>0</v>
      </c>
      <c r="W694" s="6">
        <f>IF(ISERROR(VLOOKUP($T$694,'TAR FIN'!$A$1:$O$85,15,0)),0,VLOOKUP($T$694,'TAR FIN'!$A$1:$O$85,15,0))</f>
        <v>156.46</v>
      </c>
      <c r="X694" s="6">
        <f>IF(ISERROR(VLOOKUP($U$694,'TAR FIN'!$A$1:$O$85,15,0)),0,VLOOKUP($U$694,'TAR FIN'!$A$1:$O$85,15,0))</f>
        <v>193.53</v>
      </c>
      <c r="Y694" s="6"/>
      <c r="Z694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694" s="6">
        <f>('TE BE'!$AB$12+'TE BF'!$AB$12+'TE CVA'!$AB$12)*(1-CUSTOS!$M$35)</f>
        <v>191.97245201602018</v>
      </c>
      <c r="AB694" s="6">
        <f>$K$694*$V$694</f>
        <v>0</v>
      </c>
      <c r="AC694" s="6">
        <f>$M$694*$W$694</f>
        <v>96374.353279999996</v>
      </c>
      <c r="AD694" s="6">
        <f>$O$694*$X$694</f>
        <v>119208.28704</v>
      </c>
      <c r="AE694" s="6">
        <f>$K$694*$Y$694</f>
        <v>0</v>
      </c>
      <c r="AF694" s="6">
        <f ca="1">$M$694*$Z$694</f>
        <v>106769.99705867471</v>
      </c>
      <c r="AG694" s="6">
        <f>$O$694*$AA$694</f>
        <v>118248.88732340392</v>
      </c>
    </row>
    <row r="695" spans="1:33" ht="11.25" customHeight="1" x14ac:dyDescent="0.25">
      <c r="A695" s="4" t="s">
        <v>28</v>
      </c>
      <c r="B695" s="4" t="s">
        <v>22</v>
      </c>
      <c r="C695" s="4" t="s">
        <v>23</v>
      </c>
      <c r="D695" s="4" t="s">
        <v>24</v>
      </c>
      <c r="E695" s="4" t="s">
        <v>30</v>
      </c>
      <c r="F695" s="4" t="s">
        <v>25</v>
      </c>
      <c r="G695" s="4" t="s">
        <v>25</v>
      </c>
      <c r="H695" s="4" t="s">
        <v>25</v>
      </c>
      <c r="I695" s="5">
        <v>44470</v>
      </c>
      <c r="J695" s="6">
        <v>0</v>
      </c>
      <c r="K695" s="6">
        <v>0</v>
      </c>
      <c r="L695" s="6">
        <v>8.7520000000000007</v>
      </c>
      <c r="M695" s="6">
        <v>8.7520000000000007</v>
      </c>
      <c r="N695" s="6">
        <v>8.7520000000000007</v>
      </c>
      <c r="O695" s="6">
        <v>8.7520000000000007</v>
      </c>
      <c r="P695" s="6">
        <v>60</v>
      </c>
      <c r="Q695" s="4" t="s">
        <v>26</v>
      </c>
      <c r="R695" s="4">
        <v>0</v>
      </c>
      <c r="S695" s="6">
        <v>0</v>
      </c>
      <c r="T695" s="6">
        <v>18</v>
      </c>
      <c r="U695" s="6">
        <v>55</v>
      </c>
      <c r="V695" s="6">
        <f>IF(ISERROR(VLOOKUP($S$695,'TAR FIN'!$A$1:$O$85,15,0)),0,VLOOKUP($S$695,'TAR FIN'!$A$1:$O$85,15,0))</f>
        <v>0</v>
      </c>
      <c r="W695" s="6">
        <f>IF(ISERROR(VLOOKUP($T$695,'TAR FIN'!$A$1:$O$85,15,0)),0,VLOOKUP($T$695,'TAR FIN'!$A$1:$O$85,15,0))</f>
        <v>156.46</v>
      </c>
      <c r="X695" s="6">
        <f>IF(ISERROR(VLOOKUP($U$695,'TAR FIN'!$A$1:$O$85,15,0)),0,VLOOKUP($U$695,'TAR FIN'!$A$1:$O$85,15,0))</f>
        <v>193.53</v>
      </c>
      <c r="Y695" s="6"/>
      <c r="Z695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695" s="6">
        <f>('TE BE'!$AB$12+'TE BF'!$AB$12+'TE CVA'!$AB$12)*(1-CUSTOS!$M$35)</f>
        <v>191.97245201602018</v>
      </c>
      <c r="AB695" s="6">
        <f>$K$695*$V$695</f>
        <v>0</v>
      </c>
      <c r="AC695" s="6">
        <f>$M$695*$W$695</f>
        <v>1369.3379200000002</v>
      </c>
      <c r="AD695" s="6">
        <f>$O$695*$X$695</f>
        <v>1693.7745600000001</v>
      </c>
      <c r="AE695" s="6">
        <f>$K$695*$Y$695</f>
        <v>0</v>
      </c>
      <c r="AF695" s="6">
        <f ca="1">$M$695*$Z$695</f>
        <v>1517.0447397551841</v>
      </c>
      <c r="AG695" s="6">
        <f>$O$695*$AA$695</f>
        <v>1680.1429000442088</v>
      </c>
    </row>
    <row r="696" spans="1:33" ht="11.25" customHeight="1" x14ac:dyDescent="0.25">
      <c r="A696" s="4" t="s">
        <v>21</v>
      </c>
      <c r="B696" s="4" t="s">
        <v>22</v>
      </c>
      <c r="C696" s="4" t="s">
        <v>23</v>
      </c>
      <c r="D696" s="4" t="s">
        <v>24</v>
      </c>
      <c r="E696" s="4" t="s">
        <v>30</v>
      </c>
      <c r="F696" s="4" t="s">
        <v>25</v>
      </c>
      <c r="G696" s="4" t="s">
        <v>25</v>
      </c>
      <c r="H696" s="4" t="s">
        <v>25</v>
      </c>
      <c r="I696" s="5">
        <v>44501</v>
      </c>
      <c r="J696" s="6">
        <v>0</v>
      </c>
      <c r="K696" s="6">
        <v>0</v>
      </c>
      <c r="L696" s="6">
        <v>626.92399999999998</v>
      </c>
      <c r="M696" s="6">
        <v>626.92399999999998</v>
      </c>
      <c r="N696" s="6">
        <v>626.92399999999998</v>
      </c>
      <c r="O696" s="6">
        <v>626.92399999999998</v>
      </c>
      <c r="P696" s="6">
        <v>2712</v>
      </c>
      <c r="Q696" s="4" t="s">
        <v>26</v>
      </c>
      <c r="R696" s="4">
        <v>0</v>
      </c>
      <c r="S696" s="6">
        <v>0</v>
      </c>
      <c r="T696" s="6">
        <v>18</v>
      </c>
      <c r="U696" s="6">
        <v>55</v>
      </c>
      <c r="V696" s="6">
        <f>IF(ISERROR(VLOOKUP($S$696,'TAR FIN'!$A$1:$O$85,15,0)),0,VLOOKUP($S$696,'TAR FIN'!$A$1:$O$85,15,0))</f>
        <v>0</v>
      </c>
      <c r="W696" s="6">
        <f>IF(ISERROR(VLOOKUP($T$696,'TAR FIN'!$A$1:$O$85,15,0)),0,VLOOKUP($T$696,'TAR FIN'!$A$1:$O$85,15,0))</f>
        <v>156.46</v>
      </c>
      <c r="X696" s="6">
        <f>IF(ISERROR(VLOOKUP($U$696,'TAR FIN'!$A$1:$O$85,15,0)),0,VLOOKUP($U$696,'TAR FIN'!$A$1:$O$85,15,0))</f>
        <v>193.53</v>
      </c>
      <c r="Y696" s="6"/>
      <c r="Z696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696" s="6">
        <f>('TE BE'!$AB$12+'TE BF'!$AB$12+'TE CVA'!$AB$12)*(1-CUSTOS!$M$35)</f>
        <v>191.97245201602018</v>
      </c>
      <c r="AB696" s="6">
        <f>$K$696*$V$696</f>
        <v>0</v>
      </c>
      <c r="AC696" s="6">
        <f>$M$696*$W$696</f>
        <v>98088.529040000009</v>
      </c>
      <c r="AD696" s="6">
        <f>$O$696*$X$696</f>
        <v>121328.60171999999</v>
      </c>
      <c r="AE696" s="6">
        <f>$K$696*$Y$696</f>
        <v>0</v>
      </c>
      <c r="AF696" s="6">
        <f ca="1">$M$696*$Z$696</f>
        <v>108669.07637411779</v>
      </c>
      <c r="AG696" s="6">
        <f>$O$696*$AA$696</f>
        <v>120352.13750769144</v>
      </c>
    </row>
    <row r="697" spans="1:33" ht="11.25" customHeight="1" x14ac:dyDescent="0.25">
      <c r="A697" s="4" t="s">
        <v>27</v>
      </c>
      <c r="B697" s="4" t="s">
        <v>22</v>
      </c>
      <c r="C697" s="4" t="s">
        <v>23</v>
      </c>
      <c r="D697" s="4" t="s">
        <v>24</v>
      </c>
      <c r="E697" s="4" t="s">
        <v>30</v>
      </c>
      <c r="F697" s="4" t="s">
        <v>25</v>
      </c>
      <c r="G697" s="4" t="s">
        <v>25</v>
      </c>
      <c r="H697" s="4" t="s">
        <v>25</v>
      </c>
      <c r="I697" s="5">
        <v>44501</v>
      </c>
      <c r="J697" s="6">
        <v>0</v>
      </c>
      <c r="K697" s="6">
        <v>0</v>
      </c>
      <c r="L697" s="6">
        <v>3.1E-2</v>
      </c>
      <c r="M697" s="6">
        <v>3.1E-2</v>
      </c>
      <c r="N697" s="6">
        <v>3.1E-2</v>
      </c>
      <c r="O697" s="6">
        <v>3.1E-2</v>
      </c>
      <c r="P697" s="6">
        <v>1</v>
      </c>
      <c r="Q697" s="4" t="s">
        <v>26</v>
      </c>
      <c r="R697" s="4">
        <v>0</v>
      </c>
      <c r="S697" s="6">
        <v>0</v>
      </c>
      <c r="T697" s="6">
        <v>18</v>
      </c>
      <c r="U697" s="6">
        <v>55</v>
      </c>
      <c r="V697" s="6">
        <f>IF(ISERROR(VLOOKUP($S$697,'TAR FIN'!$A$1:$O$85,15,0)),0,VLOOKUP($S$697,'TAR FIN'!$A$1:$O$85,15,0))</f>
        <v>0</v>
      </c>
      <c r="W697" s="6">
        <f>IF(ISERROR(VLOOKUP($T$697,'TAR FIN'!$A$1:$O$85,15,0)),0,VLOOKUP($T$697,'TAR FIN'!$A$1:$O$85,15,0))</f>
        <v>156.46</v>
      </c>
      <c r="X697" s="6">
        <f>IF(ISERROR(VLOOKUP($U$697,'TAR FIN'!$A$1:$O$85,15,0)),0,VLOOKUP($U$697,'TAR FIN'!$A$1:$O$85,15,0))</f>
        <v>193.53</v>
      </c>
      <c r="Y697" s="6"/>
      <c r="Z697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697" s="6">
        <f>('TE BE'!$AB$12+'TE BF'!$AB$12+'TE CVA'!$AB$12)*(1-CUSTOS!$M$35)</f>
        <v>191.97245201602018</v>
      </c>
      <c r="AB697" s="6">
        <f>$K$697*$V$697</f>
        <v>0</v>
      </c>
      <c r="AC697" s="6">
        <f>$M$697*$W$697</f>
        <v>4.8502600000000005</v>
      </c>
      <c r="AD697" s="6">
        <f>$O$697*$X$697</f>
        <v>5.9994300000000003</v>
      </c>
      <c r="AE697" s="6">
        <f>$K$697*$Y$697</f>
        <v>0</v>
      </c>
      <c r="AF697" s="6">
        <f ca="1">$M$697*$Z$697</f>
        <v>5.3734445763723375</v>
      </c>
      <c r="AG697" s="6">
        <f>$O$697*$AA$697</f>
        <v>5.9511460124966256</v>
      </c>
    </row>
    <row r="698" spans="1:33" ht="11.25" customHeight="1" x14ac:dyDescent="0.25">
      <c r="A698" s="4" t="s">
        <v>28</v>
      </c>
      <c r="B698" s="4" t="s">
        <v>22</v>
      </c>
      <c r="C698" s="4" t="s">
        <v>23</v>
      </c>
      <c r="D698" s="4" t="s">
        <v>24</v>
      </c>
      <c r="E698" s="4" t="s">
        <v>30</v>
      </c>
      <c r="F698" s="4" t="s">
        <v>25</v>
      </c>
      <c r="G698" s="4" t="s">
        <v>25</v>
      </c>
      <c r="H698" s="4" t="s">
        <v>25</v>
      </c>
      <c r="I698" s="5">
        <v>44501</v>
      </c>
      <c r="J698" s="6">
        <v>0</v>
      </c>
      <c r="K698" s="6">
        <v>0</v>
      </c>
      <c r="L698" s="6">
        <v>8.3179999999999996</v>
      </c>
      <c r="M698" s="6">
        <v>8.3179999999999996</v>
      </c>
      <c r="N698" s="6">
        <v>8.3179999999999996</v>
      </c>
      <c r="O698" s="6">
        <v>8.3179999999999996</v>
      </c>
      <c r="P698" s="6">
        <v>68</v>
      </c>
      <c r="Q698" s="4" t="s">
        <v>26</v>
      </c>
      <c r="R698" s="4">
        <v>0</v>
      </c>
      <c r="S698" s="6">
        <v>0</v>
      </c>
      <c r="T698" s="6">
        <v>18</v>
      </c>
      <c r="U698" s="6">
        <v>55</v>
      </c>
      <c r="V698" s="6">
        <f>IF(ISERROR(VLOOKUP($S$698,'TAR FIN'!$A$1:$O$85,15,0)),0,VLOOKUP($S$698,'TAR FIN'!$A$1:$O$85,15,0))</f>
        <v>0</v>
      </c>
      <c r="W698" s="6">
        <f>IF(ISERROR(VLOOKUP($T$698,'TAR FIN'!$A$1:$O$85,15,0)),0,VLOOKUP($T$698,'TAR FIN'!$A$1:$O$85,15,0))</f>
        <v>156.46</v>
      </c>
      <c r="X698" s="6">
        <f>IF(ISERROR(VLOOKUP($U$698,'TAR FIN'!$A$1:$O$85,15,0)),0,VLOOKUP($U$698,'TAR FIN'!$A$1:$O$85,15,0))</f>
        <v>193.53</v>
      </c>
      <c r="Y698" s="6"/>
      <c r="Z698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698" s="6">
        <f>('TE BE'!$AB$12+'TE BF'!$AB$12+'TE CVA'!$AB$12)*(1-CUSTOS!$M$35)</f>
        <v>191.97245201602018</v>
      </c>
      <c r="AB698" s="6">
        <f>$K$698*$V$698</f>
        <v>0</v>
      </c>
      <c r="AC698" s="6">
        <f>$M$698*$W$698</f>
        <v>1301.4342799999999</v>
      </c>
      <c r="AD698" s="6">
        <f>$O$698*$X$698</f>
        <v>1609.7825399999999</v>
      </c>
      <c r="AE698" s="6">
        <f>$K$698*$Y$698</f>
        <v>0</v>
      </c>
      <c r="AF698" s="6">
        <f ca="1">$M$698*$Z$698</f>
        <v>1441.8165156859711</v>
      </c>
      <c r="AG698" s="6">
        <f>$O$698*$AA$698</f>
        <v>1596.8268558692557</v>
      </c>
    </row>
    <row r="699" spans="1:33" ht="11.25" customHeight="1" x14ac:dyDescent="0.25">
      <c r="A699" s="4" t="s">
        <v>21</v>
      </c>
      <c r="B699" s="4" t="s">
        <v>22</v>
      </c>
      <c r="C699" s="4" t="s">
        <v>23</v>
      </c>
      <c r="D699" s="4" t="s">
        <v>24</v>
      </c>
      <c r="E699" s="4" t="s">
        <v>30</v>
      </c>
      <c r="F699" s="4" t="s">
        <v>25</v>
      </c>
      <c r="G699" s="4" t="s">
        <v>25</v>
      </c>
      <c r="H699" s="4" t="s">
        <v>25</v>
      </c>
      <c r="I699" s="5">
        <v>44531</v>
      </c>
      <c r="J699" s="6">
        <v>0</v>
      </c>
      <c r="K699" s="6">
        <v>0</v>
      </c>
      <c r="L699" s="6">
        <v>646.73</v>
      </c>
      <c r="M699" s="6">
        <v>646.73</v>
      </c>
      <c r="N699" s="6">
        <v>646.73</v>
      </c>
      <c r="O699" s="6">
        <v>646.73</v>
      </c>
      <c r="P699" s="6">
        <v>2623</v>
      </c>
      <c r="Q699" s="4" t="s">
        <v>26</v>
      </c>
      <c r="R699" s="4">
        <v>0</v>
      </c>
      <c r="S699" s="6">
        <v>0</v>
      </c>
      <c r="T699" s="6">
        <v>18</v>
      </c>
      <c r="U699" s="6">
        <v>55</v>
      </c>
      <c r="V699" s="6">
        <f>IF(ISERROR(VLOOKUP($S$699,'TAR FIN'!$A$1:$O$85,15,0)),0,VLOOKUP($S$699,'TAR FIN'!$A$1:$O$85,15,0))</f>
        <v>0</v>
      </c>
      <c r="W699" s="6">
        <f>IF(ISERROR(VLOOKUP($T$699,'TAR FIN'!$A$1:$O$85,15,0)),0,VLOOKUP($T$699,'TAR FIN'!$A$1:$O$85,15,0))</f>
        <v>156.46</v>
      </c>
      <c r="X699" s="6">
        <f>IF(ISERROR(VLOOKUP($U$699,'TAR FIN'!$A$1:$O$85,15,0)),0,VLOOKUP($U$699,'TAR FIN'!$A$1:$O$85,15,0))</f>
        <v>193.53</v>
      </c>
      <c r="Y699" s="6"/>
      <c r="Z699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699" s="6">
        <f>('TE BE'!$AB$12+'TE BF'!$AB$12+'TE CVA'!$AB$12)*(1-CUSTOS!$M$35)</f>
        <v>191.97245201602018</v>
      </c>
      <c r="AB699" s="6">
        <f>$K$699*$V$699</f>
        <v>0</v>
      </c>
      <c r="AC699" s="6">
        <f>$M$699*$W$699</f>
        <v>101187.37580000001</v>
      </c>
      <c r="AD699" s="6">
        <f>$O$699*$X$699</f>
        <v>125161.6569</v>
      </c>
      <c r="AE699" s="6">
        <f>$K$699*$Y$699</f>
        <v>0</v>
      </c>
      <c r="AF699" s="6">
        <f ca="1">$M$699*$Z$699</f>
        <v>112102.18744765426</v>
      </c>
      <c r="AG699" s="6">
        <f>$O$699*$AA$699</f>
        <v>124154.34389232074</v>
      </c>
    </row>
    <row r="700" spans="1:33" ht="11.25" customHeight="1" x14ac:dyDescent="0.25">
      <c r="A700" s="4" t="s">
        <v>27</v>
      </c>
      <c r="B700" s="4" t="s">
        <v>22</v>
      </c>
      <c r="C700" s="4" t="s">
        <v>23</v>
      </c>
      <c r="D700" s="4" t="s">
        <v>24</v>
      </c>
      <c r="E700" s="4" t="s">
        <v>30</v>
      </c>
      <c r="F700" s="4" t="s">
        <v>25</v>
      </c>
      <c r="G700" s="4" t="s">
        <v>25</v>
      </c>
      <c r="H700" s="4" t="s">
        <v>25</v>
      </c>
      <c r="I700" s="5">
        <v>44531</v>
      </c>
      <c r="J700" s="6">
        <v>0</v>
      </c>
      <c r="K700" s="6">
        <v>0</v>
      </c>
      <c r="L700" s="6">
        <v>0.26400000000000001</v>
      </c>
      <c r="M700" s="6">
        <v>0.26400000000000001</v>
      </c>
      <c r="N700" s="6">
        <v>0.26400000000000001</v>
      </c>
      <c r="O700" s="6">
        <v>0.26400000000000001</v>
      </c>
      <c r="P700" s="6">
        <v>14</v>
      </c>
      <c r="Q700" s="4" t="s">
        <v>26</v>
      </c>
      <c r="R700" s="4">
        <v>0</v>
      </c>
      <c r="S700" s="6">
        <v>0</v>
      </c>
      <c r="T700" s="6">
        <v>18</v>
      </c>
      <c r="U700" s="6">
        <v>55</v>
      </c>
      <c r="V700" s="6">
        <f>IF(ISERROR(VLOOKUP($S$700,'TAR FIN'!$A$1:$O$85,15,0)),0,VLOOKUP($S$700,'TAR FIN'!$A$1:$O$85,15,0))</f>
        <v>0</v>
      </c>
      <c r="W700" s="6">
        <f>IF(ISERROR(VLOOKUP($T$700,'TAR FIN'!$A$1:$O$85,15,0)),0,VLOOKUP($T$700,'TAR FIN'!$A$1:$O$85,15,0))</f>
        <v>156.46</v>
      </c>
      <c r="X700" s="6">
        <f>IF(ISERROR(VLOOKUP($U$700,'TAR FIN'!$A$1:$O$85,15,0)),0,VLOOKUP($U$700,'TAR FIN'!$A$1:$O$85,15,0))</f>
        <v>193.53</v>
      </c>
      <c r="Y700" s="6"/>
      <c r="Z700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00" s="6">
        <f>('TE BE'!$AB$12+'TE BF'!$AB$12+'TE CVA'!$AB$12)*(1-CUSTOS!$M$35)</f>
        <v>191.97245201602018</v>
      </c>
      <c r="AB700" s="6">
        <f>$K$700*$V$700</f>
        <v>0</v>
      </c>
      <c r="AC700" s="6">
        <f>$M$700*$W$700</f>
        <v>41.305440000000004</v>
      </c>
      <c r="AD700" s="6">
        <f>$O$700*$X$700</f>
        <v>51.091920000000002</v>
      </c>
      <c r="AE700" s="6">
        <f>$K$700*$Y$700</f>
        <v>0</v>
      </c>
      <c r="AF700" s="6">
        <f ca="1">$M$700*$Z$700</f>
        <v>45.760947360074105</v>
      </c>
      <c r="AG700" s="6">
        <f>$O$700*$AA$700</f>
        <v>50.680727332229331</v>
      </c>
    </row>
    <row r="701" spans="1:33" ht="11.25" customHeight="1" x14ac:dyDescent="0.25">
      <c r="A701" s="4" t="s">
        <v>28</v>
      </c>
      <c r="B701" s="4" t="s">
        <v>22</v>
      </c>
      <c r="C701" s="4" t="s">
        <v>23</v>
      </c>
      <c r="D701" s="4" t="s">
        <v>24</v>
      </c>
      <c r="E701" s="4" t="s">
        <v>30</v>
      </c>
      <c r="F701" s="4" t="s">
        <v>25</v>
      </c>
      <c r="G701" s="4" t="s">
        <v>25</v>
      </c>
      <c r="H701" s="4" t="s">
        <v>25</v>
      </c>
      <c r="I701" s="5">
        <v>44531</v>
      </c>
      <c r="J701" s="6">
        <v>0</v>
      </c>
      <c r="K701" s="6">
        <v>0</v>
      </c>
      <c r="L701" s="6">
        <v>8.0549999999999997</v>
      </c>
      <c r="M701" s="6">
        <v>8.0549999999999997</v>
      </c>
      <c r="N701" s="6">
        <v>8.0549999999999997</v>
      </c>
      <c r="O701" s="6">
        <v>8.0549999999999997</v>
      </c>
      <c r="P701" s="6">
        <v>71</v>
      </c>
      <c r="Q701" s="4" t="s">
        <v>26</v>
      </c>
      <c r="R701" s="4">
        <v>0</v>
      </c>
      <c r="S701" s="6">
        <v>0</v>
      </c>
      <c r="T701" s="6">
        <v>18</v>
      </c>
      <c r="U701" s="6">
        <v>55</v>
      </c>
      <c r="V701" s="6">
        <f>IF(ISERROR(VLOOKUP($S$701,'TAR FIN'!$A$1:$O$85,15,0)),0,VLOOKUP($S$701,'TAR FIN'!$A$1:$O$85,15,0))</f>
        <v>0</v>
      </c>
      <c r="W701" s="6">
        <f>IF(ISERROR(VLOOKUP($T$701,'TAR FIN'!$A$1:$O$85,15,0)),0,VLOOKUP($T$701,'TAR FIN'!$A$1:$O$85,15,0))</f>
        <v>156.46</v>
      </c>
      <c r="X701" s="6">
        <f>IF(ISERROR(VLOOKUP($U$701,'TAR FIN'!$A$1:$O$85,15,0)),0,VLOOKUP($U$701,'TAR FIN'!$A$1:$O$85,15,0))</f>
        <v>193.53</v>
      </c>
      <c r="Y701" s="6"/>
      <c r="Z701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01" s="6">
        <f>('TE BE'!$AB$12+'TE BF'!$AB$12+'TE CVA'!$AB$12)*(1-CUSTOS!$M$35)</f>
        <v>191.97245201602018</v>
      </c>
      <c r="AB701" s="6">
        <f>$K$701*$V$701</f>
        <v>0</v>
      </c>
      <c r="AC701" s="6">
        <f>$M$701*$W$701</f>
        <v>1260.2853</v>
      </c>
      <c r="AD701" s="6">
        <f>$O$701*$X$701</f>
        <v>1558.8841499999999</v>
      </c>
      <c r="AE701" s="6">
        <f>$K$701*$Y$701</f>
        <v>0</v>
      </c>
      <c r="AF701" s="6">
        <f ca="1">$M$701*$Z$701</f>
        <v>1396.2289052477156</v>
      </c>
      <c r="AG701" s="6">
        <f>$O$701*$AA$701</f>
        <v>1546.3381009890425</v>
      </c>
    </row>
    <row r="702" spans="1:33" ht="11.25" customHeight="1" x14ac:dyDescent="0.25">
      <c r="A702" s="4" t="s">
        <v>21</v>
      </c>
      <c r="B702" s="4" t="s">
        <v>22</v>
      </c>
      <c r="C702" s="4" t="s">
        <v>23</v>
      </c>
      <c r="D702" s="4" t="s">
        <v>24</v>
      </c>
      <c r="E702" s="4" t="s">
        <v>30</v>
      </c>
      <c r="F702" s="4" t="s">
        <v>25</v>
      </c>
      <c r="G702" s="4" t="s">
        <v>25</v>
      </c>
      <c r="H702" s="4" t="s">
        <v>25</v>
      </c>
      <c r="I702" s="5">
        <v>44562</v>
      </c>
      <c r="J702" s="6">
        <v>0</v>
      </c>
      <c r="K702" s="6">
        <v>0</v>
      </c>
      <c r="L702" s="6">
        <v>668.20899999999995</v>
      </c>
      <c r="M702" s="6">
        <v>668.20899999999995</v>
      </c>
      <c r="N702" s="6">
        <v>668.20899999999995</v>
      </c>
      <c r="O702" s="6">
        <v>668.20899999999995</v>
      </c>
      <c r="P702" s="6">
        <v>2371</v>
      </c>
      <c r="Q702" s="4" t="s">
        <v>26</v>
      </c>
      <c r="R702" s="4">
        <v>0</v>
      </c>
      <c r="S702" s="6">
        <v>0</v>
      </c>
      <c r="T702" s="6">
        <v>18</v>
      </c>
      <c r="U702" s="6">
        <v>55</v>
      </c>
      <c r="V702" s="6">
        <f>IF(ISERROR(VLOOKUP($S$702,'TAR FIN'!$A$1:$O$85,15,0)),0,VLOOKUP($S$702,'TAR FIN'!$A$1:$O$85,15,0))</f>
        <v>0</v>
      </c>
      <c r="W702" s="6">
        <f>IF(ISERROR(VLOOKUP($T$702,'TAR FIN'!$A$1:$O$85,15,0)),0,VLOOKUP($T$702,'TAR FIN'!$A$1:$O$85,15,0))</f>
        <v>156.46</v>
      </c>
      <c r="X702" s="6">
        <f>IF(ISERROR(VLOOKUP($U$702,'TAR FIN'!$A$1:$O$85,15,0)),0,VLOOKUP($U$702,'TAR FIN'!$A$1:$O$85,15,0))</f>
        <v>193.53</v>
      </c>
      <c r="Y702" s="6"/>
      <c r="Z702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02" s="6">
        <f>('TE BE'!$AB$12+'TE BF'!$AB$12+'TE CVA'!$AB$12)*(1-CUSTOS!$M$35)</f>
        <v>191.97245201602018</v>
      </c>
      <c r="AB702" s="6">
        <f>$K$702*$V$702</f>
        <v>0</v>
      </c>
      <c r="AC702" s="6">
        <f>$M$702*$W$702</f>
        <v>104547.98014</v>
      </c>
      <c r="AD702" s="6">
        <f>$O$702*$X$702</f>
        <v>129318.48776999999</v>
      </c>
      <c r="AE702" s="6">
        <f>$K$702*$Y$702</f>
        <v>0</v>
      </c>
      <c r="AF702" s="6">
        <f ca="1">$M$702*$Z$702</f>
        <v>115825.29119139301</v>
      </c>
      <c r="AG702" s="6">
        <f>$O$702*$AA$702</f>
        <v>128277.72018917282</v>
      </c>
    </row>
    <row r="703" spans="1:33" ht="11.25" customHeight="1" x14ac:dyDescent="0.25">
      <c r="A703" s="4" t="s">
        <v>27</v>
      </c>
      <c r="B703" s="4" t="s">
        <v>22</v>
      </c>
      <c r="C703" s="4" t="s">
        <v>23</v>
      </c>
      <c r="D703" s="4" t="s">
        <v>24</v>
      </c>
      <c r="E703" s="4" t="s">
        <v>30</v>
      </c>
      <c r="F703" s="4" t="s">
        <v>25</v>
      </c>
      <c r="G703" s="4" t="s">
        <v>25</v>
      </c>
      <c r="H703" s="4" t="s">
        <v>25</v>
      </c>
      <c r="I703" s="5">
        <v>44562</v>
      </c>
      <c r="J703" s="6">
        <v>0</v>
      </c>
      <c r="K703" s="6">
        <v>0</v>
      </c>
      <c r="L703" s="6">
        <v>9.7000000000000003E-2</v>
      </c>
      <c r="M703" s="6">
        <v>9.7000000000000003E-2</v>
      </c>
      <c r="N703" s="6">
        <v>9.7000000000000003E-2</v>
      </c>
      <c r="O703" s="6">
        <v>9.7000000000000003E-2</v>
      </c>
      <c r="P703" s="6">
        <v>2</v>
      </c>
      <c r="Q703" s="4" t="s">
        <v>26</v>
      </c>
      <c r="R703" s="4">
        <v>0</v>
      </c>
      <c r="S703" s="6">
        <v>0</v>
      </c>
      <c r="T703" s="6">
        <v>18</v>
      </c>
      <c r="U703" s="6">
        <v>55</v>
      </c>
      <c r="V703" s="6">
        <f>IF(ISERROR(VLOOKUP($S$703,'TAR FIN'!$A$1:$O$85,15,0)),0,VLOOKUP($S$703,'TAR FIN'!$A$1:$O$85,15,0))</f>
        <v>0</v>
      </c>
      <c r="W703" s="6">
        <f>IF(ISERROR(VLOOKUP($T$703,'TAR FIN'!$A$1:$O$85,15,0)),0,VLOOKUP($T$703,'TAR FIN'!$A$1:$O$85,15,0))</f>
        <v>156.46</v>
      </c>
      <c r="X703" s="6">
        <f>IF(ISERROR(VLOOKUP($U$703,'TAR FIN'!$A$1:$O$85,15,0)),0,VLOOKUP($U$703,'TAR FIN'!$A$1:$O$85,15,0))</f>
        <v>193.53</v>
      </c>
      <c r="Y703" s="6"/>
      <c r="Z703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03" s="6">
        <f>('TE BE'!$AB$12+'TE BF'!$AB$12+'TE CVA'!$AB$12)*(1-CUSTOS!$M$35)</f>
        <v>191.97245201602018</v>
      </c>
      <c r="AB703" s="6">
        <f>$K$703*$V$703</f>
        <v>0</v>
      </c>
      <c r="AC703" s="6">
        <f>$M$703*$W$703</f>
        <v>15.176620000000002</v>
      </c>
      <c r="AD703" s="6">
        <f>$O$703*$X$703</f>
        <v>18.772410000000001</v>
      </c>
      <c r="AE703" s="6">
        <f>$K$703*$Y$703</f>
        <v>0</v>
      </c>
      <c r="AF703" s="6">
        <f ca="1">$M$703*$Z$703</f>
        <v>16.813681416390864</v>
      </c>
      <c r="AG703" s="6">
        <f>$O$703*$AA$703</f>
        <v>18.62132784555396</v>
      </c>
    </row>
    <row r="704" spans="1:33" ht="11.25" customHeight="1" x14ac:dyDescent="0.25">
      <c r="A704" s="4" t="s">
        <v>28</v>
      </c>
      <c r="B704" s="4" t="s">
        <v>22</v>
      </c>
      <c r="C704" s="4" t="s">
        <v>23</v>
      </c>
      <c r="D704" s="4" t="s">
        <v>24</v>
      </c>
      <c r="E704" s="4" t="s">
        <v>30</v>
      </c>
      <c r="F704" s="4" t="s">
        <v>25</v>
      </c>
      <c r="G704" s="4" t="s">
        <v>25</v>
      </c>
      <c r="H704" s="4" t="s">
        <v>25</v>
      </c>
      <c r="I704" s="5">
        <v>44562</v>
      </c>
      <c r="J704" s="6">
        <v>0</v>
      </c>
      <c r="K704" s="6">
        <v>0</v>
      </c>
      <c r="L704" s="6">
        <v>9.0340000000000007</v>
      </c>
      <c r="M704" s="6">
        <v>9.0340000000000007</v>
      </c>
      <c r="N704" s="6">
        <v>9.0340000000000007</v>
      </c>
      <c r="O704" s="6">
        <v>9.0340000000000007</v>
      </c>
      <c r="P704" s="6">
        <v>65</v>
      </c>
      <c r="Q704" s="4" t="s">
        <v>26</v>
      </c>
      <c r="R704" s="4">
        <v>0</v>
      </c>
      <c r="S704" s="6">
        <v>0</v>
      </c>
      <c r="T704" s="6">
        <v>18</v>
      </c>
      <c r="U704" s="6">
        <v>55</v>
      </c>
      <c r="V704" s="6">
        <f>IF(ISERROR(VLOOKUP($S$704,'TAR FIN'!$A$1:$O$85,15,0)),0,VLOOKUP($S$704,'TAR FIN'!$A$1:$O$85,15,0))</f>
        <v>0</v>
      </c>
      <c r="W704" s="6">
        <f>IF(ISERROR(VLOOKUP($T$704,'TAR FIN'!$A$1:$O$85,15,0)),0,VLOOKUP($T$704,'TAR FIN'!$A$1:$O$85,15,0))</f>
        <v>156.46</v>
      </c>
      <c r="X704" s="6">
        <f>IF(ISERROR(VLOOKUP($U$704,'TAR FIN'!$A$1:$O$85,15,0)),0,VLOOKUP($U$704,'TAR FIN'!$A$1:$O$85,15,0))</f>
        <v>193.53</v>
      </c>
      <c r="Y704" s="6"/>
      <c r="Z704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04" s="6">
        <f>('TE BE'!$AB$12+'TE BF'!$AB$12+'TE CVA'!$AB$12)*(1-CUSTOS!$M$35)</f>
        <v>191.97245201602018</v>
      </c>
      <c r="AB704" s="6">
        <f>$K$704*$V$704</f>
        <v>0</v>
      </c>
      <c r="AC704" s="6">
        <f>$M$704*$W$704</f>
        <v>1413.4596400000003</v>
      </c>
      <c r="AD704" s="6">
        <f>$O$704*$X$704</f>
        <v>1748.3500200000001</v>
      </c>
      <c r="AE704" s="6">
        <f>$K$704*$Y$704</f>
        <v>0</v>
      </c>
      <c r="AF704" s="6">
        <f ca="1">$M$704*$Z$704</f>
        <v>1565.9257517079905</v>
      </c>
      <c r="AG704" s="6">
        <f>$O$704*$AA$704</f>
        <v>1734.2791315127265</v>
      </c>
    </row>
    <row r="705" spans="1:33" ht="11.25" customHeight="1" x14ac:dyDescent="0.25">
      <c r="A705" s="4" t="s">
        <v>21</v>
      </c>
      <c r="B705" s="4" t="s">
        <v>22</v>
      </c>
      <c r="C705" s="4" t="s">
        <v>23</v>
      </c>
      <c r="D705" s="4" t="s">
        <v>24</v>
      </c>
      <c r="E705" s="4" t="s">
        <v>30</v>
      </c>
      <c r="F705" s="4" t="s">
        <v>25</v>
      </c>
      <c r="G705" s="4" t="s">
        <v>25</v>
      </c>
      <c r="H705" s="4" t="s">
        <v>25</v>
      </c>
      <c r="I705" s="5">
        <v>44593</v>
      </c>
      <c r="J705" s="6">
        <v>0</v>
      </c>
      <c r="K705" s="6">
        <v>0</v>
      </c>
      <c r="L705" s="6">
        <v>690.976</v>
      </c>
      <c r="M705" s="6">
        <v>690.976</v>
      </c>
      <c r="N705" s="6">
        <v>690.976</v>
      </c>
      <c r="O705" s="6">
        <v>690.976</v>
      </c>
      <c r="P705" s="6">
        <v>2199</v>
      </c>
      <c r="Q705" s="4" t="s">
        <v>26</v>
      </c>
      <c r="R705" s="4">
        <v>0</v>
      </c>
      <c r="S705" s="6">
        <v>0</v>
      </c>
      <c r="T705" s="6">
        <v>18</v>
      </c>
      <c r="U705" s="6">
        <v>55</v>
      </c>
      <c r="V705" s="6">
        <f>IF(ISERROR(VLOOKUP($S$705,'TAR FIN'!$A$1:$O$85,15,0)),0,VLOOKUP($S$705,'TAR FIN'!$A$1:$O$85,15,0))</f>
        <v>0</v>
      </c>
      <c r="W705" s="6">
        <f>IF(ISERROR(VLOOKUP($T$705,'TAR FIN'!$A$1:$O$85,15,0)),0,VLOOKUP($T$705,'TAR FIN'!$A$1:$O$85,15,0))</f>
        <v>156.46</v>
      </c>
      <c r="X705" s="6">
        <f>IF(ISERROR(VLOOKUP($U$705,'TAR FIN'!$A$1:$O$85,15,0)),0,VLOOKUP($U$705,'TAR FIN'!$A$1:$O$85,15,0))</f>
        <v>193.53</v>
      </c>
      <c r="Y705" s="6"/>
      <c r="Z705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05" s="6">
        <f>('TE BE'!$AB$12+'TE BF'!$AB$12+'TE CVA'!$AB$12)*(1-CUSTOS!$M$35)</f>
        <v>191.97245201602018</v>
      </c>
      <c r="AB705" s="6">
        <f>$K$705*$V$705</f>
        <v>0</v>
      </c>
      <c r="AC705" s="6">
        <f>$M$705*$W$705</f>
        <v>108110.10496000001</v>
      </c>
      <c r="AD705" s="6">
        <f>$O$705*$X$705</f>
        <v>133724.58528</v>
      </c>
      <c r="AE705" s="6">
        <f>$K$705*$Y$705</f>
        <v>0</v>
      </c>
      <c r="AF705" s="6">
        <f ca="1">$M$705*$Z$705</f>
        <v>119771.65289043395</v>
      </c>
      <c r="AG705" s="6">
        <f>$O$705*$AA$705</f>
        <v>132648.35700422156</v>
      </c>
    </row>
    <row r="706" spans="1:33" ht="11.25" customHeight="1" x14ac:dyDescent="0.25">
      <c r="A706" s="4" t="s">
        <v>27</v>
      </c>
      <c r="B706" s="4" t="s">
        <v>22</v>
      </c>
      <c r="C706" s="4" t="s">
        <v>23</v>
      </c>
      <c r="D706" s="4" t="s">
        <v>24</v>
      </c>
      <c r="E706" s="4" t="s">
        <v>30</v>
      </c>
      <c r="F706" s="4" t="s">
        <v>25</v>
      </c>
      <c r="G706" s="4" t="s">
        <v>25</v>
      </c>
      <c r="H706" s="4" t="s">
        <v>25</v>
      </c>
      <c r="I706" s="5">
        <v>44593</v>
      </c>
      <c r="J706" s="6">
        <v>0</v>
      </c>
      <c r="K706" s="6">
        <v>0</v>
      </c>
      <c r="L706" s="6">
        <v>6.0000000000000001E-3</v>
      </c>
      <c r="M706" s="6">
        <v>6.0000000000000001E-3</v>
      </c>
      <c r="N706" s="6">
        <v>6.0000000000000001E-3</v>
      </c>
      <c r="O706" s="6">
        <v>6.0000000000000001E-3</v>
      </c>
      <c r="P706" s="6">
        <v>1</v>
      </c>
      <c r="Q706" s="4" t="s">
        <v>26</v>
      </c>
      <c r="R706" s="4">
        <v>0</v>
      </c>
      <c r="S706" s="6">
        <v>0</v>
      </c>
      <c r="T706" s="6">
        <v>18</v>
      </c>
      <c r="U706" s="6">
        <v>55</v>
      </c>
      <c r="V706" s="6">
        <f>IF(ISERROR(VLOOKUP($S$706,'TAR FIN'!$A$1:$O$85,15,0)),0,VLOOKUP($S$706,'TAR FIN'!$A$1:$O$85,15,0))</f>
        <v>0</v>
      </c>
      <c r="W706" s="6">
        <f>IF(ISERROR(VLOOKUP($T$706,'TAR FIN'!$A$1:$O$85,15,0)),0,VLOOKUP($T$706,'TAR FIN'!$A$1:$O$85,15,0))</f>
        <v>156.46</v>
      </c>
      <c r="X706" s="6">
        <f>IF(ISERROR(VLOOKUP($U$706,'TAR FIN'!$A$1:$O$85,15,0)),0,VLOOKUP($U$706,'TAR FIN'!$A$1:$O$85,15,0))</f>
        <v>193.53</v>
      </c>
      <c r="Y706" s="6"/>
      <c r="Z706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06" s="6">
        <f>('TE BE'!$AB$12+'TE BF'!$AB$12+'TE CVA'!$AB$12)*(1-CUSTOS!$M$35)</f>
        <v>191.97245201602018</v>
      </c>
      <c r="AB706" s="6">
        <f>$K$706*$V$706</f>
        <v>0</v>
      </c>
      <c r="AC706" s="6">
        <f>$M$706*$W$706</f>
        <v>0.93876000000000004</v>
      </c>
      <c r="AD706" s="6">
        <f>$O$706*$X$706</f>
        <v>1.1611800000000001</v>
      </c>
      <c r="AE706" s="6">
        <f>$K$706*$Y$706</f>
        <v>0</v>
      </c>
      <c r="AF706" s="6">
        <f ca="1">$M$706*$Z$706</f>
        <v>1.0400215309107752</v>
      </c>
      <c r="AG706" s="6">
        <f>$O$706*$AA$706</f>
        <v>1.1518347120961212</v>
      </c>
    </row>
    <row r="707" spans="1:33" ht="11.25" customHeight="1" x14ac:dyDescent="0.25">
      <c r="A707" s="4" t="s">
        <v>28</v>
      </c>
      <c r="B707" s="4" t="s">
        <v>22</v>
      </c>
      <c r="C707" s="4" t="s">
        <v>23</v>
      </c>
      <c r="D707" s="4" t="s">
        <v>24</v>
      </c>
      <c r="E707" s="4" t="s">
        <v>30</v>
      </c>
      <c r="F707" s="4" t="s">
        <v>25</v>
      </c>
      <c r="G707" s="4" t="s">
        <v>25</v>
      </c>
      <c r="H707" s="4" t="s">
        <v>25</v>
      </c>
      <c r="I707" s="5">
        <v>44593</v>
      </c>
      <c r="J707" s="6">
        <v>0</v>
      </c>
      <c r="K707" s="6">
        <v>0</v>
      </c>
      <c r="L707" s="6">
        <v>8.9779999999999998</v>
      </c>
      <c r="M707" s="6">
        <v>8.9779999999999998</v>
      </c>
      <c r="N707" s="6">
        <v>8.9779999999999998</v>
      </c>
      <c r="O707" s="6">
        <v>8.9779999999999998</v>
      </c>
      <c r="P707" s="6">
        <v>56</v>
      </c>
      <c r="Q707" s="4" t="s">
        <v>26</v>
      </c>
      <c r="R707" s="4">
        <v>0</v>
      </c>
      <c r="S707" s="6">
        <v>0</v>
      </c>
      <c r="T707" s="6">
        <v>18</v>
      </c>
      <c r="U707" s="6">
        <v>55</v>
      </c>
      <c r="V707" s="6">
        <f>IF(ISERROR(VLOOKUP($S$707,'TAR FIN'!$A$1:$O$85,15,0)),0,VLOOKUP($S$707,'TAR FIN'!$A$1:$O$85,15,0))</f>
        <v>0</v>
      </c>
      <c r="W707" s="6">
        <f>IF(ISERROR(VLOOKUP($T$707,'TAR FIN'!$A$1:$O$85,15,0)),0,VLOOKUP($T$707,'TAR FIN'!$A$1:$O$85,15,0))</f>
        <v>156.46</v>
      </c>
      <c r="X707" s="6">
        <f>IF(ISERROR(VLOOKUP($U$707,'TAR FIN'!$A$1:$O$85,15,0)),0,VLOOKUP($U$707,'TAR FIN'!$A$1:$O$85,15,0))</f>
        <v>193.53</v>
      </c>
      <c r="Y707" s="6"/>
      <c r="Z707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07" s="6">
        <f>('TE BE'!$AB$12+'TE BF'!$AB$12+'TE CVA'!$AB$12)*(1-CUSTOS!$M$35)</f>
        <v>191.97245201602018</v>
      </c>
      <c r="AB707" s="6">
        <f>$K$707*$V$707</f>
        <v>0</v>
      </c>
      <c r="AC707" s="6">
        <f>$M$707*$W$707</f>
        <v>1404.6978799999999</v>
      </c>
      <c r="AD707" s="6">
        <f>$O$707*$X$707</f>
        <v>1737.51234</v>
      </c>
      <c r="AE707" s="6">
        <f>$K$707*$Y$707</f>
        <v>0</v>
      </c>
      <c r="AF707" s="6">
        <f ca="1">$M$707*$Z$707</f>
        <v>1556.2188840861563</v>
      </c>
      <c r="AG707" s="6">
        <f>$O$707*$AA$707</f>
        <v>1723.5286741998291</v>
      </c>
    </row>
    <row r="708" spans="1:33" ht="11.25" customHeight="1" x14ac:dyDescent="0.25">
      <c r="A708" s="4" t="s">
        <v>21</v>
      </c>
      <c r="B708" s="4" t="s">
        <v>22</v>
      </c>
      <c r="C708" s="4" t="s">
        <v>23</v>
      </c>
      <c r="D708" s="4" t="s">
        <v>24</v>
      </c>
      <c r="E708" s="4" t="s">
        <v>30</v>
      </c>
      <c r="F708" s="4" t="s">
        <v>25</v>
      </c>
      <c r="G708" s="4" t="s">
        <v>25</v>
      </c>
      <c r="H708" s="4" t="s">
        <v>25</v>
      </c>
      <c r="I708" s="5">
        <v>44621</v>
      </c>
      <c r="J708" s="6">
        <v>0</v>
      </c>
      <c r="K708" s="6">
        <v>0</v>
      </c>
      <c r="L708" s="6">
        <v>826.26599999999996</v>
      </c>
      <c r="M708" s="6">
        <v>826.26599999999996</v>
      </c>
      <c r="N708" s="6">
        <v>826.26599999999996</v>
      </c>
      <c r="O708" s="6">
        <v>826.26599999999996</v>
      </c>
      <c r="P708" s="6">
        <v>2738</v>
      </c>
      <c r="Q708" s="4" t="s">
        <v>26</v>
      </c>
      <c r="R708" s="4">
        <v>0</v>
      </c>
      <c r="S708" s="6">
        <v>0</v>
      </c>
      <c r="T708" s="6">
        <v>18</v>
      </c>
      <c r="U708" s="6">
        <v>55</v>
      </c>
      <c r="V708" s="6">
        <f>IF(ISERROR(VLOOKUP($S$708,'TAR FIN'!$A$1:$O$85,15,0)),0,VLOOKUP($S$708,'TAR FIN'!$A$1:$O$85,15,0))</f>
        <v>0</v>
      </c>
      <c r="W708" s="6">
        <f>IF(ISERROR(VLOOKUP($T$708,'TAR FIN'!$A$1:$O$85,15,0)),0,VLOOKUP($T$708,'TAR FIN'!$A$1:$O$85,15,0))</f>
        <v>156.46</v>
      </c>
      <c r="X708" s="6">
        <f>IF(ISERROR(VLOOKUP($U$708,'TAR FIN'!$A$1:$O$85,15,0)),0,VLOOKUP($U$708,'TAR FIN'!$A$1:$O$85,15,0))</f>
        <v>193.53</v>
      </c>
      <c r="Y708" s="6"/>
      <c r="Z708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08" s="6">
        <f>('TE BE'!$AB$12+'TE BF'!$AB$12+'TE CVA'!$AB$12)*(1-CUSTOS!$M$35)</f>
        <v>191.97245201602018</v>
      </c>
      <c r="AB708" s="6">
        <f>$K$708*$V$708</f>
        <v>0</v>
      </c>
      <c r="AC708" s="6">
        <f>$M$708*$W$708</f>
        <v>129277.57836</v>
      </c>
      <c r="AD708" s="6">
        <f>$O$708*$X$708</f>
        <v>159907.25897999998</v>
      </c>
      <c r="AE708" s="6">
        <f>$K$708*$Y$708</f>
        <v>0</v>
      </c>
      <c r="AF708" s="6">
        <f ca="1">$M$708*$Z$708</f>
        <v>143222.40504325373</v>
      </c>
      <c r="AG708" s="6">
        <f>$O$708*$AA$708</f>
        <v>158620.31003746894</v>
      </c>
    </row>
    <row r="709" spans="1:33" ht="11.25" customHeight="1" x14ac:dyDescent="0.25">
      <c r="A709" s="4" t="s">
        <v>27</v>
      </c>
      <c r="B709" s="4" t="s">
        <v>22</v>
      </c>
      <c r="C709" s="4" t="s">
        <v>23</v>
      </c>
      <c r="D709" s="4" t="s">
        <v>24</v>
      </c>
      <c r="E709" s="4" t="s">
        <v>30</v>
      </c>
      <c r="F709" s="4" t="s">
        <v>25</v>
      </c>
      <c r="G709" s="4" t="s">
        <v>25</v>
      </c>
      <c r="H709" s="4" t="s">
        <v>25</v>
      </c>
      <c r="I709" s="5">
        <v>44621</v>
      </c>
      <c r="J709" s="6">
        <v>0</v>
      </c>
      <c r="K709" s="6">
        <v>0</v>
      </c>
      <c r="L709" s="6">
        <v>0.20300000000000001</v>
      </c>
      <c r="M709" s="6">
        <v>0.20300000000000001</v>
      </c>
      <c r="N709" s="6">
        <v>0.20300000000000001</v>
      </c>
      <c r="O709" s="6">
        <v>0.20300000000000001</v>
      </c>
      <c r="P709" s="6">
        <v>3</v>
      </c>
      <c r="Q709" s="4" t="s">
        <v>26</v>
      </c>
      <c r="R709" s="4">
        <v>0</v>
      </c>
      <c r="S709" s="6">
        <v>0</v>
      </c>
      <c r="T709" s="6">
        <v>18</v>
      </c>
      <c r="U709" s="6">
        <v>55</v>
      </c>
      <c r="V709" s="6">
        <f>IF(ISERROR(VLOOKUP($S$709,'TAR FIN'!$A$1:$O$85,15,0)),0,VLOOKUP($S$709,'TAR FIN'!$A$1:$O$85,15,0))</f>
        <v>0</v>
      </c>
      <c r="W709" s="6">
        <f>IF(ISERROR(VLOOKUP($T$709,'TAR FIN'!$A$1:$O$85,15,0)),0,VLOOKUP($T$709,'TAR FIN'!$A$1:$O$85,15,0))</f>
        <v>156.46</v>
      </c>
      <c r="X709" s="6">
        <f>IF(ISERROR(VLOOKUP($U$709,'TAR FIN'!$A$1:$O$85,15,0)),0,VLOOKUP($U$709,'TAR FIN'!$A$1:$O$85,15,0))</f>
        <v>193.53</v>
      </c>
      <c r="Y709" s="6"/>
      <c r="Z709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09" s="6">
        <f>('TE BE'!$AB$12+'TE BF'!$AB$12+'TE CVA'!$AB$12)*(1-CUSTOS!$M$35)</f>
        <v>191.97245201602018</v>
      </c>
      <c r="AB709" s="6">
        <f>$K$709*$V$709</f>
        <v>0</v>
      </c>
      <c r="AC709" s="6">
        <f>$M$709*$W$709</f>
        <v>31.761380000000003</v>
      </c>
      <c r="AD709" s="6">
        <f>$O$709*$X$709</f>
        <v>39.286590000000004</v>
      </c>
      <c r="AE709" s="6">
        <f>$K$709*$Y$709</f>
        <v>0</v>
      </c>
      <c r="AF709" s="6">
        <f ca="1">$M$709*$Z$709</f>
        <v>35.187395129147895</v>
      </c>
      <c r="AG709" s="6">
        <f>$O$709*$AA$709</f>
        <v>38.970407759252097</v>
      </c>
    </row>
    <row r="710" spans="1:33" ht="11.25" customHeight="1" x14ac:dyDescent="0.25">
      <c r="A710" s="4" t="s">
        <v>28</v>
      </c>
      <c r="B710" s="4" t="s">
        <v>22</v>
      </c>
      <c r="C710" s="4" t="s">
        <v>23</v>
      </c>
      <c r="D710" s="4" t="s">
        <v>24</v>
      </c>
      <c r="E710" s="4" t="s">
        <v>30</v>
      </c>
      <c r="F710" s="4" t="s">
        <v>25</v>
      </c>
      <c r="G710" s="4" t="s">
        <v>25</v>
      </c>
      <c r="H710" s="4" t="s">
        <v>25</v>
      </c>
      <c r="I710" s="5">
        <v>44621</v>
      </c>
      <c r="J710" s="6">
        <v>0</v>
      </c>
      <c r="K710" s="6">
        <v>0</v>
      </c>
      <c r="L710" s="6">
        <v>9.8320000000000007</v>
      </c>
      <c r="M710" s="6">
        <v>9.8320000000000007</v>
      </c>
      <c r="N710" s="6">
        <v>9.8320000000000007</v>
      </c>
      <c r="O710" s="6">
        <v>9.8320000000000007</v>
      </c>
      <c r="P710" s="6">
        <v>65</v>
      </c>
      <c r="Q710" s="4" t="s">
        <v>26</v>
      </c>
      <c r="R710" s="4">
        <v>0</v>
      </c>
      <c r="S710" s="6">
        <v>0</v>
      </c>
      <c r="T710" s="6">
        <v>18</v>
      </c>
      <c r="U710" s="6">
        <v>55</v>
      </c>
      <c r="V710" s="6">
        <f>IF(ISERROR(VLOOKUP($S$710,'TAR FIN'!$A$1:$O$85,15,0)),0,VLOOKUP($S$710,'TAR FIN'!$A$1:$O$85,15,0))</f>
        <v>0</v>
      </c>
      <c r="W710" s="6">
        <f>IF(ISERROR(VLOOKUP($T$710,'TAR FIN'!$A$1:$O$85,15,0)),0,VLOOKUP($T$710,'TAR FIN'!$A$1:$O$85,15,0))</f>
        <v>156.46</v>
      </c>
      <c r="X710" s="6">
        <f>IF(ISERROR(VLOOKUP($U$710,'TAR FIN'!$A$1:$O$85,15,0)),0,VLOOKUP($U$710,'TAR FIN'!$A$1:$O$85,15,0))</f>
        <v>193.53</v>
      </c>
      <c r="Y710" s="6"/>
      <c r="Z710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10" s="6">
        <f>('TE BE'!$AB$12+'TE BF'!$AB$12+'TE CVA'!$AB$12)*(1-CUSTOS!$M$35)</f>
        <v>191.97245201602018</v>
      </c>
      <c r="AB710" s="6">
        <f>$K$710*$V$710</f>
        <v>0</v>
      </c>
      <c r="AC710" s="6">
        <f>$M$710*$W$710</f>
        <v>1538.3147200000003</v>
      </c>
      <c r="AD710" s="6">
        <f>$O$710*$X$710</f>
        <v>1902.7869600000001</v>
      </c>
      <c r="AE710" s="6">
        <f>$K$710*$Y$710</f>
        <v>0</v>
      </c>
      <c r="AF710" s="6">
        <f ca="1">$M$710*$Z$710</f>
        <v>1704.2486153191235</v>
      </c>
      <c r="AG710" s="6">
        <f>$O$710*$AA$710</f>
        <v>1887.4731482215107</v>
      </c>
    </row>
    <row r="711" spans="1:33" ht="11.25" customHeight="1" x14ac:dyDescent="0.25">
      <c r="A711" s="4" t="s">
        <v>21</v>
      </c>
      <c r="B711" s="4" t="s">
        <v>22</v>
      </c>
      <c r="C711" s="4" t="s">
        <v>23</v>
      </c>
      <c r="D711" s="4" t="s">
        <v>24</v>
      </c>
      <c r="E711" s="4" t="s">
        <v>30</v>
      </c>
      <c r="F711" s="4" t="s">
        <v>25</v>
      </c>
      <c r="G711" s="4" t="s">
        <v>25</v>
      </c>
      <c r="H711" s="4" t="s">
        <v>25</v>
      </c>
      <c r="I711" s="5">
        <v>44652</v>
      </c>
      <c r="J711" s="6">
        <v>0</v>
      </c>
      <c r="K711" s="6">
        <v>0</v>
      </c>
      <c r="L711" s="6">
        <v>844.17399999999998</v>
      </c>
      <c r="M711" s="6">
        <v>844.17399999999998</v>
      </c>
      <c r="N711" s="6">
        <v>844.17399999999998</v>
      </c>
      <c r="O711" s="6">
        <v>844.17399999999998</v>
      </c>
      <c r="P711" s="6">
        <v>2802</v>
      </c>
      <c r="Q711" s="4" t="s">
        <v>26</v>
      </c>
      <c r="R711" s="4">
        <v>0</v>
      </c>
      <c r="S711" s="6">
        <v>0</v>
      </c>
      <c r="T711" s="6">
        <v>18</v>
      </c>
      <c r="U711" s="6">
        <v>55</v>
      </c>
      <c r="V711" s="6">
        <f>IF(ISERROR(VLOOKUP($S$711,'TAR FIN'!$A$1:$O$85,15,0)),0,VLOOKUP($S$711,'TAR FIN'!$A$1:$O$85,15,0))</f>
        <v>0</v>
      </c>
      <c r="W711" s="6">
        <f>IF(ISERROR(VLOOKUP($T$711,'TAR FIN'!$A$1:$O$85,15,0)),0,VLOOKUP($T$711,'TAR FIN'!$A$1:$O$85,15,0))</f>
        <v>156.46</v>
      </c>
      <c r="X711" s="6">
        <f>IF(ISERROR(VLOOKUP($U$711,'TAR FIN'!$A$1:$O$85,15,0)),0,VLOOKUP($U$711,'TAR FIN'!$A$1:$O$85,15,0))</f>
        <v>193.53</v>
      </c>
      <c r="Y711" s="6"/>
      <c r="Z711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11" s="6">
        <f>('TE BE'!$AB$12+'TE BF'!$AB$12+'TE CVA'!$AB$12)*(1-CUSTOS!$M$35)</f>
        <v>191.97245201602018</v>
      </c>
      <c r="AB711" s="6">
        <f>$K$711*$V$711</f>
        <v>0</v>
      </c>
      <c r="AC711" s="6">
        <f>$M$711*$W$711</f>
        <v>132079.46403999999</v>
      </c>
      <c r="AD711" s="6">
        <f>$O$711*$X$711</f>
        <v>163372.99421999999</v>
      </c>
      <c r="AE711" s="6">
        <f>$K$711*$Y$711</f>
        <v>0</v>
      </c>
      <c r="AF711" s="6">
        <f ca="1">$M$711*$Z$711</f>
        <v>146326.52263917876</v>
      </c>
      <c r="AG711" s="6">
        <f>$O$711*$AA$711</f>
        <v>162058.15270817181</v>
      </c>
    </row>
    <row r="712" spans="1:33" ht="11.25" customHeight="1" x14ac:dyDescent="0.25">
      <c r="A712" s="4" t="s">
        <v>27</v>
      </c>
      <c r="B712" s="4" t="s">
        <v>22</v>
      </c>
      <c r="C712" s="4" t="s">
        <v>23</v>
      </c>
      <c r="D712" s="4" t="s">
        <v>24</v>
      </c>
      <c r="E712" s="4" t="s">
        <v>30</v>
      </c>
      <c r="F712" s="4" t="s">
        <v>25</v>
      </c>
      <c r="G712" s="4" t="s">
        <v>25</v>
      </c>
      <c r="H712" s="4" t="s">
        <v>25</v>
      </c>
      <c r="I712" s="5">
        <v>44652</v>
      </c>
      <c r="J712" s="6">
        <v>0</v>
      </c>
      <c r="K712" s="6">
        <v>0</v>
      </c>
      <c r="L712" s="6">
        <v>0.17</v>
      </c>
      <c r="M712" s="6">
        <v>0.17</v>
      </c>
      <c r="N712" s="6">
        <v>0.17</v>
      </c>
      <c r="O712" s="6">
        <v>0.17</v>
      </c>
      <c r="P712" s="6">
        <v>4</v>
      </c>
      <c r="Q712" s="4" t="s">
        <v>26</v>
      </c>
      <c r="R712" s="4">
        <v>0</v>
      </c>
      <c r="S712" s="6">
        <v>0</v>
      </c>
      <c r="T712" s="6">
        <v>18</v>
      </c>
      <c r="U712" s="6">
        <v>55</v>
      </c>
      <c r="V712" s="6">
        <f>IF(ISERROR(VLOOKUP($S$712,'TAR FIN'!$A$1:$O$85,15,0)),0,VLOOKUP($S$712,'TAR FIN'!$A$1:$O$85,15,0))</f>
        <v>0</v>
      </c>
      <c r="W712" s="6">
        <f>IF(ISERROR(VLOOKUP($T$712,'TAR FIN'!$A$1:$O$85,15,0)),0,VLOOKUP($T$712,'TAR FIN'!$A$1:$O$85,15,0))</f>
        <v>156.46</v>
      </c>
      <c r="X712" s="6">
        <f>IF(ISERROR(VLOOKUP($U$712,'TAR FIN'!$A$1:$O$85,15,0)),0,VLOOKUP($U$712,'TAR FIN'!$A$1:$O$85,15,0))</f>
        <v>193.53</v>
      </c>
      <c r="Y712" s="6"/>
      <c r="Z712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12" s="6">
        <f>('TE BE'!$AB$12+'TE BF'!$AB$12+'TE CVA'!$AB$12)*(1-CUSTOS!$M$35)</f>
        <v>191.97245201602018</v>
      </c>
      <c r="AB712" s="6">
        <f>$K$712*$V$712</f>
        <v>0</v>
      </c>
      <c r="AC712" s="6">
        <f>$M$712*$W$712</f>
        <v>26.598200000000002</v>
      </c>
      <c r="AD712" s="6">
        <f>$O$712*$X$712</f>
        <v>32.900100000000002</v>
      </c>
      <c r="AE712" s="6">
        <f>$K$712*$Y$712</f>
        <v>0</v>
      </c>
      <c r="AF712" s="6">
        <f ca="1">$M$712*$Z$712</f>
        <v>29.467276709138631</v>
      </c>
      <c r="AG712" s="6">
        <f>$O$712*$AA$712</f>
        <v>32.635316842723434</v>
      </c>
    </row>
    <row r="713" spans="1:33" ht="11.25" customHeight="1" x14ac:dyDescent="0.25">
      <c r="A713" s="4" t="s">
        <v>28</v>
      </c>
      <c r="B713" s="4" t="s">
        <v>22</v>
      </c>
      <c r="C713" s="4" t="s">
        <v>23</v>
      </c>
      <c r="D713" s="4" t="s">
        <v>24</v>
      </c>
      <c r="E713" s="4" t="s">
        <v>30</v>
      </c>
      <c r="F713" s="4" t="s">
        <v>25</v>
      </c>
      <c r="G713" s="4" t="s">
        <v>25</v>
      </c>
      <c r="H713" s="4" t="s">
        <v>25</v>
      </c>
      <c r="I713" s="5">
        <v>44652</v>
      </c>
      <c r="J713" s="6">
        <v>0</v>
      </c>
      <c r="K713" s="6">
        <v>0</v>
      </c>
      <c r="L713" s="6">
        <v>9.8450000000000006</v>
      </c>
      <c r="M713" s="6">
        <v>9.8450000000000006</v>
      </c>
      <c r="N713" s="6">
        <v>9.8450000000000006</v>
      </c>
      <c r="O713" s="6">
        <v>9.8450000000000006</v>
      </c>
      <c r="P713" s="6">
        <v>62</v>
      </c>
      <c r="Q713" s="4" t="s">
        <v>26</v>
      </c>
      <c r="R713" s="4">
        <v>0</v>
      </c>
      <c r="S713" s="6">
        <v>0</v>
      </c>
      <c r="T713" s="6">
        <v>18</v>
      </c>
      <c r="U713" s="6">
        <v>55</v>
      </c>
      <c r="V713" s="6">
        <f>IF(ISERROR(VLOOKUP($S$713,'TAR FIN'!$A$1:$O$85,15,0)),0,VLOOKUP($S$713,'TAR FIN'!$A$1:$O$85,15,0))</f>
        <v>0</v>
      </c>
      <c r="W713" s="6">
        <f>IF(ISERROR(VLOOKUP($T$713,'TAR FIN'!$A$1:$O$85,15,0)),0,VLOOKUP($T$713,'TAR FIN'!$A$1:$O$85,15,0))</f>
        <v>156.46</v>
      </c>
      <c r="X713" s="6">
        <f>IF(ISERROR(VLOOKUP($U$713,'TAR FIN'!$A$1:$O$85,15,0)),0,VLOOKUP($U$713,'TAR FIN'!$A$1:$O$85,15,0))</f>
        <v>193.53</v>
      </c>
      <c r="Y713" s="6"/>
      <c r="Z713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13" s="6">
        <f>('TE BE'!$AB$12+'TE BF'!$AB$12+'TE CVA'!$AB$12)*(1-CUSTOS!$M$35)</f>
        <v>191.97245201602018</v>
      </c>
      <c r="AB713" s="6">
        <f>$K$713*$V$713</f>
        <v>0</v>
      </c>
      <c r="AC713" s="6">
        <f>$M$713*$W$713</f>
        <v>1540.3487000000002</v>
      </c>
      <c r="AD713" s="6">
        <f>$O$713*$X$713</f>
        <v>1905.30285</v>
      </c>
      <c r="AE713" s="6">
        <f>$K$713*$Y$713</f>
        <v>0</v>
      </c>
      <c r="AF713" s="6">
        <f ca="1">$M$713*$Z$713</f>
        <v>1706.5019953027636</v>
      </c>
      <c r="AG713" s="6">
        <f>$O$713*$AA$713</f>
        <v>1889.9687900977187</v>
      </c>
    </row>
    <row r="714" spans="1:33" ht="11.25" customHeight="1" x14ac:dyDescent="0.25">
      <c r="A714" s="4" t="s">
        <v>21</v>
      </c>
      <c r="B714" s="4" t="s">
        <v>22</v>
      </c>
      <c r="C714" s="4" t="s">
        <v>23</v>
      </c>
      <c r="D714" s="4" t="s">
        <v>24</v>
      </c>
      <c r="E714" s="4" t="s">
        <v>30</v>
      </c>
      <c r="F714" s="4" t="s">
        <v>25</v>
      </c>
      <c r="G714" s="4" t="s">
        <v>25</v>
      </c>
      <c r="H714" s="4" t="s">
        <v>25</v>
      </c>
      <c r="I714" s="5">
        <v>44682</v>
      </c>
      <c r="J714" s="6">
        <v>0</v>
      </c>
      <c r="K714" s="6">
        <v>0</v>
      </c>
      <c r="L714" s="6">
        <v>744.93399999999997</v>
      </c>
      <c r="M714" s="6">
        <v>744.93399999999997</v>
      </c>
      <c r="N714" s="6">
        <v>744.93399999999997</v>
      </c>
      <c r="O714" s="6">
        <v>744.93399999999997</v>
      </c>
      <c r="P714" s="6">
        <v>3418</v>
      </c>
      <c r="Q714" s="4" t="s">
        <v>26</v>
      </c>
      <c r="R714" s="4">
        <v>0</v>
      </c>
      <c r="S714" s="6">
        <v>0</v>
      </c>
      <c r="T714" s="6">
        <v>18</v>
      </c>
      <c r="U714" s="6">
        <v>55</v>
      </c>
      <c r="V714" s="6">
        <f>IF(ISERROR(VLOOKUP($S$714,'TAR FIN'!$A$1:$O$85,15,0)),0,VLOOKUP($S$714,'TAR FIN'!$A$1:$O$85,15,0))</f>
        <v>0</v>
      </c>
      <c r="W714" s="6">
        <f>IF(ISERROR(VLOOKUP($T$714,'TAR FIN'!$A$1:$O$85,15,0)),0,VLOOKUP($T$714,'TAR FIN'!$A$1:$O$85,15,0))</f>
        <v>156.46</v>
      </c>
      <c r="X714" s="6">
        <f>IF(ISERROR(VLOOKUP($U$714,'TAR FIN'!$A$1:$O$85,15,0)),0,VLOOKUP($U$714,'TAR FIN'!$A$1:$O$85,15,0))</f>
        <v>193.53</v>
      </c>
      <c r="Y714" s="6"/>
      <c r="Z714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14" s="6">
        <f>('TE BE'!$AB$12+'TE BF'!$AB$12+'TE CVA'!$AB$12)*(1-CUSTOS!$M$35)</f>
        <v>191.97245201602018</v>
      </c>
      <c r="AB714" s="6">
        <f>$K$714*$V$714</f>
        <v>0</v>
      </c>
      <c r="AC714" s="6">
        <f>$M$714*$W$714</f>
        <v>116552.37364000001</v>
      </c>
      <c r="AD714" s="6">
        <f>$O$714*$X$714</f>
        <v>144167.07702</v>
      </c>
      <c r="AE714" s="6">
        <f>$K$714*$Y$714</f>
        <v>0</v>
      </c>
      <c r="AF714" s="6">
        <f ca="1">$M$714*$Z$714</f>
        <v>129124.56651791454</v>
      </c>
      <c r="AG714" s="6">
        <f>$O$714*$AA$714</f>
        <v>143006.80657010197</v>
      </c>
    </row>
    <row r="715" spans="1:33" ht="11.25" customHeight="1" x14ac:dyDescent="0.25">
      <c r="A715" s="4" t="s">
        <v>27</v>
      </c>
      <c r="B715" s="4" t="s">
        <v>22</v>
      </c>
      <c r="C715" s="4" t="s">
        <v>23</v>
      </c>
      <c r="D715" s="4" t="s">
        <v>24</v>
      </c>
      <c r="E715" s="4" t="s">
        <v>30</v>
      </c>
      <c r="F715" s="4" t="s">
        <v>25</v>
      </c>
      <c r="G715" s="4" t="s">
        <v>25</v>
      </c>
      <c r="H715" s="4" t="s">
        <v>25</v>
      </c>
      <c r="I715" s="5">
        <v>44682</v>
      </c>
      <c r="J715" s="6">
        <v>0</v>
      </c>
      <c r="K715" s="6">
        <v>0</v>
      </c>
      <c r="L715" s="6">
        <v>0.09</v>
      </c>
      <c r="M715" s="6">
        <v>0.09</v>
      </c>
      <c r="N715" s="6">
        <v>0.09</v>
      </c>
      <c r="O715" s="6">
        <v>0.09</v>
      </c>
      <c r="P715" s="6">
        <v>3</v>
      </c>
      <c r="Q715" s="4" t="s">
        <v>26</v>
      </c>
      <c r="R715" s="4">
        <v>0</v>
      </c>
      <c r="S715" s="6">
        <v>0</v>
      </c>
      <c r="T715" s="6">
        <v>18</v>
      </c>
      <c r="U715" s="6">
        <v>55</v>
      </c>
      <c r="V715" s="6">
        <f>IF(ISERROR(VLOOKUP($S$715,'TAR FIN'!$A$1:$O$85,15,0)),0,VLOOKUP($S$715,'TAR FIN'!$A$1:$O$85,15,0))</f>
        <v>0</v>
      </c>
      <c r="W715" s="6">
        <f>IF(ISERROR(VLOOKUP($T$715,'TAR FIN'!$A$1:$O$85,15,0)),0,VLOOKUP($T$715,'TAR FIN'!$A$1:$O$85,15,0))</f>
        <v>156.46</v>
      </c>
      <c r="X715" s="6">
        <f>IF(ISERROR(VLOOKUP($U$715,'TAR FIN'!$A$1:$O$85,15,0)),0,VLOOKUP($U$715,'TAR FIN'!$A$1:$O$85,15,0))</f>
        <v>193.53</v>
      </c>
      <c r="Y715" s="6"/>
      <c r="Z715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15" s="6">
        <f>('TE BE'!$AB$12+'TE BF'!$AB$12+'TE CVA'!$AB$12)*(1-CUSTOS!$M$35)</f>
        <v>191.97245201602018</v>
      </c>
      <c r="AB715" s="6">
        <f>$K$715*$V$715</f>
        <v>0</v>
      </c>
      <c r="AC715" s="6">
        <f>$M$715*$W$715</f>
        <v>14.0814</v>
      </c>
      <c r="AD715" s="6">
        <f>$O$715*$X$715</f>
        <v>17.4177</v>
      </c>
      <c r="AE715" s="6">
        <f>$K$715*$Y$715</f>
        <v>0</v>
      </c>
      <c r="AF715" s="6">
        <f ca="1">$M$715*$Z$715</f>
        <v>15.600322963661625</v>
      </c>
      <c r="AG715" s="6">
        <f>$O$715*$AA$715</f>
        <v>17.277520681441818</v>
      </c>
    </row>
    <row r="716" spans="1:33" ht="11.25" customHeight="1" x14ac:dyDescent="0.25">
      <c r="A716" s="4" t="s">
        <v>28</v>
      </c>
      <c r="B716" s="4" t="s">
        <v>22</v>
      </c>
      <c r="C716" s="4" t="s">
        <v>23</v>
      </c>
      <c r="D716" s="4" t="s">
        <v>24</v>
      </c>
      <c r="E716" s="4" t="s">
        <v>30</v>
      </c>
      <c r="F716" s="4" t="s">
        <v>25</v>
      </c>
      <c r="G716" s="4" t="s">
        <v>25</v>
      </c>
      <c r="H716" s="4" t="s">
        <v>25</v>
      </c>
      <c r="I716" s="5">
        <v>44682</v>
      </c>
      <c r="J716" s="6">
        <v>0</v>
      </c>
      <c r="K716" s="6">
        <v>0</v>
      </c>
      <c r="L716" s="6">
        <v>8.3629999999999995</v>
      </c>
      <c r="M716" s="6">
        <v>8.3629999999999995</v>
      </c>
      <c r="N716" s="6">
        <v>8.3629999999999995</v>
      </c>
      <c r="O716" s="6">
        <v>8.3629999999999995</v>
      </c>
      <c r="P716" s="6">
        <v>72</v>
      </c>
      <c r="Q716" s="4" t="s">
        <v>26</v>
      </c>
      <c r="R716" s="4">
        <v>0</v>
      </c>
      <c r="S716" s="6">
        <v>0</v>
      </c>
      <c r="T716" s="6">
        <v>18</v>
      </c>
      <c r="U716" s="6">
        <v>55</v>
      </c>
      <c r="V716" s="6">
        <f>IF(ISERROR(VLOOKUP($S$716,'TAR FIN'!$A$1:$O$85,15,0)),0,VLOOKUP($S$716,'TAR FIN'!$A$1:$O$85,15,0))</f>
        <v>0</v>
      </c>
      <c r="W716" s="6">
        <f>IF(ISERROR(VLOOKUP($T$716,'TAR FIN'!$A$1:$O$85,15,0)),0,VLOOKUP($T$716,'TAR FIN'!$A$1:$O$85,15,0))</f>
        <v>156.46</v>
      </c>
      <c r="X716" s="6">
        <f>IF(ISERROR(VLOOKUP($U$716,'TAR FIN'!$A$1:$O$85,15,0)),0,VLOOKUP($U$716,'TAR FIN'!$A$1:$O$85,15,0))</f>
        <v>193.53</v>
      </c>
      <c r="Y716" s="6"/>
      <c r="Z716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16" s="6">
        <f>('TE BE'!$AB$12+'TE BF'!$AB$12+'TE CVA'!$AB$12)*(1-CUSTOS!$M$35)</f>
        <v>191.97245201602018</v>
      </c>
      <c r="AB716" s="6">
        <f>$K$716*$V$716</f>
        <v>0</v>
      </c>
      <c r="AC716" s="6">
        <f>$M$716*$W$716</f>
        <v>1308.47498</v>
      </c>
      <c r="AD716" s="6">
        <f>$O$716*$X$716</f>
        <v>1618.4913899999999</v>
      </c>
      <c r="AE716" s="6">
        <f>$K$716*$Y$716</f>
        <v>0</v>
      </c>
      <c r="AF716" s="6">
        <f ca="1">$M$716*$Z$716</f>
        <v>1449.616677167802</v>
      </c>
      <c r="AG716" s="6">
        <f>$O$716*$AA$716</f>
        <v>1605.4656162099768</v>
      </c>
    </row>
    <row r="717" spans="1:33" ht="11.25" customHeight="1" x14ac:dyDescent="0.25">
      <c r="A717" s="4" t="s">
        <v>21</v>
      </c>
      <c r="B717" s="4" t="s">
        <v>22</v>
      </c>
      <c r="C717" s="4" t="s">
        <v>23</v>
      </c>
      <c r="D717" s="4" t="s">
        <v>24</v>
      </c>
      <c r="E717" s="4" t="s">
        <v>30</v>
      </c>
      <c r="F717" s="4" t="s">
        <v>25</v>
      </c>
      <c r="G717" s="4" t="s">
        <v>25</v>
      </c>
      <c r="H717" s="4" t="s">
        <v>25</v>
      </c>
      <c r="I717" s="5">
        <v>44713</v>
      </c>
      <c r="J717" s="6">
        <v>0</v>
      </c>
      <c r="K717" s="6">
        <v>0</v>
      </c>
      <c r="L717" s="6">
        <v>760.18700000000001</v>
      </c>
      <c r="M717" s="6">
        <v>760.18700000000001</v>
      </c>
      <c r="N717" s="6">
        <v>760.18700000000001</v>
      </c>
      <c r="O717" s="6">
        <v>760.18700000000001</v>
      </c>
      <c r="P717" s="6">
        <v>4296</v>
      </c>
      <c r="Q717" s="4" t="s">
        <v>26</v>
      </c>
      <c r="R717" s="4">
        <v>0</v>
      </c>
      <c r="S717" s="6">
        <v>0</v>
      </c>
      <c r="T717" s="6">
        <v>18</v>
      </c>
      <c r="U717" s="6">
        <v>55</v>
      </c>
      <c r="V717" s="6">
        <f>IF(ISERROR(VLOOKUP($S$717,'TAR FIN'!$A$1:$O$85,15,0)),0,VLOOKUP($S$717,'TAR FIN'!$A$1:$O$85,15,0))</f>
        <v>0</v>
      </c>
      <c r="W717" s="6">
        <f>IF(ISERROR(VLOOKUP($T$717,'TAR FIN'!$A$1:$O$85,15,0)),0,VLOOKUP($T$717,'TAR FIN'!$A$1:$O$85,15,0))</f>
        <v>156.46</v>
      </c>
      <c r="X717" s="6">
        <f>IF(ISERROR(VLOOKUP($U$717,'TAR FIN'!$A$1:$O$85,15,0)),0,VLOOKUP($U$717,'TAR FIN'!$A$1:$O$85,15,0))</f>
        <v>193.53</v>
      </c>
      <c r="Y717" s="6"/>
      <c r="Z717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17" s="6">
        <f>('TE BE'!$AB$12+'TE BF'!$AB$12+'TE CVA'!$AB$12)*(1-CUSTOS!$M$35)</f>
        <v>191.97245201602018</v>
      </c>
      <c r="AB717" s="6">
        <f>$K$717*$V$717</f>
        <v>0</v>
      </c>
      <c r="AC717" s="6">
        <f>$M$717*$W$717</f>
        <v>118938.85802000001</v>
      </c>
      <c r="AD717" s="6">
        <f>$O$717*$X$717</f>
        <v>147118.99011000001</v>
      </c>
      <c r="AE717" s="6">
        <f>$K$717*$Y$717</f>
        <v>0</v>
      </c>
      <c r="AF717" s="6">
        <f ca="1">$M$717*$Z$717</f>
        <v>131768.47458641155</v>
      </c>
      <c r="AG717" s="6">
        <f>$O$717*$AA$717</f>
        <v>145934.96238070235</v>
      </c>
    </row>
    <row r="718" spans="1:33" ht="11.25" customHeight="1" x14ac:dyDescent="0.25">
      <c r="A718" s="4" t="s">
        <v>27</v>
      </c>
      <c r="B718" s="4" t="s">
        <v>22</v>
      </c>
      <c r="C718" s="4" t="s">
        <v>23</v>
      </c>
      <c r="D718" s="4" t="s">
        <v>24</v>
      </c>
      <c r="E718" s="4" t="s">
        <v>30</v>
      </c>
      <c r="F718" s="4" t="s">
        <v>25</v>
      </c>
      <c r="G718" s="4" t="s">
        <v>25</v>
      </c>
      <c r="H718" s="4" t="s">
        <v>25</v>
      </c>
      <c r="I718" s="5">
        <v>44713</v>
      </c>
      <c r="J718" s="6">
        <v>0</v>
      </c>
      <c r="K718" s="6">
        <v>0</v>
      </c>
      <c r="L718" s="6">
        <v>0.03</v>
      </c>
      <c r="M718" s="6">
        <v>0.03</v>
      </c>
      <c r="N718" s="6">
        <v>0.03</v>
      </c>
      <c r="O718" s="6">
        <v>0.03</v>
      </c>
      <c r="P718" s="6">
        <v>2</v>
      </c>
      <c r="Q718" s="4" t="s">
        <v>26</v>
      </c>
      <c r="R718" s="4">
        <v>0</v>
      </c>
      <c r="S718" s="6">
        <v>0</v>
      </c>
      <c r="T718" s="6">
        <v>18</v>
      </c>
      <c r="U718" s="6">
        <v>55</v>
      </c>
      <c r="V718" s="6">
        <f>IF(ISERROR(VLOOKUP($S$718,'TAR FIN'!$A$1:$O$85,15,0)),0,VLOOKUP($S$718,'TAR FIN'!$A$1:$O$85,15,0))</f>
        <v>0</v>
      </c>
      <c r="W718" s="6">
        <f>IF(ISERROR(VLOOKUP($T$718,'TAR FIN'!$A$1:$O$85,15,0)),0,VLOOKUP($T$718,'TAR FIN'!$A$1:$O$85,15,0))</f>
        <v>156.46</v>
      </c>
      <c r="X718" s="6">
        <f>IF(ISERROR(VLOOKUP($U$718,'TAR FIN'!$A$1:$O$85,15,0)),0,VLOOKUP($U$718,'TAR FIN'!$A$1:$O$85,15,0))</f>
        <v>193.53</v>
      </c>
      <c r="Y718" s="6"/>
      <c r="Z718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18" s="6">
        <f>('TE BE'!$AB$12+'TE BF'!$AB$12+'TE CVA'!$AB$12)*(1-CUSTOS!$M$35)</f>
        <v>191.97245201602018</v>
      </c>
      <c r="AB718" s="6">
        <f>$K$718*$V$718</f>
        <v>0</v>
      </c>
      <c r="AC718" s="6">
        <f>$M$718*$W$718</f>
        <v>4.6938000000000004</v>
      </c>
      <c r="AD718" s="6">
        <f>$O$718*$X$718</f>
        <v>5.8058999999999994</v>
      </c>
      <c r="AE718" s="6">
        <f>$K$718*$Y$718</f>
        <v>0</v>
      </c>
      <c r="AF718" s="6">
        <f ca="1">$M$718*$Z$718</f>
        <v>5.2001076545538751</v>
      </c>
      <c r="AG718" s="6">
        <f>$O$718*$AA$718</f>
        <v>5.7591735604806056</v>
      </c>
    </row>
    <row r="719" spans="1:33" ht="11.25" customHeight="1" x14ac:dyDescent="0.25">
      <c r="A719" s="4" t="s">
        <v>28</v>
      </c>
      <c r="B719" s="4" t="s">
        <v>22</v>
      </c>
      <c r="C719" s="4" t="s">
        <v>23</v>
      </c>
      <c r="D719" s="4" t="s">
        <v>24</v>
      </c>
      <c r="E719" s="4" t="s">
        <v>30</v>
      </c>
      <c r="F719" s="4" t="s">
        <v>25</v>
      </c>
      <c r="G719" s="4" t="s">
        <v>25</v>
      </c>
      <c r="H719" s="4" t="s">
        <v>25</v>
      </c>
      <c r="I719" s="5">
        <v>44713</v>
      </c>
      <c r="J719" s="6">
        <v>0</v>
      </c>
      <c r="K719" s="6">
        <v>0</v>
      </c>
      <c r="L719" s="6">
        <v>8.2219999999999995</v>
      </c>
      <c r="M719" s="6">
        <v>8.2219999999999995</v>
      </c>
      <c r="N719" s="6">
        <v>8.2219999999999995</v>
      </c>
      <c r="O719" s="6">
        <v>8.2219999999999995</v>
      </c>
      <c r="P719" s="6">
        <v>87</v>
      </c>
      <c r="Q719" s="4" t="s">
        <v>26</v>
      </c>
      <c r="R719" s="4">
        <v>0</v>
      </c>
      <c r="S719" s="6">
        <v>0</v>
      </c>
      <c r="T719" s="6">
        <v>18</v>
      </c>
      <c r="U719" s="6">
        <v>55</v>
      </c>
      <c r="V719" s="6">
        <f>IF(ISERROR(VLOOKUP($S$719,'TAR FIN'!$A$1:$O$85,15,0)),0,VLOOKUP($S$719,'TAR FIN'!$A$1:$O$85,15,0))</f>
        <v>0</v>
      </c>
      <c r="W719" s="6">
        <f>IF(ISERROR(VLOOKUP($T$719,'TAR FIN'!$A$1:$O$85,15,0)),0,VLOOKUP($T$719,'TAR FIN'!$A$1:$O$85,15,0))</f>
        <v>156.46</v>
      </c>
      <c r="X719" s="6">
        <f>IF(ISERROR(VLOOKUP($U$719,'TAR FIN'!$A$1:$O$85,15,0)),0,VLOOKUP($U$719,'TAR FIN'!$A$1:$O$85,15,0))</f>
        <v>193.53</v>
      </c>
      <c r="Y719" s="6"/>
      <c r="Z719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19" s="6">
        <f>('TE BE'!$AB$12+'TE BF'!$AB$12+'TE CVA'!$AB$12)*(1-CUSTOS!$M$35)</f>
        <v>191.97245201602018</v>
      </c>
      <c r="AB719" s="6">
        <f>$K$719*$V$719</f>
        <v>0</v>
      </c>
      <c r="AC719" s="6">
        <f>$M$719*$W$719</f>
        <v>1286.4141199999999</v>
      </c>
      <c r="AD719" s="6">
        <f>$O$719*$X$719</f>
        <v>1591.2036599999999</v>
      </c>
      <c r="AE719" s="6">
        <f>$K$719*$Y$719</f>
        <v>0</v>
      </c>
      <c r="AF719" s="6">
        <f ca="1">$M$719*$Z$719</f>
        <v>1425.1761711913987</v>
      </c>
      <c r="AG719" s="6">
        <f>$O$719*$AA$719</f>
        <v>1578.3975004757178</v>
      </c>
    </row>
    <row r="720" spans="1:33" ht="11.25" customHeight="1" x14ac:dyDescent="0.25">
      <c r="A720" s="4" t="s">
        <v>21</v>
      </c>
      <c r="B720" s="4" t="s">
        <v>22</v>
      </c>
      <c r="C720" s="4" t="s">
        <v>23</v>
      </c>
      <c r="D720" s="4" t="s">
        <v>24</v>
      </c>
      <c r="E720" s="4" t="s">
        <v>30</v>
      </c>
      <c r="F720" s="4" t="s">
        <v>25</v>
      </c>
      <c r="G720" s="4" t="s">
        <v>25</v>
      </c>
      <c r="H720" s="4" t="s">
        <v>25</v>
      </c>
      <c r="I720" s="5">
        <v>44743</v>
      </c>
      <c r="J720" s="6">
        <v>0</v>
      </c>
      <c r="K720" s="6">
        <v>0</v>
      </c>
      <c r="L720" s="6">
        <v>627.928</v>
      </c>
      <c r="M720" s="6">
        <v>627.928</v>
      </c>
      <c r="N720" s="6">
        <v>627.928</v>
      </c>
      <c r="O720" s="6">
        <v>627.928</v>
      </c>
      <c r="P720" s="6">
        <v>4086</v>
      </c>
      <c r="Q720" s="4" t="s">
        <v>26</v>
      </c>
      <c r="R720" s="4">
        <v>0</v>
      </c>
      <c r="S720" s="6">
        <v>0</v>
      </c>
      <c r="T720" s="6">
        <v>18</v>
      </c>
      <c r="U720" s="6">
        <v>55</v>
      </c>
      <c r="V720" s="6">
        <f>IF(ISERROR(VLOOKUP($S$720,'TAR FIN'!$A$1:$O$85,15,0)),0,VLOOKUP($S$720,'TAR FIN'!$A$1:$O$85,15,0))</f>
        <v>0</v>
      </c>
      <c r="W720" s="6">
        <f>IF(ISERROR(VLOOKUP($T$720,'TAR FIN'!$A$1:$O$85,15,0)),0,VLOOKUP($T$720,'TAR FIN'!$A$1:$O$85,15,0))</f>
        <v>156.46</v>
      </c>
      <c r="X720" s="6">
        <f>IF(ISERROR(VLOOKUP($U$720,'TAR FIN'!$A$1:$O$85,15,0)),0,VLOOKUP($U$720,'TAR FIN'!$A$1:$O$85,15,0))</f>
        <v>193.53</v>
      </c>
      <c r="Y720" s="6"/>
      <c r="Z720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20" s="6">
        <f>('TE BE'!$AB$12+'TE BF'!$AB$12+'TE CVA'!$AB$12)*(1-CUSTOS!$M$35)</f>
        <v>191.97245201602018</v>
      </c>
      <c r="AB720" s="6">
        <f>$K$720*$V$720</f>
        <v>0</v>
      </c>
      <c r="AC720" s="6">
        <f>$M$720*$W$720</f>
        <v>98245.614880000008</v>
      </c>
      <c r="AD720" s="6">
        <f>$O$720*$X$720</f>
        <v>121522.90584000001</v>
      </c>
      <c r="AE720" s="6">
        <f>$K$720*$Y$720</f>
        <v>0</v>
      </c>
      <c r="AF720" s="6">
        <f ca="1">$M$720*$Z$720</f>
        <v>108843.10664362353</v>
      </c>
      <c r="AG720" s="6">
        <f>$O$720*$AA$720</f>
        <v>120544.87784951553</v>
      </c>
    </row>
    <row r="721" spans="1:33" ht="11.25" customHeight="1" x14ac:dyDescent="0.25">
      <c r="A721" s="4" t="s">
        <v>27</v>
      </c>
      <c r="B721" s="4" t="s">
        <v>22</v>
      </c>
      <c r="C721" s="4" t="s">
        <v>23</v>
      </c>
      <c r="D721" s="4" t="s">
        <v>24</v>
      </c>
      <c r="E721" s="4" t="s">
        <v>30</v>
      </c>
      <c r="F721" s="4" t="s">
        <v>25</v>
      </c>
      <c r="G721" s="4" t="s">
        <v>25</v>
      </c>
      <c r="H721" s="4" t="s">
        <v>25</v>
      </c>
      <c r="I721" s="5">
        <v>44743</v>
      </c>
      <c r="J721" s="6">
        <v>0</v>
      </c>
      <c r="K721" s="6">
        <v>0</v>
      </c>
      <c r="L721" s="6">
        <v>9.8000000000000004E-2</v>
      </c>
      <c r="M721" s="6">
        <v>9.8000000000000004E-2</v>
      </c>
      <c r="N721" s="6">
        <v>9.8000000000000004E-2</v>
      </c>
      <c r="O721" s="6">
        <v>9.8000000000000004E-2</v>
      </c>
      <c r="P721" s="6">
        <v>1</v>
      </c>
      <c r="Q721" s="4" t="s">
        <v>26</v>
      </c>
      <c r="R721" s="4">
        <v>0</v>
      </c>
      <c r="S721" s="6">
        <v>0</v>
      </c>
      <c r="T721" s="6">
        <v>18</v>
      </c>
      <c r="U721" s="6">
        <v>55</v>
      </c>
      <c r="V721" s="6">
        <f>IF(ISERROR(VLOOKUP($S$721,'TAR FIN'!$A$1:$O$85,15,0)),0,VLOOKUP($S$721,'TAR FIN'!$A$1:$O$85,15,0))</f>
        <v>0</v>
      </c>
      <c r="W721" s="6">
        <f>IF(ISERROR(VLOOKUP($T$721,'TAR FIN'!$A$1:$O$85,15,0)),0,VLOOKUP($T$721,'TAR FIN'!$A$1:$O$85,15,0))</f>
        <v>156.46</v>
      </c>
      <c r="X721" s="6">
        <f>IF(ISERROR(VLOOKUP($U$721,'TAR FIN'!$A$1:$O$85,15,0)),0,VLOOKUP($U$721,'TAR FIN'!$A$1:$O$85,15,0))</f>
        <v>193.53</v>
      </c>
      <c r="Y721" s="6"/>
      <c r="Z721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21" s="6">
        <f>('TE BE'!$AB$12+'TE BF'!$AB$12+'TE CVA'!$AB$12)*(1-CUSTOS!$M$35)</f>
        <v>191.97245201602018</v>
      </c>
      <c r="AB721" s="6">
        <f>$K$721*$V$721</f>
        <v>0</v>
      </c>
      <c r="AC721" s="6">
        <f>$M$721*$W$721</f>
        <v>15.333080000000001</v>
      </c>
      <c r="AD721" s="6">
        <f>$O$721*$X$721</f>
        <v>18.96594</v>
      </c>
      <c r="AE721" s="6">
        <f>$K$721*$Y$721</f>
        <v>0</v>
      </c>
      <c r="AF721" s="6">
        <f ca="1">$M$721*$Z$721</f>
        <v>16.987018338209328</v>
      </c>
      <c r="AG721" s="6">
        <f>$O$721*$AA$721</f>
        <v>18.813300297569977</v>
      </c>
    </row>
    <row r="722" spans="1:33" ht="11.25" customHeight="1" x14ac:dyDescent="0.25">
      <c r="A722" s="4" t="s">
        <v>28</v>
      </c>
      <c r="B722" s="4" t="s">
        <v>22</v>
      </c>
      <c r="C722" s="4" t="s">
        <v>23</v>
      </c>
      <c r="D722" s="4" t="s">
        <v>24</v>
      </c>
      <c r="E722" s="4" t="s">
        <v>30</v>
      </c>
      <c r="F722" s="4" t="s">
        <v>25</v>
      </c>
      <c r="G722" s="4" t="s">
        <v>25</v>
      </c>
      <c r="H722" s="4" t="s">
        <v>25</v>
      </c>
      <c r="I722" s="5">
        <v>44743</v>
      </c>
      <c r="J722" s="6">
        <v>0</v>
      </c>
      <c r="K722" s="6">
        <v>0</v>
      </c>
      <c r="L722" s="6">
        <v>7.0810000000000004</v>
      </c>
      <c r="M722" s="6">
        <v>7.0810000000000004</v>
      </c>
      <c r="N722" s="6">
        <v>7.0810000000000004</v>
      </c>
      <c r="O722" s="6">
        <v>7.0810000000000004</v>
      </c>
      <c r="P722" s="6">
        <v>72</v>
      </c>
      <c r="Q722" s="4" t="s">
        <v>26</v>
      </c>
      <c r="R722" s="4">
        <v>0</v>
      </c>
      <c r="S722" s="6">
        <v>0</v>
      </c>
      <c r="T722" s="6">
        <v>18</v>
      </c>
      <c r="U722" s="6">
        <v>55</v>
      </c>
      <c r="V722" s="6">
        <f>IF(ISERROR(VLOOKUP($S$722,'TAR FIN'!$A$1:$O$85,15,0)),0,VLOOKUP($S$722,'TAR FIN'!$A$1:$O$85,15,0))</f>
        <v>0</v>
      </c>
      <c r="W722" s="6">
        <f>IF(ISERROR(VLOOKUP($T$722,'TAR FIN'!$A$1:$O$85,15,0)),0,VLOOKUP($T$722,'TAR FIN'!$A$1:$O$85,15,0))</f>
        <v>156.46</v>
      </c>
      <c r="X722" s="6">
        <f>IF(ISERROR(VLOOKUP($U$722,'TAR FIN'!$A$1:$O$85,15,0)),0,VLOOKUP($U$722,'TAR FIN'!$A$1:$O$85,15,0))</f>
        <v>193.53</v>
      </c>
      <c r="Y722" s="6"/>
      <c r="Z722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22" s="6">
        <f>('TE BE'!$AB$12+'TE BF'!$AB$12+'TE CVA'!$AB$12)*(1-CUSTOS!$M$35)</f>
        <v>191.97245201602018</v>
      </c>
      <c r="AB722" s="6">
        <f>$K$722*$V$722</f>
        <v>0</v>
      </c>
      <c r="AC722" s="6">
        <f>$M$722*$W$722</f>
        <v>1107.8932600000001</v>
      </c>
      <c r="AD722" s="6">
        <f>$O$722*$X$722</f>
        <v>1370.3859300000001</v>
      </c>
      <c r="AE722" s="6">
        <f>$K$722*$Y$722</f>
        <v>0</v>
      </c>
      <c r="AF722" s="6">
        <f ca="1">$M$722*$Z$722</f>
        <v>1227.3987433965331</v>
      </c>
      <c r="AG722" s="6">
        <f>$O$722*$AA$722</f>
        <v>1359.356932725439</v>
      </c>
    </row>
    <row r="723" spans="1:33" ht="11.25" customHeight="1" x14ac:dyDescent="0.25">
      <c r="A723" s="4" t="s">
        <v>56</v>
      </c>
      <c r="B723" s="4" t="s">
        <v>22</v>
      </c>
      <c r="C723" s="4" t="s">
        <v>23</v>
      </c>
      <c r="D723" s="4" t="s">
        <v>24</v>
      </c>
      <c r="E723" s="4" t="s">
        <v>30</v>
      </c>
      <c r="F723" s="4" t="s">
        <v>25</v>
      </c>
      <c r="G723" s="4" t="s">
        <v>25</v>
      </c>
      <c r="H723" s="4" t="s">
        <v>25</v>
      </c>
      <c r="I723" s="5">
        <v>44774</v>
      </c>
      <c r="J723" s="6">
        <v>0</v>
      </c>
      <c r="K723" s="6">
        <v>0</v>
      </c>
      <c r="L723" s="6">
        <v>627.928</v>
      </c>
      <c r="M723" s="6">
        <v>627.928</v>
      </c>
      <c r="N723" s="6">
        <v>627.928</v>
      </c>
      <c r="O723" s="6">
        <v>627.928</v>
      </c>
      <c r="P723" s="6">
        <v>4086</v>
      </c>
      <c r="Q723" s="4" t="s">
        <v>26</v>
      </c>
      <c r="R723" s="4">
        <v>0</v>
      </c>
      <c r="S723" s="6">
        <v>0</v>
      </c>
      <c r="T723" s="6">
        <v>18</v>
      </c>
      <c r="U723" s="6">
        <v>55</v>
      </c>
      <c r="V723" s="6">
        <f>IF(ISERROR(VLOOKUP($S$723,'TAR FIN'!$A$1:$O$85,15,0)),0,VLOOKUP($S$723,'TAR FIN'!$A$1:$O$85,15,0))</f>
        <v>0</v>
      </c>
      <c r="W723" s="6">
        <f>IF(ISERROR(VLOOKUP($T$723,'TAR FIN'!$A$1:$O$85,15,0)),0,VLOOKUP($T$723,'TAR FIN'!$A$1:$O$85,15,0))</f>
        <v>156.46</v>
      </c>
      <c r="X723" s="6">
        <f>IF(ISERROR(VLOOKUP($U$723,'TAR FIN'!$A$1:$O$85,15,0)),0,VLOOKUP($U$723,'TAR FIN'!$A$1:$O$85,15,0))</f>
        <v>193.53</v>
      </c>
      <c r="Y723" s="6"/>
      <c r="Z723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23" s="6">
        <f>('TE BE'!$AB$12+'TE BF'!$AB$12+'TE CVA'!$AB$12)*(1-CUSTOS!$M$35)</f>
        <v>191.97245201602018</v>
      </c>
      <c r="AB723" s="6">
        <f>$K$723*$V$723</f>
        <v>0</v>
      </c>
      <c r="AC723" s="6">
        <f>$M$723*$W$723</f>
        <v>98245.614880000008</v>
      </c>
      <c r="AD723" s="6">
        <f>$O$723*$X$723</f>
        <v>121522.90584000001</v>
      </c>
      <c r="AE723" s="6">
        <f>$K$723*$Y$723</f>
        <v>0</v>
      </c>
      <c r="AF723" s="6">
        <f ca="1">$M$723*$Z$723</f>
        <v>108843.10664362353</v>
      </c>
      <c r="AG723" s="6">
        <f>$O$723*$AA$723</f>
        <v>120544.87784951553</v>
      </c>
    </row>
    <row r="724" spans="1:33" ht="11.25" customHeight="1" x14ac:dyDescent="0.25">
      <c r="A724" s="4" t="s">
        <v>56</v>
      </c>
      <c r="B724" s="4" t="s">
        <v>22</v>
      </c>
      <c r="C724" s="4" t="s">
        <v>23</v>
      </c>
      <c r="D724" s="4" t="s">
        <v>24</v>
      </c>
      <c r="E724" s="4" t="s">
        <v>30</v>
      </c>
      <c r="F724" s="4" t="s">
        <v>25</v>
      </c>
      <c r="G724" s="4" t="s">
        <v>25</v>
      </c>
      <c r="H724" s="4" t="s">
        <v>25</v>
      </c>
      <c r="I724" s="5">
        <v>44774</v>
      </c>
      <c r="J724" s="6">
        <v>0</v>
      </c>
      <c r="K724" s="6">
        <v>0</v>
      </c>
      <c r="L724" s="6">
        <v>9.8000000000000004E-2</v>
      </c>
      <c r="M724" s="6">
        <v>9.8000000000000004E-2</v>
      </c>
      <c r="N724" s="6">
        <v>9.8000000000000004E-2</v>
      </c>
      <c r="O724" s="6">
        <v>9.8000000000000004E-2</v>
      </c>
      <c r="P724" s="6">
        <v>1</v>
      </c>
      <c r="Q724" s="4" t="s">
        <v>26</v>
      </c>
      <c r="R724" s="4">
        <v>0</v>
      </c>
      <c r="S724" s="6">
        <v>0</v>
      </c>
      <c r="T724" s="6">
        <v>18</v>
      </c>
      <c r="U724" s="6">
        <v>55</v>
      </c>
      <c r="V724" s="6">
        <f>IF(ISERROR(VLOOKUP($S$724,'TAR FIN'!$A$1:$O$85,15,0)),0,VLOOKUP($S$724,'TAR FIN'!$A$1:$O$85,15,0))</f>
        <v>0</v>
      </c>
      <c r="W724" s="6">
        <f>IF(ISERROR(VLOOKUP($T$724,'TAR FIN'!$A$1:$O$85,15,0)),0,VLOOKUP($T$724,'TAR FIN'!$A$1:$O$85,15,0))</f>
        <v>156.46</v>
      </c>
      <c r="X724" s="6">
        <f>IF(ISERROR(VLOOKUP($U$724,'TAR FIN'!$A$1:$O$85,15,0)),0,VLOOKUP($U$724,'TAR FIN'!$A$1:$O$85,15,0))</f>
        <v>193.53</v>
      </c>
      <c r="Y724" s="6"/>
      <c r="Z724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24" s="6">
        <f>('TE BE'!$AB$12+'TE BF'!$AB$12+'TE CVA'!$AB$12)*(1-CUSTOS!$M$35)</f>
        <v>191.97245201602018</v>
      </c>
      <c r="AB724" s="6">
        <f>$K$724*$V$724</f>
        <v>0</v>
      </c>
      <c r="AC724" s="6">
        <f>$M$724*$W$724</f>
        <v>15.333080000000001</v>
      </c>
      <c r="AD724" s="6">
        <f>$O$724*$X$724</f>
        <v>18.96594</v>
      </c>
      <c r="AE724" s="6">
        <f>$K$724*$Y$724</f>
        <v>0</v>
      </c>
      <c r="AF724" s="6">
        <f ca="1">$M$724*$Z$724</f>
        <v>16.987018338209328</v>
      </c>
      <c r="AG724" s="6">
        <f>$O$724*$AA$724</f>
        <v>18.813300297569977</v>
      </c>
    </row>
    <row r="725" spans="1:33" ht="11.25" customHeight="1" x14ac:dyDescent="0.25">
      <c r="A725" s="4" t="s">
        <v>56</v>
      </c>
      <c r="B725" s="4" t="s">
        <v>22</v>
      </c>
      <c r="C725" s="4" t="s">
        <v>23</v>
      </c>
      <c r="D725" s="4" t="s">
        <v>24</v>
      </c>
      <c r="E725" s="4" t="s">
        <v>30</v>
      </c>
      <c r="F725" s="4" t="s">
        <v>25</v>
      </c>
      <c r="G725" s="4" t="s">
        <v>25</v>
      </c>
      <c r="H725" s="4" t="s">
        <v>25</v>
      </c>
      <c r="I725" s="5">
        <v>44774</v>
      </c>
      <c r="J725" s="6">
        <v>0</v>
      </c>
      <c r="K725" s="6">
        <v>0</v>
      </c>
      <c r="L725" s="6">
        <v>7.0810000000000004</v>
      </c>
      <c r="M725" s="6">
        <v>7.0810000000000004</v>
      </c>
      <c r="N725" s="6">
        <v>7.0810000000000004</v>
      </c>
      <c r="O725" s="6">
        <v>7.0810000000000004</v>
      </c>
      <c r="P725" s="6">
        <v>72</v>
      </c>
      <c r="Q725" s="4" t="s">
        <v>26</v>
      </c>
      <c r="R725" s="4">
        <v>0</v>
      </c>
      <c r="S725" s="6">
        <v>0</v>
      </c>
      <c r="T725" s="6">
        <v>18</v>
      </c>
      <c r="U725" s="6">
        <v>55</v>
      </c>
      <c r="V725" s="6">
        <f>IF(ISERROR(VLOOKUP($S$725,'TAR FIN'!$A$1:$O$85,15,0)),0,VLOOKUP($S$725,'TAR FIN'!$A$1:$O$85,15,0))</f>
        <v>0</v>
      </c>
      <c r="W725" s="6">
        <f>IF(ISERROR(VLOOKUP($T$725,'TAR FIN'!$A$1:$O$85,15,0)),0,VLOOKUP($T$725,'TAR FIN'!$A$1:$O$85,15,0))</f>
        <v>156.46</v>
      </c>
      <c r="X725" s="6">
        <f>IF(ISERROR(VLOOKUP($U$725,'TAR FIN'!$A$1:$O$85,15,0)),0,VLOOKUP($U$725,'TAR FIN'!$A$1:$O$85,15,0))</f>
        <v>193.53</v>
      </c>
      <c r="Y725" s="6"/>
      <c r="Z725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725" s="6">
        <f>('TE BE'!$AB$12+'TE BF'!$AB$12+'TE CVA'!$AB$12)*(1-CUSTOS!$M$35)</f>
        <v>191.97245201602018</v>
      </c>
      <c r="AB725" s="6">
        <f>$K$725*$V$725</f>
        <v>0</v>
      </c>
      <c r="AC725" s="6">
        <f>$M$725*$W$725</f>
        <v>1107.8932600000001</v>
      </c>
      <c r="AD725" s="6">
        <f>$O$725*$X$725</f>
        <v>1370.3859300000001</v>
      </c>
      <c r="AE725" s="6">
        <f>$K$725*$Y$725</f>
        <v>0</v>
      </c>
      <c r="AF725" s="6">
        <f ca="1">$M$725*$Z$725</f>
        <v>1227.3987433965331</v>
      </c>
      <c r="AG725" s="6">
        <f>$O$725*$AA$725</f>
        <v>1359.356932725439</v>
      </c>
    </row>
    <row r="726" spans="1:33" ht="11.25" customHeight="1" x14ac:dyDescent="0.25">
      <c r="A726" s="4" t="s">
        <v>21</v>
      </c>
      <c r="B726" s="4" t="s">
        <v>22</v>
      </c>
      <c r="C726" s="4" t="s">
        <v>23</v>
      </c>
      <c r="D726" s="4" t="s">
        <v>24</v>
      </c>
      <c r="E726" s="4" t="s">
        <v>31</v>
      </c>
      <c r="F726" s="4" t="s">
        <v>25</v>
      </c>
      <c r="G726" s="4" t="s">
        <v>25</v>
      </c>
      <c r="H726" s="4" t="s">
        <v>25</v>
      </c>
      <c r="I726" s="5">
        <v>44440</v>
      </c>
      <c r="J726" s="6">
        <v>0</v>
      </c>
      <c r="K726" s="6">
        <v>0</v>
      </c>
      <c r="L726" s="6">
        <v>450.00700000000001</v>
      </c>
      <c r="M726" s="6">
        <v>450.00700000000001</v>
      </c>
      <c r="N726" s="6">
        <v>450.00700000000001</v>
      </c>
      <c r="O726" s="6">
        <v>450.00700000000001</v>
      </c>
      <c r="P726" s="6">
        <v>5438</v>
      </c>
      <c r="Q726" s="4" t="s">
        <v>26</v>
      </c>
      <c r="R726" s="4">
        <v>0</v>
      </c>
      <c r="S726" s="6">
        <v>0</v>
      </c>
      <c r="T726" s="6">
        <v>19</v>
      </c>
      <c r="U726" s="6">
        <v>56</v>
      </c>
      <c r="V726" s="6">
        <f>IF(ISERROR(VLOOKUP($S$726,'TAR FIN'!$A$1:$O$85,15,0)),0,VLOOKUP($S$726,'TAR FIN'!$A$1:$O$85,15,0))</f>
        <v>0</v>
      </c>
      <c r="W726" s="6">
        <f>IF(ISERROR(VLOOKUP($T$726,'TAR FIN'!$A$1:$O$85,15,0)),0,VLOOKUP($T$726,'TAR FIN'!$A$1:$O$85,15,0))</f>
        <v>234.68</v>
      </c>
      <c r="X726" s="6">
        <f>IF(ISERROR(VLOOKUP($U$726,'TAR FIN'!$A$1:$O$85,15,0)),0,VLOOKUP($U$726,'TAR FIN'!$A$1:$O$85,15,0))</f>
        <v>290.29000000000002</v>
      </c>
      <c r="Y726" s="6"/>
      <c r="Z726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26" s="6">
        <f>('TE BE'!$AB$13+'TE BF'!$AB$13+'TE CVA'!$AB$13)*(1-CUSTOS!$M$36)</f>
        <v>287.95867802403029</v>
      </c>
      <c r="AB726" s="6">
        <f>$K$726*$V$726</f>
        <v>0</v>
      </c>
      <c r="AC726" s="6">
        <f>$M$726*$W$726</f>
        <v>105607.64276</v>
      </c>
      <c r="AD726" s="6">
        <f>$O$726*$X$726</f>
        <v>130632.53203000002</v>
      </c>
      <c r="AE726" s="6">
        <f>$K$726*$Y$726</f>
        <v>0</v>
      </c>
      <c r="AF726" s="6">
        <f ca="1">$M$726*$Z$726</f>
        <v>117004.24226514129</v>
      </c>
      <c r="AG726" s="6">
        <f>$O$726*$AA$726</f>
        <v>129583.4208215598</v>
      </c>
    </row>
    <row r="727" spans="1:33" ht="11.25" customHeight="1" x14ac:dyDescent="0.25">
      <c r="A727" s="4" t="s">
        <v>28</v>
      </c>
      <c r="B727" s="4" t="s">
        <v>22</v>
      </c>
      <c r="C727" s="4" t="s">
        <v>23</v>
      </c>
      <c r="D727" s="4" t="s">
        <v>24</v>
      </c>
      <c r="E727" s="4" t="s">
        <v>31</v>
      </c>
      <c r="F727" s="4" t="s">
        <v>25</v>
      </c>
      <c r="G727" s="4" t="s">
        <v>25</v>
      </c>
      <c r="H727" s="4" t="s">
        <v>25</v>
      </c>
      <c r="I727" s="5">
        <v>44440</v>
      </c>
      <c r="J727" s="6">
        <v>0</v>
      </c>
      <c r="K727" s="6">
        <v>0</v>
      </c>
      <c r="L727" s="6">
        <v>4.25</v>
      </c>
      <c r="M727" s="6">
        <v>4.25</v>
      </c>
      <c r="N727" s="6">
        <v>4.25</v>
      </c>
      <c r="O727" s="6">
        <v>4.25</v>
      </c>
      <c r="P727" s="6">
        <v>75</v>
      </c>
      <c r="Q727" s="4" t="s">
        <v>26</v>
      </c>
      <c r="R727" s="4">
        <v>0</v>
      </c>
      <c r="S727" s="6">
        <v>0</v>
      </c>
      <c r="T727" s="6">
        <v>19</v>
      </c>
      <c r="U727" s="6">
        <v>56</v>
      </c>
      <c r="V727" s="6">
        <f>IF(ISERROR(VLOOKUP($S$727,'TAR FIN'!$A$1:$O$85,15,0)),0,VLOOKUP($S$727,'TAR FIN'!$A$1:$O$85,15,0))</f>
        <v>0</v>
      </c>
      <c r="W727" s="6">
        <f>IF(ISERROR(VLOOKUP($T$727,'TAR FIN'!$A$1:$O$85,15,0)),0,VLOOKUP($T$727,'TAR FIN'!$A$1:$O$85,15,0))</f>
        <v>234.68</v>
      </c>
      <c r="X727" s="6">
        <f>IF(ISERROR(VLOOKUP($U$727,'TAR FIN'!$A$1:$O$85,15,0)),0,VLOOKUP($U$727,'TAR FIN'!$A$1:$O$85,15,0))</f>
        <v>290.29000000000002</v>
      </c>
      <c r="Y727" s="6"/>
      <c r="Z727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27" s="6">
        <f>('TE BE'!$AB$13+'TE BF'!$AB$13+'TE CVA'!$AB$13)*(1-CUSTOS!$M$36)</f>
        <v>287.95867802403029</v>
      </c>
      <c r="AB727" s="6">
        <f>$K$727*$V$727</f>
        <v>0</v>
      </c>
      <c r="AC727" s="6">
        <f>$M$727*$W$727</f>
        <v>997.39</v>
      </c>
      <c r="AD727" s="6">
        <f>$O$727*$X$727</f>
        <v>1233.7325000000001</v>
      </c>
      <c r="AE727" s="6">
        <f>$K$727*$Y$727</f>
        <v>0</v>
      </c>
      <c r="AF727" s="6">
        <f ca="1">$M$727*$Z$727</f>
        <v>1105.0228765926984</v>
      </c>
      <c r="AG727" s="6">
        <f>$O$727*$AA$727</f>
        <v>1223.8243816021288</v>
      </c>
    </row>
    <row r="728" spans="1:33" ht="11.25" customHeight="1" x14ac:dyDescent="0.25">
      <c r="A728" s="4" t="s">
        <v>21</v>
      </c>
      <c r="B728" s="4" t="s">
        <v>22</v>
      </c>
      <c r="C728" s="4" t="s">
        <v>23</v>
      </c>
      <c r="D728" s="4" t="s">
        <v>24</v>
      </c>
      <c r="E728" s="4" t="s">
        <v>31</v>
      </c>
      <c r="F728" s="4" t="s">
        <v>25</v>
      </c>
      <c r="G728" s="4" t="s">
        <v>25</v>
      </c>
      <c r="H728" s="4" t="s">
        <v>25</v>
      </c>
      <c r="I728" s="5">
        <v>44470</v>
      </c>
      <c r="J728" s="6">
        <v>0</v>
      </c>
      <c r="K728" s="6">
        <v>0</v>
      </c>
      <c r="L728" s="6">
        <v>491.18599999999998</v>
      </c>
      <c r="M728" s="6">
        <v>491.18599999999998</v>
      </c>
      <c r="N728" s="6">
        <v>491.18599999999998</v>
      </c>
      <c r="O728" s="6">
        <v>491.18599999999998</v>
      </c>
      <c r="P728" s="6">
        <v>5567</v>
      </c>
      <c r="Q728" s="4" t="s">
        <v>26</v>
      </c>
      <c r="R728" s="4">
        <v>0</v>
      </c>
      <c r="S728" s="6">
        <v>0</v>
      </c>
      <c r="T728" s="6">
        <v>19</v>
      </c>
      <c r="U728" s="6">
        <v>56</v>
      </c>
      <c r="V728" s="6">
        <f>IF(ISERROR(VLOOKUP($S$728,'TAR FIN'!$A$1:$O$85,15,0)),0,VLOOKUP($S$728,'TAR FIN'!$A$1:$O$85,15,0))</f>
        <v>0</v>
      </c>
      <c r="W728" s="6">
        <f>IF(ISERROR(VLOOKUP($T$728,'TAR FIN'!$A$1:$O$85,15,0)),0,VLOOKUP($T$728,'TAR FIN'!$A$1:$O$85,15,0))</f>
        <v>234.68</v>
      </c>
      <c r="X728" s="6">
        <f>IF(ISERROR(VLOOKUP($U$728,'TAR FIN'!$A$1:$O$85,15,0)),0,VLOOKUP($U$728,'TAR FIN'!$A$1:$O$85,15,0))</f>
        <v>290.29000000000002</v>
      </c>
      <c r="Y728" s="6"/>
      <c r="Z728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28" s="6">
        <f>('TE BE'!$AB$13+'TE BF'!$AB$13+'TE CVA'!$AB$13)*(1-CUSTOS!$M$36)</f>
        <v>287.95867802403029</v>
      </c>
      <c r="AB728" s="6">
        <f>$K$728*$V$728</f>
        <v>0</v>
      </c>
      <c r="AC728" s="6">
        <f>$M$728*$W$728</f>
        <v>115271.53048</v>
      </c>
      <c r="AD728" s="6">
        <f>$O$728*$X$728</f>
        <v>142586.38394</v>
      </c>
      <c r="AE728" s="6">
        <f>$K$728*$Y$728</f>
        <v>0</v>
      </c>
      <c r="AF728" s="6">
        <f ca="1">$M$728*$Z$728</f>
        <v>127711.00392048497</v>
      </c>
      <c r="AG728" s="6">
        <f>$O$728*$AA$728</f>
        <v>141441.27122391135</v>
      </c>
    </row>
    <row r="729" spans="1:33" ht="11.25" customHeight="1" x14ac:dyDescent="0.25">
      <c r="A729" s="4" t="s">
        <v>28</v>
      </c>
      <c r="B729" s="4" t="s">
        <v>22</v>
      </c>
      <c r="C729" s="4" t="s">
        <v>23</v>
      </c>
      <c r="D729" s="4" t="s">
        <v>24</v>
      </c>
      <c r="E729" s="4" t="s">
        <v>31</v>
      </c>
      <c r="F729" s="4" t="s">
        <v>25</v>
      </c>
      <c r="G729" s="4" t="s">
        <v>25</v>
      </c>
      <c r="H729" s="4" t="s">
        <v>25</v>
      </c>
      <c r="I729" s="5">
        <v>44470</v>
      </c>
      <c r="J729" s="6">
        <v>0</v>
      </c>
      <c r="K729" s="6">
        <v>0</v>
      </c>
      <c r="L729" s="6">
        <v>5.4349999999999996</v>
      </c>
      <c r="M729" s="6">
        <v>5.4349999999999996</v>
      </c>
      <c r="N729" s="6">
        <v>5.4349999999999996</v>
      </c>
      <c r="O729" s="6">
        <v>5.4349999999999996</v>
      </c>
      <c r="P729" s="6">
        <v>78</v>
      </c>
      <c r="Q729" s="4" t="s">
        <v>26</v>
      </c>
      <c r="R729" s="4">
        <v>0</v>
      </c>
      <c r="S729" s="6">
        <v>0</v>
      </c>
      <c r="T729" s="6">
        <v>19</v>
      </c>
      <c r="U729" s="6">
        <v>56</v>
      </c>
      <c r="V729" s="6">
        <f>IF(ISERROR(VLOOKUP($S$729,'TAR FIN'!$A$1:$O$85,15,0)),0,VLOOKUP($S$729,'TAR FIN'!$A$1:$O$85,15,0))</f>
        <v>0</v>
      </c>
      <c r="W729" s="6">
        <f>IF(ISERROR(VLOOKUP($T$729,'TAR FIN'!$A$1:$O$85,15,0)),0,VLOOKUP($T$729,'TAR FIN'!$A$1:$O$85,15,0))</f>
        <v>234.68</v>
      </c>
      <c r="X729" s="6">
        <f>IF(ISERROR(VLOOKUP($U$729,'TAR FIN'!$A$1:$O$85,15,0)),0,VLOOKUP($U$729,'TAR FIN'!$A$1:$O$85,15,0))</f>
        <v>290.29000000000002</v>
      </c>
      <c r="Y729" s="6"/>
      <c r="Z729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29" s="6">
        <f>('TE BE'!$AB$13+'TE BF'!$AB$13+'TE CVA'!$AB$13)*(1-CUSTOS!$M$36)</f>
        <v>287.95867802403029</v>
      </c>
      <c r="AB729" s="6">
        <f>$K$729*$V$729</f>
        <v>0</v>
      </c>
      <c r="AC729" s="6">
        <f>$M$729*$W$729</f>
        <v>1275.4857999999999</v>
      </c>
      <c r="AD729" s="6">
        <f>$O$729*$X$729</f>
        <v>1577.72615</v>
      </c>
      <c r="AE729" s="6">
        <f>$K$729*$Y$729</f>
        <v>0</v>
      </c>
      <c r="AF729" s="6">
        <f ca="1">$M$729*$Z$729</f>
        <v>1413.1292551250156</v>
      </c>
      <c r="AG729" s="6">
        <f>$O$729*$AA$729</f>
        <v>1565.0554150606044</v>
      </c>
    </row>
    <row r="730" spans="1:33" ht="11.25" customHeight="1" x14ac:dyDescent="0.25">
      <c r="A730" s="4" t="s">
        <v>21</v>
      </c>
      <c r="B730" s="4" t="s">
        <v>22</v>
      </c>
      <c r="C730" s="4" t="s">
        <v>23</v>
      </c>
      <c r="D730" s="4" t="s">
        <v>24</v>
      </c>
      <c r="E730" s="4" t="s">
        <v>31</v>
      </c>
      <c r="F730" s="4" t="s">
        <v>25</v>
      </c>
      <c r="G730" s="4" t="s">
        <v>25</v>
      </c>
      <c r="H730" s="4" t="s">
        <v>25</v>
      </c>
      <c r="I730" s="5">
        <v>44501</v>
      </c>
      <c r="J730" s="6">
        <v>0</v>
      </c>
      <c r="K730" s="6">
        <v>0</v>
      </c>
      <c r="L730" s="6">
        <v>483.25599999999997</v>
      </c>
      <c r="M730" s="6">
        <v>483.25599999999997</v>
      </c>
      <c r="N730" s="6">
        <v>483.25599999999997</v>
      </c>
      <c r="O730" s="6">
        <v>483.25599999999997</v>
      </c>
      <c r="P730" s="6">
        <v>5716</v>
      </c>
      <c r="Q730" s="4" t="s">
        <v>26</v>
      </c>
      <c r="R730" s="4">
        <v>0</v>
      </c>
      <c r="S730" s="6">
        <v>0</v>
      </c>
      <c r="T730" s="6">
        <v>19</v>
      </c>
      <c r="U730" s="6">
        <v>56</v>
      </c>
      <c r="V730" s="6">
        <f>IF(ISERROR(VLOOKUP($S$730,'TAR FIN'!$A$1:$O$85,15,0)),0,VLOOKUP($S$730,'TAR FIN'!$A$1:$O$85,15,0))</f>
        <v>0</v>
      </c>
      <c r="W730" s="6">
        <f>IF(ISERROR(VLOOKUP($T$730,'TAR FIN'!$A$1:$O$85,15,0)),0,VLOOKUP($T$730,'TAR FIN'!$A$1:$O$85,15,0))</f>
        <v>234.68</v>
      </c>
      <c r="X730" s="6">
        <f>IF(ISERROR(VLOOKUP($U$730,'TAR FIN'!$A$1:$O$85,15,0)),0,VLOOKUP($U$730,'TAR FIN'!$A$1:$O$85,15,0))</f>
        <v>290.29000000000002</v>
      </c>
      <c r="Y730" s="6"/>
      <c r="Z730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30" s="6">
        <f>('TE BE'!$AB$13+'TE BF'!$AB$13+'TE CVA'!$AB$13)*(1-CUSTOS!$M$36)</f>
        <v>287.95867802403029</v>
      </c>
      <c r="AB730" s="6">
        <f>$K$730*$V$730</f>
        <v>0</v>
      </c>
      <c r="AC730" s="6">
        <f>$M$730*$W$730</f>
        <v>113410.51807999999</v>
      </c>
      <c r="AD730" s="6">
        <f>$O$730*$X$730</f>
        <v>140284.38424000001</v>
      </c>
      <c r="AE730" s="6">
        <f>$K$730*$Y$730</f>
        <v>0</v>
      </c>
      <c r="AF730" s="6">
        <f ca="1">$M$730*$Z$730</f>
        <v>125649.16123545436</v>
      </c>
      <c r="AG730" s="6">
        <f>$O$730*$AA$730</f>
        <v>139157.75890718077</v>
      </c>
    </row>
    <row r="731" spans="1:33" ht="11.25" customHeight="1" x14ac:dyDescent="0.25">
      <c r="A731" s="4" t="s">
        <v>28</v>
      </c>
      <c r="B731" s="4" t="s">
        <v>22</v>
      </c>
      <c r="C731" s="4" t="s">
        <v>23</v>
      </c>
      <c r="D731" s="4" t="s">
        <v>24</v>
      </c>
      <c r="E731" s="4" t="s">
        <v>31</v>
      </c>
      <c r="F731" s="4" t="s">
        <v>25</v>
      </c>
      <c r="G731" s="4" t="s">
        <v>25</v>
      </c>
      <c r="H731" s="4" t="s">
        <v>25</v>
      </c>
      <c r="I731" s="5">
        <v>44501</v>
      </c>
      <c r="J731" s="6">
        <v>0</v>
      </c>
      <c r="K731" s="6">
        <v>0</v>
      </c>
      <c r="L731" s="6">
        <v>4.3049999999999997</v>
      </c>
      <c r="M731" s="6">
        <v>4.3049999999999997</v>
      </c>
      <c r="N731" s="6">
        <v>4.3049999999999997</v>
      </c>
      <c r="O731" s="6">
        <v>4.3049999999999997</v>
      </c>
      <c r="P731" s="6">
        <v>78</v>
      </c>
      <c r="Q731" s="4" t="s">
        <v>26</v>
      </c>
      <c r="R731" s="4">
        <v>0</v>
      </c>
      <c r="S731" s="6">
        <v>0</v>
      </c>
      <c r="T731" s="6">
        <v>19</v>
      </c>
      <c r="U731" s="6">
        <v>56</v>
      </c>
      <c r="V731" s="6">
        <f>IF(ISERROR(VLOOKUP($S$731,'TAR FIN'!$A$1:$O$85,15,0)),0,VLOOKUP($S$731,'TAR FIN'!$A$1:$O$85,15,0))</f>
        <v>0</v>
      </c>
      <c r="W731" s="6">
        <f>IF(ISERROR(VLOOKUP($T$731,'TAR FIN'!$A$1:$O$85,15,0)),0,VLOOKUP($T$731,'TAR FIN'!$A$1:$O$85,15,0))</f>
        <v>234.68</v>
      </c>
      <c r="X731" s="6">
        <f>IF(ISERROR(VLOOKUP($U$731,'TAR FIN'!$A$1:$O$85,15,0)),0,VLOOKUP($U$731,'TAR FIN'!$A$1:$O$85,15,0))</f>
        <v>290.29000000000002</v>
      </c>
      <c r="Y731" s="6"/>
      <c r="Z731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31" s="6">
        <f>('TE BE'!$AB$13+'TE BF'!$AB$13+'TE CVA'!$AB$13)*(1-CUSTOS!$M$36)</f>
        <v>287.95867802403029</v>
      </c>
      <c r="AB731" s="6">
        <f>$K$731*$V$731</f>
        <v>0</v>
      </c>
      <c r="AC731" s="6">
        <f>$M$731*$W$731</f>
        <v>1010.2973999999999</v>
      </c>
      <c r="AD731" s="6">
        <f>$O$731*$X$731</f>
        <v>1249.6984500000001</v>
      </c>
      <c r="AE731" s="6">
        <f>$K$731*$Y$731</f>
        <v>0</v>
      </c>
      <c r="AF731" s="6">
        <f ca="1">$M$731*$Z$731</f>
        <v>1119.3231726427216</v>
      </c>
      <c r="AG731" s="6">
        <f>$O$731*$AA$731</f>
        <v>1239.6621088934503</v>
      </c>
    </row>
    <row r="732" spans="1:33" ht="11.25" customHeight="1" x14ac:dyDescent="0.25">
      <c r="A732" s="4" t="s">
        <v>21</v>
      </c>
      <c r="B732" s="4" t="s">
        <v>22</v>
      </c>
      <c r="C732" s="4" t="s">
        <v>23</v>
      </c>
      <c r="D732" s="4" t="s">
        <v>24</v>
      </c>
      <c r="E732" s="4" t="s">
        <v>31</v>
      </c>
      <c r="F732" s="4" t="s">
        <v>25</v>
      </c>
      <c r="G732" s="4" t="s">
        <v>25</v>
      </c>
      <c r="H732" s="4" t="s">
        <v>25</v>
      </c>
      <c r="I732" s="5">
        <v>44531</v>
      </c>
      <c r="J732" s="6">
        <v>0</v>
      </c>
      <c r="K732" s="6">
        <v>0</v>
      </c>
      <c r="L732" s="6">
        <v>512.75900000000001</v>
      </c>
      <c r="M732" s="6">
        <v>512.75900000000001</v>
      </c>
      <c r="N732" s="6">
        <v>512.75900000000001</v>
      </c>
      <c r="O732" s="6">
        <v>512.75900000000001</v>
      </c>
      <c r="P732" s="6">
        <v>5890</v>
      </c>
      <c r="Q732" s="4" t="s">
        <v>26</v>
      </c>
      <c r="R732" s="4">
        <v>0</v>
      </c>
      <c r="S732" s="6">
        <v>0</v>
      </c>
      <c r="T732" s="6">
        <v>19</v>
      </c>
      <c r="U732" s="6">
        <v>56</v>
      </c>
      <c r="V732" s="6">
        <f>IF(ISERROR(VLOOKUP($S$732,'TAR FIN'!$A$1:$O$85,15,0)),0,VLOOKUP($S$732,'TAR FIN'!$A$1:$O$85,15,0))</f>
        <v>0</v>
      </c>
      <c r="W732" s="6">
        <f>IF(ISERROR(VLOOKUP($T$732,'TAR FIN'!$A$1:$O$85,15,0)),0,VLOOKUP($T$732,'TAR FIN'!$A$1:$O$85,15,0))</f>
        <v>234.68</v>
      </c>
      <c r="X732" s="6">
        <f>IF(ISERROR(VLOOKUP($U$732,'TAR FIN'!$A$1:$O$85,15,0)),0,VLOOKUP($U$732,'TAR FIN'!$A$1:$O$85,15,0))</f>
        <v>290.29000000000002</v>
      </c>
      <c r="Y732" s="6"/>
      <c r="Z732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32" s="6">
        <f>('TE BE'!$AB$13+'TE BF'!$AB$13+'TE CVA'!$AB$13)*(1-CUSTOS!$M$36)</f>
        <v>287.95867802403029</v>
      </c>
      <c r="AB732" s="6">
        <f>$K$732*$V$732</f>
        <v>0</v>
      </c>
      <c r="AC732" s="6">
        <f>$M$732*$W$732</f>
        <v>120334.28212</v>
      </c>
      <c r="AD732" s="6">
        <f>$O$732*$X$732</f>
        <v>148848.81011000002</v>
      </c>
      <c r="AE732" s="6">
        <f>$K$732*$Y$732</f>
        <v>0</v>
      </c>
      <c r="AF732" s="6">
        <f ca="1">$M$732*$Z$732</f>
        <v>133320.10004206953</v>
      </c>
      <c r="AG732" s="6">
        <f>$O$732*$AA$732</f>
        <v>147653.40378492375</v>
      </c>
    </row>
    <row r="733" spans="1:33" ht="11.25" customHeight="1" x14ac:dyDescent="0.25">
      <c r="A733" s="4" t="s">
        <v>27</v>
      </c>
      <c r="B733" s="4" t="s">
        <v>22</v>
      </c>
      <c r="C733" s="4" t="s">
        <v>23</v>
      </c>
      <c r="D733" s="4" t="s">
        <v>24</v>
      </c>
      <c r="E733" s="4" t="s">
        <v>31</v>
      </c>
      <c r="F733" s="4" t="s">
        <v>25</v>
      </c>
      <c r="G733" s="4" t="s">
        <v>25</v>
      </c>
      <c r="H733" s="4" t="s">
        <v>25</v>
      </c>
      <c r="I733" s="5">
        <v>44531</v>
      </c>
      <c r="J733" s="6">
        <v>0</v>
      </c>
      <c r="K733" s="6">
        <v>0</v>
      </c>
      <c r="L733" s="6">
        <v>-9.7000000000000003E-2</v>
      </c>
      <c r="M733" s="6">
        <v>-9.7000000000000003E-2</v>
      </c>
      <c r="N733" s="6">
        <v>-9.7000000000000003E-2</v>
      </c>
      <c r="O733" s="6">
        <v>-9.7000000000000003E-2</v>
      </c>
      <c r="P733" s="6">
        <v>3</v>
      </c>
      <c r="Q733" s="4" t="s">
        <v>26</v>
      </c>
      <c r="R733" s="4">
        <v>0</v>
      </c>
      <c r="S733" s="6">
        <v>0</v>
      </c>
      <c r="T733" s="6">
        <v>19</v>
      </c>
      <c r="U733" s="6">
        <v>56</v>
      </c>
      <c r="V733" s="6">
        <f>IF(ISERROR(VLOOKUP($S$733,'TAR FIN'!$A$1:$O$85,15,0)),0,VLOOKUP($S$733,'TAR FIN'!$A$1:$O$85,15,0))</f>
        <v>0</v>
      </c>
      <c r="W733" s="6">
        <f>IF(ISERROR(VLOOKUP($T$733,'TAR FIN'!$A$1:$O$85,15,0)),0,VLOOKUP($T$733,'TAR FIN'!$A$1:$O$85,15,0))</f>
        <v>234.68</v>
      </c>
      <c r="X733" s="6">
        <f>IF(ISERROR(VLOOKUP($U$733,'TAR FIN'!$A$1:$O$85,15,0)),0,VLOOKUP($U$733,'TAR FIN'!$A$1:$O$85,15,0))</f>
        <v>290.29000000000002</v>
      </c>
      <c r="Y733" s="6"/>
      <c r="Z733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33" s="6">
        <f>('TE BE'!$AB$13+'TE BF'!$AB$13+'TE CVA'!$AB$13)*(1-CUSTOS!$M$36)</f>
        <v>287.95867802403029</v>
      </c>
      <c r="AB733" s="6">
        <f>$K$733*$V$733</f>
        <v>0</v>
      </c>
      <c r="AC733" s="6">
        <f>$M$733*$W$733</f>
        <v>-22.763960000000001</v>
      </c>
      <c r="AD733" s="6">
        <f>$O$733*$X$733</f>
        <v>-28.158130000000003</v>
      </c>
      <c r="AE733" s="6">
        <f>$K$733*$Y$733</f>
        <v>0</v>
      </c>
      <c r="AF733" s="6">
        <f ca="1">$M$733*$Z$733</f>
        <v>-25.220522124586296</v>
      </c>
      <c r="AG733" s="6">
        <f>$O$733*$AA$733</f>
        <v>-27.931991768330938</v>
      </c>
    </row>
    <row r="734" spans="1:33" ht="11.25" customHeight="1" x14ac:dyDescent="0.25">
      <c r="A734" s="4" t="s">
        <v>28</v>
      </c>
      <c r="B734" s="4" t="s">
        <v>22</v>
      </c>
      <c r="C734" s="4" t="s">
        <v>23</v>
      </c>
      <c r="D734" s="4" t="s">
        <v>24</v>
      </c>
      <c r="E734" s="4" t="s">
        <v>31</v>
      </c>
      <c r="F734" s="4" t="s">
        <v>25</v>
      </c>
      <c r="G734" s="4" t="s">
        <v>25</v>
      </c>
      <c r="H734" s="4" t="s">
        <v>25</v>
      </c>
      <c r="I734" s="5">
        <v>44531</v>
      </c>
      <c r="J734" s="6">
        <v>0</v>
      </c>
      <c r="K734" s="6">
        <v>0</v>
      </c>
      <c r="L734" s="6">
        <v>3.9460000000000002</v>
      </c>
      <c r="M734" s="6">
        <v>3.9460000000000002</v>
      </c>
      <c r="N734" s="6">
        <v>3.9460000000000002</v>
      </c>
      <c r="O734" s="6">
        <v>3.9460000000000002</v>
      </c>
      <c r="P734" s="6">
        <v>71</v>
      </c>
      <c r="Q734" s="4" t="s">
        <v>26</v>
      </c>
      <c r="R734" s="4">
        <v>0</v>
      </c>
      <c r="S734" s="6">
        <v>0</v>
      </c>
      <c r="T734" s="6">
        <v>19</v>
      </c>
      <c r="U734" s="6">
        <v>56</v>
      </c>
      <c r="V734" s="6">
        <f>IF(ISERROR(VLOOKUP($S$734,'TAR FIN'!$A$1:$O$85,15,0)),0,VLOOKUP($S$734,'TAR FIN'!$A$1:$O$85,15,0))</f>
        <v>0</v>
      </c>
      <c r="W734" s="6">
        <f>IF(ISERROR(VLOOKUP($T$734,'TAR FIN'!$A$1:$O$85,15,0)),0,VLOOKUP($T$734,'TAR FIN'!$A$1:$O$85,15,0))</f>
        <v>234.68</v>
      </c>
      <c r="X734" s="6">
        <f>IF(ISERROR(VLOOKUP($U$734,'TAR FIN'!$A$1:$O$85,15,0)),0,VLOOKUP($U$734,'TAR FIN'!$A$1:$O$85,15,0))</f>
        <v>290.29000000000002</v>
      </c>
      <c r="Y734" s="6"/>
      <c r="Z734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34" s="6">
        <f>('TE BE'!$AB$13+'TE BF'!$AB$13+'TE CVA'!$AB$13)*(1-CUSTOS!$M$36)</f>
        <v>287.95867802403029</v>
      </c>
      <c r="AB734" s="6">
        <f>$K$734*$V$734</f>
        <v>0</v>
      </c>
      <c r="AC734" s="6">
        <f>$M$734*$W$734</f>
        <v>926.04728000000011</v>
      </c>
      <c r="AD734" s="6">
        <f>$O$734*$X$734</f>
        <v>1145.4843400000002</v>
      </c>
      <c r="AE734" s="6">
        <f>$K$734*$Y$734</f>
        <v>0</v>
      </c>
      <c r="AF734" s="6">
        <f ca="1">$M$734*$Z$734</f>
        <v>1025.9812402434795</v>
      </c>
      <c r="AG734" s="6">
        <f>$O$734*$AA$734</f>
        <v>1136.2849434828236</v>
      </c>
    </row>
    <row r="735" spans="1:33" ht="11.25" customHeight="1" x14ac:dyDescent="0.25">
      <c r="A735" s="4" t="s">
        <v>21</v>
      </c>
      <c r="B735" s="4" t="s">
        <v>22</v>
      </c>
      <c r="C735" s="4" t="s">
        <v>23</v>
      </c>
      <c r="D735" s="4" t="s">
        <v>24</v>
      </c>
      <c r="E735" s="4" t="s">
        <v>31</v>
      </c>
      <c r="F735" s="4" t="s">
        <v>25</v>
      </c>
      <c r="G735" s="4" t="s">
        <v>25</v>
      </c>
      <c r="H735" s="4" t="s">
        <v>25</v>
      </c>
      <c r="I735" s="5">
        <v>44562</v>
      </c>
      <c r="J735" s="6">
        <v>0</v>
      </c>
      <c r="K735" s="6">
        <v>0</v>
      </c>
      <c r="L735" s="6">
        <v>575.22</v>
      </c>
      <c r="M735" s="6">
        <v>575.22</v>
      </c>
      <c r="N735" s="6">
        <v>575.22</v>
      </c>
      <c r="O735" s="6">
        <v>575.22</v>
      </c>
      <c r="P735" s="6">
        <v>5935</v>
      </c>
      <c r="Q735" s="4" t="s">
        <v>26</v>
      </c>
      <c r="R735" s="4">
        <v>0</v>
      </c>
      <c r="S735" s="6">
        <v>0</v>
      </c>
      <c r="T735" s="6">
        <v>19</v>
      </c>
      <c r="U735" s="6">
        <v>56</v>
      </c>
      <c r="V735" s="6">
        <f>IF(ISERROR(VLOOKUP($S$735,'TAR FIN'!$A$1:$O$85,15,0)),0,VLOOKUP($S$735,'TAR FIN'!$A$1:$O$85,15,0))</f>
        <v>0</v>
      </c>
      <c r="W735" s="6">
        <f>IF(ISERROR(VLOOKUP($T$735,'TAR FIN'!$A$1:$O$85,15,0)),0,VLOOKUP($T$735,'TAR FIN'!$A$1:$O$85,15,0))</f>
        <v>234.68</v>
      </c>
      <c r="X735" s="6">
        <f>IF(ISERROR(VLOOKUP($U$735,'TAR FIN'!$A$1:$O$85,15,0)),0,VLOOKUP($U$735,'TAR FIN'!$A$1:$O$85,15,0))</f>
        <v>290.29000000000002</v>
      </c>
      <c r="Y735" s="6"/>
      <c r="Z735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35" s="6">
        <f>('TE BE'!$AB$13+'TE BF'!$AB$13+'TE CVA'!$AB$13)*(1-CUSTOS!$M$36)</f>
        <v>287.95867802403029</v>
      </c>
      <c r="AB735" s="6">
        <f>$K$735*$V$735</f>
        <v>0</v>
      </c>
      <c r="AC735" s="6">
        <f>$M$735*$W$735</f>
        <v>134992.62960000001</v>
      </c>
      <c r="AD735" s="6">
        <f>$O$735*$X$735</f>
        <v>166980.61380000002</v>
      </c>
      <c r="AE735" s="6">
        <f>$K$735*$Y$735</f>
        <v>0</v>
      </c>
      <c r="AF735" s="6">
        <f ca="1">$M$735*$Z$735</f>
        <v>149560.29625262402</v>
      </c>
      <c r="AG735" s="6">
        <f>$O$735*$AA$735</f>
        <v>165639.59077298272</v>
      </c>
    </row>
    <row r="736" spans="1:33" ht="11.25" customHeight="1" x14ac:dyDescent="0.25">
      <c r="A736" s="4" t="s">
        <v>27</v>
      </c>
      <c r="B736" s="4" t="s">
        <v>22</v>
      </c>
      <c r="C736" s="4" t="s">
        <v>23</v>
      </c>
      <c r="D736" s="4" t="s">
        <v>24</v>
      </c>
      <c r="E736" s="4" t="s">
        <v>31</v>
      </c>
      <c r="F736" s="4" t="s">
        <v>25</v>
      </c>
      <c r="G736" s="4" t="s">
        <v>25</v>
      </c>
      <c r="H736" s="4" t="s">
        <v>25</v>
      </c>
      <c r="I736" s="5">
        <v>44562</v>
      </c>
      <c r="J736" s="6">
        <v>0</v>
      </c>
      <c r="K736" s="6">
        <v>0</v>
      </c>
      <c r="L736" s="6">
        <v>2.1000000000000001E-2</v>
      </c>
      <c r="M736" s="6">
        <v>2.1000000000000001E-2</v>
      </c>
      <c r="N736" s="6">
        <v>2.1000000000000001E-2</v>
      </c>
      <c r="O736" s="6">
        <v>2.1000000000000001E-2</v>
      </c>
      <c r="P736" s="6">
        <v>2</v>
      </c>
      <c r="Q736" s="4" t="s">
        <v>26</v>
      </c>
      <c r="R736" s="4">
        <v>0</v>
      </c>
      <c r="S736" s="6">
        <v>0</v>
      </c>
      <c r="T736" s="6">
        <v>19</v>
      </c>
      <c r="U736" s="6">
        <v>56</v>
      </c>
      <c r="V736" s="6">
        <f>IF(ISERROR(VLOOKUP($S$736,'TAR FIN'!$A$1:$O$85,15,0)),0,VLOOKUP($S$736,'TAR FIN'!$A$1:$O$85,15,0))</f>
        <v>0</v>
      </c>
      <c r="W736" s="6">
        <f>IF(ISERROR(VLOOKUP($T$736,'TAR FIN'!$A$1:$O$85,15,0)),0,VLOOKUP($T$736,'TAR FIN'!$A$1:$O$85,15,0))</f>
        <v>234.68</v>
      </c>
      <c r="X736" s="6">
        <f>IF(ISERROR(VLOOKUP($U$736,'TAR FIN'!$A$1:$O$85,15,0)),0,VLOOKUP($U$736,'TAR FIN'!$A$1:$O$85,15,0))</f>
        <v>290.29000000000002</v>
      </c>
      <c r="Y736" s="6"/>
      <c r="Z736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36" s="6">
        <f>('TE BE'!$AB$13+'TE BF'!$AB$13+'TE CVA'!$AB$13)*(1-CUSTOS!$M$36)</f>
        <v>287.95867802403029</v>
      </c>
      <c r="AB736" s="6">
        <f>$K$736*$V$736</f>
        <v>0</v>
      </c>
      <c r="AC736" s="6">
        <f>$M$736*$W$736</f>
        <v>4.9282800000000009</v>
      </c>
      <c r="AD736" s="6">
        <f>$O$736*$X$736</f>
        <v>6.0960900000000011</v>
      </c>
      <c r="AE736" s="6">
        <f>$K$736*$Y$736</f>
        <v>0</v>
      </c>
      <c r="AF736" s="6">
        <f ca="1">$M$736*$Z$736</f>
        <v>5.4601130372815696</v>
      </c>
      <c r="AG736" s="6">
        <f>$O$736*$AA$736</f>
        <v>6.0471322385046369</v>
      </c>
    </row>
    <row r="737" spans="1:33" ht="11.25" customHeight="1" x14ac:dyDescent="0.25">
      <c r="A737" s="4" t="s">
        <v>28</v>
      </c>
      <c r="B737" s="4" t="s">
        <v>22</v>
      </c>
      <c r="C737" s="4" t="s">
        <v>23</v>
      </c>
      <c r="D737" s="4" t="s">
        <v>24</v>
      </c>
      <c r="E737" s="4" t="s">
        <v>31</v>
      </c>
      <c r="F737" s="4" t="s">
        <v>25</v>
      </c>
      <c r="G737" s="4" t="s">
        <v>25</v>
      </c>
      <c r="H737" s="4" t="s">
        <v>25</v>
      </c>
      <c r="I737" s="5">
        <v>44562</v>
      </c>
      <c r="J737" s="6">
        <v>0</v>
      </c>
      <c r="K737" s="6">
        <v>0</v>
      </c>
      <c r="L737" s="6">
        <v>5.07</v>
      </c>
      <c r="M737" s="6">
        <v>5.07</v>
      </c>
      <c r="N737" s="6">
        <v>5.07</v>
      </c>
      <c r="O737" s="6">
        <v>5.07</v>
      </c>
      <c r="P737" s="6">
        <v>75</v>
      </c>
      <c r="Q737" s="4" t="s">
        <v>26</v>
      </c>
      <c r="R737" s="4">
        <v>0</v>
      </c>
      <c r="S737" s="6">
        <v>0</v>
      </c>
      <c r="T737" s="6">
        <v>19</v>
      </c>
      <c r="U737" s="6">
        <v>56</v>
      </c>
      <c r="V737" s="6">
        <f>IF(ISERROR(VLOOKUP($S$737,'TAR FIN'!$A$1:$O$85,15,0)),0,VLOOKUP($S$737,'TAR FIN'!$A$1:$O$85,15,0))</f>
        <v>0</v>
      </c>
      <c r="W737" s="6">
        <f>IF(ISERROR(VLOOKUP($T$737,'TAR FIN'!$A$1:$O$85,15,0)),0,VLOOKUP($T$737,'TAR FIN'!$A$1:$O$85,15,0))</f>
        <v>234.68</v>
      </c>
      <c r="X737" s="6">
        <f>IF(ISERROR(VLOOKUP($U$737,'TAR FIN'!$A$1:$O$85,15,0)),0,VLOOKUP($U$737,'TAR FIN'!$A$1:$O$85,15,0))</f>
        <v>290.29000000000002</v>
      </c>
      <c r="Y737" s="6"/>
      <c r="Z737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37" s="6">
        <f>('TE BE'!$AB$13+'TE BF'!$AB$13+'TE CVA'!$AB$13)*(1-CUSTOS!$M$36)</f>
        <v>287.95867802403029</v>
      </c>
      <c r="AB737" s="6">
        <f>$K$737*$V$737</f>
        <v>0</v>
      </c>
      <c r="AC737" s="6">
        <f>$M$737*$W$737</f>
        <v>1189.8276000000001</v>
      </c>
      <c r="AD737" s="6">
        <f>$O$737*$X$737</f>
        <v>1471.7703000000001</v>
      </c>
      <c r="AE737" s="6">
        <f>$K$737*$Y$737</f>
        <v>0</v>
      </c>
      <c r="AF737" s="6">
        <f ca="1">$M$737*$Z$737</f>
        <v>1318.2272904294075</v>
      </c>
      <c r="AG737" s="6">
        <f>$O$737*$AA$737</f>
        <v>1459.9504975818336</v>
      </c>
    </row>
    <row r="738" spans="1:33" ht="11.25" customHeight="1" x14ac:dyDescent="0.25">
      <c r="A738" s="4" t="s">
        <v>21</v>
      </c>
      <c r="B738" s="4" t="s">
        <v>22</v>
      </c>
      <c r="C738" s="4" t="s">
        <v>23</v>
      </c>
      <c r="D738" s="4" t="s">
        <v>24</v>
      </c>
      <c r="E738" s="4" t="s">
        <v>31</v>
      </c>
      <c r="F738" s="4" t="s">
        <v>25</v>
      </c>
      <c r="G738" s="4" t="s">
        <v>25</v>
      </c>
      <c r="H738" s="4" t="s">
        <v>25</v>
      </c>
      <c r="I738" s="5">
        <v>44593</v>
      </c>
      <c r="J738" s="6">
        <v>0</v>
      </c>
      <c r="K738" s="6">
        <v>0</v>
      </c>
      <c r="L738" s="6">
        <v>631.27800000000002</v>
      </c>
      <c r="M738" s="6">
        <v>631.27800000000002</v>
      </c>
      <c r="N738" s="6">
        <v>631.27800000000002</v>
      </c>
      <c r="O738" s="6">
        <v>631.27800000000002</v>
      </c>
      <c r="P738" s="6">
        <v>5962</v>
      </c>
      <c r="Q738" s="4" t="s">
        <v>26</v>
      </c>
      <c r="R738" s="4">
        <v>0</v>
      </c>
      <c r="S738" s="6">
        <v>0</v>
      </c>
      <c r="T738" s="6">
        <v>19</v>
      </c>
      <c r="U738" s="6">
        <v>56</v>
      </c>
      <c r="V738" s="6">
        <f>IF(ISERROR(VLOOKUP($S$738,'TAR FIN'!$A$1:$O$85,15,0)),0,VLOOKUP($S$738,'TAR FIN'!$A$1:$O$85,15,0))</f>
        <v>0</v>
      </c>
      <c r="W738" s="6">
        <f>IF(ISERROR(VLOOKUP($T$738,'TAR FIN'!$A$1:$O$85,15,0)),0,VLOOKUP($T$738,'TAR FIN'!$A$1:$O$85,15,0))</f>
        <v>234.68</v>
      </c>
      <c r="X738" s="6">
        <f>IF(ISERROR(VLOOKUP($U$738,'TAR FIN'!$A$1:$O$85,15,0)),0,VLOOKUP($U$738,'TAR FIN'!$A$1:$O$85,15,0))</f>
        <v>290.29000000000002</v>
      </c>
      <c r="Y738" s="6"/>
      <c r="Z738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38" s="6">
        <f>('TE BE'!$AB$13+'TE BF'!$AB$13+'TE CVA'!$AB$13)*(1-CUSTOS!$M$36)</f>
        <v>287.95867802403029</v>
      </c>
      <c r="AB738" s="6">
        <f>$K$738*$V$738</f>
        <v>0</v>
      </c>
      <c r="AC738" s="6">
        <f>$M$738*$W$738</f>
        <v>148148.32104000001</v>
      </c>
      <c r="AD738" s="6">
        <f>$O$738*$X$738</f>
        <v>183253.69062000001</v>
      </c>
      <c r="AE738" s="6">
        <f>$K$738*$Y$738</f>
        <v>0</v>
      </c>
      <c r="AF738" s="6">
        <f ca="1">$M$738*$Z$738</f>
        <v>164135.67799757308</v>
      </c>
      <c r="AG738" s="6">
        <f>$O$738*$AA$738</f>
        <v>181781.9783456538</v>
      </c>
    </row>
    <row r="739" spans="1:33" ht="11.25" customHeight="1" x14ac:dyDescent="0.25">
      <c r="A739" s="4" t="s">
        <v>28</v>
      </c>
      <c r="B739" s="4" t="s">
        <v>22</v>
      </c>
      <c r="C739" s="4" t="s">
        <v>23</v>
      </c>
      <c r="D739" s="4" t="s">
        <v>24</v>
      </c>
      <c r="E739" s="4" t="s">
        <v>31</v>
      </c>
      <c r="F739" s="4" t="s">
        <v>25</v>
      </c>
      <c r="G739" s="4" t="s">
        <v>25</v>
      </c>
      <c r="H739" s="4" t="s">
        <v>25</v>
      </c>
      <c r="I739" s="5">
        <v>44593</v>
      </c>
      <c r="J739" s="6">
        <v>0</v>
      </c>
      <c r="K739" s="6">
        <v>0</v>
      </c>
      <c r="L739" s="6">
        <v>5.9489999999999998</v>
      </c>
      <c r="M739" s="6">
        <v>5.9489999999999998</v>
      </c>
      <c r="N739" s="6">
        <v>5.9489999999999998</v>
      </c>
      <c r="O739" s="6">
        <v>5.9489999999999998</v>
      </c>
      <c r="P739" s="6">
        <v>83</v>
      </c>
      <c r="Q739" s="4" t="s">
        <v>26</v>
      </c>
      <c r="R739" s="4">
        <v>0</v>
      </c>
      <c r="S739" s="6">
        <v>0</v>
      </c>
      <c r="T739" s="6">
        <v>19</v>
      </c>
      <c r="U739" s="6">
        <v>56</v>
      </c>
      <c r="V739" s="6">
        <f>IF(ISERROR(VLOOKUP($S$739,'TAR FIN'!$A$1:$O$85,15,0)),0,VLOOKUP($S$739,'TAR FIN'!$A$1:$O$85,15,0))</f>
        <v>0</v>
      </c>
      <c r="W739" s="6">
        <f>IF(ISERROR(VLOOKUP($T$739,'TAR FIN'!$A$1:$O$85,15,0)),0,VLOOKUP($T$739,'TAR FIN'!$A$1:$O$85,15,0))</f>
        <v>234.68</v>
      </c>
      <c r="X739" s="6">
        <f>IF(ISERROR(VLOOKUP($U$739,'TAR FIN'!$A$1:$O$85,15,0)),0,VLOOKUP($U$739,'TAR FIN'!$A$1:$O$85,15,0))</f>
        <v>290.29000000000002</v>
      </c>
      <c r="Y739" s="6"/>
      <c r="Z739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39" s="6">
        <f>('TE BE'!$AB$13+'TE BF'!$AB$13+'TE CVA'!$AB$13)*(1-CUSTOS!$M$36)</f>
        <v>287.95867802403029</v>
      </c>
      <c r="AB739" s="6">
        <f>$K$739*$V$739</f>
        <v>0</v>
      </c>
      <c r="AC739" s="6">
        <f>$M$739*$W$739</f>
        <v>1396.11132</v>
      </c>
      <c r="AD739" s="6">
        <f>$O$739*$X$739</f>
        <v>1726.9352100000001</v>
      </c>
      <c r="AE739" s="6">
        <f>$K$739*$Y$739</f>
        <v>0</v>
      </c>
      <c r="AF739" s="6">
        <f ca="1">$M$739*$Z$739</f>
        <v>1546.7720218470502</v>
      </c>
      <c r="AG739" s="6">
        <f>$O$739*$AA$739</f>
        <v>1713.0661755649562</v>
      </c>
    </row>
    <row r="740" spans="1:33" ht="11.25" customHeight="1" x14ac:dyDescent="0.25">
      <c r="A740" s="4" t="s">
        <v>21</v>
      </c>
      <c r="B740" s="4" t="s">
        <v>22</v>
      </c>
      <c r="C740" s="4" t="s">
        <v>23</v>
      </c>
      <c r="D740" s="4" t="s">
        <v>24</v>
      </c>
      <c r="E740" s="4" t="s">
        <v>31</v>
      </c>
      <c r="F740" s="4" t="s">
        <v>25</v>
      </c>
      <c r="G740" s="4" t="s">
        <v>25</v>
      </c>
      <c r="H740" s="4" t="s">
        <v>25</v>
      </c>
      <c r="I740" s="5">
        <v>44621</v>
      </c>
      <c r="J740" s="6">
        <v>0</v>
      </c>
      <c r="K740" s="6">
        <v>0</v>
      </c>
      <c r="L740" s="6">
        <v>761.79200000000003</v>
      </c>
      <c r="M740" s="6">
        <v>761.79200000000003</v>
      </c>
      <c r="N740" s="6">
        <v>761.79200000000003</v>
      </c>
      <c r="O740" s="6">
        <v>761.79200000000003</v>
      </c>
      <c r="P740" s="6">
        <v>6963</v>
      </c>
      <c r="Q740" s="4" t="s">
        <v>26</v>
      </c>
      <c r="R740" s="4">
        <v>0</v>
      </c>
      <c r="S740" s="6">
        <v>0</v>
      </c>
      <c r="T740" s="6">
        <v>19</v>
      </c>
      <c r="U740" s="6">
        <v>56</v>
      </c>
      <c r="V740" s="6">
        <f>IF(ISERROR(VLOOKUP($S$740,'TAR FIN'!$A$1:$O$85,15,0)),0,VLOOKUP($S$740,'TAR FIN'!$A$1:$O$85,15,0))</f>
        <v>0</v>
      </c>
      <c r="W740" s="6">
        <f>IF(ISERROR(VLOOKUP($T$740,'TAR FIN'!$A$1:$O$85,15,0)),0,VLOOKUP($T$740,'TAR FIN'!$A$1:$O$85,15,0))</f>
        <v>234.68</v>
      </c>
      <c r="X740" s="6">
        <f>IF(ISERROR(VLOOKUP($U$740,'TAR FIN'!$A$1:$O$85,15,0)),0,VLOOKUP($U$740,'TAR FIN'!$A$1:$O$85,15,0))</f>
        <v>290.29000000000002</v>
      </c>
      <c r="Y740" s="6"/>
      <c r="Z740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40" s="6">
        <f>('TE BE'!$AB$13+'TE BF'!$AB$13+'TE CVA'!$AB$13)*(1-CUSTOS!$M$36)</f>
        <v>287.95867802403029</v>
      </c>
      <c r="AB740" s="6">
        <f>$K$740*$V$740</f>
        <v>0</v>
      </c>
      <c r="AC740" s="6">
        <f>$M$740*$W$740</f>
        <v>178777.34656000001</v>
      </c>
      <c r="AD740" s="6">
        <f>$O$740*$X$740</f>
        <v>221140.59968000001</v>
      </c>
      <c r="AE740" s="6">
        <f>$K$740*$Y$740</f>
        <v>0</v>
      </c>
      <c r="AF740" s="6">
        <f ca="1">$M$740*$Z$740</f>
        <v>198070.0205188953</v>
      </c>
      <c r="AG740" s="6">
        <f>$O$740*$AA$740</f>
        <v>219364.61724928211</v>
      </c>
    </row>
    <row r="741" spans="1:33" ht="11.25" customHeight="1" x14ac:dyDescent="0.25">
      <c r="A741" s="4" t="s">
        <v>27</v>
      </c>
      <c r="B741" s="4" t="s">
        <v>22</v>
      </c>
      <c r="C741" s="4" t="s">
        <v>23</v>
      </c>
      <c r="D741" s="4" t="s">
        <v>24</v>
      </c>
      <c r="E741" s="4" t="s">
        <v>31</v>
      </c>
      <c r="F741" s="4" t="s">
        <v>25</v>
      </c>
      <c r="G741" s="4" t="s">
        <v>25</v>
      </c>
      <c r="H741" s="4" t="s">
        <v>25</v>
      </c>
      <c r="I741" s="5">
        <v>44621</v>
      </c>
      <c r="J741" s="6">
        <v>0</v>
      </c>
      <c r="K741" s="6">
        <v>0</v>
      </c>
      <c r="L741" s="6">
        <v>0.13600000000000001</v>
      </c>
      <c r="M741" s="6">
        <v>0.13600000000000001</v>
      </c>
      <c r="N741" s="6">
        <v>0.13600000000000001</v>
      </c>
      <c r="O741" s="6">
        <v>0.13600000000000001</v>
      </c>
      <c r="P741" s="6">
        <v>2</v>
      </c>
      <c r="Q741" s="4" t="s">
        <v>26</v>
      </c>
      <c r="R741" s="4">
        <v>0</v>
      </c>
      <c r="S741" s="6">
        <v>0</v>
      </c>
      <c r="T741" s="6">
        <v>19</v>
      </c>
      <c r="U741" s="6">
        <v>56</v>
      </c>
      <c r="V741" s="6">
        <f>IF(ISERROR(VLOOKUP($S$741,'TAR FIN'!$A$1:$O$85,15,0)),0,VLOOKUP($S$741,'TAR FIN'!$A$1:$O$85,15,0))</f>
        <v>0</v>
      </c>
      <c r="W741" s="6">
        <f>IF(ISERROR(VLOOKUP($T$741,'TAR FIN'!$A$1:$O$85,15,0)),0,VLOOKUP($T$741,'TAR FIN'!$A$1:$O$85,15,0))</f>
        <v>234.68</v>
      </c>
      <c r="X741" s="6">
        <f>IF(ISERROR(VLOOKUP($U$741,'TAR FIN'!$A$1:$O$85,15,0)),0,VLOOKUP($U$741,'TAR FIN'!$A$1:$O$85,15,0))</f>
        <v>290.29000000000002</v>
      </c>
      <c r="Y741" s="6"/>
      <c r="Z741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41" s="6">
        <f>('TE BE'!$AB$13+'TE BF'!$AB$13+'TE CVA'!$AB$13)*(1-CUSTOS!$M$36)</f>
        <v>287.95867802403029</v>
      </c>
      <c r="AB741" s="6">
        <f>$K$741*$V$741</f>
        <v>0</v>
      </c>
      <c r="AC741" s="6">
        <f>$M$741*$W$741</f>
        <v>31.916480000000004</v>
      </c>
      <c r="AD741" s="6">
        <f>$O$741*$X$741</f>
        <v>39.479440000000004</v>
      </c>
      <c r="AE741" s="6">
        <f>$K$741*$Y$741</f>
        <v>0</v>
      </c>
      <c r="AF741" s="6">
        <f ca="1">$M$741*$Z$741</f>
        <v>35.360732050966355</v>
      </c>
      <c r="AG741" s="6">
        <f>$O$741*$AA$741</f>
        <v>39.162380211268122</v>
      </c>
    </row>
    <row r="742" spans="1:33" ht="11.25" customHeight="1" x14ac:dyDescent="0.25">
      <c r="A742" s="4" t="s">
        <v>28</v>
      </c>
      <c r="B742" s="4" t="s">
        <v>22</v>
      </c>
      <c r="C742" s="4" t="s">
        <v>23</v>
      </c>
      <c r="D742" s="4" t="s">
        <v>24</v>
      </c>
      <c r="E742" s="4" t="s">
        <v>31</v>
      </c>
      <c r="F742" s="4" t="s">
        <v>25</v>
      </c>
      <c r="G742" s="4" t="s">
        <v>25</v>
      </c>
      <c r="H742" s="4" t="s">
        <v>25</v>
      </c>
      <c r="I742" s="5">
        <v>44621</v>
      </c>
      <c r="J742" s="6">
        <v>0</v>
      </c>
      <c r="K742" s="6">
        <v>0</v>
      </c>
      <c r="L742" s="6">
        <v>5.52</v>
      </c>
      <c r="M742" s="6">
        <v>5.52</v>
      </c>
      <c r="N742" s="6">
        <v>5.52</v>
      </c>
      <c r="O742" s="6">
        <v>5.52</v>
      </c>
      <c r="P742" s="6">
        <v>82</v>
      </c>
      <c r="Q742" s="4" t="s">
        <v>26</v>
      </c>
      <c r="R742" s="4">
        <v>0</v>
      </c>
      <c r="S742" s="6">
        <v>0</v>
      </c>
      <c r="T742" s="6">
        <v>19</v>
      </c>
      <c r="U742" s="6">
        <v>56</v>
      </c>
      <c r="V742" s="6">
        <f>IF(ISERROR(VLOOKUP($S$742,'TAR FIN'!$A$1:$O$85,15,0)),0,VLOOKUP($S$742,'TAR FIN'!$A$1:$O$85,15,0))</f>
        <v>0</v>
      </c>
      <c r="W742" s="6">
        <f>IF(ISERROR(VLOOKUP($T$742,'TAR FIN'!$A$1:$O$85,15,0)),0,VLOOKUP($T$742,'TAR FIN'!$A$1:$O$85,15,0))</f>
        <v>234.68</v>
      </c>
      <c r="X742" s="6">
        <f>IF(ISERROR(VLOOKUP($U$742,'TAR FIN'!$A$1:$O$85,15,0)),0,VLOOKUP($U$742,'TAR FIN'!$A$1:$O$85,15,0))</f>
        <v>290.29000000000002</v>
      </c>
      <c r="Y742" s="6"/>
      <c r="Z742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42" s="6">
        <f>('TE BE'!$AB$13+'TE BF'!$AB$13+'TE CVA'!$AB$13)*(1-CUSTOS!$M$36)</f>
        <v>287.95867802403029</v>
      </c>
      <c r="AB742" s="6">
        <f>$K$742*$V$742</f>
        <v>0</v>
      </c>
      <c r="AC742" s="6">
        <f>$M$742*$W$742</f>
        <v>1295.4335999999998</v>
      </c>
      <c r="AD742" s="6">
        <f>$O$742*$X$742</f>
        <v>1602.4007999999999</v>
      </c>
      <c r="AE742" s="6">
        <f>$K$742*$Y$742</f>
        <v>0</v>
      </c>
      <c r="AF742" s="6">
        <f ca="1">$M$742*$Z$742</f>
        <v>1435.2297126568694</v>
      </c>
      <c r="AG742" s="6">
        <f>$O$742*$AA$742</f>
        <v>1589.531902692647</v>
      </c>
    </row>
    <row r="743" spans="1:33" ht="11.25" customHeight="1" x14ac:dyDescent="0.25">
      <c r="A743" s="4" t="s">
        <v>21</v>
      </c>
      <c r="B743" s="4" t="s">
        <v>22</v>
      </c>
      <c r="C743" s="4" t="s">
        <v>23</v>
      </c>
      <c r="D743" s="4" t="s">
        <v>24</v>
      </c>
      <c r="E743" s="4" t="s">
        <v>31</v>
      </c>
      <c r="F743" s="4" t="s">
        <v>25</v>
      </c>
      <c r="G743" s="4" t="s">
        <v>25</v>
      </c>
      <c r="H743" s="4" t="s">
        <v>25</v>
      </c>
      <c r="I743" s="5">
        <v>44652</v>
      </c>
      <c r="J743" s="6">
        <v>0</v>
      </c>
      <c r="K743" s="6">
        <v>0</v>
      </c>
      <c r="L743" s="6">
        <v>773.93899999999996</v>
      </c>
      <c r="M743" s="6">
        <v>773.93899999999996</v>
      </c>
      <c r="N743" s="6">
        <v>773.93899999999996</v>
      </c>
      <c r="O743" s="6">
        <v>773.93899999999996</v>
      </c>
      <c r="P743" s="6">
        <v>7117</v>
      </c>
      <c r="Q743" s="4" t="s">
        <v>26</v>
      </c>
      <c r="R743" s="4">
        <v>0</v>
      </c>
      <c r="S743" s="6">
        <v>0</v>
      </c>
      <c r="T743" s="6">
        <v>19</v>
      </c>
      <c r="U743" s="6">
        <v>56</v>
      </c>
      <c r="V743" s="6">
        <f>IF(ISERROR(VLOOKUP($S$743,'TAR FIN'!$A$1:$O$85,15,0)),0,VLOOKUP($S$743,'TAR FIN'!$A$1:$O$85,15,0))</f>
        <v>0</v>
      </c>
      <c r="W743" s="6">
        <f>IF(ISERROR(VLOOKUP($T$743,'TAR FIN'!$A$1:$O$85,15,0)),0,VLOOKUP($T$743,'TAR FIN'!$A$1:$O$85,15,0))</f>
        <v>234.68</v>
      </c>
      <c r="X743" s="6">
        <f>IF(ISERROR(VLOOKUP($U$743,'TAR FIN'!$A$1:$O$85,15,0)),0,VLOOKUP($U$743,'TAR FIN'!$A$1:$O$85,15,0))</f>
        <v>290.29000000000002</v>
      </c>
      <c r="Y743" s="6"/>
      <c r="Z743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43" s="6">
        <f>('TE BE'!$AB$13+'TE BF'!$AB$13+'TE CVA'!$AB$13)*(1-CUSTOS!$M$36)</f>
        <v>287.95867802403029</v>
      </c>
      <c r="AB743" s="6">
        <f>$K$743*$V$743</f>
        <v>0</v>
      </c>
      <c r="AC743" s="6">
        <f>$M$743*$W$743</f>
        <v>181628.00451999999</v>
      </c>
      <c r="AD743" s="6">
        <f>$O$743*$X$743</f>
        <v>224666.75231000001</v>
      </c>
      <c r="AE743" s="6">
        <f>$K$743*$Y$743</f>
        <v>0</v>
      </c>
      <c r="AF743" s="6">
        <f ca="1">$M$743*$Z$743</f>
        <v>201228.30590288856</v>
      </c>
      <c r="AG743" s="6">
        <f>$O$743*$AA$743</f>
        <v>222862.45131123997</v>
      </c>
    </row>
    <row r="744" spans="1:33" ht="11.25" customHeight="1" x14ac:dyDescent="0.25">
      <c r="A744" s="4" t="s">
        <v>28</v>
      </c>
      <c r="B744" s="4" t="s">
        <v>22</v>
      </c>
      <c r="C744" s="4" t="s">
        <v>23</v>
      </c>
      <c r="D744" s="4" t="s">
        <v>24</v>
      </c>
      <c r="E744" s="4" t="s">
        <v>31</v>
      </c>
      <c r="F744" s="4" t="s">
        <v>25</v>
      </c>
      <c r="G744" s="4" t="s">
        <v>25</v>
      </c>
      <c r="H744" s="4" t="s">
        <v>25</v>
      </c>
      <c r="I744" s="5">
        <v>44652</v>
      </c>
      <c r="J744" s="6">
        <v>0</v>
      </c>
      <c r="K744" s="6">
        <v>0</v>
      </c>
      <c r="L744" s="6">
        <v>5.9610000000000003</v>
      </c>
      <c r="M744" s="6">
        <v>5.9610000000000003</v>
      </c>
      <c r="N744" s="6">
        <v>5.9610000000000003</v>
      </c>
      <c r="O744" s="6">
        <v>5.9610000000000003</v>
      </c>
      <c r="P744" s="6">
        <v>86</v>
      </c>
      <c r="Q744" s="4" t="s">
        <v>26</v>
      </c>
      <c r="R744" s="4">
        <v>0</v>
      </c>
      <c r="S744" s="6">
        <v>0</v>
      </c>
      <c r="T744" s="6">
        <v>19</v>
      </c>
      <c r="U744" s="6">
        <v>56</v>
      </c>
      <c r="V744" s="6">
        <f>IF(ISERROR(VLOOKUP($S$744,'TAR FIN'!$A$1:$O$85,15,0)),0,VLOOKUP($S$744,'TAR FIN'!$A$1:$O$85,15,0))</f>
        <v>0</v>
      </c>
      <c r="W744" s="6">
        <f>IF(ISERROR(VLOOKUP($T$744,'TAR FIN'!$A$1:$O$85,15,0)),0,VLOOKUP($T$744,'TAR FIN'!$A$1:$O$85,15,0))</f>
        <v>234.68</v>
      </c>
      <c r="X744" s="6">
        <f>IF(ISERROR(VLOOKUP($U$744,'TAR FIN'!$A$1:$O$85,15,0)),0,VLOOKUP($U$744,'TAR FIN'!$A$1:$O$85,15,0))</f>
        <v>290.29000000000002</v>
      </c>
      <c r="Y744" s="6"/>
      <c r="Z744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44" s="6">
        <f>('TE BE'!$AB$13+'TE BF'!$AB$13+'TE CVA'!$AB$13)*(1-CUSTOS!$M$36)</f>
        <v>287.95867802403029</v>
      </c>
      <c r="AB744" s="6">
        <f>$K$744*$V$744</f>
        <v>0</v>
      </c>
      <c r="AC744" s="6">
        <f>$M$744*$W$744</f>
        <v>1398.9274800000001</v>
      </c>
      <c r="AD744" s="6">
        <f>$O$744*$X$744</f>
        <v>1730.4186900000002</v>
      </c>
      <c r="AE744" s="6">
        <f>$K$744*$Y$744</f>
        <v>0</v>
      </c>
      <c r="AF744" s="6">
        <f ca="1">$M$744*$Z$744</f>
        <v>1549.8920864397826</v>
      </c>
      <c r="AG744" s="6">
        <f>$O$744*$AA$744</f>
        <v>1716.5216797012447</v>
      </c>
    </row>
    <row r="745" spans="1:33" ht="11.25" customHeight="1" x14ac:dyDescent="0.25">
      <c r="A745" s="4" t="s">
        <v>21</v>
      </c>
      <c r="B745" s="4" t="s">
        <v>22</v>
      </c>
      <c r="C745" s="4" t="s">
        <v>23</v>
      </c>
      <c r="D745" s="4" t="s">
        <v>24</v>
      </c>
      <c r="E745" s="4" t="s">
        <v>31</v>
      </c>
      <c r="F745" s="4" t="s">
        <v>25</v>
      </c>
      <c r="G745" s="4" t="s">
        <v>25</v>
      </c>
      <c r="H745" s="4" t="s">
        <v>25</v>
      </c>
      <c r="I745" s="5">
        <v>44682</v>
      </c>
      <c r="J745" s="6">
        <v>0</v>
      </c>
      <c r="K745" s="6">
        <v>0</v>
      </c>
      <c r="L745" s="6">
        <v>578.27800000000002</v>
      </c>
      <c r="M745" s="6">
        <v>578.27800000000002</v>
      </c>
      <c r="N745" s="6">
        <v>578.27800000000002</v>
      </c>
      <c r="O745" s="6">
        <v>578.27800000000002</v>
      </c>
      <c r="P745" s="6">
        <v>6538</v>
      </c>
      <c r="Q745" s="4" t="s">
        <v>26</v>
      </c>
      <c r="R745" s="4">
        <v>0</v>
      </c>
      <c r="S745" s="6">
        <v>0</v>
      </c>
      <c r="T745" s="6">
        <v>19</v>
      </c>
      <c r="U745" s="6">
        <v>56</v>
      </c>
      <c r="V745" s="6">
        <f>IF(ISERROR(VLOOKUP($S$745,'TAR FIN'!$A$1:$O$85,15,0)),0,VLOOKUP($S$745,'TAR FIN'!$A$1:$O$85,15,0))</f>
        <v>0</v>
      </c>
      <c r="W745" s="6">
        <f>IF(ISERROR(VLOOKUP($T$745,'TAR FIN'!$A$1:$O$85,15,0)),0,VLOOKUP($T$745,'TAR FIN'!$A$1:$O$85,15,0))</f>
        <v>234.68</v>
      </c>
      <c r="X745" s="6">
        <f>IF(ISERROR(VLOOKUP($U$745,'TAR FIN'!$A$1:$O$85,15,0)),0,VLOOKUP($U$745,'TAR FIN'!$A$1:$O$85,15,0))</f>
        <v>290.29000000000002</v>
      </c>
      <c r="Y745" s="6"/>
      <c r="Z745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45" s="6">
        <f>('TE BE'!$AB$13+'TE BF'!$AB$13+'TE CVA'!$AB$13)*(1-CUSTOS!$M$36)</f>
        <v>287.95867802403029</v>
      </c>
      <c r="AB745" s="6">
        <f>$K$745*$V$745</f>
        <v>0</v>
      </c>
      <c r="AC745" s="6">
        <f>$M$745*$W$745</f>
        <v>135710.28104</v>
      </c>
      <c r="AD745" s="6">
        <f>$O$745*$X$745</f>
        <v>167868.32062000001</v>
      </c>
      <c r="AE745" s="6">
        <f>$K$745*$Y$745</f>
        <v>0</v>
      </c>
      <c r="AF745" s="6">
        <f ca="1">$M$745*$Z$745</f>
        <v>150355.39271300531</v>
      </c>
      <c r="AG745" s="6">
        <f>$O$745*$AA$745</f>
        <v>166520.1684103802</v>
      </c>
    </row>
    <row r="746" spans="1:33" ht="11.25" customHeight="1" x14ac:dyDescent="0.25">
      <c r="A746" s="4" t="s">
        <v>27</v>
      </c>
      <c r="B746" s="4" t="s">
        <v>22</v>
      </c>
      <c r="C746" s="4" t="s">
        <v>23</v>
      </c>
      <c r="D746" s="4" t="s">
        <v>24</v>
      </c>
      <c r="E746" s="4" t="s">
        <v>31</v>
      </c>
      <c r="F746" s="4" t="s">
        <v>25</v>
      </c>
      <c r="G746" s="4" t="s">
        <v>25</v>
      </c>
      <c r="H746" s="4" t="s">
        <v>25</v>
      </c>
      <c r="I746" s="5">
        <v>44682</v>
      </c>
      <c r="J746" s="6">
        <v>0</v>
      </c>
      <c r="K746" s="6">
        <v>0</v>
      </c>
      <c r="L746" s="6">
        <v>-7.3999999999999996E-2</v>
      </c>
      <c r="M746" s="6">
        <v>-7.3999999999999996E-2</v>
      </c>
      <c r="N746" s="6">
        <v>-7.3999999999999996E-2</v>
      </c>
      <c r="O746" s="6">
        <v>-7.3999999999999996E-2</v>
      </c>
      <c r="P746" s="6">
        <v>0</v>
      </c>
      <c r="Q746" s="4" t="s">
        <v>26</v>
      </c>
      <c r="R746" s="4">
        <v>0</v>
      </c>
      <c r="S746" s="6">
        <v>0</v>
      </c>
      <c r="T746" s="6">
        <v>19</v>
      </c>
      <c r="U746" s="6">
        <v>56</v>
      </c>
      <c r="V746" s="6">
        <f>IF(ISERROR(VLOOKUP($S$746,'TAR FIN'!$A$1:$O$85,15,0)),0,VLOOKUP($S$746,'TAR FIN'!$A$1:$O$85,15,0))</f>
        <v>0</v>
      </c>
      <c r="W746" s="6">
        <f>IF(ISERROR(VLOOKUP($T$746,'TAR FIN'!$A$1:$O$85,15,0)),0,VLOOKUP($T$746,'TAR FIN'!$A$1:$O$85,15,0))</f>
        <v>234.68</v>
      </c>
      <c r="X746" s="6">
        <f>IF(ISERROR(VLOOKUP($U$746,'TAR FIN'!$A$1:$O$85,15,0)),0,VLOOKUP($U$746,'TAR FIN'!$A$1:$O$85,15,0))</f>
        <v>290.29000000000002</v>
      </c>
      <c r="Y746" s="6"/>
      <c r="Z746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46" s="6">
        <f>('TE BE'!$AB$13+'TE BF'!$AB$13+'TE CVA'!$AB$13)*(1-CUSTOS!$M$36)</f>
        <v>287.95867802403029</v>
      </c>
      <c r="AB746" s="6">
        <f>$K$746*$V$746</f>
        <v>0</v>
      </c>
      <c r="AC746" s="6">
        <f>$M$746*$W$746</f>
        <v>-17.366319999999998</v>
      </c>
      <c r="AD746" s="6">
        <f>$O$746*$X$746</f>
        <v>-21.481460000000002</v>
      </c>
      <c r="AE746" s="6">
        <f>$K$746*$Y$746</f>
        <v>0</v>
      </c>
      <c r="AF746" s="6">
        <f ca="1">$M$746*$Z$746</f>
        <v>-19.240398321849337</v>
      </c>
      <c r="AG746" s="6">
        <f>$O$746*$AA$746</f>
        <v>-21.308942173778242</v>
      </c>
    </row>
    <row r="747" spans="1:33" ht="11.25" customHeight="1" x14ac:dyDescent="0.25">
      <c r="A747" s="4" t="s">
        <v>28</v>
      </c>
      <c r="B747" s="4" t="s">
        <v>22</v>
      </c>
      <c r="C747" s="4" t="s">
        <v>23</v>
      </c>
      <c r="D747" s="4" t="s">
        <v>24</v>
      </c>
      <c r="E747" s="4" t="s">
        <v>31</v>
      </c>
      <c r="F747" s="4" t="s">
        <v>25</v>
      </c>
      <c r="G747" s="4" t="s">
        <v>25</v>
      </c>
      <c r="H747" s="4" t="s">
        <v>25</v>
      </c>
      <c r="I747" s="5">
        <v>44682</v>
      </c>
      <c r="J747" s="6">
        <v>0</v>
      </c>
      <c r="K747" s="6">
        <v>0</v>
      </c>
      <c r="L747" s="6">
        <v>4.4569999999999999</v>
      </c>
      <c r="M747" s="6">
        <v>4.4569999999999999</v>
      </c>
      <c r="N747" s="6">
        <v>4.4569999999999999</v>
      </c>
      <c r="O747" s="6">
        <v>4.4569999999999999</v>
      </c>
      <c r="P747" s="6">
        <v>60</v>
      </c>
      <c r="Q747" s="4" t="s">
        <v>26</v>
      </c>
      <c r="R747" s="4">
        <v>0</v>
      </c>
      <c r="S747" s="6">
        <v>0</v>
      </c>
      <c r="T747" s="6">
        <v>19</v>
      </c>
      <c r="U747" s="6">
        <v>56</v>
      </c>
      <c r="V747" s="6">
        <f>IF(ISERROR(VLOOKUP($S$747,'TAR FIN'!$A$1:$O$85,15,0)),0,VLOOKUP($S$747,'TAR FIN'!$A$1:$O$85,15,0))</f>
        <v>0</v>
      </c>
      <c r="W747" s="6">
        <f>IF(ISERROR(VLOOKUP($T$747,'TAR FIN'!$A$1:$O$85,15,0)),0,VLOOKUP($T$747,'TAR FIN'!$A$1:$O$85,15,0))</f>
        <v>234.68</v>
      </c>
      <c r="X747" s="6">
        <f>IF(ISERROR(VLOOKUP($U$747,'TAR FIN'!$A$1:$O$85,15,0)),0,VLOOKUP($U$747,'TAR FIN'!$A$1:$O$85,15,0))</f>
        <v>290.29000000000002</v>
      </c>
      <c r="Y747" s="6"/>
      <c r="Z747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47" s="6">
        <f>('TE BE'!$AB$13+'TE BF'!$AB$13+'TE CVA'!$AB$13)*(1-CUSTOS!$M$36)</f>
        <v>287.95867802403029</v>
      </c>
      <c r="AB747" s="6">
        <f>$K$747*$V$747</f>
        <v>0</v>
      </c>
      <c r="AC747" s="6">
        <f>$M$747*$W$747</f>
        <v>1045.96876</v>
      </c>
      <c r="AD747" s="6">
        <f>$O$747*$X$747</f>
        <v>1293.8225300000001</v>
      </c>
      <c r="AE747" s="6">
        <f>$K$747*$Y$747</f>
        <v>0</v>
      </c>
      <c r="AF747" s="6">
        <f ca="1">$M$747*$Z$747</f>
        <v>1158.8439908173311</v>
      </c>
      <c r="AG747" s="6">
        <f>$O$747*$AA$747</f>
        <v>1283.431827953103</v>
      </c>
    </row>
    <row r="748" spans="1:33" ht="11.25" customHeight="1" x14ac:dyDescent="0.25">
      <c r="A748" s="4" t="s">
        <v>21</v>
      </c>
      <c r="B748" s="4" t="s">
        <v>22</v>
      </c>
      <c r="C748" s="4" t="s">
        <v>23</v>
      </c>
      <c r="D748" s="4" t="s">
        <v>24</v>
      </c>
      <c r="E748" s="4" t="s">
        <v>31</v>
      </c>
      <c r="F748" s="4" t="s">
        <v>25</v>
      </c>
      <c r="G748" s="4" t="s">
        <v>25</v>
      </c>
      <c r="H748" s="4" t="s">
        <v>25</v>
      </c>
      <c r="I748" s="5">
        <v>44713</v>
      </c>
      <c r="J748" s="6">
        <v>0</v>
      </c>
      <c r="K748" s="6">
        <v>0</v>
      </c>
      <c r="L748" s="6">
        <v>508.09199999999998</v>
      </c>
      <c r="M748" s="6">
        <v>508.09199999999998</v>
      </c>
      <c r="N748" s="6">
        <v>508.09199999999998</v>
      </c>
      <c r="O748" s="6">
        <v>508.09199999999998</v>
      </c>
      <c r="P748" s="6">
        <v>6780</v>
      </c>
      <c r="Q748" s="4" t="s">
        <v>26</v>
      </c>
      <c r="R748" s="4">
        <v>0</v>
      </c>
      <c r="S748" s="6">
        <v>0</v>
      </c>
      <c r="T748" s="6">
        <v>19</v>
      </c>
      <c r="U748" s="6">
        <v>56</v>
      </c>
      <c r="V748" s="6">
        <f>IF(ISERROR(VLOOKUP($S$748,'TAR FIN'!$A$1:$O$85,15,0)),0,VLOOKUP($S$748,'TAR FIN'!$A$1:$O$85,15,0))</f>
        <v>0</v>
      </c>
      <c r="W748" s="6">
        <f>IF(ISERROR(VLOOKUP($T$748,'TAR FIN'!$A$1:$O$85,15,0)),0,VLOOKUP($T$748,'TAR FIN'!$A$1:$O$85,15,0))</f>
        <v>234.68</v>
      </c>
      <c r="X748" s="6">
        <f>IF(ISERROR(VLOOKUP($U$748,'TAR FIN'!$A$1:$O$85,15,0)),0,VLOOKUP($U$748,'TAR FIN'!$A$1:$O$85,15,0))</f>
        <v>290.29000000000002</v>
      </c>
      <c r="Y748" s="6"/>
      <c r="Z748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48" s="6">
        <f>('TE BE'!$AB$13+'TE BF'!$AB$13+'TE CVA'!$AB$13)*(1-CUSTOS!$M$36)</f>
        <v>287.95867802403029</v>
      </c>
      <c r="AB748" s="6">
        <f>$K$748*$V$748</f>
        <v>0</v>
      </c>
      <c r="AC748" s="6">
        <f>$M$748*$W$748</f>
        <v>119239.03056</v>
      </c>
      <c r="AD748" s="6">
        <f>$O$748*$X$748</f>
        <v>147494.02668000001</v>
      </c>
      <c r="AE748" s="6">
        <f>$K$748*$Y$748</f>
        <v>0</v>
      </c>
      <c r="AF748" s="6">
        <f ca="1">$M$748*$Z$748</f>
        <v>132106.65492087937</v>
      </c>
      <c r="AG748" s="6">
        <f>$O$748*$AA$748</f>
        <v>146309.50063458559</v>
      </c>
    </row>
    <row r="749" spans="1:33" ht="11.25" customHeight="1" x14ac:dyDescent="0.25">
      <c r="A749" s="4" t="s">
        <v>28</v>
      </c>
      <c r="B749" s="4" t="s">
        <v>22</v>
      </c>
      <c r="C749" s="4" t="s">
        <v>23</v>
      </c>
      <c r="D749" s="4" t="s">
        <v>24</v>
      </c>
      <c r="E749" s="4" t="s">
        <v>31</v>
      </c>
      <c r="F749" s="4" t="s">
        <v>25</v>
      </c>
      <c r="G749" s="4" t="s">
        <v>25</v>
      </c>
      <c r="H749" s="4" t="s">
        <v>25</v>
      </c>
      <c r="I749" s="5">
        <v>44713</v>
      </c>
      <c r="J749" s="6">
        <v>0</v>
      </c>
      <c r="K749" s="6">
        <v>0</v>
      </c>
      <c r="L749" s="6">
        <v>3.7810000000000001</v>
      </c>
      <c r="M749" s="6">
        <v>3.7810000000000001</v>
      </c>
      <c r="N749" s="6">
        <v>3.7810000000000001</v>
      </c>
      <c r="O749" s="6">
        <v>3.7810000000000001</v>
      </c>
      <c r="P749" s="6">
        <v>59</v>
      </c>
      <c r="Q749" s="4" t="s">
        <v>26</v>
      </c>
      <c r="R749" s="4">
        <v>0</v>
      </c>
      <c r="S749" s="6">
        <v>0</v>
      </c>
      <c r="T749" s="6">
        <v>19</v>
      </c>
      <c r="U749" s="6">
        <v>56</v>
      </c>
      <c r="V749" s="6">
        <f>IF(ISERROR(VLOOKUP($S$749,'TAR FIN'!$A$1:$O$85,15,0)),0,VLOOKUP($S$749,'TAR FIN'!$A$1:$O$85,15,0))</f>
        <v>0</v>
      </c>
      <c r="W749" s="6">
        <f>IF(ISERROR(VLOOKUP($T$749,'TAR FIN'!$A$1:$O$85,15,0)),0,VLOOKUP($T$749,'TAR FIN'!$A$1:$O$85,15,0))</f>
        <v>234.68</v>
      </c>
      <c r="X749" s="6">
        <f>IF(ISERROR(VLOOKUP($U$749,'TAR FIN'!$A$1:$O$85,15,0)),0,VLOOKUP($U$749,'TAR FIN'!$A$1:$O$85,15,0))</f>
        <v>290.29000000000002</v>
      </c>
      <c r="Y749" s="6"/>
      <c r="Z749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49" s="6">
        <f>('TE BE'!$AB$13+'TE BF'!$AB$13+'TE CVA'!$AB$13)*(1-CUSTOS!$M$36)</f>
        <v>287.95867802403029</v>
      </c>
      <c r="AB749" s="6">
        <f>$K$749*$V$749</f>
        <v>0</v>
      </c>
      <c r="AC749" s="6">
        <f>$M$749*$W$749</f>
        <v>887.32508000000007</v>
      </c>
      <c r="AD749" s="6">
        <f>$O$749*$X$749</f>
        <v>1097.5864900000001</v>
      </c>
      <c r="AE749" s="6">
        <f>$K$749*$Y$749</f>
        <v>0</v>
      </c>
      <c r="AF749" s="6">
        <f ca="1">$M$749*$Z$749</f>
        <v>983.08035209341017</v>
      </c>
      <c r="AG749" s="6">
        <f>$O$749*$AA$749</f>
        <v>1088.7717616088585</v>
      </c>
    </row>
    <row r="750" spans="1:33" ht="11.25" customHeight="1" x14ac:dyDescent="0.25">
      <c r="A750" s="4" t="s">
        <v>21</v>
      </c>
      <c r="B750" s="4" t="s">
        <v>22</v>
      </c>
      <c r="C750" s="4" t="s">
        <v>23</v>
      </c>
      <c r="D750" s="4" t="s">
        <v>24</v>
      </c>
      <c r="E750" s="4" t="s">
        <v>31</v>
      </c>
      <c r="F750" s="4" t="s">
        <v>25</v>
      </c>
      <c r="G750" s="4" t="s">
        <v>25</v>
      </c>
      <c r="H750" s="4" t="s">
        <v>25</v>
      </c>
      <c r="I750" s="5">
        <v>44743</v>
      </c>
      <c r="J750" s="6">
        <v>0</v>
      </c>
      <c r="K750" s="6">
        <v>0</v>
      </c>
      <c r="L750" s="6">
        <v>372.983</v>
      </c>
      <c r="M750" s="6">
        <v>372.983</v>
      </c>
      <c r="N750" s="6">
        <v>372.983</v>
      </c>
      <c r="O750" s="6">
        <v>372.983</v>
      </c>
      <c r="P750" s="6">
        <v>5580</v>
      </c>
      <c r="Q750" s="4" t="s">
        <v>26</v>
      </c>
      <c r="R750" s="4">
        <v>0</v>
      </c>
      <c r="S750" s="6">
        <v>0</v>
      </c>
      <c r="T750" s="6">
        <v>19</v>
      </c>
      <c r="U750" s="6">
        <v>56</v>
      </c>
      <c r="V750" s="6">
        <f>IF(ISERROR(VLOOKUP($S$750,'TAR FIN'!$A$1:$O$85,15,0)),0,VLOOKUP($S$750,'TAR FIN'!$A$1:$O$85,15,0))</f>
        <v>0</v>
      </c>
      <c r="W750" s="6">
        <f>IF(ISERROR(VLOOKUP($T$750,'TAR FIN'!$A$1:$O$85,15,0)),0,VLOOKUP($T$750,'TAR FIN'!$A$1:$O$85,15,0))</f>
        <v>234.68</v>
      </c>
      <c r="X750" s="6">
        <f>IF(ISERROR(VLOOKUP($U$750,'TAR FIN'!$A$1:$O$85,15,0)),0,VLOOKUP($U$750,'TAR FIN'!$A$1:$O$85,15,0))</f>
        <v>290.29000000000002</v>
      </c>
      <c r="Y750" s="6"/>
      <c r="Z750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50" s="6">
        <f>('TE BE'!$AB$13+'TE BF'!$AB$13+'TE CVA'!$AB$13)*(1-CUSTOS!$M$36)</f>
        <v>287.95867802403029</v>
      </c>
      <c r="AB750" s="6">
        <f>$K$750*$V$750</f>
        <v>0</v>
      </c>
      <c r="AC750" s="6">
        <f>$M$750*$W$750</f>
        <v>87531.650439999998</v>
      </c>
      <c r="AD750" s="6">
        <f>$O$750*$X$750</f>
        <v>108273.23507000001</v>
      </c>
      <c r="AE750" s="6">
        <f>$K$750*$Y$750</f>
        <v>0</v>
      </c>
      <c r="AF750" s="6">
        <f ca="1">$M$750*$Z$750</f>
        <v>96977.587665923405</v>
      </c>
      <c r="AG750" s="6">
        <f>$O$750*$AA$750</f>
        <v>107403.69160543689</v>
      </c>
    </row>
    <row r="751" spans="1:33" ht="11.25" customHeight="1" x14ac:dyDescent="0.25">
      <c r="A751" s="4" t="s">
        <v>27</v>
      </c>
      <c r="B751" s="4" t="s">
        <v>22</v>
      </c>
      <c r="C751" s="4" t="s">
        <v>23</v>
      </c>
      <c r="D751" s="4" t="s">
        <v>24</v>
      </c>
      <c r="E751" s="4" t="s">
        <v>31</v>
      </c>
      <c r="F751" s="4" t="s">
        <v>25</v>
      </c>
      <c r="G751" s="4" t="s">
        <v>25</v>
      </c>
      <c r="H751" s="4" t="s">
        <v>25</v>
      </c>
      <c r="I751" s="5">
        <v>44743</v>
      </c>
      <c r="J751" s="6">
        <v>0</v>
      </c>
      <c r="K751" s="6">
        <v>0</v>
      </c>
      <c r="L751" s="6">
        <v>4.2000000000000003E-2</v>
      </c>
      <c r="M751" s="6">
        <v>4.2000000000000003E-2</v>
      </c>
      <c r="N751" s="6">
        <v>4.2000000000000003E-2</v>
      </c>
      <c r="O751" s="6">
        <v>4.2000000000000003E-2</v>
      </c>
      <c r="P751" s="6">
        <v>1</v>
      </c>
      <c r="Q751" s="4" t="s">
        <v>26</v>
      </c>
      <c r="R751" s="4">
        <v>0</v>
      </c>
      <c r="S751" s="6">
        <v>0</v>
      </c>
      <c r="T751" s="6">
        <v>19</v>
      </c>
      <c r="U751" s="6">
        <v>56</v>
      </c>
      <c r="V751" s="6">
        <f>IF(ISERROR(VLOOKUP($S$751,'TAR FIN'!$A$1:$O$85,15,0)),0,VLOOKUP($S$751,'TAR FIN'!$A$1:$O$85,15,0))</f>
        <v>0</v>
      </c>
      <c r="W751" s="6">
        <f>IF(ISERROR(VLOOKUP($T$751,'TAR FIN'!$A$1:$O$85,15,0)),0,VLOOKUP($T$751,'TAR FIN'!$A$1:$O$85,15,0))</f>
        <v>234.68</v>
      </c>
      <c r="X751" s="6">
        <f>IF(ISERROR(VLOOKUP($U$751,'TAR FIN'!$A$1:$O$85,15,0)),0,VLOOKUP($U$751,'TAR FIN'!$A$1:$O$85,15,0))</f>
        <v>290.29000000000002</v>
      </c>
      <c r="Y751" s="6"/>
      <c r="Z751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51" s="6">
        <f>('TE BE'!$AB$13+'TE BF'!$AB$13+'TE CVA'!$AB$13)*(1-CUSTOS!$M$36)</f>
        <v>287.95867802403029</v>
      </c>
      <c r="AB751" s="6">
        <f>$K$751*$V$751</f>
        <v>0</v>
      </c>
      <c r="AC751" s="6">
        <f>$M$751*$W$751</f>
        <v>9.8565600000000018</v>
      </c>
      <c r="AD751" s="6">
        <f>$O$751*$X$751</f>
        <v>12.192180000000002</v>
      </c>
      <c r="AE751" s="6">
        <f>$K$751*$Y$751</f>
        <v>0</v>
      </c>
      <c r="AF751" s="6">
        <f ca="1">$M$751*$Z$751</f>
        <v>10.920226074563139</v>
      </c>
      <c r="AG751" s="6">
        <f>$O$751*$AA$751</f>
        <v>12.094264477009274</v>
      </c>
    </row>
    <row r="752" spans="1:33" ht="11.25" customHeight="1" x14ac:dyDescent="0.25">
      <c r="A752" s="4" t="s">
        <v>28</v>
      </c>
      <c r="B752" s="4" t="s">
        <v>22</v>
      </c>
      <c r="C752" s="4" t="s">
        <v>23</v>
      </c>
      <c r="D752" s="4" t="s">
        <v>24</v>
      </c>
      <c r="E752" s="4" t="s">
        <v>31</v>
      </c>
      <c r="F752" s="4" t="s">
        <v>25</v>
      </c>
      <c r="G752" s="4" t="s">
        <v>25</v>
      </c>
      <c r="H752" s="4" t="s">
        <v>25</v>
      </c>
      <c r="I752" s="5">
        <v>44743</v>
      </c>
      <c r="J752" s="6">
        <v>0</v>
      </c>
      <c r="K752" s="6">
        <v>0</v>
      </c>
      <c r="L752" s="6">
        <v>3.3650000000000002</v>
      </c>
      <c r="M752" s="6">
        <v>3.3650000000000002</v>
      </c>
      <c r="N752" s="6">
        <v>3.3650000000000002</v>
      </c>
      <c r="O752" s="6">
        <v>3.3650000000000002</v>
      </c>
      <c r="P752" s="6">
        <v>54</v>
      </c>
      <c r="Q752" s="4" t="s">
        <v>26</v>
      </c>
      <c r="R752" s="4">
        <v>0</v>
      </c>
      <c r="S752" s="6">
        <v>0</v>
      </c>
      <c r="T752" s="6">
        <v>19</v>
      </c>
      <c r="U752" s="6">
        <v>56</v>
      </c>
      <c r="V752" s="6">
        <f>IF(ISERROR(VLOOKUP($S$752,'TAR FIN'!$A$1:$O$85,15,0)),0,VLOOKUP($S$752,'TAR FIN'!$A$1:$O$85,15,0))</f>
        <v>0</v>
      </c>
      <c r="W752" s="6">
        <f>IF(ISERROR(VLOOKUP($T$752,'TAR FIN'!$A$1:$O$85,15,0)),0,VLOOKUP($T$752,'TAR FIN'!$A$1:$O$85,15,0))</f>
        <v>234.68</v>
      </c>
      <c r="X752" s="6">
        <f>IF(ISERROR(VLOOKUP($U$752,'TAR FIN'!$A$1:$O$85,15,0)),0,VLOOKUP($U$752,'TAR FIN'!$A$1:$O$85,15,0))</f>
        <v>290.29000000000002</v>
      </c>
      <c r="Y752" s="6"/>
      <c r="Z752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52" s="6">
        <f>('TE BE'!$AB$13+'TE BF'!$AB$13+'TE CVA'!$AB$13)*(1-CUSTOS!$M$36)</f>
        <v>287.95867802403029</v>
      </c>
      <c r="AB752" s="6">
        <f>$K$752*$V$752</f>
        <v>0</v>
      </c>
      <c r="AC752" s="6">
        <f>$M$752*$W$752</f>
        <v>789.69820000000004</v>
      </c>
      <c r="AD752" s="6">
        <f>$O$752*$X$752</f>
        <v>976.82585000000017</v>
      </c>
      <c r="AE752" s="6">
        <f>$K$752*$Y$752</f>
        <v>0</v>
      </c>
      <c r="AF752" s="6">
        <f ca="1">$M$752*$Z$752</f>
        <v>874.9181128786895</v>
      </c>
      <c r="AG752" s="6">
        <f>$O$752*$AA$752</f>
        <v>968.98095155086196</v>
      </c>
    </row>
    <row r="753" spans="1:33" ht="11.25" customHeight="1" x14ac:dyDescent="0.25">
      <c r="A753" s="4" t="s">
        <v>56</v>
      </c>
      <c r="B753" s="4" t="s">
        <v>22</v>
      </c>
      <c r="C753" s="4" t="s">
        <v>23</v>
      </c>
      <c r="D753" s="4" t="s">
        <v>24</v>
      </c>
      <c r="E753" s="4" t="s">
        <v>31</v>
      </c>
      <c r="F753" s="4" t="s">
        <v>25</v>
      </c>
      <c r="G753" s="4" t="s">
        <v>25</v>
      </c>
      <c r="H753" s="4" t="s">
        <v>25</v>
      </c>
      <c r="I753" s="5">
        <v>44774</v>
      </c>
      <c r="J753" s="6">
        <v>0</v>
      </c>
      <c r="K753" s="6">
        <v>0</v>
      </c>
      <c r="L753" s="6">
        <v>372.983</v>
      </c>
      <c r="M753" s="6">
        <v>372.983</v>
      </c>
      <c r="N753" s="6">
        <v>372.983</v>
      </c>
      <c r="O753" s="6">
        <v>372.983</v>
      </c>
      <c r="P753" s="6">
        <v>5580</v>
      </c>
      <c r="Q753" s="4" t="s">
        <v>26</v>
      </c>
      <c r="R753" s="4">
        <v>0</v>
      </c>
      <c r="S753" s="6">
        <v>0</v>
      </c>
      <c r="T753" s="6">
        <v>19</v>
      </c>
      <c r="U753" s="6">
        <v>56</v>
      </c>
      <c r="V753" s="6">
        <f>IF(ISERROR(VLOOKUP($S$753,'TAR FIN'!$A$1:$O$85,15,0)),0,VLOOKUP($S$753,'TAR FIN'!$A$1:$O$85,15,0))</f>
        <v>0</v>
      </c>
      <c r="W753" s="6">
        <f>IF(ISERROR(VLOOKUP($T$753,'TAR FIN'!$A$1:$O$85,15,0)),0,VLOOKUP($T$753,'TAR FIN'!$A$1:$O$85,15,0))</f>
        <v>234.68</v>
      </c>
      <c r="X753" s="6">
        <f>IF(ISERROR(VLOOKUP($U$753,'TAR FIN'!$A$1:$O$85,15,0)),0,VLOOKUP($U$753,'TAR FIN'!$A$1:$O$85,15,0))</f>
        <v>290.29000000000002</v>
      </c>
      <c r="Y753" s="6"/>
      <c r="Z753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53" s="6">
        <f>('TE BE'!$AB$13+'TE BF'!$AB$13+'TE CVA'!$AB$13)*(1-CUSTOS!$M$36)</f>
        <v>287.95867802403029</v>
      </c>
      <c r="AB753" s="6">
        <f>$K$753*$V$753</f>
        <v>0</v>
      </c>
      <c r="AC753" s="6">
        <f>$M$753*$W$753</f>
        <v>87531.650439999998</v>
      </c>
      <c r="AD753" s="6">
        <f>$O$753*$X$753</f>
        <v>108273.23507000001</v>
      </c>
      <c r="AE753" s="6">
        <f>$K$753*$Y$753</f>
        <v>0</v>
      </c>
      <c r="AF753" s="6">
        <f ca="1">$M$753*$Z$753</f>
        <v>96977.587665923405</v>
      </c>
      <c r="AG753" s="6">
        <f>$O$753*$AA$753</f>
        <v>107403.69160543689</v>
      </c>
    </row>
    <row r="754" spans="1:33" ht="11.25" customHeight="1" x14ac:dyDescent="0.25">
      <c r="A754" s="4" t="s">
        <v>56</v>
      </c>
      <c r="B754" s="4" t="s">
        <v>22</v>
      </c>
      <c r="C754" s="4" t="s">
        <v>23</v>
      </c>
      <c r="D754" s="4" t="s">
        <v>24</v>
      </c>
      <c r="E754" s="4" t="s">
        <v>31</v>
      </c>
      <c r="F754" s="4" t="s">
        <v>25</v>
      </c>
      <c r="G754" s="4" t="s">
        <v>25</v>
      </c>
      <c r="H754" s="4" t="s">
        <v>25</v>
      </c>
      <c r="I754" s="5">
        <v>44774</v>
      </c>
      <c r="J754" s="6">
        <v>0</v>
      </c>
      <c r="K754" s="6">
        <v>0</v>
      </c>
      <c r="L754" s="6">
        <v>4.2000000000000003E-2</v>
      </c>
      <c r="M754" s="6">
        <v>4.2000000000000003E-2</v>
      </c>
      <c r="N754" s="6">
        <v>4.2000000000000003E-2</v>
      </c>
      <c r="O754" s="6">
        <v>4.2000000000000003E-2</v>
      </c>
      <c r="P754" s="6">
        <v>1</v>
      </c>
      <c r="Q754" s="4" t="s">
        <v>26</v>
      </c>
      <c r="R754" s="4">
        <v>0</v>
      </c>
      <c r="S754" s="6">
        <v>0</v>
      </c>
      <c r="T754" s="6">
        <v>19</v>
      </c>
      <c r="U754" s="6">
        <v>56</v>
      </c>
      <c r="V754" s="6">
        <f>IF(ISERROR(VLOOKUP($S$754,'TAR FIN'!$A$1:$O$85,15,0)),0,VLOOKUP($S$754,'TAR FIN'!$A$1:$O$85,15,0))</f>
        <v>0</v>
      </c>
      <c r="W754" s="6">
        <f>IF(ISERROR(VLOOKUP($T$754,'TAR FIN'!$A$1:$O$85,15,0)),0,VLOOKUP($T$754,'TAR FIN'!$A$1:$O$85,15,0))</f>
        <v>234.68</v>
      </c>
      <c r="X754" s="6">
        <f>IF(ISERROR(VLOOKUP($U$754,'TAR FIN'!$A$1:$O$85,15,0)),0,VLOOKUP($U$754,'TAR FIN'!$A$1:$O$85,15,0))</f>
        <v>290.29000000000002</v>
      </c>
      <c r="Y754" s="6"/>
      <c r="Z754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54" s="6">
        <f>('TE BE'!$AB$13+'TE BF'!$AB$13+'TE CVA'!$AB$13)*(1-CUSTOS!$M$36)</f>
        <v>287.95867802403029</v>
      </c>
      <c r="AB754" s="6">
        <f>$K$754*$V$754</f>
        <v>0</v>
      </c>
      <c r="AC754" s="6">
        <f>$M$754*$W$754</f>
        <v>9.8565600000000018</v>
      </c>
      <c r="AD754" s="6">
        <f>$O$754*$X$754</f>
        <v>12.192180000000002</v>
      </c>
      <c r="AE754" s="6">
        <f>$K$754*$Y$754</f>
        <v>0</v>
      </c>
      <c r="AF754" s="6">
        <f ca="1">$M$754*$Z$754</f>
        <v>10.920226074563139</v>
      </c>
      <c r="AG754" s="6">
        <f>$O$754*$AA$754</f>
        <v>12.094264477009274</v>
      </c>
    </row>
    <row r="755" spans="1:33" ht="11.25" customHeight="1" x14ac:dyDescent="0.25">
      <c r="A755" s="4" t="s">
        <v>56</v>
      </c>
      <c r="B755" s="4" t="s">
        <v>22</v>
      </c>
      <c r="C755" s="4" t="s">
        <v>23</v>
      </c>
      <c r="D755" s="4" t="s">
        <v>24</v>
      </c>
      <c r="E755" s="4" t="s">
        <v>31</v>
      </c>
      <c r="F755" s="4" t="s">
        <v>25</v>
      </c>
      <c r="G755" s="4" t="s">
        <v>25</v>
      </c>
      <c r="H755" s="4" t="s">
        <v>25</v>
      </c>
      <c r="I755" s="5">
        <v>44774</v>
      </c>
      <c r="J755" s="6">
        <v>0</v>
      </c>
      <c r="K755" s="6">
        <v>0</v>
      </c>
      <c r="L755" s="6">
        <v>3.3650000000000002</v>
      </c>
      <c r="M755" s="6">
        <v>3.3650000000000002</v>
      </c>
      <c r="N755" s="6">
        <v>3.3650000000000002</v>
      </c>
      <c r="O755" s="6">
        <v>3.3650000000000002</v>
      </c>
      <c r="P755" s="6">
        <v>54</v>
      </c>
      <c r="Q755" s="4" t="s">
        <v>26</v>
      </c>
      <c r="R755" s="4">
        <v>0</v>
      </c>
      <c r="S755" s="6">
        <v>0</v>
      </c>
      <c r="T755" s="6">
        <v>19</v>
      </c>
      <c r="U755" s="6">
        <v>56</v>
      </c>
      <c r="V755" s="6">
        <f>IF(ISERROR(VLOOKUP($S$755,'TAR FIN'!$A$1:$O$85,15,0)),0,VLOOKUP($S$755,'TAR FIN'!$A$1:$O$85,15,0))</f>
        <v>0</v>
      </c>
      <c r="W755" s="6">
        <f>IF(ISERROR(VLOOKUP($T$755,'TAR FIN'!$A$1:$O$85,15,0)),0,VLOOKUP($T$755,'TAR FIN'!$A$1:$O$85,15,0))</f>
        <v>234.68</v>
      </c>
      <c r="X755" s="6">
        <f>IF(ISERROR(VLOOKUP($U$755,'TAR FIN'!$A$1:$O$85,15,0)),0,VLOOKUP($U$755,'TAR FIN'!$A$1:$O$85,15,0))</f>
        <v>290.29000000000002</v>
      </c>
      <c r="Y755" s="6"/>
      <c r="Z755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755" s="6">
        <f>('TE BE'!$AB$13+'TE BF'!$AB$13+'TE CVA'!$AB$13)*(1-CUSTOS!$M$36)</f>
        <v>287.95867802403029</v>
      </c>
      <c r="AB755" s="6">
        <f>$K$755*$V$755</f>
        <v>0</v>
      </c>
      <c r="AC755" s="6">
        <f>$M$755*$W$755</f>
        <v>789.69820000000004</v>
      </c>
      <c r="AD755" s="6">
        <f>$O$755*$X$755</f>
        <v>976.82585000000017</v>
      </c>
      <c r="AE755" s="6">
        <f>$K$755*$Y$755</f>
        <v>0</v>
      </c>
      <c r="AF755" s="6">
        <f ca="1">$M$755*$Z$755</f>
        <v>874.9181128786895</v>
      </c>
      <c r="AG755" s="6">
        <f>$O$755*$AA$755</f>
        <v>968.98095155086196</v>
      </c>
    </row>
    <row r="756" spans="1:33" ht="11.25" customHeight="1" x14ac:dyDescent="0.25">
      <c r="A756" s="4" t="s">
        <v>21</v>
      </c>
      <c r="B756" s="4" t="s">
        <v>22</v>
      </c>
      <c r="C756" s="4" t="s">
        <v>23</v>
      </c>
      <c r="D756" s="4" t="s">
        <v>24</v>
      </c>
      <c r="E756" s="4" t="s">
        <v>32</v>
      </c>
      <c r="F756" s="4" t="s">
        <v>25</v>
      </c>
      <c r="G756" s="4" t="s">
        <v>25</v>
      </c>
      <c r="H756" s="4" t="s">
        <v>25</v>
      </c>
      <c r="I756" s="5">
        <v>44440</v>
      </c>
      <c r="J756" s="6">
        <v>0</v>
      </c>
      <c r="K756" s="6">
        <v>0</v>
      </c>
      <c r="L756" s="6">
        <v>109.006</v>
      </c>
      <c r="M756" s="6">
        <v>109.006</v>
      </c>
      <c r="N756" s="6">
        <v>109.006</v>
      </c>
      <c r="O756" s="6">
        <v>109.006</v>
      </c>
      <c r="P756" s="6">
        <v>1450</v>
      </c>
      <c r="Q756" s="4" t="s">
        <v>26</v>
      </c>
      <c r="R756" s="4">
        <v>0</v>
      </c>
      <c r="S756" s="6">
        <v>0</v>
      </c>
      <c r="T756" s="6">
        <v>20</v>
      </c>
      <c r="U756" s="6">
        <v>57</v>
      </c>
      <c r="V756" s="6">
        <f>IF(ISERROR(VLOOKUP($S$756,'TAR FIN'!$A$1:$O$85,15,0)),0,VLOOKUP($S$756,'TAR FIN'!$A$1:$O$85,15,0))</f>
        <v>0</v>
      </c>
      <c r="W756" s="6">
        <f>IF(ISERROR(VLOOKUP($T$756,'TAR FIN'!$A$1:$O$85,15,0)),0,VLOOKUP($T$756,'TAR FIN'!$A$1:$O$85,15,0))</f>
        <v>260.76</v>
      </c>
      <c r="X756" s="6">
        <f>IF(ISERROR(VLOOKUP($U$756,'TAR FIN'!$A$1:$O$85,15,0)),0,VLOOKUP($U$756,'TAR FIN'!$A$1:$O$85,15,0))</f>
        <v>322.54000000000002</v>
      </c>
      <c r="Y756" s="6"/>
      <c r="Z756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56" s="6">
        <f>('TE BE'!$AB$14+'TE BF'!$AB$14+'TE CVA'!$AB$14)*(1-CUSTOS!$M$37)</f>
        <v>319.954086693367</v>
      </c>
      <c r="AB756" s="6">
        <f>$K$756*$V$756</f>
        <v>0</v>
      </c>
      <c r="AC756" s="6">
        <f>$M$756*$W$756</f>
        <v>28424.404559999999</v>
      </c>
      <c r="AD756" s="6">
        <f>$O$756*$X$756</f>
        <v>35158.795239999999</v>
      </c>
      <c r="AE756" s="6">
        <f>$K$756*$Y$756</f>
        <v>0</v>
      </c>
      <c r="AF756" s="6">
        <f ca="1">$M$756*$Z$756</f>
        <v>31491.274166238873</v>
      </c>
      <c r="AG756" s="6">
        <f>$O$756*$AA$756</f>
        <v>34876.915174097165</v>
      </c>
    </row>
    <row r="757" spans="1:33" ht="11.25" customHeight="1" x14ac:dyDescent="0.25">
      <c r="A757" s="4" t="s">
        <v>28</v>
      </c>
      <c r="B757" s="4" t="s">
        <v>22</v>
      </c>
      <c r="C757" s="4" t="s">
        <v>23</v>
      </c>
      <c r="D757" s="4" t="s">
        <v>24</v>
      </c>
      <c r="E757" s="4" t="s">
        <v>32</v>
      </c>
      <c r="F757" s="4" t="s">
        <v>25</v>
      </c>
      <c r="G757" s="4" t="s">
        <v>25</v>
      </c>
      <c r="H757" s="4" t="s">
        <v>25</v>
      </c>
      <c r="I757" s="5">
        <v>44440</v>
      </c>
      <c r="J757" s="6">
        <v>0</v>
      </c>
      <c r="K757" s="6">
        <v>0</v>
      </c>
      <c r="L757" s="6">
        <v>0.191</v>
      </c>
      <c r="M757" s="6">
        <v>0.191</v>
      </c>
      <c r="N757" s="6">
        <v>0.191</v>
      </c>
      <c r="O757" s="6">
        <v>0.191</v>
      </c>
      <c r="P757" s="6">
        <v>6</v>
      </c>
      <c r="Q757" s="4" t="s">
        <v>26</v>
      </c>
      <c r="R757" s="4">
        <v>0</v>
      </c>
      <c r="S757" s="6">
        <v>0</v>
      </c>
      <c r="T757" s="6">
        <v>20</v>
      </c>
      <c r="U757" s="6">
        <v>57</v>
      </c>
      <c r="V757" s="6">
        <f>IF(ISERROR(VLOOKUP($S$757,'TAR FIN'!$A$1:$O$85,15,0)),0,VLOOKUP($S$757,'TAR FIN'!$A$1:$O$85,15,0))</f>
        <v>0</v>
      </c>
      <c r="W757" s="6">
        <f>IF(ISERROR(VLOOKUP($T$757,'TAR FIN'!$A$1:$O$85,15,0)),0,VLOOKUP($T$757,'TAR FIN'!$A$1:$O$85,15,0))</f>
        <v>260.76</v>
      </c>
      <c r="X757" s="6">
        <f>IF(ISERROR(VLOOKUP($U$757,'TAR FIN'!$A$1:$O$85,15,0)),0,VLOOKUP($U$757,'TAR FIN'!$A$1:$O$85,15,0))</f>
        <v>322.54000000000002</v>
      </c>
      <c r="Y757" s="6"/>
      <c r="Z757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57" s="6">
        <f>('TE BE'!$AB$14+'TE BF'!$AB$14+'TE CVA'!$AB$14)*(1-CUSTOS!$M$37)</f>
        <v>319.954086693367</v>
      </c>
      <c r="AB757" s="6">
        <f>$K$757*$V$757</f>
        <v>0</v>
      </c>
      <c r="AC757" s="6">
        <f>$M$757*$W$757</f>
        <v>49.805160000000001</v>
      </c>
      <c r="AD757" s="6">
        <f>$O$757*$X$757</f>
        <v>61.605140000000006</v>
      </c>
      <c r="AE757" s="6">
        <f>$K$757*$Y$757</f>
        <v>0</v>
      </c>
      <c r="AF757" s="6">
        <f ca="1">$M$757*$Z$757</f>
        <v>55.178920112210569</v>
      </c>
      <c r="AG757" s="6">
        <f>$O$757*$AA$757</f>
        <v>61.1112305584331</v>
      </c>
    </row>
    <row r="758" spans="1:33" ht="11.25" customHeight="1" x14ac:dyDescent="0.25">
      <c r="A758" s="4" t="s">
        <v>21</v>
      </c>
      <c r="B758" s="4" t="s">
        <v>22</v>
      </c>
      <c r="C758" s="4" t="s">
        <v>23</v>
      </c>
      <c r="D758" s="4" t="s">
        <v>24</v>
      </c>
      <c r="E758" s="4" t="s">
        <v>32</v>
      </c>
      <c r="F758" s="4" t="s">
        <v>25</v>
      </c>
      <c r="G758" s="4" t="s">
        <v>25</v>
      </c>
      <c r="H758" s="4" t="s">
        <v>25</v>
      </c>
      <c r="I758" s="5">
        <v>44470</v>
      </c>
      <c r="J758" s="6">
        <v>0</v>
      </c>
      <c r="K758" s="6">
        <v>0</v>
      </c>
      <c r="L758" s="6">
        <v>127.86799999999999</v>
      </c>
      <c r="M758" s="6">
        <v>127.86799999999999</v>
      </c>
      <c r="N758" s="6">
        <v>127.86799999999999</v>
      </c>
      <c r="O758" s="6">
        <v>127.86799999999999</v>
      </c>
      <c r="P758" s="6">
        <v>1675</v>
      </c>
      <c r="Q758" s="4" t="s">
        <v>26</v>
      </c>
      <c r="R758" s="4">
        <v>0</v>
      </c>
      <c r="S758" s="6">
        <v>0</v>
      </c>
      <c r="T758" s="6">
        <v>20</v>
      </c>
      <c r="U758" s="6">
        <v>57</v>
      </c>
      <c r="V758" s="6">
        <f>IF(ISERROR(VLOOKUP($S$758,'TAR FIN'!$A$1:$O$85,15,0)),0,VLOOKUP($S$758,'TAR FIN'!$A$1:$O$85,15,0))</f>
        <v>0</v>
      </c>
      <c r="W758" s="6">
        <f>IF(ISERROR(VLOOKUP($T$758,'TAR FIN'!$A$1:$O$85,15,0)),0,VLOOKUP($T$758,'TAR FIN'!$A$1:$O$85,15,0))</f>
        <v>260.76</v>
      </c>
      <c r="X758" s="6">
        <f>IF(ISERROR(VLOOKUP($U$758,'TAR FIN'!$A$1:$O$85,15,0)),0,VLOOKUP($U$758,'TAR FIN'!$A$1:$O$85,15,0))</f>
        <v>322.54000000000002</v>
      </c>
      <c r="Y758" s="6"/>
      <c r="Z758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58" s="6">
        <f>('TE BE'!$AB$14+'TE BF'!$AB$14+'TE CVA'!$AB$14)*(1-CUSTOS!$M$37)</f>
        <v>319.954086693367</v>
      </c>
      <c r="AB758" s="6">
        <f>$K$758*$V$758</f>
        <v>0</v>
      </c>
      <c r="AC758" s="6">
        <f>$M$758*$W$758</f>
        <v>33342.859679999994</v>
      </c>
      <c r="AD758" s="6">
        <f>$O$758*$X$758</f>
        <v>41242.544719999998</v>
      </c>
      <c r="AE758" s="6">
        <f>$K$758*$Y$758</f>
        <v>0</v>
      </c>
      <c r="AF758" s="6">
        <f ca="1">$M$758*$Z$758</f>
        <v>36940.409198471942</v>
      </c>
      <c r="AG758" s="6">
        <f>$O$758*$AA$758</f>
        <v>40911.889157307451</v>
      </c>
    </row>
    <row r="759" spans="1:33" ht="11.25" customHeight="1" x14ac:dyDescent="0.25">
      <c r="A759" s="4" t="s">
        <v>28</v>
      </c>
      <c r="B759" s="4" t="s">
        <v>22</v>
      </c>
      <c r="C759" s="4" t="s">
        <v>23</v>
      </c>
      <c r="D759" s="4" t="s">
        <v>24</v>
      </c>
      <c r="E759" s="4" t="s">
        <v>32</v>
      </c>
      <c r="F759" s="4" t="s">
        <v>25</v>
      </c>
      <c r="G759" s="4" t="s">
        <v>25</v>
      </c>
      <c r="H759" s="4" t="s">
        <v>25</v>
      </c>
      <c r="I759" s="5">
        <v>44470</v>
      </c>
      <c r="J759" s="6">
        <v>0</v>
      </c>
      <c r="K759" s="6">
        <v>0</v>
      </c>
      <c r="L759" s="6">
        <v>0.46899999999999997</v>
      </c>
      <c r="M759" s="6">
        <v>0.46899999999999997</v>
      </c>
      <c r="N759" s="6">
        <v>0.46899999999999997</v>
      </c>
      <c r="O759" s="6">
        <v>0.46899999999999997</v>
      </c>
      <c r="P759" s="6">
        <v>12</v>
      </c>
      <c r="Q759" s="4" t="s">
        <v>26</v>
      </c>
      <c r="R759" s="4">
        <v>0</v>
      </c>
      <c r="S759" s="6">
        <v>0</v>
      </c>
      <c r="T759" s="6">
        <v>20</v>
      </c>
      <c r="U759" s="6">
        <v>57</v>
      </c>
      <c r="V759" s="6">
        <f>IF(ISERROR(VLOOKUP($S$759,'TAR FIN'!$A$1:$O$85,15,0)),0,VLOOKUP($S$759,'TAR FIN'!$A$1:$O$85,15,0))</f>
        <v>0</v>
      </c>
      <c r="W759" s="6">
        <f>IF(ISERROR(VLOOKUP($T$759,'TAR FIN'!$A$1:$O$85,15,0)),0,VLOOKUP($T$759,'TAR FIN'!$A$1:$O$85,15,0))</f>
        <v>260.76</v>
      </c>
      <c r="X759" s="6">
        <f>IF(ISERROR(VLOOKUP($U$759,'TAR FIN'!$A$1:$O$85,15,0)),0,VLOOKUP($U$759,'TAR FIN'!$A$1:$O$85,15,0))</f>
        <v>322.54000000000002</v>
      </c>
      <c r="Y759" s="6"/>
      <c r="Z759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59" s="6">
        <f>('TE BE'!$AB$14+'TE BF'!$AB$14+'TE CVA'!$AB$14)*(1-CUSTOS!$M$37)</f>
        <v>319.954086693367</v>
      </c>
      <c r="AB759" s="6">
        <f>$K$759*$V$759</f>
        <v>0</v>
      </c>
      <c r="AC759" s="6">
        <f>$M$759*$W$759</f>
        <v>122.29643999999999</v>
      </c>
      <c r="AD759" s="6">
        <f>$O$759*$X$759</f>
        <v>151.27126000000001</v>
      </c>
      <c r="AE759" s="6">
        <f>$K$759*$Y$759</f>
        <v>0</v>
      </c>
      <c r="AF759" s="6">
        <f ca="1">$M$759*$Z$759</f>
        <v>135.49169388809818</v>
      </c>
      <c r="AG759" s="6">
        <f>$O$759*$AA$759</f>
        <v>150.05846665918912</v>
      </c>
    </row>
    <row r="760" spans="1:33" ht="11.25" customHeight="1" x14ac:dyDescent="0.25">
      <c r="A760" s="4" t="s">
        <v>21</v>
      </c>
      <c r="B760" s="4" t="s">
        <v>22</v>
      </c>
      <c r="C760" s="4" t="s">
        <v>23</v>
      </c>
      <c r="D760" s="4" t="s">
        <v>24</v>
      </c>
      <c r="E760" s="4" t="s">
        <v>32</v>
      </c>
      <c r="F760" s="4" t="s">
        <v>25</v>
      </c>
      <c r="G760" s="4" t="s">
        <v>25</v>
      </c>
      <c r="H760" s="4" t="s">
        <v>25</v>
      </c>
      <c r="I760" s="5">
        <v>44501</v>
      </c>
      <c r="J760" s="6">
        <v>0</v>
      </c>
      <c r="K760" s="6">
        <v>0</v>
      </c>
      <c r="L760" s="6">
        <v>118.97799999999999</v>
      </c>
      <c r="M760" s="6">
        <v>118.97799999999999</v>
      </c>
      <c r="N760" s="6">
        <v>118.97799999999999</v>
      </c>
      <c r="O760" s="6">
        <v>118.97799999999999</v>
      </c>
      <c r="P760" s="6">
        <v>1569</v>
      </c>
      <c r="Q760" s="4" t="s">
        <v>26</v>
      </c>
      <c r="R760" s="4">
        <v>0</v>
      </c>
      <c r="S760" s="6">
        <v>0</v>
      </c>
      <c r="T760" s="6">
        <v>20</v>
      </c>
      <c r="U760" s="6">
        <v>57</v>
      </c>
      <c r="V760" s="6">
        <f>IF(ISERROR(VLOOKUP($S$760,'TAR FIN'!$A$1:$O$85,15,0)),0,VLOOKUP($S$760,'TAR FIN'!$A$1:$O$85,15,0))</f>
        <v>0</v>
      </c>
      <c r="W760" s="6">
        <f>IF(ISERROR(VLOOKUP($T$760,'TAR FIN'!$A$1:$O$85,15,0)),0,VLOOKUP($T$760,'TAR FIN'!$A$1:$O$85,15,0))</f>
        <v>260.76</v>
      </c>
      <c r="X760" s="6">
        <f>IF(ISERROR(VLOOKUP($U$760,'TAR FIN'!$A$1:$O$85,15,0)),0,VLOOKUP($U$760,'TAR FIN'!$A$1:$O$85,15,0))</f>
        <v>322.54000000000002</v>
      </c>
      <c r="Y760" s="6"/>
      <c r="Z760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60" s="6">
        <f>('TE BE'!$AB$14+'TE BF'!$AB$14+'TE CVA'!$AB$14)*(1-CUSTOS!$M$37)</f>
        <v>319.954086693367</v>
      </c>
      <c r="AB760" s="6">
        <f>$K$760*$V$760</f>
        <v>0</v>
      </c>
      <c r="AC760" s="6">
        <f>$M$760*$W$760</f>
        <v>31024.703279999998</v>
      </c>
      <c r="AD760" s="6">
        <f>$O$760*$X$760</f>
        <v>38375.164120000001</v>
      </c>
      <c r="AE760" s="6">
        <f>$K$760*$Y$760</f>
        <v>0</v>
      </c>
      <c r="AF760" s="6">
        <f ca="1">$M$760*$Z$760</f>
        <v>34372.133806861719</v>
      </c>
      <c r="AG760" s="6">
        <f>$O$760*$AA$760</f>
        <v>38067.497326603414</v>
      </c>
    </row>
    <row r="761" spans="1:33" ht="11.25" customHeight="1" x14ac:dyDescent="0.25">
      <c r="A761" s="4" t="s">
        <v>28</v>
      </c>
      <c r="B761" s="4" t="s">
        <v>22</v>
      </c>
      <c r="C761" s="4" t="s">
        <v>23</v>
      </c>
      <c r="D761" s="4" t="s">
        <v>24</v>
      </c>
      <c r="E761" s="4" t="s">
        <v>32</v>
      </c>
      <c r="F761" s="4" t="s">
        <v>25</v>
      </c>
      <c r="G761" s="4" t="s">
        <v>25</v>
      </c>
      <c r="H761" s="4" t="s">
        <v>25</v>
      </c>
      <c r="I761" s="5">
        <v>44501</v>
      </c>
      <c r="J761" s="6">
        <v>0</v>
      </c>
      <c r="K761" s="6">
        <v>0</v>
      </c>
      <c r="L761" s="6">
        <v>0.182</v>
      </c>
      <c r="M761" s="6">
        <v>0.182</v>
      </c>
      <c r="N761" s="6">
        <v>0.182</v>
      </c>
      <c r="O761" s="6">
        <v>0.182</v>
      </c>
      <c r="P761" s="6">
        <v>3</v>
      </c>
      <c r="Q761" s="4" t="s">
        <v>26</v>
      </c>
      <c r="R761" s="4">
        <v>0</v>
      </c>
      <c r="S761" s="6">
        <v>0</v>
      </c>
      <c r="T761" s="6">
        <v>20</v>
      </c>
      <c r="U761" s="6">
        <v>57</v>
      </c>
      <c r="V761" s="6">
        <f>IF(ISERROR(VLOOKUP($S$761,'TAR FIN'!$A$1:$O$85,15,0)),0,VLOOKUP($S$761,'TAR FIN'!$A$1:$O$85,15,0))</f>
        <v>0</v>
      </c>
      <c r="W761" s="6">
        <f>IF(ISERROR(VLOOKUP($T$761,'TAR FIN'!$A$1:$O$85,15,0)),0,VLOOKUP($T$761,'TAR FIN'!$A$1:$O$85,15,0))</f>
        <v>260.76</v>
      </c>
      <c r="X761" s="6">
        <f>IF(ISERROR(VLOOKUP($U$761,'TAR FIN'!$A$1:$O$85,15,0)),0,VLOOKUP($U$761,'TAR FIN'!$A$1:$O$85,15,0))</f>
        <v>322.54000000000002</v>
      </c>
      <c r="Y761" s="6"/>
      <c r="Z761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61" s="6">
        <f>('TE BE'!$AB$14+'TE BF'!$AB$14+'TE CVA'!$AB$14)*(1-CUSTOS!$M$37)</f>
        <v>319.954086693367</v>
      </c>
      <c r="AB761" s="6">
        <f>$K$761*$V$761</f>
        <v>0</v>
      </c>
      <c r="AC761" s="6">
        <f>$M$761*$W$761</f>
        <v>47.458320000000001</v>
      </c>
      <c r="AD761" s="6">
        <f>$O$761*$X$761</f>
        <v>58.702280000000002</v>
      </c>
      <c r="AE761" s="6">
        <f>$K$761*$Y$761</f>
        <v>0</v>
      </c>
      <c r="AF761" s="6">
        <f ca="1">$M$761*$Z$761</f>
        <v>52.578866284933625</v>
      </c>
      <c r="AG761" s="6">
        <f>$O$761*$AA$761</f>
        <v>58.23164377819279</v>
      </c>
    </row>
    <row r="762" spans="1:33" ht="11.25" customHeight="1" x14ac:dyDescent="0.25">
      <c r="A762" s="4" t="s">
        <v>21</v>
      </c>
      <c r="B762" s="4" t="s">
        <v>22</v>
      </c>
      <c r="C762" s="4" t="s">
        <v>23</v>
      </c>
      <c r="D762" s="4" t="s">
        <v>24</v>
      </c>
      <c r="E762" s="4" t="s">
        <v>32</v>
      </c>
      <c r="F762" s="4" t="s">
        <v>25</v>
      </c>
      <c r="G762" s="4" t="s">
        <v>25</v>
      </c>
      <c r="H762" s="4" t="s">
        <v>25</v>
      </c>
      <c r="I762" s="5">
        <v>44531</v>
      </c>
      <c r="J762" s="6">
        <v>0</v>
      </c>
      <c r="K762" s="6">
        <v>0</v>
      </c>
      <c r="L762" s="6">
        <v>128.209</v>
      </c>
      <c r="M762" s="6">
        <v>128.209</v>
      </c>
      <c r="N762" s="6">
        <v>128.209</v>
      </c>
      <c r="O762" s="6">
        <v>128.209</v>
      </c>
      <c r="P762" s="6">
        <v>1730</v>
      </c>
      <c r="Q762" s="4" t="s">
        <v>26</v>
      </c>
      <c r="R762" s="4">
        <v>0</v>
      </c>
      <c r="S762" s="6">
        <v>0</v>
      </c>
      <c r="T762" s="6">
        <v>20</v>
      </c>
      <c r="U762" s="6">
        <v>57</v>
      </c>
      <c r="V762" s="6">
        <f>IF(ISERROR(VLOOKUP($S$762,'TAR FIN'!$A$1:$O$85,15,0)),0,VLOOKUP($S$762,'TAR FIN'!$A$1:$O$85,15,0))</f>
        <v>0</v>
      </c>
      <c r="W762" s="6">
        <f>IF(ISERROR(VLOOKUP($T$762,'TAR FIN'!$A$1:$O$85,15,0)),0,VLOOKUP($T$762,'TAR FIN'!$A$1:$O$85,15,0))</f>
        <v>260.76</v>
      </c>
      <c r="X762" s="6">
        <f>IF(ISERROR(VLOOKUP($U$762,'TAR FIN'!$A$1:$O$85,15,0)),0,VLOOKUP($U$762,'TAR FIN'!$A$1:$O$85,15,0))</f>
        <v>322.54000000000002</v>
      </c>
      <c r="Y762" s="6"/>
      <c r="Z762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62" s="6">
        <f>('TE BE'!$AB$14+'TE BF'!$AB$14+'TE CVA'!$AB$14)*(1-CUSTOS!$M$37)</f>
        <v>319.954086693367</v>
      </c>
      <c r="AB762" s="6">
        <f>$K$762*$V$762</f>
        <v>0</v>
      </c>
      <c r="AC762" s="6">
        <f>$M$762*$W$762</f>
        <v>33431.778839999999</v>
      </c>
      <c r="AD762" s="6">
        <f>$O$762*$X$762</f>
        <v>41352.530860000006</v>
      </c>
      <c r="AE762" s="6">
        <f>$K$762*$Y$762</f>
        <v>0</v>
      </c>
      <c r="AF762" s="6">
        <f ca="1">$M$762*$Z$762</f>
        <v>37038.922349038767</v>
      </c>
      <c r="AG762" s="6">
        <f>$O$762*$AA$762</f>
        <v>41020.993500869889</v>
      </c>
    </row>
    <row r="763" spans="1:33" ht="11.25" customHeight="1" x14ac:dyDescent="0.25">
      <c r="A763" s="4" t="s">
        <v>27</v>
      </c>
      <c r="B763" s="4" t="s">
        <v>22</v>
      </c>
      <c r="C763" s="4" t="s">
        <v>23</v>
      </c>
      <c r="D763" s="4" t="s">
        <v>24</v>
      </c>
      <c r="E763" s="4" t="s">
        <v>32</v>
      </c>
      <c r="F763" s="4" t="s">
        <v>25</v>
      </c>
      <c r="G763" s="4" t="s">
        <v>25</v>
      </c>
      <c r="H763" s="4" t="s">
        <v>25</v>
      </c>
      <c r="I763" s="5">
        <v>44531</v>
      </c>
      <c r="J763" s="6">
        <v>0</v>
      </c>
      <c r="K763" s="6">
        <v>0</v>
      </c>
      <c r="L763" s="6">
        <v>-7.8E-2</v>
      </c>
      <c r="M763" s="6">
        <v>-7.8E-2</v>
      </c>
      <c r="N763" s="6">
        <v>-7.8E-2</v>
      </c>
      <c r="O763" s="6">
        <v>-7.8E-2</v>
      </c>
      <c r="P763" s="6">
        <v>-2</v>
      </c>
      <c r="Q763" s="4" t="s">
        <v>26</v>
      </c>
      <c r="R763" s="4">
        <v>0</v>
      </c>
      <c r="S763" s="6">
        <v>0</v>
      </c>
      <c r="T763" s="6">
        <v>20</v>
      </c>
      <c r="U763" s="6">
        <v>57</v>
      </c>
      <c r="V763" s="6">
        <f>IF(ISERROR(VLOOKUP($S$763,'TAR FIN'!$A$1:$O$85,15,0)),0,VLOOKUP($S$763,'TAR FIN'!$A$1:$O$85,15,0))</f>
        <v>0</v>
      </c>
      <c r="W763" s="6">
        <f>IF(ISERROR(VLOOKUP($T$763,'TAR FIN'!$A$1:$O$85,15,0)),0,VLOOKUP($T$763,'TAR FIN'!$A$1:$O$85,15,0))</f>
        <v>260.76</v>
      </c>
      <c r="X763" s="6">
        <f>IF(ISERROR(VLOOKUP($U$763,'TAR FIN'!$A$1:$O$85,15,0)),0,VLOOKUP($U$763,'TAR FIN'!$A$1:$O$85,15,0))</f>
        <v>322.54000000000002</v>
      </c>
      <c r="Y763" s="6"/>
      <c r="Z763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63" s="6">
        <f>('TE BE'!$AB$14+'TE BF'!$AB$14+'TE CVA'!$AB$14)*(1-CUSTOS!$M$37)</f>
        <v>319.954086693367</v>
      </c>
      <c r="AB763" s="6">
        <f>$K$763*$V$763</f>
        <v>0</v>
      </c>
      <c r="AC763" s="6">
        <f>$M$763*$W$763</f>
        <v>-20.339279999999999</v>
      </c>
      <c r="AD763" s="6">
        <f>$O$763*$X$763</f>
        <v>-25.15812</v>
      </c>
      <c r="AE763" s="6">
        <f>$K$763*$Y$763</f>
        <v>0</v>
      </c>
      <c r="AF763" s="6">
        <f ca="1">$M$763*$Z$763</f>
        <v>-22.533799836400124</v>
      </c>
      <c r="AG763" s="6">
        <f>$O$763*$AA$763</f>
        <v>-24.956418762082627</v>
      </c>
    </row>
    <row r="764" spans="1:33" ht="11.25" customHeight="1" x14ac:dyDescent="0.25">
      <c r="A764" s="4" t="s">
        <v>28</v>
      </c>
      <c r="B764" s="4" t="s">
        <v>22</v>
      </c>
      <c r="C764" s="4" t="s">
        <v>23</v>
      </c>
      <c r="D764" s="4" t="s">
        <v>24</v>
      </c>
      <c r="E764" s="4" t="s">
        <v>32</v>
      </c>
      <c r="F764" s="4" t="s">
        <v>25</v>
      </c>
      <c r="G764" s="4" t="s">
        <v>25</v>
      </c>
      <c r="H764" s="4" t="s">
        <v>25</v>
      </c>
      <c r="I764" s="5">
        <v>44531</v>
      </c>
      <c r="J764" s="6">
        <v>0</v>
      </c>
      <c r="K764" s="6">
        <v>0</v>
      </c>
      <c r="L764" s="6">
        <v>0.28799999999999998</v>
      </c>
      <c r="M764" s="6">
        <v>0.28799999999999998</v>
      </c>
      <c r="N764" s="6">
        <v>0.28799999999999998</v>
      </c>
      <c r="O764" s="6">
        <v>0.28799999999999998</v>
      </c>
      <c r="P764" s="6">
        <v>5</v>
      </c>
      <c r="Q764" s="4" t="s">
        <v>26</v>
      </c>
      <c r="R764" s="4">
        <v>0</v>
      </c>
      <c r="S764" s="6">
        <v>0</v>
      </c>
      <c r="T764" s="6">
        <v>20</v>
      </c>
      <c r="U764" s="6">
        <v>57</v>
      </c>
      <c r="V764" s="6">
        <f>IF(ISERROR(VLOOKUP($S$764,'TAR FIN'!$A$1:$O$85,15,0)),0,VLOOKUP($S$764,'TAR FIN'!$A$1:$O$85,15,0))</f>
        <v>0</v>
      </c>
      <c r="W764" s="6">
        <f>IF(ISERROR(VLOOKUP($T$764,'TAR FIN'!$A$1:$O$85,15,0)),0,VLOOKUP($T$764,'TAR FIN'!$A$1:$O$85,15,0))</f>
        <v>260.76</v>
      </c>
      <c r="X764" s="6">
        <f>IF(ISERROR(VLOOKUP($U$764,'TAR FIN'!$A$1:$O$85,15,0)),0,VLOOKUP($U$764,'TAR FIN'!$A$1:$O$85,15,0))</f>
        <v>322.54000000000002</v>
      </c>
      <c r="Y764" s="6"/>
      <c r="Z764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64" s="6">
        <f>('TE BE'!$AB$14+'TE BF'!$AB$14+'TE CVA'!$AB$14)*(1-CUSTOS!$M$37)</f>
        <v>319.954086693367</v>
      </c>
      <c r="AB764" s="6">
        <f>$K$764*$V$764</f>
        <v>0</v>
      </c>
      <c r="AC764" s="6">
        <f>$M$764*$W$764</f>
        <v>75.098879999999994</v>
      </c>
      <c r="AD764" s="6">
        <f>$O$764*$X$764</f>
        <v>92.89152</v>
      </c>
      <c r="AE764" s="6">
        <f>$K$764*$Y$764</f>
        <v>0</v>
      </c>
      <c r="AF764" s="6">
        <f ca="1">$M$764*$Z$764</f>
        <v>83.201722472862002</v>
      </c>
      <c r="AG764" s="6">
        <f>$O$764*$AA$764</f>
        <v>92.146776967689689</v>
      </c>
    </row>
    <row r="765" spans="1:33" ht="11.25" customHeight="1" x14ac:dyDescent="0.25">
      <c r="A765" s="4" t="s">
        <v>21</v>
      </c>
      <c r="B765" s="4" t="s">
        <v>22</v>
      </c>
      <c r="C765" s="4" t="s">
        <v>23</v>
      </c>
      <c r="D765" s="4" t="s">
        <v>24</v>
      </c>
      <c r="E765" s="4" t="s">
        <v>32</v>
      </c>
      <c r="F765" s="4" t="s">
        <v>25</v>
      </c>
      <c r="G765" s="4" t="s">
        <v>25</v>
      </c>
      <c r="H765" s="4" t="s">
        <v>25</v>
      </c>
      <c r="I765" s="5">
        <v>44562</v>
      </c>
      <c r="J765" s="6">
        <v>0</v>
      </c>
      <c r="K765" s="6">
        <v>0</v>
      </c>
      <c r="L765" s="6">
        <v>168.92099999999999</v>
      </c>
      <c r="M765" s="6">
        <v>168.92099999999999</v>
      </c>
      <c r="N765" s="6">
        <v>168.92099999999999</v>
      </c>
      <c r="O765" s="6">
        <v>168.92099999999999</v>
      </c>
      <c r="P765" s="6">
        <v>2126</v>
      </c>
      <c r="Q765" s="4" t="s">
        <v>26</v>
      </c>
      <c r="R765" s="4">
        <v>0</v>
      </c>
      <c r="S765" s="6">
        <v>0</v>
      </c>
      <c r="T765" s="6">
        <v>20</v>
      </c>
      <c r="U765" s="6">
        <v>57</v>
      </c>
      <c r="V765" s="6">
        <f>IF(ISERROR(VLOOKUP($S$765,'TAR FIN'!$A$1:$O$85,15,0)),0,VLOOKUP($S$765,'TAR FIN'!$A$1:$O$85,15,0))</f>
        <v>0</v>
      </c>
      <c r="W765" s="6">
        <f>IF(ISERROR(VLOOKUP($T$765,'TAR FIN'!$A$1:$O$85,15,0)),0,VLOOKUP($T$765,'TAR FIN'!$A$1:$O$85,15,0))</f>
        <v>260.76</v>
      </c>
      <c r="X765" s="6">
        <f>IF(ISERROR(VLOOKUP($U$765,'TAR FIN'!$A$1:$O$85,15,0)),0,VLOOKUP($U$765,'TAR FIN'!$A$1:$O$85,15,0))</f>
        <v>322.54000000000002</v>
      </c>
      <c r="Y765" s="6"/>
      <c r="Z765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65" s="6">
        <f>('TE BE'!$AB$14+'TE BF'!$AB$14+'TE CVA'!$AB$14)*(1-CUSTOS!$M$37)</f>
        <v>319.954086693367</v>
      </c>
      <c r="AB765" s="6">
        <f>$K$765*$V$765</f>
        <v>0</v>
      </c>
      <c r="AC765" s="6">
        <f>$M$765*$W$765</f>
        <v>44047.839959999998</v>
      </c>
      <c r="AD765" s="6">
        <f>$O$765*$X$765</f>
        <v>54483.779340000001</v>
      </c>
      <c r="AE765" s="6">
        <f>$K$765*$Y$765</f>
        <v>0</v>
      </c>
      <c r="AF765" s="6">
        <f ca="1">$M$765*$Z$765</f>
        <v>48800.41028416084</v>
      </c>
      <c r="AG765" s="6">
        <f>$O$765*$AA$765</f>
        <v>54046.964278330248</v>
      </c>
    </row>
    <row r="766" spans="1:33" ht="11.25" customHeight="1" x14ac:dyDescent="0.25">
      <c r="A766" s="4" t="s">
        <v>27</v>
      </c>
      <c r="B766" s="4" t="s">
        <v>22</v>
      </c>
      <c r="C766" s="4" t="s">
        <v>23</v>
      </c>
      <c r="D766" s="4" t="s">
        <v>24</v>
      </c>
      <c r="E766" s="4" t="s">
        <v>32</v>
      </c>
      <c r="F766" s="4" t="s">
        <v>25</v>
      </c>
      <c r="G766" s="4" t="s">
        <v>25</v>
      </c>
      <c r="H766" s="4" t="s">
        <v>25</v>
      </c>
      <c r="I766" s="5">
        <v>44562</v>
      </c>
      <c r="J766" s="6">
        <v>0</v>
      </c>
      <c r="K766" s="6">
        <v>0</v>
      </c>
      <c r="L766" s="6">
        <v>-0.88200000000000001</v>
      </c>
      <c r="M766" s="6">
        <v>-0.88200000000000001</v>
      </c>
      <c r="N766" s="6">
        <v>-0.88200000000000001</v>
      </c>
      <c r="O766" s="6">
        <v>-0.88200000000000001</v>
      </c>
      <c r="P766" s="6">
        <v>-1</v>
      </c>
      <c r="Q766" s="4" t="s">
        <v>26</v>
      </c>
      <c r="R766" s="4">
        <v>0</v>
      </c>
      <c r="S766" s="6">
        <v>0</v>
      </c>
      <c r="T766" s="6">
        <v>20</v>
      </c>
      <c r="U766" s="6">
        <v>57</v>
      </c>
      <c r="V766" s="6">
        <f>IF(ISERROR(VLOOKUP($S$766,'TAR FIN'!$A$1:$O$85,15,0)),0,VLOOKUP($S$766,'TAR FIN'!$A$1:$O$85,15,0))</f>
        <v>0</v>
      </c>
      <c r="W766" s="6">
        <f>IF(ISERROR(VLOOKUP($T$766,'TAR FIN'!$A$1:$O$85,15,0)),0,VLOOKUP($T$766,'TAR FIN'!$A$1:$O$85,15,0))</f>
        <v>260.76</v>
      </c>
      <c r="X766" s="6">
        <f>IF(ISERROR(VLOOKUP($U$766,'TAR FIN'!$A$1:$O$85,15,0)),0,VLOOKUP($U$766,'TAR FIN'!$A$1:$O$85,15,0))</f>
        <v>322.54000000000002</v>
      </c>
      <c r="Y766" s="6"/>
      <c r="Z766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66" s="6">
        <f>('TE BE'!$AB$14+'TE BF'!$AB$14+'TE CVA'!$AB$14)*(1-CUSTOS!$M$37)</f>
        <v>319.954086693367</v>
      </c>
      <c r="AB766" s="6">
        <f>$K$766*$V$766</f>
        <v>0</v>
      </c>
      <c r="AC766" s="6">
        <f>$M$766*$W$766</f>
        <v>-229.99032</v>
      </c>
      <c r="AD766" s="6">
        <f>$O$766*$X$766</f>
        <v>-284.48027999999999</v>
      </c>
      <c r="AE766" s="6">
        <f>$K$766*$Y$766</f>
        <v>0</v>
      </c>
      <c r="AF766" s="6">
        <f ca="1">$M$766*$Z$766</f>
        <v>-254.80527507313988</v>
      </c>
      <c r="AG766" s="6">
        <f>$O$766*$AA$766</f>
        <v>-282.19950446354972</v>
      </c>
    </row>
    <row r="767" spans="1:33" ht="11.25" customHeight="1" x14ac:dyDescent="0.25">
      <c r="A767" s="4" t="s">
        <v>28</v>
      </c>
      <c r="B767" s="4" t="s">
        <v>22</v>
      </c>
      <c r="C767" s="4" t="s">
        <v>23</v>
      </c>
      <c r="D767" s="4" t="s">
        <v>24</v>
      </c>
      <c r="E767" s="4" t="s">
        <v>32</v>
      </c>
      <c r="F767" s="4" t="s">
        <v>25</v>
      </c>
      <c r="G767" s="4" t="s">
        <v>25</v>
      </c>
      <c r="H767" s="4" t="s">
        <v>25</v>
      </c>
      <c r="I767" s="5">
        <v>44562</v>
      </c>
      <c r="J767" s="6">
        <v>0</v>
      </c>
      <c r="K767" s="6">
        <v>0</v>
      </c>
      <c r="L767" s="6">
        <v>0.61</v>
      </c>
      <c r="M767" s="6">
        <v>0.61</v>
      </c>
      <c r="N767" s="6">
        <v>0.61</v>
      </c>
      <c r="O767" s="6">
        <v>0.61</v>
      </c>
      <c r="P767" s="6">
        <v>14</v>
      </c>
      <c r="Q767" s="4" t="s">
        <v>26</v>
      </c>
      <c r="R767" s="4">
        <v>0</v>
      </c>
      <c r="S767" s="6">
        <v>0</v>
      </c>
      <c r="T767" s="6">
        <v>20</v>
      </c>
      <c r="U767" s="6">
        <v>57</v>
      </c>
      <c r="V767" s="6">
        <f>IF(ISERROR(VLOOKUP($S$767,'TAR FIN'!$A$1:$O$85,15,0)),0,VLOOKUP($S$767,'TAR FIN'!$A$1:$O$85,15,0))</f>
        <v>0</v>
      </c>
      <c r="W767" s="6">
        <f>IF(ISERROR(VLOOKUP($T$767,'TAR FIN'!$A$1:$O$85,15,0)),0,VLOOKUP($T$767,'TAR FIN'!$A$1:$O$85,15,0))</f>
        <v>260.76</v>
      </c>
      <c r="X767" s="6">
        <f>IF(ISERROR(VLOOKUP($U$767,'TAR FIN'!$A$1:$O$85,15,0)),0,VLOOKUP($U$767,'TAR FIN'!$A$1:$O$85,15,0))</f>
        <v>322.54000000000002</v>
      </c>
      <c r="Y767" s="6"/>
      <c r="Z767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67" s="6">
        <f>('TE BE'!$AB$14+'TE BF'!$AB$14+'TE CVA'!$AB$14)*(1-CUSTOS!$M$37)</f>
        <v>319.954086693367</v>
      </c>
      <c r="AB767" s="6">
        <f>$K$767*$V$767</f>
        <v>0</v>
      </c>
      <c r="AC767" s="6">
        <f>$M$767*$W$767</f>
        <v>159.06359999999998</v>
      </c>
      <c r="AD767" s="6">
        <f>$O$767*$X$767</f>
        <v>196.74940000000001</v>
      </c>
      <c r="AE767" s="6">
        <f>$K$767*$Y$767</f>
        <v>0</v>
      </c>
      <c r="AF767" s="6">
        <f ca="1">$M$767*$Z$767</f>
        <v>176.22587051543687</v>
      </c>
      <c r="AG767" s="6">
        <f>$O$767*$AA$767</f>
        <v>195.17199288295387</v>
      </c>
    </row>
    <row r="768" spans="1:33" ht="11.25" customHeight="1" x14ac:dyDescent="0.25">
      <c r="A768" s="4" t="s">
        <v>21</v>
      </c>
      <c r="B768" s="4" t="s">
        <v>22</v>
      </c>
      <c r="C768" s="4" t="s">
        <v>23</v>
      </c>
      <c r="D768" s="4" t="s">
        <v>24</v>
      </c>
      <c r="E768" s="4" t="s">
        <v>32</v>
      </c>
      <c r="F768" s="4" t="s">
        <v>25</v>
      </c>
      <c r="G768" s="4" t="s">
        <v>25</v>
      </c>
      <c r="H768" s="4" t="s">
        <v>25</v>
      </c>
      <c r="I768" s="5">
        <v>44593</v>
      </c>
      <c r="J768" s="6">
        <v>0</v>
      </c>
      <c r="K768" s="6">
        <v>0</v>
      </c>
      <c r="L768" s="6">
        <v>222.44399999999999</v>
      </c>
      <c r="M768" s="6">
        <v>222.44399999999999</v>
      </c>
      <c r="N768" s="6">
        <v>222.44399999999999</v>
      </c>
      <c r="O768" s="6">
        <v>222.44399999999999</v>
      </c>
      <c r="P768" s="6">
        <v>2526</v>
      </c>
      <c r="Q768" s="4" t="s">
        <v>26</v>
      </c>
      <c r="R768" s="4">
        <v>0</v>
      </c>
      <c r="S768" s="6">
        <v>0</v>
      </c>
      <c r="T768" s="6">
        <v>20</v>
      </c>
      <c r="U768" s="6">
        <v>57</v>
      </c>
      <c r="V768" s="6">
        <f>IF(ISERROR(VLOOKUP($S$768,'TAR FIN'!$A$1:$O$85,15,0)),0,VLOOKUP($S$768,'TAR FIN'!$A$1:$O$85,15,0))</f>
        <v>0</v>
      </c>
      <c r="W768" s="6">
        <f>IF(ISERROR(VLOOKUP($T$768,'TAR FIN'!$A$1:$O$85,15,0)),0,VLOOKUP($T$768,'TAR FIN'!$A$1:$O$85,15,0))</f>
        <v>260.76</v>
      </c>
      <c r="X768" s="6">
        <f>IF(ISERROR(VLOOKUP($U$768,'TAR FIN'!$A$1:$O$85,15,0)),0,VLOOKUP($U$768,'TAR FIN'!$A$1:$O$85,15,0))</f>
        <v>322.54000000000002</v>
      </c>
      <c r="Y768" s="6"/>
      <c r="Z768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68" s="6">
        <f>('TE BE'!$AB$14+'TE BF'!$AB$14+'TE CVA'!$AB$14)*(1-CUSTOS!$M$37)</f>
        <v>319.954086693367</v>
      </c>
      <c r="AB768" s="6">
        <f>$K$768*$V$768</f>
        <v>0</v>
      </c>
      <c r="AC768" s="6">
        <f>$M$768*$W$768</f>
        <v>58004.497439999992</v>
      </c>
      <c r="AD768" s="6">
        <f>$O$768*$X$768</f>
        <v>71747.087759999995</v>
      </c>
      <c r="AE768" s="6">
        <f>$K$768*$Y$768</f>
        <v>0</v>
      </c>
      <c r="AF768" s="6">
        <f ca="1">$M$768*$Z$768</f>
        <v>64262.930394976785</v>
      </c>
      <c r="AG768" s="6">
        <f>$O$768*$AA$768</f>
        <v>71171.866860419323</v>
      </c>
    </row>
    <row r="769" spans="1:33" ht="11.25" customHeight="1" x14ac:dyDescent="0.25">
      <c r="A769" s="4" t="s">
        <v>28</v>
      </c>
      <c r="B769" s="4" t="s">
        <v>22</v>
      </c>
      <c r="C769" s="4" t="s">
        <v>23</v>
      </c>
      <c r="D769" s="4" t="s">
        <v>24</v>
      </c>
      <c r="E769" s="4" t="s">
        <v>32</v>
      </c>
      <c r="F769" s="4" t="s">
        <v>25</v>
      </c>
      <c r="G769" s="4" t="s">
        <v>25</v>
      </c>
      <c r="H769" s="4" t="s">
        <v>25</v>
      </c>
      <c r="I769" s="5">
        <v>44593</v>
      </c>
      <c r="J769" s="6">
        <v>0</v>
      </c>
      <c r="K769" s="6">
        <v>0</v>
      </c>
      <c r="L769" s="6">
        <v>0.68100000000000005</v>
      </c>
      <c r="M769" s="6">
        <v>0.68100000000000005</v>
      </c>
      <c r="N769" s="6">
        <v>0.68100000000000005</v>
      </c>
      <c r="O769" s="6">
        <v>0.68100000000000005</v>
      </c>
      <c r="P769" s="6">
        <v>13</v>
      </c>
      <c r="Q769" s="4" t="s">
        <v>26</v>
      </c>
      <c r="R769" s="4">
        <v>0</v>
      </c>
      <c r="S769" s="6">
        <v>0</v>
      </c>
      <c r="T769" s="6">
        <v>20</v>
      </c>
      <c r="U769" s="6">
        <v>57</v>
      </c>
      <c r="V769" s="6">
        <f>IF(ISERROR(VLOOKUP($S$769,'TAR FIN'!$A$1:$O$85,15,0)),0,VLOOKUP($S$769,'TAR FIN'!$A$1:$O$85,15,0))</f>
        <v>0</v>
      </c>
      <c r="W769" s="6">
        <f>IF(ISERROR(VLOOKUP($T$769,'TAR FIN'!$A$1:$O$85,15,0)),0,VLOOKUP($T$769,'TAR FIN'!$A$1:$O$85,15,0))</f>
        <v>260.76</v>
      </c>
      <c r="X769" s="6">
        <f>IF(ISERROR(VLOOKUP($U$769,'TAR FIN'!$A$1:$O$85,15,0)),0,VLOOKUP($U$769,'TAR FIN'!$A$1:$O$85,15,0))</f>
        <v>322.54000000000002</v>
      </c>
      <c r="Y769" s="6"/>
      <c r="Z769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69" s="6">
        <f>('TE BE'!$AB$14+'TE BF'!$AB$14+'TE CVA'!$AB$14)*(1-CUSTOS!$M$37)</f>
        <v>319.954086693367</v>
      </c>
      <c r="AB769" s="6">
        <f>$K$769*$V$769</f>
        <v>0</v>
      </c>
      <c r="AC769" s="6">
        <f>$M$769*$W$769</f>
        <v>177.57756000000001</v>
      </c>
      <c r="AD769" s="6">
        <f>$O$769*$X$769</f>
        <v>219.64974000000004</v>
      </c>
      <c r="AE769" s="6">
        <f>$K$769*$Y$769</f>
        <v>0</v>
      </c>
      <c r="AF769" s="6">
        <f ca="1">$M$769*$Z$769</f>
        <v>196.73740626395497</v>
      </c>
      <c r="AG769" s="6">
        <f>$O$769*$AA$769</f>
        <v>217.88873303818295</v>
      </c>
    </row>
    <row r="770" spans="1:33" ht="11.25" customHeight="1" x14ac:dyDescent="0.25">
      <c r="A770" s="4" t="s">
        <v>21</v>
      </c>
      <c r="B770" s="4" t="s">
        <v>22</v>
      </c>
      <c r="C770" s="4" t="s">
        <v>23</v>
      </c>
      <c r="D770" s="4" t="s">
        <v>24</v>
      </c>
      <c r="E770" s="4" t="s">
        <v>32</v>
      </c>
      <c r="F770" s="4" t="s">
        <v>25</v>
      </c>
      <c r="G770" s="4" t="s">
        <v>25</v>
      </c>
      <c r="H770" s="4" t="s">
        <v>25</v>
      </c>
      <c r="I770" s="5">
        <v>44621</v>
      </c>
      <c r="J770" s="6">
        <v>0</v>
      </c>
      <c r="K770" s="6">
        <v>0</v>
      </c>
      <c r="L770" s="6">
        <v>285.83800000000002</v>
      </c>
      <c r="M770" s="6">
        <v>285.83800000000002</v>
      </c>
      <c r="N770" s="6">
        <v>285.83800000000002</v>
      </c>
      <c r="O770" s="6">
        <v>285.83800000000002</v>
      </c>
      <c r="P770" s="6">
        <v>3123</v>
      </c>
      <c r="Q770" s="4" t="s">
        <v>26</v>
      </c>
      <c r="R770" s="4">
        <v>0</v>
      </c>
      <c r="S770" s="6">
        <v>0</v>
      </c>
      <c r="T770" s="6">
        <v>20</v>
      </c>
      <c r="U770" s="6">
        <v>57</v>
      </c>
      <c r="V770" s="6">
        <f>IF(ISERROR(VLOOKUP($S$770,'TAR FIN'!$A$1:$O$85,15,0)),0,VLOOKUP($S$770,'TAR FIN'!$A$1:$O$85,15,0))</f>
        <v>0</v>
      </c>
      <c r="W770" s="6">
        <f>IF(ISERROR(VLOOKUP($T$770,'TAR FIN'!$A$1:$O$85,15,0)),0,VLOOKUP($T$770,'TAR FIN'!$A$1:$O$85,15,0))</f>
        <v>260.76</v>
      </c>
      <c r="X770" s="6">
        <f>IF(ISERROR(VLOOKUP($U$770,'TAR FIN'!$A$1:$O$85,15,0)),0,VLOOKUP($U$770,'TAR FIN'!$A$1:$O$85,15,0))</f>
        <v>322.54000000000002</v>
      </c>
      <c r="Y770" s="6"/>
      <c r="Z770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70" s="6">
        <f>('TE BE'!$AB$14+'TE BF'!$AB$14+'TE CVA'!$AB$14)*(1-CUSTOS!$M$37)</f>
        <v>319.954086693367</v>
      </c>
      <c r="AB770" s="6">
        <f>$K$770*$V$770</f>
        <v>0</v>
      </c>
      <c r="AC770" s="6">
        <f>$M$770*$W$770</f>
        <v>74535.116880000001</v>
      </c>
      <c r="AD770" s="6">
        <f>$O$770*$X$770</f>
        <v>92194.188520000011</v>
      </c>
      <c r="AE770" s="6">
        <f>$K$770*$Y$770</f>
        <v>0</v>
      </c>
      <c r="AF770" s="6">
        <f ca="1">$M$770*$Z$770</f>
        <v>82577.131764576145</v>
      </c>
      <c r="AG770" s="6">
        <f>$O$770*$AA$770</f>
        <v>91455.036232258644</v>
      </c>
    </row>
    <row r="771" spans="1:33" ht="11.25" customHeight="1" x14ac:dyDescent="0.25">
      <c r="A771" s="4" t="s">
        <v>28</v>
      </c>
      <c r="B771" s="4" t="s">
        <v>22</v>
      </c>
      <c r="C771" s="4" t="s">
        <v>23</v>
      </c>
      <c r="D771" s="4" t="s">
        <v>24</v>
      </c>
      <c r="E771" s="4" t="s">
        <v>32</v>
      </c>
      <c r="F771" s="4" t="s">
        <v>25</v>
      </c>
      <c r="G771" s="4" t="s">
        <v>25</v>
      </c>
      <c r="H771" s="4" t="s">
        <v>25</v>
      </c>
      <c r="I771" s="5">
        <v>44621</v>
      </c>
      <c r="J771" s="6">
        <v>0</v>
      </c>
      <c r="K771" s="6">
        <v>0</v>
      </c>
      <c r="L771" s="6">
        <v>1.347</v>
      </c>
      <c r="M771" s="6">
        <v>1.347</v>
      </c>
      <c r="N771" s="6">
        <v>1.347</v>
      </c>
      <c r="O771" s="6">
        <v>1.347</v>
      </c>
      <c r="P771" s="6">
        <v>16</v>
      </c>
      <c r="Q771" s="4" t="s">
        <v>26</v>
      </c>
      <c r="R771" s="4">
        <v>0</v>
      </c>
      <c r="S771" s="6">
        <v>0</v>
      </c>
      <c r="T771" s="6">
        <v>20</v>
      </c>
      <c r="U771" s="6">
        <v>57</v>
      </c>
      <c r="V771" s="6">
        <f>IF(ISERROR(VLOOKUP($S$771,'TAR FIN'!$A$1:$O$85,15,0)),0,VLOOKUP($S$771,'TAR FIN'!$A$1:$O$85,15,0))</f>
        <v>0</v>
      </c>
      <c r="W771" s="6">
        <f>IF(ISERROR(VLOOKUP($T$771,'TAR FIN'!$A$1:$O$85,15,0)),0,VLOOKUP($T$771,'TAR FIN'!$A$1:$O$85,15,0))</f>
        <v>260.76</v>
      </c>
      <c r="X771" s="6">
        <f>IF(ISERROR(VLOOKUP($U$771,'TAR FIN'!$A$1:$O$85,15,0)),0,VLOOKUP($U$771,'TAR FIN'!$A$1:$O$85,15,0))</f>
        <v>322.54000000000002</v>
      </c>
      <c r="Y771" s="6"/>
      <c r="Z771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71" s="6">
        <f>('TE BE'!$AB$14+'TE BF'!$AB$14+'TE CVA'!$AB$14)*(1-CUSTOS!$M$37)</f>
        <v>319.954086693367</v>
      </c>
      <c r="AB771" s="6">
        <f>$K$771*$V$771</f>
        <v>0</v>
      </c>
      <c r="AC771" s="6">
        <f>$M$771*$W$771</f>
        <v>351.24372</v>
      </c>
      <c r="AD771" s="6">
        <f>$O$771*$X$771</f>
        <v>434.46138000000002</v>
      </c>
      <c r="AE771" s="6">
        <f>$K$771*$Y$771</f>
        <v>0</v>
      </c>
      <c r="AF771" s="6">
        <f ca="1">$M$771*$Z$771</f>
        <v>389.14138948244835</v>
      </c>
      <c r="AG771" s="6">
        <f>$O$771*$AA$771</f>
        <v>430.97815477596532</v>
      </c>
    </row>
    <row r="772" spans="1:33" ht="11.25" customHeight="1" x14ac:dyDescent="0.25">
      <c r="A772" s="4" t="s">
        <v>21</v>
      </c>
      <c r="B772" s="4" t="s">
        <v>22</v>
      </c>
      <c r="C772" s="4" t="s">
        <v>23</v>
      </c>
      <c r="D772" s="4" t="s">
        <v>24</v>
      </c>
      <c r="E772" s="4" t="s">
        <v>32</v>
      </c>
      <c r="F772" s="4" t="s">
        <v>25</v>
      </c>
      <c r="G772" s="4" t="s">
        <v>25</v>
      </c>
      <c r="H772" s="4" t="s">
        <v>25</v>
      </c>
      <c r="I772" s="5">
        <v>44652</v>
      </c>
      <c r="J772" s="6">
        <v>0</v>
      </c>
      <c r="K772" s="6">
        <v>0</v>
      </c>
      <c r="L772" s="6">
        <v>292.87</v>
      </c>
      <c r="M772" s="6">
        <v>292.87</v>
      </c>
      <c r="N772" s="6">
        <v>292.87</v>
      </c>
      <c r="O772" s="6">
        <v>292.87</v>
      </c>
      <c r="P772" s="6">
        <v>3184</v>
      </c>
      <c r="Q772" s="4" t="s">
        <v>26</v>
      </c>
      <c r="R772" s="4">
        <v>0</v>
      </c>
      <c r="S772" s="6">
        <v>0</v>
      </c>
      <c r="T772" s="6">
        <v>20</v>
      </c>
      <c r="U772" s="6">
        <v>57</v>
      </c>
      <c r="V772" s="6">
        <f>IF(ISERROR(VLOOKUP($S$772,'TAR FIN'!$A$1:$O$85,15,0)),0,VLOOKUP($S$772,'TAR FIN'!$A$1:$O$85,15,0))</f>
        <v>0</v>
      </c>
      <c r="W772" s="6">
        <f>IF(ISERROR(VLOOKUP($T$772,'TAR FIN'!$A$1:$O$85,15,0)),0,VLOOKUP($T$772,'TAR FIN'!$A$1:$O$85,15,0))</f>
        <v>260.76</v>
      </c>
      <c r="X772" s="6">
        <f>IF(ISERROR(VLOOKUP($U$772,'TAR FIN'!$A$1:$O$85,15,0)),0,VLOOKUP($U$772,'TAR FIN'!$A$1:$O$85,15,0))</f>
        <v>322.54000000000002</v>
      </c>
      <c r="Y772" s="6"/>
      <c r="Z772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72" s="6">
        <f>('TE BE'!$AB$14+'TE BF'!$AB$14+'TE CVA'!$AB$14)*(1-CUSTOS!$M$37)</f>
        <v>319.954086693367</v>
      </c>
      <c r="AB772" s="6">
        <f>$K$772*$V$772</f>
        <v>0</v>
      </c>
      <c r="AC772" s="6">
        <f>$M$772*$W$772</f>
        <v>76368.781199999998</v>
      </c>
      <c r="AD772" s="6">
        <f>$O$772*$X$772</f>
        <v>94462.289800000013</v>
      </c>
      <c r="AE772" s="6">
        <f>$K$772*$Y$772</f>
        <v>0</v>
      </c>
      <c r="AF772" s="6">
        <f ca="1">$M$772*$Z$772</f>
        <v>84608.640488288525</v>
      </c>
      <c r="AG772" s="6">
        <f>$O$772*$AA$772</f>
        <v>93704.953369886396</v>
      </c>
    </row>
    <row r="773" spans="1:33" ht="11.25" customHeight="1" x14ac:dyDescent="0.25">
      <c r="A773" s="4" t="s">
        <v>28</v>
      </c>
      <c r="B773" s="4" t="s">
        <v>22</v>
      </c>
      <c r="C773" s="4" t="s">
        <v>23</v>
      </c>
      <c r="D773" s="4" t="s">
        <v>24</v>
      </c>
      <c r="E773" s="4" t="s">
        <v>32</v>
      </c>
      <c r="F773" s="4" t="s">
        <v>25</v>
      </c>
      <c r="G773" s="4" t="s">
        <v>25</v>
      </c>
      <c r="H773" s="4" t="s">
        <v>25</v>
      </c>
      <c r="I773" s="5">
        <v>44652</v>
      </c>
      <c r="J773" s="6">
        <v>0</v>
      </c>
      <c r="K773" s="6">
        <v>0</v>
      </c>
      <c r="L773" s="6">
        <v>1.137</v>
      </c>
      <c r="M773" s="6">
        <v>1.137</v>
      </c>
      <c r="N773" s="6">
        <v>1.137</v>
      </c>
      <c r="O773" s="6">
        <v>1.137</v>
      </c>
      <c r="P773" s="6">
        <v>15</v>
      </c>
      <c r="Q773" s="4" t="s">
        <v>26</v>
      </c>
      <c r="R773" s="4">
        <v>0</v>
      </c>
      <c r="S773" s="6">
        <v>0</v>
      </c>
      <c r="T773" s="6">
        <v>20</v>
      </c>
      <c r="U773" s="6">
        <v>57</v>
      </c>
      <c r="V773" s="6">
        <f>IF(ISERROR(VLOOKUP($S$773,'TAR FIN'!$A$1:$O$85,15,0)),0,VLOOKUP($S$773,'TAR FIN'!$A$1:$O$85,15,0))</f>
        <v>0</v>
      </c>
      <c r="W773" s="6">
        <f>IF(ISERROR(VLOOKUP($T$773,'TAR FIN'!$A$1:$O$85,15,0)),0,VLOOKUP($T$773,'TAR FIN'!$A$1:$O$85,15,0))</f>
        <v>260.76</v>
      </c>
      <c r="X773" s="6">
        <f>IF(ISERROR(VLOOKUP($U$773,'TAR FIN'!$A$1:$O$85,15,0)),0,VLOOKUP($U$773,'TAR FIN'!$A$1:$O$85,15,0))</f>
        <v>322.54000000000002</v>
      </c>
      <c r="Y773" s="6"/>
      <c r="Z773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73" s="6">
        <f>('TE BE'!$AB$14+'TE BF'!$AB$14+'TE CVA'!$AB$14)*(1-CUSTOS!$M$37)</f>
        <v>319.954086693367</v>
      </c>
      <c r="AB773" s="6">
        <f>$K$773*$V$773</f>
        <v>0</v>
      </c>
      <c r="AC773" s="6">
        <f>$M$773*$W$773</f>
        <v>296.48412000000002</v>
      </c>
      <c r="AD773" s="6">
        <f>$O$773*$X$773</f>
        <v>366.72798</v>
      </c>
      <c r="AE773" s="6">
        <f>$K$773*$Y$773</f>
        <v>0</v>
      </c>
      <c r="AF773" s="6">
        <f ca="1">$M$773*$Z$773</f>
        <v>328.47346684598648</v>
      </c>
      <c r="AG773" s="6">
        <f>$O$773*$AA$773</f>
        <v>363.7877965703583</v>
      </c>
    </row>
    <row r="774" spans="1:33" ht="11.25" customHeight="1" x14ac:dyDescent="0.25">
      <c r="A774" s="4" t="s">
        <v>21</v>
      </c>
      <c r="B774" s="4" t="s">
        <v>22</v>
      </c>
      <c r="C774" s="4" t="s">
        <v>23</v>
      </c>
      <c r="D774" s="4" t="s">
        <v>24</v>
      </c>
      <c r="E774" s="4" t="s">
        <v>32</v>
      </c>
      <c r="F774" s="4" t="s">
        <v>25</v>
      </c>
      <c r="G774" s="4" t="s">
        <v>25</v>
      </c>
      <c r="H774" s="4" t="s">
        <v>25</v>
      </c>
      <c r="I774" s="5">
        <v>44682</v>
      </c>
      <c r="J774" s="6">
        <v>0</v>
      </c>
      <c r="K774" s="6">
        <v>0</v>
      </c>
      <c r="L774" s="6">
        <v>169.56299999999999</v>
      </c>
      <c r="M774" s="6">
        <v>169.56299999999999</v>
      </c>
      <c r="N774" s="6">
        <v>169.56299999999999</v>
      </c>
      <c r="O774" s="6">
        <v>169.56299999999999</v>
      </c>
      <c r="P774" s="6">
        <v>2030</v>
      </c>
      <c r="Q774" s="4" t="s">
        <v>26</v>
      </c>
      <c r="R774" s="4">
        <v>0</v>
      </c>
      <c r="S774" s="6">
        <v>0</v>
      </c>
      <c r="T774" s="6">
        <v>20</v>
      </c>
      <c r="U774" s="6">
        <v>57</v>
      </c>
      <c r="V774" s="6">
        <f>IF(ISERROR(VLOOKUP($S$774,'TAR FIN'!$A$1:$O$85,15,0)),0,VLOOKUP($S$774,'TAR FIN'!$A$1:$O$85,15,0))</f>
        <v>0</v>
      </c>
      <c r="W774" s="6">
        <f>IF(ISERROR(VLOOKUP($T$774,'TAR FIN'!$A$1:$O$85,15,0)),0,VLOOKUP($T$774,'TAR FIN'!$A$1:$O$85,15,0))</f>
        <v>260.76</v>
      </c>
      <c r="X774" s="6">
        <f>IF(ISERROR(VLOOKUP($U$774,'TAR FIN'!$A$1:$O$85,15,0)),0,VLOOKUP($U$774,'TAR FIN'!$A$1:$O$85,15,0))</f>
        <v>322.54000000000002</v>
      </c>
      <c r="Y774" s="6"/>
      <c r="Z774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74" s="6">
        <f>('TE BE'!$AB$14+'TE BF'!$AB$14+'TE CVA'!$AB$14)*(1-CUSTOS!$M$37)</f>
        <v>319.954086693367</v>
      </c>
      <c r="AB774" s="6">
        <f>$K$774*$V$774</f>
        <v>0</v>
      </c>
      <c r="AC774" s="6">
        <f>$M$774*$W$774</f>
        <v>44215.247879999995</v>
      </c>
      <c r="AD774" s="6">
        <f>$O$774*$X$774</f>
        <v>54690.850019999998</v>
      </c>
      <c r="AE774" s="6">
        <f>$K$774*$Y$774</f>
        <v>0</v>
      </c>
      <c r="AF774" s="6">
        <f ca="1">$M$774*$Z$774</f>
        <v>48985.880790506591</v>
      </c>
      <c r="AG774" s="6">
        <f>$O$774*$AA$774</f>
        <v>54252.374801987382</v>
      </c>
    </row>
    <row r="775" spans="1:33" ht="11.25" customHeight="1" x14ac:dyDescent="0.25">
      <c r="A775" s="4" t="s">
        <v>28</v>
      </c>
      <c r="B775" s="4" t="s">
        <v>22</v>
      </c>
      <c r="C775" s="4" t="s">
        <v>23</v>
      </c>
      <c r="D775" s="4" t="s">
        <v>24</v>
      </c>
      <c r="E775" s="4" t="s">
        <v>32</v>
      </c>
      <c r="F775" s="4" t="s">
        <v>25</v>
      </c>
      <c r="G775" s="4" t="s">
        <v>25</v>
      </c>
      <c r="H775" s="4" t="s">
        <v>25</v>
      </c>
      <c r="I775" s="5">
        <v>44682</v>
      </c>
      <c r="J775" s="6">
        <v>0</v>
      </c>
      <c r="K775" s="6">
        <v>0</v>
      </c>
      <c r="L775" s="6">
        <v>1.4379999999999999</v>
      </c>
      <c r="M775" s="6">
        <v>1.4379999999999999</v>
      </c>
      <c r="N775" s="6">
        <v>1.4379999999999999</v>
      </c>
      <c r="O775" s="6">
        <v>1.4379999999999999</v>
      </c>
      <c r="P775" s="6">
        <v>15</v>
      </c>
      <c r="Q775" s="4" t="s">
        <v>26</v>
      </c>
      <c r="R775" s="4">
        <v>0</v>
      </c>
      <c r="S775" s="6">
        <v>0</v>
      </c>
      <c r="T775" s="6">
        <v>20</v>
      </c>
      <c r="U775" s="6">
        <v>57</v>
      </c>
      <c r="V775" s="6">
        <f>IF(ISERROR(VLOOKUP($S$775,'TAR FIN'!$A$1:$O$85,15,0)),0,VLOOKUP($S$775,'TAR FIN'!$A$1:$O$85,15,0))</f>
        <v>0</v>
      </c>
      <c r="W775" s="6">
        <f>IF(ISERROR(VLOOKUP($T$775,'TAR FIN'!$A$1:$O$85,15,0)),0,VLOOKUP($T$775,'TAR FIN'!$A$1:$O$85,15,0))</f>
        <v>260.76</v>
      </c>
      <c r="X775" s="6">
        <f>IF(ISERROR(VLOOKUP($U$775,'TAR FIN'!$A$1:$O$85,15,0)),0,VLOOKUP($U$775,'TAR FIN'!$A$1:$O$85,15,0))</f>
        <v>322.54000000000002</v>
      </c>
      <c r="Y775" s="6"/>
      <c r="Z775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75" s="6">
        <f>('TE BE'!$AB$14+'TE BF'!$AB$14+'TE CVA'!$AB$14)*(1-CUSTOS!$M$37)</f>
        <v>319.954086693367</v>
      </c>
      <c r="AB775" s="6">
        <f>$K$775*$V$775</f>
        <v>0</v>
      </c>
      <c r="AC775" s="6">
        <f>$M$775*$W$775</f>
        <v>374.97287999999998</v>
      </c>
      <c r="AD775" s="6">
        <f>$O$775*$X$775</f>
        <v>463.81252000000001</v>
      </c>
      <c r="AE775" s="6">
        <f>$K$775*$Y$775</f>
        <v>0</v>
      </c>
      <c r="AF775" s="6">
        <f ca="1">$M$775*$Z$775</f>
        <v>415.43082262491515</v>
      </c>
      <c r="AG775" s="6">
        <f>$O$775*$AA$775</f>
        <v>460.09397666506175</v>
      </c>
    </row>
    <row r="776" spans="1:33" ht="11.25" customHeight="1" x14ac:dyDescent="0.25">
      <c r="A776" s="4" t="s">
        <v>21</v>
      </c>
      <c r="B776" s="4" t="s">
        <v>22</v>
      </c>
      <c r="C776" s="4" t="s">
        <v>23</v>
      </c>
      <c r="D776" s="4" t="s">
        <v>24</v>
      </c>
      <c r="E776" s="4" t="s">
        <v>32</v>
      </c>
      <c r="F776" s="4" t="s">
        <v>25</v>
      </c>
      <c r="G776" s="4" t="s">
        <v>25</v>
      </c>
      <c r="H776" s="4" t="s">
        <v>25</v>
      </c>
      <c r="I776" s="5">
        <v>44713</v>
      </c>
      <c r="J776" s="6">
        <v>0</v>
      </c>
      <c r="K776" s="6">
        <v>0</v>
      </c>
      <c r="L776" s="6">
        <v>114.813</v>
      </c>
      <c r="M776" s="6">
        <v>114.813</v>
      </c>
      <c r="N776" s="6">
        <v>114.813</v>
      </c>
      <c r="O776" s="6">
        <v>114.813</v>
      </c>
      <c r="P776" s="6">
        <v>1519</v>
      </c>
      <c r="Q776" s="4" t="s">
        <v>26</v>
      </c>
      <c r="R776" s="4">
        <v>0</v>
      </c>
      <c r="S776" s="6">
        <v>0</v>
      </c>
      <c r="T776" s="6">
        <v>20</v>
      </c>
      <c r="U776" s="6">
        <v>57</v>
      </c>
      <c r="V776" s="6">
        <f>IF(ISERROR(VLOOKUP($S$776,'TAR FIN'!$A$1:$O$85,15,0)),0,VLOOKUP($S$776,'TAR FIN'!$A$1:$O$85,15,0))</f>
        <v>0</v>
      </c>
      <c r="W776" s="6">
        <f>IF(ISERROR(VLOOKUP($T$776,'TAR FIN'!$A$1:$O$85,15,0)),0,VLOOKUP($T$776,'TAR FIN'!$A$1:$O$85,15,0))</f>
        <v>260.76</v>
      </c>
      <c r="X776" s="6">
        <f>IF(ISERROR(VLOOKUP($U$776,'TAR FIN'!$A$1:$O$85,15,0)),0,VLOOKUP($U$776,'TAR FIN'!$A$1:$O$85,15,0))</f>
        <v>322.54000000000002</v>
      </c>
      <c r="Y776" s="6"/>
      <c r="Z776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76" s="6">
        <f>('TE BE'!$AB$14+'TE BF'!$AB$14+'TE CVA'!$AB$14)*(1-CUSTOS!$M$37)</f>
        <v>319.954086693367</v>
      </c>
      <c r="AB776" s="6">
        <f>$K$776*$V$776</f>
        <v>0</v>
      </c>
      <c r="AC776" s="6">
        <f>$M$776*$W$776</f>
        <v>29938.637879999998</v>
      </c>
      <c r="AD776" s="6">
        <f>$O$776*$X$776</f>
        <v>37031.785020000003</v>
      </c>
      <c r="AE776" s="6">
        <f>$K$776*$Y$776</f>
        <v>0</v>
      </c>
      <c r="AF776" s="6">
        <f ca="1">$M$776*$Z$776</f>
        <v>33168.886674571891</v>
      </c>
      <c r="AG776" s="6">
        <f>$O$776*$AA$776</f>
        <v>36734.888555525547</v>
      </c>
    </row>
    <row r="777" spans="1:33" ht="11.25" customHeight="1" x14ac:dyDescent="0.25">
      <c r="A777" s="4" t="s">
        <v>28</v>
      </c>
      <c r="B777" s="4" t="s">
        <v>22</v>
      </c>
      <c r="C777" s="4" t="s">
        <v>23</v>
      </c>
      <c r="D777" s="4" t="s">
        <v>24</v>
      </c>
      <c r="E777" s="4" t="s">
        <v>32</v>
      </c>
      <c r="F777" s="4" t="s">
        <v>25</v>
      </c>
      <c r="G777" s="4" t="s">
        <v>25</v>
      </c>
      <c r="H777" s="4" t="s">
        <v>25</v>
      </c>
      <c r="I777" s="5">
        <v>44713</v>
      </c>
      <c r="J777" s="6">
        <v>0</v>
      </c>
      <c r="K777" s="6">
        <v>0</v>
      </c>
      <c r="L777" s="6">
        <v>0.79500000000000004</v>
      </c>
      <c r="M777" s="6">
        <v>0.79500000000000004</v>
      </c>
      <c r="N777" s="6">
        <v>0.79500000000000004</v>
      </c>
      <c r="O777" s="6">
        <v>0.79500000000000004</v>
      </c>
      <c r="P777" s="6">
        <v>9</v>
      </c>
      <c r="Q777" s="4" t="s">
        <v>26</v>
      </c>
      <c r="R777" s="4">
        <v>0</v>
      </c>
      <c r="S777" s="6">
        <v>0</v>
      </c>
      <c r="T777" s="6">
        <v>20</v>
      </c>
      <c r="U777" s="6">
        <v>57</v>
      </c>
      <c r="V777" s="6">
        <f>IF(ISERROR(VLOOKUP($S$777,'TAR FIN'!$A$1:$O$85,15,0)),0,VLOOKUP($S$777,'TAR FIN'!$A$1:$O$85,15,0))</f>
        <v>0</v>
      </c>
      <c r="W777" s="6">
        <f>IF(ISERROR(VLOOKUP($T$777,'TAR FIN'!$A$1:$O$85,15,0)),0,VLOOKUP($T$777,'TAR FIN'!$A$1:$O$85,15,0))</f>
        <v>260.76</v>
      </c>
      <c r="X777" s="6">
        <f>IF(ISERROR(VLOOKUP($U$777,'TAR FIN'!$A$1:$O$85,15,0)),0,VLOOKUP($U$777,'TAR FIN'!$A$1:$O$85,15,0))</f>
        <v>322.54000000000002</v>
      </c>
      <c r="Y777" s="6"/>
      <c r="Z777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77" s="6">
        <f>('TE BE'!$AB$14+'TE BF'!$AB$14+'TE CVA'!$AB$14)*(1-CUSTOS!$M$37)</f>
        <v>319.954086693367</v>
      </c>
      <c r="AB777" s="6">
        <f>$K$777*$V$777</f>
        <v>0</v>
      </c>
      <c r="AC777" s="6">
        <f>$M$777*$W$777</f>
        <v>207.30420000000001</v>
      </c>
      <c r="AD777" s="6">
        <f>$O$777*$X$777</f>
        <v>256.41930000000002</v>
      </c>
      <c r="AE777" s="6">
        <f>$K$777*$Y$777</f>
        <v>0</v>
      </c>
      <c r="AF777" s="6">
        <f ca="1">$M$777*$Z$777</f>
        <v>229.67142140946282</v>
      </c>
      <c r="AG777" s="6">
        <f>$O$777*$AA$777</f>
        <v>254.36349892122678</v>
      </c>
    </row>
    <row r="778" spans="1:33" ht="11.25" customHeight="1" x14ac:dyDescent="0.25">
      <c r="A778" s="4" t="s">
        <v>21</v>
      </c>
      <c r="B778" s="4" t="s">
        <v>22</v>
      </c>
      <c r="C778" s="4" t="s">
        <v>23</v>
      </c>
      <c r="D778" s="4" t="s">
        <v>24</v>
      </c>
      <c r="E778" s="4" t="s">
        <v>32</v>
      </c>
      <c r="F778" s="4" t="s">
        <v>25</v>
      </c>
      <c r="G778" s="4" t="s">
        <v>25</v>
      </c>
      <c r="H778" s="4" t="s">
        <v>25</v>
      </c>
      <c r="I778" s="5">
        <v>44743</v>
      </c>
      <c r="J778" s="6">
        <v>0</v>
      </c>
      <c r="K778" s="6">
        <v>0</v>
      </c>
      <c r="L778" s="6">
        <v>66.433999999999997</v>
      </c>
      <c r="M778" s="6">
        <v>66.433999999999997</v>
      </c>
      <c r="N778" s="6">
        <v>66.433999999999997</v>
      </c>
      <c r="O778" s="6">
        <v>66.433999999999997</v>
      </c>
      <c r="P778" s="6">
        <v>973</v>
      </c>
      <c r="Q778" s="4" t="s">
        <v>26</v>
      </c>
      <c r="R778" s="4">
        <v>0</v>
      </c>
      <c r="S778" s="6">
        <v>0</v>
      </c>
      <c r="T778" s="6">
        <v>20</v>
      </c>
      <c r="U778" s="6">
        <v>57</v>
      </c>
      <c r="V778" s="6">
        <f>IF(ISERROR(VLOOKUP($S$778,'TAR FIN'!$A$1:$O$85,15,0)),0,VLOOKUP($S$778,'TAR FIN'!$A$1:$O$85,15,0))</f>
        <v>0</v>
      </c>
      <c r="W778" s="6">
        <f>IF(ISERROR(VLOOKUP($T$778,'TAR FIN'!$A$1:$O$85,15,0)),0,VLOOKUP($T$778,'TAR FIN'!$A$1:$O$85,15,0))</f>
        <v>260.76</v>
      </c>
      <c r="X778" s="6">
        <f>IF(ISERROR(VLOOKUP($U$778,'TAR FIN'!$A$1:$O$85,15,0)),0,VLOOKUP($U$778,'TAR FIN'!$A$1:$O$85,15,0))</f>
        <v>322.54000000000002</v>
      </c>
      <c r="Y778" s="6"/>
      <c r="Z778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78" s="6">
        <f>('TE BE'!$AB$14+'TE BF'!$AB$14+'TE CVA'!$AB$14)*(1-CUSTOS!$M$37)</f>
        <v>319.954086693367</v>
      </c>
      <c r="AB778" s="6">
        <f>$K$778*$V$778</f>
        <v>0</v>
      </c>
      <c r="AC778" s="6">
        <f>$M$778*$W$778</f>
        <v>17323.329839999999</v>
      </c>
      <c r="AD778" s="6">
        <f>$O$778*$X$778</f>
        <v>21427.622360000001</v>
      </c>
      <c r="AE778" s="6">
        <f>$K$778*$Y$778</f>
        <v>0</v>
      </c>
      <c r="AF778" s="6">
        <f ca="1">$M$778*$Z$778</f>
        <v>19192.441773479564</v>
      </c>
      <c r="AG778" s="6">
        <f>$O$778*$AA$778</f>
        <v>21255.829795387144</v>
      </c>
    </row>
    <row r="779" spans="1:33" ht="11.25" customHeight="1" x14ac:dyDescent="0.25">
      <c r="A779" s="4" t="s">
        <v>28</v>
      </c>
      <c r="B779" s="4" t="s">
        <v>22</v>
      </c>
      <c r="C779" s="4" t="s">
        <v>23</v>
      </c>
      <c r="D779" s="4" t="s">
        <v>24</v>
      </c>
      <c r="E779" s="4" t="s">
        <v>32</v>
      </c>
      <c r="F779" s="4" t="s">
        <v>25</v>
      </c>
      <c r="G779" s="4" t="s">
        <v>25</v>
      </c>
      <c r="H779" s="4" t="s">
        <v>25</v>
      </c>
      <c r="I779" s="5">
        <v>44743</v>
      </c>
      <c r="J779" s="6">
        <v>0</v>
      </c>
      <c r="K779" s="6">
        <v>0</v>
      </c>
      <c r="L779" s="6">
        <v>0.56399999999999995</v>
      </c>
      <c r="M779" s="6">
        <v>0.56399999999999995</v>
      </c>
      <c r="N779" s="6">
        <v>0.56399999999999995</v>
      </c>
      <c r="O779" s="6">
        <v>0.56399999999999995</v>
      </c>
      <c r="P779" s="6">
        <v>8</v>
      </c>
      <c r="Q779" s="4" t="s">
        <v>26</v>
      </c>
      <c r="R779" s="4">
        <v>0</v>
      </c>
      <c r="S779" s="6">
        <v>0</v>
      </c>
      <c r="T779" s="6">
        <v>20</v>
      </c>
      <c r="U779" s="6">
        <v>57</v>
      </c>
      <c r="V779" s="6">
        <f>IF(ISERROR(VLOOKUP($S$779,'TAR FIN'!$A$1:$O$85,15,0)),0,VLOOKUP($S$779,'TAR FIN'!$A$1:$O$85,15,0))</f>
        <v>0</v>
      </c>
      <c r="W779" s="6">
        <f>IF(ISERROR(VLOOKUP($T$779,'TAR FIN'!$A$1:$O$85,15,0)),0,VLOOKUP($T$779,'TAR FIN'!$A$1:$O$85,15,0))</f>
        <v>260.76</v>
      </c>
      <c r="X779" s="6">
        <f>IF(ISERROR(VLOOKUP($U$779,'TAR FIN'!$A$1:$O$85,15,0)),0,VLOOKUP($U$779,'TAR FIN'!$A$1:$O$85,15,0))</f>
        <v>322.54000000000002</v>
      </c>
      <c r="Y779" s="6"/>
      <c r="Z779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79" s="6">
        <f>('TE BE'!$AB$14+'TE BF'!$AB$14+'TE CVA'!$AB$14)*(1-CUSTOS!$M$37)</f>
        <v>319.954086693367</v>
      </c>
      <c r="AB779" s="6">
        <f>$K$779*$V$779</f>
        <v>0</v>
      </c>
      <c r="AC779" s="6">
        <f>$M$779*$W$779</f>
        <v>147.06863999999999</v>
      </c>
      <c r="AD779" s="6">
        <f>$O$779*$X$779</f>
        <v>181.91255999999998</v>
      </c>
      <c r="AE779" s="6">
        <f>$K$779*$Y$779</f>
        <v>0</v>
      </c>
      <c r="AF779" s="6">
        <f ca="1">$M$779*$Z$779</f>
        <v>162.93670650935474</v>
      </c>
      <c r="AG779" s="6">
        <f>$O$779*$AA$779</f>
        <v>180.45410489505898</v>
      </c>
    </row>
    <row r="780" spans="1:33" ht="11.25" customHeight="1" x14ac:dyDescent="0.25">
      <c r="A780" s="4" t="s">
        <v>56</v>
      </c>
      <c r="B780" s="4" t="s">
        <v>22</v>
      </c>
      <c r="C780" s="4" t="s">
        <v>23</v>
      </c>
      <c r="D780" s="4" t="s">
        <v>24</v>
      </c>
      <c r="E780" s="4" t="s">
        <v>32</v>
      </c>
      <c r="F780" s="4" t="s">
        <v>25</v>
      </c>
      <c r="G780" s="4" t="s">
        <v>25</v>
      </c>
      <c r="H780" s="4" t="s">
        <v>25</v>
      </c>
      <c r="I780" s="5">
        <v>44774</v>
      </c>
      <c r="J780" s="6">
        <v>0</v>
      </c>
      <c r="K780" s="6">
        <v>0</v>
      </c>
      <c r="L780" s="6">
        <v>66.433999999999997</v>
      </c>
      <c r="M780" s="6">
        <v>66.433999999999997</v>
      </c>
      <c r="N780" s="6">
        <v>66.433999999999997</v>
      </c>
      <c r="O780" s="6">
        <v>66.433999999999997</v>
      </c>
      <c r="P780" s="6">
        <v>973</v>
      </c>
      <c r="Q780" s="4" t="s">
        <v>26</v>
      </c>
      <c r="R780" s="4">
        <v>0</v>
      </c>
      <c r="S780" s="6">
        <v>0</v>
      </c>
      <c r="T780" s="6">
        <v>20</v>
      </c>
      <c r="U780" s="6">
        <v>57</v>
      </c>
      <c r="V780" s="6">
        <f>IF(ISERROR(VLOOKUP($S$780,'TAR FIN'!$A$1:$O$85,15,0)),0,VLOOKUP($S$780,'TAR FIN'!$A$1:$O$85,15,0))</f>
        <v>0</v>
      </c>
      <c r="W780" s="6">
        <f>IF(ISERROR(VLOOKUP($T$780,'TAR FIN'!$A$1:$O$85,15,0)),0,VLOOKUP($T$780,'TAR FIN'!$A$1:$O$85,15,0))</f>
        <v>260.76</v>
      </c>
      <c r="X780" s="6">
        <f>IF(ISERROR(VLOOKUP($U$780,'TAR FIN'!$A$1:$O$85,15,0)),0,VLOOKUP($U$780,'TAR FIN'!$A$1:$O$85,15,0))</f>
        <v>322.54000000000002</v>
      </c>
      <c r="Y780" s="6"/>
      <c r="Z780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80" s="6">
        <f>('TE BE'!$AB$14+'TE BF'!$AB$14+'TE CVA'!$AB$14)*(1-CUSTOS!$M$37)</f>
        <v>319.954086693367</v>
      </c>
      <c r="AB780" s="6">
        <f>$K$780*$V$780</f>
        <v>0</v>
      </c>
      <c r="AC780" s="6">
        <f>$M$780*$W$780</f>
        <v>17323.329839999999</v>
      </c>
      <c r="AD780" s="6">
        <f>$O$780*$X$780</f>
        <v>21427.622360000001</v>
      </c>
      <c r="AE780" s="6">
        <f>$K$780*$Y$780</f>
        <v>0</v>
      </c>
      <c r="AF780" s="6">
        <f ca="1">$M$780*$Z$780</f>
        <v>19192.441773479564</v>
      </c>
      <c r="AG780" s="6">
        <f>$O$780*$AA$780</f>
        <v>21255.829795387144</v>
      </c>
    </row>
    <row r="781" spans="1:33" ht="11.25" customHeight="1" x14ac:dyDescent="0.25">
      <c r="A781" s="4" t="s">
        <v>56</v>
      </c>
      <c r="B781" s="4" t="s">
        <v>22</v>
      </c>
      <c r="C781" s="4" t="s">
        <v>23</v>
      </c>
      <c r="D781" s="4" t="s">
        <v>24</v>
      </c>
      <c r="E781" s="4" t="s">
        <v>32</v>
      </c>
      <c r="F781" s="4" t="s">
        <v>25</v>
      </c>
      <c r="G781" s="4" t="s">
        <v>25</v>
      </c>
      <c r="H781" s="4" t="s">
        <v>25</v>
      </c>
      <c r="I781" s="5">
        <v>44774</v>
      </c>
      <c r="J781" s="6">
        <v>0</v>
      </c>
      <c r="K781" s="6">
        <v>0</v>
      </c>
      <c r="L781" s="6">
        <v>0.56399999999999995</v>
      </c>
      <c r="M781" s="6">
        <v>0.56399999999999995</v>
      </c>
      <c r="N781" s="6">
        <v>0.56399999999999995</v>
      </c>
      <c r="O781" s="6">
        <v>0.56399999999999995</v>
      </c>
      <c r="P781" s="6">
        <v>8</v>
      </c>
      <c r="Q781" s="4" t="s">
        <v>26</v>
      </c>
      <c r="R781" s="4">
        <v>0</v>
      </c>
      <c r="S781" s="6">
        <v>0</v>
      </c>
      <c r="T781" s="6">
        <v>20</v>
      </c>
      <c r="U781" s="6">
        <v>57</v>
      </c>
      <c r="V781" s="6">
        <f>IF(ISERROR(VLOOKUP($S$781,'TAR FIN'!$A$1:$O$85,15,0)),0,VLOOKUP($S$781,'TAR FIN'!$A$1:$O$85,15,0))</f>
        <v>0</v>
      </c>
      <c r="W781" s="6">
        <f>IF(ISERROR(VLOOKUP($T$781,'TAR FIN'!$A$1:$O$85,15,0)),0,VLOOKUP($T$781,'TAR FIN'!$A$1:$O$85,15,0))</f>
        <v>260.76</v>
      </c>
      <c r="X781" s="6">
        <f>IF(ISERROR(VLOOKUP($U$781,'TAR FIN'!$A$1:$O$85,15,0)),0,VLOOKUP($U$781,'TAR FIN'!$A$1:$O$85,15,0))</f>
        <v>322.54000000000002</v>
      </c>
      <c r="Y781" s="6"/>
      <c r="Z781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781" s="6">
        <f>('TE BE'!$AB$14+'TE BF'!$AB$14+'TE CVA'!$AB$14)*(1-CUSTOS!$M$37)</f>
        <v>319.954086693367</v>
      </c>
      <c r="AB781" s="6">
        <f>$K$781*$V$781</f>
        <v>0</v>
      </c>
      <c r="AC781" s="6">
        <f>$M$781*$W$781</f>
        <v>147.06863999999999</v>
      </c>
      <c r="AD781" s="6">
        <f>$O$781*$X$781</f>
        <v>181.91255999999998</v>
      </c>
      <c r="AE781" s="6">
        <f>$K$781*$Y$781</f>
        <v>0</v>
      </c>
      <c r="AF781" s="6">
        <f ca="1">$M$781*$Z$781</f>
        <v>162.93670650935474</v>
      </c>
      <c r="AG781" s="6">
        <f>$O$781*$AA$781</f>
        <v>180.45410489505898</v>
      </c>
    </row>
    <row r="782" spans="1:33" ht="11.25" customHeight="1" x14ac:dyDescent="0.25">
      <c r="A782" s="4" t="s">
        <v>21</v>
      </c>
      <c r="B782" s="4" t="s">
        <v>43</v>
      </c>
      <c r="C782" s="4" t="s">
        <v>33</v>
      </c>
      <c r="D782" s="4" t="s">
        <v>44</v>
      </c>
      <c r="E782" s="4" t="s">
        <v>25</v>
      </c>
      <c r="F782" s="4" t="s">
        <v>25</v>
      </c>
      <c r="G782" s="4" t="s">
        <v>25</v>
      </c>
      <c r="H782" s="4" t="s">
        <v>35</v>
      </c>
      <c r="I782" s="5">
        <v>44440</v>
      </c>
      <c r="J782" s="6">
        <v>0</v>
      </c>
      <c r="K782" s="6">
        <v>0</v>
      </c>
      <c r="L782" s="6">
        <v>0.439</v>
      </c>
      <c r="M782" s="6">
        <v>0.439</v>
      </c>
      <c r="N782" s="6">
        <v>0.439</v>
      </c>
      <c r="O782" s="6">
        <v>0.439</v>
      </c>
      <c r="P782" s="6">
        <v>0</v>
      </c>
      <c r="Q782" s="4" t="s">
        <v>26</v>
      </c>
      <c r="R782" s="4">
        <v>0</v>
      </c>
      <c r="S782" s="6">
        <v>0</v>
      </c>
      <c r="T782" s="6">
        <v>28</v>
      </c>
      <c r="U782" s="6">
        <v>65</v>
      </c>
      <c r="V782" s="6">
        <f>IF(ISERROR(VLOOKUP($S$782,'TAR FIN'!$A$1:$O$85,15,0)),0,VLOOKUP($S$782,'TAR FIN'!$A$1:$O$85,15,0))</f>
        <v>0</v>
      </c>
      <c r="W782" s="6">
        <f>IF(ISERROR(VLOOKUP($T$782,'TAR FIN'!$A$1:$O$85,15,0)),0,VLOOKUP($T$782,'TAR FIN'!$A$1:$O$85,15,0))</f>
        <v>228.11</v>
      </c>
      <c r="X782" s="6">
        <f>IF(ISERROR(VLOOKUP($U$782,'TAR FIN'!$A$1:$O$85,15,0)),0,VLOOKUP($U$782,'TAR FIN'!$A$1:$O$85,15,0))</f>
        <v>270.23</v>
      </c>
      <c r="Y782" s="6"/>
      <c r="Z782" s="6">
        <f ca="1">('TUSD BE'!$AM$32+'TUSD BF'!$AM$32+'TUSD CVA'!$AM$32)*(1-CUSTOS!$M$38)</f>
        <v>340.798072066354</v>
      </c>
      <c r="AA782" s="6">
        <f>('TE BE'!$AB$22+'TE BF'!$AB$22+'TE CVA'!$AB$22)*(1-CUSTOS!$M$38)</f>
        <v>286.57806182434155</v>
      </c>
      <c r="AB782" s="6">
        <f>$K$782*$V$782</f>
        <v>0</v>
      </c>
      <c r="AC782" s="6">
        <f>$M$782*$W$782</f>
        <v>100.14029000000001</v>
      </c>
      <c r="AD782" s="6">
        <f>$O$782*$X$782</f>
        <v>118.63097</v>
      </c>
      <c r="AE782" s="6">
        <f>$K$782*$Y$782</f>
        <v>0</v>
      </c>
      <c r="AF782" s="6">
        <f ca="1">$M$782*$Z$782</f>
        <v>149.61035363712941</v>
      </c>
      <c r="AG782" s="6">
        <f>$O$782*$AA$782</f>
        <v>125.80776914088594</v>
      </c>
    </row>
    <row r="783" spans="1:33" ht="11.25" customHeight="1" x14ac:dyDescent="0.25">
      <c r="A783" s="4" t="s">
        <v>21</v>
      </c>
      <c r="B783" s="4" t="s">
        <v>43</v>
      </c>
      <c r="C783" s="4" t="s">
        <v>33</v>
      </c>
      <c r="D783" s="4" t="s">
        <v>44</v>
      </c>
      <c r="E783" s="4" t="s">
        <v>25</v>
      </c>
      <c r="F783" s="4" t="s">
        <v>25</v>
      </c>
      <c r="G783" s="4" t="s">
        <v>25</v>
      </c>
      <c r="H783" s="4" t="s">
        <v>35</v>
      </c>
      <c r="I783" s="5">
        <v>44470</v>
      </c>
      <c r="J783" s="6">
        <v>0</v>
      </c>
      <c r="K783" s="6">
        <v>0</v>
      </c>
      <c r="L783" s="6">
        <v>0.68200000000000005</v>
      </c>
      <c r="M783" s="6">
        <v>0.68200000000000005</v>
      </c>
      <c r="N783" s="6">
        <v>0.68200000000000005</v>
      </c>
      <c r="O783" s="6">
        <v>0.68200000000000005</v>
      </c>
      <c r="P783" s="6">
        <v>0</v>
      </c>
      <c r="Q783" s="4" t="s">
        <v>26</v>
      </c>
      <c r="R783" s="4">
        <v>0</v>
      </c>
      <c r="S783" s="6">
        <v>0</v>
      </c>
      <c r="T783" s="6">
        <v>28</v>
      </c>
      <c r="U783" s="6">
        <v>65</v>
      </c>
      <c r="V783" s="6">
        <f>IF(ISERROR(VLOOKUP($S$783,'TAR FIN'!$A$1:$O$85,15,0)),0,VLOOKUP($S$783,'TAR FIN'!$A$1:$O$85,15,0))</f>
        <v>0</v>
      </c>
      <c r="W783" s="6">
        <f>IF(ISERROR(VLOOKUP($T$783,'TAR FIN'!$A$1:$O$85,15,0)),0,VLOOKUP($T$783,'TAR FIN'!$A$1:$O$85,15,0))</f>
        <v>228.11</v>
      </c>
      <c r="X783" s="6">
        <f>IF(ISERROR(VLOOKUP($U$783,'TAR FIN'!$A$1:$O$85,15,0)),0,VLOOKUP($U$783,'TAR FIN'!$A$1:$O$85,15,0))</f>
        <v>270.23</v>
      </c>
      <c r="Y783" s="6"/>
      <c r="Z783" s="6">
        <f ca="1">('TUSD BE'!$AM$32+'TUSD BF'!$AM$32+'TUSD CVA'!$AM$32)*(1-CUSTOS!$M$38)</f>
        <v>340.798072066354</v>
      </c>
      <c r="AA783" s="6">
        <f>('TE BE'!$AB$22+'TE BF'!$AB$22+'TE CVA'!$AB$22)*(1-CUSTOS!$M$38)</f>
        <v>286.57806182434155</v>
      </c>
      <c r="AB783" s="6">
        <f>$K$783*$V$783</f>
        <v>0</v>
      </c>
      <c r="AC783" s="6">
        <f>$M$783*$W$783</f>
        <v>155.57102000000003</v>
      </c>
      <c r="AD783" s="6">
        <f>$O$783*$X$783</f>
        <v>184.29686000000004</v>
      </c>
      <c r="AE783" s="6">
        <f>$K$783*$Y$783</f>
        <v>0</v>
      </c>
      <c r="AF783" s="6">
        <f ca="1">$M$783*$Z$783</f>
        <v>232.42428514925345</v>
      </c>
      <c r="AG783" s="6">
        <f>$O$783*$AA$783</f>
        <v>195.44623816420093</v>
      </c>
    </row>
    <row r="784" spans="1:33" ht="11.25" customHeight="1" x14ac:dyDescent="0.25">
      <c r="A784" s="4" t="s">
        <v>21</v>
      </c>
      <c r="B784" s="4" t="s">
        <v>43</v>
      </c>
      <c r="C784" s="4" t="s">
        <v>33</v>
      </c>
      <c r="D784" s="4" t="s">
        <v>44</v>
      </c>
      <c r="E784" s="4" t="s">
        <v>25</v>
      </c>
      <c r="F784" s="4" t="s">
        <v>25</v>
      </c>
      <c r="G784" s="4" t="s">
        <v>25</v>
      </c>
      <c r="H784" s="4" t="s">
        <v>35</v>
      </c>
      <c r="I784" s="5">
        <v>44501</v>
      </c>
      <c r="J784" s="6">
        <v>0</v>
      </c>
      <c r="K784" s="6">
        <v>0</v>
      </c>
      <c r="L784" s="6">
        <v>0.317</v>
      </c>
      <c r="M784" s="6">
        <v>0.317</v>
      </c>
      <c r="N784" s="6">
        <v>0.317</v>
      </c>
      <c r="O784" s="6">
        <v>0.317</v>
      </c>
      <c r="P784" s="6">
        <v>0</v>
      </c>
      <c r="Q784" s="4" t="s">
        <v>26</v>
      </c>
      <c r="R784" s="4">
        <v>0</v>
      </c>
      <c r="S784" s="6">
        <v>0</v>
      </c>
      <c r="T784" s="6">
        <v>28</v>
      </c>
      <c r="U784" s="6">
        <v>65</v>
      </c>
      <c r="V784" s="6">
        <f>IF(ISERROR(VLOOKUP($S$784,'TAR FIN'!$A$1:$O$85,15,0)),0,VLOOKUP($S$784,'TAR FIN'!$A$1:$O$85,15,0))</f>
        <v>0</v>
      </c>
      <c r="W784" s="6">
        <f>IF(ISERROR(VLOOKUP($T$784,'TAR FIN'!$A$1:$O$85,15,0)),0,VLOOKUP($T$784,'TAR FIN'!$A$1:$O$85,15,0))</f>
        <v>228.11</v>
      </c>
      <c r="X784" s="6">
        <f>IF(ISERROR(VLOOKUP($U$784,'TAR FIN'!$A$1:$O$85,15,0)),0,VLOOKUP($U$784,'TAR FIN'!$A$1:$O$85,15,0))</f>
        <v>270.23</v>
      </c>
      <c r="Y784" s="6"/>
      <c r="Z784" s="6">
        <f ca="1">('TUSD BE'!$AM$32+'TUSD BF'!$AM$32+'TUSD CVA'!$AM$32)*(1-CUSTOS!$M$38)</f>
        <v>340.798072066354</v>
      </c>
      <c r="AA784" s="6">
        <f>('TE BE'!$AB$22+'TE BF'!$AB$22+'TE CVA'!$AB$22)*(1-CUSTOS!$M$38)</f>
        <v>286.57806182434155</v>
      </c>
      <c r="AB784" s="6">
        <f>$K$784*$V$784</f>
        <v>0</v>
      </c>
      <c r="AC784" s="6">
        <f>$M$784*$W$784</f>
        <v>72.310870000000008</v>
      </c>
      <c r="AD784" s="6">
        <f>$O$784*$X$784</f>
        <v>85.662910000000011</v>
      </c>
      <c r="AE784" s="6">
        <f>$K$784*$Y$784</f>
        <v>0</v>
      </c>
      <c r="AF784" s="6">
        <f ca="1">$M$784*$Z$784</f>
        <v>108.03298884503421</v>
      </c>
      <c r="AG784" s="6">
        <f>$O$784*$AA$784</f>
        <v>90.845245598316268</v>
      </c>
    </row>
    <row r="785" spans="1:33" ht="11.25" customHeight="1" x14ac:dyDescent="0.25">
      <c r="A785" s="4" t="s">
        <v>21</v>
      </c>
      <c r="B785" s="4" t="s">
        <v>43</v>
      </c>
      <c r="C785" s="4" t="s">
        <v>33</v>
      </c>
      <c r="D785" s="4" t="s">
        <v>44</v>
      </c>
      <c r="E785" s="4" t="s">
        <v>25</v>
      </c>
      <c r="F785" s="4" t="s">
        <v>25</v>
      </c>
      <c r="G785" s="4" t="s">
        <v>25</v>
      </c>
      <c r="H785" s="4" t="s">
        <v>35</v>
      </c>
      <c r="I785" s="5">
        <v>44531</v>
      </c>
      <c r="J785" s="6">
        <v>0</v>
      </c>
      <c r="K785" s="6">
        <v>0</v>
      </c>
      <c r="L785" s="6">
        <v>0.26200000000000001</v>
      </c>
      <c r="M785" s="6">
        <v>0.26200000000000001</v>
      </c>
      <c r="N785" s="6">
        <v>0.26200000000000001</v>
      </c>
      <c r="O785" s="6">
        <v>0.26200000000000001</v>
      </c>
      <c r="P785" s="6">
        <v>0</v>
      </c>
      <c r="Q785" s="4" t="s">
        <v>26</v>
      </c>
      <c r="R785" s="4">
        <v>0</v>
      </c>
      <c r="S785" s="6">
        <v>0</v>
      </c>
      <c r="T785" s="6">
        <v>28</v>
      </c>
      <c r="U785" s="6">
        <v>65</v>
      </c>
      <c r="V785" s="6">
        <f>IF(ISERROR(VLOOKUP($S$785,'TAR FIN'!$A$1:$O$85,15,0)),0,VLOOKUP($S$785,'TAR FIN'!$A$1:$O$85,15,0))</f>
        <v>0</v>
      </c>
      <c r="W785" s="6">
        <f>IF(ISERROR(VLOOKUP($T$785,'TAR FIN'!$A$1:$O$85,15,0)),0,VLOOKUP($T$785,'TAR FIN'!$A$1:$O$85,15,0))</f>
        <v>228.11</v>
      </c>
      <c r="X785" s="6">
        <f>IF(ISERROR(VLOOKUP($U$785,'TAR FIN'!$A$1:$O$85,15,0)),0,VLOOKUP($U$785,'TAR FIN'!$A$1:$O$85,15,0))</f>
        <v>270.23</v>
      </c>
      <c r="Y785" s="6"/>
      <c r="Z785" s="6">
        <f ca="1">('TUSD BE'!$AM$32+'TUSD BF'!$AM$32+'TUSD CVA'!$AM$32)*(1-CUSTOS!$M$38)</f>
        <v>340.798072066354</v>
      </c>
      <c r="AA785" s="6">
        <f>('TE BE'!$AB$22+'TE BF'!$AB$22+'TE CVA'!$AB$22)*(1-CUSTOS!$M$38)</f>
        <v>286.57806182434155</v>
      </c>
      <c r="AB785" s="6">
        <f>$K$785*$V$785</f>
        <v>0</v>
      </c>
      <c r="AC785" s="6">
        <f>$M$785*$W$785</f>
        <v>59.764820000000007</v>
      </c>
      <c r="AD785" s="6">
        <f>$O$785*$X$785</f>
        <v>70.800260000000009</v>
      </c>
      <c r="AE785" s="6">
        <f>$K$785*$Y$785</f>
        <v>0</v>
      </c>
      <c r="AF785" s="6">
        <f ca="1">$M$785*$Z$785</f>
        <v>89.289094881384756</v>
      </c>
      <c r="AG785" s="6">
        <f>$O$785*$AA$785</f>
        <v>75.083452197977493</v>
      </c>
    </row>
    <row r="786" spans="1:33" ht="11.25" customHeight="1" x14ac:dyDescent="0.25">
      <c r="A786" s="4" t="s">
        <v>21</v>
      </c>
      <c r="B786" s="4" t="s">
        <v>43</v>
      </c>
      <c r="C786" s="4" t="s">
        <v>33</v>
      </c>
      <c r="D786" s="4" t="s">
        <v>44</v>
      </c>
      <c r="E786" s="4" t="s">
        <v>25</v>
      </c>
      <c r="F786" s="4" t="s">
        <v>25</v>
      </c>
      <c r="G786" s="4" t="s">
        <v>25</v>
      </c>
      <c r="H786" s="4" t="s">
        <v>35</v>
      </c>
      <c r="I786" s="5">
        <v>44562</v>
      </c>
      <c r="J786" s="6">
        <v>0</v>
      </c>
      <c r="K786" s="6">
        <v>0</v>
      </c>
      <c r="L786" s="6">
        <v>0.42599999999999999</v>
      </c>
      <c r="M786" s="6">
        <v>0.42599999999999999</v>
      </c>
      <c r="N786" s="6">
        <v>0.42599999999999999</v>
      </c>
      <c r="O786" s="6">
        <v>0.42599999999999999</v>
      </c>
      <c r="P786" s="6">
        <v>0</v>
      </c>
      <c r="Q786" s="4" t="s">
        <v>26</v>
      </c>
      <c r="R786" s="4">
        <v>0</v>
      </c>
      <c r="S786" s="6">
        <v>0</v>
      </c>
      <c r="T786" s="6">
        <v>28</v>
      </c>
      <c r="U786" s="6">
        <v>65</v>
      </c>
      <c r="V786" s="6">
        <f>IF(ISERROR(VLOOKUP($S$786,'TAR FIN'!$A$1:$O$85,15,0)),0,VLOOKUP($S$786,'TAR FIN'!$A$1:$O$85,15,0))</f>
        <v>0</v>
      </c>
      <c r="W786" s="6">
        <f>IF(ISERROR(VLOOKUP($T$786,'TAR FIN'!$A$1:$O$85,15,0)),0,VLOOKUP($T$786,'TAR FIN'!$A$1:$O$85,15,0))</f>
        <v>228.11</v>
      </c>
      <c r="X786" s="6">
        <f>IF(ISERROR(VLOOKUP($U$786,'TAR FIN'!$A$1:$O$85,15,0)),0,VLOOKUP($U$786,'TAR FIN'!$A$1:$O$85,15,0))</f>
        <v>270.23</v>
      </c>
      <c r="Y786" s="6"/>
      <c r="Z786" s="6">
        <f ca="1">('TUSD BE'!$AM$32+'TUSD BF'!$AM$32+'TUSD CVA'!$AM$32)*(1-CUSTOS!$M$38)</f>
        <v>340.798072066354</v>
      </c>
      <c r="AA786" s="6">
        <f>('TE BE'!$AB$22+'TE BF'!$AB$22+'TE CVA'!$AB$22)*(1-CUSTOS!$M$38)</f>
        <v>286.57806182434155</v>
      </c>
      <c r="AB786" s="6">
        <f>$K$786*$V$786</f>
        <v>0</v>
      </c>
      <c r="AC786" s="6">
        <f>$M$786*$W$786</f>
        <v>97.17486000000001</v>
      </c>
      <c r="AD786" s="6">
        <f>$O$786*$X$786</f>
        <v>115.11798</v>
      </c>
      <c r="AE786" s="6">
        <f>$K$786*$Y$786</f>
        <v>0</v>
      </c>
      <c r="AF786" s="6">
        <f ca="1">$M$786*$Z$786</f>
        <v>145.17997870026679</v>
      </c>
      <c r="AG786" s="6">
        <f>$O$786*$AA$786</f>
        <v>122.0822543371695</v>
      </c>
    </row>
    <row r="787" spans="1:33" ht="11.25" customHeight="1" x14ac:dyDescent="0.25">
      <c r="A787" s="4" t="s">
        <v>21</v>
      </c>
      <c r="B787" s="4" t="s">
        <v>43</v>
      </c>
      <c r="C787" s="4" t="s">
        <v>33</v>
      </c>
      <c r="D787" s="4" t="s">
        <v>44</v>
      </c>
      <c r="E787" s="4" t="s">
        <v>25</v>
      </c>
      <c r="F787" s="4" t="s">
        <v>25</v>
      </c>
      <c r="G787" s="4" t="s">
        <v>25</v>
      </c>
      <c r="H787" s="4" t="s">
        <v>35</v>
      </c>
      <c r="I787" s="5">
        <v>44593</v>
      </c>
      <c r="J787" s="6">
        <v>0</v>
      </c>
      <c r="K787" s="6">
        <v>0</v>
      </c>
      <c r="L787" s="6">
        <v>0.34699999999999998</v>
      </c>
      <c r="M787" s="6">
        <v>0.34699999999999998</v>
      </c>
      <c r="N787" s="6">
        <v>0.34699999999999998</v>
      </c>
      <c r="O787" s="6">
        <v>0.34699999999999998</v>
      </c>
      <c r="P787" s="6">
        <v>0</v>
      </c>
      <c r="Q787" s="4" t="s">
        <v>26</v>
      </c>
      <c r="R787" s="4">
        <v>0</v>
      </c>
      <c r="S787" s="6">
        <v>0</v>
      </c>
      <c r="T787" s="6">
        <v>28</v>
      </c>
      <c r="U787" s="6">
        <v>65</v>
      </c>
      <c r="V787" s="6">
        <f>IF(ISERROR(VLOOKUP($S$787,'TAR FIN'!$A$1:$O$85,15,0)),0,VLOOKUP($S$787,'TAR FIN'!$A$1:$O$85,15,0))</f>
        <v>0</v>
      </c>
      <c r="W787" s="6">
        <f>IF(ISERROR(VLOOKUP($T$787,'TAR FIN'!$A$1:$O$85,15,0)),0,VLOOKUP($T$787,'TAR FIN'!$A$1:$O$85,15,0))</f>
        <v>228.11</v>
      </c>
      <c r="X787" s="6">
        <f>IF(ISERROR(VLOOKUP($U$787,'TAR FIN'!$A$1:$O$85,15,0)),0,VLOOKUP($U$787,'TAR FIN'!$A$1:$O$85,15,0))</f>
        <v>270.23</v>
      </c>
      <c r="Y787" s="6"/>
      <c r="Z787" s="6">
        <f ca="1">('TUSD BE'!$AM$32+'TUSD BF'!$AM$32+'TUSD CVA'!$AM$32)*(1-CUSTOS!$M$38)</f>
        <v>340.798072066354</v>
      </c>
      <c r="AA787" s="6">
        <f>('TE BE'!$AB$22+'TE BF'!$AB$22+'TE CVA'!$AB$22)*(1-CUSTOS!$M$38)</f>
        <v>286.57806182434155</v>
      </c>
      <c r="AB787" s="6">
        <f>$K$787*$V$787</f>
        <v>0</v>
      </c>
      <c r="AC787" s="6">
        <f>$M$787*$W$787</f>
        <v>79.154169999999993</v>
      </c>
      <c r="AD787" s="6">
        <f>$O$787*$X$787</f>
        <v>93.769809999999993</v>
      </c>
      <c r="AE787" s="6">
        <f>$K$787*$Y$787</f>
        <v>0</v>
      </c>
      <c r="AF787" s="6">
        <f ca="1">$M$787*$Z$787</f>
        <v>118.25693100702483</v>
      </c>
      <c r="AG787" s="6">
        <f>$O$787*$AA$787</f>
        <v>99.442587453046514</v>
      </c>
    </row>
    <row r="788" spans="1:33" ht="11.25" customHeight="1" x14ac:dyDescent="0.25">
      <c r="A788" s="4" t="s">
        <v>21</v>
      </c>
      <c r="B788" s="4" t="s">
        <v>43</v>
      </c>
      <c r="C788" s="4" t="s">
        <v>33</v>
      </c>
      <c r="D788" s="4" t="s">
        <v>44</v>
      </c>
      <c r="E788" s="4" t="s">
        <v>25</v>
      </c>
      <c r="F788" s="4" t="s">
        <v>25</v>
      </c>
      <c r="G788" s="4" t="s">
        <v>25</v>
      </c>
      <c r="H788" s="4" t="s">
        <v>35</v>
      </c>
      <c r="I788" s="5">
        <v>44621</v>
      </c>
      <c r="J788" s="6">
        <v>0</v>
      </c>
      <c r="K788" s="6">
        <v>0</v>
      </c>
      <c r="L788" s="6">
        <v>0.35099999999999998</v>
      </c>
      <c r="M788" s="6">
        <v>0.35099999999999998</v>
      </c>
      <c r="N788" s="6">
        <v>0.35099999999999998</v>
      </c>
      <c r="O788" s="6">
        <v>0.35099999999999998</v>
      </c>
      <c r="P788" s="6">
        <v>0</v>
      </c>
      <c r="Q788" s="4" t="s">
        <v>26</v>
      </c>
      <c r="R788" s="4">
        <v>0</v>
      </c>
      <c r="S788" s="6">
        <v>0</v>
      </c>
      <c r="T788" s="6">
        <v>28</v>
      </c>
      <c r="U788" s="6">
        <v>65</v>
      </c>
      <c r="V788" s="6">
        <f>IF(ISERROR(VLOOKUP($S$788,'TAR FIN'!$A$1:$O$85,15,0)),0,VLOOKUP($S$788,'TAR FIN'!$A$1:$O$85,15,0))</f>
        <v>0</v>
      </c>
      <c r="W788" s="6">
        <f>IF(ISERROR(VLOOKUP($T$788,'TAR FIN'!$A$1:$O$85,15,0)),0,VLOOKUP($T$788,'TAR FIN'!$A$1:$O$85,15,0))</f>
        <v>228.11</v>
      </c>
      <c r="X788" s="6">
        <f>IF(ISERROR(VLOOKUP($U$788,'TAR FIN'!$A$1:$O$85,15,0)),0,VLOOKUP($U$788,'TAR FIN'!$A$1:$O$85,15,0))</f>
        <v>270.23</v>
      </c>
      <c r="Y788" s="6"/>
      <c r="Z788" s="6">
        <f ca="1">('TUSD BE'!$AM$32+'TUSD BF'!$AM$32+'TUSD CVA'!$AM$32)*(1-CUSTOS!$M$38)</f>
        <v>340.798072066354</v>
      </c>
      <c r="AA788" s="6">
        <f>('TE BE'!$AB$22+'TE BF'!$AB$22+'TE CVA'!$AB$22)*(1-CUSTOS!$M$38)</f>
        <v>286.57806182434155</v>
      </c>
      <c r="AB788" s="6">
        <f>$K$788*$V$788</f>
        <v>0</v>
      </c>
      <c r="AC788" s="6">
        <f>$M$788*$W$788</f>
        <v>80.066609999999997</v>
      </c>
      <c r="AD788" s="6">
        <f>$O$788*$X$788</f>
        <v>94.850729999999999</v>
      </c>
      <c r="AE788" s="6">
        <f>$K$788*$Y$788</f>
        <v>0</v>
      </c>
      <c r="AF788" s="6">
        <f ca="1">$M$788*$Z$788</f>
        <v>119.62012329529024</v>
      </c>
      <c r="AG788" s="6">
        <f>$O$788*$AA$788</f>
        <v>100.58889970034387</v>
      </c>
    </row>
    <row r="789" spans="1:33" ht="11.25" customHeight="1" x14ac:dyDescent="0.25">
      <c r="A789" s="4" t="s">
        <v>21</v>
      </c>
      <c r="B789" s="4" t="s">
        <v>43</v>
      </c>
      <c r="C789" s="4" t="s">
        <v>33</v>
      </c>
      <c r="D789" s="4" t="s">
        <v>44</v>
      </c>
      <c r="E789" s="4" t="s">
        <v>25</v>
      </c>
      <c r="F789" s="4" t="s">
        <v>25</v>
      </c>
      <c r="G789" s="4" t="s">
        <v>25</v>
      </c>
      <c r="H789" s="4" t="s">
        <v>35</v>
      </c>
      <c r="I789" s="5">
        <v>44652</v>
      </c>
      <c r="J789" s="6">
        <v>0</v>
      </c>
      <c r="K789" s="6">
        <v>0</v>
      </c>
      <c r="L789" s="6">
        <v>0.30199999999999999</v>
      </c>
      <c r="M789" s="6">
        <v>0.30199999999999999</v>
      </c>
      <c r="N789" s="6">
        <v>0.30199999999999999</v>
      </c>
      <c r="O789" s="6">
        <v>0.30199999999999999</v>
      </c>
      <c r="P789" s="6">
        <v>0</v>
      </c>
      <c r="Q789" s="4" t="s">
        <v>26</v>
      </c>
      <c r="R789" s="4">
        <v>0</v>
      </c>
      <c r="S789" s="6">
        <v>0</v>
      </c>
      <c r="T789" s="6">
        <v>28</v>
      </c>
      <c r="U789" s="6">
        <v>65</v>
      </c>
      <c r="V789" s="6">
        <f>IF(ISERROR(VLOOKUP($S$789,'TAR FIN'!$A$1:$O$85,15,0)),0,VLOOKUP($S$789,'TAR FIN'!$A$1:$O$85,15,0))</f>
        <v>0</v>
      </c>
      <c r="W789" s="6">
        <f>IF(ISERROR(VLOOKUP($T$789,'TAR FIN'!$A$1:$O$85,15,0)),0,VLOOKUP($T$789,'TAR FIN'!$A$1:$O$85,15,0))</f>
        <v>228.11</v>
      </c>
      <c r="X789" s="6">
        <f>IF(ISERROR(VLOOKUP($U$789,'TAR FIN'!$A$1:$O$85,15,0)),0,VLOOKUP($U$789,'TAR FIN'!$A$1:$O$85,15,0))</f>
        <v>270.23</v>
      </c>
      <c r="Y789" s="6"/>
      <c r="Z789" s="6">
        <f ca="1">('TUSD BE'!$AM$32+'TUSD BF'!$AM$32+'TUSD CVA'!$AM$32)*(1-CUSTOS!$M$38)</f>
        <v>340.798072066354</v>
      </c>
      <c r="AA789" s="6">
        <f>('TE BE'!$AB$22+'TE BF'!$AB$22+'TE CVA'!$AB$22)*(1-CUSTOS!$M$38)</f>
        <v>286.57806182434155</v>
      </c>
      <c r="AB789" s="6">
        <f>$K$789*$V$789</f>
        <v>0</v>
      </c>
      <c r="AC789" s="6">
        <f>$M$789*$W$789</f>
        <v>68.889220000000009</v>
      </c>
      <c r="AD789" s="6">
        <f>$O$789*$X$789</f>
        <v>81.609459999999999</v>
      </c>
      <c r="AE789" s="6">
        <f>$K$789*$Y$789</f>
        <v>0</v>
      </c>
      <c r="AF789" s="6">
        <f ca="1">$M$789*$Z$789</f>
        <v>102.92101776403891</v>
      </c>
      <c r="AG789" s="6">
        <f>$O$789*$AA$789</f>
        <v>86.546574670951145</v>
      </c>
    </row>
    <row r="790" spans="1:33" ht="11.25" customHeight="1" x14ac:dyDescent="0.25">
      <c r="A790" s="4" t="s">
        <v>21</v>
      </c>
      <c r="B790" s="4" t="s">
        <v>43</v>
      </c>
      <c r="C790" s="4" t="s">
        <v>33</v>
      </c>
      <c r="D790" s="4" t="s">
        <v>44</v>
      </c>
      <c r="E790" s="4" t="s">
        <v>25</v>
      </c>
      <c r="F790" s="4" t="s">
        <v>25</v>
      </c>
      <c r="G790" s="4" t="s">
        <v>25</v>
      </c>
      <c r="H790" s="4" t="s">
        <v>35</v>
      </c>
      <c r="I790" s="5">
        <v>44682</v>
      </c>
      <c r="J790" s="6">
        <v>0</v>
      </c>
      <c r="K790" s="6">
        <v>0</v>
      </c>
      <c r="L790" s="6">
        <v>0.54500000000000004</v>
      </c>
      <c r="M790" s="6">
        <v>0.54500000000000004</v>
      </c>
      <c r="N790" s="6">
        <v>0.54500000000000004</v>
      </c>
      <c r="O790" s="6">
        <v>0.54500000000000004</v>
      </c>
      <c r="P790" s="6">
        <v>0</v>
      </c>
      <c r="Q790" s="4" t="s">
        <v>26</v>
      </c>
      <c r="R790" s="4">
        <v>0</v>
      </c>
      <c r="S790" s="6">
        <v>0</v>
      </c>
      <c r="T790" s="6">
        <v>28</v>
      </c>
      <c r="U790" s="6">
        <v>65</v>
      </c>
      <c r="V790" s="6">
        <f>IF(ISERROR(VLOOKUP($S$790,'TAR FIN'!$A$1:$O$85,15,0)),0,VLOOKUP($S$790,'TAR FIN'!$A$1:$O$85,15,0))</f>
        <v>0</v>
      </c>
      <c r="W790" s="6">
        <f>IF(ISERROR(VLOOKUP($T$790,'TAR FIN'!$A$1:$O$85,15,0)),0,VLOOKUP($T$790,'TAR FIN'!$A$1:$O$85,15,0))</f>
        <v>228.11</v>
      </c>
      <c r="X790" s="6">
        <f>IF(ISERROR(VLOOKUP($U$790,'TAR FIN'!$A$1:$O$85,15,0)),0,VLOOKUP($U$790,'TAR FIN'!$A$1:$O$85,15,0))</f>
        <v>270.23</v>
      </c>
      <c r="Y790" s="6"/>
      <c r="Z790" s="6">
        <f ca="1">('TUSD BE'!$AM$32+'TUSD BF'!$AM$32+'TUSD CVA'!$AM$32)*(1-CUSTOS!$M$38)</f>
        <v>340.798072066354</v>
      </c>
      <c r="AA790" s="6">
        <f>('TE BE'!$AB$22+'TE BF'!$AB$22+'TE CVA'!$AB$22)*(1-CUSTOS!$M$38)</f>
        <v>286.57806182434155</v>
      </c>
      <c r="AB790" s="6">
        <f>$K$790*$V$790</f>
        <v>0</v>
      </c>
      <c r="AC790" s="6">
        <f>$M$790*$W$790</f>
        <v>124.31995000000002</v>
      </c>
      <c r="AD790" s="6">
        <f>$O$790*$X$790</f>
        <v>147.27535000000003</v>
      </c>
      <c r="AE790" s="6">
        <f>$K$790*$Y$790</f>
        <v>0</v>
      </c>
      <c r="AF790" s="6">
        <f ca="1">$M$790*$Z$790</f>
        <v>185.73494927616295</v>
      </c>
      <c r="AG790" s="6">
        <f>$O$790*$AA$790</f>
        <v>156.18504369426614</v>
      </c>
    </row>
    <row r="791" spans="1:33" ht="11.25" customHeight="1" x14ac:dyDescent="0.25">
      <c r="A791" s="4" t="s">
        <v>21</v>
      </c>
      <c r="B791" s="4" t="s">
        <v>43</v>
      </c>
      <c r="C791" s="4" t="s">
        <v>33</v>
      </c>
      <c r="D791" s="4" t="s">
        <v>44</v>
      </c>
      <c r="E791" s="4" t="s">
        <v>25</v>
      </c>
      <c r="F791" s="4" t="s">
        <v>25</v>
      </c>
      <c r="G791" s="4" t="s">
        <v>25</v>
      </c>
      <c r="H791" s="4" t="s">
        <v>35</v>
      </c>
      <c r="I791" s="5">
        <v>44713</v>
      </c>
      <c r="J791" s="6">
        <v>0</v>
      </c>
      <c r="K791" s="6">
        <v>0</v>
      </c>
      <c r="L791" s="6">
        <v>0.55300000000000005</v>
      </c>
      <c r="M791" s="6">
        <v>0.55300000000000005</v>
      </c>
      <c r="N791" s="6">
        <v>0.55300000000000005</v>
      </c>
      <c r="O791" s="6">
        <v>0.55300000000000005</v>
      </c>
      <c r="P791" s="6">
        <v>0</v>
      </c>
      <c r="Q791" s="4" t="s">
        <v>26</v>
      </c>
      <c r="R791" s="4">
        <v>0</v>
      </c>
      <c r="S791" s="6">
        <v>0</v>
      </c>
      <c r="T791" s="6">
        <v>28</v>
      </c>
      <c r="U791" s="6">
        <v>65</v>
      </c>
      <c r="V791" s="6">
        <f>IF(ISERROR(VLOOKUP($S$791,'TAR FIN'!$A$1:$O$85,15,0)),0,VLOOKUP($S$791,'TAR FIN'!$A$1:$O$85,15,0))</f>
        <v>0</v>
      </c>
      <c r="W791" s="6">
        <f>IF(ISERROR(VLOOKUP($T$791,'TAR FIN'!$A$1:$O$85,15,0)),0,VLOOKUP($T$791,'TAR FIN'!$A$1:$O$85,15,0))</f>
        <v>228.11</v>
      </c>
      <c r="X791" s="6">
        <f>IF(ISERROR(VLOOKUP($U$791,'TAR FIN'!$A$1:$O$85,15,0)),0,VLOOKUP($U$791,'TAR FIN'!$A$1:$O$85,15,0))</f>
        <v>270.23</v>
      </c>
      <c r="Y791" s="6"/>
      <c r="Z791" s="6">
        <f ca="1">('TUSD BE'!$AM$32+'TUSD BF'!$AM$32+'TUSD CVA'!$AM$32)*(1-CUSTOS!$M$38)</f>
        <v>340.798072066354</v>
      </c>
      <c r="AA791" s="6">
        <f>('TE BE'!$AB$22+'TE BF'!$AB$22+'TE CVA'!$AB$22)*(1-CUSTOS!$M$38)</f>
        <v>286.57806182434155</v>
      </c>
      <c r="AB791" s="6">
        <f>$K$791*$V$791</f>
        <v>0</v>
      </c>
      <c r="AC791" s="6">
        <f>$M$791*$W$791</f>
        <v>126.14483000000001</v>
      </c>
      <c r="AD791" s="6">
        <f>$O$791*$X$791</f>
        <v>149.43719000000002</v>
      </c>
      <c r="AE791" s="6">
        <f>$K$791*$Y$791</f>
        <v>0</v>
      </c>
      <c r="AF791" s="6">
        <f ca="1">$M$791*$Z$791</f>
        <v>188.46133385269377</v>
      </c>
      <c r="AG791" s="6">
        <f>$O$791*$AA$791</f>
        <v>158.47766818886089</v>
      </c>
    </row>
    <row r="792" spans="1:33" ht="11.25" customHeight="1" x14ac:dyDescent="0.25">
      <c r="A792" s="4" t="s">
        <v>21</v>
      </c>
      <c r="B792" s="4" t="s">
        <v>43</v>
      </c>
      <c r="C792" s="4" t="s">
        <v>33</v>
      </c>
      <c r="D792" s="4" t="s">
        <v>44</v>
      </c>
      <c r="E792" s="4" t="s">
        <v>25</v>
      </c>
      <c r="F792" s="4" t="s">
        <v>25</v>
      </c>
      <c r="G792" s="4" t="s">
        <v>25</v>
      </c>
      <c r="H792" s="4" t="s">
        <v>35</v>
      </c>
      <c r="I792" s="5">
        <v>44743</v>
      </c>
      <c r="J792" s="6">
        <v>0</v>
      </c>
      <c r="K792" s="6">
        <v>0</v>
      </c>
      <c r="L792" s="6">
        <v>0.59</v>
      </c>
      <c r="M792" s="6">
        <v>0.59</v>
      </c>
      <c r="N792" s="6">
        <v>0.59</v>
      </c>
      <c r="O792" s="6">
        <v>0.59</v>
      </c>
      <c r="P792" s="6">
        <v>0</v>
      </c>
      <c r="Q792" s="4" t="s">
        <v>26</v>
      </c>
      <c r="R792" s="4">
        <v>0</v>
      </c>
      <c r="S792" s="6">
        <v>0</v>
      </c>
      <c r="T792" s="6">
        <v>28</v>
      </c>
      <c r="U792" s="6">
        <v>65</v>
      </c>
      <c r="V792" s="6">
        <f>IF(ISERROR(VLOOKUP($S$792,'TAR FIN'!$A$1:$O$85,15,0)),0,VLOOKUP($S$792,'TAR FIN'!$A$1:$O$85,15,0))</f>
        <v>0</v>
      </c>
      <c r="W792" s="6">
        <f>IF(ISERROR(VLOOKUP($T$792,'TAR FIN'!$A$1:$O$85,15,0)),0,VLOOKUP($T$792,'TAR FIN'!$A$1:$O$85,15,0))</f>
        <v>228.11</v>
      </c>
      <c r="X792" s="6">
        <f>IF(ISERROR(VLOOKUP($U$792,'TAR FIN'!$A$1:$O$85,15,0)),0,VLOOKUP($U$792,'TAR FIN'!$A$1:$O$85,15,0))</f>
        <v>270.23</v>
      </c>
      <c r="Y792" s="6"/>
      <c r="Z792" s="6">
        <f ca="1">('TUSD BE'!$AM$32+'TUSD BF'!$AM$32+'TUSD CVA'!$AM$32)*(1-CUSTOS!$M$38)</f>
        <v>340.798072066354</v>
      </c>
      <c r="AA792" s="6">
        <f>('TE BE'!$AB$22+'TE BF'!$AB$22+'TE CVA'!$AB$22)*(1-CUSTOS!$M$38)</f>
        <v>286.57806182434155</v>
      </c>
      <c r="AB792" s="6">
        <f>$K$792*$V$792</f>
        <v>0</v>
      </c>
      <c r="AC792" s="6">
        <f>$M$792*$W$792</f>
        <v>134.5849</v>
      </c>
      <c r="AD792" s="6">
        <f>$O$792*$X$792</f>
        <v>159.4357</v>
      </c>
      <c r="AE792" s="6">
        <f>$K$792*$Y$792</f>
        <v>0</v>
      </c>
      <c r="AF792" s="6">
        <f ca="1">$M$792*$Z$792</f>
        <v>201.07086251914885</v>
      </c>
      <c r="AG792" s="6">
        <f>$O$792*$AA$792</f>
        <v>169.08105647636151</v>
      </c>
    </row>
    <row r="793" spans="1:33" ht="11.25" customHeight="1" x14ac:dyDescent="0.25">
      <c r="A793" s="4" t="s">
        <v>56</v>
      </c>
      <c r="B793" s="4" t="s">
        <v>43</v>
      </c>
      <c r="C793" s="4" t="s">
        <v>33</v>
      </c>
      <c r="D793" s="4" t="s">
        <v>44</v>
      </c>
      <c r="E793" s="4" t="s">
        <v>25</v>
      </c>
      <c r="F793" s="4" t="s">
        <v>25</v>
      </c>
      <c r="G793" s="4" t="s">
        <v>25</v>
      </c>
      <c r="H793" s="4" t="s">
        <v>35</v>
      </c>
      <c r="I793" s="5">
        <v>44774</v>
      </c>
      <c r="J793" s="6">
        <v>0</v>
      </c>
      <c r="K793" s="6">
        <v>0</v>
      </c>
      <c r="L793" s="6">
        <v>0.59</v>
      </c>
      <c r="M793" s="6">
        <v>0.59</v>
      </c>
      <c r="N793" s="6">
        <v>0.59</v>
      </c>
      <c r="O793" s="6">
        <v>0.59</v>
      </c>
      <c r="P793" s="6">
        <v>0</v>
      </c>
      <c r="Q793" s="4" t="s">
        <v>26</v>
      </c>
      <c r="R793" s="4">
        <v>0</v>
      </c>
      <c r="S793" s="6">
        <v>0</v>
      </c>
      <c r="T793" s="6">
        <v>28</v>
      </c>
      <c r="U793" s="6">
        <v>65</v>
      </c>
      <c r="V793" s="6">
        <f>IF(ISERROR(VLOOKUP($S$793,'TAR FIN'!$A$1:$O$85,15,0)),0,VLOOKUP($S$793,'TAR FIN'!$A$1:$O$85,15,0))</f>
        <v>0</v>
      </c>
      <c r="W793" s="6">
        <f>IF(ISERROR(VLOOKUP($T$793,'TAR FIN'!$A$1:$O$85,15,0)),0,VLOOKUP($T$793,'TAR FIN'!$A$1:$O$85,15,0))</f>
        <v>228.11</v>
      </c>
      <c r="X793" s="6">
        <f>IF(ISERROR(VLOOKUP($U$793,'TAR FIN'!$A$1:$O$85,15,0)),0,VLOOKUP($U$793,'TAR FIN'!$A$1:$O$85,15,0))</f>
        <v>270.23</v>
      </c>
      <c r="Y793" s="6"/>
      <c r="Z793" s="6">
        <f ca="1">('TUSD BE'!$AM$32+'TUSD BF'!$AM$32+'TUSD CVA'!$AM$32)*(1-CUSTOS!$M$38)</f>
        <v>340.798072066354</v>
      </c>
      <c r="AA793" s="6">
        <f>('TE BE'!$AB$22+'TE BF'!$AB$22+'TE CVA'!$AB$22)*(1-CUSTOS!$M$38)</f>
        <v>286.57806182434155</v>
      </c>
      <c r="AB793" s="6">
        <f>$K$793*$V$793</f>
        <v>0</v>
      </c>
      <c r="AC793" s="6">
        <f>$M$793*$W$793</f>
        <v>134.5849</v>
      </c>
      <c r="AD793" s="6">
        <f>$O$793*$X$793</f>
        <v>159.4357</v>
      </c>
      <c r="AE793" s="6">
        <f>$K$793*$Y$793</f>
        <v>0</v>
      </c>
      <c r="AF793" s="6">
        <f ca="1">$M$793*$Z$793</f>
        <v>201.07086251914885</v>
      </c>
      <c r="AG793" s="6">
        <f>$O$793*$AA$793</f>
        <v>169.08105647636151</v>
      </c>
    </row>
    <row r="794" spans="1:33" ht="11.25" customHeight="1" x14ac:dyDescent="0.25">
      <c r="A794" s="4" t="s">
        <v>21</v>
      </c>
      <c r="B794" s="4" t="s">
        <v>43</v>
      </c>
      <c r="C794" s="4" t="s">
        <v>33</v>
      </c>
      <c r="D794" s="4" t="s">
        <v>44</v>
      </c>
      <c r="E794" s="4" t="s">
        <v>25</v>
      </c>
      <c r="F794" s="4" t="s">
        <v>25</v>
      </c>
      <c r="G794" s="4" t="s">
        <v>25</v>
      </c>
      <c r="H794" s="4" t="s">
        <v>36</v>
      </c>
      <c r="I794" s="5">
        <v>44440</v>
      </c>
      <c r="J794" s="6">
        <v>0</v>
      </c>
      <c r="K794" s="6">
        <v>0</v>
      </c>
      <c r="L794" s="6">
        <v>1.4E-2</v>
      </c>
      <c r="M794" s="6">
        <v>1.4E-2</v>
      </c>
      <c r="N794" s="6">
        <v>1.4E-2</v>
      </c>
      <c r="O794" s="6">
        <v>1.4E-2</v>
      </c>
      <c r="P794" s="6">
        <v>0</v>
      </c>
      <c r="Q794" s="4" t="s">
        <v>26</v>
      </c>
      <c r="R794" s="4">
        <v>0</v>
      </c>
      <c r="S794" s="6">
        <v>0</v>
      </c>
      <c r="T794" s="6">
        <v>27</v>
      </c>
      <c r="U794" s="6">
        <v>64</v>
      </c>
      <c r="V794" s="6">
        <f>IF(ISERROR(VLOOKUP($S$794,'TAR FIN'!$A$1:$O$85,15,0)),0,VLOOKUP($S$794,'TAR FIN'!$A$1:$O$85,15,0))</f>
        <v>0</v>
      </c>
      <c r="W794" s="6">
        <f>IF(ISERROR(VLOOKUP($T$794,'TAR FIN'!$A$1:$O$85,15,0)),0,VLOOKUP($T$794,'TAR FIN'!$A$1:$O$85,15,0))</f>
        <v>511.06</v>
      </c>
      <c r="X794" s="6">
        <f>IF(ISERROR(VLOOKUP($U$794,'TAR FIN'!$A$1:$O$85,15,0)),0,VLOOKUP($U$794,'TAR FIN'!$A$1:$O$85,15,0))</f>
        <v>270.23</v>
      </c>
      <c r="Y794" s="6"/>
      <c r="Z794" s="6">
        <f ca="1">('TUSD BE'!$AM$31+'TUSD BF'!$AM$31+'TUSD CVA'!$AM$31)*(1-CUSTOS!$M$38)</f>
        <v>673.35624808231341</v>
      </c>
      <c r="AA794" s="6">
        <f>('TE BE'!$AB$21+'TE BF'!$AB$21+'TE CVA'!$AB$21)*(1-CUSTOS!$M$38)</f>
        <v>286.57806182434155</v>
      </c>
      <c r="AB794" s="6">
        <f>$K$794*$V$794</f>
        <v>0</v>
      </c>
      <c r="AC794" s="6">
        <f>$M$794*$W$794</f>
        <v>7.1548400000000001</v>
      </c>
      <c r="AD794" s="6">
        <f>$O$794*$X$794</f>
        <v>3.7832200000000005</v>
      </c>
      <c r="AE794" s="6">
        <f>$K$794*$Y$794</f>
        <v>0</v>
      </c>
      <c r="AF794" s="6">
        <f ca="1">$M$794*$Z$794</f>
        <v>9.4269874731523888</v>
      </c>
      <c r="AG794" s="6">
        <f>$O$794*$AA$794</f>
        <v>4.0120928655407821</v>
      </c>
    </row>
    <row r="795" spans="1:33" ht="11.25" customHeight="1" x14ac:dyDescent="0.25">
      <c r="A795" s="4" t="s">
        <v>21</v>
      </c>
      <c r="B795" s="4" t="s">
        <v>43</v>
      </c>
      <c r="C795" s="4" t="s">
        <v>33</v>
      </c>
      <c r="D795" s="4" t="s">
        <v>44</v>
      </c>
      <c r="E795" s="4" t="s">
        <v>25</v>
      </c>
      <c r="F795" s="4" t="s">
        <v>25</v>
      </c>
      <c r="G795" s="4" t="s">
        <v>25</v>
      </c>
      <c r="H795" s="4" t="s">
        <v>36</v>
      </c>
      <c r="I795" s="5">
        <v>44470</v>
      </c>
      <c r="J795" s="6">
        <v>0</v>
      </c>
      <c r="K795" s="6">
        <v>0</v>
      </c>
      <c r="L795" s="6">
        <v>1.7000000000000001E-2</v>
      </c>
      <c r="M795" s="6">
        <v>1.7000000000000001E-2</v>
      </c>
      <c r="N795" s="6">
        <v>1.7000000000000001E-2</v>
      </c>
      <c r="O795" s="6">
        <v>1.7000000000000001E-2</v>
      </c>
      <c r="P795" s="6">
        <v>0</v>
      </c>
      <c r="Q795" s="4" t="s">
        <v>26</v>
      </c>
      <c r="R795" s="4">
        <v>0</v>
      </c>
      <c r="S795" s="6">
        <v>0</v>
      </c>
      <c r="T795" s="6">
        <v>27</v>
      </c>
      <c r="U795" s="6">
        <v>64</v>
      </c>
      <c r="V795" s="6">
        <f>IF(ISERROR(VLOOKUP($S$795,'TAR FIN'!$A$1:$O$85,15,0)),0,VLOOKUP($S$795,'TAR FIN'!$A$1:$O$85,15,0))</f>
        <v>0</v>
      </c>
      <c r="W795" s="6">
        <f>IF(ISERROR(VLOOKUP($T$795,'TAR FIN'!$A$1:$O$85,15,0)),0,VLOOKUP($T$795,'TAR FIN'!$A$1:$O$85,15,0))</f>
        <v>511.06</v>
      </c>
      <c r="X795" s="6">
        <f>IF(ISERROR(VLOOKUP($U$795,'TAR FIN'!$A$1:$O$85,15,0)),0,VLOOKUP($U$795,'TAR FIN'!$A$1:$O$85,15,0))</f>
        <v>270.23</v>
      </c>
      <c r="Y795" s="6"/>
      <c r="Z795" s="6">
        <f ca="1">('TUSD BE'!$AM$31+'TUSD BF'!$AM$31+'TUSD CVA'!$AM$31)*(1-CUSTOS!$M$38)</f>
        <v>673.35624808231341</v>
      </c>
      <c r="AA795" s="6">
        <f>('TE BE'!$AB$21+'TE BF'!$AB$21+'TE CVA'!$AB$21)*(1-CUSTOS!$M$38)</f>
        <v>286.57806182434155</v>
      </c>
      <c r="AB795" s="6">
        <f>$K$795*$V$795</f>
        <v>0</v>
      </c>
      <c r="AC795" s="6">
        <f>$M$795*$W$795</f>
        <v>8.6880199999999999</v>
      </c>
      <c r="AD795" s="6">
        <f>$O$795*$X$795</f>
        <v>4.593910000000001</v>
      </c>
      <c r="AE795" s="6">
        <f>$K$795*$Y$795</f>
        <v>0</v>
      </c>
      <c r="AF795" s="6">
        <f ca="1">$M$795*$Z$795</f>
        <v>11.447056217399329</v>
      </c>
      <c r="AG795" s="6">
        <f>$O$795*$AA$795</f>
        <v>4.8718270510138062</v>
      </c>
    </row>
    <row r="796" spans="1:33" ht="11.25" customHeight="1" x14ac:dyDescent="0.25">
      <c r="A796" s="4" t="s">
        <v>21</v>
      </c>
      <c r="B796" s="4" t="s">
        <v>43</v>
      </c>
      <c r="C796" s="4" t="s">
        <v>33</v>
      </c>
      <c r="D796" s="4" t="s">
        <v>44</v>
      </c>
      <c r="E796" s="4" t="s">
        <v>25</v>
      </c>
      <c r="F796" s="4" t="s">
        <v>25</v>
      </c>
      <c r="G796" s="4" t="s">
        <v>25</v>
      </c>
      <c r="H796" s="4" t="s">
        <v>36</v>
      </c>
      <c r="I796" s="5">
        <v>44501</v>
      </c>
      <c r="J796" s="6">
        <v>0</v>
      </c>
      <c r="K796" s="6">
        <v>0</v>
      </c>
      <c r="L796" s="6">
        <v>1.6E-2</v>
      </c>
      <c r="M796" s="6">
        <v>1.6E-2</v>
      </c>
      <c r="N796" s="6">
        <v>1.6E-2</v>
      </c>
      <c r="O796" s="6">
        <v>1.6E-2</v>
      </c>
      <c r="P796" s="6">
        <v>0</v>
      </c>
      <c r="Q796" s="4" t="s">
        <v>26</v>
      </c>
      <c r="R796" s="4">
        <v>0</v>
      </c>
      <c r="S796" s="6">
        <v>0</v>
      </c>
      <c r="T796" s="6">
        <v>27</v>
      </c>
      <c r="U796" s="6">
        <v>64</v>
      </c>
      <c r="V796" s="6">
        <f>IF(ISERROR(VLOOKUP($S$796,'TAR FIN'!$A$1:$O$85,15,0)),0,VLOOKUP($S$796,'TAR FIN'!$A$1:$O$85,15,0))</f>
        <v>0</v>
      </c>
      <c r="W796" s="6">
        <f>IF(ISERROR(VLOOKUP($T$796,'TAR FIN'!$A$1:$O$85,15,0)),0,VLOOKUP($T$796,'TAR FIN'!$A$1:$O$85,15,0))</f>
        <v>511.06</v>
      </c>
      <c r="X796" s="6">
        <f>IF(ISERROR(VLOOKUP($U$796,'TAR FIN'!$A$1:$O$85,15,0)),0,VLOOKUP($U$796,'TAR FIN'!$A$1:$O$85,15,0))</f>
        <v>270.23</v>
      </c>
      <c r="Y796" s="6"/>
      <c r="Z796" s="6">
        <f ca="1">('TUSD BE'!$AM$31+'TUSD BF'!$AM$31+'TUSD CVA'!$AM$31)*(1-CUSTOS!$M$38)</f>
        <v>673.35624808231341</v>
      </c>
      <c r="AA796" s="6">
        <f>('TE BE'!$AB$21+'TE BF'!$AB$21+'TE CVA'!$AB$21)*(1-CUSTOS!$M$38)</f>
        <v>286.57806182434155</v>
      </c>
      <c r="AB796" s="6">
        <f>$K$796*$V$796</f>
        <v>0</v>
      </c>
      <c r="AC796" s="6">
        <f>$M$796*$W$796</f>
        <v>8.1769599999999993</v>
      </c>
      <c r="AD796" s="6">
        <f>$O$796*$X$796</f>
        <v>4.3236800000000004</v>
      </c>
      <c r="AE796" s="6">
        <f>$K$796*$Y$796</f>
        <v>0</v>
      </c>
      <c r="AF796" s="6">
        <f ca="1">$M$796*$Z$796</f>
        <v>10.773699969317015</v>
      </c>
      <c r="AG796" s="6">
        <f>$O$796*$AA$796</f>
        <v>4.5852489891894646</v>
      </c>
    </row>
    <row r="797" spans="1:33" ht="11.25" customHeight="1" x14ac:dyDescent="0.25">
      <c r="A797" s="4" t="s">
        <v>21</v>
      </c>
      <c r="B797" s="4" t="s">
        <v>43</v>
      </c>
      <c r="C797" s="4" t="s">
        <v>33</v>
      </c>
      <c r="D797" s="4" t="s">
        <v>44</v>
      </c>
      <c r="E797" s="4" t="s">
        <v>25</v>
      </c>
      <c r="F797" s="4" t="s">
        <v>25</v>
      </c>
      <c r="G797" s="4" t="s">
        <v>25</v>
      </c>
      <c r="H797" s="4" t="s">
        <v>36</v>
      </c>
      <c r="I797" s="5">
        <v>44531</v>
      </c>
      <c r="J797" s="6">
        <v>0</v>
      </c>
      <c r="K797" s="6">
        <v>0</v>
      </c>
      <c r="L797" s="6">
        <v>1.4999999999999999E-2</v>
      </c>
      <c r="M797" s="6">
        <v>1.4999999999999999E-2</v>
      </c>
      <c r="N797" s="6">
        <v>1.4999999999999999E-2</v>
      </c>
      <c r="O797" s="6">
        <v>1.4999999999999999E-2</v>
      </c>
      <c r="P797" s="6">
        <v>0</v>
      </c>
      <c r="Q797" s="4" t="s">
        <v>26</v>
      </c>
      <c r="R797" s="4">
        <v>0</v>
      </c>
      <c r="S797" s="6">
        <v>0</v>
      </c>
      <c r="T797" s="6">
        <v>27</v>
      </c>
      <c r="U797" s="6">
        <v>64</v>
      </c>
      <c r="V797" s="6">
        <f>IF(ISERROR(VLOOKUP($S$797,'TAR FIN'!$A$1:$O$85,15,0)),0,VLOOKUP($S$797,'TAR FIN'!$A$1:$O$85,15,0))</f>
        <v>0</v>
      </c>
      <c r="W797" s="6">
        <f>IF(ISERROR(VLOOKUP($T$797,'TAR FIN'!$A$1:$O$85,15,0)),0,VLOOKUP($T$797,'TAR FIN'!$A$1:$O$85,15,0))</f>
        <v>511.06</v>
      </c>
      <c r="X797" s="6">
        <f>IF(ISERROR(VLOOKUP($U$797,'TAR FIN'!$A$1:$O$85,15,0)),0,VLOOKUP($U$797,'TAR FIN'!$A$1:$O$85,15,0))</f>
        <v>270.23</v>
      </c>
      <c r="Y797" s="6"/>
      <c r="Z797" s="6">
        <f ca="1">('TUSD BE'!$AM$31+'TUSD BF'!$AM$31+'TUSD CVA'!$AM$31)*(1-CUSTOS!$M$38)</f>
        <v>673.35624808231341</v>
      </c>
      <c r="AA797" s="6">
        <f>('TE BE'!$AB$21+'TE BF'!$AB$21+'TE CVA'!$AB$21)*(1-CUSTOS!$M$38)</f>
        <v>286.57806182434155</v>
      </c>
      <c r="AB797" s="6">
        <f>$K$797*$V$797</f>
        <v>0</v>
      </c>
      <c r="AC797" s="6">
        <f>$M$797*$W$797</f>
        <v>7.6658999999999997</v>
      </c>
      <c r="AD797" s="6">
        <f>$O$797*$X$797</f>
        <v>4.0534499999999998</v>
      </c>
      <c r="AE797" s="6">
        <f>$K$797*$Y$797</f>
        <v>0</v>
      </c>
      <c r="AF797" s="6">
        <f ca="1">$M$797*$Z$797</f>
        <v>10.100343721234701</v>
      </c>
      <c r="AG797" s="6">
        <f>$O$797*$AA$797</f>
        <v>4.2986709273651229</v>
      </c>
    </row>
    <row r="798" spans="1:33" ht="11.25" customHeight="1" x14ac:dyDescent="0.25">
      <c r="A798" s="4" t="s">
        <v>21</v>
      </c>
      <c r="B798" s="4" t="s">
        <v>43</v>
      </c>
      <c r="C798" s="4" t="s">
        <v>33</v>
      </c>
      <c r="D798" s="4" t="s">
        <v>44</v>
      </c>
      <c r="E798" s="4" t="s">
        <v>25</v>
      </c>
      <c r="F798" s="4" t="s">
        <v>25</v>
      </c>
      <c r="G798" s="4" t="s">
        <v>25</v>
      </c>
      <c r="H798" s="4" t="s">
        <v>36</v>
      </c>
      <c r="I798" s="5">
        <v>44562</v>
      </c>
      <c r="J798" s="6">
        <v>0</v>
      </c>
      <c r="K798" s="6">
        <v>0</v>
      </c>
      <c r="L798" s="6">
        <v>1.7000000000000001E-2</v>
      </c>
      <c r="M798" s="6">
        <v>1.7000000000000001E-2</v>
      </c>
      <c r="N798" s="6">
        <v>1.7000000000000001E-2</v>
      </c>
      <c r="O798" s="6">
        <v>1.7000000000000001E-2</v>
      </c>
      <c r="P798" s="6">
        <v>0</v>
      </c>
      <c r="Q798" s="4" t="s">
        <v>26</v>
      </c>
      <c r="R798" s="4">
        <v>0</v>
      </c>
      <c r="S798" s="6">
        <v>0</v>
      </c>
      <c r="T798" s="6">
        <v>27</v>
      </c>
      <c r="U798" s="6">
        <v>64</v>
      </c>
      <c r="V798" s="6">
        <f>IF(ISERROR(VLOOKUP($S$798,'TAR FIN'!$A$1:$O$85,15,0)),0,VLOOKUP($S$798,'TAR FIN'!$A$1:$O$85,15,0))</f>
        <v>0</v>
      </c>
      <c r="W798" s="6">
        <f>IF(ISERROR(VLOOKUP($T$798,'TAR FIN'!$A$1:$O$85,15,0)),0,VLOOKUP($T$798,'TAR FIN'!$A$1:$O$85,15,0))</f>
        <v>511.06</v>
      </c>
      <c r="X798" s="6">
        <f>IF(ISERROR(VLOOKUP($U$798,'TAR FIN'!$A$1:$O$85,15,0)),0,VLOOKUP($U$798,'TAR FIN'!$A$1:$O$85,15,0))</f>
        <v>270.23</v>
      </c>
      <c r="Y798" s="6"/>
      <c r="Z798" s="6">
        <f ca="1">('TUSD BE'!$AM$31+'TUSD BF'!$AM$31+'TUSD CVA'!$AM$31)*(1-CUSTOS!$M$38)</f>
        <v>673.35624808231341</v>
      </c>
      <c r="AA798" s="6">
        <f>('TE BE'!$AB$21+'TE BF'!$AB$21+'TE CVA'!$AB$21)*(1-CUSTOS!$M$38)</f>
        <v>286.57806182434155</v>
      </c>
      <c r="AB798" s="6">
        <f>$K$798*$V$798</f>
        <v>0</v>
      </c>
      <c r="AC798" s="6">
        <f>$M$798*$W$798</f>
        <v>8.6880199999999999</v>
      </c>
      <c r="AD798" s="6">
        <f>$O$798*$X$798</f>
        <v>4.593910000000001</v>
      </c>
      <c r="AE798" s="6">
        <f>$K$798*$Y$798</f>
        <v>0</v>
      </c>
      <c r="AF798" s="6">
        <f ca="1">$M$798*$Z$798</f>
        <v>11.447056217399329</v>
      </c>
      <c r="AG798" s="6">
        <f>$O$798*$AA$798</f>
        <v>4.8718270510138062</v>
      </c>
    </row>
    <row r="799" spans="1:33" ht="11.25" customHeight="1" x14ac:dyDescent="0.25">
      <c r="A799" s="4" t="s">
        <v>21</v>
      </c>
      <c r="B799" s="4" t="s">
        <v>43</v>
      </c>
      <c r="C799" s="4" t="s">
        <v>33</v>
      </c>
      <c r="D799" s="4" t="s">
        <v>44</v>
      </c>
      <c r="E799" s="4" t="s">
        <v>25</v>
      </c>
      <c r="F799" s="4" t="s">
        <v>25</v>
      </c>
      <c r="G799" s="4" t="s">
        <v>25</v>
      </c>
      <c r="H799" s="4" t="s">
        <v>36</v>
      </c>
      <c r="I799" s="5">
        <v>44593</v>
      </c>
      <c r="J799" s="6">
        <v>0</v>
      </c>
      <c r="K799" s="6">
        <v>0</v>
      </c>
      <c r="L799" s="6">
        <v>1.6E-2</v>
      </c>
      <c r="M799" s="6">
        <v>1.6E-2</v>
      </c>
      <c r="N799" s="6">
        <v>1.6E-2</v>
      </c>
      <c r="O799" s="6">
        <v>1.6E-2</v>
      </c>
      <c r="P799" s="6">
        <v>0</v>
      </c>
      <c r="Q799" s="4" t="s">
        <v>26</v>
      </c>
      <c r="R799" s="4">
        <v>0</v>
      </c>
      <c r="S799" s="6">
        <v>0</v>
      </c>
      <c r="T799" s="6">
        <v>27</v>
      </c>
      <c r="U799" s="6">
        <v>64</v>
      </c>
      <c r="V799" s="6">
        <f>IF(ISERROR(VLOOKUP($S$799,'TAR FIN'!$A$1:$O$85,15,0)),0,VLOOKUP($S$799,'TAR FIN'!$A$1:$O$85,15,0))</f>
        <v>0</v>
      </c>
      <c r="W799" s="6">
        <f>IF(ISERROR(VLOOKUP($T$799,'TAR FIN'!$A$1:$O$85,15,0)),0,VLOOKUP($T$799,'TAR FIN'!$A$1:$O$85,15,0))</f>
        <v>511.06</v>
      </c>
      <c r="X799" s="6">
        <f>IF(ISERROR(VLOOKUP($U$799,'TAR FIN'!$A$1:$O$85,15,0)),0,VLOOKUP($U$799,'TAR FIN'!$A$1:$O$85,15,0))</f>
        <v>270.23</v>
      </c>
      <c r="Y799" s="6"/>
      <c r="Z799" s="6">
        <f ca="1">('TUSD BE'!$AM$31+'TUSD BF'!$AM$31+'TUSD CVA'!$AM$31)*(1-CUSTOS!$M$38)</f>
        <v>673.35624808231341</v>
      </c>
      <c r="AA799" s="6">
        <f>('TE BE'!$AB$21+'TE BF'!$AB$21+'TE CVA'!$AB$21)*(1-CUSTOS!$M$38)</f>
        <v>286.57806182434155</v>
      </c>
      <c r="AB799" s="6">
        <f>$K$799*$V$799</f>
        <v>0</v>
      </c>
      <c r="AC799" s="6">
        <f>$M$799*$W$799</f>
        <v>8.1769599999999993</v>
      </c>
      <c r="AD799" s="6">
        <f>$O$799*$X$799</f>
        <v>4.3236800000000004</v>
      </c>
      <c r="AE799" s="6">
        <f>$K$799*$Y$799</f>
        <v>0</v>
      </c>
      <c r="AF799" s="6">
        <f ca="1">$M$799*$Z$799</f>
        <v>10.773699969317015</v>
      </c>
      <c r="AG799" s="6">
        <f>$O$799*$AA$799</f>
        <v>4.5852489891894646</v>
      </c>
    </row>
    <row r="800" spans="1:33" ht="11.25" customHeight="1" x14ac:dyDescent="0.25">
      <c r="A800" s="4" t="s">
        <v>21</v>
      </c>
      <c r="B800" s="4" t="s">
        <v>43</v>
      </c>
      <c r="C800" s="4" t="s">
        <v>33</v>
      </c>
      <c r="D800" s="4" t="s">
        <v>44</v>
      </c>
      <c r="E800" s="4" t="s">
        <v>25</v>
      </c>
      <c r="F800" s="4" t="s">
        <v>25</v>
      </c>
      <c r="G800" s="4" t="s">
        <v>25</v>
      </c>
      <c r="H800" s="4" t="s">
        <v>36</v>
      </c>
      <c r="I800" s="5">
        <v>44621</v>
      </c>
      <c r="J800" s="6">
        <v>0</v>
      </c>
      <c r="K800" s="6">
        <v>0</v>
      </c>
      <c r="L800" s="6">
        <v>1.6E-2</v>
      </c>
      <c r="M800" s="6">
        <v>1.6E-2</v>
      </c>
      <c r="N800" s="6">
        <v>1.6E-2</v>
      </c>
      <c r="O800" s="6">
        <v>1.6E-2</v>
      </c>
      <c r="P800" s="6">
        <v>0</v>
      </c>
      <c r="Q800" s="4" t="s">
        <v>26</v>
      </c>
      <c r="R800" s="4">
        <v>0</v>
      </c>
      <c r="S800" s="6">
        <v>0</v>
      </c>
      <c r="T800" s="6">
        <v>27</v>
      </c>
      <c r="U800" s="6">
        <v>64</v>
      </c>
      <c r="V800" s="6">
        <f>IF(ISERROR(VLOOKUP($S$800,'TAR FIN'!$A$1:$O$85,15,0)),0,VLOOKUP($S$800,'TAR FIN'!$A$1:$O$85,15,0))</f>
        <v>0</v>
      </c>
      <c r="W800" s="6">
        <f>IF(ISERROR(VLOOKUP($T$800,'TAR FIN'!$A$1:$O$85,15,0)),0,VLOOKUP($T$800,'TAR FIN'!$A$1:$O$85,15,0))</f>
        <v>511.06</v>
      </c>
      <c r="X800" s="6">
        <f>IF(ISERROR(VLOOKUP($U$800,'TAR FIN'!$A$1:$O$85,15,0)),0,VLOOKUP($U$800,'TAR FIN'!$A$1:$O$85,15,0))</f>
        <v>270.23</v>
      </c>
      <c r="Y800" s="6"/>
      <c r="Z800" s="6">
        <f ca="1">('TUSD BE'!$AM$31+'TUSD BF'!$AM$31+'TUSD CVA'!$AM$31)*(1-CUSTOS!$M$38)</f>
        <v>673.35624808231341</v>
      </c>
      <c r="AA800" s="6">
        <f>('TE BE'!$AB$21+'TE BF'!$AB$21+'TE CVA'!$AB$21)*(1-CUSTOS!$M$38)</f>
        <v>286.57806182434155</v>
      </c>
      <c r="AB800" s="6">
        <f>$K$800*$V$800</f>
        <v>0</v>
      </c>
      <c r="AC800" s="6">
        <f>$M$800*$W$800</f>
        <v>8.1769599999999993</v>
      </c>
      <c r="AD800" s="6">
        <f>$O$800*$X$800</f>
        <v>4.3236800000000004</v>
      </c>
      <c r="AE800" s="6">
        <f>$K$800*$Y$800</f>
        <v>0</v>
      </c>
      <c r="AF800" s="6">
        <f ca="1">$M$800*$Z$800</f>
        <v>10.773699969317015</v>
      </c>
      <c r="AG800" s="6">
        <f>$O$800*$AA$800</f>
        <v>4.5852489891894646</v>
      </c>
    </row>
    <row r="801" spans="1:33" ht="11.25" customHeight="1" x14ac:dyDescent="0.25">
      <c r="A801" s="4" t="s">
        <v>21</v>
      </c>
      <c r="B801" s="4" t="s">
        <v>43</v>
      </c>
      <c r="C801" s="4" t="s">
        <v>33</v>
      </c>
      <c r="D801" s="4" t="s">
        <v>44</v>
      </c>
      <c r="E801" s="4" t="s">
        <v>25</v>
      </c>
      <c r="F801" s="4" t="s">
        <v>25</v>
      </c>
      <c r="G801" s="4" t="s">
        <v>25</v>
      </c>
      <c r="H801" s="4" t="s">
        <v>36</v>
      </c>
      <c r="I801" s="5">
        <v>44652</v>
      </c>
      <c r="J801" s="6">
        <v>0</v>
      </c>
      <c r="K801" s="6">
        <v>0</v>
      </c>
      <c r="L801" s="6">
        <v>2.1999999999999999E-2</v>
      </c>
      <c r="M801" s="6">
        <v>2.1999999999999999E-2</v>
      </c>
      <c r="N801" s="6">
        <v>2.1999999999999999E-2</v>
      </c>
      <c r="O801" s="6">
        <v>2.1999999999999999E-2</v>
      </c>
      <c r="P801" s="6">
        <v>0</v>
      </c>
      <c r="Q801" s="4" t="s">
        <v>26</v>
      </c>
      <c r="R801" s="4">
        <v>0</v>
      </c>
      <c r="S801" s="6">
        <v>0</v>
      </c>
      <c r="T801" s="6">
        <v>27</v>
      </c>
      <c r="U801" s="6">
        <v>64</v>
      </c>
      <c r="V801" s="6">
        <f>IF(ISERROR(VLOOKUP($S$801,'TAR FIN'!$A$1:$O$85,15,0)),0,VLOOKUP($S$801,'TAR FIN'!$A$1:$O$85,15,0))</f>
        <v>0</v>
      </c>
      <c r="W801" s="6">
        <f>IF(ISERROR(VLOOKUP($T$801,'TAR FIN'!$A$1:$O$85,15,0)),0,VLOOKUP($T$801,'TAR FIN'!$A$1:$O$85,15,0))</f>
        <v>511.06</v>
      </c>
      <c r="X801" s="6">
        <f>IF(ISERROR(VLOOKUP($U$801,'TAR FIN'!$A$1:$O$85,15,0)),0,VLOOKUP($U$801,'TAR FIN'!$A$1:$O$85,15,0))</f>
        <v>270.23</v>
      </c>
      <c r="Y801" s="6"/>
      <c r="Z801" s="6">
        <f ca="1">('TUSD BE'!$AM$31+'TUSD BF'!$AM$31+'TUSD CVA'!$AM$31)*(1-CUSTOS!$M$38)</f>
        <v>673.35624808231341</v>
      </c>
      <c r="AA801" s="6">
        <f>('TE BE'!$AB$21+'TE BF'!$AB$21+'TE CVA'!$AB$21)*(1-CUSTOS!$M$38)</f>
        <v>286.57806182434155</v>
      </c>
      <c r="AB801" s="6">
        <f>$K$801*$V$801</f>
        <v>0</v>
      </c>
      <c r="AC801" s="6">
        <f>$M$801*$W$801</f>
        <v>11.243319999999999</v>
      </c>
      <c r="AD801" s="6">
        <f>$O$801*$X$801</f>
        <v>5.9450599999999998</v>
      </c>
      <c r="AE801" s="6">
        <f>$K$801*$Y$801</f>
        <v>0</v>
      </c>
      <c r="AF801" s="6">
        <f ca="1">$M$801*$Z$801</f>
        <v>14.813837457810894</v>
      </c>
      <c r="AG801" s="6">
        <f>$O$801*$AA$801</f>
        <v>6.3047173601355135</v>
      </c>
    </row>
    <row r="802" spans="1:33" ht="11.25" customHeight="1" x14ac:dyDescent="0.25">
      <c r="A802" s="4" t="s">
        <v>21</v>
      </c>
      <c r="B802" s="4" t="s">
        <v>43</v>
      </c>
      <c r="C802" s="4" t="s">
        <v>33</v>
      </c>
      <c r="D802" s="4" t="s">
        <v>44</v>
      </c>
      <c r="E802" s="4" t="s">
        <v>25</v>
      </c>
      <c r="F802" s="4" t="s">
        <v>25</v>
      </c>
      <c r="G802" s="4" t="s">
        <v>25</v>
      </c>
      <c r="H802" s="4" t="s">
        <v>36</v>
      </c>
      <c r="I802" s="5">
        <v>44682</v>
      </c>
      <c r="J802" s="6">
        <v>0</v>
      </c>
      <c r="K802" s="6">
        <v>0</v>
      </c>
      <c r="L802" s="6">
        <v>2.3E-2</v>
      </c>
      <c r="M802" s="6">
        <v>2.3E-2</v>
      </c>
      <c r="N802" s="6">
        <v>2.3E-2</v>
      </c>
      <c r="O802" s="6">
        <v>2.3E-2</v>
      </c>
      <c r="P802" s="6">
        <v>0</v>
      </c>
      <c r="Q802" s="4" t="s">
        <v>26</v>
      </c>
      <c r="R802" s="4">
        <v>0</v>
      </c>
      <c r="S802" s="6">
        <v>0</v>
      </c>
      <c r="T802" s="6">
        <v>27</v>
      </c>
      <c r="U802" s="6">
        <v>64</v>
      </c>
      <c r="V802" s="6">
        <f>IF(ISERROR(VLOOKUP($S$802,'TAR FIN'!$A$1:$O$85,15,0)),0,VLOOKUP($S$802,'TAR FIN'!$A$1:$O$85,15,0))</f>
        <v>0</v>
      </c>
      <c r="W802" s="6">
        <f>IF(ISERROR(VLOOKUP($T$802,'TAR FIN'!$A$1:$O$85,15,0)),0,VLOOKUP($T$802,'TAR FIN'!$A$1:$O$85,15,0))</f>
        <v>511.06</v>
      </c>
      <c r="X802" s="6">
        <f>IF(ISERROR(VLOOKUP($U$802,'TAR FIN'!$A$1:$O$85,15,0)),0,VLOOKUP($U$802,'TAR FIN'!$A$1:$O$85,15,0))</f>
        <v>270.23</v>
      </c>
      <c r="Y802" s="6"/>
      <c r="Z802" s="6">
        <f ca="1">('TUSD BE'!$AM$31+'TUSD BF'!$AM$31+'TUSD CVA'!$AM$31)*(1-CUSTOS!$M$38)</f>
        <v>673.35624808231341</v>
      </c>
      <c r="AA802" s="6">
        <f>('TE BE'!$AB$21+'TE BF'!$AB$21+'TE CVA'!$AB$21)*(1-CUSTOS!$M$38)</f>
        <v>286.57806182434155</v>
      </c>
      <c r="AB802" s="6">
        <f>$K$802*$V$802</f>
        <v>0</v>
      </c>
      <c r="AC802" s="6">
        <f>$M$802*$W$802</f>
        <v>11.754379999999999</v>
      </c>
      <c r="AD802" s="6">
        <f>$O$802*$X$802</f>
        <v>6.2152900000000004</v>
      </c>
      <c r="AE802" s="6">
        <f>$K$802*$Y$802</f>
        <v>0</v>
      </c>
      <c r="AF802" s="6">
        <f ca="1">$M$802*$Z$802</f>
        <v>15.487193705893208</v>
      </c>
      <c r="AG802" s="6">
        <f>$O$802*$AA$802</f>
        <v>6.5912954219598552</v>
      </c>
    </row>
    <row r="803" spans="1:33" ht="11.25" customHeight="1" x14ac:dyDescent="0.25">
      <c r="A803" s="4" t="s">
        <v>21</v>
      </c>
      <c r="B803" s="4" t="s">
        <v>43</v>
      </c>
      <c r="C803" s="4" t="s">
        <v>33</v>
      </c>
      <c r="D803" s="4" t="s">
        <v>44</v>
      </c>
      <c r="E803" s="4" t="s">
        <v>25</v>
      </c>
      <c r="F803" s="4" t="s">
        <v>25</v>
      </c>
      <c r="G803" s="4" t="s">
        <v>25</v>
      </c>
      <c r="H803" s="4" t="s">
        <v>36</v>
      </c>
      <c r="I803" s="5">
        <v>44713</v>
      </c>
      <c r="J803" s="6">
        <v>0</v>
      </c>
      <c r="K803" s="6">
        <v>0</v>
      </c>
      <c r="L803" s="6">
        <v>1.7000000000000001E-2</v>
      </c>
      <c r="M803" s="6">
        <v>1.7000000000000001E-2</v>
      </c>
      <c r="N803" s="6">
        <v>1.7000000000000001E-2</v>
      </c>
      <c r="O803" s="6">
        <v>1.7000000000000001E-2</v>
      </c>
      <c r="P803" s="6">
        <v>0</v>
      </c>
      <c r="Q803" s="4" t="s">
        <v>26</v>
      </c>
      <c r="R803" s="4">
        <v>0</v>
      </c>
      <c r="S803" s="6">
        <v>0</v>
      </c>
      <c r="T803" s="6">
        <v>27</v>
      </c>
      <c r="U803" s="6">
        <v>64</v>
      </c>
      <c r="V803" s="6">
        <f>IF(ISERROR(VLOOKUP($S$803,'TAR FIN'!$A$1:$O$85,15,0)),0,VLOOKUP($S$803,'TAR FIN'!$A$1:$O$85,15,0))</f>
        <v>0</v>
      </c>
      <c r="W803" s="6">
        <f>IF(ISERROR(VLOOKUP($T$803,'TAR FIN'!$A$1:$O$85,15,0)),0,VLOOKUP($T$803,'TAR FIN'!$A$1:$O$85,15,0))</f>
        <v>511.06</v>
      </c>
      <c r="X803" s="6">
        <f>IF(ISERROR(VLOOKUP($U$803,'TAR FIN'!$A$1:$O$85,15,0)),0,VLOOKUP($U$803,'TAR FIN'!$A$1:$O$85,15,0))</f>
        <v>270.23</v>
      </c>
      <c r="Y803" s="6"/>
      <c r="Z803" s="6">
        <f ca="1">('TUSD BE'!$AM$31+'TUSD BF'!$AM$31+'TUSD CVA'!$AM$31)*(1-CUSTOS!$M$38)</f>
        <v>673.35624808231341</v>
      </c>
      <c r="AA803" s="6">
        <f>('TE BE'!$AB$21+'TE BF'!$AB$21+'TE CVA'!$AB$21)*(1-CUSTOS!$M$38)</f>
        <v>286.57806182434155</v>
      </c>
      <c r="AB803" s="6">
        <f>$K$803*$V$803</f>
        <v>0</v>
      </c>
      <c r="AC803" s="6">
        <f>$M$803*$W$803</f>
        <v>8.6880199999999999</v>
      </c>
      <c r="AD803" s="6">
        <f>$O$803*$X$803</f>
        <v>4.593910000000001</v>
      </c>
      <c r="AE803" s="6">
        <f>$K$803*$Y$803</f>
        <v>0</v>
      </c>
      <c r="AF803" s="6">
        <f ca="1">$M$803*$Z$803</f>
        <v>11.447056217399329</v>
      </c>
      <c r="AG803" s="6">
        <f>$O$803*$AA$803</f>
        <v>4.8718270510138062</v>
      </c>
    </row>
    <row r="804" spans="1:33" ht="11.25" customHeight="1" x14ac:dyDescent="0.25">
      <c r="A804" s="4" t="s">
        <v>21</v>
      </c>
      <c r="B804" s="4" t="s">
        <v>43</v>
      </c>
      <c r="C804" s="4" t="s">
        <v>33</v>
      </c>
      <c r="D804" s="4" t="s">
        <v>44</v>
      </c>
      <c r="E804" s="4" t="s">
        <v>25</v>
      </c>
      <c r="F804" s="4" t="s">
        <v>25</v>
      </c>
      <c r="G804" s="4" t="s">
        <v>25</v>
      </c>
      <c r="H804" s="4" t="s">
        <v>36</v>
      </c>
      <c r="I804" s="5">
        <v>44743</v>
      </c>
      <c r="J804" s="6">
        <v>0</v>
      </c>
      <c r="K804" s="6">
        <v>0</v>
      </c>
      <c r="L804" s="6">
        <v>1.4E-2</v>
      </c>
      <c r="M804" s="6">
        <v>1.4E-2</v>
      </c>
      <c r="N804" s="6">
        <v>1.4E-2</v>
      </c>
      <c r="O804" s="6">
        <v>1.4E-2</v>
      </c>
      <c r="P804" s="6">
        <v>0</v>
      </c>
      <c r="Q804" s="4" t="s">
        <v>26</v>
      </c>
      <c r="R804" s="4">
        <v>0</v>
      </c>
      <c r="S804" s="6">
        <v>0</v>
      </c>
      <c r="T804" s="6">
        <v>27</v>
      </c>
      <c r="U804" s="6">
        <v>64</v>
      </c>
      <c r="V804" s="6">
        <f>IF(ISERROR(VLOOKUP($S$804,'TAR FIN'!$A$1:$O$85,15,0)),0,VLOOKUP($S$804,'TAR FIN'!$A$1:$O$85,15,0))</f>
        <v>0</v>
      </c>
      <c r="W804" s="6">
        <f>IF(ISERROR(VLOOKUP($T$804,'TAR FIN'!$A$1:$O$85,15,0)),0,VLOOKUP($T$804,'TAR FIN'!$A$1:$O$85,15,0))</f>
        <v>511.06</v>
      </c>
      <c r="X804" s="6">
        <f>IF(ISERROR(VLOOKUP($U$804,'TAR FIN'!$A$1:$O$85,15,0)),0,VLOOKUP($U$804,'TAR FIN'!$A$1:$O$85,15,0))</f>
        <v>270.23</v>
      </c>
      <c r="Y804" s="6"/>
      <c r="Z804" s="6">
        <f ca="1">('TUSD BE'!$AM$31+'TUSD BF'!$AM$31+'TUSD CVA'!$AM$31)*(1-CUSTOS!$M$38)</f>
        <v>673.35624808231341</v>
      </c>
      <c r="AA804" s="6">
        <f>('TE BE'!$AB$21+'TE BF'!$AB$21+'TE CVA'!$AB$21)*(1-CUSTOS!$M$38)</f>
        <v>286.57806182434155</v>
      </c>
      <c r="AB804" s="6">
        <f>$K$804*$V$804</f>
        <v>0</v>
      </c>
      <c r="AC804" s="6">
        <f>$M$804*$W$804</f>
        <v>7.1548400000000001</v>
      </c>
      <c r="AD804" s="6">
        <f>$O$804*$X$804</f>
        <v>3.7832200000000005</v>
      </c>
      <c r="AE804" s="6">
        <f>$K$804*$Y$804</f>
        <v>0</v>
      </c>
      <c r="AF804" s="6">
        <f ca="1">$M$804*$Z$804</f>
        <v>9.4269874731523888</v>
      </c>
      <c r="AG804" s="6">
        <f>$O$804*$AA$804</f>
        <v>4.0120928655407821</v>
      </c>
    </row>
    <row r="805" spans="1:33" ht="11.25" customHeight="1" x14ac:dyDescent="0.25">
      <c r="A805" s="4" t="s">
        <v>56</v>
      </c>
      <c r="B805" s="4" t="s">
        <v>43</v>
      </c>
      <c r="C805" s="4" t="s">
        <v>33</v>
      </c>
      <c r="D805" s="4" t="s">
        <v>44</v>
      </c>
      <c r="E805" s="4" t="s">
        <v>25</v>
      </c>
      <c r="F805" s="4" t="s">
        <v>25</v>
      </c>
      <c r="G805" s="4" t="s">
        <v>25</v>
      </c>
      <c r="H805" s="4" t="s">
        <v>36</v>
      </c>
      <c r="I805" s="5">
        <v>44774</v>
      </c>
      <c r="J805" s="6">
        <v>0</v>
      </c>
      <c r="K805" s="6">
        <v>0</v>
      </c>
      <c r="L805" s="6">
        <v>1.4E-2</v>
      </c>
      <c r="M805" s="6">
        <v>1.4E-2</v>
      </c>
      <c r="N805" s="6">
        <v>1.4E-2</v>
      </c>
      <c r="O805" s="6">
        <v>1.4E-2</v>
      </c>
      <c r="P805" s="6">
        <v>0</v>
      </c>
      <c r="Q805" s="4" t="s">
        <v>26</v>
      </c>
      <c r="R805" s="4">
        <v>0</v>
      </c>
      <c r="S805" s="6">
        <v>0</v>
      </c>
      <c r="T805" s="6">
        <v>27</v>
      </c>
      <c r="U805" s="6">
        <v>64</v>
      </c>
      <c r="V805" s="6">
        <f>IF(ISERROR(VLOOKUP($S$805,'TAR FIN'!$A$1:$O$85,15,0)),0,VLOOKUP($S$805,'TAR FIN'!$A$1:$O$85,15,0))</f>
        <v>0</v>
      </c>
      <c r="W805" s="6">
        <f>IF(ISERROR(VLOOKUP($T$805,'TAR FIN'!$A$1:$O$85,15,0)),0,VLOOKUP($T$805,'TAR FIN'!$A$1:$O$85,15,0))</f>
        <v>511.06</v>
      </c>
      <c r="X805" s="6">
        <f>IF(ISERROR(VLOOKUP($U$805,'TAR FIN'!$A$1:$O$85,15,0)),0,VLOOKUP($U$805,'TAR FIN'!$A$1:$O$85,15,0))</f>
        <v>270.23</v>
      </c>
      <c r="Y805" s="6"/>
      <c r="Z805" s="6">
        <f ca="1">('TUSD BE'!$AM$31+'TUSD BF'!$AM$31+'TUSD CVA'!$AM$31)*(1-CUSTOS!$M$38)</f>
        <v>673.35624808231341</v>
      </c>
      <c r="AA805" s="6">
        <f>('TE BE'!$AB$21+'TE BF'!$AB$21+'TE CVA'!$AB$21)*(1-CUSTOS!$M$38)</f>
        <v>286.57806182434155</v>
      </c>
      <c r="AB805" s="6">
        <f>$K$805*$V$805</f>
        <v>0</v>
      </c>
      <c r="AC805" s="6">
        <f>$M$805*$W$805</f>
        <v>7.1548400000000001</v>
      </c>
      <c r="AD805" s="6">
        <f>$O$805*$X$805</f>
        <v>3.7832200000000005</v>
      </c>
      <c r="AE805" s="6">
        <f>$K$805*$Y$805</f>
        <v>0</v>
      </c>
      <c r="AF805" s="6">
        <f ca="1">$M$805*$Z$805</f>
        <v>9.4269874731523888</v>
      </c>
      <c r="AG805" s="6">
        <f>$O$805*$AA$805</f>
        <v>4.0120928655407821</v>
      </c>
    </row>
    <row r="806" spans="1:33" ht="11.25" customHeight="1" x14ac:dyDescent="0.25">
      <c r="A806" s="4" t="s">
        <v>21</v>
      </c>
      <c r="B806" s="4" t="s">
        <v>43</v>
      </c>
      <c r="C806" s="4" t="s">
        <v>33</v>
      </c>
      <c r="D806" s="4" t="s">
        <v>44</v>
      </c>
      <c r="E806" s="4" t="s">
        <v>25</v>
      </c>
      <c r="F806" s="4" t="s">
        <v>25</v>
      </c>
      <c r="G806" s="4" t="s">
        <v>25</v>
      </c>
      <c r="H806" s="4" t="s">
        <v>34</v>
      </c>
      <c r="I806" s="5">
        <v>44440</v>
      </c>
      <c r="J806" s="6">
        <v>0</v>
      </c>
      <c r="K806" s="6">
        <v>0</v>
      </c>
      <c r="L806" s="6">
        <v>1.9E-2</v>
      </c>
      <c r="M806" s="6">
        <v>1.9E-2</v>
      </c>
      <c r="N806" s="6">
        <v>1.9E-2</v>
      </c>
      <c r="O806" s="6">
        <v>1.9E-2</v>
      </c>
      <c r="P806" s="6">
        <v>0</v>
      </c>
      <c r="Q806" s="4" t="s">
        <v>26</v>
      </c>
      <c r="R806" s="4">
        <v>0</v>
      </c>
      <c r="S806" s="6">
        <v>0</v>
      </c>
      <c r="T806" s="6">
        <v>26</v>
      </c>
      <c r="U806" s="6">
        <v>63</v>
      </c>
      <c r="V806" s="6">
        <f>IF(ISERROR(VLOOKUP($S$806,'TAR FIN'!$A$1:$O$85,15,0)),0,VLOOKUP($S$806,'TAR FIN'!$A$1:$O$85,15,0))</f>
        <v>0</v>
      </c>
      <c r="W806" s="6">
        <f>IF(ISERROR(VLOOKUP($T$806,'TAR FIN'!$A$1:$O$85,15,0)),0,VLOOKUP($T$806,'TAR FIN'!$A$1:$O$85,15,0))</f>
        <v>794.02</v>
      </c>
      <c r="X806" s="6">
        <f>IF(ISERROR(VLOOKUP($U$806,'TAR FIN'!$A$1:$O$85,15,0)),0,VLOOKUP($U$806,'TAR FIN'!$A$1:$O$85,15,0))</f>
        <v>433.52</v>
      </c>
      <c r="Y806" s="6"/>
      <c r="Z806" s="6">
        <f ca="1">('TUSD BE'!$AM$30+'TUSD BF'!$AM$30+'TUSD CVA'!$AM$30)*(1-CUSTOS!$M$38)</f>
        <v>1005.914532129545</v>
      </c>
      <c r="AA806" s="6">
        <f>('TE BE'!$AB$20+'TE BF'!$AB$20+'TE CVA'!$AB$20)*(1-CUSTOS!$M$38)</f>
        <v>456.72341783342205</v>
      </c>
      <c r="AB806" s="6">
        <f>$K$806*$V$806</f>
        <v>0</v>
      </c>
      <c r="AC806" s="6">
        <f>$M$806*$W$806</f>
        <v>15.08638</v>
      </c>
      <c r="AD806" s="6">
        <f>$O$806*$X$806</f>
        <v>8.2368799999999993</v>
      </c>
      <c r="AE806" s="6">
        <f>$K$806*$Y$806</f>
        <v>0</v>
      </c>
      <c r="AF806" s="6">
        <f ca="1">$M$806*$Z$806</f>
        <v>19.112376110461355</v>
      </c>
      <c r="AG806" s="6">
        <f>$O$806*$AA$806</f>
        <v>8.6777449388350192</v>
      </c>
    </row>
    <row r="807" spans="1:33" ht="11.25" customHeight="1" x14ac:dyDescent="0.25">
      <c r="A807" s="4" t="s">
        <v>21</v>
      </c>
      <c r="B807" s="4" t="s">
        <v>43</v>
      </c>
      <c r="C807" s="4" t="s">
        <v>33</v>
      </c>
      <c r="D807" s="4" t="s">
        <v>44</v>
      </c>
      <c r="E807" s="4" t="s">
        <v>25</v>
      </c>
      <c r="F807" s="4" t="s">
        <v>25</v>
      </c>
      <c r="G807" s="4" t="s">
        <v>25</v>
      </c>
      <c r="H807" s="4" t="s">
        <v>34</v>
      </c>
      <c r="I807" s="5">
        <v>44470</v>
      </c>
      <c r="J807" s="6">
        <v>0</v>
      </c>
      <c r="K807" s="6">
        <v>0</v>
      </c>
      <c r="L807" s="6">
        <v>0.02</v>
      </c>
      <c r="M807" s="6">
        <v>0.02</v>
      </c>
      <c r="N807" s="6">
        <v>0.02</v>
      </c>
      <c r="O807" s="6">
        <v>0.02</v>
      </c>
      <c r="P807" s="6">
        <v>0</v>
      </c>
      <c r="Q807" s="4" t="s">
        <v>26</v>
      </c>
      <c r="R807" s="4">
        <v>0</v>
      </c>
      <c r="S807" s="6">
        <v>0</v>
      </c>
      <c r="T807" s="6">
        <v>26</v>
      </c>
      <c r="U807" s="6">
        <v>63</v>
      </c>
      <c r="V807" s="6">
        <f>IF(ISERROR(VLOOKUP($S$807,'TAR FIN'!$A$1:$O$85,15,0)),0,VLOOKUP($S$807,'TAR FIN'!$A$1:$O$85,15,0))</f>
        <v>0</v>
      </c>
      <c r="W807" s="6">
        <f>IF(ISERROR(VLOOKUP($T$807,'TAR FIN'!$A$1:$O$85,15,0)),0,VLOOKUP($T$807,'TAR FIN'!$A$1:$O$85,15,0))</f>
        <v>794.02</v>
      </c>
      <c r="X807" s="6">
        <f>IF(ISERROR(VLOOKUP($U$807,'TAR FIN'!$A$1:$O$85,15,0)),0,VLOOKUP($U$807,'TAR FIN'!$A$1:$O$85,15,0))</f>
        <v>433.52</v>
      </c>
      <c r="Y807" s="6"/>
      <c r="Z807" s="6">
        <f ca="1">('TUSD BE'!$AM$30+'TUSD BF'!$AM$30+'TUSD CVA'!$AM$30)*(1-CUSTOS!$M$38)</f>
        <v>1005.914532129545</v>
      </c>
      <c r="AA807" s="6">
        <f>('TE BE'!$AB$20+'TE BF'!$AB$20+'TE CVA'!$AB$20)*(1-CUSTOS!$M$38)</f>
        <v>456.72341783342205</v>
      </c>
      <c r="AB807" s="6">
        <f>$K$807*$V$807</f>
        <v>0</v>
      </c>
      <c r="AC807" s="6">
        <f>$M$807*$W$807</f>
        <v>15.8804</v>
      </c>
      <c r="AD807" s="6">
        <f>$O$807*$X$807</f>
        <v>8.670399999999999</v>
      </c>
      <c r="AE807" s="6">
        <f>$K$807*$Y$807</f>
        <v>0</v>
      </c>
      <c r="AF807" s="6">
        <f ca="1">$M$807*$Z$807</f>
        <v>20.1182906425909</v>
      </c>
      <c r="AG807" s="6">
        <f>$O$807*$AA$807</f>
        <v>9.1344683566684406</v>
      </c>
    </row>
    <row r="808" spans="1:33" ht="11.25" customHeight="1" x14ac:dyDescent="0.25">
      <c r="A808" s="4" t="s">
        <v>21</v>
      </c>
      <c r="B808" s="4" t="s">
        <v>43</v>
      </c>
      <c r="C808" s="4" t="s">
        <v>33</v>
      </c>
      <c r="D808" s="4" t="s">
        <v>44</v>
      </c>
      <c r="E808" s="4" t="s">
        <v>25</v>
      </c>
      <c r="F808" s="4" t="s">
        <v>25</v>
      </c>
      <c r="G808" s="4" t="s">
        <v>25</v>
      </c>
      <c r="H808" s="4" t="s">
        <v>34</v>
      </c>
      <c r="I808" s="5">
        <v>44501</v>
      </c>
      <c r="J808" s="6">
        <v>0</v>
      </c>
      <c r="K808" s="6">
        <v>0</v>
      </c>
      <c r="L808" s="6">
        <v>2.1000000000000001E-2</v>
      </c>
      <c r="M808" s="6">
        <v>2.1000000000000001E-2</v>
      </c>
      <c r="N808" s="6">
        <v>2.1000000000000001E-2</v>
      </c>
      <c r="O808" s="6">
        <v>2.1000000000000001E-2</v>
      </c>
      <c r="P808" s="6">
        <v>0</v>
      </c>
      <c r="Q808" s="4" t="s">
        <v>26</v>
      </c>
      <c r="R808" s="4">
        <v>0</v>
      </c>
      <c r="S808" s="6">
        <v>0</v>
      </c>
      <c r="T808" s="6">
        <v>26</v>
      </c>
      <c r="U808" s="6">
        <v>63</v>
      </c>
      <c r="V808" s="6">
        <f>IF(ISERROR(VLOOKUP($S$808,'TAR FIN'!$A$1:$O$85,15,0)),0,VLOOKUP($S$808,'TAR FIN'!$A$1:$O$85,15,0))</f>
        <v>0</v>
      </c>
      <c r="W808" s="6">
        <f>IF(ISERROR(VLOOKUP($T$808,'TAR FIN'!$A$1:$O$85,15,0)),0,VLOOKUP($T$808,'TAR FIN'!$A$1:$O$85,15,0))</f>
        <v>794.02</v>
      </c>
      <c r="X808" s="6">
        <f>IF(ISERROR(VLOOKUP($U$808,'TAR FIN'!$A$1:$O$85,15,0)),0,VLOOKUP($U$808,'TAR FIN'!$A$1:$O$85,15,0))</f>
        <v>433.52</v>
      </c>
      <c r="Y808" s="6"/>
      <c r="Z808" s="6">
        <f ca="1">('TUSD BE'!$AM$30+'TUSD BF'!$AM$30+'TUSD CVA'!$AM$30)*(1-CUSTOS!$M$38)</f>
        <v>1005.914532129545</v>
      </c>
      <c r="AA808" s="6">
        <f>('TE BE'!$AB$20+'TE BF'!$AB$20+'TE CVA'!$AB$20)*(1-CUSTOS!$M$38)</f>
        <v>456.72341783342205</v>
      </c>
      <c r="AB808" s="6">
        <f>$K$808*$V$808</f>
        <v>0</v>
      </c>
      <c r="AC808" s="6">
        <f>$M$808*$W$808</f>
        <v>16.674420000000001</v>
      </c>
      <c r="AD808" s="6">
        <f>$O$808*$X$808</f>
        <v>9.1039200000000005</v>
      </c>
      <c r="AE808" s="6">
        <f>$K$808*$Y$808</f>
        <v>0</v>
      </c>
      <c r="AF808" s="6">
        <f ca="1">$M$808*$Z$808</f>
        <v>21.124205174720448</v>
      </c>
      <c r="AG808" s="6">
        <f>$O$808*$AA$808</f>
        <v>9.5911917745018638</v>
      </c>
    </row>
    <row r="809" spans="1:33" ht="11.25" customHeight="1" x14ac:dyDescent="0.25">
      <c r="A809" s="4" t="s">
        <v>21</v>
      </c>
      <c r="B809" s="4" t="s">
        <v>43</v>
      </c>
      <c r="C809" s="4" t="s">
        <v>33</v>
      </c>
      <c r="D809" s="4" t="s">
        <v>44</v>
      </c>
      <c r="E809" s="4" t="s">
        <v>25</v>
      </c>
      <c r="F809" s="4" t="s">
        <v>25</v>
      </c>
      <c r="G809" s="4" t="s">
        <v>25</v>
      </c>
      <c r="H809" s="4" t="s">
        <v>34</v>
      </c>
      <c r="I809" s="5">
        <v>44531</v>
      </c>
      <c r="J809" s="6">
        <v>0</v>
      </c>
      <c r="K809" s="6">
        <v>0</v>
      </c>
      <c r="L809" s="6">
        <v>0.02</v>
      </c>
      <c r="M809" s="6">
        <v>0.02</v>
      </c>
      <c r="N809" s="6">
        <v>0.02</v>
      </c>
      <c r="O809" s="6">
        <v>0.02</v>
      </c>
      <c r="P809" s="6">
        <v>0</v>
      </c>
      <c r="Q809" s="4" t="s">
        <v>26</v>
      </c>
      <c r="R809" s="4">
        <v>0</v>
      </c>
      <c r="S809" s="6">
        <v>0</v>
      </c>
      <c r="T809" s="6">
        <v>26</v>
      </c>
      <c r="U809" s="6">
        <v>63</v>
      </c>
      <c r="V809" s="6">
        <f>IF(ISERROR(VLOOKUP($S$809,'TAR FIN'!$A$1:$O$85,15,0)),0,VLOOKUP($S$809,'TAR FIN'!$A$1:$O$85,15,0))</f>
        <v>0</v>
      </c>
      <c r="W809" s="6">
        <f>IF(ISERROR(VLOOKUP($T$809,'TAR FIN'!$A$1:$O$85,15,0)),0,VLOOKUP($T$809,'TAR FIN'!$A$1:$O$85,15,0))</f>
        <v>794.02</v>
      </c>
      <c r="X809" s="6">
        <f>IF(ISERROR(VLOOKUP($U$809,'TAR FIN'!$A$1:$O$85,15,0)),0,VLOOKUP($U$809,'TAR FIN'!$A$1:$O$85,15,0))</f>
        <v>433.52</v>
      </c>
      <c r="Y809" s="6"/>
      <c r="Z809" s="6">
        <f ca="1">('TUSD BE'!$AM$30+'TUSD BF'!$AM$30+'TUSD CVA'!$AM$30)*(1-CUSTOS!$M$38)</f>
        <v>1005.914532129545</v>
      </c>
      <c r="AA809" s="6">
        <f>('TE BE'!$AB$20+'TE BF'!$AB$20+'TE CVA'!$AB$20)*(1-CUSTOS!$M$38)</f>
        <v>456.72341783342205</v>
      </c>
      <c r="AB809" s="6">
        <f>$K$809*$V$809</f>
        <v>0</v>
      </c>
      <c r="AC809" s="6">
        <f>$M$809*$W$809</f>
        <v>15.8804</v>
      </c>
      <c r="AD809" s="6">
        <f>$O$809*$X$809</f>
        <v>8.670399999999999</v>
      </c>
      <c r="AE809" s="6">
        <f>$K$809*$Y$809</f>
        <v>0</v>
      </c>
      <c r="AF809" s="6">
        <f ca="1">$M$809*$Z$809</f>
        <v>20.1182906425909</v>
      </c>
      <c r="AG809" s="6">
        <f>$O$809*$AA$809</f>
        <v>9.1344683566684406</v>
      </c>
    </row>
    <row r="810" spans="1:33" ht="11.25" customHeight="1" x14ac:dyDescent="0.25">
      <c r="A810" s="4" t="s">
        <v>21</v>
      </c>
      <c r="B810" s="4" t="s">
        <v>43</v>
      </c>
      <c r="C810" s="4" t="s">
        <v>33</v>
      </c>
      <c r="D810" s="4" t="s">
        <v>44</v>
      </c>
      <c r="E810" s="4" t="s">
        <v>25</v>
      </c>
      <c r="F810" s="4" t="s">
        <v>25</v>
      </c>
      <c r="G810" s="4" t="s">
        <v>25</v>
      </c>
      <c r="H810" s="4" t="s">
        <v>34</v>
      </c>
      <c r="I810" s="5">
        <v>44562</v>
      </c>
      <c r="J810" s="6">
        <v>0</v>
      </c>
      <c r="K810" s="6">
        <v>0</v>
      </c>
      <c r="L810" s="6">
        <v>2.1999999999999999E-2</v>
      </c>
      <c r="M810" s="6">
        <v>2.1999999999999999E-2</v>
      </c>
      <c r="N810" s="6">
        <v>2.1999999999999999E-2</v>
      </c>
      <c r="O810" s="6">
        <v>2.1999999999999999E-2</v>
      </c>
      <c r="P810" s="6">
        <v>0</v>
      </c>
      <c r="Q810" s="4" t="s">
        <v>26</v>
      </c>
      <c r="R810" s="4">
        <v>0</v>
      </c>
      <c r="S810" s="6">
        <v>0</v>
      </c>
      <c r="T810" s="6">
        <v>26</v>
      </c>
      <c r="U810" s="6">
        <v>63</v>
      </c>
      <c r="V810" s="6">
        <f>IF(ISERROR(VLOOKUP($S$810,'TAR FIN'!$A$1:$O$85,15,0)),0,VLOOKUP($S$810,'TAR FIN'!$A$1:$O$85,15,0))</f>
        <v>0</v>
      </c>
      <c r="W810" s="6">
        <f>IF(ISERROR(VLOOKUP($T$810,'TAR FIN'!$A$1:$O$85,15,0)),0,VLOOKUP($T$810,'TAR FIN'!$A$1:$O$85,15,0))</f>
        <v>794.02</v>
      </c>
      <c r="X810" s="6">
        <f>IF(ISERROR(VLOOKUP($U$810,'TAR FIN'!$A$1:$O$85,15,0)),0,VLOOKUP($U$810,'TAR FIN'!$A$1:$O$85,15,0))</f>
        <v>433.52</v>
      </c>
      <c r="Y810" s="6"/>
      <c r="Z810" s="6">
        <f ca="1">('TUSD BE'!$AM$30+'TUSD BF'!$AM$30+'TUSD CVA'!$AM$30)*(1-CUSTOS!$M$38)</f>
        <v>1005.914532129545</v>
      </c>
      <c r="AA810" s="6">
        <f>('TE BE'!$AB$20+'TE BF'!$AB$20+'TE CVA'!$AB$20)*(1-CUSTOS!$M$38)</f>
        <v>456.72341783342205</v>
      </c>
      <c r="AB810" s="6">
        <f>$K$810*$V$810</f>
        <v>0</v>
      </c>
      <c r="AC810" s="6">
        <f>$M$810*$W$810</f>
        <v>17.468439999999998</v>
      </c>
      <c r="AD810" s="6">
        <f>$O$810*$X$810</f>
        <v>9.5374399999999984</v>
      </c>
      <c r="AE810" s="6">
        <f>$K$810*$Y$810</f>
        <v>0</v>
      </c>
      <c r="AF810" s="6">
        <f ca="1">$M$810*$Z$810</f>
        <v>22.130119706849989</v>
      </c>
      <c r="AG810" s="6">
        <f>$O$810*$AA$810</f>
        <v>10.047915192335285</v>
      </c>
    </row>
    <row r="811" spans="1:33" ht="11.25" customHeight="1" x14ac:dyDescent="0.25">
      <c r="A811" s="4" t="s">
        <v>21</v>
      </c>
      <c r="B811" s="4" t="s">
        <v>43</v>
      </c>
      <c r="C811" s="4" t="s">
        <v>33</v>
      </c>
      <c r="D811" s="4" t="s">
        <v>44</v>
      </c>
      <c r="E811" s="4" t="s">
        <v>25</v>
      </c>
      <c r="F811" s="4" t="s">
        <v>25</v>
      </c>
      <c r="G811" s="4" t="s">
        <v>25</v>
      </c>
      <c r="H811" s="4" t="s">
        <v>34</v>
      </c>
      <c r="I811" s="5">
        <v>44593</v>
      </c>
      <c r="J811" s="6">
        <v>0</v>
      </c>
      <c r="K811" s="6">
        <v>0</v>
      </c>
      <c r="L811" s="6">
        <v>2.1000000000000001E-2</v>
      </c>
      <c r="M811" s="6">
        <v>2.1000000000000001E-2</v>
      </c>
      <c r="N811" s="6">
        <v>2.1000000000000001E-2</v>
      </c>
      <c r="O811" s="6">
        <v>2.1000000000000001E-2</v>
      </c>
      <c r="P811" s="6">
        <v>0</v>
      </c>
      <c r="Q811" s="4" t="s">
        <v>26</v>
      </c>
      <c r="R811" s="4">
        <v>0</v>
      </c>
      <c r="S811" s="6">
        <v>0</v>
      </c>
      <c r="T811" s="6">
        <v>26</v>
      </c>
      <c r="U811" s="6">
        <v>63</v>
      </c>
      <c r="V811" s="6">
        <f>IF(ISERROR(VLOOKUP($S$811,'TAR FIN'!$A$1:$O$85,15,0)),0,VLOOKUP($S$811,'TAR FIN'!$A$1:$O$85,15,0))</f>
        <v>0</v>
      </c>
      <c r="W811" s="6">
        <f>IF(ISERROR(VLOOKUP($T$811,'TAR FIN'!$A$1:$O$85,15,0)),0,VLOOKUP($T$811,'TAR FIN'!$A$1:$O$85,15,0))</f>
        <v>794.02</v>
      </c>
      <c r="X811" s="6">
        <f>IF(ISERROR(VLOOKUP($U$811,'TAR FIN'!$A$1:$O$85,15,0)),0,VLOOKUP($U$811,'TAR FIN'!$A$1:$O$85,15,0))</f>
        <v>433.52</v>
      </c>
      <c r="Y811" s="6"/>
      <c r="Z811" s="6">
        <f ca="1">('TUSD BE'!$AM$30+'TUSD BF'!$AM$30+'TUSD CVA'!$AM$30)*(1-CUSTOS!$M$38)</f>
        <v>1005.914532129545</v>
      </c>
      <c r="AA811" s="6">
        <f>('TE BE'!$AB$20+'TE BF'!$AB$20+'TE CVA'!$AB$20)*(1-CUSTOS!$M$38)</f>
        <v>456.72341783342205</v>
      </c>
      <c r="AB811" s="6">
        <f>$K$811*$V$811</f>
        <v>0</v>
      </c>
      <c r="AC811" s="6">
        <f>$M$811*$W$811</f>
        <v>16.674420000000001</v>
      </c>
      <c r="AD811" s="6">
        <f>$O$811*$X$811</f>
        <v>9.1039200000000005</v>
      </c>
      <c r="AE811" s="6">
        <f>$K$811*$Y$811</f>
        <v>0</v>
      </c>
      <c r="AF811" s="6">
        <f ca="1">$M$811*$Z$811</f>
        <v>21.124205174720448</v>
      </c>
      <c r="AG811" s="6">
        <f>$O$811*$AA$811</f>
        <v>9.5911917745018638</v>
      </c>
    </row>
    <row r="812" spans="1:33" ht="11.25" customHeight="1" x14ac:dyDescent="0.25">
      <c r="A812" s="4" t="s">
        <v>21</v>
      </c>
      <c r="B812" s="4" t="s">
        <v>43</v>
      </c>
      <c r="C812" s="4" t="s">
        <v>33</v>
      </c>
      <c r="D812" s="4" t="s">
        <v>44</v>
      </c>
      <c r="E812" s="4" t="s">
        <v>25</v>
      </c>
      <c r="F812" s="4" t="s">
        <v>25</v>
      </c>
      <c r="G812" s="4" t="s">
        <v>25</v>
      </c>
      <c r="H812" s="4" t="s">
        <v>34</v>
      </c>
      <c r="I812" s="5">
        <v>44621</v>
      </c>
      <c r="J812" s="6">
        <v>0</v>
      </c>
      <c r="K812" s="6">
        <v>0</v>
      </c>
      <c r="L812" s="6">
        <v>1.9E-2</v>
      </c>
      <c r="M812" s="6">
        <v>1.9E-2</v>
      </c>
      <c r="N812" s="6">
        <v>1.9E-2</v>
      </c>
      <c r="O812" s="6">
        <v>1.9E-2</v>
      </c>
      <c r="P812" s="6">
        <v>0</v>
      </c>
      <c r="Q812" s="4" t="s">
        <v>26</v>
      </c>
      <c r="R812" s="4">
        <v>0</v>
      </c>
      <c r="S812" s="6">
        <v>0</v>
      </c>
      <c r="T812" s="6">
        <v>26</v>
      </c>
      <c r="U812" s="6">
        <v>63</v>
      </c>
      <c r="V812" s="6">
        <f>IF(ISERROR(VLOOKUP($S$812,'TAR FIN'!$A$1:$O$85,15,0)),0,VLOOKUP($S$812,'TAR FIN'!$A$1:$O$85,15,0))</f>
        <v>0</v>
      </c>
      <c r="W812" s="6">
        <f>IF(ISERROR(VLOOKUP($T$812,'TAR FIN'!$A$1:$O$85,15,0)),0,VLOOKUP($T$812,'TAR FIN'!$A$1:$O$85,15,0))</f>
        <v>794.02</v>
      </c>
      <c r="X812" s="6">
        <f>IF(ISERROR(VLOOKUP($U$812,'TAR FIN'!$A$1:$O$85,15,0)),0,VLOOKUP($U$812,'TAR FIN'!$A$1:$O$85,15,0))</f>
        <v>433.52</v>
      </c>
      <c r="Y812" s="6"/>
      <c r="Z812" s="6">
        <f ca="1">('TUSD BE'!$AM$30+'TUSD BF'!$AM$30+'TUSD CVA'!$AM$30)*(1-CUSTOS!$M$38)</f>
        <v>1005.914532129545</v>
      </c>
      <c r="AA812" s="6">
        <f>('TE BE'!$AB$20+'TE BF'!$AB$20+'TE CVA'!$AB$20)*(1-CUSTOS!$M$38)</f>
        <v>456.72341783342205</v>
      </c>
      <c r="AB812" s="6">
        <f>$K$812*$V$812</f>
        <v>0</v>
      </c>
      <c r="AC812" s="6">
        <f>$M$812*$W$812</f>
        <v>15.08638</v>
      </c>
      <c r="AD812" s="6">
        <f>$O$812*$X$812</f>
        <v>8.2368799999999993</v>
      </c>
      <c r="AE812" s="6">
        <f>$K$812*$Y$812</f>
        <v>0</v>
      </c>
      <c r="AF812" s="6">
        <f ca="1">$M$812*$Z$812</f>
        <v>19.112376110461355</v>
      </c>
      <c r="AG812" s="6">
        <f>$O$812*$AA$812</f>
        <v>8.6777449388350192</v>
      </c>
    </row>
    <row r="813" spans="1:33" ht="11.25" customHeight="1" x14ac:dyDescent="0.25">
      <c r="A813" s="4" t="s">
        <v>21</v>
      </c>
      <c r="B813" s="4" t="s">
        <v>43</v>
      </c>
      <c r="C813" s="4" t="s">
        <v>33</v>
      </c>
      <c r="D813" s="4" t="s">
        <v>44</v>
      </c>
      <c r="E813" s="4" t="s">
        <v>25</v>
      </c>
      <c r="F813" s="4" t="s">
        <v>25</v>
      </c>
      <c r="G813" s="4" t="s">
        <v>25</v>
      </c>
      <c r="H813" s="4" t="s">
        <v>34</v>
      </c>
      <c r="I813" s="5">
        <v>44652</v>
      </c>
      <c r="J813" s="6">
        <v>0</v>
      </c>
      <c r="K813" s="6">
        <v>0</v>
      </c>
      <c r="L813" s="6">
        <v>3.3000000000000002E-2</v>
      </c>
      <c r="M813" s="6">
        <v>3.3000000000000002E-2</v>
      </c>
      <c r="N813" s="6">
        <v>3.3000000000000002E-2</v>
      </c>
      <c r="O813" s="6">
        <v>3.3000000000000002E-2</v>
      </c>
      <c r="P813" s="6">
        <v>0</v>
      </c>
      <c r="Q813" s="4" t="s">
        <v>26</v>
      </c>
      <c r="R813" s="4">
        <v>0</v>
      </c>
      <c r="S813" s="6">
        <v>0</v>
      </c>
      <c r="T813" s="6">
        <v>26</v>
      </c>
      <c r="U813" s="6">
        <v>63</v>
      </c>
      <c r="V813" s="6">
        <f>IF(ISERROR(VLOOKUP($S$813,'TAR FIN'!$A$1:$O$85,15,0)),0,VLOOKUP($S$813,'TAR FIN'!$A$1:$O$85,15,0))</f>
        <v>0</v>
      </c>
      <c r="W813" s="6">
        <f>IF(ISERROR(VLOOKUP($T$813,'TAR FIN'!$A$1:$O$85,15,0)),0,VLOOKUP($T$813,'TAR FIN'!$A$1:$O$85,15,0))</f>
        <v>794.02</v>
      </c>
      <c r="X813" s="6">
        <f>IF(ISERROR(VLOOKUP($U$813,'TAR FIN'!$A$1:$O$85,15,0)),0,VLOOKUP($U$813,'TAR FIN'!$A$1:$O$85,15,0))</f>
        <v>433.52</v>
      </c>
      <c r="Y813" s="6"/>
      <c r="Z813" s="6">
        <f ca="1">('TUSD BE'!$AM$30+'TUSD BF'!$AM$30+'TUSD CVA'!$AM$30)*(1-CUSTOS!$M$38)</f>
        <v>1005.914532129545</v>
      </c>
      <c r="AA813" s="6">
        <f>('TE BE'!$AB$20+'TE BF'!$AB$20+'TE CVA'!$AB$20)*(1-CUSTOS!$M$38)</f>
        <v>456.72341783342205</v>
      </c>
      <c r="AB813" s="6">
        <f>$K$813*$V$813</f>
        <v>0</v>
      </c>
      <c r="AC813" s="6">
        <f>$M$813*$W$813</f>
        <v>26.202660000000002</v>
      </c>
      <c r="AD813" s="6">
        <f>$O$813*$X$813</f>
        <v>14.30616</v>
      </c>
      <c r="AE813" s="6">
        <f>$K$813*$Y$813</f>
        <v>0</v>
      </c>
      <c r="AF813" s="6">
        <f ca="1">$M$813*$Z$813</f>
        <v>33.195179560274987</v>
      </c>
      <c r="AG813" s="6">
        <f>$O$813*$AA$813</f>
        <v>15.071872788502928</v>
      </c>
    </row>
    <row r="814" spans="1:33" ht="11.25" customHeight="1" x14ac:dyDescent="0.25">
      <c r="A814" s="4" t="s">
        <v>21</v>
      </c>
      <c r="B814" s="4" t="s">
        <v>43</v>
      </c>
      <c r="C814" s="4" t="s">
        <v>33</v>
      </c>
      <c r="D814" s="4" t="s">
        <v>44</v>
      </c>
      <c r="E814" s="4" t="s">
        <v>25</v>
      </c>
      <c r="F814" s="4" t="s">
        <v>25</v>
      </c>
      <c r="G814" s="4" t="s">
        <v>25</v>
      </c>
      <c r="H814" s="4" t="s">
        <v>34</v>
      </c>
      <c r="I814" s="5">
        <v>44682</v>
      </c>
      <c r="J814" s="6">
        <v>0</v>
      </c>
      <c r="K814" s="6">
        <v>0</v>
      </c>
      <c r="L814" s="6">
        <v>2.5999999999999999E-2</v>
      </c>
      <c r="M814" s="6">
        <v>2.5999999999999999E-2</v>
      </c>
      <c r="N814" s="6">
        <v>2.5999999999999999E-2</v>
      </c>
      <c r="O814" s="6">
        <v>2.5999999999999999E-2</v>
      </c>
      <c r="P814" s="6">
        <v>0</v>
      </c>
      <c r="Q814" s="4" t="s">
        <v>26</v>
      </c>
      <c r="R814" s="4">
        <v>0</v>
      </c>
      <c r="S814" s="6">
        <v>0</v>
      </c>
      <c r="T814" s="6">
        <v>26</v>
      </c>
      <c r="U814" s="6">
        <v>63</v>
      </c>
      <c r="V814" s="6">
        <f>IF(ISERROR(VLOOKUP($S$814,'TAR FIN'!$A$1:$O$85,15,0)),0,VLOOKUP($S$814,'TAR FIN'!$A$1:$O$85,15,0))</f>
        <v>0</v>
      </c>
      <c r="W814" s="6">
        <f>IF(ISERROR(VLOOKUP($T$814,'TAR FIN'!$A$1:$O$85,15,0)),0,VLOOKUP($T$814,'TAR FIN'!$A$1:$O$85,15,0))</f>
        <v>794.02</v>
      </c>
      <c r="X814" s="6">
        <f>IF(ISERROR(VLOOKUP($U$814,'TAR FIN'!$A$1:$O$85,15,0)),0,VLOOKUP($U$814,'TAR FIN'!$A$1:$O$85,15,0))</f>
        <v>433.52</v>
      </c>
      <c r="Y814" s="6"/>
      <c r="Z814" s="6">
        <f ca="1">('TUSD BE'!$AM$30+'TUSD BF'!$AM$30+'TUSD CVA'!$AM$30)*(1-CUSTOS!$M$38)</f>
        <v>1005.914532129545</v>
      </c>
      <c r="AA814" s="6">
        <f>('TE BE'!$AB$20+'TE BF'!$AB$20+'TE CVA'!$AB$20)*(1-CUSTOS!$M$38)</f>
        <v>456.72341783342205</v>
      </c>
      <c r="AB814" s="6">
        <f>$K$814*$V$814</f>
        <v>0</v>
      </c>
      <c r="AC814" s="6">
        <f>$M$814*$W$814</f>
        <v>20.64452</v>
      </c>
      <c r="AD814" s="6">
        <f>$O$814*$X$814</f>
        <v>11.271519999999999</v>
      </c>
      <c r="AE814" s="6">
        <f>$K$814*$Y$814</f>
        <v>0</v>
      </c>
      <c r="AF814" s="6">
        <f ca="1">$M$814*$Z$814</f>
        <v>26.153777835368171</v>
      </c>
      <c r="AG814" s="6">
        <f>$O$814*$AA$814</f>
        <v>11.874808863668973</v>
      </c>
    </row>
    <row r="815" spans="1:33" ht="11.25" customHeight="1" x14ac:dyDescent="0.25">
      <c r="A815" s="4" t="s">
        <v>21</v>
      </c>
      <c r="B815" s="4" t="s">
        <v>43</v>
      </c>
      <c r="C815" s="4" t="s">
        <v>33</v>
      </c>
      <c r="D815" s="4" t="s">
        <v>44</v>
      </c>
      <c r="E815" s="4" t="s">
        <v>25</v>
      </c>
      <c r="F815" s="4" t="s">
        <v>25</v>
      </c>
      <c r="G815" s="4" t="s">
        <v>25</v>
      </c>
      <c r="H815" s="4" t="s">
        <v>34</v>
      </c>
      <c r="I815" s="5">
        <v>44713</v>
      </c>
      <c r="J815" s="6">
        <v>0</v>
      </c>
      <c r="K815" s="6">
        <v>0</v>
      </c>
      <c r="L815" s="6">
        <v>2.5000000000000001E-2</v>
      </c>
      <c r="M815" s="6">
        <v>2.5000000000000001E-2</v>
      </c>
      <c r="N815" s="6">
        <v>2.5000000000000001E-2</v>
      </c>
      <c r="O815" s="6">
        <v>2.5000000000000001E-2</v>
      </c>
      <c r="P815" s="6">
        <v>0</v>
      </c>
      <c r="Q815" s="4" t="s">
        <v>26</v>
      </c>
      <c r="R815" s="4">
        <v>0</v>
      </c>
      <c r="S815" s="6">
        <v>0</v>
      </c>
      <c r="T815" s="6">
        <v>26</v>
      </c>
      <c r="U815" s="6">
        <v>63</v>
      </c>
      <c r="V815" s="6">
        <f>IF(ISERROR(VLOOKUP($S$815,'TAR FIN'!$A$1:$O$85,15,0)),0,VLOOKUP($S$815,'TAR FIN'!$A$1:$O$85,15,0))</f>
        <v>0</v>
      </c>
      <c r="W815" s="6">
        <f>IF(ISERROR(VLOOKUP($T$815,'TAR FIN'!$A$1:$O$85,15,0)),0,VLOOKUP($T$815,'TAR FIN'!$A$1:$O$85,15,0))</f>
        <v>794.02</v>
      </c>
      <c r="X815" s="6">
        <f>IF(ISERROR(VLOOKUP($U$815,'TAR FIN'!$A$1:$O$85,15,0)),0,VLOOKUP($U$815,'TAR FIN'!$A$1:$O$85,15,0))</f>
        <v>433.52</v>
      </c>
      <c r="Y815" s="6"/>
      <c r="Z815" s="6">
        <f ca="1">('TUSD BE'!$AM$30+'TUSD BF'!$AM$30+'TUSD CVA'!$AM$30)*(1-CUSTOS!$M$38)</f>
        <v>1005.914532129545</v>
      </c>
      <c r="AA815" s="6">
        <f>('TE BE'!$AB$20+'TE BF'!$AB$20+'TE CVA'!$AB$20)*(1-CUSTOS!$M$38)</f>
        <v>456.72341783342205</v>
      </c>
      <c r="AB815" s="6">
        <f>$K$815*$V$815</f>
        <v>0</v>
      </c>
      <c r="AC815" s="6">
        <f>$M$815*$W$815</f>
        <v>19.8505</v>
      </c>
      <c r="AD815" s="6">
        <f>$O$815*$X$815</f>
        <v>10.838000000000001</v>
      </c>
      <c r="AE815" s="6">
        <f>$K$815*$Y$815</f>
        <v>0</v>
      </c>
      <c r="AF815" s="6">
        <f ca="1">$M$815*$Z$815</f>
        <v>25.147863303238626</v>
      </c>
      <c r="AG815" s="6">
        <f>$O$815*$AA$815</f>
        <v>11.418085445835551</v>
      </c>
    </row>
    <row r="816" spans="1:33" ht="11.25" customHeight="1" x14ac:dyDescent="0.25">
      <c r="A816" s="4" t="s">
        <v>21</v>
      </c>
      <c r="B816" s="4" t="s">
        <v>43</v>
      </c>
      <c r="C816" s="4" t="s">
        <v>33</v>
      </c>
      <c r="D816" s="4" t="s">
        <v>44</v>
      </c>
      <c r="E816" s="4" t="s">
        <v>25</v>
      </c>
      <c r="F816" s="4" t="s">
        <v>25</v>
      </c>
      <c r="G816" s="4" t="s">
        <v>25</v>
      </c>
      <c r="H816" s="4" t="s">
        <v>34</v>
      </c>
      <c r="I816" s="5">
        <v>44743</v>
      </c>
      <c r="J816" s="6">
        <v>0</v>
      </c>
      <c r="K816" s="6">
        <v>0</v>
      </c>
      <c r="L816" s="6">
        <v>2.3E-2</v>
      </c>
      <c r="M816" s="6">
        <v>2.3E-2</v>
      </c>
      <c r="N816" s="6">
        <v>2.3E-2</v>
      </c>
      <c r="O816" s="6">
        <v>2.3E-2</v>
      </c>
      <c r="P816" s="6">
        <v>0</v>
      </c>
      <c r="Q816" s="4" t="s">
        <v>26</v>
      </c>
      <c r="R816" s="4">
        <v>0</v>
      </c>
      <c r="S816" s="6">
        <v>0</v>
      </c>
      <c r="T816" s="6">
        <v>26</v>
      </c>
      <c r="U816" s="6">
        <v>63</v>
      </c>
      <c r="V816" s="6">
        <f>IF(ISERROR(VLOOKUP($S$816,'TAR FIN'!$A$1:$O$85,15,0)),0,VLOOKUP($S$816,'TAR FIN'!$A$1:$O$85,15,0))</f>
        <v>0</v>
      </c>
      <c r="W816" s="6">
        <f>IF(ISERROR(VLOOKUP($T$816,'TAR FIN'!$A$1:$O$85,15,0)),0,VLOOKUP($T$816,'TAR FIN'!$A$1:$O$85,15,0))</f>
        <v>794.02</v>
      </c>
      <c r="X816" s="6">
        <f>IF(ISERROR(VLOOKUP($U$816,'TAR FIN'!$A$1:$O$85,15,0)),0,VLOOKUP($U$816,'TAR FIN'!$A$1:$O$85,15,0))</f>
        <v>433.52</v>
      </c>
      <c r="Y816" s="6"/>
      <c r="Z816" s="6">
        <f ca="1">('TUSD BE'!$AM$30+'TUSD BF'!$AM$30+'TUSD CVA'!$AM$30)*(1-CUSTOS!$M$38)</f>
        <v>1005.914532129545</v>
      </c>
      <c r="AA816" s="6">
        <f>('TE BE'!$AB$20+'TE BF'!$AB$20+'TE CVA'!$AB$20)*(1-CUSTOS!$M$38)</f>
        <v>456.72341783342205</v>
      </c>
      <c r="AB816" s="6">
        <f>$K$816*$V$816</f>
        <v>0</v>
      </c>
      <c r="AC816" s="6">
        <f>$M$816*$W$816</f>
        <v>18.262460000000001</v>
      </c>
      <c r="AD816" s="6">
        <f>$O$816*$X$816</f>
        <v>9.9709599999999998</v>
      </c>
      <c r="AE816" s="6">
        <f>$K$816*$Y$816</f>
        <v>0</v>
      </c>
      <c r="AF816" s="6">
        <f ca="1">$M$816*$Z$816</f>
        <v>23.136034238979533</v>
      </c>
      <c r="AG816" s="6">
        <f>$O$816*$AA$816</f>
        <v>10.504638610168707</v>
      </c>
    </row>
    <row r="817" spans="1:33" ht="11.25" customHeight="1" x14ac:dyDescent="0.25">
      <c r="A817" s="4" t="s">
        <v>56</v>
      </c>
      <c r="B817" s="4" t="s">
        <v>43</v>
      </c>
      <c r="C817" s="4" t="s">
        <v>33</v>
      </c>
      <c r="D817" s="4" t="s">
        <v>44</v>
      </c>
      <c r="E817" s="4" t="s">
        <v>25</v>
      </c>
      <c r="F817" s="4" t="s">
        <v>25</v>
      </c>
      <c r="G817" s="4" t="s">
        <v>25</v>
      </c>
      <c r="H817" s="4" t="s">
        <v>34</v>
      </c>
      <c r="I817" s="5">
        <v>44774</v>
      </c>
      <c r="J817" s="6">
        <v>0</v>
      </c>
      <c r="K817" s="6">
        <v>0</v>
      </c>
      <c r="L817" s="6">
        <v>2.3E-2</v>
      </c>
      <c r="M817" s="6">
        <v>2.3E-2</v>
      </c>
      <c r="N817" s="6">
        <v>2.3E-2</v>
      </c>
      <c r="O817" s="6">
        <v>2.3E-2</v>
      </c>
      <c r="P817" s="6">
        <v>0</v>
      </c>
      <c r="Q817" s="4" t="s">
        <v>26</v>
      </c>
      <c r="R817" s="4">
        <v>0</v>
      </c>
      <c r="S817" s="6">
        <v>0</v>
      </c>
      <c r="T817" s="6">
        <v>26</v>
      </c>
      <c r="U817" s="6">
        <v>63</v>
      </c>
      <c r="V817" s="6">
        <f>IF(ISERROR(VLOOKUP($S$817,'TAR FIN'!$A$1:$O$85,15,0)),0,VLOOKUP($S$817,'TAR FIN'!$A$1:$O$85,15,0))</f>
        <v>0</v>
      </c>
      <c r="W817" s="6">
        <f>IF(ISERROR(VLOOKUP($T$817,'TAR FIN'!$A$1:$O$85,15,0)),0,VLOOKUP($T$817,'TAR FIN'!$A$1:$O$85,15,0))</f>
        <v>794.02</v>
      </c>
      <c r="X817" s="6">
        <f>IF(ISERROR(VLOOKUP($U$817,'TAR FIN'!$A$1:$O$85,15,0)),0,VLOOKUP($U$817,'TAR FIN'!$A$1:$O$85,15,0))</f>
        <v>433.52</v>
      </c>
      <c r="Y817" s="6"/>
      <c r="Z817" s="6">
        <f ca="1">('TUSD BE'!$AM$30+'TUSD BF'!$AM$30+'TUSD CVA'!$AM$30)*(1-CUSTOS!$M$38)</f>
        <v>1005.914532129545</v>
      </c>
      <c r="AA817" s="6">
        <f>('TE BE'!$AB$20+'TE BF'!$AB$20+'TE CVA'!$AB$20)*(1-CUSTOS!$M$38)</f>
        <v>456.72341783342205</v>
      </c>
      <c r="AB817" s="6">
        <f>$K$817*$V$817</f>
        <v>0</v>
      </c>
      <c r="AC817" s="6">
        <f>$M$817*$W$817</f>
        <v>18.262460000000001</v>
      </c>
      <c r="AD817" s="6">
        <f>$O$817*$X$817</f>
        <v>9.9709599999999998</v>
      </c>
      <c r="AE817" s="6">
        <f>$K$817*$Y$817</f>
        <v>0</v>
      </c>
      <c r="AF817" s="6">
        <f ca="1">$M$817*$Z$817</f>
        <v>23.136034238979533</v>
      </c>
      <c r="AG817" s="6">
        <f>$O$817*$AA$817</f>
        <v>10.504638610168707</v>
      </c>
    </row>
    <row r="818" spans="1:33" ht="11.25" customHeight="1" x14ac:dyDescent="0.25">
      <c r="A818" s="4" t="s">
        <v>21</v>
      </c>
      <c r="B818" s="4" t="s">
        <v>43</v>
      </c>
      <c r="C818" s="4" t="s">
        <v>23</v>
      </c>
      <c r="D818" s="4" t="s">
        <v>44</v>
      </c>
      <c r="E818" s="4" t="s">
        <v>52</v>
      </c>
      <c r="F818" s="4" t="s">
        <v>53</v>
      </c>
      <c r="G818" s="4" t="s">
        <v>25</v>
      </c>
      <c r="H818" s="4" t="s">
        <v>25</v>
      </c>
      <c r="I818" s="5">
        <v>44440</v>
      </c>
      <c r="J818" s="6">
        <v>0</v>
      </c>
      <c r="K818" s="6">
        <v>0</v>
      </c>
      <c r="L818" s="6">
        <v>4221.4189999999999</v>
      </c>
      <c r="M818" s="6">
        <v>4221.4189999999999</v>
      </c>
      <c r="N818" s="6">
        <v>4221.4189999999999</v>
      </c>
      <c r="O818" s="6">
        <v>4221.4189999999999</v>
      </c>
      <c r="P818" s="6">
        <v>0</v>
      </c>
      <c r="Q818" s="4" t="s">
        <v>26</v>
      </c>
      <c r="R818" s="4">
        <v>0</v>
      </c>
      <c r="S818" s="6">
        <v>0</v>
      </c>
      <c r="T818" s="6">
        <v>29</v>
      </c>
      <c r="U818" s="6">
        <v>66</v>
      </c>
      <c r="V818" s="6">
        <f>IF(ISERROR(VLOOKUP($S$818,'TAR FIN'!$A$1:$O$85,15,0)),0,VLOOKUP($S$818,'TAR FIN'!$A$1:$O$85,15,0))</f>
        <v>0</v>
      </c>
      <c r="W818" s="6">
        <f>IF(ISERROR(VLOOKUP($T$818,'TAR FIN'!$A$1:$O$85,15,0)),0,VLOOKUP($T$818,'TAR FIN'!$A$1:$O$85,15,0))</f>
        <v>285.89</v>
      </c>
      <c r="X818" s="6">
        <f>IF(ISERROR(VLOOKUP($U$818,'TAR FIN'!$A$1:$O$85,15,0)),0,VLOOKUP($U$818,'TAR FIN'!$A$1:$O$85,15,0))</f>
        <v>283.83999999999997</v>
      </c>
      <c r="Y818" s="6"/>
      <c r="Z818" s="6">
        <f ca="1">('TUSD BE'!$AM$33+'TUSD BF'!$AM$33+'TUSD CVA'!$AM$33)*(1-CUSTOS!$M$38)</f>
        <v>408.71492269690788</v>
      </c>
      <c r="AA818" s="6">
        <f>('TE BE'!$AB$23+'TE BF'!$AB$23+'TE CVA'!$AB$23)*(1-CUSTOS!$M$38)</f>
        <v>300.75684149176499</v>
      </c>
      <c r="AB818" s="6">
        <f>$K$818*$V$818</f>
        <v>0</v>
      </c>
      <c r="AC818" s="6">
        <f>$M$818*$W$818</f>
        <v>1206861.4779099999</v>
      </c>
      <c r="AD818" s="6">
        <f>$O$818*$X$818</f>
        <v>1198207.5689599998</v>
      </c>
      <c r="AE818" s="6">
        <f>$K$818*$Y$818</f>
        <v>0</v>
      </c>
      <c r="AF818" s="6">
        <f ca="1">$M$818*$Z$818</f>
        <v>1725356.940256258</v>
      </c>
      <c r="AG818" s="6">
        <f>$O$818*$AA$818</f>
        <v>1269620.645053325</v>
      </c>
    </row>
    <row r="819" spans="1:33" ht="11.25" customHeight="1" x14ac:dyDescent="0.25">
      <c r="A819" s="4" t="s">
        <v>27</v>
      </c>
      <c r="B819" s="4" t="s">
        <v>43</v>
      </c>
      <c r="C819" s="4" t="s">
        <v>23</v>
      </c>
      <c r="D819" s="4" t="s">
        <v>44</v>
      </c>
      <c r="E819" s="4" t="s">
        <v>52</v>
      </c>
      <c r="F819" s="4" t="s">
        <v>53</v>
      </c>
      <c r="G819" s="4" t="s">
        <v>25</v>
      </c>
      <c r="H819" s="4" t="s">
        <v>25</v>
      </c>
      <c r="I819" s="5">
        <v>44440</v>
      </c>
      <c r="J819" s="6">
        <v>0</v>
      </c>
      <c r="K819" s="6">
        <v>0</v>
      </c>
      <c r="L819" s="6">
        <v>-2.798</v>
      </c>
      <c r="M819" s="6">
        <v>-2.798</v>
      </c>
      <c r="N819" s="6">
        <v>-2.798</v>
      </c>
      <c r="O819" s="6">
        <v>-2.798</v>
      </c>
      <c r="P819" s="6">
        <v>0</v>
      </c>
      <c r="Q819" s="4" t="s">
        <v>26</v>
      </c>
      <c r="R819" s="4">
        <v>0</v>
      </c>
      <c r="S819" s="6">
        <v>0</v>
      </c>
      <c r="T819" s="6">
        <v>29</v>
      </c>
      <c r="U819" s="6">
        <v>66</v>
      </c>
      <c r="V819" s="6">
        <f>IF(ISERROR(VLOOKUP($S$819,'TAR FIN'!$A$1:$O$85,15,0)),0,VLOOKUP($S$819,'TAR FIN'!$A$1:$O$85,15,0))</f>
        <v>0</v>
      </c>
      <c r="W819" s="6">
        <f>IF(ISERROR(VLOOKUP($T$819,'TAR FIN'!$A$1:$O$85,15,0)),0,VLOOKUP($T$819,'TAR FIN'!$A$1:$O$85,15,0))</f>
        <v>285.89</v>
      </c>
      <c r="X819" s="6">
        <f>IF(ISERROR(VLOOKUP($U$819,'TAR FIN'!$A$1:$O$85,15,0)),0,VLOOKUP($U$819,'TAR FIN'!$A$1:$O$85,15,0))</f>
        <v>283.83999999999997</v>
      </c>
      <c r="Y819" s="6"/>
      <c r="Z819" s="6">
        <f ca="1">('TUSD BE'!$AM$33+'TUSD BF'!$AM$33+'TUSD CVA'!$AM$33)*(1-CUSTOS!$M$38)</f>
        <v>408.71492269690788</v>
      </c>
      <c r="AA819" s="6">
        <f>('TE BE'!$AB$23+'TE BF'!$AB$23+'TE CVA'!$AB$23)*(1-CUSTOS!$M$38)</f>
        <v>300.75684149176499</v>
      </c>
      <c r="AB819" s="6">
        <f>$K$819*$V$819</f>
        <v>0</v>
      </c>
      <c r="AC819" s="6">
        <f>$M$819*$W$819</f>
        <v>-799.92021999999997</v>
      </c>
      <c r="AD819" s="6">
        <f>$O$819*$X$819</f>
        <v>-794.18431999999996</v>
      </c>
      <c r="AE819" s="6">
        <f>$K$819*$Y$819</f>
        <v>0</v>
      </c>
      <c r="AF819" s="6">
        <f ca="1">$M$819*$Z$819</f>
        <v>-1143.5843537059482</v>
      </c>
      <c r="AG819" s="6">
        <f>$O$819*$AA$819</f>
        <v>-841.51764249395842</v>
      </c>
    </row>
    <row r="820" spans="1:33" ht="11.25" customHeight="1" x14ac:dyDescent="0.25">
      <c r="A820" s="4" t="s">
        <v>28</v>
      </c>
      <c r="B820" s="4" t="s">
        <v>43</v>
      </c>
      <c r="C820" s="4" t="s">
        <v>23</v>
      </c>
      <c r="D820" s="4" t="s">
        <v>44</v>
      </c>
      <c r="E820" s="4" t="s">
        <v>52</v>
      </c>
      <c r="F820" s="4" t="s">
        <v>53</v>
      </c>
      <c r="G820" s="4" t="s">
        <v>25</v>
      </c>
      <c r="H820" s="4" t="s">
        <v>25</v>
      </c>
      <c r="I820" s="5">
        <v>44440</v>
      </c>
      <c r="J820" s="6">
        <v>0</v>
      </c>
      <c r="K820" s="6">
        <v>0</v>
      </c>
      <c r="L820" s="6">
        <v>22.244</v>
      </c>
      <c r="M820" s="6">
        <v>22.244</v>
      </c>
      <c r="N820" s="6">
        <v>22.244</v>
      </c>
      <c r="O820" s="6">
        <v>22.244</v>
      </c>
      <c r="P820" s="6">
        <v>0</v>
      </c>
      <c r="Q820" s="4" t="s">
        <v>26</v>
      </c>
      <c r="R820" s="4">
        <v>0</v>
      </c>
      <c r="S820" s="6">
        <v>0</v>
      </c>
      <c r="T820" s="6">
        <v>29</v>
      </c>
      <c r="U820" s="6">
        <v>66</v>
      </c>
      <c r="V820" s="6">
        <f>IF(ISERROR(VLOOKUP($S$820,'TAR FIN'!$A$1:$O$85,15,0)),0,VLOOKUP($S$820,'TAR FIN'!$A$1:$O$85,15,0))</f>
        <v>0</v>
      </c>
      <c r="W820" s="6">
        <f>IF(ISERROR(VLOOKUP($T$820,'TAR FIN'!$A$1:$O$85,15,0)),0,VLOOKUP($T$820,'TAR FIN'!$A$1:$O$85,15,0))</f>
        <v>285.89</v>
      </c>
      <c r="X820" s="6">
        <f>IF(ISERROR(VLOOKUP($U$820,'TAR FIN'!$A$1:$O$85,15,0)),0,VLOOKUP($U$820,'TAR FIN'!$A$1:$O$85,15,0))</f>
        <v>283.83999999999997</v>
      </c>
      <c r="Y820" s="6"/>
      <c r="Z820" s="6">
        <f ca="1">('TUSD BE'!$AM$33+'TUSD BF'!$AM$33+'TUSD CVA'!$AM$33)*(1-CUSTOS!$M$38)</f>
        <v>408.71492269690788</v>
      </c>
      <c r="AA820" s="6">
        <f>('TE BE'!$AB$23+'TE BF'!$AB$23+'TE CVA'!$AB$23)*(1-CUSTOS!$M$38)</f>
        <v>300.75684149176499</v>
      </c>
      <c r="AB820" s="6">
        <f>$K$820*$V$820</f>
        <v>0</v>
      </c>
      <c r="AC820" s="6">
        <f>$M$820*$W$820</f>
        <v>6359.33716</v>
      </c>
      <c r="AD820" s="6">
        <f>$O$820*$X$820</f>
        <v>6313.7369599999993</v>
      </c>
      <c r="AE820" s="6">
        <f>$K$820*$Y$820</f>
        <v>0</v>
      </c>
      <c r="AF820" s="6">
        <f ca="1">$M$820*$Z$820</f>
        <v>9091.4547404700188</v>
      </c>
      <c r="AG820" s="6">
        <f>$O$820*$AA$820</f>
        <v>6690.0351821428203</v>
      </c>
    </row>
    <row r="821" spans="1:33" ht="11.25" customHeight="1" x14ac:dyDescent="0.25">
      <c r="A821" s="4" t="s">
        <v>21</v>
      </c>
      <c r="B821" s="4" t="s">
        <v>43</v>
      </c>
      <c r="C821" s="4" t="s">
        <v>23</v>
      </c>
      <c r="D821" s="4" t="s">
        <v>44</v>
      </c>
      <c r="E821" s="4" t="s">
        <v>52</v>
      </c>
      <c r="F821" s="4" t="s">
        <v>53</v>
      </c>
      <c r="G821" s="4" t="s">
        <v>25</v>
      </c>
      <c r="H821" s="4" t="s">
        <v>25</v>
      </c>
      <c r="I821" s="5">
        <v>44470</v>
      </c>
      <c r="J821" s="6">
        <v>0</v>
      </c>
      <c r="K821" s="6">
        <v>0</v>
      </c>
      <c r="L821" s="6">
        <v>4139.8969999999999</v>
      </c>
      <c r="M821" s="6">
        <v>4139.8969999999999</v>
      </c>
      <c r="N821" s="6">
        <v>4139.8969999999999</v>
      </c>
      <c r="O821" s="6">
        <v>4139.8969999999999</v>
      </c>
      <c r="P821" s="6">
        <v>0</v>
      </c>
      <c r="Q821" s="4" t="s">
        <v>26</v>
      </c>
      <c r="R821" s="4">
        <v>0</v>
      </c>
      <c r="S821" s="6">
        <v>0</v>
      </c>
      <c r="T821" s="6">
        <v>29</v>
      </c>
      <c r="U821" s="6">
        <v>66</v>
      </c>
      <c r="V821" s="6">
        <f>IF(ISERROR(VLOOKUP($S$821,'TAR FIN'!$A$1:$O$85,15,0)),0,VLOOKUP($S$821,'TAR FIN'!$A$1:$O$85,15,0))</f>
        <v>0</v>
      </c>
      <c r="W821" s="6">
        <f>IF(ISERROR(VLOOKUP($T$821,'TAR FIN'!$A$1:$O$85,15,0)),0,VLOOKUP($T$821,'TAR FIN'!$A$1:$O$85,15,0))</f>
        <v>285.89</v>
      </c>
      <c r="X821" s="6">
        <f>IF(ISERROR(VLOOKUP($U$821,'TAR FIN'!$A$1:$O$85,15,0)),0,VLOOKUP($U$821,'TAR FIN'!$A$1:$O$85,15,0))</f>
        <v>283.83999999999997</v>
      </c>
      <c r="Y821" s="6"/>
      <c r="Z821" s="6">
        <f ca="1">('TUSD BE'!$AM$33+'TUSD BF'!$AM$33+'TUSD CVA'!$AM$33)*(1-CUSTOS!$M$38)</f>
        <v>408.71492269690788</v>
      </c>
      <c r="AA821" s="6">
        <f>('TE BE'!$AB$23+'TE BF'!$AB$23+'TE CVA'!$AB$23)*(1-CUSTOS!$M$38)</f>
        <v>300.75684149176499</v>
      </c>
      <c r="AB821" s="6">
        <f>$K$821*$V$821</f>
        <v>0</v>
      </c>
      <c r="AC821" s="6">
        <f>$M$821*$W$821</f>
        <v>1183555.1533299999</v>
      </c>
      <c r="AD821" s="6">
        <f>$O$821*$X$821</f>
        <v>1175068.36448</v>
      </c>
      <c r="AE821" s="6">
        <f>$K$821*$Y$821</f>
        <v>0</v>
      </c>
      <c r="AF821" s="6">
        <f ca="1">$M$821*$Z$821</f>
        <v>1692037.6823281609</v>
      </c>
      <c r="AG821" s="6">
        <f>$O$821*$AA$821</f>
        <v>1245102.3458212335</v>
      </c>
    </row>
    <row r="822" spans="1:33" ht="11.25" customHeight="1" x14ac:dyDescent="0.25">
      <c r="A822" s="4" t="s">
        <v>27</v>
      </c>
      <c r="B822" s="4" t="s">
        <v>43</v>
      </c>
      <c r="C822" s="4" t="s">
        <v>23</v>
      </c>
      <c r="D822" s="4" t="s">
        <v>44</v>
      </c>
      <c r="E822" s="4" t="s">
        <v>52</v>
      </c>
      <c r="F822" s="4" t="s">
        <v>53</v>
      </c>
      <c r="G822" s="4" t="s">
        <v>25</v>
      </c>
      <c r="H822" s="4" t="s">
        <v>25</v>
      </c>
      <c r="I822" s="5">
        <v>44470</v>
      </c>
      <c r="J822" s="6">
        <v>0</v>
      </c>
      <c r="K822" s="6">
        <v>0</v>
      </c>
      <c r="L822" s="6">
        <v>-0.50900000000000001</v>
      </c>
      <c r="M822" s="6">
        <v>-0.50900000000000001</v>
      </c>
      <c r="N822" s="6">
        <v>-0.50900000000000001</v>
      </c>
      <c r="O822" s="6">
        <v>-0.50900000000000001</v>
      </c>
      <c r="P822" s="6">
        <v>0</v>
      </c>
      <c r="Q822" s="4" t="s">
        <v>26</v>
      </c>
      <c r="R822" s="4">
        <v>0</v>
      </c>
      <c r="S822" s="6">
        <v>0</v>
      </c>
      <c r="T822" s="6">
        <v>29</v>
      </c>
      <c r="U822" s="6">
        <v>66</v>
      </c>
      <c r="V822" s="6">
        <f>IF(ISERROR(VLOOKUP($S$822,'TAR FIN'!$A$1:$O$85,15,0)),0,VLOOKUP($S$822,'TAR FIN'!$A$1:$O$85,15,0))</f>
        <v>0</v>
      </c>
      <c r="W822" s="6">
        <f>IF(ISERROR(VLOOKUP($T$822,'TAR FIN'!$A$1:$O$85,15,0)),0,VLOOKUP($T$822,'TAR FIN'!$A$1:$O$85,15,0))</f>
        <v>285.89</v>
      </c>
      <c r="X822" s="6">
        <f>IF(ISERROR(VLOOKUP($U$822,'TAR FIN'!$A$1:$O$85,15,0)),0,VLOOKUP($U$822,'TAR FIN'!$A$1:$O$85,15,0))</f>
        <v>283.83999999999997</v>
      </c>
      <c r="Y822" s="6"/>
      <c r="Z822" s="6">
        <f ca="1">('TUSD BE'!$AM$33+'TUSD BF'!$AM$33+'TUSD CVA'!$AM$33)*(1-CUSTOS!$M$38)</f>
        <v>408.71492269690788</v>
      </c>
      <c r="AA822" s="6">
        <f>('TE BE'!$AB$23+'TE BF'!$AB$23+'TE CVA'!$AB$23)*(1-CUSTOS!$M$38)</f>
        <v>300.75684149176499</v>
      </c>
      <c r="AB822" s="6">
        <f>$K$822*$V$822</f>
        <v>0</v>
      </c>
      <c r="AC822" s="6">
        <f>$M$822*$W$822</f>
        <v>-145.51801</v>
      </c>
      <c r="AD822" s="6">
        <f>$O$822*$X$822</f>
        <v>-144.47456</v>
      </c>
      <c r="AE822" s="6">
        <f>$K$822*$Y$822</f>
        <v>0</v>
      </c>
      <c r="AF822" s="6">
        <f ca="1">$M$822*$Z$822</f>
        <v>-208.03589565272611</v>
      </c>
      <c r="AG822" s="6">
        <f>$O$822*$AA$822</f>
        <v>-153.08523231930837</v>
      </c>
    </row>
    <row r="823" spans="1:33" ht="11.25" customHeight="1" x14ac:dyDescent="0.25">
      <c r="A823" s="4" t="s">
        <v>28</v>
      </c>
      <c r="B823" s="4" t="s">
        <v>43</v>
      </c>
      <c r="C823" s="4" t="s">
        <v>23</v>
      </c>
      <c r="D823" s="4" t="s">
        <v>44</v>
      </c>
      <c r="E823" s="4" t="s">
        <v>52</v>
      </c>
      <c r="F823" s="4" t="s">
        <v>53</v>
      </c>
      <c r="G823" s="4" t="s">
        <v>25</v>
      </c>
      <c r="H823" s="4" t="s">
        <v>25</v>
      </c>
      <c r="I823" s="5">
        <v>44470</v>
      </c>
      <c r="J823" s="6">
        <v>0</v>
      </c>
      <c r="K823" s="6">
        <v>0</v>
      </c>
      <c r="L823" s="6">
        <v>24.475000000000001</v>
      </c>
      <c r="M823" s="6">
        <v>24.475000000000001</v>
      </c>
      <c r="N823" s="6">
        <v>24.475000000000001</v>
      </c>
      <c r="O823" s="6">
        <v>24.475000000000001</v>
      </c>
      <c r="P823" s="6">
        <v>0</v>
      </c>
      <c r="Q823" s="4" t="s">
        <v>26</v>
      </c>
      <c r="R823" s="4">
        <v>0</v>
      </c>
      <c r="S823" s="6">
        <v>0</v>
      </c>
      <c r="T823" s="6">
        <v>29</v>
      </c>
      <c r="U823" s="6">
        <v>66</v>
      </c>
      <c r="V823" s="6">
        <f>IF(ISERROR(VLOOKUP($S$823,'TAR FIN'!$A$1:$O$85,15,0)),0,VLOOKUP($S$823,'TAR FIN'!$A$1:$O$85,15,0))</f>
        <v>0</v>
      </c>
      <c r="W823" s="6">
        <f>IF(ISERROR(VLOOKUP($T$823,'TAR FIN'!$A$1:$O$85,15,0)),0,VLOOKUP($T$823,'TAR FIN'!$A$1:$O$85,15,0))</f>
        <v>285.89</v>
      </c>
      <c r="X823" s="6">
        <f>IF(ISERROR(VLOOKUP($U$823,'TAR FIN'!$A$1:$O$85,15,0)),0,VLOOKUP($U$823,'TAR FIN'!$A$1:$O$85,15,0))</f>
        <v>283.83999999999997</v>
      </c>
      <c r="Y823" s="6"/>
      <c r="Z823" s="6">
        <f ca="1">('TUSD BE'!$AM$33+'TUSD BF'!$AM$33+'TUSD CVA'!$AM$33)*(1-CUSTOS!$M$38)</f>
        <v>408.71492269690788</v>
      </c>
      <c r="AA823" s="6">
        <f>('TE BE'!$AB$23+'TE BF'!$AB$23+'TE CVA'!$AB$23)*(1-CUSTOS!$M$38)</f>
        <v>300.75684149176499</v>
      </c>
      <c r="AB823" s="6">
        <f>$K$823*$V$823</f>
        <v>0</v>
      </c>
      <c r="AC823" s="6">
        <f>$M$823*$W$823</f>
        <v>6997.1577500000003</v>
      </c>
      <c r="AD823" s="6">
        <f>$O$823*$X$823</f>
        <v>6946.9839999999995</v>
      </c>
      <c r="AE823" s="6">
        <f>$K$823*$Y$823</f>
        <v>0</v>
      </c>
      <c r="AF823" s="6">
        <f ca="1">$M$823*$Z$823</f>
        <v>10003.297733006821</v>
      </c>
      <c r="AG823" s="6">
        <f>$O$823*$AA$823</f>
        <v>7361.0236955109485</v>
      </c>
    </row>
    <row r="824" spans="1:33" ht="11.25" customHeight="1" x14ac:dyDescent="0.25">
      <c r="A824" s="4" t="s">
        <v>21</v>
      </c>
      <c r="B824" s="4" t="s">
        <v>43</v>
      </c>
      <c r="C824" s="4" t="s">
        <v>23</v>
      </c>
      <c r="D824" s="4" t="s">
        <v>44</v>
      </c>
      <c r="E824" s="4" t="s">
        <v>52</v>
      </c>
      <c r="F824" s="4" t="s">
        <v>53</v>
      </c>
      <c r="G824" s="4" t="s">
        <v>25</v>
      </c>
      <c r="H824" s="4" t="s">
        <v>25</v>
      </c>
      <c r="I824" s="5">
        <v>44501</v>
      </c>
      <c r="J824" s="6">
        <v>0</v>
      </c>
      <c r="K824" s="6">
        <v>0</v>
      </c>
      <c r="L824" s="6">
        <v>1158.2470000000001</v>
      </c>
      <c r="M824" s="6">
        <v>1158.2470000000001</v>
      </c>
      <c r="N824" s="6">
        <v>1158.2470000000001</v>
      </c>
      <c r="O824" s="6">
        <v>1158.2470000000001</v>
      </c>
      <c r="P824" s="6">
        <v>0</v>
      </c>
      <c r="Q824" s="4" t="s">
        <v>26</v>
      </c>
      <c r="R824" s="4">
        <v>0</v>
      </c>
      <c r="S824" s="6">
        <v>0</v>
      </c>
      <c r="T824" s="6">
        <v>29</v>
      </c>
      <c r="U824" s="6">
        <v>66</v>
      </c>
      <c r="V824" s="6">
        <f>IF(ISERROR(VLOOKUP($S$824,'TAR FIN'!$A$1:$O$85,15,0)),0,VLOOKUP($S$824,'TAR FIN'!$A$1:$O$85,15,0))</f>
        <v>0</v>
      </c>
      <c r="W824" s="6">
        <f>IF(ISERROR(VLOOKUP($T$824,'TAR FIN'!$A$1:$O$85,15,0)),0,VLOOKUP($T$824,'TAR FIN'!$A$1:$O$85,15,0))</f>
        <v>285.89</v>
      </c>
      <c r="X824" s="6">
        <f>IF(ISERROR(VLOOKUP($U$824,'TAR FIN'!$A$1:$O$85,15,0)),0,VLOOKUP($U$824,'TAR FIN'!$A$1:$O$85,15,0))</f>
        <v>283.83999999999997</v>
      </c>
      <c r="Y824" s="6"/>
      <c r="Z824" s="6">
        <f ca="1">('TUSD BE'!$AM$33+'TUSD BF'!$AM$33+'TUSD CVA'!$AM$33)*(1-CUSTOS!$M$38)</f>
        <v>408.71492269690788</v>
      </c>
      <c r="AA824" s="6">
        <f>('TE BE'!$AB$23+'TE BF'!$AB$23+'TE CVA'!$AB$23)*(1-CUSTOS!$M$38)</f>
        <v>300.75684149176499</v>
      </c>
      <c r="AB824" s="6">
        <f>$K$824*$V$824</f>
        <v>0</v>
      </c>
      <c r="AC824" s="6">
        <f>$M$824*$W$824</f>
        <v>331131.23483000003</v>
      </c>
      <c r="AD824" s="6">
        <f>$O$824*$X$824</f>
        <v>328756.82847999997</v>
      </c>
      <c r="AE824" s="6">
        <f>$K$824*$Y$824</f>
        <v>0</v>
      </c>
      <c r="AF824" s="6">
        <f ca="1">$M$824*$Z$824</f>
        <v>473392.83306892548</v>
      </c>
      <c r="AG824" s="6">
        <f>$O$824*$AA$824</f>
        <v>348350.70938731235</v>
      </c>
    </row>
    <row r="825" spans="1:33" ht="11.25" customHeight="1" x14ac:dyDescent="0.25">
      <c r="A825" s="4" t="s">
        <v>27</v>
      </c>
      <c r="B825" s="4" t="s">
        <v>43</v>
      </c>
      <c r="C825" s="4" t="s">
        <v>23</v>
      </c>
      <c r="D825" s="4" t="s">
        <v>44</v>
      </c>
      <c r="E825" s="4" t="s">
        <v>52</v>
      </c>
      <c r="F825" s="4" t="s">
        <v>53</v>
      </c>
      <c r="G825" s="4" t="s">
        <v>25</v>
      </c>
      <c r="H825" s="4" t="s">
        <v>25</v>
      </c>
      <c r="I825" s="5">
        <v>44501</v>
      </c>
      <c r="J825" s="6">
        <v>0</v>
      </c>
      <c r="K825" s="6">
        <v>0</v>
      </c>
      <c r="L825" s="6">
        <v>-5.1230000000000002</v>
      </c>
      <c r="M825" s="6">
        <v>-5.1230000000000002</v>
      </c>
      <c r="N825" s="6">
        <v>-5.1230000000000002</v>
      </c>
      <c r="O825" s="6">
        <v>-5.1230000000000002</v>
      </c>
      <c r="P825" s="6">
        <v>0</v>
      </c>
      <c r="Q825" s="4" t="s">
        <v>26</v>
      </c>
      <c r="R825" s="4">
        <v>0</v>
      </c>
      <c r="S825" s="6">
        <v>0</v>
      </c>
      <c r="T825" s="6">
        <v>29</v>
      </c>
      <c r="U825" s="6">
        <v>66</v>
      </c>
      <c r="V825" s="6">
        <f>IF(ISERROR(VLOOKUP($S$825,'TAR FIN'!$A$1:$O$85,15,0)),0,VLOOKUP($S$825,'TAR FIN'!$A$1:$O$85,15,0))</f>
        <v>0</v>
      </c>
      <c r="W825" s="6">
        <f>IF(ISERROR(VLOOKUP($T$825,'TAR FIN'!$A$1:$O$85,15,0)),0,VLOOKUP($T$825,'TAR FIN'!$A$1:$O$85,15,0))</f>
        <v>285.89</v>
      </c>
      <c r="X825" s="6">
        <f>IF(ISERROR(VLOOKUP($U$825,'TAR FIN'!$A$1:$O$85,15,0)),0,VLOOKUP($U$825,'TAR FIN'!$A$1:$O$85,15,0))</f>
        <v>283.83999999999997</v>
      </c>
      <c r="Y825" s="6"/>
      <c r="Z825" s="6">
        <f ca="1">('TUSD BE'!$AM$33+'TUSD BF'!$AM$33+'TUSD CVA'!$AM$33)*(1-CUSTOS!$M$38)</f>
        <v>408.71492269690788</v>
      </c>
      <c r="AA825" s="6">
        <f>('TE BE'!$AB$23+'TE BF'!$AB$23+'TE CVA'!$AB$23)*(1-CUSTOS!$M$38)</f>
        <v>300.75684149176499</v>
      </c>
      <c r="AB825" s="6">
        <f>$K$825*$V$825</f>
        <v>0</v>
      </c>
      <c r="AC825" s="6">
        <f>$M$825*$W$825</f>
        <v>-1464.61447</v>
      </c>
      <c r="AD825" s="6">
        <f>$O$825*$X$825</f>
        <v>-1454.11232</v>
      </c>
      <c r="AE825" s="6">
        <f>$K$825*$Y$825</f>
        <v>0</v>
      </c>
      <c r="AF825" s="6">
        <f ca="1">$M$825*$Z$825</f>
        <v>-2093.8465489762593</v>
      </c>
      <c r="AG825" s="6">
        <f>$O$825*$AA$825</f>
        <v>-1540.777298962312</v>
      </c>
    </row>
    <row r="826" spans="1:33" ht="11.25" customHeight="1" x14ac:dyDescent="0.25">
      <c r="A826" s="4" t="s">
        <v>28</v>
      </c>
      <c r="B826" s="4" t="s">
        <v>43</v>
      </c>
      <c r="C826" s="4" t="s">
        <v>23</v>
      </c>
      <c r="D826" s="4" t="s">
        <v>44</v>
      </c>
      <c r="E826" s="4" t="s">
        <v>52</v>
      </c>
      <c r="F826" s="4" t="s">
        <v>53</v>
      </c>
      <c r="G826" s="4" t="s">
        <v>25</v>
      </c>
      <c r="H826" s="4" t="s">
        <v>25</v>
      </c>
      <c r="I826" s="5">
        <v>44501</v>
      </c>
      <c r="J826" s="6">
        <v>0</v>
      </c>
      <c r="K826" s="6">
        <v>0</v>
      </c>
      <c r="L826" s="6">
        <v>4.3579999999999997</v>
      </c>
      <c r="M826" s="6">
        <v>4.3579999999999997</v>
      </c>
      <c r="N826" s="6">
        <v>4.3579999999999997</v>
      </c>
      <c r="O826" s="6">
        <v>4.3579999999999997</v>
      </c>
      <c r="P826" s="6">
        <v>0</v>
      </c>
      <c r="Q826" s="4" t="s">
        <v>26</v>
      </c>
      <c r="R826" s="4">
        <v>0</v>
      </c>
      <c r="S826" s="6">
        <v>0</v>
      </c>
      <c r="T826" s="6">
        <v>29</v>
      </c>
      <c r="U826" s="6">
        <v>66</v>
      </c>
      <c r="V826" s="6">
        <f>IF(ISERROR(VLOOKUP($S$826,'TAR FIN'!$A$1:$O$85,15,0)),0,VLOOKUP($S$826,'TAR FIN'!$A$1:$O$85,15,0))</f>
        <v>0</v>
      </c>
      <c r="W826" s="6">
        <f>IF(ISERROR(VLOOKUP($T$826,'TAR FIN'!$A$1:$O$85,15,0)),0,VLOOKUP($T$826,'TAR FIN'!$A$1:$O$85,15,0))</f>
        <v>285.89</v>
      </c>
      <c r="X826" s="6">
        <f>IF(ISERROR(VLOOKUP($U$826,'TAR FIN'!$A$1:$O$85,15,0)),0,VLOOKUP($U$826,'TAR FIN'!$A$1:$O$85,15,0))</f>
        <v>283.83999999999997</v>
      </c>
      <c r="Y826" s="6"/>
      <c r="Z826" s="6">
        <f ca="1">('TUSD BE'!$AM$33+'TUSD BF'!$AM$33+'TUSD CVA'!$AM$33)*(1-CUSTOS!$M$38)</f>
        <v>408.71492269690788</v>
      </c>
      <c r="AA826" s="6">
        <f>('TE BE'!$AB$23+'TE BF'!$AB$23+'TE CVA'!$AB$23)*(1-CUSTOS!$M$38)</f>
        <v>300.75684149176499</v>
      </c>
      <c r="AB826" s="6">
        <f>$K$826*$V$826</f>
        <v>0</v>
      </c>
      <c r="AC826" s="6">
        <f>$M$826*$W$826</f>
        <v>1245.9086199999999</v>
      </c>
      <c r="AD826" s="6">
        <f>$O$826*$X$826</f>
        <v>1236.9747199999997</v>
      </c>
      <c r="AE826" s="6">
        <f>$K$826*$Y$826</f>
        <v>0</v>
      </c>
      <c r="AF826" s="6">
        <f ca="1">$M$826*$Z$826</f>
        <v>1781.1796331131243</v>
      </c>
      <c r="AG826" s="6">
        <f>$O$826*$AA$826</f>
        <v>1310.6983152211117</v>
      </c>
    </row>
    <row r="827" spans="1:33" ht="11.25" customHeight="1" x14ac:dyDescent="0.25">
      <c r="A827" s="4" t="s">
        <v>21</v>
      </c>
      <c r="B827" s="4" t="s">
        <v>43</v>
      </c>
      <c r="C827" s="4" t="s">
        <v>23</v>
      </c>
      <c r="D827" s="4" t="s">
        <v>44</v>
      </c>
      <c r="E827" s="4" t="s">
        <v>52</v>
      </c>
      <c r="F827" s="4" t="s">
        <v>53</v>
      </c>
      <c r="G827" s="4" t="s">
        <v>25</v>
      </c>
      <c r="H827" s="4" t="s">
        <v>25</v>
      </c>
      <c r="I827" s="5">
        <v>44531</v>
      </c>
      <c r="J827" s="6">
        <v>0</v>
      </c>
      <c r="K827" s="6">
        <v>0</v>
      </c>
      <c r="L827" s="6">
        <v>855.24</v>
      </c>
      <c r="M827" s="6">
        <v>855.24</v>
      </c>
      <c r="N827" s="6">
        <v>855.24</v>
      </c>
      <c r="O827" s="6">
        <v>855.24</v>
      </c>
      <c r="P827" s="6">
        <v>0</v>
      </c>
      <c r="Q827" s="4" t="s">
        <v>26</v>
      </c>
      <c r="R827" s="4">
        <v>0</v>
      </c>
      <c r="S827" s="6">
        <v>0</v>
      </c>
      <c r="T827" s="6">
        <v>29</v>
      </c>
      <c r="U827" s="6">
        <v>66</v>
      </c>
      <c r="V827" s="6">
        <f>IF(ISERROR(VLOOKUP($S$827,'TAR FIN'!$A$1:$O$85,15,0)),0,VLOOKUP($S$827,'TAR FIN'!$A$1:$O$85,15,0))</f>
        <v>0</v>
      </c>
      <c r="W827" s="6">
        <f>IF(ISERROR(VLOOKUP($T$827,'TAR FIN'!$A$1:$O$85,15,0)),0,VLOOKUP($T$827,'TAR FIN'!$A$1:$O$85,15,0))</f>
        <v>285.89</v>
      </c>
      <c r="X827" s="6">
        <f>IF(ISERROR(VLOOKUP($U$827,'TAR FIN'!$A$1:$O$85,15,0)),0,VLOOKUP($U$827,'TAR FIN'!$A$1:$O$85,15,0))</f>
        <v>283.83999999999997</v>
      </c>
      <c r="Y827" s="6"/>
      <c r="Z827" s="6">
        <f ca="1">('TUSD BE'!$AM$33+'TUSD BF'!$AM$33+'TUSD CVA'!$AM$33)*(1-CUSTOS!$M$38)</f>
        <v>408.71492269690788</v>
      </c>
      <c r="AA827" s="6">
        <f>('TE BE'!$AB$23+'TE BF'!$AB$23+'TE CVA'!$AB$23)*(1-CUSTOS!$M$38)</f>
        <v>300.75684149176499</v>
      </c>
      <c r="AB827" s="6">
        <f>$K$827*$V$827</f>
        <v>0</v>
      </c>
      <c r="AC827" s="6">
        <f>$M$827*$W$827</f>
        <v>244504.56359999999</v>
      </c>
      <c r="AD827" s="6">
        <f>$O$827*$X$827</f>
        <v>242751.3216</v>
      </c>
      <c r="AE827" s="6">
        <f>$K$827*$Y$827</f>
        <v>0</v>
      </c>
      <c r="AF827" s="6">
        <f ca="1">$M$827*$Z$827</f>
        <v>349549.35048730351</v>
      </c>
      <c r="AG827" s="6">
        <f>$O$827*$AA$827</f>
        <v>257219.28111741709</v>
      </c>
    </row>
    <row r="828" spans="1:33" ht="11.25" customHeight="1" x14ac:dyDescent="0.25">
      <c r="A828" s="4" t="s">
        <v>27</v>
      </c>
      <c r="B828" s="4" t="s">
        <v>43</v>
      </c>
      <c r="C828" s="4" t="s">
        <v>23</v>
      </c>
      <c r="D828" s="4" t="s">
        <v>44</v>
      </c>
      <c r="E828" s="4" t="s">
        <v>52</v>
      </c>
      <c r="F828" s="4" t="s">
        <v>53</v>
      </c>
      <c r="G828" s="4" t="s">
        <v>25</v>
      </c>
      <c r="H828" s="4" t="s">
        <v>25</v>
      </c>
      <c r="I828" s="5">
        <v>44531</v>
      </c>
      <c r="J828" s="6">
        <v>0</v>
      </c>
      <c r="K828" s="6">
        <v>0</v>
      </c>
      <c r="L828" s="6">
        <v>-4.3449999999999998</v>
      </c>
      <c r="M828" s="6">
        <v>-4.3449999999999998</v>
      </c>
      <c r="N828" s="6">
        <v>-4.3449999999999998</v>
      </c>
      <c r="O828" s="6">
        <v>-4.3449999999999998</v>
      </c>
      <c r="P828" s="6">
        <v>0</v>
      </c>
      <c r="Q828" s="4" t="s">
        <v>26</v>
      </c>
      <c r="R828" s="4">
        <v>0</v>
      </c>
      <c r="S828" s="6">
        <v>0</v>
      </c>
      <c r="T828" s="6">
        <v>29</v>
      </c>
      <c r="U828" s="6">
        <v>66</v>
      </c>
      <c r="V828" s="6">
        <f>IF(ISERROR(VLOOKUP($S$828,'TAR FIN'!$A$1:$O$85,15,0)),0,VLOOKUP($S$828,'TAR FIN'!$A$1:$O$85,15,0))</f>
        <v>0</v>
      </c>
      <c r="W828" s="6">
        <f>IF(ISERROR(VLOOKUP($T$828,'TAR FIN'!$A$1:$O$85,15,0)),0,VLOOKUP($T$828,'TAR FIN'!$A$1:$O$85,15,0))</f>
        <v>285.89</v>
      </c>
      <c r="X828" s="6">
        <f>IF(ISERROR(VLOOKUP($U$828,'TAR FIN'!$A$1:$O$85,15,0)),0,VLOOKUP($U$828,'TAR FIN'!$A$1:$O$85,15,0))</f>
        <v>283.83999999999997</v>
      </c>
      <c r="Y828" s="6"/>
      <c r="Z828" s="6">
        <f ca="1">('TUSD BE'!$AM$33+'TUSD BF'!$AM$33+'TUSD CVA'!$AM$33)*(1-CUSTOS!$M$38)</f>
        <v>408.71492269690788</v>
      </c>
      <c r="AA828" s="6">
        <f>('TE BE'!$AB$23+'TE BF'!$AB$23+'TE CVA'!$AB$23)*(1-CUSTOS!$M$38)</f>
        <v>300.75684149176499</v>
      </c>
      <c r="AB828" s="6">
        <f>$K$828*$V$828</f>
        <v>0</v>
      </c>
      <c r="AC828" s="6">
        <f>$M$828*$W$828</f>
        <v>-1242.1920499999999</v>
      </c>
      <c r="AD828" s="6">
        <f>$O$828*$X$828</f>
        <v>-1233.2847999999999</v>
      </c>
      <c r="AE828" s="6">
        <f>$K$828*$Y$828</f>
        <v>0</v>
      </c>
      <c r="AF828" s="6">
        <f ca="1">$M$828*$Z$828</f>
        <v>-1775.8663391180646</v>
      </c>
      <c r="AG828" s="6">
        <f>$O$828*$AA$828</f>
        <v>-1306.7884762817189</v>
      </c>
    </row>
    <row r="829" spans="1:33" ht="11.25" customHeight="1" x14ac:dyDescent="0.25">
      <c r="A829" s="4" t="s">
        <v>28</v>
      </c>
      <c r="B829" s="4" t="s">
        <v>43</v>
      </c>
      <c r="C829" s="4" t="s">
        <v>23</v>
      </c>
      <c r="D829" s="4" t="s">
        <v>44</v>
      </c>
      <c r="E829" s="4" t="s">
        <v>52</v>
      </c>
      <c r="F829" s="4" t="s">
        <v>53</v>
      </c>
      <c r="G829" s="4" t="s">
        <v>25</v>
      </c>
      <c r="H829" s="4" t="s">
        <v>25</v>
      </c>
      <c r="I829" s="5">
        <v>44531</v>
      </c>
      <c r="J829" s="6">
        <v>0</v>
      </c>
      <c r="K829" s="6">
        <v>0</v>
      </c>
      <c r="L829" s="6">
        <v>4.9770000000000003</v>
      </c>
      <c r="M829" s="6">
        <v>4.9770000000000003</v>
      </c>
      <c r="N829" s="6">
        <v>4.9770000000000003</v>
      </c>
      <c r="O829" s="6">
        <v>4.9770000000000003</v>
      </c>
      <c r="P829" s="6">
        <v>0</v>
      </c>
      <c r="Q829" s="4" t="s">
        <v>26</v>
      </c>
      <c r="R829" s="4">
        <v>0</v>
      </c>
      <c r="S829" s="6">
        <v>0</v>
      </c>
      <c r="T829" s="6">
        <v>29</v>
      </c>
      <c r="U829" s="6">
        <v>66</v>
      </c>
      <c r="V829" s="6">
        <f>IF(ISERROR(VLOOKUP($S$829,'TAR FIN'!$A$1:$O$85,15,0)),0,VLOOKUP($S$829,'TAR FIN'!$A$1:$O$85,15,0))</f>
        <v>0</v>
      </c>
      <c r="W829" s="6">
        <f>IF(ISERROR(VLOOKUP($T$829,'TAR FIN'!$A$1:$O$85,15,0)),0,VLOOKUP($T$829,'TAR FIN'!$A$1:$O$85,15,0))</f>
        <v>285.89</v>
      </c>
      <c r="X829" s="6">
        <f>IF(ISERROR(VLOOKUP($U$829,'TAR FIN'!$A$1:$O$85,15,0)),0,VLOOKUP($U$829,'TAR FIN'!$A$1:$O$85,15,0))</f>
        <v>283.83999999999997</v>
      </c>
      <c r="Y829" s="6"/>
      <c r="Z829" s="6">
        <f ca="1">('TUSD BE'!$AM$33+'TUSD BF'!$AM$33+'TUSD CVA'!$AM$33)*(1-CUSTOS!$M$38)</f>
        <v>408.71492269690788</v>
      </c>
      <c r="AA829" s="6">
        <f>('TE BE'!$AB$23+'TE BF'!$AB$23+'TE CVA'!$AB$23)*(1-CUSTOS!$M$38)</f>
        <v>300.75684149176499</v>
      </c>
      <c r="AB829" s="6">
        <f>$K$829*$V$829</f>
        <v>0</v>
      </c>
      <c r="AC829" s="6">
        <f>$M$829*$W$829</f>
        <v>1422.87453</v>
      </c>
      <c r="AD829" s="6">
        <f>$O$829*$X$829</f>
        <v>1412.6716799999999</v>
      </c>
      <c r="AE829" s="6">
        <f>$K$829*$Y$829</f>
        <v>0</v>
      </c>
      <c r="AF829" s="6">
        <f ca="1">$M$829*$Z$829</f>
        <v>2034.1741702625106</v>
      </c>
      <c r="AG829" s="6">
        <f>$O$829*$AA$829</f>
        <v>1496.8668001045144</v>
      </c>
    </row>
    <row r="830" spans="1:33" ht="11.25" customHeight="1" x14ac:dyDescent="0.25">
      <c r="A830" s="4" t="s">
        <v>21</v>
      </c>
      <c r="B830" s="4" t="s">
        <v>43</v>
      </c>
      <c r="C830" s="4" t="s">
        <v>23</v>
      </c>
      <c r="D830" s="4" t="s">
        <v>44</v>
      </c>
      <c r="E830" s="4" t="s">
        <v>52</v>
      </c>
      <c r="F830" s="4" t="s">
        <v>53</v>
      </c>
      <c r="G830" s="4" t="s">
        <v>25</v>
      </c>
      <c r="H830" s="4" t="s">
        <v>25</v>
      </c>
      <c r="I830" s="5">
        <v>44562</v>
      </c>
      <c r="J830" s="6">
        <v>0</v>
      </c>
      <c r="K830" s="6">
        <v>0</v>
      </c>
      <c r="L830" s="6">
        <v>866.11800000000005</v>
      </c>
      <c r="M830" s="6">
        <v>866.11800000000005</v>
      </c>
      <c r="N830" s="6">
        <v>866.11800000000005</v>
      </c>
      <c r="O830" s="6">
        <v>866.11800000000005</v>
      </c>
      <c r="P830" s="6">
        <v>0</v>
      </c>
      <c r="Q830" s="4" t="s">
        <v>26</v>
      </c>
      <c r="R830" s="4">
        <v>0</v>
      </c>
      <c r="S830" s="6">
        <v>0</v>
      </c>
      <c r="T830" s="6">
        <v>29</v>
      </c>
      <c r="U830" s="6">
        <v>66</v>
      </c>
      <c r="V830" s="6">
        <f>IF(ISERROR(VLOOKUP($S$830,'TAR FIN'!$A$1:$O$85,15,0)),0,VLOOKUP($S$830,'TAR FIN'!$A$1:$O$85,15,0))</f>
        <v>0</v>
      </c>
      <c r="W830" s="6">
        <f>IF(ISERROR(VLOOKUP($T$830,'TAR FIN'!$A$1:$O$85,15,0)),0,VLOOKUP($T$830,'TAR FIN'!$A$1:$O$85,15,0))</f>
        <v>285.89</v>
      </c>
      <c r="X830" s="6">
        <f>IF(ISERROR(VLOOKUP($U$830,'TAR FIN'!$A$1:$O$85,15,0)),0,VLOOKUP($U$830,'TAR FIN'!$A$1:$O$85,15,0))</f>
        <v>283.83999999999997</v>
      </c>
      <c r="Y830" s="6"/>
      <c r="Z830" s="6">
        <f ca="1">('TUSD BE'!$AM$33+'TUSD BF'!$AM$33+'TUSD CVA'!$AM$33)*(1-CUSTOS!$M$38)</f>
        <v>408.71492269690788</v>
      </c>
      <c r="AA830" s="6">
        <f>('TE BE'!$AB$23+'TE BF'!$AB$23+'TE CVA'!$AB$23)*(1-CUSTOS!$M$38)</f>
        <v>300.75684149176499</v>
      </c>
      <c r="AB830" s="6">
        <f>$K$830*$V$830</f>
        <v>0</v>
      </c>
      <c r="AC830" s="6">
        <f>$M$830*$W$830</f>
        <v>247614.47502000001</v>
      </c>
      <c r="AD830" s="6">
        <f>$O$830*$X$830</f>
        <v>245838.93312</v>
      </c>
      <c r="AE830" s="6">
        <f>$K$830*$Y$830</f>
        <v>0</v>
      </c>
      <c r="AF830" s="6">
        <f ca="1">$M$830*$Z$830</f>
        <v>353995.35141640046</v>
      </c>
      <c r="AG830" s="6">
        <f>$O$830*$AA$830</f>
        <v>260490.91403916452</v>
      </c>
    </row>
    <row r="831" spans="1:33" ht="11.25" customHeight="1" x14ac:dyDescent="0.25">
      <c r="A831" s="4" t="s">
        <v>27</v>
      </c>
      <c r="B831" s="4" t="s">
        <v>43</v>
      </c>
      <c r="C831" s="4" t="s">
        <v>23</v>
      </c>
      <c r="D831" s="4" t="s">
        <v>44</v>
      </c>
      <c r="E831" s="4" t="s">
        <v>52</v>
      </c>
      <c r="F831" s="4" t="s">
        <v>53</v>
      </c>
      <c r="G831" s="4" t="s">
        <v>25</v>
      </c>
      <c r="H831" s="4" t="s">
        <v>25</v>
      </c>
      <c r="I831" s="5">
        <v>44562</v>
      </c>
      <c r="J831" s="6">
        <v>0</v>
      </c>
      <c r="K831" s="6">
        <v>0</v>
      </c>
      <c r="L831" s="6">
        <v>-9.0739999999999998</v>
      </c>
      <c r="M831" s="6">
        <v>-9.0739999999999998</v>
      </c>
      <c r="N831" s="6">
        <v>-9.0739999999999998</v>
      </c>
      <c r="O831" s="6">
        <v>-9.0739999999999998</v>
      </c>
      <c r="P831" s="6">
        <v>0</v>
      </c>
      <c r="Q831" s="4" t="s">
        <v>26</v>
      </c>
      <c r="R831" s="4">
        <v>0</v>
      </c>
      <c r="S831" s="6">
        <v>0</v>
      </c>
      <c r="T831" s="6">
        <v>29</v>
      </c>
      <c r="U831" s="6">
        <v>66</v>
      </c>
      <c r="V831" s="6">
        <f>IF(ISERROR(VLOOKUP($S$831,'TAR FIN'!$A$1:$O$85,15,0)),0,VLOOKUP($S$831,'TAR FIN'!$A$1:$O$85,15,0))</f>
        <v>0</v>
      </c>
      <c r="W831" s="6">
        <f>IF(ISERROR(VLOOKUP($T$831,'TAR FIN'!$A$1:$O$85,15,0)),0,VLOOKUP($T$831,'TAR FIN'!$A$1:$O$85,15,0))</f>
        <v>285.89</v>
      </c>
      <c r="X831" s="6">
        <f>IF(ISERROR(VLOOKUP($U$831,'TAR FIN'!$A$1:$O$85,15,0)),0,VLOOKUP($U$831,'TAR FIN'!$A$1:$O$85,15,0))</f>
        <v>283.83999999999997</v>
      </c>
      <c r="Y831" s="6"/>
      <c r="Z831" s="6">
        <f ca="1">('TUSD BE'!$AM$33+'TUSD BF'!$AM$33+'TUSD CVA'!$AM$33)*(1-CUSTOS!$M$38)</f>
        <v>408.71492269690788</v>
      </c>
      <c r="AA831" s="6">
        <f>('TE BE'!$AB$23+'TE BF'!$AB$23+'TE CVA'!$AB$23)*(1-CUSTOS!$M$38)</f>
        <v>300.75684149176499</v>
      </c>
      <c r="AB831" s="6">
        <f>$K$831*$V$831</f>
        <v>0</v>
      </c>
      <c r="AC831" s="6">
        <f>$M$831*$W$831</f>
        <v>-2594.1658599999996</v>
      </c>
      <c r="AD831" s="6">
        <f>$O$831*$X$831</f>
        <v>-2575.5641599999999</v>
      </c>
      <c r="AE831" s="6">
        <f>$K$831*$Y$831</f>
        <v>0</v>
      </c>
      <c r="AF831" s="6">
        <f ca="1">$M$831*$Z$831</f>
        <v>-3708.6792085517418</v>
      </c>
      <c r="AG831" s="6">
        <f>$O$831*$AA$831</f>
        <v>-2729.0675796962755</v>
      </c>
    </row>
    <row r="832" spans="1:33" ht="11.25" customHeight="1" x14ac:dyDescent="0.25">
      <c r="A832" s="4" t="s">
        <v>28</v>
      </c>
      <c r="B832" s="4" t="s">
        <v>43</v>
      </c>
      <c r="C832" s="4" t="s">
        <v>23</v>
      </c>
      <c r="D832" s="4" t="s">
        <v>44</v>
      </c>
      <c r="E832" s="4" t="s">
        <v>52</v>
      </c>
      <c r="F832" s="4" t="s">
        <v>53</v>
      </c>
      <c r="G832" s="4" t="s">
        <v>25</v>
      </c>
      <c r="H832" s="4" t="s">
        <v>25</v>
      </c>
      <c r="I832" s="5">
        <v>44562</v>
      </c>
      <c r="J832" s="6">
        <v>0</v>
      </c>
      <c r="K832" s="6">
        <v>0</v>
      </c>
      <c r="L832" s="6">
        <v>5.968</v>
      </c>
      <c r="M832" s="6">
        <v>5.968</v>
      </c>
      <c r="N832" s="6">
        <v>5.968</v>
      </c>
      <c r="O832" s="6">
        <v>5.968</v>
      </c>
      <c r="P832" s="6">
        <v>0</v>
      </c>
      <c r="Q832" s="4" t="s">
        <v>26</v>
      </c>
      <c r="R832" s="4">
        <v>0</v>
      </c>
      <c r="S832" s="6">
        <v>0</v>
      </c>
      <c r="T832" s="6">
        <v>29</v>
      </c>
      <c r="U832" s="6">
        <v>66</v>
      </c>
      <c r="V832" s="6">
        <f>IF(ISERROR(VLOOKUP($S$832,'TAR FIN'!$A$1:$O$85,15,0)),0,VLOOKUP($S$832,'TAR FIN'!$A$1:$O$85,15,0))</f>
        <v>0</v>
      </c>
      <c r="W832" s="6">
        <f>IF(ISERROR(VLOOKUP($T$832,'TAR FIN'!$A$1:$O$85,15,0)),0,VLOOKUP($T$832,'TAR FIN'!$A$1:$O$85,15,0))</f>
        <v>285.89</v>
      </c>
      <c r="X832" s="6">
        <f>IF(ISERROR(VLOOKUP($U$832,'TAR FIN'!$A$1:$O$85,15,0)),0,VLOOKUP($U$832,'TAR FIN'!$A$1:$O$85,15,0))</f>
        <v>283.83999999999997</v>
      </c>
      <c r="Y832" s="6"/>
      <c r="Z832" s="6">
        <f ca="1">('TUSD BE'!$AM$33+'TUSD BF'!$AM$33+'TUSD CVA'!$AM$33)*(1-CUSTOS!$M$38)</f>
        <v>408.71492269690788</v>
      </c>
      <c r="AA832" s="6">
        <f>('TE BE'!$AB$23+'TE BF'!$AB$23+'TE CVA'!$AB$23)*(1-CUSTOS!$M$38)</f>
        <v>300.75684149176499</v>
      </c>
      <c r="AB832" s="6">
        <f>$K$832*$V$832</f>
        <v>0</v>
      </c>
      <c r="AC832" s="6">
        <f>$M$832*$W$832</f>
        <v>1706.1915199999999</v>
      </c>
      <c r="AD832" s="6">
        <f>$O$832*$X$832</f>
        <v>1693.9571199999998</v>
      </c>
      <c r="AE832" s="6">
        <f>$K$832*$Y$832</f>
        <v>0</v>
      </c>
      <c r="AF832" s="6">
        <f ca="1">$M$832*$Z$832</f>
        <v>2439.2106586551463</v>
      </c>
      <c r="AG832" s="6">
        <f>$O$832*$AA$832</f>
        <v>1794.9168300228534</v>
      </c>
    </row>
    <row r="833" spans="1:33" ht="11.25" customHeight="1" x14ac:dyDescent="0.25">
      <c r="A833" s="4" t="s">
        <v>21</v>
      </c>
      <c r="B833" s="4" t="s">
        <v>43</v>
      </c>
      <c r="C833" s="4" t="s">
        <v>23</v>
      </c>
      <c r="D833" s="4" t="s">
        <v>44</v>
      </c>
      <c r="E833" s="4" t="s">
        <v>52</v>
      </c>
      <c r="F833" s="4" t="s">
        <v>53</v>
      </c>
      <c r="G833" s="4" t="s">
        <v>25</v>
      </c>
      <c r="H833" s="4" t="s">
        <v>25</v>
      </c>
      <c r="I833" s="5">
        <v>44593</v>
      </c>
      <c r="J833" s="6">
        <v>0</v>
      </c>
      <c r="K833" s="6">
        <v>0</v>
      </c>
      <c r="L833" s="6">
        <v>1470.595</v>
      </c>
      <c r="M833" s="6">
        <v>1470.595</v>
      </c>
      <c r="N833" s="6">
        <v>1470.595</v>
      </c>
      <c r="O833" s="6">
        <v>1470.595</v>
      </c>
      <c r="P833" s="6">
        <v>0</v>
      </c>
      <c r="Q833" s="4" t="s">
        <v>26</v>
      </c>
      <c r="R833" s="4">
        <v>0</v>
      </c>
      <c r="S833" s="6">
        <v>0</v>
      </c>
      <c r="T833" s="6">
        <v>29</v>
      </c>
      <c r="U833" s="6">
        <v>66</v>
      </c>
      <c r="V833" s="6">
        <f>IF(ISERROR(VLOOKUP($S$833,'TAR FIN'!$A$1:$O$85,15,0)),0,VLOOKUP($S$833,'TAR FIN'!$A$1:$O$85,15,0))</f>
        <v>0</v>
      </c>
      <c r="W833" s="6">
        <f>IF(ISERROR(VLOOKUP($T$833,'TAR FIN'!$A$1:$O$85,15,0)),0,VLOOKUP($T$833,'TAR FIN'!$A$1:$O$85,15,0))</f>
        <v>285.89</v>
      </c>
      <c r="X833" s="6">
        <f>IF(ISERROR(VLOOKUP($U$833,'TAR FIN'!$A$1:$O$85,15,0)),0,VLOOKUP($U$833,'TAR FIN'!$A$1:$O$85,15,0))</f>
        <v>283.83999999999997</v>
      </c>
      <c r="Y833" s="6"/>
      <c r="Z833" s="6">
        <f ca="1">('TUSD BE'!$AM$33+'TUSD BF'!$AM$33+'TUSD CVA'!$AM$33)*(1-CUSTOS!$M$38)</f>
        <v>408.71492269690788</v>
      </c>
      <c r="AA833" s="6">
        <f>('TE BE'!$AB$23+'TE BF'!$AB$23+'TE CVA'!$AB$23)*(1-CUSTOS!$M$38)</f>
        <v>300.75684149176499</v>
      </c>
      <c r="AB833" s="6">
        <f>$K$833*$V$833</f>
        <v>0</v>
      </c>
      <c r="AC833" s="6">
        <f>$M$833*$W$833</f>
        <v>420428.40454999998</v>
      </c>
      <c r="AD833" s="6">
        <f>$O$833*$X$833</f>
        <v>417413.68479999999</v>
      </c>
      <c r="AE833" s="6">
        <f>$K$833*$Y$833</f>
        <v>0</v>
      </c>
      <c r="AF833" s="6">
        <f ca="1">$M$833*$Z$833</f>
        <v>601054.12174345925</v>
      </c>
      <c r="AG833" s="6">
        <f>$O$833*$AA$833</f>
        <v>442291.50731358211</v>
      </c>
    </row>
    <row r="834" spans="1:33" ht="11.25" customHeight="1" x14ac:dyDescent="0.25">
      <c r="A834" s="4" t="s">
        <v>27</v>
      </c>
      <c r="B834" s="4" t="s">
        <v>43</v>
      </c>
      <c r="C834" s="4" t="s">
        <v>23</v>
      </c>
      <c r="D834" s="4" t="s">
        <v>44</v>
      </c>
      <c r="E834" s="4" t="s">
        <v>52</v>
      </c>
      <c r="F834" s="4" t="s">
        <v>53</v>
      </c>
      <c r="G834" s="4" t="s">
        <v>25</v>
      </c>
      <c r="H834" s="4" t="s">
        <v>25</v>
      </c>
      <c r="I834" s="5">
        <v>44593</v>
      </c>
      <c r="J834" s="6">
        <v>0</v>
      </c>
      <c r="K834" s="6">
        <v>0</v>
      </c>
      <c r="L834" s="6">
        <v>-8.4079999999999995</v>
      </c>
      <c r="M834" s="6">
        <v>-8.4079999999999995</v>
      </c>
      <c r="N834" s="6">
        <v>-8.4079999999999995</v>
      </c>
      <c r="O834" s="6">
        <v>-8.4079999999999995</v>
      </c>
      <c r="P834" s="6">
        <v>0</v>
      </c>
      <c r="Q834" s="4" t="s">
        <v>26</v>
      </c>
      <c r="R834" s="4">
        <v>0</v>
      </c>
      <c r="S834" s="6">
        <v>0</v>
      </c>
      <c r="T834" s="6">
        <v>29</v>
      </c>
      <c r="U834" s="6">
        <v>66</v>
      </c>
      <c r="V834" s="6">
        <f>IF(ISERROR(VLOOKUP($S$834,'TAR FIN'!$A$1:$O$85,15,0)),0,VLOOKUP($S$834,'TAR FIN'!$A$1:$O$85,15,0))</f>
        <v>0</v>
      </c>
      <c r="W834" s="6">
        <f>IF(ISERROR(VLOOKUP($T$834,'TAR FIN'!$A$1:$O$85,15,0)),0,VLOOKUP($T$834,'TAR FIN'!$A$1:$O$85,15,0))</f>
        <v>285.89</v>
      </c>
      <c r="X834" s="6">
        <f>IF(ISERROR(VLOOKUP($U$834,'TAR FIN'!$A$1:$O$85,15,0)),0,VLOOKUP($U$834,'TAR FIN'!$A$1:$O$85,15,0))</f>
        <v>283.83999999999997</v>
      </c>
      <c r="Y834" s="6"/>
      <c r="Z834" s="6">
        <f ca="1">('TUSD BE'!$AM$33+'TUSD BF'!$AM$33+'TUSD CVA'!$AM$33)*(1-CUSTOS!$M$38)</f>
        <v>408.71492269690788</v>
      </c>
      <c r="AA834" s="6">
        <f>('TE BE'!$AB$23+'TE BF'!$AB$23+'TE CVA'!$AB$23)*(1-CUSTOS!$M$38)</f>
        <v>300.75684149176499</v>
      </c>
      <c r="AB834" s="6">
        <f>$K$834*$V$834</f>
        <v>0</v>
      </c>
      <c r="AC834" s="6">
        <f>$M$834*$W$834</f>
        <v>-2403.7631199999996</v>
      </c>
      <c r="AD834" s="6">
        <f>$O$834*$X$834</f>
        <v>-2386.5267199999998</v>
      </c>
      <c r="AE834" s="6">
        <f>$K$834*$Y$834</f>
        <v>0</v>
      </c>
      <c r="AF834" s="6">
        <f ca="1">$M$834*$Z$834</f>
        <v>-3436.4750700356012</v>
      </c>
      <c r="AG834" s="6">
        <f>$O$834*$AA$834</f>
        <v>-2528.7635232627599</v>
      </c>
    </row>
    <row r="835" spans="1:33" ht="11.25" customHeight="1" x14ac:dyDescent="0.25">
      <c r="A835" s="4" t="s">
        <v>28</v>
      </c>
      <c r="B835" s="4" t="s">
        <v>43</v>
      </c>
      <c r="C835" s="4" t="s">
        <v>23</v>
      </c>
      <c r="D835" s="4" t="s">
        <v>44</v>
      </c>
      <c r="E835" s="4" t="s">
        <v>52</v>
      </c>
      <c r="F835" s="4" t="s">
        <v>53</v>
      </c>
      <c r="G835" s="4" t="s">
        <v>25</v>
      </c>
      <c r="H835" s="4" t="s">
        <v>25</v>
      </c>
      <c r="I835" s="5">
        <v>44593</v>
      </c>
      <c r="J835" s="6">
        <v>0</v>
      </c>
      <c r="K835" s="6">
        <v>0</v>
      </c>
      <c r="L835" s="6">
        <v>7.8650000000000002</v>
      </c>
      <c r="M835" s="6">
        <v>7.8650000000000002</v>
      </c>
      <c r="N835" s="6">
        <v>7.8650000000000002</v>
      </c>
      <c r="O835" s="6">
        <v>7.8650000000000002</v>
      </c>
      <c r="P835" s="6">
        <v>0</v>
      </c>
      <c r="Q835" s="4" t="s">
        <v>26</v>
      </c>
      <c r="R835" s="4">
        <v>0</v>
      </c>
      <c r="S835" s="6">
        <v>0</v>
      </c>
      <c r="T835" s="6">
        <v>29</v>
      </c>
      <c r="U835" s="6">
        <v>66</v>
      </c>
      <c r="V835" s="6">
        <f>IF(ISERROR(VLOOKUP($S$835,'TAR FIN'!$A$1:$O$85,15,0)),0,VLOOKUP($S$835,'TAR FIN'!$A$1:$O$85,15,0))</f>
        <v>0</v>
      </c>
      <c r="W835" s="6">
        <f>IF(ISERROR(VLOOKUP($T$835,'TAR FIN'!$A$1:$O$85,15,0)),0,VLOOKUP($T$835,'TAR FIN'!$A$1:$O$85,15,0))</f>
        <v>285.89</v>
      </c>
      <c r="X835" s="6">
        <f>IF(ISERROR(VLOOKUP($U$835,'TAR FIN'!$A$1:$O$85,15,0)),0,VLOOKUP($U$835,'TAR FIN'!$A$1:$O$85,15,0))</f>
        <v>283.83999999999997</v>
      </c>
      <c r="Y835" s="6"/>
      <c r="Z835" s="6">
        <f ca="1">('TUSD BE'!$AM$33+'TUSD BF'!$AM$33+'TUSD CVA'!$AM$33)*(1-CUSTOS!$M$38)</f>
        <v>408.71492269690788</v>
      </c>
      <c r="AA835" s="6">
        <f>('TE BE'!$AB$23+'TE BF'!$AB$23+'TE CVA'!$AB$23)*(1-CUSTOS!$M$38)</f>
        <v>300.75684149176499</v>
      </c>
      <c r="AB835" s="6">
        <f>$K$835*$V$835</f>
        <v>0</v>
      </c>
      <c r="AC835" s="6">
        <f>$M$835*$W$835</f>
        <v>2248.5248499999998</v>
      </c>
      <c r="AD835" s="6">
        <f>$O$835*$X$835</f>
        <v>2232.4015999999997</v>
      </c>
      <c r="AE835" s="6">
        <f>$K$835*$Y$835</f>
        <v>0</v>
      </c>
      <c r="AF835" s="6">
        <f ca="1">$M$835*$Z$835</f>
        <v>3214.5428670111805</v>
      </c>
      <c r="AG835" s="6">
        <f>$O$835*$AA$835</f>
        <v>2365.4525583327318</v>
      </c>
    </row>
    <row r="836" spans="1:33" ht="11.25" customHeight="1" x14ac:dyDescent="0.25">
      <c r="A836" s="4" t="s">
        <v>28</v>
      </c>
      <c r="B836" s="4" t="s">
        <v>43</v>
      </c>
      <c r="C836" s="4" t="s">
        <v>23</v>
      </c>
      <c r="D836" s="4" t="s">
        <v>44</v>
      </c>
      <c r="E836" s="4" t="s">
        <v>52</v>
      </c>
      <c r="F836" s="4" t="s">
        <v>53</v>
      </c>
      <c r="G836" s="4" t="s">
        <v>25</v>
      </c>
      <c r="H836" s="4" t="s">
        <v>25</v>
      </c>
      <c r="I836" s="5">
        <v>44593</v>
      </c>
      <c r="J836" s="6">
        <v>0</v>
      </c>
      <c r="K836" s="6">
        <v>0</v>
      </c>
      <c r="L836" s="6">
        <v>0.2</v>
      </c>
      <c r="M836" s="6">
        <v>0.2</v>
      </c>
      <c r="N836" s="6">
        <v>0.2</v>
      </c>
      <c r="O836" s="6">
        <v>0.2</v>
      </c>
      <c r="P836" s="6">
        <v>0</v>
      </c>
      <c r="Q836" s="4" t="s">
        <v>26</v>
      </c>
      <c r="R836" s="4">
        <v>0</v>
      </c>
      <c r="S836" s="6">
        <v>0</v>
      </c>
      <c r="T836" s="6">
        <v>29</v>
      </c>
      <c r="U836" s="6">
        <v>66</v>
      </c>
      <c r="V836" s="6">
        <f>IF(ISERROR(VLOOKUP($S$836,'TAR FIN'!$A$1:$O$85,15,0)),0,VLOOKUP($S$836,'TAR FIN'!$A$1:$O$85,15,0))</f>
        <v>0</v>
      </c>
      <c r="W836" s="6">
        <f>IF(ISERROR(VLOOKUP($T$836,'TAR FIN'!$A$1:$O$85,15,0)),0,VLOOKUP($T$836,'TAR FIN'!$A$1:$O$85,15,0))</f>
        <v>285.89</v>
      </c>
      <c r="X836" s="6">
        <f>IF(ISERROR(VLOOKUP($U$836,'TAR FIN'!$A$1:$O$85,15,0)),0,VLOOKUP($U$836,'TAR FIN'!$A$1:$O$85,15,0))</f>
        <v>283.83999999999997</v>
      </c>
      <c r="Y836" s="6"/>
      <c r="Z836" s="6">
        <f ca="1">('TUSD BE'!$AM$33+'TUSD BF'!$AM$33+'TUSD CVA'!$AM$33)*(1-CUSTOS!$M$38)</f>
        <v>408.71492269690788</v>
      </c>
      <c r="AA836" s="6">
        <f>('TE BE'!$AB$23+'TE BF'!$AB$23+'TE CVA'!$AB$23)*(1-CUSTOS!$M$38)</f>
        <v>300.75684149176499</v>
      </c>
      <c r="AB836" s="6">
        <f>$K$836*$V$836</f>
        <v>0</v>
      </c>
      <c r="AC836" s="6">
        <f>$M$836*$W$836</f>
        <v>57.177999999999997</v>
      </c>
      <c r="AD836" s="6">
        <f>$O$836*$X$836</f>
        <v>56.768000000000001</v>
      </c>
      <c r="AE836" s="6">
        <f>$K$836*$Y$836</f>
        <v>0</v>
      </c>
      <c r="AF836" s="6">
        <f ca="1">$M$836*$Z$836</f>
        <v>81.742984539381581</v>
      </c>
      <c r="AG836" s="6">
        <f>$O$836*$AA$836</f>
        <v>60.151368298352999</v>
      </c>
    </row>
    <row r="837" spans="1:33" ht="11.25" customHeight="1" x14ac:dyDescent="0.25">
      <c r="A837" s="4" t="s">
        <v>21</v>
      </c>
      <c r="B837" s="4" t="s">
        <v>43</v>
      </c>
      <c r="C837" s="4" t="s">
        <v>23</v>
      </c>
      <c r="D837" s="4" t="s">
        <v>44</v>
      </c>
      <c r="E837" s="4" t="s">
        <v>52</v>
      </c>
      <c r="F837" s="4" t="s">
        <v>53</v>
      </c>
      <c r="G837" s="4" t="s">
        <v>25</v>
      </c>
      <c r="H837" s="4" t="s">
        <v>25</v>
      </c>
      <c r="I837" s="5">
        <v>44621</v>
      </c>
      <c r="J837" s="6">
        <v>0</v>
      </c>
      <c r="K837" s="6">
        <v>0</v>
      </c>
      <c r="L837" s="6">
        <v>1109.2260000000001</v>
      </c>
      <c r="M837" s="6">
        <v>1109.2260000000001</v>
      </c>
      <c r="N837" s="6">
        <v>1109.2260000000001</v>
      </c>
      <c r="O837" s="6">
        <v>1109.2260000000001</v>
      </c>
      <c r="P837" s="6">
        <v>0</v>
      </c>
      <c r="Q837" s="4" t="s">
        <v>26</v>
      </c>
      <c r="R837" s="4">
        <v>0</v>
      </c>
      <c r="S837" s="6">
        <v>0</v>
      </c>
      <c r="T837" s="6">
        <v>29</v>
      </c>
      <c r="U837" s="6">
        <v>66</v>
      </c>
      <c r="V837" s="6">
        <f>IF(ISERROR(VLOOKUP($S$837,'TAR FIN'!$A$1:$O$85,15,0)),0,VLOOKUP($S$837,'TAR FIN'!$A$1:$O$85,15,0))</f>
        <v>0</v>
      </c>
      <c r="W837" s="6">
        <f>IF(ISERROR(VLOOKUP($T$837,'TAR FIN'!$A$1:$O$85,15,0)),0,VLOOKUP($T$837,'TAR FIN'!$A$1:$O$85,15,0))</f>
        <v>285.89</v>
      </c>
      <c r="X837" s="6">
        <f>IF(ISERROR(VLOOKUP($U$837,'TAR FIN'!$A$1:$O$85,15,0)),0,VLOOKUP($U$837,'TAR FIN'!$A$1:$O$85,15,0))</f>
        <v>283.83999999999997</v>
      </c>
      <c r="Y837" s="6"/>
      <c r="Z837" s="6">
        <f ca="1">('TUSD BE'!$AM$33+'TUSD BF'!$AM$33+'TUSD CVA'!$AM$33)*(1-CUSTOS!$M$38)</f>
        <v>408.71492269690788</v>
      </c>
      <c r="AA837" s="6">
        <f>('TE BE'!$AB$23+'TE BF'!$AB$23+'TE CVA'!$AB$23)*(1-CUSTOS!$M$38)</f>
        <v>300.75684149176499</v>
      </c>
      <c r="AB837" s="6">
        <f>$K$837*$V$837</f>
        <v>0</v>
      </c>
      <c r="AC837" s="6">
        <f>$M$837*$W$837</f>
        <v>317116.62114</v>
      </c>
      <c r="AD837" s="6">
        <f>$O$837*$X$837</f>
        <v>314842.70783999999</v>
      </c>
      <c r="AE837" s="6">
        <f>$K$837*$Y$837</f>
        <v>0</v>
      </c>
      <c r="AF837" s="6">
        <f ca="1">$M$837*$Z$837</f>
        <v>453357.21884340036</v>
      </c>
      <c r="AG837" s="6">
        <f>$O$837*$AA$837</f>
        <v>333607.30826054455</v>
      </c>
    </row>
    <row r="838" spans="1:33" ht="11.25" customHeight="1" x14ac:dyDescent="0.25">
      <c r="A838" s="4" t="s">
        <v>27</v>
      </c>
      <c r="B838" s="4" t="s">
        <v>43</v>
      </c>
      <c r="C838" s="4" t="s">
        <v>23</v>
      </c>
      <c r="D838" s="4" t="s">
        <v>44</v>
      </c>
      <c r="E838" s="4" t="s">
        <v>52</v>
      </c>
      <c r="F838" s="4" t="s">
        <v>53</v>
      </c>
      <c r="G838" s="4" t="s">
        <v>25</v>
      </c>
      <c r="H838" s="4" t="s">
        <v>25</v>
      </c>
      <c r="I838" s="5">
        <v>44621</v>
      </c>
      <c r="J838" s="6">
        <v>0</v>
      </c>
      <c r="K838" s="6">
        <v>0</v>
      </c>
      <c r="L838" s="6">
        <v>-2.52</v>
      </c>
      <c r="M838" s="6">
        <v>-2.52</v>
      </c>
      <c r="N838" s="6">
        <v>-2.52</v>
      </c>
      <c r="O838" s="6">
        <v>-2.52</v>
      </c>
      <c r="P838" s="6">
        <v>0</v>
      </c>
      <c r="Q838" s="4" t="s">
        <v>26</v>
      </c>
      <c r="R838" s="4">
        <v>0</v>
      </c>
      <c r="S838" s="6">
        <v>0</v>
      </c>
      <c r="T838" s="6">
        <v>29</v>
      </c>
      <c r="U838" s="6">
        <v>66</v>
      </c>
      <c r="V838" s="6">
        <f>IF(ISERROR(VLOOKUP($S$838,'TAR FIN'!$A$1:$O$85,15,0)),0,VLOOKUP($S$838,'TAR FIN'!$A$1:$O$85,15,0))</f>
        <v>0</v>
      </c>
      <c r="W838" s="6">
        <f>IF(ISERROR(VLOOKUP($T$838,'TAR FIN'!$A$1:$O$85,15,0)),0,VLOOKUP($T$838,'TAR FIN'!$A$1:$O$85,15,0))</f>
        <v>285.89</v>
      </c>
      <c r="X838" s="6">
        <f>IF(ISERROR(VLOOKUP($U$838,'TAR FIN'!$A$1:$O$85,15,0)),0,VLOOKUP($U$838,'TAR FIN'!$A$1:$O$85,15,0))</f>
        <v>283.83999999999997</v>
      </c>
      <c r="Y838" s="6"/>
      <c r="Z838" s="6">
        <f ca="1">('TUSD BE'!$AM$33+'TUSD BF'!$AM$33+'TUSD CVA'!$AM$33)*(1-CUSTOS!$M$38)</f>
        <v>408.71492269690788</v>
      </c>
      <c r="AA838" s="6">
        <f>('TE BE'!$AB$23+'TE BF'!$AB$23+'TE CVA'!$AB$23)*(1-CUSTOS!$M$38)</f>
        <v>300.75684149176499</v>
      </c>
      <c r="AB838" s="6">
        <f>$K$838*$V$838</f>
        <v>0</v>
      </c>
      <c r="AC838" s="6">
        <f>$M$838*$W$838</f>
        <v>-720.44279999999992</v>
      </c>
      <c r="AD838" s="6">
        <f>$O$838*$X$838</f>
        <v>-715.27679999999998</v>
      </c>
      <c r="AE838" s="6">
        <f>$K$838*$Y$838</f>
        <v>0</v>
      </c>
      <c r="AF838" s="6">
        <f ca="1">$M$838*$Z$838</f>
        <v>-1029.9616051962078</v>
      </c>
      <c r="AG838" s="6">
        <f>$O$838*$AA$838</f>
        <v>-757.90724055924773</v>
      </c>
    </row>
    <row r="839" spans="1:33" ht="11.25" customHeight="1" x14ac:dyDescent="0.25">
      <c r="A839" s="4" t="s">
        <v>28</v>
      </c>
      <c r="B839" s="4" t="s">
        <v>43</v>
      </c>
      <c r="C839" s="4" t="s">
        <v>23</v>
      </c>
      <c r="D839" s="4" t="s">
        <v>44</v>
      </c>
      <c r="E839" s="4" t="s">
        <v>52</v>
      </c>
      <c r="F839" s="4" t="s">
        <v>53</v>
      </c>
      <c r="G839" s="4" t="s">
        <v>25</v>
      </c>
      <c r="H839" s="4" t="s">
        <v>25</v>
      </c>
      <c r="I839" s="5">
        <v>44621</v>
      </c>
      <c r="J839" s="6">
        <v>0</v>
      </c>
      <c r="K839" s="6">
        <v>0</v>
      </c>
      <c r="L839" s="6">
        <v>9.6630000000000003</v>
      </c>
      <c r="M839" s="6">
        <v>9.6630000000000003</v>
      </c>
      <c r="N839" s="6">
        <v>9.6630000000000003</v>
      </c>
      <c r="O839" s="6">
        <v>9.6630000000000003</v>
      </c>
      <c r="P839" s="6">
        <v>0</v>
      </c>
      <c r="Q839" s="4" t="s">
        <v>26</v>
      </c>
      <c r="R839" s="4">
        <v>0</v>
      </c>
      <c r="S839" s="6">
        <v>0</v>
      </c>
      <c r="T839" s="6">
        <v>29</v>
      </c>
      <c r="U839" s="6">
        <v>66</v>
      </c>
      <c r="V839" s="6">
        <f>IF(ISERROR(VLOOKUP($S$839,'TAR FIN'!$A$1:$O$85,15,0)),0,VLOOKUP($S$839,'TAR FIN'!$A$1:$O$85,15,0))</f>
        <v>0</v>
      </c>
      <c r="W839" s="6">
        <f>IF(ISERROR(VLOOKUP($T$839,'TAR FIN'!$A$1:$O$85,15,0)),0,VLOOKUP($T$839,'TAR FIN'!$A$1:$O$85,15,0))</f>
        <v>285.89</v>
      </c>
      <c r="X839" s="6">
        <f>IF(ISERROR(VLOOKUP($U$839,'TAR FIN'!$A$1:$O$85,15,0)),0,VLOOKUP($U$839,'TAR FIN'!$A$1:$O$85,15,0))</f>
        <v>283.83999999999997</v>
      </c>
      <c r="Y839" s="6"/>
      <c r="Z839" s="6">
        <f ca="1">('TUSD BE'!$AM$33+'TUSD BF'!$AM$33+'TUSD CVA'!$AM$33)*(1-CUSTOS!$M$38)</f>
        <v>408.71492269690788</v>
      </c>
      <c r="AA839" s="6">
        <f>('TE BE'!$AB$23+'TE BF'!$AB$23+'TE CVA'!$AB$23)*(1-CUSTOS!$M$38)</f>
        <v>300.75684149176499</v>
      </c>
      <c r="AB839" s="6">
        <f>$K$839*$V$839</f>
        <v>0</v>
      </c>
      <c r="AC839" s="6">
        <f>$M$839*$W$839</f>
        <v>2762.5550699999999</v>
      </c>
      <c r="AD839" s="6">
        <f>$O$839*$X$839</f>
        <v>2742.7459199999998</v>
      </c>
      <c r="AE839" s="6">
        <f>$K$839*$Y$839</f>
        <v>0</v>
      </c>
      <c r="AF839" s="6">
        <f ca="1">$M$839*$Z$839</f>
        <v>3949.412298020221</v>
      </c>
      <c r="AG839" s="6">
        <f>$O$839*$AA$839</f>
        <v>2906.2133593349254</v>
      </c>
    </row>
    <row r="840" spans="1:33" ht="11.25" customHeight="1" x14ac:dyDescent="0.25">
      <c r="A840" s="4" t="s">
        <v>28</v>
      </c>
      <c r="B840" s="4" t="s">
        <v>43</v>
      </c>
      <c r="C840" s="4" t="s">
        <v>23</v>
      </c>
      <c r="D840" s="4" t="s">
        <v>44</v>
      </c>
      <c r="E840" s="4" t="s">
        <v>52</v>
      </c>
      <c r="F840" s="4" t="s">
        <v>53</v>
      </c>
      <c r="G840" s="4" t="s">
        <v>25</v>
      </c>
      <c r="H840" s="4" t="s">
        <v>25</v>
      </c>
      <c r="I840" s="5">
        <v>44621</v>
      </c>
      <c r="J840" s="6">
        <v>0</v>
      </c>
      <c r="K840" s="6">
        <v>0</v>
      </c>
      <c r="L840" s="6">
        <v>0.1</v>
      </c>
      <c r="M840" s="6">
        <v>0.1</v>
      </c>
      <c r="N840" s="6">
        <v>0.1</v>
      </c>
      <c r="O840" s="6">
        <v>0.1</v>
      </c>
      <c r="P840" s="6">
        <v>0</v>
      </c>
      <c r="Q840" s="4" t="s">
        <v>26</v>
      </c>
      <c r="R840" s="4">
        <v>0</v>
      </c>
      <c r="S840" s="6">
        <v>0</v>
      </c>
      <c r="T840" s="6">
        <v>29</v>
      </c>
      <c r="U840" s="6">
        <v>66</v>
      </c>
      <c r="V840" s="6">
        <f>IF(ISERROR(VLOOKUP($S$840,'TAR FIN'!$A$1:$O$85,15,0)),0,VLOOKUP($S$840,'TAR FIN'!$A$1:$O$85,15,0))</f>
        <v>0</v>
      </c>
      <c r="W840" s="6">
        <f>IF(ISERROR(VLOOKUP($T$840,'TAR FIN'!$A$1:$O$85,15,0)),0,VLOOKUP($T$840,'TAR FIN'!$A$1:$O$85,15,0))</f>
        <v>285.89</v>
      </c>
      <c r="X840" s="6">
        <f>IF(ISERROR(VLOOKUP($U$840,'TAR FIN'!$A$1:$O$85,15,0)),0,VLOOKUP($U$840,'TAR FIN'!$A$1:$O$85,15,0))</f>
        <v>283.83999999999997</v>
      </c>
      <c r="Y840" s="6"/>
      <c r="Z840" s="6">
        <f ca="1">('TUSD BE'!$AM$33+'TUSD BF'!$AM$33+'TUSD CVA'!$AM$33)*(1-CUSTOS!$M$38)</f>
        <v>408.71492269690788</v>
      </c>
      <c r="AA840" s="6">
        <f>('TE BE'!$AB$23+'TE BF'!$AB$23+'TE CVA'!$AB$23)*(1-CUSTOS!$M$38)</f>
        <v>300.75684149176499</v>
      </c>
      <c r="AB840" s="6">
        <f>$K$840*$V$840</f>
        <v>0</v>
      </c>
      <c r="AC840" s="6">
        <f>$M$840*$W$840</f>
        <v>28.588999999999999</v>
      </c>
      <c r="AD840" s="6">
        <f>$O$840*$X$840</f>
        <v>28.384</v>
      </c>
      <c r="AE840" s="6">
        <f>$K$840*$Y$840</f>
        <v>0</v>
      </c>
      <c r="AF840" s="6">
        <f ca="1">$M$840*$Z$840</f>
        <v>40.871492269690791</v>
      </c>
      <c r="AG840" s="6">
        <f>$O$840*$AA$840</f>
        <v>30.075684149176499</v>
      </c>
    </row>
    <row r="841" spans="1:33" ht="11.25" customHeight="1" x14ac:dyDescent="0.25">
      <c r="A841" s="4" t="s">
        <v>21</v>
      </c>
      <c r="B841" s="4" t="s">
        <v>43</v>
      </c>
      <c r="C841" s="4" t="s">
        <v>23</v>
      </c>
      <c r="D841" s="4" t="s">
        <v>44</v>
      </c>
      <c r="E841" s="4" t="s">
        <v>52</v>
      </c>
      <c r="F841" s="4" t="s">
        <v>53</v>
      </c>
      <c r="G841" s="4" t="s">
        <v>25</v>
      </c>
      <c r="H841" s="4" t="s">
        <v>25</v>
      </c>
      <c r="I841" s="5">
        <v>44652</v>
      </c>
      <c r="J841" s="6">
        <v>0</v>
      </c>
      <c r="K841" s="6">
        <v>0</v>
      </c>
      <c r="L841" s="6">
        <v>2171.328</v>
      </c>
      <c r="M841" s="6">
        <v>2171.328</v>
      </c>
      <c r="N841" s="6">
        <v>2171.328</v>
      </c>
      <c r="O841" s="6">
        <v>2171.328</v>
      </c>
      <c r="P841" s="6">
        <v>0</v>
      </c>
      <c r="Q841" s="4" t="s">
        <v>26</v>
      </c>
      <c r="R841" s="4">
        <v>0</v>
      </c>
      <c r="S841" s="6">
        <v>0</v>
      </c>
      <c r="T841" s="6">
        <v>29</v>
      </c>
      <c r="U841" s="6">
        <v>66</v>
      </c>
      <c r="V841" s="6">
        <f>IF(ISERROR(VLOOKUP($S$841,'TAR FIN'!$A$1:$O$85,15,0)),0,VLOOKUP($S$841,'TAR FIN'!$A$1:$O$85,15,0))</f>
        <v>0</v>
      </c>
      <c r="W841" s="6">
        <f>IF(ISERROR(VLOOKUP($T$841,'TAR FIN'!$A$1:$O$85,15,0)),0,VLOOKUP($T$841,'TAR FIN'!$A$1:$O$85,15,0))</f>
        <v>285.89</v>
      </c>
      <c r="X841" s="6">
        <f>IF(ISERROR(VLOOKUP($U$841,'TAR FIN'!$A$1:$O$85,15,0)),0,VLOOKUP($U$841,'TAR FIN'!$A$1:$O$85,15,0))</f>
        <v>283.83999999999997</v>
      </c>
      <c r="Y841" s="6"/>
      <c r="Z841" s="6">
        <f ca="1">('TUSD BE'!$AM$33+'TUSD BF'!$AM$33+'TUSD CVA'!$AM$33)*(1-CUSTOS!$M$38)</f>
        <v>408.71492269690788</v>
      </c>
      <c r="AA841" s="6">
        <f>('TE BE'!$AB$23+'TE BF'!$AB$23+'TE CVA'!$AB$23)*(1-CUSTOS!$M$38)</f>
        <v>300.75684149176499</v>
      </c>
      <c r="AB841" s="6">
        <f>$K$841*$V$841</f>
        <v>0</v>
      </c>
      <c r="AC841" s="6">
        <f>$M$841*$W$841</f>
        <v>620760.96191999991</v>
      </c>
      <c r="AD841" s="6">
        <f>$O$841*$X$841</f>
        <v>616309.73951999994</v>
      </c>
      <c r="AE841" s="6">
        <f>$K$841*$Y$841</f>
        <v>0</v>
      </c>
      <c r="AF841" s="6">
        <f ca="1">$M$841*$Z$841</f>
        <v>887454.15566963155</v>
      </c>
      <c r="AG841" s="6">
        <f>$O$841*$AA$841</f>
        <v>653041.75112263113</v>
      </c>
    </row>
    <row r="842" spans="1:33" ht="11.25" customHeight="1" x14ac:dyDescent="0.25">
      <c r="A842" s="4" t="s">
        <v>27</v>
      </c>
      <c r="B842" s="4" t="s">
        <v>43</v>
      </c>
      <c r="C842" s="4" t="s">
        <v>23</v>
      </c>
      <c r="D842" s="4" t="s">
        <v>44</v>
      </c>
      <c r="E842" s="4" t="s">
        <v>52</v>
      </c>
      <c r="F842" s="4" t="s">
        <v>53</v>
      </c>
      <c r="G842" s="4" t="s">
        <v>25</v>
      </c>
      <c r="H842" s="4" t="s">
        <v>25</v>
      </c>
      <c r="I842" s="5">
        <v>44652</v>
      </c>
      <c r="J842" s="6">
        <v>0</v>
      </c>
      <c r="K842" s="6">
        <v>0</v>
      </c>
      <c r="L842" s="6">
        <v>-1.71</v>
      </c>
      <c r="M842" s="6">
        <v>-1.71</v>
      </c>
      <c r="N842" s="6">
        <v>-1.71</v>
      </c>
      <c r="O842" s="6">
        <v>-1.71</v>
      </c>
      <c r="P842" s="6">
        <v>0</v>
      </c>
      <c r="Q842" s="4" t="s">
        <v>26</v>
      </c>
      <c r="R842" s="4">
        <v>0</v>
      </c>
      <c r="S842" s="6">
        <v>0</v>
      </c>
      <c r="T842" s="6">
        <v>29</v>
      </c>
      <c r="U842" s="6">
        <v>66</v>
      </c>
      <c r="V842" s="6">
        <f>IF(ISERROR(VLOOKUP($S$842,'TAR FIN'!$A$1:$O$85,15,0)),0,VLOOKUP($S$842,'TAR FIN'!$A$1:$O$85,15,0))</f>
        <v>0</v>
      </c>
      <c r="W842" s="6">
        <f>IF(ISERROR(VLOOKUP($T$842,'TAR FIN'!$A$1:$O$85,15,0)),0,VLOOKUP($T$842,'TAR FIN'!$A$1:$O$85,15,0))</f>
        <v>285.89</v>
      </c>
      <c r="X842" s="6">
        <f>IF(ISERROR(VLOOKUP($U$842,'TAR FIN'!$A$1:$O$85,15,0)),0,VLOOKUP($U$842,'TAR FIN'!$A$1:$O$85,15,0))</f>
        <v>283.83999999999997</v>
      </c>
      <c r="Y842" s="6"/>
      <c r="Z842" s="6">
        <f ca="1">('TUSD BE'!$AM$33+'TUSD BF'!$AM$33+'TUSD CVA'!$AM$33)*(1-CUSTOS!$M$38)</f>
        <v>408.71492269690788</v>
      </c>
      <c r="AA842" s="6">
        <f>('TE BE'!$AB$23+'TE BF'!$AB$23+'TE CVA'!$AB$23)*(1-CUSTOS!$M$38)</f>
        <v>300.75684149176499</v>
      </c>
      <c r="AB842" s="6">
        <f>$K$842*$V$842</f>
        <v>0</v>
      </c>
      <c r="AC842" s="6">
        <f>$M$842*$W$842</f>
        <v>-488.87189999999998</v>
      </c>
      <c r="AD842" s="6">
        <f>$O$842*$X$842</f>
        <v>-485.36639999999994</v>
      </c>
      <c r="AE842" s="6">
        <f>$K$842*$Y$842</f>
        <v>0</v>
      </c>
      <c r="AF842" s="6">
        <f ca="1">$M$842*$Z$842</f>
        <v>-698.90251781171241</v>
      </c>
      <c r="AG842" s="6">
        <f>$O$842*$AA$842</f>
        <v>-514.29419895091814</v>
      </c>
    </row>
    <row r="843" spans="1:33" ht="11.25" customHeight="1" x14ac:dyDescent="0.25">
      <c r="A843" s="4" t="s">
        <v>28</v>
      </c>
      <c r="B843" s="4" t="s">
        <v>43</v>
      </c>
      <c r="C843" s="4" t="s">
        <v>23</v>
      </c>
      <c r="D843" s="4" t="s">
        <v>44</v>
      </c>
      <c r="E843" s="4" t="s">
        <v>52</v>
      </c>
      <c r="F843" s="4" t="s">
        <v>53</v>
      </c>
      <c r="G843" s="4" t="s">
        <v>25</v>
      </c>
      <c r="H843" s="4" t="s">
        <v>25</v>
      </c>
      <c r="I843" s="5">
        <v>44652</v>
      </c>
      <c r="J843" s="6">
        <v>0</v>
      </c>
      <c r="K843" s="6">
        <v>0</v>
      </c>
      <c r="L843" s="6">
        <v>17.768000000000001</v>
      </c>
      <c r="M843" s="6">
        <v>17.768000000000001</v>
      </c>
      <c r="N843" s="6">
        <v>17.768000000000001</v>
      </c>
      <c r="O843" s="6">
        <v>17.768000000000001</v>
      </c>
      <c r="P843" s="6">
        <v>0</v>
      </c>
      <c r="Q843" s="4" t="s">
        <v>26</v>
      </c>
      <c r="R843" s="4">
        <v>0</v>
      </c>
      <c r="S843" s="6">
        <v>0</v>
      </c>
      <c r="T843" s="6">
        <v>29</v>
      </c>
      <c r="U843" s="6">
        <v>66</v>
      </c>
      <c r="V843" s="6">
        <f>IF(ISERROR(VLOOKUP($S$843,'TAR FIN'!$A$1:$O$85,15,0)),0,VLOOKUP($S$843,'TAR FIN'!$A$1:$O$85,15,0))</f>
        <v>0</v>
      </c>
      <c r="W843" s="6">
        <f>IF(ISERROR(VLOOKUP($T$843,'TAR FIN'!$A$1:$O$85,15,0)),0,VLOOKUP($T$843,'TAR FIN'!$A$1:$O$85,15,0))</f>
        <v>285.89</v>
      </c>
      <c r="X843" s="6">
        <f>IF(ISERROR(VLOOKUP($U$843,'TAR FIN'!$A$1:$O$85,15,0)),0,VLOOKUP($U$843,'TAR FIN'!$A$1:$O$85,15,0))</f>
        <v>283.83999999999997</v>
      </c>
      <c r="Y843" s="6"/>
      <c r="Z843" s="6">
        <f ca="1">('TUSD BE'!$AM$33+'TUSD BF'!$AM$33+'TUSD CVA'!$AM$33)*(1-CUSTOS!$M$38)</f>
        <v>408.71492269690788</v>
      </c>
      <c r="AA843" s="6">
        <f>('TE BE'!$AB$23+'TE BF'!$AB$23+'TE CVA'!$AB$23)*(1-CUSTOS!$M$38)</f>
        <v>300.75684149176499</v>
      </c>
      <c r="AB843" s="6">
        <f>$K$843*$V$843</f>
        <v>0</v>
      </c>
      <c r="AC843" s="6">
        <f>$M$843*$W$843</f>
        <v>5079.6935199999998</v>
      </c>
      <c r="AD843" s="6">
        <f>$O$843*$X$843</f>
        <v>5043.2691199999999</v>
      </c>
      <c r="AE843" s="6">
        <f>$K$843*$Y$843</f>
        <v>0</v>
      </c>
      <c r="AF843" s="6">
        <f ca="1">$M$843*$Z$843</f>
        <v>7262.0467464786598</v>
      </c>
      <c r="AG843" s="6">
        <f>$O$843*$AA$843</f>
        <v>5343.8475596256803</v>
      </c>
    </row>
    <row r="844" spans="1:33" ht="11.25" customHeight="1" x14ac:dyDescent="0.25">
      <c r="A844" s="4" t="s">
        <v>21</v>
      </c>
      <c r="B844" s="4" t="s">
        <v>43</v>
      </c>
      <c r="C844" s="4" t="s">
        <v>23</v>
      </c>
      <c r="D844" s="4" t="s">
        <v>44</v>
      </c>
      <c r="E844" s="4" t="s">
        <v>52</v>
      </c>
      <c r="F844" s="4" t="s">
        <v>53</v>
      </c>
      <c r="G844" s="4" t="s">
        <v>25</v>
      </c>
      <c r="H844" s="4" t="s">
        <v>25</v>
      </c>
      <c r="I844" s="5">
        <v>44682</v>
      </c>
      <c r="J844" s="6">
        <v>0</v>
      </c>
      <c r="K844" s="6">
        <v>0</v>
      </c>
      <c r="L844" s="6">
        <v>3103.2150000000001</v>
      </c>
      <c r="M844" s="6">
        <v>3103.2150000000001</v>
      </c>
      <c r="N844" s="6">
        <v>3103.2150000000001</v>
      </c>
      <c r="O844" s="6">
        <v>3103.2150000000001</v>
      </c>
      <c r="P844" s="6">
        <v>0</v>
      </c>
      <c r="Q844" s="4" t="s">
        <v>26</v>
      </c>
      <c r="R844" s="4">
        <v>0</v>
      </c>
      <c r="S844" s="6">
        <v>0</v>
      </c>
      <c r="T844" s="6">
        <v>29</v>
      </c>
      <c r="U844" s="6">
        <v>66</v>
      </c>
      <c r="V844" s="6">
        <f>IF(ISERROR(VLOOKUP($S$844,'TAR FIN'!$A$1:$O$85,15,0)),0,VLOOKUP($S$844,'TAR FIN'!$A$1:$O$85,15,0))</f>
        <v>0</v>
      </c>
      <c r="W844" s="6">
        <f>IF(ISERROR(VLOOKUP($T$844,'TAR FIN'!$A$1:$O$85,15,0)),0,VLOOKUP($T$844,'TAR FIN'!$A$1:$O$85,15,0))</f>
        <v>285.89</v>
      </c>
      <c r="X844" s="6">
        <f>IF(ISERROR(VLOOKUP($U$844,'TAR FIN'!$A$1:$O$85,15,0)),0,VLOOKUP($U$844,'TAR FIN'!$A$1:$O$85,15,0))</f>
        <v>283.83999999999997</v>
      </c>
      <c r="Y844" s="6"/>
      <c r="Z844" s="6">
        <f ca="1">('TUSD BE'!$AM$33+'TUSD BF'!$AM$33+'TUSD CVA'!$AM$33)*(1-CUSTOS!$M$38)</f>
        <v>408.71492269690788</v>
      </c>
      <c r="AA844" s="6">
        <f>('TE BE'!$AB$23+'TE BF'!$AB$23+'TE CVA'!$AB$23)*(1-CUSTOS!$M$38)</f>
        <v>300.75684149176499</v>
      </c>
      <c r="AB844" s="6">
        <f>$K$844*$V$844</f>
        <v>0</v>
      </c>
      <c r="AC844" s="6">
        <f>$M$844*$W$844</f>
        <v>887178.13635000004</v>
      </c>
      <c r="AD844" s="6">
        <f>$O$844*$X$844</f>
        <v>880816.54559999995</v>
      </c>
      <c r="AE844" s="6">
        <f>$K$844*$Y$844</f>
        <v>0</v>
      </c>
      <c r="AF844" s="6">
        <f ca="1">$M$844*$Z$844</f>
        <v>1268330.278836885</v>
      </c>
      <c r="AG844" s="6">
        <f>$O$844*$AA$844</f>
        <v>933313.14186986757</v>
      </c>
    </row>
    <row r="845" spans="1:33" ht="11.25" customHeight="1" x14ac:dyDescent="0.25">
      <c r="A845" s="4" t="s">
        <v>27</v>
      </c>
      <c r="B845" s="4" t="s">
        <v>43</v>
      </c>
      <c r="C845" s="4" t="s">
        <v>23</v>
      </c>
      <c r="D845" s="4" t="s">
        <v>44</v>
      </c>
      <c r="E845" s="4" t="s">
        <v>52</v>
      </c>
      <c r="F845" s="4" t="s">
        <v>53</v>
      </c>
      <c r="G845" s="4" t="s">
        <v>25</v>
      </c>
      <c r="H845" s="4" t="s">
        <v>25</v>
      </c>
      <c r="I845" s="5">
        <v>44682</v>
      </c>
      <c r="J845" s="6">
        <v>0</v>
      </c>
      <c r="K845" s="6">
        <v>0</v>
      </c>
      <c r="L845" s="6">
        <v>-3.7570000000000001</v>
      </c>
      <c r="M845" s="6">
        <v>-3.7570000000000001</v>
      </c>
      <c r="N845" s="6">
        <v>-3.7570000000000001</v>
      </c>
      <c r="O845" s="6">
        <v>-3.7570000000000001</v>
      </c>
      <c r="P845" s="6">
        <v>0</v>
      </c>
      <c r="Q845" s="4" t="s">
        <v>26</v>
      </c>
      <c r="R845" s="4">
        <v>0</v>
      </c>
      <c r="S845" s="6">
        <v>0</v>
      </c>
      <c r="T845" s="6">
        <v>29</v>
      </c>
      <c r="U845" s="6">
        <v>66</v>
      </c>
      <c r="V845" s="6">
        <f>IF(ISERROR(VLOOKUP($S$845,'TAR FIN'!$A$1:$O$85,15,0)),0,VLOOKUP($S$845,'TAR FIN'!$A$1:$O$85,15,0))</f>
        <v>0</v>
      </c>
      <c r="W845" s="6">
        <f>IF(ISERROR(VLOOKUP($T$845,'TAR FIN'!$A$1:$O$85,15,0)),0,VLOOKUP($T$845,'TAR FIN'!$A$1:$O$85,15,0))</f>
        <v>285.89</v>
      </c>
      <c r="X845" s="6">
        <f>IF(ISERROR(VLOOKUP($U$845,'TAR FIN'!$A$1:$O$85,15,0)),0,VLOOKUP($U$845,'TAR FIN'!$A$1:$O$85,15,0))</f>
        <v>283.83999999999997</v>
      </c>
      <c r="Y845" s="6"/>
      <c r="Z845" s="6">
        <f ca="1">('TUSD BE'!$AM$33+'TUSD BF'!$AM$33+'TUSD CVA'!$AM$33)*(1-CUSTOS!$M$38)</f>
        <v>408.71492269690788</v>
      </c>
      <c r="AA845" s="6">
        <f>('TE BE'!$AB$23+'TE BF'!$AB$23+'TE CVA'!$AB$23)*(1-CUSTOS!$M$38)</f>
        <v>300.75684149176499</v>
      </c>
      <c r="AB845" s="6">
        <f>$K$845*$V$845</f>
        <v>0</v>
      </c>
      <c r="AC845" s="6">
        <f>$M$845*$W$845</f>
        <v>-1074.0887299999999</v>
      </c>
      <c r="AD845" s="6">
        <f>$O$845*$X$845</f>
        <v>-1066.38688</v>
      </c>
      <c r="AE845" s="6">
        <f>$K$845*$Y$845</f>
        <v>0</v>
      </c>
      <c r="AF845" s="6">
        <f ca="1">$M$845*$Z$845</f>
        <v>-1535.541964572283</v>
      </c>
      <c r="AG845" s="6">
        <f>$O$845*$AA$845</f>
        <v>-1129.9434534845611</v>
      </c>
    </row>
    <row r="846" spans="1:33" ht="11.25" customHeight="1" x14ac:dyDescent="0.25">
      <c r="A846" s="4" t="s">
        <v>28</v>
      </c>
      <c r="B846" s="4" t="s">
        <v>43</v>
      </c>
      <c r="C846" s="4" t="s">
        <v>23</v>
      </c>
      <c r="D846" s="4" t="s">
        <v>44</v>
      </c>
      <c r="E846" s="4" t="s">
        <v>52</v>
      </c>
      <c r="F846" s="4" t="s">
        <v>53</v>
      </c>
      <c r="G846" s="4" t="s">
        <v>25</v>
      </c>
      <c r="H846" s="4" t="s">
        <v>25</v>
      </c>
      <c r="I846" s="5">
        <v>44682</v>
      </c>
      <c r="J846" s="6">
        <v>0</v>
      </c>
      <c r="K846" s="6">
        <v>0</v>
      </c>
      <c r="L846" s="6">
        <v>28.504999999999999</v>
      </c>
      <c r="M846" s="6">
        <v>28.504999999999999</v>
      </c>
      <c r="N846" s="6">
        <v>28.504999999999999</v>
      </c>
      <c r="O846" s="6">
        <v>28.504999999999999</v>
      </c>
      <c r="P846" s="6">
        <v>0</v>
      </c>
      <c r="Q846" s="4" t="s">
        <v>26</v>
      </c>
      <c r="R846" s="4">
        <v>0</v>
      </c>
      <c r="S846" s="6">
        <v>0</v>
      </c>
      <c r="T846" s="6">
        <v>29</v>
      </c>
      <c r="U846" s="6">
        <v>66</v>
      </c>
      <c r="V846" s="6">
        <f>IF(ISERROR(VLOOKUP($S$846,'TAR FIN'!$A$1:$O$85,15,0)),0,VLOOKUP($S$846,'TAR FIN'!$A$1:$O$85,15,0))</f>
        <v>0</v>
      </c>
      <c r="W846" s="6">
        <f>IF(ISERROR(VLOOKUP($T$846,'TAR FIN'!$A$1:$O$85,15,0)),0,VLOOKUP($T$846,'TAR FIN'!$A$1:$O$85,15,0))</f>
        <v>285.89</v>
      </c>
      <c r="X846" s="6">
        <f>IF(ISERROR(VLOOKUP($U$846,'TAR FIN'!$A$1:$O$85,15,0)),0,VLOOKUP($U$846,'TAR FIN'!$A$1:$O$85,15,0))</f>
        <v>283.83999999999997</v>
      </c>
      <c r="Y846" s="6"/>
      <c r="Z846" s="6">
        <f ca="1">('TUSD BE'!$AM$33+'TUSD BF'!$AM$33+'TUSD CVA'!$AM$33)*(1-CUSTOS!$M$38)</f>
        <v>408.71492269690788</v>
      </c>
      <c r="AA846" s="6">
        <f>('TE BE'!$AB$23+'TE BF'!$AB$23+'TE CVA'!$AB$23)*(1-CUSTOS!$M$38)</f>
        <v>300.75684149176499</v>
      </c>
      <c r="AB846" s="6">
        <f>$K$846*$V$846</f>
        <v>0</v>
      </c>
      <c r="AC846" s="6">
        <f>$M$846*$W$846</f>
        <v>8149.2944499999994</v>
      </c>
      <c r="AD846" s="6">
        <f>$O$846*$X$846</f>
        <v>8090.859199999999</v>
      </c>
      <c r="AE846" s="6">
        <f>$K$846*$Y$846</f>
        <v>0</v>
      </c>
      <c r="AF846" s="6">
        <f ca="1">$M$846*$Z$846</f>
        <v>11650.418871475358</v>
      </c>
      <c r="AG846" s="6">
        <f>$O$846*$AA$846</f>
        <v>8573.0737667227604</v>
      </c>
    </row>
    <row r="847" spans="1:33" ht="11.25" customHeight="1" x14ac:dyDescent="0.25">
      <c r="A847" s="4" t="s">
        <v>21</v>
      </c>
      <c r="B847" s="4" t="s">
        <v>43</v>
      </c>
      <c r="C847" s="4" t="s">
        <v>23</v>
      </c>
      <c r="D847" s="4" t="s">
        <v>44</v>
      </c>
      <c r="E847" s="4" t="s">
        <v>52</v>
      </c>
      <c r="F847" s="4" t="s">
        <v>53</v>
      </c>
      <c r="G847" s="4" t="s">
        <v>25</v>
      </c>
      <c r="H847" s="4" t="s">
        <v>25</v>
      </c>
      <c r="I847" s="5">
        <v>44713</v>
      </c>
      <c r="J847" s="6">
        <v>0</v>
      </c>
      <c r="K847" s="6">
        <v>0</v>
      </c>
      <c r="L847" s="6">
        <v>2082.3110000000001</v>
      </c>
      <c r="M847" s="6">
        <v>2082.3110000000001</v>
      </c>
      <c r="N847" s="6">
        <v>2082.3110000000001</v>
      </c>
      <c r="O847" s="6">
        <v>2082.3110000000001</v>
      </c>
      <c r="P847" s="6">
        <v>0</v>
      </c>
      <c r="Q847" s="4" t="s">
        <v>26</v>
      </c>
      <c r="R847" s="4">
        <v>0</v>
      </c>
      <c r="S847" s="6">
        <v>0</v>
      </c>
      <c r="T847" s="6">
        <v>29</v>
      </c>
      <c r="U847" s="6">
        <v>66</v>
      </c>
      <c r="V847" s="6">
        <f>IF(ISERROR(VLOOKUP($S$847,'TAR FIN'!$A$1:$O$85,15,0)),0,VLOOKUP($S$847,'TAR FIN'!$A$1:$O$85,15,0))</f>
        <v>0</v>
      </c>
      <c r="W847" s="6">
        <f>IF(ISERROR(VLOOKUP($T$847,'TAR FIN'!$A$1:$O$85,15,0)),0,VLOOKUP($T$847,'TAR FIN'!$A$1:$O$85,15,0))</f>
        <v>285.89</v>
      </c>
      <c r="X847" s="6">
        <f>IF(ISERROR(VLOOKUP($U$847,'TAR FIN'!$A$1:$O$85,15,0)),0,VLOOKUP($U$847,'TAR FIN'!$A$1:$O$85,15,0))</f>
        <v>283.83999999999997</v>
      </c>
      <c r="Y847" s="6"/>
      <c r="Z847" s="6">
        <f ca="1">('TUSD BE'!$AM$33+'TUSD BF'!$AM$33+'TUSD CVA'!$AM$33)*(1-CUSTOS!$M$38)</f>
        <v>408.71492269690788</v>
      </c>
      <c r="AA847" s="6">
        <f>('TE BE'!$AB$23+'TE BF'!$AB$23+'TE CVA'!$AB$23)*(1-CUSTOS!$M$38)</f>
        <v>300.75684149176499</v>
      </c>
      <c r="AB847" s="6">
        <f>$K$847*$V$847</f>
        <v>0</v>
      </c>
      <c r="AC847" s="6">
        <f>$M$847*$W$847</f>
        <v>595311.89179000002</v>
      </c>
      <c r="AD847" s="6">
        <f>$O$847*$X$847</f>
        <v>591043.15423999995</v>
      </c>
      <c r="AE847" s="6">
        <f>$K$847*$Y$847</f>
        <v>0</v>
      </c>
      <c r="AF847" s="6">
        <f ca="1">$M$847*$Z$847</f>
        <v>851071.57939592097</v>
      </c>
      <c r="AG847" s="6">
        <f>$O$847*$AA$847</f>
        <v>626269.27936355874</v>
      </c>
    </row>
    <row r="848" spans="1:33" ht="11.25" customHeight="1" x14ac:dyDescent="0.25">
      <c r="A848" s="4" t="s">
        <v>27</v>
      </c>
      <c r="B848" s="4" t="s">
        <v>43</v>
      </c>
      <c r="C848" s="4" t="s">
        <v>23</v>
      </c>
      <c r="D848" s="4" t="s">
        <v>44</v>
      </c>
      <c r="E848" s="4" t="s">
        <v>52</v>
      </c>
      <c r="F848" s="4" t="s">
        <v>53</v>
      </c>
      <c r="G848" s="4" t="s">
        <v>25</v>
      </c>
      <c r="H848" s="4" t="s">
        <v>25</v>
      </c>
      <c r="I848" s="5">
        <v>44713</v>
      </c>
      <c r="J848" s="6">
        <v>0</v>
      </c>
      <c r="K848" s="6">
        <v>0</v>
      </c>
      <c r="L848" s="6">
        <v>0.105</v>
      </c>
      <c r="M848" s="6">
        <v>0.105</v>
      </c>
      <c r="N848" s="6">
        <v>0.105</v>
      </c>
      <c r="O848" s="6">
        <v>0.105</v>
      </c>
      <c r="P848" s="6">
        <v>0</v>
      </c>
      <c r="Q848" s="4" t="s">
        <v>26</v>
      </c>
      <c r="R848" s="4">
        <v>0</v>
      </c>
      <c r="S848" s="6">
        <v>0</v>
      </c>
      <c r="T848" s="6">
        <v>29</v>
      </c>
      <c r="U848" s="6">
        <v>66</v>
      </c>
      <c r="V848" s="6">
        <f>IF(ISERROR(VLOOKUP($S$848,'TAR FIN'!$A$1:$O$85,15,0)),0,VLOOKUP($S$848,'TAR FIN'!$A$1:$O$85,15,0))</f>
        <v>0</v>
      </c>
      <c r="W848" s="6">
        <f>IF(ISERROR(VLOOKUP($T$848,'TAR FIN'!$A$1:$O$85,15,0)),0,VLOOKUP($T$848,'TAR FIN'!$A$1:$O$85,15,0))</f>
        <v>285.89</v>
      </c>
      <c r="X848" s="6">
        <f>IF(ISERROR(VLOOKUP($U$848,'TAR FIN'!$A$1:$O$85,15,0)),0,VLOOKUP($U$848,'TAR FIN'!$A$1:$O$85,15,0))</f>
        <v>283.83999999999997</v>
      </c>
      <c r="Y848" s="6"/>
      <c r="Z848" s="6">
        <f ca="1">('TUSD BE'!$AM$33+'TUSD BF'!$AM$33+'TUSD CVA'!$AM$33)*(1-CUSTOS!$M$38)</f>
        <v>408.71492269690788</v>
      </c>
      <c r="AA848" s="6">
        <f>('TE BE'!$AB$23+'TE BF'!$AB$23+'TE CVA'!$AB$23)*(1-CUSTOS!$M$38)</f>
        <v>300.75684149176499</v>
      </c>
      <c r="AB848" s="6">
        <f>$K$848*$V$848</f>
        <v>0</v>
      </c>
      <c r="AC848" s="6">
        <f>$M$848*$W$848</f>
        <v>30.018449999999998</v>
      </c>
      <c r="AD848" s="6">
        <f>$O$848*$X$848</f>
        <v>29.803199999999997</v>
      </c>
      <c r="AE848" s="6">
        <f>$K$848*$Y$848</f>
        <v>0</v>
      </c>
      <c r="AF848" s="6">
        <f ca="1">$M$848*$Z$848</f>
        <v>42.915066883175328</v>
      </c>
      <c r="AG848" s="6">
        <f>$O$848*$AA$848</f>
        <v>31.579468356635324</v>
      </c>
    </row>
    <row r="849" spans="1:33" ht="11.25" customHeight="1" x14ac:dyDescent="0.25">
      <c r="A849" s="4" t="s">
        <v>28</v>
      </c>
      <c r="B849" s="4" t="s">
        <v>43</v>
      </c>
      <c r="C849" s="4" t="s">
        <v>23</v>
      </c>
      <c r="D849" s="4" t="s">
        <v>44</v>
      </c>
      <c r="E849" s="4" t="s">
        <v>52</v>
      </c>
      <c r="F849" s="4" t="s">
        <v>53</v>
      </c>
      <c r="G849" s="4" t="s">
        <v>25</v>
      </c>
      <c r="H849" s="4" t="s">
        <v>25</v>
      </c>
      <c r="I849" s="5">
        <v>44713</v>
      </c>
      <c r="J849" s="6">
        <v>0</v>
      </c>
      <c r="K849" s="6">
        <v>0</v>
      </c>
      <c r="L849" s="6">
        <v>19.702999999999999</v>
      </c>
      <c r="M849" s="6">
        <v>19.702999999999999</v>
      </c>
      <c r="N849" s="6">
        <v>19.702999999999999</v>
      </c>
      <c r="O849" s="6">
        <v>19.702999999999999</v>
      </c>
      <c r="P849" s="6">
        <v>0</v>
      </c>
      <c r="Q849" s="4" t="s">
        <v>26</v>
      </c>
      <c r="R849" s="4">
        <v>0</v>
      </c>
      <c r="S849" s="6">
        <v>0</v>
      </c>
      <c r="T849" s="6">
        <v>29</v>
      </c>
      <c r="U849" s="6">
        <v>66</v>
      </c>
      <c r="V849" s="6">
        <f>IF(ISERROR(VLOOKUP($S$849,'TAR FIN'!$A$1:$O$85,15,0)),0,VLOOKUP($S$849,'TAR FIN'!$A$1:$O$85,15,0))</f>
        <v>0</v>
      </c>
      <c r="W849" s="6">
        <f>IF(ISERROR(VLOOKUP($T$849,'TAR FIN'!$A$1:$O$85,15,0)),0,VLOOKUP($T$849,'TAR FIN'!$A$1:$O$85,15,0))</f>
        <v>285.89</v>
      </c>
      <c r="X849" s="6">
        <f>IF(ISERROR(VLOOKUP($U$849,'TAR FIN'!$A$1:$O$85,15,0)),0,VLOOKUP($U$849,'TAR FIN'!$A$1:$O$85,15,0))</f>
        <v>283.83999999999997</v>
      </c>
      <c r="Y849" s="6"/>
      <c r="Z849" s="6">
        <f ca="1">('TUSD BE'!$AM$33+'TUSD BF'!$AM$33+'TUSD CVA'!$AM$33)*(1-CUSTOS!$M$38)</f>
        <v>408.71492269690788</v>
      </c>
      <c r="AA849" s="6">
        <f>('TE BE'!$AB$23+'TE BF'!$AB$23+'TE CVA'!$AB$23)*(1-CUSTOS!$M$38)</f>
        <v>300.75684149176499</v>
      </c>
      <c r="AB849" s="6">
        <f>$K$849*$V$849</f>
        <v>0</v>
      </c>
      <c r="AC849" s="6">
        <f>$M$849*$W$849</f>
        <v>5632.8906699999998</v>
      </c>
      <c r="AD849" s="6">
        <f>$O$849*$X$849</f>
        <v>5592.4995199999994</v>
      </c>
      <c r="AE849" s="6">
        <f>$K$849*$Y$849</f>
        <v>0</v>
      </c>
      <c r="AF849" s="6">
        <f ca="1">$M$849*$Z$849</f>
        <v>8052.9101218971755</v>
      </c>
      <c r="AG849" s="6">
        <f>$O$849*$AA$849</f>
        <v>5925.8120479122454</v>
      </c>
    </row>
    <row r="850" spans="1:33" ht="11.25" customHeight="1" x14ac:dyDescent="0.25">
      <c r="A850" s="4" t="s">
        <v>21</v>
      </c>
      <c r="B850" s="4" t="s">
        <v>43</v>
      </c>
      <c r="C850" s="4" t="s">
        <v>23</v>
      </c>
      <c r="D850" s="4" t="s">
        <v>44</v>
      </c>
      <c r="E850" s="4" t="s">
        <v>52</v>
      </c>
      <c r="F850" s="4" t="s">
        <v>53</v>
      </c>
      <c r="G850" s="4" t="s">
        <v>25</v>
      </c>
      <c r="H850" s="4" t="s">
        <v>25</v>
      </c>
      <c r="I850" s="5">
        <v>44743</v>
      </c>
      <c r="J850" s="6">
        <v>0</v>
      </c>
      <c r="K850" s="6">
        <v>0</v>
      </c>
      <c r="L850" s="6">
        <v>2441.4639999999999</v>
      </c>
      <c r="M850" s="6">
        <v>2441.4639999999999</v>
      </c>
      <c r="N850" s="6">
        <v>2441.4639999999999</v>
      </c>
      <c r="O850" s="6">
        <v>2441.4639999999999</v>
      </c>
      <c r="P850" s="6">
        <v>0</v>
      </c>
      <c r="Q850" s="4" t="s">
        <v>26</v>
      </c>
      <c r="R850" s="4">
        <v>0</v>
      </c>
      <c r="S850" s="6">
        <v>0</v>
      </c>
      <c r="T850" s="6">
        <v>29</v>
      </c>
      <c r="U850" s="6">
        <v>66</v>
      </c>
      <c r="V850" s="6">
        <f>IF(ISERROR(VLOOKUP($S$850,'TAR FIN'!$A$1:$O$85,15,0)),0,VLOOKUP($S$850,'TAR FIN'!$A$1:$O$85,15,0))</f>
        <v>0</v>
      </c>
      <c r="W850" s="6">
        <f>IF(ISERROR(VLOOKUP($T$850,'TAR FIN'!$A$1:$O$85,15,0)),0,VLOOKUP($T$850,'TAR FIN'!$A$1:$O$85,15,0))</f>
        <v>285.89</v>
      </c>
      <c r="X850" s="6">
        <f>IF(ISERROR(VLOOKUP($U$850,'TAR FIN'!$A$1:$O$85,15,0)),0,VLOOKUP($U$850,'TAR FIN'!$A$1:$O$85,15,0))</f>
        <v>283.83999999999997</v>
      </c>
      <c r="Y850" s="6"/>
      <c r="Z850" s="6">
        <f ca="1">('TUSD BE'!$AM$33+'TUSD BF'!$AM$33+'TUSD CVA'!$AM$33)*(1-CUSTOS!$M$38)</f>
        <v>408.71492269690788</v>
      </c>
      <c r="AA850" s="6">
        <f>('TE BE'!$AB$23+'TE BF'!$AB$23+'TE CVA'!$AB$23)*(1-CUSTOS!$M$38)</f>
        <v>300.75684149176499</v>
      </c>
      <c r="AB850" s="6">
        <f>$K$850*$V$850</f>
        <v>0</v>
      </c>
      <c r="AC850" s="6">
        <f>$M$850*$W$850</f>
        <v>697990.14295999997</v>
      </c>
      <c r="AD850" s="6">
        <f>$O$850*$X$850</f>
        <v>692985.14175999991</v>
      </c>
      <c r="AE850" s="6">
        <f>$K$850*$Y$850</f>
        <v>0</v>
      </c>
      <c r="AF850" s="6">
        <f ca="1">$M$850*$Z$850</f>
        <v>997862.77002728346</v>
      </c>
      <c r="AG850" s="6">
        <f>$O$850*$AA$850</f>
        <v>734287.00125585054</v>
      </c>
    </row>
    <row r="851" spans="1:33" ht="11.25" customHeight="1" x14ac:dyDescent="0.25">
      <c r="A851" s="4" t="s">
        <v>27</v>
      </c>
      <c r="B851" s="4" t="s">
        <v>43</v>
      </c>
      <c r="C851" s="4" t="s">
        <v>23</v>
      </c>
      <c r="D851" s="4" t="s">
        <v>44</v>
      </c>
      <c r="E851" s="4" t="s">
        <v>52</v>
      </c>
      <c r="F851" s="4" t="s">
        <v>53</v>
      </c>
      <c r="G851" s="4" t="s">
        <v>25</v>
      </c>
      <c r="H851" s="4" t="s">
        <v>25</v>
      </c>
      <c r="I851" s="5">
        <v>44743</v>
      </c>
      <c r="J851" s="6">
        <v>0</v>
      </c>
      <c r="K851" s="6">
        <v>0</v>
      </c>
      <c r="L851" s="6">
        <v>-4.4029999999999996</v>
      </c>
      <c r="M851" s="6">
        <v>-4.4029999999999996</v>
      </c>
      <c r="N851" s="6">
        <v>-4.4029999999999996</v>
      </c>
      <c r="O851" s="6">
        <v>-4.4029999999999996</v>
      </c>
      <c r="P851" s="6">
        <v>0</v>
      </c>
      <c r="Q851" s="4" t="s">
        <v>26</v>
      </c>
      <c r="R851" s="4">
        <v>0</v>
      </c>
      <c r="S851" s="6">
        <v>0</v>
      </c>
      <c r="T851" s="6">
        <v>29</v>
      </c>
      <c r="U851" s="6">
        <v>66</v>
      </c>
      <c r="V851" s="6">
        <f>IF(ISERROR(VLOOKUP($S$851,'TAR FIN'!$A$1:$O$85,15,0)),0,VLOOKUP($S$851,'TAR FIN'!$A$1:$O$85,15,0))</f>
        <v>0</v>
      </c>
      <c r="W851" s="6">
        <f>IF(ISERROR(VLOOKUP($T$851,'TAR FIN'!$A$1:$O$85,15,0)),0,VLOOKUP($T$851,'TAR FIN'!$A$1:$O$85,15,0))</f>
        <v>285.89</v>
      </c>
      <c r="X851" s="6">
        <f>IF(ISERROR(VLOOKUP($U$851,'TAR FIN'!$A$1:$O$85,15,0)),0,VLOOKUP($U$851,'TAR FIN'!$A$1:$O$85,15,0))</f>
        <v>283.83999999999997</v>
      </c>
      <c r="Y851" s="6"/>
      <c r="Z851" s="6">
        <f ca="1">('TUSD BE'!$AM$33+'TUSD BF'!$AM$33+'TUSD CVA'!$AM$33)*(1-CUSTOS!$M$38)</f>
        <v>408.71492269690788</v>
      </c>
      <c r="AA851" s="6">
        <f>('TE BE'!$AB$23+'TE BF'!$AB$23+'TE CVA'!$AB$23)*(1-CUSTOS!$M$38)</f>
        <v>300.75684149176499</v>
      </c>
      <c r="AB851" s="6">
        <f>$K$851*$V$851</f>
        <v>0</v>
      </c>
      <c r="AC851" s="6">
        <f>$M$851*$W$851</f>
        <v>-1258.7736699999998</v>
      </c>
      <c r="AD851" s="6">
        <f>$O$851*$X$851</f>
        <v>-1249.7475199999997</v>
      </c>
      <c r="AE851" s="6">
        <f>$K$851*$Y$851</f>
        <v>0</v>
      </c>
      <c r="AF851" s="6">
        <f ca="1">$M$851*$Z$851</f>
        <v>-1799.5718046344853</v>
      </c>
      <c r="AG851" s="6">
        <f>$O$851*$AA$851</f>
        <v>-1324.232373088241</v>
      </c>
    </row>
    <row r="852" spans="1:33" ht="11.25" customHeight="1" x14ac:dyDescent="0.25">
      <c r="A852" s="4" t="s">
        <v>28</v>
      </c>
      <c r="B852" s="4" t="s">
        <v>43</v>
      </c>
      <c r="C852" s="4" t="s">
        <v>23</v>
      </c>
      <c r="D852" s="4" t="s">
        <v>44</v>
      </c>
      <c r="E852" s="4" t="s">
        <v>52</v>
      </c>
      <c r="F852" s="4" t="s">
        <v>53</v>
      </c>
      <c r="G852" s="4" t="s">
        <v>25</v>
      </c>
      <c r="H852" s="4" t="s">
        <v>25</v>
      </c>
      <c r="I852" s="5">
        <v>44743</v>
      </c>
      <c r="J852" s="6">
        <v>0</v>
      </c>
      <c r="K852" s="6">
        <v>0</v>
      </c>
      <c r="L852" s="6">
        <v>30.4</v>
      </c>
      <c r="M852" s="6">
        <v>30.4</v>
      </c>
      <c r="N852" s="6">
        <v>30.4</v>
      </c>
      <c r="O852" s="6">
        <v>30.4</v>
      </c>
      <c r="P852" s="6">
        <v>0</v>
      </c>
      <c r="Q852" s="4" t="s">
        <v>26</v>
      </c>
      <c r="R852" s="4">
        <v>0</v>
      </c>
      <c r="S852" s="6">
        <v>0</v>
      </c>
      <c r="T852" s="6">
        <v>29</v>
      </c>
      <c r="U852" s="6">
        <v>66</v>
      </c>
      <c r="V852" s="6">
        <f>IF(ISERROR(VLOOKUP($S$852,'TAR FIN'!$A$1:$O$85,15,0)),0,VLOOKUP($S$852,'TAR FIN'!$A$1:$O$85,15,0))</f>
        <v>0</v>
      </c>
      <c r="W852" s="6">
        <f>IF(ISERROR(VLOOKUP($T$852,'TAR FIN'!$A$1:$O$85,15,0)),0,VLOOKUP($T$852,'TAR FIN'!$A$1:$O$85,15,0))</f>
        <v>285.89</v>
      </c>
      <c r="X852" s="6">
        <f>IF(ISERROR(VLOOKUP($U$852,'TAR FIN'!$A$1:$O$85,15,0)),0,VLOOKUP($U$852,'TAR FIN'!$A$1:$O$85,15,0))</f>
        <v>283.83999999999997</v>
      </c>
      <c r="Y852" s="6"/>
      <c r="Z852" s="6">
        <f ca="1">('TUSD BE'!$AM$33+'TUSD BF'!$AM$33+'TUSD CVA'!$AM$33)*(1-CUSTOS!$M$38)</f>
        <v>408.71492269690788</v>
      </c>
      <c r="AA852" s="6">
        <f>('TE BE'!$AB$23+'TE BF'!$AB$23+'TE CVA'!$AB$23)*(1-CUSTOS!$M$38)</f>
        <v>300.75684149176499</v>
      </c>
      <c r="AB852" s="6">
        <f>$K$852*$V$852</f>
        <v>0</v>
      </c>
      <c r="AC852" s="6">
        <f>$M$852*$W$852</f>
        <v>8691.0559999999987</v>
      </c>
      <c r="AD852" s="6">
        <f>$O$852*$X$852</f>
        <v>8628.735999999999</v>
      </c>
      <c r="AE852" s="6">
        <f>$K$852*$Y$852</f>
        <v>0</v>
      </c>
      <c r="AF852" s="6">
        <f ca="1">$M$852*$Z$852</f>
        <v>12424.933649985998</v>
      </c>
      <c r="AG852" s="6">
        <f>$O$852*$AA$852</f>
        <v>9143.0079813496559</v>
      </c>
    </row>
    <row r="853" spans="1:33" ht="11.25" customHeight="1" x14ac:dyDescent="0.25">
      <c r="A853" s="4" t="s">
        <v>56</v>
      </c>
      <c r="B853" s="4" t="s">
        <v>43</v>
      </c>
      <c r="C853" s="4" t="s">
        <v>23</v>
      </c>
      <c r="D853" s="4" t="s">
        <v>44</v>
      </c>
      <c r="E853" s="4" t="s">
        <v>52</v>
      </c>
      <c r="F853" s="4" t="s">
        <v>53</v>
      </c>
      <c r="G853" s="4" t="s">
        <v>25</v>
      </c>
      <c r="H853" s="4" t="s">
        <v>25</v>
      </c>
      <c r="I853" s="5">
        <v>44774</v>
      </c>
      <c r="J853" s="6">
        <v>0</v>
      </c>
      <c r="K853" s="6">
        <v>0</v>
      </c>
      <c r="L853" s="6">
        <v>2441.4639999999999</v>
      </c>
      <c r="M853" s="6">
        <v>2441.4639999999999</v>
      </c>
      <c r="N853" s="6">
        <v>2441.4639999999999</v>
      </c>
      <c r="O853" s="6">
        <v>2441.4639999999999</v>
      </c>
      <c r="P853" s="6">
        <v>0</v>
      </c>
      <c r="Q853" s="4" t="s">
        <v>26</v>
      </c>
      <c r="R853" s="4">
        <v>0</v>
      </c>
      <c r="S853" s="6">
        <v>0</v>
      </c>
      <c r="T853" s="6">
        <v>29</v>
      </c>
      <c r="U853" s="6">
        <v>66</v>
      </c>
      <c r="V853" s="6">
        <f>IF(ISERROR(VLOOKUP($S$853,'TAR FIN'!$A$1:$O$85,15,0)),0,VLOOKUP($S$853,'TAR FIN'!$A$1:$O$85,15,0))</f>
        <v>0</v>
      </c>
      <c r="W853" s="6">
        <f>IF(ISERROR(VLOOKUP($T$853,'TAR FIN'!$A$1:$O$85,15,0)),0,VLOOKUP($T$853,'TAR FIN'!$A$1:$O$85,15,0))</f>
        <v>285.89</v>
      </c>
      <c r="X853" s="6">
        <f>IF(ISERROR(VLOOKUP($U$853,'TAR FIN'!$A$1:$O$85,15,0)),0,VLOOKUP($U$853,'TAR FIN'!$A$1:$O$85,15,0))</f>
        <v>283.83999999999997</v>
      </c>
      <c r="Y853" s="6"/>
      <c r="Z853" s="6">
        <f ca="1">('TUSD BE'!$AM$33+'TUSD BF'!$AM$33+'TUSD CVA'!$AM$33)*(1-CUSTOS!$M$38)</f>
        <v>408.71492269690788</v>
      </c>
      <c r="AA853" s="6">
        <f>('TE BE'!$AB$23+'TE BF'!$AB$23+'TE CVA'!$AB$23)*(1-CUSTOS!$M$38)</f>
        <v>300.75684149176499</v>
      </c>
      <c r="AB853" s="6">
        <f>$K$853*$V$853</f>
        <v>0</v>
      </c>
      <c r="AC853" s="6">
        <f>$M$853*$W$853</f>
        <v>697990.14295999997</v>
      </c>
      <c r="AD853" s="6">
        <f>$O$853*$X$853</f>
        <v>692985.14175999991</v>
      </c>
      <c r="AE853" s="6">
        <f>$K$853*$Y$853</f>
        <v>0</v>
      </c>
      <c r="AF853" s="6">
        <f ca="1">$M$853*$Z$853</f>
        <v>997862.77002728346</v>
      </c>
      <c r="AG853" s="6">
        <f>$O$853*$AA$853</f>
        <v>734287.00125585054</v>
      </c>
    </row>
    <row r="854" spans="1:33" ht="11.25" customHeight="1" x14ac:dyDescent="0.25">
      <c r="A854" s="4" t="s">
        <v>56</v>
      </c>
      <c r="B854" s="4" t="s">
        <v>43</v>
      </c>
      <c r="C854" s="4" t="s">
        <v>23</v>
      </c>
      <c r="D854" s="4" t="s">
        <v>44</v>
      </c>
      <c r="E854" s="4" t="s">
        <v>52</v>
      </c>
      <c r="F854" s="4" t="s">
        <v>53</v>
      </c>
      <c r="G854" s="4" t="s">
        <v>25</v>
      </c>
      <c r="H854" s="4" t="s">
        <v>25</v>
      </c>
      <c r="I854" s="5">
        <v>44774</v>
      </c>
      <c r="J854" s="6">
        <v>0</v>
      </c>
      <c r="K854" s="6">
        <v>0</v>
      </c>
      <c r="L854" s="6">
        <v>-4.4029999999999996</v>
      </c>
      <c r="M854" s="6">
        <v>-4.4029999999999996</v>
      </c>
      <c r="N854" s="6">
        <v>-4.4029999999999996</v>
      </c>
      <c r="O854" s="6">
        <v>-4.4029999999999996</v>
      </c>
      <c r="P854" s="6">
        <v>0</v>
      </c>
      <c r="Q854" s="4" t="s">
        <v>26</v>
      </c>
      <c r="R854" s="4">
        <v>0</v>
      </c>
      <c r="S854" s="6">
        <v>0</v>
      </c>
      <c r="T854" s="6">
        <v>29</v>
      </c>
      <c r="U854" s="6">
        <v>66</v>
      </c>
      <c r="V854" s="6">
        <f>IF(ISERROR(VLOOKUP($S$854,'TAR FIN'!$A$1:$O$85,15,0)),0,VLOOKUP($S$854,'TAR FIN'!$A$1:$O$85,15,0))</f>
        <v>0</v>
      </c>
      <c r="W854" s="6">
        <f>IF(ISERROR(VLOOKUP($T$854,'TAR FIN'!$A$1:$O$85,15,0)),0,VLOOKUP($T$854,'TAR FIN'!$A$1:$O$85,15,0))</f>
        <v>285.89</v>
      </c>
      <c r="X854" s="6">
        <f>IF(ISERROR(VLOOKUP($U$854,'TAR FIN'!$A$1:$O$85,15,0)),0,VLOOKUP($U$854,'TAR FIN'!$A$1:$O$85,15,0))</f>
        <v>283.83999999999997</v>
      </c>
      <c r="Y854" s="6"/>
      <c r="Z854" s="6">
        <f ca="1">('TUSD BE'!$AM$33+'TUSD BF'!$AM$33+'TUSD CVA'!$AM$33)*(1-CUSTOS!$M$38)</f>
        <v>408.71492269690788</v>
      </c>
      <c r="AA854" s="6">
        <f>('TE BE'!$AB$23+'TE BF'!$AB$23+'TE CVA'!$AB$23)*(1-CUSTOS!$M$38)</f>
        <v>300.75684149176499</v>
      </c>
      <c r="AB854" s="6">
        <f>$K$854*$V$854</f>
        <v>0</v>
      </c>
      <c r="AC854" s="6">
        <f>$M$854*$W$854</f>
        <v>-1258.7736699999998</v>
      </c>
      <c r="AD854" s="6">
        <f>$O$854*$X$854</f>
        <v>-1249.7475199999997</v>
      </c>
      <c r="AE854" s="6">
        <f>$K$854*$Y$854</f>
        <v>0</v>
      </c>
      <c r="AF854" s="6">
        <f ca="1">$M$854*$Z$854</f>
        <v>-1799.5718046344853</v>
      </c>
      <c r="AG854" s="6">
        <f>$O$854*$AA$854</f>
        <v>-1324.232373088241</v>
      </c>
    </row>
    <row r="855" spans="1:33" ht="11.25" customHeight="1" x14ac:dyDescent="0.25">
      <c r="A855" s="4" t="s">
        <v>56</v>
      </c>
      <c r="B855" s="4" t="s">
        <v>43</v>
      </c>
      <c r="C855" s="4" t="s">
        <v>23</v>
      </c>
      <c r="D855" s="4" t="s">
        <v>44</v>
      </c>
      <c r="E855" s="4" t="s">
        <v>52</v>
      </c>
      <c r="F855" s="4" t="s">
        <v>53</v>
      </c>
      <c r="G855" s="4" t="s">
        <v>25</v>
      </c>
      <c r="H855" s="4" t="s">
        <v>25</v>
      </c>
      <c r="I855" s="5">
        <v>44774</v>
      </c>
      <c r="J855" s="6">
        <v>0</v>
      </c>
      <c r="K855" s="6">
        <v>0</v>
      </c>
      <c r="L855" s="6">
        <v>30.4</v>
      </c>
      <c r="M855" s="6">
        <v>30.4</v>
      </c>
      <c r="N855" s="6">
        <v>30.4</v>
      </c>
      <c r="O855" s="6">
        <v>30.4</v>
      </c>
      <c r="P855" s="6">
        <v>0</v>
      </c>
      <c r="Q855" s="4" t="s">
        <v>26</v>
      </c>
      <c r="R855" s="4">
        <v>0</v>
      </c>
      <c r="S855" s="6">
        <v>0</v>
      </c>
      <c r="T855" s="6">
        <v>29</v>
      </c>
      <c r="U855" s="6">
        <v>66</v>
      </c>
      <c r="V855" s="6">
        <f>IF(ISERROR(VLOOKUP($S$855,'TAR FIN'!$A$1:$O$85,15,0)),0,VLOOKUP($S$855,'TAR FIN'!$A$1:$O$85,15,0))</f>
        <v>0</v>
      </c>
      <c r="W855" s="6">
        <f>IF(ISERROR(VLOOKUP($T$855,'TAR FIN'!$A$1:$O$85,15,0)),0,VLOOKUP($T$855,'TAR FIN'!$A$1:$O$85,15,0))</f>
        <v>285.89</v>
      </c>
      <c r="X855" s="6">
        <f>IF(ISERROR(VLOOKUP($U$855,'TAR FIN'!$A$1:$O$85,15,0)),0,VLOOKUP($U$855,'TAR FIN'!$A$1:$O$85,15,0))</f>
        <v>283.83999999999997</v>
      </c>
      <c r="Y855" s="6"/>
      <c r="Z855" s="6">
        <f ca="1">('TUSD BE'!$AM$33+'TUSD BF'!$AM$33+'TUSD CVA'!$AM$33)*(1-CUSTOS!$M$38)</f>
        <v>408.71492269690788</v>
      </c>
      <c r="AA855" s="6">
        <f>('TE BE'!$AB$23+'TE BF'!$AB$23+'TE CVA'!$AB$23)*(1-CUSTOS!$M$38)</f>
        <v>300.75684149176499</v>
      </c>
      <c r="AB855" s="6">
        <f>$K$855*$V$855</f>
        <v>0</v>
      </c>
      <c r="AC855" s="6">
        <f>$M$855*$W$855</f>
        <v>8691.0559999999987</v>
      </c>
      <c r="AD855" s="6">
        <f>$O$855*$X$855</f>
        <v>8628.735999999999</v>
      </c>
      <c r="AE855" s="6">
        <f>$K$855*$Y$855</f>
        <v>0</v>
      </c>
      <c r="AF855" s="6">
        <f ca="1">$M$855*$Z$855</f>
        <v>12424.933649985998</v>
      </c>
      <c r="AG855" s="6">
        <f>$O$855*$AA$855</f>
        <v>9143.0079813496559</v>
      </c>
    </row>
    <row r="856" spans="1:33" ht="11.25" customHeight="1" x14ac:dyDescent="0.25">
      <c r="A856" s="4" t="s">
        <v>21</v>
      </c>
      <c r="B856" s="4" t="s">
        <v>43</v>
      </c>
      <c r="C856" s="4" t="s">
        <v>23</v>
      </c>
      <c r="D856" s="4" t="s">
        <v>44</v>
      </c>
      <c r="E856" s="4" t="s">
        <v>52</v>
      </c>
      <c r="F856" s="4" t="s">
        <v>54</v>
      </c>
      <c r="G856" s="4" t="s">
        <v>25</v>
      </c>
      <c r="H856" s="4" t="s">
        <v>25</v>
      </c>
      <c r="I856" s="5">
        <v>44440</v>
      </c>
      <c r="J856" s="6">
        <v>0</v>
      </c>
      <c r="K856" s="6">
        <v>0</v>
      </c>
      <c r="L856" s="6">
        <v>9623.5360000000001</v>
      </c>
      <c r="M856" s="6">
        <v>2598.3547199999998</v>
      </c>
      <c r="N856" s="6">
        <v>9623.5360000000001</v>
      </c>
      <c r="O856" s="6">
        <v>2598.3547199999998</v>
      </c>
      <c r="P856" s="6">
        <v>0</v>
      </c>
      <c r="Q856" s="4" t="s">
        <v>26</v>
      </c>
      <c r="R856" s="4">
        <v>0</v>
      </c>
      <c r="S856" s="6">
        <v>0</v>
      </c>
      <c r="T856" s="6">
        <v>29</v>
      </c>
      <c r="U856" s="6">
        <v>66</v>
      </c>
      <c r="V856" s="6">
        <f>IF(ISERROR(VLOOKUP($S$856,'TAR FIN'!$A$1:$O$85,15,0)),0,VLOOKUP($S$856,'TAR FIN'!$A$1:$O$85,15,0))</f>
        <v>0</v>
      </c>
      <c r="W856" s="6">
        <f>IF(ISERROR(VLOOKUP($T$856,'TAR FIN'!$A$1:$O$85,15,0)),0,VLOOKUP($T$856,'TAR FIN'!$A$1:$O$85,15,0))</f>
        <v>285.89</v>
      </c>
      <c r="X856" s="6">
        <f>IF(ISERROR(VLOOKUP($U$856,'TAR FIN'!$A$1:$O$85,15,0)),0,VLOOKUP($U$856,'TAR FIN'!$A$1:$O$85,15,0))</f>
        <v>283.83999999999997</v>
      </c>
      <c r="Y856" s="6"/>
      <c r="Z856" s="6">
        <f ca="1">('TUSD BE'!$AM$33+'TUSD BF'!$AM$33+'TUSD CVA'!$AM$33)*(1-CUSTOS!$M$38)</f>
        <v>408.71492269690788</v>
      </c>
      <c r="AA856" s="6">
        <f>('TE BE'!$AB$23+'TE BF'!$AB$23+'TE CVA'!$AB$23)*(1-CUSTOS!$M$38)</f>
        <v>300.75684149176499</v>
      </c>
      <c r="AB856" s="6">
        <f>$K$856*$V$856</f>
        <v>0</v>
      </c>
      <c r="AC856" s="6">
        <f>$M$856*$W$856</f>
        <v>742843.63090079988</v>
      </c>
      <c r="AD856" s="6">
        <f>$O$856*$X$856</f>
        <v>737517.00372479984</v>
      </c>
      <c r="AE856" s="6">
        <f>$K$856*$Y$856</f>
        <v>0</v>
      </c>
      <c r="AF856" s="6">
        <f ca="1">$M$856*$Z$856</f>
        <v>1061986.3485239455</v>
      </c>
      <c r="AG856" s="6">
        <f>$O$856*$AA$856</f>
        <v>781472.95866241935</v>
      </c>
    </row>
    <row r="857" spans="1:33" ht="11.25" customHeight="1" x14ac:dyDescent="0.25">
      <c r="A857" s="4" t="s">
        <v>27</v>
      </c>
      <c r="B857" s="4" t="s">
        <v>43</v>
      </c>
      <c r="C857" s="4" t="s">
        <v>23</v>
      </c>
      <c r="D857" s="4" t="s">
        <v>44</v>
      </c>
      <c r="E857" s="4" t="s">
        <v>52</v>
      </c>
      <c r="F857" s="4" t="s">
        <v>54</v>
      </c>
      <c r="G857" s="4" t="s">
        <v>25</v>
      </c>
      <c r="H857" s="4" t="s">
        <v>25</v>
      </c>
      <c r="I857" s="5">
        <v>44440</v>
      </c>
      <c r="J857" s="6">
        <v>0</v>
      </c>
      <c r="K857" s="6">
        <v>0</v>
      </c>
      <c r="L857" s="6">
        <v>12.765000000000001</v>
      </c>
      <c r="M857" s="6">
        <v>3.4465499999999998</v>
      </c>
      <c r="N857" s="6">
        <v>12.765000000000001</v>
      </c>
      <c r="O857" s="6">
        <v>3.4465499999999998</v>
      </c>
      <c r="P857" s="6">
        <v>0</v>
      </c>
      <c r="Q857" s="4" t="s">
        <v>26</v>
      </c>
      <c r="R857" s="4">
        <v>0</v>
      </c>
      <c r="S857" s="6">
        <v>0</v>
      </c>
      <c r="T857" s="6">
        <v>29</v>
      </c>
      <c r="U857" s="6">
        <v>66</v>
      </c>
      <c r="V857" s="6">
        <f>IF(ISERROR(VLOOKUP($S$857,'TAR FIN'!$A$1:$O$85,15,0)),0,VLOOKUP($S$857,'TAR FIN'!$A$1:$O$85,15,0))</f>
        <v>0</v>
      </c>
      <c r="W857" s="6">
        <f>IF(ISERROR(VLOOKUP($T$857,'TAR FIN'!$A$1:$O$85,15,0)),0,VLOOKUP($T$857,'TAR FIN'!$A$1:$O$85,15,0))</f>
        <v>285.89</v>
      </c>
      <c r="X857" s="6">
        <f>IF(ISERROR(VLOOKUP($U$857,'TAR FIN'!$A$1:$O$85,15,0)),0,VLOOKUP($U$857,'TAR FIN'!$A$1:$O$85,15,0))</f>
        <v>283.83999999999997</v>
      </c>
      <c r="Y857" s="6"/>
      <c r="Z857" s="6">
        <f ca="1">('TUSD BE'!$AM$33+'TUSD BF'!$AM$33+'TUSD CVA'!$AM$33)*(1-CUSTOS!$M$38)</f>
        <v>408.71492269690788</v>
      </c>
      <c r="AA857" s="6">
        <f>('TE BE'!$AB$23+'TE BF'!$AB$23+'TE CVA'!$AB$23)*(1-CUSTOS!$M$38)</f>
        <v>300.75684149176499</v>
      </c>
      <c r="AB857" s="6">
        <f>$K$857*$V$857</f>
        <v>0</v>
      </c>
      <c r="AC857" s="6">
        <f>$M$857*$W$857</f>
        <v>985.33417949999989</v>
      </c>
      <c r="AD857" s="6">
        <f>$O$857*$X$857</f>
        <v>978.26875199999984</v>
      </c>
      <c r="AE857" s="6">
        <f>$K$857*$Y$857</f>
        <v>0</v>
      </c>
      <c r="AF857" s="6">
        <f ca="1">$M$857*$Z$857</f>
        <v>1408.6564168210277</v>
      </c>
      <c r="AG857" s="6">
        <f>$O$857*$AA$857</f>
        <v>1036.5734920434425</v>
      </c>
    </row>
    <row r="858" spans="1:33" ht="11.25" customHeight="1" x14ac:dyDescent="0.25">
      <c r="A858" s="4" t="s">
        <v>28</v>
      </c>
      <c r="B858" s="4" t="s">
        <v>43</v>
      </c>
      <c r="C858" s="4" t="s">
        <v>23</v>
      </c>
      <c r="D858" s="4" t="s">
        <v>44</v>
      </c>
      <c r="E858" s="4" t="s">
        <v>52</v>
      </c>
      <c r="F858" s="4" t="s">
        <v>54</v>
      </c>
      <c r="G858" s="4" t="s">
        <v>25</v>
      </c>
      <c r="H858" s="4" t="s">
        <v>25</v>
      </c>
      <c r="I858" s="5">
        <v>44440</v>
      </c>
      <c r="J858" s="6">
        <v>0</v>
      </c>
      <c r="K858" s="6">
        <v>0</v>
      </c>
      <c r="L858" s="6">
        <v>43.823999999999998</v>
      </c>
      <c r="M858" s="6">
        <v>11.83248</v>
      </c>
      <c r="N858" s="6">
        <v>43.823999999999998</v>
      </c>
      <c r="O858" s="6">
        <v>11.83248</v>
      </c>
      <c r="P858" s="6">
        <v>0</v>
      </c>
      <c r="Q858" s="4" t="s">
        <v>26</v>
      </c>
      <c r="R858" s="4">
        <v>0</v>
      </c>
      <c r="S858" s="6">
        <v>0</v>
      </c>
      <c r="T858" s="6">
        <v>29</v>
      </c>
      <c r="U858" s="6">
        <v>66</v>
      </c>
      <c r="V858" s="6">
        <f>IF(ISERROR(VLOOKUP($S$858,'TAR FIN'!$A$1:$O$85,15,0)),0,VLOOKUP($S$858,'TAR FIN'!$A$1:$O$85,15,0))</f>
        <v>0</v>
      </c>
      <c r="W858" s="6">
        <f>IF(ISERROR(VLOOKUP($T$858,'TAR FIN'!$A$1:$O$85,15,0)),0,VLOOKUP($T$858,'TAR FIN'!$A$1:$O$85,15,0))</f>
        <v>285.89</v>
      </c>
      <c r="X858" s="6">
        <f>IF(ISERROR(VLOOKUP($U$858,'TAR FIN'!$A$1:$O$85,15,0)),0,VLOOKUP($U$858,'TAR FIN'!$A$1:$O$85,15,0))</f>
        <v>283.83999999999997</v>
      </c>
      <c r="Y858" s="6"/>
      <c r="Z858" s="6">
        <f ca="1">('TUSD BE'!$AM$33+'TUSD BF'!$AM$33+'TUSD CVA'!$AM$33)*(1-CUSTOS!$M$38)</f>
        <v>408.71492269690788</v>
      </c>
      <c r="AA858" s="6">
        <f>('TE BE'!$AB$23+'TE BF'!$AB$23+'TE CVA'!$AB$23)*(1-CUSTOS!$M$38)</f>
        <v>300.75684149176499</v>
      </c>
      <c r="AB858" s="6">
        <f>$K$858*$V$858</f>
        <v>0</v>
      </c>
      <c r="AC858" s="6">
        <f>$M$858*$W$858</f>
        <v>3382.7877072000001</v>
      </c>
      <c r="AD858" s="6">
        <f>$O$858*$X$858</f>
        <v>3358.5311231999999</v>
      </c>
      <c r="AE858" s="6">
        <f>$K$858*$Y$858</f>
        <v>0</v>
      </c>
      <c r="AF858" s="6">
        <f ca="1">$M$858*$Z$858</f>
        <v>4836.1111485127085</v>
      </c>
      <c r="AG858" s="6">
        <f>$O$858*$AA$858</f>
        <v>3558.6993118144796</v>
      </c>
    </row>
    <row r="859" spans="1:33" ht="11.25" customHeight="1" x14ac:dyDescent="0.25">
      <c r="A859" s="4" t="s">
        <v>21</v>
      </c>
      <c r="B859" s="4" t="s">
        <v>43</v>
      </c>
      <c r="C859" s="4" t="s">
        <v>23</v>
      </c>
      <c r="D859" s="4" t="s">
        <v>44</v>
      </c>
      <c r="E859" s="4" t="s">
        <v>52</v>
      </c>
      <c r="F859" s="4" t="s">
        <v>54</v>
      </c>
      <c r="G859" s="4" t="s">
        <v>25</v>
      </c>
      <c r="H859" s="4" t="s">
        <v>25</v>
      </c>
      <c r="I859" s="5">
        <v>44470</v>
      </c>
      <c r="J859" s="6">
        <v>0</v>
      </c>
      <c r="K859" s="6">
        <v>0</v>
      </c>
      <c r="L859" s="6">
        <v>9792.9860000000008</v>
      </c>
      <c r="M859" s="6">
        <v>2644.1062200000001</v>
      </c>
      <c r="N859" s="6">
        <v>9792.9860000000008</v>
      </c>
      <c r="O859" s="6">
        <v>2644.1062200000001</v>
      </c>
      <c r="P859" s="6">
        <v>0</v>
      </c>
      <c r="Q859" s="4" t="s">
        <v>26</v>
      </c>
      <c r="R859" s="4">
        <v>0</v>
      </c>
      <c r="S859" s="6">
        <v>0</v>
      </c>
      <c r="T859" s="6">
        <v>29</v>
      </c>
      <c r="U859" s="6">
        <v>66</v>
      </c>
      <c r="V859" s="6">
        <f>IF(ISERROR(VLOOKUP($S$859,'TAR FIN'!$A$1:$O$85,15,0)),0,VLOOKUP($S$859,'TAR FIN'!$A$1:$O$85,15,0))</f>
        <v>0</v>
      </c>
      <c r="W859" s="6">
        <f>IF(ISERROR(VLOOKUP($T$859,'TAR FIN'!$A$1:$O$85,15,0)),0,VLOOKUP($T$859,'TAR FIN'!$A$1:$O$85,15,0))</f>
        <v>285.89</v>
      </c>
      <c r="X859" s="6">
        <f>IF(ISERROR(VLOOKUP($U$859,'TAR FIN'!$A$1:$O$85,15,0)),0,VLOOKUP($U$859,'TAR FIN'!$A$1:$O$85,15,0))</f>
        <v>283.83999999999997</v>
      </c>
      <c r="Y859" s="6"/>
      <c r="Z859" s="6">
        <f ca="1">('TUSD BE'!$AM$33+'TUSD BF'!$AM$33+'TUSD CVA'!$AM$33)*(1-CUSTOS!$M$38)</f>
        <v>408.71492269690788</v>
      </c>
      <c r="AA859" s="6">
        <f>('TE BE'!$AB$23+'TE BF'!$AB$23+'TE CVA'!$AB$23)*(1-CUSTOS!$M$38)</f>
        <v>300.75684149176499</v>
      </c>
      <c r="AB859" s="6">
        <f>$K$859*$V$859</f>
        <v>0</v>
      </c>
      <c r="AC859" s="6">
        <f>$M$859*$W$859</f>
        <v>755923.52723580005</v>
      </c>
      <c r="AD859" s="6">
        <f>$O$859*$X$859</f>
        <v>750503.10948480002</v>
      </c>
      <c r="AE859" s="6">
        <f>$K$859*$Y$859</f>
        <v>0</v>
      </c>
      <c r="AF859" s="6">
        <f ca="1">$M$859*$Z$859</f>
        <v>1080685.6693097134</v>
      </c>
      <c r="AG859" s="6">
        <f>$O$859*$AA$859</f>
        <v>795233.03529592988</v>
      </c>
    </row>
    <row r="860" spans="1:33" ht="11.25" customHeight="1" x14ac:dyDescent="0.25">
      <c r="A860" s="4" t="s">
        <v>27</v>
      </c>
      <c r="B860" s="4" t="s">
        <v>43</v>
      </c>
      <c r="C860" s="4" t="s">
        <v>23</v>
      </c>
      <c r="D860" s="4" t="s">
        <v>44</v>
      </c>
      <c r="E860" s="4" t="s">
        <v>52</v>
      </c>
      <c r="F860" s="4" t="s">
        <v>54</v>
      </c>
      <c r="G860" s="4" t="s">
        <v>25</v>
      </c>
      <c r="H860" s="4" t="s">
        <v>25</v>
      </c>
      <c r="I860" s="5">
        <v>44470</v>
      </c>
      <c r="J860" s="6">
        <v>0</v>
      </c>
      <c r="K860" s="6">
        <v>0</v>
      </c>
      <c r="L860" s="6">
        <v>1.034</v>
      </c>
      <c r="M860" s="6">
        <v>0.27917999999999998</v>
      </c>
      <c r="N860" s="6">
        <v>1.034</v>
      </c>
      <c r="O860" s="6">
        <v>0.27917999999999998</v>
      </c>
      <c r="P860" s="6">
        <v>0</v>
      </c>
      <c r="Q860" s="4" t="s">
        <v>26</v>
      </c>
      <c r="R860" s="4">
        <v>0</v>
      </c>
      <c r="S860" s="6">
        <v>0</v>
      </c>
      <c r="T860" s="6">
        <v>29</v>
      </c>
      <c r="U860" s="6">
        <v>66</v>
      </c>
      <c r="V860" s="6">
        <f>IF(ISERROR(VLOOKUP($S$860,'TAR FIN'!$A$1:$O$85,15,0)),0,VLOOKUP($S$860,'TAR FIN'!$A$1:$O$85,15,0))</f>
        <v>0</v>
      </c>
      <c r="W860" s="6">
        <f>IF(ISERROR(VLOOKUP($T$860,'TAR FIN'!$A$1:$O$85,15,0)),0,VLOOKUP($T$860,'TAR FIN'!$A$1:$O$85,15,0))</f>
        <v>285.89</v>
      </c>
      <c r="X860" s="6">
        <f>IF(ISERROR(VLOOKUP($U$860,'TAR FIN'!$A$1:$O$85,15,0)),0,VLOOKUP($U$860,'TAR FIN'!$A$1:$O$85,15,0))</f>
        <v>283.83999999999997</v>
      </c>
      <c r="Y860" s="6"/>
      <c r="Z860" s="6">
        <f ca="1">('TUSD BE'!$AM$33+'TUSD BF'!$AM$33+'TUSD CVA'!$AM$33)*(1-CUSTOS!$M$38)</f>
        <v>408.71492269690788</v>
      </c>
      <c r="AA860" s="6">
        <f>('TE BE'!$AB$23+'TE BF'!$AB$23+'TE CVA'!$AB$23)*(1-CUSTOS!$M$38)</f>
        <v>300.75684149176499</v>
      </c>
      <c r="AB860" s="6">
        <f>$K$860*$V$860</f>
        <v>0</v>
      </c>
      <c r="AC860" s="6">
        <f>$M$860*$W$860</f>
        <v>79.814770199999998</v>
      </c>
      <c r="AD860" s="6">
        <f>$O$860*$X$860</f>
        <v>79.242451199999991</v>
      </c>
      <c r="AE860" s="6">
        <f>$K$860*$Y$860</f>
        <v>0</v>
      </c>
      <c r="AF860" s="6">
        <f ca="1">$M$860*$Z$860</f>
        <v>114.10503211852273</v>
      </c>
      <c r="AG860" s="6">
        <f>$O$860*$AA$860</f>
        <v>83.965295007670946</v>
      </c>
    </row>
    <row r="861" spans="1:33" ht="11.25" customHeight="1" x14ac:dyDescent="0.25">
      <c r="A861" s="4" t="s">
        <v>28</v>
      </c>
      <c r="B861" s="4" t="s">
        <v>43</v>
      </c>
      <c r="C861" s="4" t="s">
        <v>23</v>
      </c>
      <c r="D861" s="4" t="s">
        <v>44</v>
      </c>
      <c r="E861" s="4" t="s">
        <v>52</v>
      </c>
      <c r="F861" s="4" t="s">
        <v>54</v>
      </c>
      <c r="G861" s="4" t="s">
        <v>25</v>
      </c>
      <c r="H861" s="4" t="s">
        <v>25</v>
      </c>
      <c r="I861" s="5">
        <v>44470</v>
      </c>
      <c r="J861" s="6">
        <v>0</v>
      </c>
      <c r="K861" s="6">
        <v>0</v>
      </c>
      <c r="L861" s="6">
        <v>52.6</v>
      </c>
      <c r="M861" s="6">
        <v>14.202</v>
      </c>
      <c r="N861" s="6">
        <v>52.6</v>
      </c>
      <c r="O861" s="6">
        <v>14.202</v>
      </c>
      <c r="P861" s="6">
        <v>0</v>
      </c>
      <c r="Q861" s="4" t="s">
        <v>26</v>
      </c>
      <c r="R861" s="4">
        <v>0</v>
      </c>
      <c r="S861" s="6">
        <v>0</v>
      </c>
      <c r="T861" s="6">
        <v>29</v>
      </c>
      <c r="U861" s="6">
        <v>66</v>
      </c>
      <c r="V861" s="6">
        <f>IF(ISERROR(VLOOKUP($S$861,'TAR FIN'!$A$1:$O$85,15,0)),0,VLOOKUP($S$861,'TAR FIN'!$A$1:$O$85,15,0))</f>
        <v>0</v>
      </c>
      <c r="W861" s="6">
        <f>IF(ISERROR(VLOOKUP($T$861,'TAR FIN'!$A$1:$O$85,15,0)),0,VLOOKUP($T$861,'TAR FIN'!$A$1:$O$85,15,0))</f>
        <v>285.89</v>
      </c>
      <c r="X861" s="6">
        <f>IF(ISERROR(VLOOKUP($U$861,'TAR FIN'!$A$1:$O$85,15,0)),0,VLOOKUP($U$861,'TAR FIN'!$A$1:$O$85,15,0))</f>
        <v>283.83999999999997</v>
      </c>
      <c r="Y861" s="6"/>
      <c r="Z861" s="6">
        <f ca="1">('TUSD BE'!$AM$33+'TUSD BF'!$AM$33+'TUSD CVA'!$AM$33)*(1-CUSTOS!$M$38)</f>
        <v>408.71492269690788</v>
      </c>
      <c r="AA861" s="6">
        <f>('TE BE'!$AB$23+'TE BF'!$AB$23+'TE CVA'!$AB$23)*(1-CUSTOS!$M$38)</f>
        <v>300.75684149176499</v>
      </c>
      <c r="AB861" s="6">
        <f>$K$861*$V$861</f>
        <v>0</v>
      </c>
      <c r="AC861" s="6">
        <f>$M$861*$W$861</f>
        <v>4060.2097799999997</v>
      </c>
      <c r="AD861" s="6">
        <f>$O$861*$X$861</f>
        <v>4031.0956799999994</v>
      </c>
      <c r="AE861" s="6">
        <f>$K$861*$Y$861</f>
        <v>0</v>
      </c>
      <c r="AF861" s="6">
        <f ca="1">$M$861*$Z$861</f>
        <v>5804.5693321414856</v>
      </c>
      <c r="AG861" s="6">
        <f>$O$861*$AA$861</f>
        <v>4271.3486628660467</v>
      </c>
    </row>
    <row r="862" spans="1:33" ht="11.25" customHeight="1" x14ac:dyDescent="0.25">
      <c r="A862" s="4" t="s">
        <v>21</v>
      </c>
      <c r="B862" s="4" t="s">
        <v>43</v>
      </c>
      <c r="C862" s="4" t="s">
        <v>23</v>
      </c>
      <c r="D862" s="4" t="s">
        <v>44</v>
      </c>
      <c r="E862" s="4" t="s">
        <v>52</v>
      </c>
      <c r="F862" s="4" t="s">
        <v>54</v>
      </c>
      <c r="G862" s="4" t="s">
        <v>25</v>
      </c>
      <c r="H862" s="4" t="s">
        <v>25</v>
      </c>
      <c r="I862" s="5">
        <v>44501</v>
      </c>
      <c r="J862" s="6">
        <v>0</v>
      </c>
      <c r="K862" s="6">
        <v>0</v>
      </c>
      <c r="L862" s="6">
        <v>1895.463</v>
      </c>
      <c r="M862" s="6">
        <v>511.77501000000001</v>
      </c>
      <c r="N862" s="6">
        <v>1895.463</v>
      </c>
      <c r="O862" s="6">
        <v>511.77501000000001</v>
      </c>
      <c r="P862" s="6">
        <v>0</v>
      </c>
      <c r="Q862" s="4" t="s">
        <v>26</v>
      </c>
      <c r="R862" s="4">
        <v>0</v>
      </c>
      <c r="S862" s="6">
        <v>0</v>
      </c>
      <c r="T862" s="6">
        <v>29</v>
      </c>
      <c r="U862" s="6">
        <v>66</v>
      </c>
      <c r="V862" s="6">
        <f>IF(ISERROR(VLOOKUP($S$862,'TAR FIN'!$A$1:$O$85,15,0)),0,VLOOKUP($S$862,'TAR FIN'!$A$1:$O$85,15,0))</f>
        <v>0</v>
      </c>
      <c r="W862" s="6">
        <f>IF(ISERROR(VLOOKUP($T$862,'TAR FIN'!$A$1:$O$85,15,0)),0,VLOOKUP($T$862,'TAR FIN'!$A$1:$O$85,15,0))</f>
        <v>285.89</v>
      </c>
      <c r="X862" s="6">
        <f>IF(ISERROR(VLOOKUP($U$862,'TAR FIN'!$A$1:$O$85,15,0)),0,VLOOKUP($U$862,'TAR FIN'!$A$1:$O$85,15,0))</f>
        <v>283.83999999999997</v>
      </c>
      <c r="Y862" s="6"/>
      <c r="Z862" s="6">
        <f ca="1">('TUSD BE'!$AM$33+'TUSD BF'!$AM$33+'TUSD CVA'!$AM$33)*(1-CUSTOS!$M$38)</f>
        <v>408.71492269690788</v>
      </c>
      <c r="AA862" s="6">
        <f>('TE BE'!$AB$23+'TE BF'!$AB$23+'TE CVA'!$AB$23)*(1-CUSTOS!$M$38)</f>
        <v>300.75684149176499</v>
      </c>
      <c r="AB862" s="6">
        <f>$K$862*$V$862</f>
        <v>0</v>
      </c>
      <c r="AC862" s="6">
        <f>$M$862*$W$862</f>
        <v>146311.3576089</v>
      </c>
      <c r="AD862" s="6">
        <f>$O$862*$X$862</f>
        <v>145262.2188384</v>
      </c>
      <c r="AE862" s="6">
        <f>$K$862*$Y$862</f>
        <v>0</v>
      </c>
      <c r="AF862" s="6">
        <f ca="1">$M$862*$Z$862</f>
        <v>209170.08365035927</v>
      </c>
      <c r="AG862" s="6">
        <f>$O$862*$AA$862</f>
        <v>153919.83556201644</v>
      </c>
    </row>
    <row r="863" spans="1:33" ht="11.25" customHeight="1" x14ac:dyDescent="0.25">
      <c r="A863" s="4" t="s">
        <v>27</v>
      </c>
      <c r="B863" s="4" t="s">
        <v>43</v>
      </c>
      <c r="C863" s="4" t="s">
        <v>23</v>
      </c>
      <c r="D863" s="4" t="s">
        <v>44</v>
      </c>
      <c r="E863" s="4" t="s">
        <v>52</v>
      </c>
      <c r="F863" s="4" t="s">
        <v>54</v>
      </c>
      <c r="G863" s="4" t="s">
        <v>25</v>
      </c>
      <c r="H863" s="4" t="s">
        <v>25</v>
      </c>
      <c r="I863" s="5">
        <v>44501</v>
      </c>
      <c r="J863" s="6">
        <v>0</v>
      </c>
      <c r="K863" s="6">
        <v>0</v>
      </c>
      <c r="L863" s="6">
        <v>4.5720000000000001</v>
      </c>
      <c r="M863" s="6">
        <v>1.23444</v>
      </c>
      <c r="N863" s="6">
        <v>4.5720000000000001</v>
      </c>
      <c r="O863" s="6">
        <v>1.23444</v>
      </c>
      <c r="P863" s="6">
        <v>0</v>
      </c>
      <c r="Q863" s="4" t="s">
        <v>26</v>
      </c>
      <c r="R863" s="4">
        <v>0</v>
      </c>
      <c r="S863" s="6">
        <v>0</v>
      </c>
      <c r="T863" s="6">
        <v>29</v>
      </c>
      <c r="U863" s="6">
        <v>66</v>
      </c>
      <c r="V863" s="6">
        <f>IF(ISERROR(VLOOKUP($S$863,'TAR FIN'!$A$1:$O$85,15,0)),0,VLOOKUP($S$863,'TAR FIN'!$A$1:$O$85,15,0))</f>
        <v>0</v>
      </c>
      <c r="W863" s="6">
        <f>IF(ISERROR(VLOOKUP($T$863,'TAR FIN'!$A$1:$O$85,15,0)),0,VLOOKUP($T$863,'TAR FIN'!$A$1:$O$85,15,0))</f>
        <v>285.89</v>
      </c>
      <c r="X863" s="6">
        <f>IF(ISERROR(VLOOKUP($U$863,'TAR FIN'!$A$1:$O$85,15,0)),0,VLOOKUP($U$863,'TAR FIN'!$A$1:$O$85,15,0))</f>
        <v>283.83999999999997</v>
      </c>
      <c r="Y863" s="6"/>
      <c r="Z863" s="6">
        <f ca="1">('TUSD BE'!$AM$33+'TUSD BF'!$AM$33+'TUSD CVA'!$AM$33)*(1-CUSTOS!$M$38)</f>
        <v>408.71492269690788</v>
      </c>
      <c r="AA863" s="6">
        <f>('TE BE'!$AB$23+'TE BF'!$AB$23+'TE CVA'!$AB$23)*(1-CUSTOS!$M$38)</f>
        <v>300.75684149176499</v>
      </c>
      <c r="AB863" s="6">
        <f>$K$863*$V$863</f>
        <v>0</v>
      </c>
      <c r="AC863" s="6">
        <f>$M$863*$W$863</f>
        <v>352.91405159999999</v>
      </c>
      <c r="AD863" s="6">
        <f>$O$863*$X$863</f>
        <v>350.38344959999995</v>
      </c>
      <c r="AE863" s="6">
        <f>$K$863*$Y$863</f>
        <v>0</v>
      </c>
      <c r="AF863" s="6">
        <f ca="1">$M$863*$Z$863</f>
        <v>504.53404917397097</v>
      </c>
      <c r="AG863" s="6">
        <f>$O$863*$AA$863</f>
        <v>371.26627541109434</v>
      </c>
    </row>
    <row r="864" spans="1:33" ht="11.25" customHeight="1" x14ac:dyDescent="0.25">
      <c r="A864" s="4" t="s">
        <v>28</v>
      </c>
      <c r="B864" s="4" t="s">
        <v>43</v>
      </c>
      <c r="C864" s="4" t="s">
        <v>23</v>
      </c>
      <c r="D864" s="4" t="s">
        <v>44</v>
      </c>
      <c r="E864" s="4" t="s">
        <v>52</v>
      </c>
      <c r="F864" s="4" t="s">
        <v>54</v>
      </c>
      <c r="G864" s="4" t="s">
        <v>25</v>
      </c>
      <c r="H864" s="4" t="s">
        <v>25</v>
      </c>
      <c r="I864" s="5">
        <v>44501</v>
      </c>
      <c r="J864" s="6">
        <v>0</v>
      </c>
      <c r="K864" s="6">
        <v>0</v>
      </c>
      <c r="L864" s="6">
        <v>3.0859999999999999</v>
      </c>
      <c r="M864" s="6">
        <v>0.83321999999999996</v>
      </c>
      <c r="N864" s="6">
        <v>3.0859999999999999</v>
      </c>
      <c r="O864" s="6">
        <v>0.83321999999999996</v>
      </c>
      <c r="P864" s="6">
        <v>0</v>
      </c>
      <c r="Q864" s="4" t="s">
        <v>26</v>
      </c>
      <c r="R864" s="4">
        <v>0</v>
      </c>
      <c r="S864" s="6">
        <v>0</v>
      </c>
      <c r="T864" s="6">
        <v>29</v>
      </c>
      <c r="U864" s="6">
        <v>66</v>
      </c>
      <c r="V864" s="6">
        <f>IF(ISERROR(VLOOKUP($S$864,'TAR FIN'!$A$1:$O$85,15,0)),0,VLOOKUP($S$864,'TAR FIN'!$A$1:$O$85,15,0))</f>
        <v>0</v>
      </c>
      <c r="W864" s="6">
        <f>IF(ISERROR(VLOOKUP($T$864,'TAR FIN'!$A$1:$O$85,15,0)),0,VLOOKUP($T$864,'TAR FIN'!$A$1:$O$85,15,0))</f>
        <v>285.89</v>
      </c>
      <c r="X864" s="6">
        <f>IF(ISERROR(VLOOKUP($U$864,'TAR FIN'!$A$1:$O$85,15,0)),0,VLOOKUP($U$864,'TAR FIN'!$A$1:$O$85,15,0))</f>
        <v>283.83999999999997</v>
      </c>
      <c r="Y864" s="6"/>
      <c r="Z864" s="6">
        <f ca="1">('TUSD BE'!$AM$33+'TUSD BF'!$AM$33+'TUSD CVA'!$AM$33)*(1-CUSTOS!$M$38)</f>
        <v>408.71492269690788</v>
      </c>
      <c r="AA864" s="6">
        <f>('TE BE'!$AB$23+'TE BF'!$AB$23+'TE CVA'!$AB$23)*(1-CUSTOS!$M$38)</f>
        <v>300.75684149176499</v>
      </c>
      <c r="AB864" s="6">
        <f>$K$864*$V$864</f>
        <v>0</v>
      </c>
      <c r="AC864" s="6">
        <f>$M$864*$W$864</f>
        <v>238.20926579999997</v>
      </c>
      <c r="AD864" s="6">
        <f>$O$864*$X$864</f>
        <v>236.50116479999997</v>
      </c>
      <c r="AE864" s="6">
        <f>$K$864*$Y$864</f>
        <v>0</v>
      </c>
      <c r="AF864" s="6">
        <f ca="1">$M$864*$Z$864</f>
        <v>340.54944788951758</v>
      </c>
      <c r="AG864" s="6">
        <f>$O$864*$AA$864</f>
        <v>250.5966154677684</v>
      </c>
    </row>
    <row r="865" spans="1:33" ht="11.25" customHeight="1" x14ac:dyDescent="0.25">
      <c r="A865" s="4" t="s">
        <v>21</v>
      </c>
      <c r="B865" s="4" t="s">
        <v>43</v>
      </c>
      <c r="C865" s="4" t="s">
        <v>23</v>
      </c>
      <c r="D865" s="4" t="s">
        <v>44</v>
      </c>
      <c r="E865" s="4" t="s">
        <v>52</v>
      </c>
      <c r="F865" s="4" t="s">
        <v>54</v>
      </c>
      <c r="G865" s="4" t="s">
        <v>25</v>
      </c>
      <c r="H865" s="4" t="s">
        <v>25</v>
      </c>
      <c r="I865" s="5">
        <v>44531</v>
      </c>
      <c r="J865" s="6">
        <v>0</v>
      </c>
      <c r="K865" s="6">
        <v>0</v>
      </c>
      <c r="L865" s="6">
        <v>1072.81</v>
      </c>
      <c r="M865" s="6">
        <v>289.65870000000001</v>
      </c>
      <c r="N865" s="6">
        <v>1072.81</v>
      </c>
      <c r="O865" s="6">
        <v>289.65870000000001</v>
      </c>
      <c r="P865" s="6">
        <v>0</v>
      </c>
      <c r="Q865" s="4" t="s">
        <v>26</v>
      </c>
      <c r="R865" s="4">
        <v>0</v>
      </c>
      <c r="S865" s="6">
        <v>0</v>
      </c>
      <c r="T865" s="6">
        <v>29</v>
      </c>
      <c r="U865" s="6">
        <v>66</v>
      </c>
      <c r="V865" s="6">
        <f>IF(ISERROR(VLOOKUP($S$865,'TAR FIN'!$A$1:$O$85,15,0)),0,VLOOKUP($S$865,'TAR FIN'!$A$1:$O$85,15,0))</f>
        <v>0</v>
      </c>
      <c r="W865" s="6">
        <f>IF(ISERROR(VLOOKUP($T$865,'TAR FIN'!$A$1:$O$85,15,0)),0,VLOOKUP($T$865,'TAR FIN'!$A$1:$O$85,15,0))</f>
        <v>285.89</v>
      </c>
      <c r="X865" s="6">
        <f>IF(ISERROR(VLOOKUP($U$865,'TAR FIN'!$A$1:$O$85,15,0)),0,VLOOKUP($U$865,'TAR FIN'!$A$1:$O$85,15,0))</f>
        <v>283.83999999999997</v>
      </c>
      <c r="Y865" s="6"/>
      <c r="Z865" s="6">
        <f ca="1">('TUSD BE'!$AM$33+'TUSD BF'!$AM$33+'TUSD CVA'!$AM$33)*(1-CUSTOS!$M$38)</f>
        <v>408.71492269690788</v>
      </c>
      <c r="AA865" s="6">
        <f>('TE BE'!$AB$23+'TE BF'!$AB$23+'TE CVA'!$AB$23)*(1-CUSTOS!$M$38)</f>
        <v>300.75684149176499</v>
      </c>
      <c r="AB865" s="6">
        <f>$K$865*$V$865</f>
        <v>0</v>
      </c>
      <c r="AC865" s="6">
        <f>$M$865*$W$865</f>
        <v>82810.525743000006</v>
      </c>
      <c r="AD865" s="6">
        <f>$O$865*$X$865</f>
        <v>82216.725407999998</v>
      </c>
      <c r="AE865" s="6">
        <f>$K$865*$Y$865</f>
        <v>0</v>
      </c>
      <c r="AF865" s="6">
        <f ca="1">$M$865*$Z$865</f>
        <v>118387.83317898684</v>
      </c>
      <c r="AG865" s="6">
        <f>$O$865*$AA$865</f>
        <v>87116.835722610704</v>
      </c>
    </row>
    <row r="866" spans="1:33" ht="11.25" customHeight="1" x14ac:dyDescent="0.25">
      <c r="A866" s="4" t="s">
        <v>27</v>
      </c>
      <c r="B866" s="4" t="s">
        <v>43</v>
      </c>
      <c r="C866" s="4" t="s">
        <v>23</v>
      </c>
      <c r="D866" s="4" t="s">
        <v>44</v>
      </c>
      <c r="E866" s="4" t="s">
        <v>52</v>
      </c>
      <c r="F866" s="4" t="s">
        <v>54</v>
      </c>
      <c r="G866" s="4" t="s">
        <v>25</v>
      </c>
      <c r="H866" s="4" t="s">
        <v>25</v>
      </c>
      <c r="I866" s="5">
        <v>44531</v>
      </c>
      <c r="J866" s="6">
        <v>0</v>
      </c>
      <c r="K866" s="6">
        <v>0</v>
      </c>
      <c r="L866" s="6">
        <v>-7.9459999999999997</v>
      </c>
      <c r="M866" s="6">
        <v>-2.1454200000000001</v>
      </c>
      <c r="N866" s="6">
        <v>-7.9459999999999997</v>
      </c>
      <c r="O866" s="6">
        <v>-2.1454200000000001</v>
      </c>
      <c r="P866" s="6">
        <v>0</v>
      </c>
      <c r="Q866" s="4" t="s">
        <v>26</v>
      </c>
      <c r="R866" s="4">
        <v>0</v>
      </c>
      <c r="S866" s="6">
        <v>0</v>
      </c>
      <c r="T866" s="6">
        <v>29</v>
      </c>
      <c r="U866" s="6">
        <v>66</v>
      </c>
      <c r="V866" s="6">
        <f>IF(ISERROR(VLOOKUP($S$866,'TAR FIN'!$A$1:$O$85,15,0)),0,VLOOKUP($S$866,'TAR FIN'!$A$1:$O$85,15,0))</f>
        <v>0</v>
      </c>
      <c r="W866" s="6">
        <f>IF(ISERROR(VLOOKUP($T$866,'TAR FIN'!$A$1:$O$85,15,0)),0,VLOOKUP($T$866,'TAR FIN'!$A$1:$O$85,15,0))</f>
        <v>285.89</v>
      </c>
      <c r="X866" s="6">
        <f>IF(ISERROR(VLOOKUP($U$866,'TAR FIN'!$A$1:$O$85,15,0)),0,VLOOKUP($U$866,'TAR FIN'!$A$1:$O$85,15,0))</f>
        <v>283.83999999999997</v>
      </c>
      <c r="Y866" s="6"/>
      <c r="Z866" s="6">
        <f ca="1">('TUSD BE'!$AM$33+'TUSD BF'!$AM$33+'TUSD CVA'!$AM$33)*(1-CUSTOS!$M$38)</f>
        <v>408.71492269690788</v>
      </c>
      <c r="AA866" s="6">
        <f>('TE BE'!$AB$23+'TE BF'!$AB$23+'TE CVA'!$AB$23)*(1-CUSTOS!$M$38)</f>
        <v>300.75684149176499</v>
      </c>
      <c r="AB866" s="6">
        <f>$K$866*$V$866</f>
        <v>0</v>
      </c>
      <c r="AC866" s="6">
        <f>$M$866*$W$866</f>
        <v>-613.35412380000002</v>
      </c>
      <c r="AD866" s="6">
        <f>$O$866*$X$866</f>
        <v>-608.95601279999994</v>
      </c>
      <c r="AE866" s="6">
        <f>$K$866*$Y$866</f>
        <v>0</v>
      </c>
      <c r="AF866" s="6">
        <f ca="1">$M$866*$Z$866</f>
        <v>-876.8651694524001</v>
      </c>
      <c r="AG866" s="6">
        <f>$O$866*$AA$866</f>
        <v>-645.24974287326245</v>
      </c>
    </row>
    <row r="867" spans="1:33" ht="11.25" customHeight="1" x14ac:dyDescent="0.25">
      <c r="A867" s="4" t="s">
        <v>28</v>
      </c>
      <c r="B867" s="4" t="s">
        <v>43</v>
      </c>
      <c r="C867" s="4" t="s">
        <v>23</v>
      </c>
      <c r="D867" s="4" t="s">
        <v>44</v>
      </c>
      <c r="E867" s="4" t="s">
        <v>52</v>
      </c>
      <c r="F867" s="4" t="s">
        <v>54</v>
      </c>
      <c r="G867" s="4" t="s">
        <v>25</v>
      </c>
      <c r="H867" s="4" t="s">
        <v>25</v>
      </c>
      <c r="I867" s="5">
        <v>44531</v>
      </c>
      <c r="J867" s="6">
        <v>0</v>
      </c>
      <c r="K867" s="6">
        <v>0</v>
      </c>
      <c r="L867" s="6">
        <v>7.1970000000000001</v>
      </c>
      <c r="M867" s="6">
        <v>1.94319</v>
      </c>
      <c r="N867" s="6">
        <v>7.1970000000000001</v>
      </c>
      <c r="O867" s="6">
        <v>1.94319</v>
      </c>
      <c r="P867" s="6">
        <v>0</v>
      </c>
      <c r="Q867" s="4" t="s">
        <v>26</v>
      </c>
      <c r="R867" s="4">
        <v>0</v>
      </c>
      <c r="S867" s="6">
        <v>0</v>
      </c>
      <c r="T867" s="6">
        <v>29</v>
      </c>
      <c r="U867" s="6">
        <v>66</v>
      </c>
      <c r="V867" s="6">
        <f>IF(ISERROR(VLOOKUP($S$867,'TAR FIN'!$A$1:$O$85,15,0)),0,VLOOKUP($S$867,'TAR FIN'!$A$1:$O$85,15,0))</f>
        <v>0</v>
      </c>
      <c r="W867" s="6">
        <f>IF(ISERROR(VLOOKUP($T$867,'TAR FIN'!$A$1:$O$85,15,0)),0,VLOOKUP($T$867,'TAR FIN'!$A$1:$O$85,15,0))</f>
        <v>285.89</v>
      </c>
      <c r="X867" s="6">
        <f>IF(ISERROR(VLOOKUP($U$867,'TAR FIN'!$A$1:$O$85,15,0)),0,VLOOKUP($U$867,'TAR FIN'!$A$1:$O$85,15,0))</f>
        <v>283.83999999999997</v>
      </c>
      <c r="Y867" s="6"/>
      <c r="Z867" s="6">
        <f ca="1">('TUSD BE'!$AM$33+'TUSD BF'!$AM$33+'TUSD CVA'!$AM$33)*(1-CUSTOS!$M$38)</f>
        <v>408.71492269690788</v>
      </c>
      <c r="AA867" s="6">
        <f>('TE BE'!$AB$23+'TE BF'!$AB$23+'TE CVA'!$AB$23)*(1-CUSTOS!$M$38)</f>
        <v>300.75684149176499</v>
      </c>
      <c r="AB867" s="6">
        <f>$K$867*$V$867</f>
        <v>0</v>
      </c>
      <c r="AC867" s="6">
        <f>$M$867*$W$867</f>
        <v>555.53858909999997</v>
      </c>
      <c r="AD867" s="6">
        <f>$O$867*$X$867</f>
        <v>551.55504959999996</v>
      </c>
      <c r="AE867" s="6">
        <f>$K$867*$Y$867</f>
        <v>0</v>
      </c>
      <c r="AF867" s="6">
        <f ca="1">$M$867*$Z$867</f>
        <v>794.21075063540445</v>
      </c>
      <c r="AG867" s="6">
        <f>$O$867*$AA$867</f>
        <v>584.42768681838277</v>
      </c>
    </row>
    <row r="868" spans="1:33" ht="11.25" customHeight="1" x14ac:dyDescent="0.25">
      <c r="A868" s="4" t="s">
        <v>21</v>
      </c>
      <c r="B868" s="4" t="s">
        <v>43</v>
      </c>
      <c r="C868" s="4" t="s">
        <v>23</v>
      </c>
      <c r="D868" s="4" t="s">
        <v>44</v>
      </c>
      <c r="E868" s="4" t="s">
        <v>52</v>
      </c>
      <c r="F868" s="4" t="s">
        <v>54</v>
      </c>
      <c r="G868" s="4" t="s">
        <v>25</v>
      </c>
      <c r="H868" s="4" t="s">
        <v>25</v>
      </c>
      <c r="I868" s="5">
        <v>44562</v>
      </c>
      <c r="J868" s="6">
        <v>0</v>
      </c>
      <c r="K868" s="6">
        <v>0</v>
      </c>
      <c r="L868" s="6">
        <v>1094.652</v>
      </c>
      <c r="M868" s="6">
        <v>295.55604</v>
      </c>
      <c r="N868" s="6">
        <v>1094.652</v>
      </c>
      <c r="O868" s="6">
        <v>295.55604</v>
      </c>
      <c r="P868" s="6">
        <v>0</v>
      </c>
      <c r="Q868" s="4" t="s">
        <v>26</v>
      </c>
      <c r="R868" s="4">
        <v>0</v>
      </c>
      <c r="S868" s="6">
        <v>0</v>
      </c>
      <c r="T868" s="6">
        <v>29</v>
      </c>
      <c r="U868" s="6">
        <v>66</v>
      </c>
      <c r="V868" s="6">
        <f>IF(ISERROR(VLOOKUP($S$868,'TAR FIN'!$A$1:$O$85,15,0)),0,VLOOKUP($S$868,'TAR FIN'!$A$1:$O$85,15,0))</f>
        <v>0</v>
      </c>
      <c r="W868" s="6">
        <f>IF(ISERROR(VLOOKUP($T$868,'TAR FIN'!$A$1:$O$85,15,0)),0,VLOOKUP($T$868,'TAR FIN'!$A$1:$O$85,15,0))</f>
        <v>285.89</v>
      </c>
      <c r="X868" s="6">
        <f>IF(ISERROR(VLOOKUP($U$868,'TAR FIN'!$A$1:$O$85,15,0)),0,VLOOKUP($U$868,'TAR FIN'!$A$1:$O$85,15,0))</f>
        <v>283.83999999999997</v>
      </c>
      <c r="Y868" s="6"/>
      <c r="Z868" s="6">
        <f ca="1">('TUSD BE'!$AM$33+'TUSD BF'!$AM$33+'TUSD CVA'!$AM$33)*(1-CUSTOS!$M$38)</f>
        <v>408.71492269690788</v>
      </c>
      <c r="AA868" s="6">
        <f>('TE BE'!$AB$23+'TE BF'!$AB$23+'TE CVA'!$AB$23)*(1-CUSTOS!$M$38)</f>
        <v>300.75684149176499</v>
      </c>
      <c r="AB868" s="6">
        <f>$K$868*$V$868</f>
        <v>0</v>
      </c>
      <c r="AC868" s="6">
        <f>$M$868*$W$868</f>
        <v>84496.516275599992</v>
      </c>
      <c r="AD868" s="6">
        <f>$O$868*$X$868</f>
        <v>83890.626393599989</v>
      </c>
      <c r="AE868" s="6">
        <f>$K$868*$Y$868</f>
        <v>0</v>
      </c>
      <c r="AF868" s="6">
        <f ca="1">$M$868*$Z$868</f>
        <v>120798.1640412042</v>
      </c>
      <c r="AG868" s="6">
        <f>$O$868*$AA$868</f>
        <v>88890.501074213753</v>
      </c>
    </row>
    <row r="869" spans="1:33" ht="11.25" customHeight="1" x14ac:dyDescent="0.25">
      <c r="A869" s="4" t="s">
        <v>27</v>
      </c>
      <c r="B869" s="4" t="s">
        <v>43</v>
      </c>
      <c r="C869" s="4" t="s">
        <v>23</v>
      </c>
      <c r="D869" s="4" t="s">
        <v>44</v>
      </c>
      <c r="E869" s="4" t="s">
        <v>52</v>
      </c>
      <c r="F869" s="4" t="s">
        <v>54</v>
      </c>
      <c r="G869" s="4" t="s">
        <v>25</v>
      </c>
      <c r="H869" s="4" t="s">
        <v>25</v>
      </c>
      <c r="I869" s="5">
        <v>44562</v>
      </c>
      <c r="J869" s="6">
        <v>0</v>
      </c>
      <c r="K869" s="6">
        <v>0</v>
      </c>
      <c r="L869" s="6">
        <v>-4.165</v>
      </c>
      <c r="M869" s="6">
        <v>-1.1245499999999999</v>
      </c>
      <c r="N869" s="6">
        <v>-4.165</v>
      </c>
      <c r="O869" s="6">
        <v>-1.1245499999999999</v>
      </c>
      <c r="P869" s="6">
        <v>0</v>
      </c>
      <c r="Q869" s="4" t="s">
        <v>26</v>
      </c>
      <c r="R869" s="4">
        <v>0</v>
      </c>
      <c r="S869" s="6">
        <v>0</v>
      </c>
      <c r="T869" s="6">
        <v>29</v>
      </c>
      <c r="U869" s="6">
        <v>66</v>
      </c>
      <c r="V869" s="6">
        <f>IF(ISERROR(VLOOKUP($S$869,'TAR FIN'!$A$1:$O$85,15,0)),0,VLOOKUP($S$869,'TAR FIN'!$A$1:$O$85,15,0))</f>
        <v>0</v>
      </c>
      <c r="W869" s="6">
        <f>IF(ISERROR(VLOOKUP($T$869,'TAR FIN'!$A$1:$O$85,15,0)),0,VLOOKUP($T$869,'TAR FIN'!$A$1:$O$85,15,0))</f>
        <v>285.89</v>
      </c>
      <c r="X869" s="6">
        <f>IF(ISERROR(VLOOKUP($U$869,'TAR FIN'!$A$1:$O$85,15,0)),0,VLOOKUP($U$869,'TAR FIN'!$A$1:$O$85,15,0))</f>
        <v>283.83999999999997</v>
      </c>
      <c r="Y869" s="6"/>
      <c r="Z869" s="6">
        <f ca="1">('TUSD BE'!$AM$33+'TUSD BF'!$AM$33+'TUSD CVA'!$AM$33)*(1-CUSTOS!$M$38)</f>
        <v>408.71492269690788</v>
      </c>
      <c r="AA869" s="6">
        <f>('TE BE'!$AB$23+'TE BF'!$AB$23+'TE CVA'!$AB$23)*(1-CUSTOS!$M$38)</f>
        <v>300.75684149176499</v>
      </c>
      <c r="AB869" s="6">
        <f>$K$869*$V$869</f>
        <v>0</v>
      </c>
      <c r="AC869" s="6">
        <f>$M$869*$W$869</f>
        <v>-321.49759949999998</v>
      </c>
      <c r="AD869" s="6">
        <f>$O$869*$X$869</f>
        <v>-319.19227199999995</v>
      </c>
      <c r="AE869" s="6">
        <f>$K$869*$Y$869</f>
        <v>0</v>
      </c>
      <c r="AF869" s="6">
        <f ca="1">$M$869*$Z$869</f>
        <v>-459.62036631880773</v>
      </c>
      <c r="AG869" s="6">
        <f>$O$869*$AA$869</f>
        <v>-338.21610609956429</v>
      </c>
    </row>
    <row r="870" spans="1:33" ht="11.25" customHeight="1" x14ac:dyDescent="0.25">
      <c r="A870" s="4" t="s">
        <v>28</v>
      </c>
      <c r="B870" s="4" t="s">
        <v>43</v>
      </c>
      <c r="C870" s="4" t="s">
        <v>23</v>
      </c>
      <c r="D870" s="4" t="s">
        <v>44</v>
      </c>
      <c r="E870" s="4" t="s">
        <v>52</v>
      </c>
      <c r="F870" s="4" t="s">
        <v>54</v>
      </c>
      <c r="G870" s="4" t="s">
        <v>25</v>
      </c>
      <c r="H870" s="4" t="s">
        <v>25</v>
      </c>
      <c r="I870" s="5">
        <v>44562</v>
      </c>
      <c r="J870" s="6">
        <v>0</v>
      </c>
      <c r="K870" s="6">
        <v>0</v>
      </c>
      <c r="L870" s="6">
        <v>4.1390000000000002</v>
      </c>
      <c r="M870" s="6">
        <v>1.1175299999999999</v>
      </c>
      <c r="N870" s="6">
        <v>4.1390000000000002</v>
      </c>
      <c r="O870" s="6">
        <v>1.1175299999999999</v>
      </c>
      <c r="P870" s="6">
        <v>0</v>
      </c>
      <c r="Q870" s="4" t="s">
        <v>26</v>
      </c>
      <c r="R870" s="4">
        <v>0</v>
      </c>
      <c r="S870" s="6">
        <v>0</v>
      </c>
      <c r="T870" s="6">
        <v>29</v>
      </c>
      <c r="U870" s="6">
        <v>66</v>
      </c>
      <c r="V870" s="6">
        <f>IF(ISERROR(VLOOKUP($S$870,'TAR FIN'!$A$1:$O$85,15,0)),0,VLOOKUP($S$870,'TAR FIN'!$A$1:$O$85,15,0))</f>
        <v>0</v>
      </c>
      <c r="W870" s="6">
        <f>IF(ISERROR(VLOOKUP($T$870,'TAR FIN'!$A$1:$O$85,15,0)),0,VLOOKUP($T$870,'TAR FIN'!$A$1:$O$85,15,0))</f>
        <v>285.89</v>
      </c>
      <c r="X870" s="6">
        <f>IF(ISERROR(VLOOKUP($U$870,'TAR FIN'!$A$1:$O$85,15,0)),0,VLOOKUP($U$870,'TAR FIN'!$A$1:$O$85,15,0))</f>
        <v>283.83999999999997</v>
      </c>
      <c r="Y870" s="6"/>
      <c r="Z870" s="6">
        <f ca="1">('TUSD BE'!$AM$33+'TUSD BF'!$AM$33+'TUSD CVA'!$AM$33)*(1-CUSTOS!$M$38)</f>
        <v>408.71492269690788</v>
      </c>
      <c r="AA870" s="6">
        <f>('TE BE'!$AB$23+'TE BF'!$AB$23+'TE CVA'!$AB$23)*(1-CUSTOS!$M$38)</f>
        <v>300.75684149176499</v>
      </c>
      <c r="AB870" s="6">
        <f>$K$870*$V$870</f>
        <v>0</v>
      </c>
      <c r="AC870" s="6">
        <f>$M$870*$W$870</f>
        <v>319.49065169999994</v>
      </c>
      <c r="AD870" s="6">
        <f>$O$870*$X$870</f>
        <v>317.19971519999996</v>
      </c>
      <c r="AE870" s="6">
        <f>$K$870*$Y$870</f>
        <v>0</v>
      </c>
      <c r="AF870" s="6">
        <f ca="1">$M$870*$Z$870</f>
        <v>456.75118756147543</v>
      </c>
      <c r="AG870" s="6">
        <f>$O$870*$AA$870</f>
        <v>336.10479307229213</v>
      </c>
    </row>
    <row r="871" spans="1:33" ht="11.25" customHeight="1" x14ac:dyDescent="0.25">
      <c r="A871" s="4" t="s">
        <v>28</v>
      </c>
      <c r="B871" s="4" t="s">
        <v>43</v>
      </c>
      <c r="C871" s="4" t="s">
        <v>23</v>
      </c>
      <c r="D871" s="4" t="s">
        <v>44</v>
      </c>
      <c r="E871" s="4" t="s">
        <v>52</v>
      </c>
      <c r="F871" s="4" t="s">
        <v>54</v>
      </c>
      <c r="G871" s="4" t="s">
        <v>25</v>
      </c>
      <c r="H871" s="4" t="s">
        <v>25</v>
      </c>
      <c r="I871" s="5">
        <v>44562</v>
      </c>
      <c r="J871" s="6">
        <v>0</v>
      </c>
      <c r="K871" s="6">
        <v>0</v>
      </c>
      <c r="L871" s="6">
        <v>0.51200000000000001</v>
      </c>
      <c r="M871" s="6">
        <v>0.13824</v>
      </c>
      <c r="N871" s="6">
        <v>0.51200000000000001</v>
      </c>
      <c r="O871" s="6">
        <v>0.13824</v>
      </c>
      <c r="P871" s="6">
        <v>0</v>
      </c>
      <c r="Q871" s="4" t="s">
        <v>26</v>
      </c>
      <c r="R871" s="4">
        <v>0</v>
      </c>
      <c r="S871" s="6">
        <v>0</v>
      </c>
      <c r="T871" s="6">
        <v>29</v>
      </c>
      <c r="U871" s="6">
        <v>66</v>
      </c>
      <c r="V871" s="6">
        <f>IF(ISERROR(VLOOKUP($S$871,'TAR FIN'!$A$1:$O$85,15,0)),0,VLOOKUP($S$871,'TAR FIN'!$A$1:$O$85,15,0))</f>
        <v>0</v>
      </c>
      <c r="W871" s="6">
        <f>IF(ISERROR(VLOOKUP($T$871,'TAR FIN'!$A$1:$O$85,15,0)),0,VLOOKUP($T$871,'TAR FIN'!$A$1:$O$85,15,0))</f>
        <v>285.89</v>
      </c>
      <c r="X871" s="6">
        <f>IF(ISERROR(VLOOKUP($U$871,'TAR FIN'!$A$1:$O$85,15,0)),0,VLOOKUP($U$871,'TAR FIN'!$A$1:$O$85,15,0))</f>
        <v>283.83999999999997</v>
      </c>
      <c r="Y871" s="6"/>
      <c r="Z871" s="6">
        <f ca="1">('TUSD BE'!$AM$33+'TUSD BF'!$AM$33+'TUSD CVA'!$AM$33)*(1-CUSTOS!$M$38)</f>
        <v>408.71492269690788</v>
      </c>
      <c r="AA871" s="6">
        <f>('TE BE'!$AB$23+'TE BF'!$AB$23+'TE CVA'!$AB$23)*(1-CUSTOS!$M$38)</f>
        <v>300.75684149176499</v>
      </c>
      <c r="AB871" s="6">
        <f>$K$871*$V$871</f>
        <v>0</v>
      </c>
      <c r="AC871" s="6">
        <f>$M$871*$W$871</f>
        <v>39.521433600000002</v>
      </c>
      <c r="AD871" s="6">
        <f>$O$871*$X$871</f>
        <v>39.238041599999995</v>
      </c>
      <c r="AE871" s="6">
        <f>$K$871*$Y$871</f>
        <v>0</v>
      </c>
      <c r="AF871" s="6">
        <f ca="1">$M$871*$Z$871</f>
        <v>56.500750913620543</v>
      </c>
      <c r="AG871" s="6">
        <f>$O$871*$AA$871</f>
        <v>41.576625767821589</v>
      </c>
    </row>
    <row r="872" spans="1:33" ht="11.25" customHeight="1" x14ac:dyDescent="0.25">
      <c r="A872" s="4" t="s">
        <v>21</v>
      </c>
      <c r="B872" s="4" t="s">
        <v>43</v>
      </c>
      <c r="C872" s="4" t="s">
        <v>23</v>
      </c>
      <c r="D872" s="4" t="s">
        <v>44</v>
      </c>
      <c r="E872" s="4" t="s">
        <v>52</v>
      </c>
      <c r="F872" s="4" t="s">
        <v>54</v>
      </c>
      <c r="G872" s="4" t="s">
        <v>25</v>
      </c>
      <c r="H872" s="4" t="s">
        <v>25</v>
      </c>
      <c r="I872" s="5">
        <v>44593</v>
      </c>
      <c r="J872" s="6">
        <v>0</v>
      </c>
      <c r="K872" s="6">
        <v>0</v>
      </c>
      <c r="L872" s="6">
        <v>3305.2649999999999</v>
      </c>
      <c r="M872" s="6">
        <v>892.42155000000002</v>
      </c>
      <c r="N872" s="6">
        <v>3305.2649999999999</v>
      </c>
      <c r="O872" s="6">
        <v>892.42155000000002</v>
      </c>
      <c r="P872" s="6">
        <v>0</v>
      </c>
      <c r="Q872" s="4" t="s">
        <v>26</v>
      </c>
      <c r="R872" s="4">
        <v>0</v>
      </c>
      <c r="S872" s="6">
        <v>0</v>
      </c>
      <c r="T872" s="6">
        <v>29</v>
      </c>
      <c r="U872" s="6">
        <v>66</v>
      </c>
      <c r="V872" s="6">
        <f>IF(ISERROR(VLOOKUP($S$872,'TAR FIN'!$A$1:$O$85,15,0)),0,VLOOKUP($S$872,'TAR FIN'!$A$1:$O$85,15,0))</f>
        <v>0</v>
      </c>
      <c r="W872" s="6">
        <f>IF(ISERROR(VLOOKUP($T$872,'TAR FIN'!$A$1:$O$85,15,0)),0,VLOOKUP($T$872,'TAR FIN'!$A$1:$O$85,15,0))</f>
        <v>285.89</v>
      </c>
      <c r="X872" s="6">
        <f>IF(ISERROR(VLOOKUP($U$872,'TAR FIN'!$A$1:$O$85,15,0)),0,VLOOKUP($U$872,'TAR FIN'!$A$1:$O$85,15,0))</f>
        <v>283.83999999999997</v>
      </c>
      <c r="Y872" s="6"/>
      <c r="Z872" s="6">
        <f ca="1">('TUSD BE'!$AM$33+'TUSD BF'!$AM$33+'TUSD CVA'!$AM$33)*(1-CUSTOS!$M$38)</f>
        <v>408.71492269690788</v>
      </c>
      <c r="AA872" s="6">
        <f>('TE BE'!$AB$23+'TE BF'!$AB$23+'TE CVA'!$AB$23)*(1-CUSTOS!$M$38)</f>
        <v>300.75684149176499</v>
      </c>
      <c r="AB872" s="6">
        <f>$K$872*$V$872</f>
        <v>0</v>
      </c>
      <c r="AC872" s="6">
        <f>$M$872*$W$872</f>
        <v>255134.39692949998</v>
      </c>
      <c r="AD872" s="6">
        <f>$O$872*$X$872</f>
        <v>253304.93275199999</v>
      </c>
      <c r="AE872" s="6">
        <f>$K$872*$Y$872</f>
        <v>0</v>
      </c>
      <c r="AF872" s="6">
        <f ca="1">$M$872*$Z$872</f>
        <v>364746.0048213047</v>
      </c>
      <c r="AG872" s="6">
        <f>$O$872*$AA$872</f>
        <v>268401.88665718521</v>
      </c>
    </row>
    <row r="873" spans="1:33" ht="11.25" customHeight="1" x14ac:dyDescent="0.25">
      <c r="A873" s="4" t="s">
        <v>27</v>
      </c>
      <c r="B873" s="4" t="s">
        <v>43</v>
      </c>
      <c r="C873" s="4" t="s">
        <v>23</v>
      </c>
      <c r="D873" s="4" t="s">
        <v>44</v>
      </c>
      <c r="E873" s="4" t="s">
        <v>52</v>
      </c>
      <c r="F873" s="4" t="s">
        <v>54</v>
      </c>
      <c r="G873" s="4" t="s">
        <v>25</v>
      </c>
      <c r="H873" s="4" t="s">
        <v>25</v>
      </c>
      <c r="I873" s="5">
        <v>44593</v>
      </c>
      <c r="J873" s="6">
        <v>0</v>
      </c>
      <c r="K873" s="6">
        <v>0</v>
      </c>
      <c r="L873" s="6">
        <v>-11.685</v>
      </c>
      <c r="M873" s="6">
        <v>-3.1549499999999999</v>
      </c>
      <c r="N873" s="6">
        <v>-11.685</v>
      </c>
      <c r="O873" s="6">
        <v>-3.1549499999999999</v>
      </c>
      <c r="P873" s="6">
        <v>0</v>
      </c>
      <c r="Q873" s="4" t="s">
        <v>26</v>
      </c>
      <c r="R873" s="4">
        <v>0</v>
      </c>
      <c r="S873" s="6">
        <v>0</v>
      </c>
      <c r="T873" s="6">
        <v>29</v>
      </c>
      <c r="U873" s="6">
        <v>66</v>
      </c>
      <c r="V873" s="6">
        <f>IF(ISERROR(VLOOKUP($S$873,'TAR FIN'!$A$1:$O$85,15,0)),0,VLOOKUP($S$873,'TAR FIN'!$A$1:$O$85,15,0))</f>
        <v>0</v>
      </c>
      <c r="W873" s="6">
        <f>IF(ISERROR(VLOOKUP($T$873,'TAR FIN'!$A$1:$O$85,15,0)),0,VLOOKUP($T$873,'TAR FIN'!$A$1:$O$85,15,0))</f>
        <v>285.89</v>
      </c>
      <c r="X873" s="6">
        <f>IF(ISERROR(VLOOKUP($U$873,'TAR FIN'!$A$1:$O$85,15,0)),0,VLOOKUP($U$873,'TAR FIN'!$A$1:$O$85,15,0))</f>
        <v>283.83999999999997</v>
      </c>
      <c r="Y873" s="6"/>
      <c r="Z873" s="6">
        <f ca="1">('TUSD BE'!$AM$33+'TUSD BF'!$AM$33+'TUSD CVA'!$AM$33)*(1-CUSTOS!$M$38)</f>
        <v>408.71492269690788</v>
      </c>
      <c r="AA873" s="6">
        <f>('TE BE'!$AB$23+'TE BF'!$AB$23+'TE CVA'!$AB$23)*(1-CUSTOS!$M$38)</f>
        <v>300.75684149176499</v>
      </c>
      <c r="AB873" s="6">
        <f>$K$873*$V$873</f>
        <v>0</v>
      </c>
      <c r="AC873" s="6">
        <f>$M$873*$W$873</f>
        <v>-901.96865549999995</v>
      </c>
      <c r="AD873" s="6">
        <f>$O$873*$X$873</f>
        <v>-895.50100799999984</v>
      </c>
      <c r="AE873" s="6">
        <f>$K$873*$Y$873</f>
        <v>0</v>
      </c>
      <c r="AF873" s="6">
        <f ca="1">$M$873*$Z$873</f>
        <v>-1289.4751453626095</v>
      </c>
      <c r="AG873" s="6">
        <f>$O$873*$AA$873</f>
        <v>-948.87279706444394</v>
      </c>
    </row>
    <row r="874" spans="1:33" ht="11.25" customHeight="1" x14ac:dyDescent="0.25">
      <c r="A874" s="4" t="s">
        <v>28</v>
      </c>
      <c r="B874" s="4" t="s">
        <v>43</v>
      </c>
      <c r="C874" s="4" t="s">
        <v>23</v>
      </c>
      <c r="D874" s="4" t="s">
        <v>44</v>
      </c>
      <c r="E874" s="4" t="s">
        <v>52</v>
      </c>
      <c r="F874" s="4" t="s">
        <v>54</v>
      </c>
      <c r="G874" s="4" t="s">
        <v>25</v>
      </c>
      <c r="H874" s="4" t="s">
        <v>25</v>
      </c>
      <c r="I874" s="5">
        <v>44593</v>
      </c>
      <c r="J874" s="6">
        <v>0</v>
      </c>
      <c r="K874" s="6">
        <v>0</v>
      </c>
      <c r="L874" s="6">
        <v>13.602</v>
      </c>
      <c r="M874" s="6">
        <v>3.6725400000000001</v>
      </c>
      <c r="N874" s="6">
        <v>13.602</v>
      </c>
      <c r="O874" s="6">
        <v>3.6725400000000001</v>
      </c>
      <c r="P874" s="6">
        <v>0</v>
      </c>
      <c r="Q874" s="4" t="s">
        <v>26</v>
      </c>
      <c r="R874" s="4">
        <v>0</v>
      </c>
      <c r="S874" s="6">
        <v>0</v>
      </c>
      <c r="T874" s="6">
        <v>29</v>
      </c>
      <c r="U874" s="6">
        <v>66</v>
      </c>
      <c r="V874" s="6">
        <f>IF(ISERROR(VLOOKUP($S$874,'TAR FIN'!$A$1:$O$85,15,0)),0,VLOOKUP($S$874,'TAR FIN'!$A$1:$O$85,15,0))</f>
        <v>0</v>
      </c>
      <c r="W874" s="6">
        <f>IF(ISERROR(VLOOKUP($T$874,'TAR FIN'!$A$1:$O$85,15,0)),0,VLOOKUP($T$874,'TAR FIN'!$A$1:$O$85,15,0))</f>
        <v>285.89</v>
      </c>
      <c r="X874" s="6">
        <f>IF(ISERROR(VLOOKUP($U$874,'TAR FIN'!$A$1:$O$85,15,0)),0,VLOOKUP($U$874,'TAR FIN'!$A$1:$O$85,15,0))</f>
        <v>283.83999999999997</v>
      </c>
      <c r="Y874" s="6"/>
      <c r="Z874" s="6">
        <f ca="1">('TUSD BE'!$AM$33+'TUSD BF'!$AM$33+'TUSD CVA'!$AM$33)*(1-CUSTOS!$M$38)</f>
        <v>408.71492269690788</v>
      </c>
      <c r="AA874" s="6">
        <f>('TE BE'!$AB$23+'TE BF'!$AB$23+'TE CVA'!$AB$23)*(1-CUSTOS!$M$38)</f>
        <v>300.75684149176499</v>
      </c>
      <c r="AB874" s="6">
        <f>$K$874*$V$874</f>
        <v>0</v>
      </c>
      <c r="AC874" s="6">
        <f>$M$874*$W$874</f>
        <v>1049.9424606</v>
      </c>
      <c r="AD874" s="6">
        <f>$O$874*$X$874</f>
        <v>1042.4137535999998</v>
      </c>
      <c r="AE874" s="6">
        <f>$K$874*$Y$874</f>
        <v>0</v>
      </c>
      <c r="AF874" s="6">
        <f ca="1">$M$874*$Z$874</f>
        <v>1501.0219022013021</v>
      </c>
      <c r="AG874" s="6">
        <f>$O$874*$AA$874</f>
        <v>1104.5415306521666</v>
      </c>
    </row>
    <row r="875" spans="1:33" ht="11.25" customHeight="1" x14ac:dyDescent="0.25">
      <c r="A875" s="4" t="s">
        <v>21</v>
      </c>
      <c r="B875" s="4" t="s">
        <v>43</v>
      </c>
      <c r="C875" s="4" t="s">
        <v>23</v>
      </c>
      <c r="D875" s="4" t="s">
        <v>44</v>
      </c>
      <c r="E875" s="4" t="s">
        <v>52</v>
      </c>
      <c r="F875" s="4" t="s">
        <v>54</v>
      </c>
      <c r="G875" s="4" t="s">
        <v>25</v>
      </c>
      <c r="H875" s="4" t="s">
        <v>25</v>
      </c>
      <c r="I875" s="5">
        <v>44621</v>
      </c>
      <c r="J875" s="6">
        <v>0</v>
      </c>
      <c r="K875" s="6">
        <v>0</v>
      </c>
      <c r="L875" s="6">
        <v>2070.011</v>
      </c>
      <c r="M875" s="6">
        <v>828.00440000000003</v>
      </c>
      <c r="N875" s="6">
        <v>2070.011</v>
      </c>
      <c r="O875" s="6">
        <v>828.00440000000003</v>
      </c>
      <c r="P875" s="6">
        <v>0</v>
      </c>
      <c r="Q875" s="4" t="s">
        <v>26</v>
      </c>
      <c r="R875" s="4">
        <v>0</v>
      </c>
      <c r="S875" s="6">
        <v>0</v>
      </c>
      <c r="T875" s="6">
        <v>29</v>
      </c>
      <c r="U875" s="6">
        <v>66</v>
      </c>
      <c r="V875" s="6">
        <f>IF(ISERROR(VLOOKUP($S$875,'TAR FIN'!$A$1:$O$85,15,0)),0,VLOOKUP($S$875,'TAR FIN'!$A$1:$O$85,15,0))</f>
        <v>0</v>
      </c>
      <c r="W875" s="6">
        <f>IF(ISERROR(VLOOKUP($T$875,'TAR FIN'!$A$1:$O$85,15,0)),0,VLOOKUP($T$875,'TAR FIN'!$A$1:$O$85,15,0))</f>
        <v>285.89</v>
      </c>
      <c r="X875" s="6">
        <f>IF(ISERROR(VLOOKUP($U$875,'TAR FIN'!$A$1:$O$85,15,0)),0,VLOOKUP($U$875,'TAR FIN'!$A$1:$O$85,15,0))</f>
        <v>283.83999999999997</v>
      </c>
      <c r="Y875" s="6"/>
      <c r="Z875" s="6">
        <f ca="1">('TUSD BE'!$AM$33+'TUSD BF'!$AM$33+'TUSD CVA'!$AM$33)*(1-CUSTOS!$M$38)</f>
        <v>408.71492269690788</v>
      </c>
      <c r="AA875" s="6">
        <f>('TE BE'!$AB$23+'TE BF'!$AB$23+'TE CVA'!$AB$23)*(1-CUSTOS!$M$38)</f>
        <v>300.75684149176499</v>
      </c>
      <c r="AB875" s="6">
        <f>$K$875*$V$875</f>
        <v>0</v>
      </c>
      <c r="AC875" s="6">
        <f>$M$875*$W$875</f>
        <v>236718.17791599999</v>
      </c>
      <c r="AD875" s="6">
        <f>$O$875*$X$875</f>
        <v>235020.76889599999</v>
      </c>
      <c r="AE875" s="6">
        <f>$K$875*$Y$875</f>
        <v>0</v>
      </c>
      <c r="AF875" s="6">
        <f ca="1">$M$875*$Z$875</f>
        <v>338417.75433869963</v>
      </c>
      <c r="AG875" s="6">
        <f>$O$875*$AA$875</f>
        <v>249027.98808528399</v>
      </c>
    </row>
    <row r="876" spans="1:33" ht="11.25" customHeight="1" x14ac:dyDescent="0.25">
      <c r="A876" s="4" t="s">
        <v>27</v>
      </c>
      <c r="B876" s="4" t="s">
        <v>43</v>
      </c>
      <c r="C876" s="4" t="s">
        <v>23</v>
      </c>
      <c r="D876" s="4" t="s">
        <v>44</v>
      </c>
      <c r="E876" s="4" t="s">
        <v>52</v>
      </c>
      <c r="F876" s="4" t="s">
        <v>54</v>
      </c>
      <c r="G876" s="4" t="s">
        <v>25</v>
      </c>
      <c r="H876" s="4" t="s">
        <v>25</v>
      </c>
      <c r="I876" s="5">
        <v>44621</v>
      </c>
      <c r="J876" s="6">
        <v>0</v>
      </c>
      <c r="K876" s="6">
        <v>0</v>
      </c>
      <c r="L876" s="6">
        <v>-109.158</v>
      </c>
      <c r="M876" s="6">
        <v>-43.663200000000003</v>
      </c>
      <c r="N876" s="6">
        <v>-109.158</v>
      </c>
      <c r="O876" s="6">
        <v>-43.663200000000003</v>
      </c>
      <c r="P876" s="6">
        <v>0</v>
      </c>
      <c r="Q876" s="4" t="s">
        <v>26</v>
      </c>
      <c r="R876" s="4">
        <v>0</v>
      </c>
      <c r="S876" s="6">
        <v>0</v>
      </c>
      <c r="T876" s="6">
        <v>29</v>
      </c>
      <c r="U876" s="6">
        <v>66</v>
      </c>
      <c r="V876" s="6">
        <f>IF(ISERROR(VLOOKUP($S$876,'TAR FIN'!$A$1:$O$85,15,0)),0,VLOOKUP($S$876,'TAR FIN'!$A$1:$O$85,15,0))</f>
        <v>0</v>
      </c>
      <c r="W876" s="6">
        <f>IF(ISERROR(VLOOKUP($T$876,'TAR FIN'!$A$1:$O$85,15,0)),0,VLOOKUP($T$876,'TAR FIN'!$A$1:$O$85,15,0))</f>
        <v>285.89</v>
      </c>
      <c r="X876" s="6">
        <f>IF(ISERROR(VLOOKUP($U$876,'TAR FIN'!$A$1:$O$85,15,0)),0,VLOOKUP($U$876,'TAR FIN'!$A$1:$O$85,15,0))</f>
        <v>283.83999999999997</v>
      </c>
      <c r="Y876" s="6"/>
      <c r="Z876" s="6">
        <f ca="1">('TUSD BE'!$AM$33+'TUSD BF'!$AM$33+'TUSD CVA'!$AM$33)*(1-CUSTOS!$M$38)</f>
        <v>408.71492269690788</v>
      </c>
      <c r="AA876" s="6">
        <f>('TE BE'!$AB$23+'TE BF'!$AB$23+'TE CVA'!$AB$23)*(1-CUSTOS!$M$38)</f>
        <v>300.75684149176499</v>
      </c>
      <c r="AB876" s="6">
        <f>$K$876*$V$876</f>
        <v>0</v>
      </c>
      <c r="AC876" s="6">
        <f>$M$876*$W$876</f>
        <v>-12482.872248</v>
      </c>
      <c r="AD876" s="6">
        <f>$O$876*$X$876</f>
        <v>-12393.362687999999</v>
      </c>
      <c r="AE876" s="6">
        <f>$K$876*$Y$876</f>
        <v>0</v>
      </c>
      <c r="AF876" s="6">
        <f ca="1">$M$876*$Z$876</f>
        <v>-17845.801412699628</v>
      </c>
      <c r="AG876" s="6">
        <f>$O$876*$AA$876</f>
        <v>-13132.006121423234</v>
      </c>
    </row>
    <row r="877" spans="1:33" ht="11.25" customHeight="1" x14ac:dyDescent="0.25">
      <c r="A877" s="4" t="s">
        <v>28</v>
      </c>
      <c r="B877" s="4" t="s">
        <v>43</v>
      </c>
      <c r="C877" s="4" t="s">
        <v>23</v>
      </c>
      <c r="D877" s="4" t="s">
        <v>44</v>
      </c>
      <c r="E877" s="4" t="s">
        <v>52</v>
      </c>
      <c r="F877" s="4" t="s">
        <v>54</v>
      </c>
      <c r="G877" s="4" t="s">
        <v>25</v>
      </c>
      <c r="H877" s="4" t="s">
        <v>25</v>
      </c>
      <c r="I877" s="5">
        <v>44621</v>
      </c>
      <c r="J877" s="6">
        <v>0</v>
      </c>
      <c r="K877" s="6">
        <v>0</v>
      </c>
      <c r="L877" s="6">
        <v>21.001999999999999</v>
      </c>
      <c r="M877" s="6">
        <v>8.4008000000000003</v>
      </c>
      <c r="N877" s="6">
        <v>21.001999999999999</v>
      </c>
      <c r="O877" s="6">
        <v>8.4008000000000003</v>
      </c>
      <c r="P877" s="6">
        <v>0</v>
      </c>
      <c r="Q877" s="4" t="s">
        <v>26</v>
      </c>
      <c r="R877" s="4">
        <v>0</v>
      </c>
      <c r="S877" s="6">
        <v>0</v>
      </c>
      <c r="T877" s="6">
        <v>29</v>
      </c>
      <c r="U877" s="6">
        <v>66</v>
      </c>
      <c r="V877" s="6">
        <f>IF(ISERROR(VLOOKUP($S$877,'TAR FIN'!$A$1:$O$85,15,0)),0,VLOOKUP($S$877,'TAR FIN'!$A$1:$O$85,15,0))</f>
        <v>0</v>
      </c>
      <c r="W877" s="6">
        <f>IF(ISERROR(VLOOKUP($T$877,'TAR FIN'!$A$1:$O$85,15,0)),0,VLOOKUP($T$877,'TAR FIN'!$A$1:$O$85,15,0))</f>
        <v>285.89</v>
      </c>
      <c r="X877" s="6">
        <f>IF(ISERROR(VLOOKUP($U$877,'TAR FIN'!$A$1:$O$85,15,0)),0,VLOOKUP($U$877,'TAR FIN'!$A$1:$O$85,15,0))</f>
        <v>283.83999999999997</v>
      </c>
      <c r="Y877" s="6"/>
      <c r="Z877" s="6">
        <f ca="1">('TUSD BE'!$AM$33+'TUSD BF'!$AM$33+'TUSD CVA'!$AM$33)*(1-CUSTOS!$M$38)</f>
        <v>408.71492269690788</v>
      </c>
      <c r="AA877" s="6">
        <f>('TE BE'!$AB$23+'TE BF'!$AB$23+'TE CVA'!$AB$23)*(1-CUSTOS!$M$38)</f>
        <v>300.75684149176499</v>
      </c>
      <c r="AB877" s="6">
        <f>$K$877*$V$877</f>
        <v>0</v>
      </c>
      <c r="AC877" s="6">
        <f>$M$877*$W$877</f>
        <v>2401.7047119999997</v>
      </c>
      <c r="AD877" s="6">
        <f>$O$877*$X$877</f>
        <v>2384.483072</v>
      </c>
      <c r="AE877" s="6">
        <f>$K$877*$Y$877</f>
        <v>0</v>
      </c>
      <c r="AF877" s="6">
        <f ca="1">$M$877*$Z$877</f>
        <v>3433.5323225921838</v>
      </c>
      <c r="AG877" s="6">
        <f>$O$877*$AA$877</f>
        <v>2526.5980740040195</v>
      </c>
    </row>
    <row r="878" spans="1:33" ht="11.25" customHeight="1" x14ac:dyDescent="0.25">
      <c r="A878" s="4" t="s">
        <v>28</v>
      </c>
      <c r="B878" s="4" t="s">
        <v>43</v>
      </c>
      <c r="C878" s="4" t="s">
        <v>23</v>
      </c>
      <c r="D878" s="4" t="s">
        <v>44</v>
      </c>
      <c r="E878" s="4" t="s">
        <v>52</v>
      </c>
      <c r="F878" s="4" t="s">
        <v>54</v>
      </c>
      <c r="G878" s="4" t="s">
        <v>25</v>
      </c>
      <c r="H878" s="4" t="s">
        <v>25</v>
      </c>
      <c r="I878" s="5">
        <v>44621</v>
      </c>
      <c r="J878" s="6">
        <v>0</v>
      </c>
      <c r="K878" s="6">
        <v>0</v>
      </c>
      <c r="L878" s="6">
        <v>7.3999999999999996E-2</v>
      </c>
      <c r="M878" s="6">
        <v>1.9980000000000001E-2</v>
      </c>
      <c r="N878" s="6">
        <v>7.3999999999999996E-2</v>
      </c>
      <c r="O878" s="6">
        <v>1.9980000000000001E-2</v>
      </c>
      <c r="P878" s="6">
        <v>0</v>
      </c>
      <c r="Q878" s="4" t="s">
        <v>26</v>
      </c>
      <c r="R878" s="4">
        <v>0</v>
      </c>
      <c r="S878" s="6">
        <v>0</v>
      </c>
      <c r="T878" s="6">
        <v>29</v>
      </c>
      <c r="U878" s="6">
        <v>66</v>
      </c>
      <c r="V878" s="6">
        <f>IF(ISERROR(VLOOKUP($S$878,'TAR FIN'!$A$1:$O$85,15,0)),0,VLOOKUP($S$878,'TAR FIN'!$A$1:$O$85,15,0))</f>
        <v>0</v>
      </c>
      <c r="W878" s="6">
        <f>IF(ISERROR(VLOOKUP($T$878,'TAR FIN'!$A$1:$O$85,15,0)),0,VLOOKUP($T$878,'TAR FIN'!$A$1:$O$85,15,0))</f>
        <v>285.89</v>
      </c>
      <c r="X878" s="6">
        <f>IF(ISERROR(VLOOKUP($U$878,'TAR FIN'!$A$1:$O$85,15,0)),0,VLOOKUP($U$878,'TAR FIN'!$A$1:$O$85,15,0))</f>
        <v>283.83999999999997</v>
      </c>
      <c r="Y878" s="6"/>
      <c r="Z878" s="6">
        <f ca="1">('TUSD BE'!$AM$33+'TUSD BF'!$AM$33+'TUSD CVA'!$AM$33)*(1-CUSTOS!$M$38)</f>
        <v>408.71492269690788</v>
      </c>
      <c r="AA878" s="6">
        <f>('TE BE'!$AB$23+'TE BF'!$AB$23+'TE CVA'!$AB$23)*(1-CUSTOS!$M$38)</f>
        <v>300.75684149176499</v>
      </c>
      <c r="AB878" s="6">
        <f>$K$878*$V$878</f>
        <v>0</v>
      </c>
      <c r="AC878" s="6">
        <f>$M$878*$W$878</f>
        <v>5.7120822000000002</v>
      </c>
      <c r="AD878" s="6">
        <f>$O$878*$X$878</f>
        <v>5.6711232000000003</v>
      </c>
      <c r="AE878" s="6">
        <f>$K$878*$Y$878</f>
        <v>0</v>
      </c>
      <c r="AF878" s="6">
        <f ca="1">$M$878*$Z$878</f>
        <v>8.1661241554842192</v>
      </c>
      <c r="AG878" s="6">
        <f>$O$878*$AA$878</f>
        <v>6.0091216930054649</v>
      </c>
    </row>
    <row r="879" spans="1:33" ht="11.25" customHeight="1" x14ac:dyDescent="0.25">
      <c r="A879" s="4" t="s">
        <v>21</v>
      </c>
      <c r="B879" s="4" t="s">
        <v>43</v>
      </c>
      <c r="C879" s="4" t="s">
        <v>23</v>
      </c>
      <c r="D879" s="4" t="s">
        <v>44</v>
      </c>
      <c r="E879" s="4" t="s">
        <v>52</v>
      </c>
      <c r="F879" s="4" t="s">
        <v>54</v>
      </c>
      <c r="G879" s="4" t="s">
        <v>25</v>
      </c>
      <c r="H879" s="4" t="s">
        <v>25</v>
      </c>
      <c r="I879" s="5">
        <v>44652</v>
      </c>
      <c r="J879" s="6">
        <v>0</v>
      </c>
      <c r="K879" s="6">
        <v>0</v>
      </c>
      <c r="L879" s="6">
        <v>5306.0870000000004</v>
      </c>
      <c r="M879" s="6">
        <v>2122.4348</v>
      </c>
      <c r="N879" s="6">
        <v>5306.0870000000004</v>
      </c>
      <c r="O879" s="6">
        <v>2122.4348</v>
      </c>
      <c r="P879" s="6">
        <v>0</v>
      </c>
      <c r="Q879" s="4" t="s">
        <v>26</v>
      </c>
      <c r="R879" s="4">
        <v>0</v>
      </c>
      <c r="S879" s="6">
        <v>0</v>
      </c>
      <c r="T879" s="6">
        <v>29</v>
      </c>
      <c r="U879" s="6">
        <v>66</v>
      </c>
      <c r="V879" s="6">
        <f>IF(ISERROR(VLOOKUP($S$879,'TAR FIN'!$A$1:$O$85,15,0)),0,VLOOKUP($S$879,'TAR FIN'!$A$1:$O$85,15,0))</f>
        <v>0</v>
      </c>
      <c r="W879" s="6">
        <f>IF(ISERROR(VLOOKUP($T$879,'TAR FIN'!$A$1:$O$85,15,0)),0,VLOOKUP($T$879,'TAR FIN'!$A$1:$O$85,15,0))</f>
        <v>285.89</v>
      </c>
      <c r="X879" s="6">
        <f>IF(ISERROR(VLOOKUP($U$879,'TAR FIN'!$A$1:$O$85,15,0)),0,VLOOKUP($U$879,'TAR FIN'!$A$1:$O$85,15,0))</f>
        <v>283.83999999999997</v>
      </c>
      <c r="Y879" s="6"/>
      <c r="Z879" s="6">
        <f ca="1">('TUSD BE'!$AM$33+'TUSD BF'!$AM$33+'TUSD CVA'!$AM$33)*(1-CUSTOS!$M$38)</f>
        <v>408.71492269690788</v>
      </c>
      <c r="AA879" s="6">
        <f>('TE BE'!$AB$23+'TE BF'!$AB$23+'TE CVA'!$AB$23)*(1-CUSTOS!$M$38)</f>
        <v>300.75684149176499</v>
      </c>
      <c r="AB879" s="6">
        <f>$K$879*$V$879</f>
        <v>0</v>
      </c>
      <c r="AC879" s="6">
        <f>$M$879*$W$879</f>
        <v>606782.88497199991</v>
      </c>
      <c r="AD879" s="6">
        <f>$O$879*$X$879</f>
        <v>602431.89363199996</v>
      </c>
      <c r="AE879" s="6">
        <f>$K$879*$Y$879</f>
        <v>0</v>
      </c>
      <c r="AF879" s="6">
        <f ca="1">$M$879*$Z$879</f>
        <v>867470.77521122713</v>
      </c>
      <c r="AG879" s="6">
        <f>$O$879*$AA$879</f>
        <v>638336.78672020591</v>
      </c>
    </row>
    <row r="880" spans="1:33" ht="11.25" customHeight="1" x14ac:dyDescent="0.25">
      <c r="A880" s="4" t="s">
        <v>27</v>
      </c>
      <c r="B880" s="4" t="s">
        <v>43</v>
      </c>
      <c r="C880" s="4" t="s">
        <v>23</v>
      </c>
      <c r="D880" s="4" t="s">
        <v>44</v>
      </c>
      <c r="E880" s="4" t="s">
        <v>52</v>
      </c>
      <c r="F880" s="4" t="s">
        <v>54</v>
      </c>
      <c r="G880" s="4" t="s">
        <v>25</v>
      </c>
      <c r="H880" s="4" t="s">
        <v>25</v>
      </c>
      <c r="I880" s="5">
        <v>44652</v>
      </c>
      <c r="J880" s="6">
        <v>0</v>
      </c>
      <c r="K880" s="6">
        <v>0</v>
      </c>
      <c r="L880" s="6">
        <v>-1.0529999999999999</v>
      </c>
      <c r="M880" s="6">
        <v>-0.42120000000000002</v>
      </c>
      <c r="N880" s="6">
        <v>-1.0529999999999999</v>
      </c>
      <c r="O880" s="6">
        <v>-0.42120000000000002</v>
      </c>
      <c r="P880" s="6">
        <v>0</v>
      </c>
      <c r="Q880" s="4" t="s">
        <v>26</v>
      </c>
      <c r="R880" s="4">
        <v>0</v>
      </c>
      <c r="S880" s="6">
        <v>0</v>
      </c>
      <c r="T880" s="6">
        <v>29</v>
      </c>
      <c r="U880" s="6">
        <v>66</v>
      </c>
      <c r="V880" s="6">
        <f>IF(ISERROR(VLOOKUP($S$880,'TAR FIN'!$A$1:$O$85,15,0)),0,VLOOKUP($S$880,'TAR FIN'!$A$1:$O$85,15,0))</f>
        <v>0</v>
      </c>
      <c r="W880" s="6">
        <f>IF(ISERROR(VLOOKUP($T$880,'TAR FIN'!$A$1:$O$85,15,0)),0,VLOOKUP($T$880,'TAR FIN'!$A$1:$O$85,15,0))</f>
        <v>285.89</v>
      </c>
      <c r="X880" s="6">
        <f>IF(ISERROR(VLOOKUP($U$880,'TAR FIN'!$A$1:$O$85,15,0)),0,VLOOKUP($U$880,'TAR FIN'!$A$1:$O$85,15,0))</f>
        <v>283.83999999999997</v>
      </c>
      <c r="Y880" s="6"/>
      <c r="Z880" s="6">
        <f ca="1">('TUSD BE'!$AM$33+'TUSD BF'!$AM$33+'TUSD CVA'!$AM$33)*(1-CUSTOS!$M$38)</f>
        <v>408.71492269690788</v>
      </c>
      <c r="AA880" s="6">
        <f>('TE BE'!$AB$23+'TE BF'!$AB$23+'TE CVA'!$AB$23)*(1-CUSTOS!$M$38)</f>
        <v>300.75684149176499</v>
      </c>
      <c r="AB880" s="6">
        <f>$K$880*$V$880</f>
        <v>0</v>
      </c>
      <c r="AC880" s="6">
        <f>$M$880*$W$880</f>
        <v>-120.41686799999999</v>
      </c>
      <c r="AD880" s="6">
        <f>$O$880*$X$880</f>
        <v>-119.55340799999999</v>
      </c>
      <c r="AE880" s="6">
        <f>$K$880*$Y$880</f>
        <v>0</v>
      </c>
      <c r="AF880" s="6">
        <f ca="1">$M$880*$Z$880</f>
        <v>-172.15072543993762</v>
      </c>
      <c r="AG880" s="6">
        <f>$O$880*$AA$880</f>
        <v>-126.67878163633142</v>
      </c>
    </row>
    <row r="881" spans="1:33" ht="11.25" customHeight="1" x14ac:dyDescent="0.25">
      <c r="A881" s="4" t="s">
        <v>28</v>
      </c>
      <c r="B881" s="4" t="s">
        <v>43</v>
      </c>
      <c r="C881" s="4" t="s">
        <v>23</v>
      </c>
      <c r="D881" s="4" t="s">
        <v>44</v>
      </c>
      <c r="E881" s="4" t="s">
        <v>52</v>
      </c>
      <c r="F881" s="4" t="s">
        <v>54</v>
      </c>
      <c r="G881" s="4" t="s">
        <v>25</v>
      </c>
      <c r="H881" s="4" t="s">
        <v>25</v>
      </c>
      <c r="I881" s="5">
        <v>44652</v>
      </c>
      <c r="J881" s="6">
        <v>0</v>
      </c>
      <c r="K881" s="6">
        <v>0</v>
      </c>
      <c r="L881" s="6">
        <v>61.082999999999998</v>
      </c>
      <c r="M881" s="6">
        <v>24.433199999999999</v>
      </c>
      <c r="N881" s="6">
        <v>61.082999999999998</v>
      </c>
      <c r="O881" s="6">
        <v>24.433199999999999</v>
      </c>
      <c r="P881" s="6">
        <v>0</v>
      </c>
      <c r="Q881" s="4" t="s">
        <v>26</v>
      </c>
      <c r="R881" s="4">
        <v>0</v>
      </c>
      <c r="S881" s="6">
        <v>0</v>
      </c>
      <c r="T881" s="6">
        <v>29</v>
      </c>
      <c r="U881" s="6">
        <v>66</v>
      </c>
      <c r="V881" s="6">
        <f>IF(ISERROR(VLOOKUP($S$881,'TAR FIN'!$A$1:$O$85,15,0)),0,VLOOKUP($S$881,'TAR FIN'!$A$1:$O$85,15,0))</f>
        <v>0</v>
      </c>
      <c r="W881" s="6">
        <f>IF(ISERROR(VLOOKUP($T$881,'TAR FIN'!$A$1:$O$85,15,0)),0,VLOOKUP($T$881,'TAR FIN'!$A$1:$O$85,15,0))</f>
        <v>285.89</v>
      </c>
      <c r="X881" s="6">
        <f>IF(ISERROR(VLOOKUP($U$881,'TAR FIN'!$A$1:$O$85,15,0)),0,VLOOKUP($U$881,'TAR FIN'!$A$1:$O$85,15,0))</f>
        <v>283.83999999999997</v>
      </c>
      <c r="Y881" s="6"/>
      <c r="Z881" s="6">
        <f ca="1">('TUSD BE'!$AM$33+'TUSD BF'!$AM$33+'TUSD CVA'!$AM$33)*(1-CUSTOS!$M$38)</f>
        <v>408.71492269690788</v>
      </c>
      <c r="AA881" s="6">
        <f>('TE BE'!$AB$23+'TE BF'!$AB$23+'TE CVA'!$AB$23)*(1-CUSTOS!$M$38)</f>
        <v>300.75684149176499</v>
      </c>
      <c r="AB881" s="6">
        <f>$K$881*$V$881</f>
        <v>0</v>
      </c>
      <c r="AC881" s="6">
        <f>$M$881*$W$881</f>
        <v>6985.2075479999994</v>
      </c>
      <c r="AD881" s="6">
        <f>$O$881*$X$881</f>
        <v>6935.1194879999994</v>
      </c>
      <c r="AE881" s="6">
        <f>$K$881*$Y$881</f>
        <v>0</v>
      </c>
      <c r="AF881" s="6">
        <f ca="1">$M$881*$Z$881</f>
        <v>9986.2134492380901</v>
      </c>
      <c r="AG881" s="6">
        <f>$O$881*$AA$881</f>
        <v>7348.4520595365921</v>
      </c>
    </row>
    <row r="882" spans="1:33" ht="11.25" customHeight="1" x14ac:dyDescent="0.25">
      <c r="A882" s="4" t="s">
        <v>21</v>
      </c>
      <c r="B882" s="4" t="s">
        <v>43</v>
      </c>
      <c r="C882" s="4" t="s">
        <v>23</v>
      </c>
      <c r="D882" s="4" t="s">
        <v>44</v>
      </c>
      <c r="E882" s="4" t="s">
        <v>52</v>
      </c>
      <c r="F882" s="4" t="s">
        <v>54</v>
      </c>
      <c r="G882" s="4" t="s">
        <v>25</v>
      </c>
      <c r="H882" s="4" t="s">
        <v>25</v>
      </c>
      <c r="I882" s="5">
        <v>44682</v>
      </c>
      <c r="J882" s="6">
        <v>0</v>
      </c>
      <c r="K882" s="6">
        <v>0</v>
      </c>
      <c r="L882" s="6">
        <v>8382.3169999999991</v>
      </c>
      <c r="M882" s="6">
        <v>3352.9268000000002</v>
      </c>
      <c r="N882" s="6">
        <v>8382.3169999999991</v>
      </c>
      <c r="O882" s="6">
        <v>3352.9268000000002</v>
      </c>
      <c r="P882" s="6">
        <v>0</v>
      </c>
      <c r="Q882" s="4" t="s">
        <v>26</v>
      </c>
      <c r="R882" s="4">
        <v>0</v>
      </c>
      <c r="S882" s="6">
        <v>0</v>
      </c>
      <c r="T882" s="6">
        <v>29</v>
      </c>
      <c r="U882" s="6">
        <v>66</v>
      </c>
      <c r="V882" s="6">
        <f>IF(ISERROR(VLOOKUP($S$882,'TAR FIN'!$A$1:$O$85,15,0)),0,VLOOKUP($S$882,'TAR FIN'!$A$1:$O$85,15,0))</f>
        <v>0</v>
      </c>
      <c r="W882" s="6">
        <f>IF(ISERROR(VLOOKUP($T$882,'TAR FIN'!$A$1:$O$85,15,0)),0,VLOOKUP($T$882,'TAR FIN'!$A$1:$O$85,15,0))</f>
        <v>285.89</v>
      </c>
      <c r="X882" s="6">
        <f>IF(ISERROR(VLOOKUP($U$882,'TAR FIN'!$A$1:$O$85,15,0)),0,VLOOKUP($U$882,'TAR FIN'!$A$1:$O$85,15,0))</f>
        <v>283.83999999999997</v>
      </c>
      <c r="Y882" s="6"/>
      <c r="Z882" s="6">
        <f ca="1">('TUSD BE'!$AM$33+'TUSD BF'!$AM$33+'TUSD CVA'!$AM$33)*(1-CUSTOS!$M$38)</f>
        <v>408.71492269690788</v>
      </c>
      <c r="AA882" s="6">
        <f>('TE BE'!$AB$23+'TE BF'!$AB$23+'TE CVA'!$AB$23)*(1-CUSTOS!$M$38)</f>
        <v>300.75684149176499</v>
      </c>
      <c r="AB882" s="6">
        <f>$K$882*$V$882</f>
        <v>0</v>
      </c>
      <c r="AC882" s="6">
        <f>$M$882*$W$882</f>
        <v>958568.24285200005</v>
      </c>
      <c r="AD882" s="6">
        <f>$O$882*$X$882</f>
        <v>951694.74291199993</v>
      </c>
      <c r="AE882" s="6">
        <f>$K$882*$Y$882</f>
        <v>0</v>
      </c>
      <c r="AF882" s="6">
        <f ca="1">$M$882*$Z$882</f>
        <v>1370391.2178703907</v>
      </c>
      <c r="AG882" s="6">
        <f>$O$882*$AA$882</f>
        <v>1008415.6741210909</v>
      </c>
    </row>
    <row r="883" spans="1:33" ht="11.25" customHeight="1" x14ac:dyDescent="0.25">
      <c r="A883" s="4" t="s">
        <v>27</v>
      </c>
      <c r="B883" s="4" t="s">
        <v>43</v>
      </c>
      <c r="C883" s="4" t="s">
        <v>23</v>
      </c>
      <c r="D883" s="4" t="s">
        <v>44</v>
      </c>
      <c r="E883" s="4" t="s">
        <v>52</v>
      </c>
      <c r="F883" s="4" t="s">
        <v>54</v>
      </c>
      <c r="G883" s="4" t="s">
        <v>25</v>
      </c>
      <c r="H883" s="4" t="s">
        <v>25</v>
      </c>
      <c r="I883" s="5">
        <v>44682</v>
      </c>
      <c r="J883" s="6">
        <v>0</v>
      </c>
      <c r="K883" s="6">
        <v>0</v>
      </c>
      <c r="L883" s="6">
        <v>-0.59699999999999998</v>
      </c>
      <c r="M883" s="6">
        <v>-0.16119</v>
      </c>
      <c r="N883" s="6">
        <v>-0.59699999999999998</v>
      </c>
      <c r="O883" s="6">
        <v>-0.16119</v>
      </c>
      <c r="P883" s="6">
        <v>0</v>
      </c>
      <c r="Q883" s="4" t="s">
        <v>26</v>
      </c>
      <c r="R883" s="4">
        <v>0</v>
      </c>
      <c r="S883" s="6">
        <v>0</v>
      </c>
      <c r="T883" s="6">
        <v>29</v>
      </c>
      <c r="U883" s="6">
        <v>66</v>
      </c>
      <c r="V883" s="6">
        <f>IF(ISERROR(VLOOKUP($S$883,'TAR FIN'!$A$1:$O$85,15,0)),0,VLOOKUP($S$883,'TAR FIN'!$A$1:$O$85,15,0))</f>
        <v>0</v>
      </c>
      <c r="W883" s="6">
        <f>IF(ISERROR(VLOOKUP($T$883,'TAR FIN'!$A$1:$O$85,15,0)),0,VLOOKUP($T$883,'TAR FIN'!$A$1:$O$85,15,0))</f>
        <v>285.89</v>
      </c>
      <c r="X883" s="6">
        <f>IF(ISERROR(VLOOKUP($U$883,'TAR FIN'!$A$1:$O$85,15,0)),0,VLOOKUP($U$883,'TAR FIN'!$A$1:$O$85,15,0))</f>
        <v>283.83999999999997</v>
      </c>
      <c r="Y883" s="6"/>
      <c r="Z883" s="6">
        <f ca="1">('TUSD BE'!$AM$33+'TUSD BF'!$AM$33+'TUSD CVA'!$AM$33)*(1-CUSTOS!$M$38)</f>
        <v>408.71492269690788</v>
      </c>
      <c r="AA883" s="6">
        <f>('TE BE'!$AB$23+'TE BF'!$AB$23+'TE CVA'!$AB$23)*(1-CUSTOS!$M$38)</f>
        <v>300.75684149176499</v>
      </c>
      <c r="AB883" s="6">
        <f>$K$883*$V$883</f>
        <v>0</v>
      </c>
      <c r="AC883" s="6">
        <f>$M$883*$W$883</f>
        <v>-46.082609099999999</v>
      </c>
      <c r="AD883" s="6">
        <f>$O$883*$X$883</f>
        <v>-45.752169599999995</v>
      </c>
      <c r="AE883" s="6">
        <f>$K$883*$Y$883</f>
        <v>0</v>
      </c>
      <c r="AF883" s="6">
        <f ca="1">$M$883*$Z$883</f>
        <v>-65.880758389514583</v>
      </c>
      <c r="AG883" s="6">
        <f>$O$883*$AA$883</f>
        <v>-48.478995280057596</v>
      </c>
    </row>
    <row r="884" spans="1:33" ht="11.25" customHeight="1" x14ac:dyDescent="0.25">
      <c r="A884" s="4" t="s">
        <v>28</v>
      </c>
      <c r="B884" s="4" t="s">
        <v>43</v>
      </c>
      <c r="C884" s="4" t="s">
        <v>23</v>
      </c>
      <c r="D884" s="4" t="s">
        <v>44</v>
      </c>
      <c r="E884" s="4" t="s">
        <v>52</v>
      </c>
      <c r="F884" s="4" t="s">
        <v>54</v>
      </c>
      <c r="G884" s="4" t="s">
        <v>25</v>
      </c>
      <c r="H884" s="4" t="s">
        <v>25</v>
      </c>
      <c r="I884" s="5">
        <v>44682</v>
      </c>
      <c r="J884" s="6">
        <v>0</v>
      </c>
      <c r="K884" s="6">
        <v>0</v>
      </c>
      <c r="L884" s="6">
        <v>127.547</v>
      </c>
      <c r="M884" s="6">
        <v>51.018799999999999</v>
      </c>
      <c r="N884" s="6">
        <v>127.547</v>
      </c>
      <c r="O884" s="6">
        <v>51.018799999999999</v>
      </c>
      <c r="P884" s="6">
        <v>0</v>
      </c>
      <c r="Q884" s="4" t="s">
        <v>26</v>
      </c>
      <c r="R884" s="4">
        <v>0</v>
      </c>
      <c r="S884" s="6">
        <v>0</v>
      </c>
      <c r="T884" s="6">
        <v>29</v>
      </c>
      <c r="U884" s="6">
        <v>66</v>
      </c>
      <c r="V884" s="6">
        <f>IF(ISERROR(VLOOKUP($S$884,'TAR FIN'!$A$1:$O$85,15,0)),0,VLOOKUP($S$884,'TAR FIN'!$A$1:$O$85,15,0))</f>
        <v>0</v>
      </c>
      <c r="W884" s="6">
        <f>IF(ISERROR(VLOOKUP($T$884,'TAR FIN'!$A$1:$O$85,15,0)),0,VLOOKUP($T$884,'TAR FIN'!$A$1:$O$85,15,0))</f>
        <v>285.89</v>
      </c>
      <c r="X884" s="6">
        <f>IF(ISERROR(VLOOKUP($U$884,'TAR FIN'!$A$1:$O$85,15,0)),0,VLOOKUP($U$884,'TAR FIN'!$A$1:$O$85,15,0))</f>
        <v>283.83999999999997</v>
      </c>
      <c r="Y884" s="6"/>
      <c r="Z884" s="6">
        <f ca="1">('TUSD BE'!$AM$33+'TUSD BF'!$AM$33+'TUSD CVA'!$AM$33)*(1-CUSTOS!$M$38)</f>
        <v>408.71492269690788</v>
      </c>
      <c r="AA884" s="6">
        <f>('TE BE'!$AB$23+'TE BF'!$AB$23+'TE CVA'!$AB$23)*(1-CUSTOS!$M$38)</f>
        <v>300.75684149176499</v>
      </c>
      <c r="AB884" s="6">
        <f>$K$884*$V$884</f>
        <v>0</v>
      </c>
      <c r="AC884" s="6">
        <f>$M$884*$W$884</f>
        <v>14585.764732</v>
      </c>
      <c r="AD884" s="6">
        <f>$O$884*$X$884</f>
        <v>14481.176191999999</v>
      </c>
      <c r="AE884" s="6">
        <f>$K$884*$Y$884</f>
        <v>0</v>
      </c>
      <c r="AF884" s="6">
        <f ca="1">$M$884*$Z$884</f>
        <v>20852.144898089002</v>
      </c>
      <c r="AG884" s="6">
        <f>$O$884*$AA$884</f>
        <v>15344.253144700058</v>
      </c>
    </row>
    <row r="885" spans="1:33" ht="11.25" customHeight="1" x14ac:dyDescent="0.25">
      <c r="A885" s="4" t="s">
        <v>28</v>
      </c>
      <c r="B885" s="4" t="s">
        <v>43</v>
      </c>
      <c r="C885" s="4" t="s">
        <v>23</v>
      </c>
      <c r="D885" s="4" t="s">
        <v>44</v>
      </c>
      <c r="E885" s="4" t="s">
        <v>52</v>
      </c>
      <c r="F885" s="4" t="s">
        <v>54</v>
      </c>
      <c r="G885" s="4" t="s">
        <v>25</v>
      </c>
      <c r="H885" s="4" t="s">
        <v>25</v>
      </c>
      <c r="I885" s="5">
        <v>44682</v>
      </c>
      <c r="J885" s="6">
        <v>0</v>
      </c>
      <c r="K885" s="6">
        <v>0</v>
      </c>
      <c r="L885" s="6">
        <v>0.13</v>
      </c>
      <c r="M885" s="6">
        <v>3.5099999999999999E-2</v>
      </c>
      <c r="N885" s="6">
        <v>0.13</v>
      </c>
      <c r="O885" s="6">
        <v>3.5099999999999999E-2</v>
      </c>
      <c r="P885" s="6">
        <v>0</v>
      </c>
      <c r="Q885" s="4" t="s">
        <v>26</v>
      </c>
      <c r="R885" s="4">
        <v>0</v>
      </c>
      <c r="S885" s="6">
        <v>0</v>
      </c>
      <c r="T885" s="6">
        <v>29</v>
      </c>
      <c r="U885" s="6">
        <v>66</v>
      </c>
      <c r="V885" s="6">
        <f>IF(ISERROR(VLOOKUP($S$885,'TAR FIN'!$A$1:$O$85,15,0)),0,VLOOKUP($S$885,'TAR FIN'!$A$1:$O$85,15,0))</f>
        <v>0</v>
      </c>
      <c r="W885" s="6">
        <f>IF(ISERROR(VLOOKUP($T$885,'TAR FIN'!$A$1:$O$85,15,0)),0,VLOOKUP($T$885,'TAR FIN'!$A$1:$O$85,15,0))</f>
        <v>285.89</v>
      </c>
      <c r="X885" s="6">
        <f>IF(ISERROR(VLOOKUP($U$885,'TAR FIN'!$A$1:$O$85,15,0)),0,VLOOKUP($U$885,'TAR FIN'!$A$1:$O$85,15,0))</f>
        <v>283.83999999999997</v>
      </c>
      <c r="Y885" s="6"/>
      <c r="Z885" s="6">
        <f ca="1">('TUSD BE'!$AM$33+'TUSD BF'!$AM$33+'TUSD CVA'!$AM$33)*(1-CUSTOS!$M$38)</f>
        <v>408.71492269690788</v>
      </c>
      <c r="AA885" s="6">
        <f>('TE BE'!$AB$23+'TE BF'!$AB$23+'TE CVA'!$AB$23)*(1-CUSTOS!$M$38)</f>
        <v>300.75684149176499</v>
      </c>
      <c r="AB885" s="6">
        <f>$K$885*$V$885</f>
        <v>0</v>
      </c>
      <c r="AC885" s="6">
        <f>$M$885*$W$885</f>
        <v>10.034739</v>
      </c>
      <c r="AD885" s="6">
        <f>$O$885*$X$885</f>
        <v>9.9627839999999992</v>
      </c>
      <c r="AE885" s="6">
        <f>$K$885*$Y$885</f>
        <v>0</v>
      </c>
      <c r="AF885" s="6">
        <f ca="1">$M$885*$Z$885</f>
        <v>14.345893786661467</v>
      </c>
      <c r="AG885" s="6">
        <f>$O$885*$AA$885</f>
        <v>10.55656513636095</v>
      </c>
    </row>
    <row r="886" spans="1:33" ht="11.25" customHeight="1" x14ac:dyDescent="0.25">
      <c r="A886" s="4" t="s">
        <v>21</v>
      </c>
      <c r="B886" s="4" t="s">
        <v>43</v>
      </c>
      <c r="C886" s="4" t="s">
        <v>23</v>
      </c>
      <c r="D886" s="4" t="s">
        <v>44</v>
      </c>
      <c r="E886" s="4" t="s">
        <v>52</v>
      </c>
      <c r="F886" s="4" t="s">
        <v>54</v>
      </c>
      <c r="G886" s="4" t="s">
        <v>25</v>
      </c>
      <c r="H886" s="4" t="s">
        <v>25</v>
      </c>
      <c r="I886" s="5">
        <v>44713</v>
      </c>
      <c r="J886" s="6">
        <v>0</v>
      </c>
      <c r="K886" s="6">
        <v>0</v>
      </c>
      <c r="L886" s="6">
        <v>6080.9279999999999</v>
      </c>
      <c r="M886" s="6">
        <v>2432.3712</v>
      </c>
      <c r="N886" s="6">
        <v>6080.9279999999999</v>
      </c>
      <c r="O886" s="6">
        <v>2432.3712</v>
      </c>
      <c r="P886" s="6">
        <v>0</v>
      </c>
      <c r="Q886" s="4" t="s">
        <v>26</v>
      </c>
      <c r="R886" s="4">
        <v>0</v>
      </c>
      <c r="S886" s="6">
        <v>0</v>
      </c>
      <c r="T886" s="6">
        <v>29</v>
      </c>
      <c r="U886" s="6">
        <v>66</v>
      </c>
      <c r="V886" s="6">
        <f>IF(ISERROR(VLOOKUP($S$886,'TAR FIN'!$A$1:$O$85,15,0)),0,VLOOKUP($S$886,'TAR FIN'!$A$1:$O$85,15,0))</f>
        <v>0</v>
      </c>
      <c r="W886" s="6">
        <f>IF(ISERROR(VLOOKUP($T$886,'TAR FIN'!$A$1:$O$85,15,0)),0,VLOOKUP($T$886,'TAR FIN'!$A$1:$O$85,15,0))</f>
        <v>285.89</v>
      </c>
      <c r="X886" s="6">
        <f>IF(ISERROR(VLOOKUP($U$886,'TAR FIN'!$A$1:$O$85,15,0)),0,VLOOKUP($U$886,'TAR FIN'!$A$1:$O$85,15,0))</f>
        <v>283.83999999999997</v>
      </c>
      <c r="Y886" s="6"/>
      <c r="Z886" s="6">
        <f ca="1">('TUSD BE'!$AM$33+'TUSD BF'!$AM$33+'TUSD CVA'!$AM$33)*(1-CUSTOS!$M$38)</f>
        <v>408.71492269690788</v>
      </c>
      <c r="AA886" s="6">
        <f>('TE BE'!$AB$23+'TE BF'!$AB$23+'TE CVA'!$AB$23)*(1-CUSTOS!$M$38)</f>
        <v>300.75684149176499</v>
      </c>
      <c r="AB886" s="6">
        <f>$K$886*$V$886</f>
        <v>0</v>
      </c>
      <c r="AC886" s="6">
        <f>$M$886*$W$886</f>
        <v>695390.60236799996</v>
      </c>
      <c r="AD886" s="6">
        <f>$O$886*$X$886</f>
        <v>690404.241408</v>
      </c>
      <c r="AE886" s="6">
        <f>$K$886*$Y$886</f>
        <v>0</v>
      </c>
      <c r="AF886" s="6">
        <f ca="1">$M$886*$Z$886</f>
        <v>994146.40697818506</v>
      </c>
      <c r="AG886" s="6">
        <f>$O$886*$AA$886</f>
        <v>731552.27944753424</v>
      </c>
    </row>
    <row r="887" spans="1:33" ht="11.25" customHeight="1" x14ac:dyDescent="0.25">
      <c r="A887" s="4" t="s">
        <v>27</v>
      </c>
      <c r="B887" s="4" t="s">
        <v>43</v>
      </c>
      <c r="C887" s="4" t="s">
        <v>23</v>
      </c>
      <c r="D887" s="4" t="s">
        <v>44</v>
      </c>
      <c r="E887" s="4" t="s">
        <v>52</v>
      </c>
      <c r="F887" s="4" t="s">
        <v>54</v>
      </c>
      <c r="G887" s="4" t="s">
        <v>25</v>
      </c>
      <c r="H887" s="4" t="s">
        <v>25</v>
      </c>
      <c r="I887" s="5">
        <v>44713</v>
      </c>
      <c r="J887" s="6">
        <v>0</v>
      </c>
      <c r="K887" s="6">
        <v>0</v>
      </c>
      <c r="L887" s="6">
        <v>2.972</v>
      </c>
      <c r="M887" s="6">
        <v>0.80244000000000004</v>
      </c>
      <c r="N887" s="6">
        <v>2.972</v>
      </c>
      <c r="O887" s="6">
        <v>0.80244000000000004</v>
      </c>
      <c r="P887" s="6">
        <v>0</v>
      </c>
      <c r="Q887" s="4" t="s">
        <v>26</v>
      </c>
      <c r="R887" s="4">
        <v>0</v>
      </c>
      <c r="S887" s="6">
        <v>0</v>
      </c>
      <c r="T887" s="6">
        <v>29</v>
      </c>
      <c r="U887" s="6">
        <v>66</v>
      </c>
      <c r="V887" s="6">
        <f>IF(ISERROR(VLOOKUP($S$887,'TAR FIN'!$A$1:$O$85,15,0)),0,VLOOKUP($S$887,'TAR FIN'!$A$1:$O$85,15,0))</f>
        <v>0</v>
      </c>
      <c r="W887" s="6">
        <f>IF(ISERROR(VLOOKUP($T$887,'TAR FIN'!$A$1:$O$85,15,0)),0,VLOOKUP($T$887,'TAR FIN'!$A$1:$O$85,15,0))</f>
        <v>285.89</v>
      </c>
      <c r="X887" s="6">
        <f>IF(ISERROR(VLOOKUP($U$887,'TAR FIN'!$A$1:$O$85,15,0)),0,VLOOKUP($U$887,'TAR FIN'!$A$1:$O$85,15,0))</f>
        <v>283.83999999999997</v>
      </c>
      <c r="Y887" s="6"/>
      <c r="Z887" s="6">
        <f ca="1">('TUSD BE'!$AM$33+'TUSD BF'!$AM$33+'TUSD CVA'!$AM$33)*(1-CUSTOS!$M$38)</f>
        <v>408.71492269690788</v>
      </c>
      <c r="AA887" s="6">
        <f>('TE BE'!$AB$23+'TE BF'!$AB$23+'TE CVA'!$AB$23)*(1-CUSTOS!$M$38)</f>
        <v>300.75684149176499</v>
      </c>
      <c r="AB887" s="6">
        <f>$K$887*$V$887</f>
        <v>0</v>
      </c>
      <c r="AC887" s="6">
        <f>$M$887*$W$887</f>
        <v>229.40957159999999</v>
      </c>
      <c r="AD887" s="6">
        <f>$O$887*$X$887</f>
        <v>227.76456959999999</v>
      </c>
      <c r="AE887" s="6">
        <f>$K$887*$Y$887</f>
        <v>0</v>
      </c>
      <c r="AF887" s="6">
        <f ca="1">$M$887*$Z$887</f>
        <v>327.96920256890678</v>
      </c>
      <c r="AG887" s="6">
        <f>$O$887*$AA$887</f>
        <v>241.33931988665191</v>
      </c>
    </row>
    <row r="888" spans="1:33" ht="11.25" customHeight="1" x14ac:dyDescent="0.25">
      <c r="A888" s="4" t="s">
        <v>28</v>
      </c>
      <c r="B888" s="4" t="s">
        <v>43</v>
      </c>
      <c r="C888" s="4" t="s">
        <v>23</v>
      </c>
      <c r="D888" s="4" t="s">
        <v>44</v>
      </c>
      <c r="E888" s="4" t="s">
        <v>52</v>
      </c>
      <c r="F888" s="4" t="s">
        <v>54</v>
      </c>
      <c r="G888" s="4" t="s">
        <v>25</v>
      </c>
      <c r="H888" s="4" t="s">
        <v>25</v>
      </c>
      <c r="I888" s="5">
        <v>44713</v>
      </c>
      <c r="J888" s="6">
        <v>0</v>
      </c>
      <c r="K888" s="6">
        <v>0</v>
      </c>
      <c r="L888" s="6">
        <v>75.545000000000002</v>
      </c>
      <c r="M888" s="6">
        <v>30.218</v>
      </c>
      <c r="N888" s="6">
        <v>75.545000000000002</v>
      </c>
      <c r="O888" s="6">
        <v>30.218</v>
      </c>
      <c r="P888" s="6">
        <v>0</v>
      </c>
      <c r="Q888" s="4" t="s">
        <v>26</v>
      </c>
      <c r="R888" s="4">
        <v>0</v>
      </c>
      <c r="S888" s="6">
        <v>0</v>
      </c>
      <c r="T888" s="6">
        <v>29</v>
      </c>
      <c r="U888" s="6">
        <v>66</v>
      </c>
      <c r="V888" s="6">
        <f>IF(ISERROR(VLOOKUP($S$888,'TAR FIN'!$A$1:$O$85,15,0)),0,VLOOKUP($S$888,'TAR FIN'!$A$1:$O$85,15,0))</f>
        <v>0</v>
      </c>
      <c r="W888" s="6">
        <f>IF(ISERROR(VLOOKUP($T$888,'TAR FIN'!$A$1:$O$85,15,0)),0,VLOOKUP($T$888,'TAR FIN'!$A$1:$O$85,15,0))</f>
        <v>285.89</v>
      </c>
      <c r="X888" s="6">
        <f>IF(ISERROR(VLOOKUP($U$888,'TAR FIN'!$A$1:$O$85,15,0)),0,VLOOKUP($U$888,'TAR FIN'!$A$1:$O$85,15,0))</f>
        <v>283.83999999999997</v>
      </c>
      <c r="Y888" s="6"/>
      <c r="Z888" s="6">
        <f ca="1">('TUSD BE'!$AM$33+'TUSD BF'!$AM$33+'TUSD CVA'!$AM$33)*(1-CUSTOS!$M$38)</f>
        <v>408.71492269690788</v>
      </c>
      <c r="AA888" s="6">
        <f>('TE BE'!$AB$23+'TE BF'!$AB$23+'TE CVA'!$AB$23)*(1-CUSTOS!$M$38)</f>
        <v>300.75684149176499</v>
      </c>
      <c r="AB888" s="6">
        <f>$K$888*$V$888</f>
        <v>0</v>
      </c>
      <c r="AC888" s="6">
        <f>$M$888*$W$888</f>
        <v>8639.0240199999989</v>
      </c>
      <c r="AD888" s="6">
        <f>$O$888*$X$888</f>
        <v>8577.0771199999999</v>
      </c>
      <c r="AE888" s="6">
        <f>$K$888*$Y$888</f>
        <v>0</v>
      </c>
      <c r="AF888" s="6">
        <f ca="1">$M$888*$Z$888</f>
        <v>12350.547534055162</v>
      </c>
      <c r="AG888" s="6">
        <f>$O$888*$AA$888</f>
        <v>9088.2702361981537</v>
      </c>
    </row>
    <row r="889" spans="1:33" ht="11.25" customHeight="1" x14ac:dyDescent="0.25">
      <c r="A889" s="4" t="s">
        <v>21</v>
      </c>
      <c r="B889" s="4" t="s">
        <v>43</v>
      </c>
      <c r="C889" s="4" t="s">
        <v>23</v>
      </c>
      <c r="D889" s="4" t="s">
        <v>44</v>
      </c>
      <c r="E889" s="4" t="s">
        <v>52</v>
      </c>
      <c r="F889" s="4" t="s">
        <v>54</v>
      </c>
      <c r="G889" s="4" t="s">
        <v>25</v>
      </c>
      <c r="H889" s="4" t="s">
        <v>25</v>
      </c>
      <c r="I889" s="5">
        <v>44743</v>
      </c>
      <c r="J889" s="6">
        <v>0</v>
      </c>
      <c r="K889" s="6">
        <v>0</v>
      </c>
      <c r="L889" s="6">
        <v>7343.5330000000004</v>
      </c>
      <c r="M889" s="6">
        <v>2937.4132</v>
      </c>
      <c r="N889" s="6">
        <v>7343.5330000000004</v>
      </c>
      <c r="O889" s="6">
        <v>2937.4132</v>
      </c>
      <c r="P889" s="6">
        <v>0</v>
      </c>
      <c r="Q889" s="4" t="s">
        <v>26</v>
      </c>
      <c r="R889" s="4">
        <v>0</v>
      </c>
      <c r="S889" s="6">
        <v>0</v>
      </c>
      <c r="T889" s="6">
        <v>29</v>
      </c>
      <c r="U889" s="6">
        <v>66</v>
      </c>
      <c r="V889" s="6">
        <f>IF(ISERROR(VLOOKUP($S$889,'TAR FIN'!$A$1:$O$85,15,0)),0,VLOOKUP($S$889,'TAR FIN'!$A$1:$O$85,15,0))</f>
        <v>0</v>
      </c>
      <c r="W889" s="6">
        <f>IF(ISERROR(VLOOKUP($T$889,'TAR FIN'!$A$1:$O$85,15,0)),0,VLOOKUP($T$889,'TAR FIN'!$A$1:$O$85,15,0))</f>
        <v>285.89</v>
      </c>
      <c r="X889" s="6">
        <f>IF(ISERROR(VLOOKUP($U$889,'TAR FIN'!$A$1:$O$85,15,0)),0,VLOOKUP($U$889,'TAR FIN'!$A$1:$O$85,15,0))</f>
        <v>283.83999999999997</v>
      </c>
      <c r="Y889" s="6"/>
      <c r="Z889" s="6">
        <f ca="1">('TUSD BE'!$AM$33+'TUSD BF'!$AM$33+'TUSD CVA'!$AM$33)*(1-CUSTOS!$M$38)</f>
        <v>408.71492269690788</v>
      </c>
      <c r="AA889" s="6">
        <f>('TE BE'!$AB$23+'TE BF'!$AB$23+'TE CVA'!$AB$23)*(1-CUSTOS!$M$38)</f>
        <v>300.75684149176499</v>
      </c>
      <c r="AB889" s="6">
        <f>$K$889*$V$889</f>
        <v>0</v>
      </c>
      <c r="AC889" s="6">
        <f>$M$889*$W$889</f>
        <v>839777.059748</v>
      </c>
      <c r="AD889" s="6">
        <f>$O$889*$X$889</f>
        <v>833755.36268799996</v>
      </c>
      <c r="AE889" s="6">
        <f>$K$889*$Y$889</f>
        <v>0</v>
      </c>
      <c r="AF889" s="6">
        <f ca="1">$M$889*$Z$889</f>
        <v>1200564.6089668768</v>
      </c>
      <c r="AG889" s="6">
        <f>$O$889*$AA$889</f>
        <v>883447.11618821812</v>
      </c>
    </row>
    <row r="890" spans="1:33" ht="11.25" customHeight="1" x14ac:dyDescent="0.25">
      <c r="A890" s="4" t="s">
        <v>27</v>
      </c>
      <c r="B890" s="4" t="s">
        <v>43</v>
      </c>
      <c r="C890" s="4" t="s">
        <v>23</v>
      </c>
      <c r="D890" s="4" t="s">
        <v>44</v>
      </c>
      <c r="E890" s="4" t="s">
        <v>52</v>
      </c>
      <c r="F890" s="4" t="s">
        <v>54</v>
      </c>
      <c r="G890" s="4" t="s">
        <v>25</v>
      </c>
      <c r="H890" s="4" t="s">
        <v>25</v>
      </c>
      <c r="I890" s="5">
        <v>44743</v>
      </c>
      <c r="J890" s="6">
        <v>0</v>
      </c>
      <c r="K890" s="6">
        <v>0</v>
      </c>
      <c r="L890" s="6">
        <v>10.722</v>
      </c>
      <c r="M890" s="6">
        <v>2.8949400000000001</v>
      </c>
      <c r="N890" s="6">
        <v>10.722</v>
      </c>
      <c r="O890" s="6">
        <v>2.8949400000000001</v>
      </c>
      <c r="P890" s="6">
        <v>0</v>
      </c>
      <c r="Q890" s="4" t="s">
        <v>26</v>
      </c>
      <c r="R890" s="4">
        <v>0</v>
      </c>
      <c r="S890" s="6">
        <v>0</v>
      </c>
      <c r="T890" s="6">
        <v>29</v>
      </c>
      <c r="U890" s="6">
        <v>66</v>
      </c>
      <c r="V890" s="6">
        <f>IF(ISERROR(VLOOKUP($S$890,'TAR FIN'!$A$1:$O$85,15,0)),0,VLOOKUP($S$890,'TAR FIN'!$A$1:$O$85,15,0))</f>
        <v>0</v>
      </c>
      <c r="W890" s="6">
        <f>IF(ISERROR(VLOOKUP($T$890,'TAR FIN'!$A$1:$O$85,15,0)),0,VLOOKUP($T$890,'TAR FIN'!$A$1:$O$85,15,0))</f>
        <v>285.89</v>
      </c>
      <c r="X890" s="6">
        <f>IF(ISERROR(VLOOKUP($U$890,'TAR FIN'!$A$1:$O$85,15,0)),0,VLOOKUP($U$890,'TAR FIN'!$A$1:$O$85,15,0))</f>
        <v>283.83999999999997</v>
      </c>
      <c r="Y890" s="6"/>
      <c r="Z890" s="6">
        <f ca="1">('TUSD BE'!$AM$33+'TUSD BF'!$AM$33+'TUSD CVA'!$AM$33)*(1-CUSTOS!$M$38)</f>
        <v>408.71492269690788</v>
      </c>
      <c r="AA890" s="6">
        <f>('TE BE'!$AB$23+'TE BF'!$AB$23+'TE CVA'!$AB$23)*(1-CUSTOS!$M$38)</f>
        <v>300.75684149176499</v>
      </c>
      <c r="AB890" s="6">
        <f>$K$890*$V$890</f>
        <v>0</v>
      </c>
      <c r="AC890" s="6">
        <f>$M$890*$W$890</f>
        <v>827.63439659999995</v>
      </c>
      <c r="AD890" s="6">
        <f>$O$890*$X$890</f>
        <v>821.69976959999997</v>
      </c>
      <c r="AE890" s="6">
        <f>$K$890*$Y$890</f>
        <v>0</v>
      </c>
      <c r="AF890" s="6">
        <f ca="1">$M$890*$Z$890</f>
        <v>1183.2051783121865</v>
      </c>
      <c r="AG890" s="6">
        <f>$O$890*$AA$890</f>
        <v>870.67301070817018</v>
      </c>
    </row>
    <row r="891" spans="1:33" ht="11.25" customHeight="1" x14ac:dyDescent="0.25">
      <c r="A891" s="4" t="s">
        <v>28</v>
      </c>
      <c r="B891" s="4" t="s">
        <v>43</v>
      </c>
      <c r="C891" s="4" t="s">
        <v>23</v>
      </c>
      <c r="D891" s="4" t="s">
        <v>44</v>
      </c>
      <c r="E891" s="4" t="s">
        <v>52</v>
      </c>
      <c r="F891" s="4" t="s">
        <v>54</v>
      </c>
      <c r="G891" s="4" t="s">
        <v>25</v>
      </c>
      <c r="H891" s="4" t="s">
        <v>25</v>
      </c>
      <c r="I891" s="5">
        <v>44743</v>
      </c>
      <c r="J891" s="6">
        <v>0</v>
      </c>
      <c r="K891" s="6">
        <v>0</v>
      </c>
      <c r="L891" s="6">
        <v>167.989</v>
      </c>
      <c r="M891" s="6">
        <v>67.195599999999999</v>
      </c>
      <c r="N891" s="6">
        <v>167.989</v>
      </c>
      <c r="O891" s="6">
        <v>67.195599999999999</v>
      </c>
      <c r="P891" s="6">
        <v>0</v>
      </c>
      <c r="Q891" s="4" t="s">
        <v>26</v>
      </c>
      <c r="R891" s="4">
        <v>0</v>
      </c>
      <c r="S891" s="6">
        <v>0</v>
      </c>
      <c r="T891" s="6">
        <v>29</v>
      </c>
      <c r="U891" s="6">
        <v>66</v>
      </c>
      <c r="V891" s="6">
        <f>IF(ISERROR(VLOOKUP($S$891,'TAR FIN'!$A$1:$O$85,15,0)),0,VLOOKUP($S$891,'TAR FIN'!$A$1:$O$85,15,0))</f>
        <v>0</v>
      </c>
      <c r="W891" s="6">
        <f>IF(ISERROR(VLOOKUP($T$891,'TAR FIN'!$A$1:$O$85,15,0)),0,VLOOKUP($T$891,'TAR FIN'!$A$1:$O$85,15,0))</f>
        <v>285.89</v>
      </c>
      <c r="X891" s="6">
        <f>IF(ISERROR(VLOOKUP($U$891,'TAR FIN'!$A$1:$O$85,15,0)),0,VLOOKUP($U$891,'TAR FIN'!$A$1:$O$85,15,0))</f>
        <v>283.83999999999997</v>
      </c>
      <c r="Y891" s="6"/>
      <c r="Z891" s="6">
        <f ca="1">('TUSD BE'!$AM$33+'TUSD BF'!$AM$33+'TUSD CVA'!$AM$33)*(1-CUSTOS!$M$38)</f>
        <v>408.71492269690788</v>
      </c>
      <c r="AA891" s="6">
        <f>('TE BE'!$AB$23+'TE BF'!$AB$23+'TE CVA'!$AB$23)*(1-CUSTOS!$M$38)</f>
        <v>300.75684149176499</v>
      </c>
      <c r="AB891" s="6">
        <f>$K$891*$V$891</f>
        <v>0</v>
      </c>
      <c r="AC891" s="6">
        <f>$M$891*$W$891</f>
        <v>19210.550083999999</v>
      </c>
      <c r="AD891" s="6">
        <f>$O$891*$X$891</f>
        <v>19072.799103999998</v>
      </c>
      <c r="AE891" s="6">
        <f>$K$891*$Y$891</f>
        <v>0</v>
      </c>
      <c r="AF891" s="6">
        <f ca="1">$M$891*$Z$891</f>
        <v>27463.844459572341</v>
      </c>
      <c r="AG891" s="6">
        <f>$O$891*$AA$891</f>
        <v>20209.536418144042</v>
      </c>
    </row>
    <row r="892" spans="1:33" ht="11.25" customHeight="1" x14ac:dyDescent="0.25">
      <c r="A892" s="4" t="s">
        <v>56</v>
      </c>
      <c r="B892" s="4" t="s">
        <v>43</v>
      </c>
      <c r="C892" s="4" t="s">
        <v>23</v>
      </c>
      <c r="D892" s="4" t="s">
        <v>44</v>
      </c>
      <c r="E892" s="4" t="s">
        <v>52</v>
      </c>
      <c r="F892" s="4" t="s">
        <v>54</v>
      </c>
      <c r="G892" s="4" t="s">
        <v>25</v>
      </c>
      <c r="H892" s="4" t="s">
        <v>25</v>
      </c>
      <c r="I892" s="5">
        <v>44774</v>
      </c>
      <c r="J892" s="6">
        <v>0</v>
      </c>
      <c r="K892" s="6">
        <v>0</v>
      </c>
      <c r="L892" s="6">
        <v>7343.5330000000004</v>
      </c>
      <c r="M892" s="6">
        <v>2937.4132</v>
      </c>
      <c r="N892" s="6">
        <v>7343.5330000000004</v>
      </c>
      <c r="O892" s="6">
        <v>2937.4132</v>
      </c>
      <c r="P892" s="6">
        <v>0</v>
      </c>
      <c r="Q892" s="4" t="s">
        <v>26</v>
      </c>
      <c r="R892" s="4">
        <v>0</v>
      </c>
      <c r="S892" s="6">
        <v>0</v>
      </c>
      <c r="T892" s="6">
        <v>29</v>
      </c>
      <c r="U892" s="6">
        <v>66</v>
      </c>
      <c r="V892" s="6">
        <f>IF(ISERROR(VLOOKUP($S$892,'TAR FIN'!$A$1:$O$85,15,0)),0,VLOOKUP($S$892,'TAR FIN'!$A$1:$O$85,15,0))</f>
        <v>0</v>
      </c>
      <c r="W892" s="6">
        <f>IF(ISERROR(VLOOKUP($T$892,'TAR FIN'!$A$1:$O$85,15,0)),0,VLOOKUP($T$892,'TAR FIN'!$A$1:$O$85,15,0))</f>
        <v>285.89</v>
      </c>
      <c r="X892" s="6">
        <f>IF(ISERROR(VLOOKUP($U$892,'TAR FIN'!$A$1:$O$85,15,0)),0,VLOOKUP($U$892,'TAR FIN'!$A$1:$O$85,15,0))</f>
        <v>283.83999999999997</v>
      </c>
      <c r="Y892" s="6"/>
      <c r="Z892" s="6">
        <f ca="1">('TUSD BE'!$AM$33+'TUSD BF'!$AM$33+'TUSD CVA'!$AM$33)*(1-CUSTOS!$M$38)</f>
        <v>408.71492269690788</v>
      </c>
      <c r="AA892" s="6">
        <f>('TE BE'!$AB$23+'TE BF'!$AB$23+'TE CVA'!$AB$23)*(1-CUSTOS!$M$38)</f>
        <v>300.75684149176499</v>
      </c>
      <c r="AB892" s="6">
        <f>$K$892*$V$892</f>
        <v>0</v>
      </c>
      <c r="AC892" s="6">
        <f>$M$892*$W$892</f>
        <v>839777.059748</v>
      </c>
      <c r="AD892" s="6">
        <f>$O$892*$X$892</f>
        <v>833755.36268799996</v>
      </c>
      <c r="AE892" s="6">
        <f>$K$892*$Y$892</f>
        <v>0</v>
      </c>
      <c r="AF892" s="6">
        <f ca="1">$M$892*$Z$892</f>
        <v>1200564.6089668768</v>
      </c>
      <c r="AG892" s="6">
        <f>$O$892*$AA$892</f>
        <v>883447.11618821812</v>
      </c>
    </row>
    <row r="893" spans="1:33" ht="11.25" customHeight="1" x14ac:dyDescent="0.25">
      <c r="A893" s="4" t="s">
        <v>56</v>
      </c>
      <c r="B893" s="4" t="s">
        <v>43</v>
      </c>
      <c r="C893" s="4" t="s">
        <v>23</v>
      </c>
      <c r="D893" s="4" t="s">
        <v>44</v>
      </c>
      <c r="E893" s="4" t="s">
        <v>52</v>
      </c>
      <c r="F893" s="4" t="s">
        <v>54</v>
      </c>
      <c r="G893" s="4" t="s">
        <v>25</v>
      </c>
      <c r="H893" s="4" t="s">
        <v>25</v>
      </c>
      <c r="I893" s="5">
        <v>44774</v>
      </c>
      <c r="J893" s="6">
        <v>0</v>
      </c>
      <c r="K893" s="6">
        <v>0</v>
      </c>
      <c r="L893" s="6">
        <v>10.722</v>
      </c>
      <c r="M893" s="6">
        <v>2.8949400000000001</v>
      </c>
      <c r="N893" s="6">
        <v>10.722</v>
      </c>
      <c r="O893" s="6">
        <v>2.8949400000000001</v>
      </c>
      <c r="P893" s="6">
        <v>0</v>
      </c>
      <c r="Q893" s="4" t="s">
        <v>26</v>
      </c>
      <c r="R893" s="4">
        <v>0</v>
      </c>
      <c r="S893" s="6">
        <v>0</v>
      </c>
      <c r="T893" s="6">
        <v>29</v>
      </c>
      <c r="U893" s="6">
        <v>66</v>
      </c>
      <c r="V893" s="6">
        <f>IF(ISERROR(VLOOKUP($S$893,'TAR FIN'!$A$1:$O$85,15,0)),0,VLOOKUP($S$893,'TAR FIN'!$A$1:$O$85,15,0))</f>
        <v>0</v>
      </c>
      <c r="W893" s="6">
        <f>IF(ISERROR(VLOOKUP($T$893,'TAR FIN'!$A$1:$O$85,15,0)),0,VLOOKUP($T$893,'TAR FIN'!$A$1:$O$85,15,0))</f>
        <v>285.89</v>
      </c>
      <c r="X893" s="6">
        <f>IF(ISERROR(VLOOKUP($U$893,'TAR FIN'!$A$1:$O$85,15,0)),0,VLOOKUP($U$893,'TAR FIN'!$A$1:$O$85,15,0))</f>
        <v>283.83999999999997</v>
      </c>
      <c r="Y893" s="6"/>
      <c r="Z893" s="6">
        <f ca="1">('TUSD BE'!$AM$33+'TUSD BF'!$AM$33+'TUSD CVA'!$AM$33)*(1-CUSTOS!$M$38)</f>
        <v>408.71492269690788</v>
      </c>
      <c r="AA893" s="6">
        <f>('TE BE'!$AB$23+'TE BF'!$AB$23+'TE CVA'!$AB$23)*(1-CUSTOS!$M$38)</f>
        <v>300.75684149176499</v>
      </c>
      <c r="AB893" s="6">
        <f>$K$893*$V$893</f>
        <v>0</v>
      </c>
      <c r="AC893" s="6">
        <f>$M$893*$W$893</f>
        <v>827.63439659999995</v>
      </c>
      <c r="AD893" s="6">
        <f>$O$893*$X$893</f>
        <v>821.69976959999997</v>
      </c>
      <c r="AE893" s="6">
        <f>$K$893*$Y$893</f>
        <v>0</v>
      </c>
      <c r="AF893" s="6">
        <f ca="1">$M$893*$Z$893</f>
        <v>1183.2051783121865</v>
      </c>
      <c r="AG893" s="6">
        <f>$O$893*$AA$893</f>
        <v>870.67301070817018</v>
      </c>
    </row>
    <row r="894" spans="1:33" ht="11.25" customHeight="1" x14ac:dyDescent="0.25">
      <c r="A894" s="4" t="s">
        <v>56</v>
      </c>
      <c r="B894" s="4" t="s">
        <v>43</v>
      </c>
      <c r="C894" s="4" t="s">
        <v>23</v>
      </c>
      <c r="D894" s="4" t="s">
        <v>44</v>
      </c>
      <c r="E894" s="4" t="s">
        <v>52</v>
      </c>
      <c r="F894" s="4" t="s">
        <v>54</v>
      </c>
      <c r="G894" s="4" t="s">
        <v>25</v>
      </c>
      <c r="H894" s="4" t="s">
        <v>25</v>
      </c>
      <c r="I894" s="5">
        <v>44774</v>
      </c>
      <c r="J894" s="6">
        <v>0</v>
      </c>
      <c r="K894" s="6">
        <v>0</v>
      </c>
      <c r="L894" s="6">
        <v>167.989</v>
      </c>
      <c r="M894" s="6">
        <v>67.195599999999999</v>
      </c>
      <c r="N894" s="6">
        <v>167.989</v>
      </c>
      <c r="O894" s="6">
        <v>67.195599999999999</v>
      </c>
      <c r="P894" s="6">
        <v>0</v>
      </c>
      <c r="Q894" s="4" t="s">
        <v>26</v>
      </c>
      <c r="R894" s="4">
        <v>0</v>
      </c>
      <c r="S894" s="6">
        <v>0</v>
      </c>
      <c r="T894" s="6">
        <v>29</v>
      </c>
      <c r="U894" s="6">
        <v>66</v>
      </c>
      <c r="V894" s="6">
        <f>IF(ISERROR(VLOOKUP($S$894,'TAR FIN'!$A$1:$O$85,15,0)),0,VLOOKUP($S$894,'TAR FIN'!$A$1:$O$85,15,0))</f>
        <v>0</v>
      </c>
      <c r="W894" s="6">
        <f>IF(ISERROR(VLOOKUP($T$894,'TAR FIN'!$A$1:$O$85,15,0)),0,VLOOKUP($T$894,'TAR FIN'!$A$1:$O$85,15,0))</f>
        <v>285.89</v>
      </c>
      <c r="X894" s="6">
        <f>IF(ISERROR(VLOOKUP($U$894,'TAR FIN'!$A$1:$O$85,15,0)),0,VLOOKUP($U$894,'TAR FIN'!$A$1:$O$85,15,0))</f>
        <v>283.83999999999997</v>
      </c>
      <c r="Y894" s="6"/>
      <c r="Z894" s="6">
        <f ca="1">('TUSD BE'!$AM$33+'TUSD BF'!$AM$33+'TUSD CVA'!$AM$33)*(1-CUSTOS!$M$38)</f>
        <v>408.71492269690788</v>
      </c>
      <c r="AA894" s="6">
        <f>('TE BE'!$AB$23+'TE BF'!$AB$23+'TE CVA'!$AB$23)*(1-CUSTOS!$M$38)</f>
        <v>300.75684149176499</v>
      </c>
      <c r="AB894" s="6">
        <f>$K$894*$V$894</f>
        <v>0</v>
      </c>
      <c r="AC894" s="6">
        <f>$M$894*$W$894</f>
        <v>19210.550083999999</v>
      </c>
      <c r="AD894" s="6">
        <f>$O$894*$X$894</f>
        <v>19072.799103999998</v>
      </c>
      <c r="AE894" s="6">
        <f>$K$894*$Y$894</f>
        <v>0</v>
      </c>
      <c r="AF894" s="6">
        <f ca="1">$M$894*$Z$894</f>
        <v>27463.844459572341</v>
      </c>
      <c r="AG894" s="6">
        <f>$O$894*$AA$894</f>
        <v>20209.536418144042</v>
      </c>
    </row>
    <row r="895" spans="1:33" ht="11.25" customHeight="1" x14ac:dyDescent="0.25">
      <c r="A895" s="4" t="s">
        <v>21</v>
      </c>
      <c r="B895" s="4" t="s">
        <v>43</v>
      </c>
      <c r="C895" s="4" t="s">
        <v>23</v>
      </c>
      <c r="D895" s="4" t="s">
        <v>44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44440</v>
      </c>
      <c r="J895" s="6">
        <v>0</v>
      </c>
      <c r="K895" s="6">
        <v>0</v>
      </c>
      <c r="L895" s="6">
        <v>7106.2569999999996</v>
      </c>
      <c r="M895" s="6">
        <v>7106.2569999999996</v>
      </c>
      <c r="N895" s="6">
        <v>7106.2569999999996</v>
      </c>
      <c r="O895" s="6">
        <v>7106.2569999999996</v>
      </c>
      <c r="P895" s="6">
        <v>24681</v>
      </c>
      <c r="Q895" s="4" t="s">
        <v>26</v>
      </c>
      <c r="R895" s="4">
        <v>0</v>
      </c>
      <c r="S895" s="6">
        <v>0</v>
      </c>
      <c r="T895" s="6">
        <v>29</v>
      </c>
      <c r="U895" s="6">
        <v>66</v>
      </c>
      <c r="V895" s="6">
        <f>IF(ISERROR(VLOOKUP($S$895,'TAR FIN'!$A$1:$O$85,15,0)),0,VLOOKUP($S$895,'TAR FIN'!$A$1:$O$85,15,0))</f>
        <v>0</v>
      </c>
      <c r="W895" s="6">
        <f>IF(ISERROR(VLOOKUP($T$895,'TAR FIN'!$A$1:$O$85,15,0)),0,VLOOKUP($T$895,'TAR FIN'!$A$1:$O$85,15,0))</f>
        <v>285.89</v>
      </c>
      <c r="X895" s="6">
        <f>IF(ISERROR(VLOOKUP($U$895,'TAR FIN'!$A$1:$O$85,15,0)),0,VLOOKUP($U$895,'TAR FIN'!$A$1:$O$85,15,0))</f>
        <v>283.83999999999997</v>
      </c>
      <c r="Y895" s="6"/>
      <c r="Z895" s="6">
        <f ca="1">('TUSD BE'!$AM$33+'TUSD BF'!$AM$33+'TUSD CVA'!$AM$33)*(1-CUSTOS!$M$38)</f>
        <v>408.71492269690788</v>
      </c>
      <c r="AA895" s="6">
        <f>('TE BE'!$AB$23+'TE BF'!$AB$23+'TE CVA'!$AB$23)*(1-CUSTOS!$M$38)</f>
        <v>300.75684149176499</v>
      </c>
      <c r="AB895" s="6">
        <f>$K$895*$V$895</f>
        <v>0</v>
      </c>
      <c r="AC895" s="6">
        <f>$M$895*$W$895</f>
        <v>2031607.8137299998</v>
      </c>
      <c r="AD895" s="6">
        <f>$O$895*$X$895</f>
        <v>2017039.9868799997</v>
      </c>
      <c r="AE895" s="6">
        <f>$K$895*$Y$895</f>
        <v>0</v>
      </c>
      <c r="AF895" s="6">
        <f ca="1">$M$895*$Z$895</f>
        <v>2904433.2804193604</v>
      </c>
      <c r="AG895" s="6">
        <f>$O$895*$AA$895</f>
        <v>2137255.4101487454</v>
      </c>
    </row>
    <row r="896" spans="1:33" ht="11.25" customHeight="1" x14ac:dyDescent="0.25">
      <c r="A896" s="4" t="s">
        <v>27</v>
      </c>
      <c r="B896" s="4" t="s">
        <v>43</v>
      </c>
      <c r="C896" s="4" t="s">
        <v>23</v>
      </c>
      <c r="D896" s="4" t="s">
        <v>44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44440</v>
      </c>
      <c r="J896" s="6">
        <v>0</v>
      </c>
      <c r="K896" s="6">
        <v>0</v>
      </c>
      <c r="L896" s="6">
        <v>-1.9510000000000001</v>
      </c>
      <c r="M896" s="6">
        <v>-1.9510000000000001</v>
      </c>
      <c r="N896" s="6">
        <v>-1.9510000000000001</v>
      </c>
      <c r="O896" s="6">
        <v>-1.9510000000000001</v>
      </c>
      <c r="P896" s="6">
        <v>-7</v>
      </c>
      <c r="Q896" s="4" t="s">
        <v>26</v>
      </c>
      <c r="R896" s="4">
        <v>0</v>
      </c>
      <c r="S896" s="6">
        <v>0</v>
      </c>
      <c r="T896" s="6">
        <v>29</v>
      </c>
      <c r="U896" s="6">
        <v>66</v>
      </c>
      <c r="V896" s="6">
        <f>IF(ISERROR(VLOOKUP($S$896,'TAR FIN'!$A$1:$O$85,15,0)),0,VLOOKUP($S$896,'TAR FIN'!$A$1:$O$85,15,0))</f>
        <v>0</v>
      </c>
      <c r="W896" s="6">
        <f>IF(ISERROR(VLOOKUP($T$896,'TAR FIN'!$A$1:$O$85,15,0)),0,VLOOKUP($T$896,'TAR FIN'!$A$1:$O$85,15,0))</f>
        <v>285.89</v>
      </c>
      <c r="X896" s="6">
        <f>IF(ISERROR(VLOOKUP($U$896,'TAR FIN'!$A$1:$O$85,15,0)),0,VLOOKUP($U$896,'TAR FIN'!$A$1:$O$85,15,0))</f>
        <v>283.83999999999997</v>
      </c>
      <c r="Y896" s="6"/>
      <c r="Z896" s="6">
        <f ca="1">('TUSD BE'!$AM$33+'TUSD BF'!$AM$33+'TUSD CVA'!$AM$33)*(1-CUSTOS!$M$38)</f>
        <v>408.71492269690788</v>
      </c>
      <c r="AA896" s="6">
        <f>('TE BE'!$AB$23+'TE BF'!$AB$23+'TE CVA'!$AB$23)*(1-CUSTOS!$M$38)</f>
        <v>300.75684149176499</v>
      </c>
      <c r="AB896" s="6">
        <f>$K$896*$V$896</f>
        <v>0</v>
      </c>
      <c r="AC896" s="6">
        <f>$M$896*$W$896</f>
        <v>-557.77139</v>
      </c>
      <c r="AD896" s="6">
        <f>$O$896*$X$896</f>
        <v>-553.77184</v>
      </c>
      <c r="AE896" s="6">
        <f>$K$896*$Y$896</f>
        <v>0</v>
      </c>
      <c r="AF896" s="6">
        <f ca="1">$M$896*$Z$896</f>
        <v>-797.40281418166728</v>
      </c>
      <c r="AG896" s="6">
        <f>$O$896*$AA$896</f>
        <v>-586.77659775043355</v>
      </c>
    </row>
    <row r="897" spans="1:33" ht="11.25" customHeight="1" x14ac:dyDescent="0.25">
      <c r="A897" s="4" t="s">
        <v>28</v>
      </c>
      <c r="B897" s="4" t="s">
        <v>43</v>
      </c>
      <c r="C897" s="4" t="s">
        <v>23</v>
      </c>
      <c r="D897" s="4" t="s">
        <v>44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44440</v>
      </c>
      <c r="J897" s="6">
        <v>0</v>
      </c>
      <c r="K897" s="6">
        <v>0</v>
      </c>
      <c r="L897" s="6">
        <v>49.664999999999999</v>
      </c>
      <c r="M897" s="6">
        <v>49.664999999999999</v>
      </c>
      <c r="N897" s="6">
        <v>49.664999999999999</v>
      </c>
      <c r="O897" s="6">
        <v>49.664999999999999</v>
      </c>
      <c r="P897" s="6">
        <v>201</v>
      </c>
      <c r="Q897" s="4" t="s">
        <v>26</v>
      </c>
      <c r="R897" s="4">
        <v>0</v>
      </c>
      <c r="S897" s="6">
        <v>0</v>
      </c>
      <c r="T897" s="6">
        <v>29</v>
      </c>
      <c r="U897" s="6">
        <v>66</v>
      </c>
      <c r="V897" s="6">
        <f>IF(ISERROR(VLOOKUP($S$897,'TAR FIN'!$A$1:$O$85,15,0)),0,VLOOKUP($S$897,'TAR FIN'!$A$1:$O$85,15,0))</f>
        <v>0</v>
      </c>
      <c r="W897" s="6">
        <f>IF(ISERROR(VLOOKUP($T$897,'TAR FIN'!$A$1:$O$85,15,0)),0,VLOOKUP($T$897,'TAR FIN'!$A$1:$O$85,15,0))</f>
        <v>285.89</v>
      </c>
      <c r="X897" s="6">
        <f>IF(ISERROR(VLOOKUP($U$897,'TAR FIN'!$A$1:$O$85,15,0)),0,VLOOKUP($U$897,'TAR FIN'!$A$1:$O$85,15,0))</f>
        <v>283.83999999999997</v>
      </c>
      <c r="Y897" s="6"/>
      <c r="Z897" s="6">
        <f ca="1">('TUSD BE'!$AM$33+'TUSD BF'!$AM$33+'TUSD CVA'!$AM$33)*(1-CUSTOS!$M$38)</f>
        <v>408.71492269690788</v>
      </c>
      <c r="AA897" s="6">
        <f>('TE BE'!$AB$23+'TE BF'!$AB$23+'TE CVA'!$AB$23)*(1-CUSTOS!$M$38)</f>
        <v>300.75684149176499</v>
      </c>
      <c r="AB897" s="6">
        <f>$K$897*$V$897</f>
        <v>0</v>
      </c>
      <c r="AC897" s="6">
        <f>$M$897*$W$897</f>
        <v>14198.726849999999</v>
      </c>
      <c r="AD897" s="6">
        <f>$O$897*$X$897</f>
        <v>14096.913599999998</v>
      </c>
      <c r="AE897" s="6">
        <f>$K$897*$Y$897</f>
        <v>0</v>
      </c>
      <c r="AF897" s="6">
        <f ca="1">$M$897*$Z$897</f>
        <v>20298.826635741931</v>
      </c>
      <c r="AG897" s="6">
        <f>$O$897*$AA$897</f>
        <v>14937.088532688507</v>
      </c>
    </row>
    <row r="898" spans="1:33" ht="11.25" customHeight="1" x14ac:dyDescent="0.25">
      <c r="A898" s="4" t="s">
        <v>21</v>
      </c>
      <c r="B898" s="4" t="s">
        <v>43</v>
      </c>
      <c r="C898" s="4" t="s">
        <v>23</v>
      </c>
      <c r="D898" s="4" t="s">
        <v>44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44470</v>
      </c>
      <c r="J898" s="6">
        <v>0</v>
      </c>
      <c r="K898" s="6">
        <v>0</v>
      </c>
      <c r="L898" s="6">
        <v>7352.8180000000002</v>
      </c>
      <c r="M898" s="6">
        <v>7352.8180000000002</v>
      </c>
      <c r="N898" s="6">
        <v>7352.8180000000002</v>
      </c>
      <c r="O898" s="6">
        <v>7352.8180000000002</v>
      </c>
      <c r="P898" s="6">
        <v>24594</v>
      </c>
      <c r="Q898" s="4" t="s">
        <v>26</v>
      </c>
      <c r="R898" s="4">
        <v>0</v>
      </c>
      <c r="S898" s="6">
        <v>0</v>
      </c>
      <c r="T898" s="6">
        <v>29</v>
      </c>
      <c r="U898" s="6">
        <v>66</v>
      </c>
      <c r="V898" s="6">
        <f>IF(ISERROR(VLOOKUP($S$898,'TAR FIN'!$A$1:$O$85,15,0)),0,VLOOKUP($S$898,'TAR FIN'!$A$1:$O$85,15,0))</f>
        <v>0</v>
      </c>
      <c r="W898" s="6">
        <f>IF(ISERROR(VLOOKUP($T$898,'TAR FIN'!$A$1:$O$85,15,0)),0,VLOOKUP($T$898,'TAR FIN'!$A$1:$O$85,15,0))</f>
        <v>285.89</v>
      </c>
      <c r="X898" s="6">
        <f>IF(ISERROR(VLOOKUP($U$898,'TAR FIN'!$A$1:$O$85,15,0)),0,VLOOKUP($U$898,'TAR FIN'!$A$1:$O$85,15,0))</f>
        <v>283.83999999999997</v>
      </c>
      <c r="Y898" s="6"/>
      <c r="Z898" s="6">
        <f ca="1">('TUSD BE'!$AM$33+'TUSD BF'!$AM$33+'TUSD CVA'!$AM$33)*(1-CUSTOS!$M$38)</f>
        <v>408.71492269690788</v>
      </c>
      <c r="AA898" s="6">
        <f>('TE BE'!$AB$23+'TE BF'!$AB$23+'TE CVA'!$AB$23)*(1-CUSTOS!$M$38)</f>
        <v>300.75684149176499</v>
      </c>
      <c r="AB898" s="6">
        <f>$K$898*$V$898</f>
        <v>0</v>
      </c>
      <c r="AC898" s="6">
        <f>$M$898*$W$898</f>
        <v>2102097.13802</v>
      </c>
      <c r="AD898" s="6">
        <f>$O$898*$X$898</f>
        <v>2087023.8611199998</v>
      </c>
      <c r="AE898" s="6">
        <f>$K$898*$Y$898</f>
        <v>0</v>
      </c>
      <c r="AF898" s="6">
        <f ca="1">$M$898*$Z$898</f>
        <v>3005206.4404744329</v>
      </c>
      <c r="AG898" s="6">
        <f>$O$898*$AA$898</f>
        <v>2211410.3177437964</v>
      </c>
    </row>
    <row r="899" spans="1:33" ht="11.25" customHeight="1" x14ac:dyDescent="0.25">
      <c r="A899" s="4" t="s">
        <v>27</v>
      </c>
      <c r="B899" s="4" t="s">
        <v>43</v>
      </c>
      <c r="C899" s="4" t="s">
        <v>23</v>
      </c>
      <c r="D899" s="4" t="s">
        <v>44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44470</v>
      </c>
      <c r="J899" s="6">
        <v>0</v>
      </c>
      <c r="K899" s="6">
        <v>0</v>
      </c>
      <c r="L899" s="6">
        <v>-2.5510000000000002</v>
      </c>
      <c r="M899" s="6">
        <v>-2.5510000000000002</v>
      </c>
      <c r="N899" s="6">
        <v>-2.5510000000000002</v>
      </c>
      <c r="O899" s="6">
        <v>-2.5510000000000002</v>
      </c>
      <c r="P899" s="6">
        <v>-16</v>
      </c>
      <c r="Q899" s="4" t="s">
        <v>26</v>
      </c>
      <c r="R899" s="4">
        <v>0</v>
      </c>
      <c r="S899" s="6">
        <v>0</v>
      </c>
      <c r="T899" s="6">
        <v>29</v>
      </c>
      <c r="U899" s="6">
        <v>66</v>
      </c>
      <c r="V899" s="6">
        <f>IF(ISERROR(VLOOKUP($S$899,'TAR FIN'!$A$1:$O$85,15,0)),0,VLOOKUP($S$899,'TAR FIN'!$A$1:$O$85,15,0))</f>
        <v>0</v>
      </c>
      <c r="W899" s="6">
        <f>IF(ISERROR(VLOOKUP($T$899,'TAR FIN'!$A$1:$O$85,15,0)),0,VLOOKUP($T$899,'TAR FIN'!$A$1:$O$85,15,0))</f>
        <v>285.89</v>
      </c>
      <c r="X899" s="6">
        <f>IF(ISERROR(VLOOKUP($U$899,'TAR FIN'!$A$1:$O$85,15,0)),0,VLOOKUP($U$899,'TAR FIN'!$A$1:$O$85,15,0))</f>
        <v>283.83999999999997</v>
      </c>
      <c r="Y899" s="6"/>
      <c r="Z899" s="6">
        <f ca="1">('TUSD BE'!$AM$33+'TUSD BF'!$AM$33+'TUSD CVA'!$AM$33)*(1-CUSTOS!$M$38)</f>
        <v>408.71492269690788</v>
      </c>
      <c r="AA899" s="6">
        <f>('TE BE'!$AB$23+'TE BF'!$AB$23+'TE CVA'!$AB$23)*(1-CUSTOS!$M$38)</f>
        <v>300.75684149176499</v>
      </c>
      <c r="AB899" s="6">
        <f>$K$899*$V$899</f>
        <v>0</v>
      </c>
      <c r="AC899" s="6">
        <f>$M$899*$W$899</f>
        <v>-729.30538999999999</v>
      </c>
      <c r="AD899" s="6">
        <f>$O$899*$X$899</f>
        <v>-724.07583999999997</v>
      </c>
      <c r="AE899" s="6">
        <f>$K$899*$Y$899</f>
        <v>0</v>
      </c>
      <c r="AF899" s="6">
        <f ca="1">$M$899*$Z$899</f>
        <v>-1042.631767799812</v>
      </c>
      <c r="AG899" s="6">
        <f>$O$899*$AA$899</f>
        <v>-767.23070264549256</v>
      </c>
    </row>
    <row r="900" spans="1:33" ht="11.25" customHeight="1" x14ac:dyDescent="0.25">
      <c r="A900" s="4" t="s">
        <v>28</v>
      </c>
      <c r="B900" s="4" t="s">
        <v>43</v>
      </c>
      <c r="C900" s="4" t="s">
        <v>23</v>
      </c>
      <c r="D900" s="4" t="s">
        <v>44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44470</v>
      </c>
      <c r="J900" s="6">
        <v>0</v>
      </c>
      <c r="K900" s="6">
        <v>0</v>
      </c>
      <c r="L900" s="6">
        <v>58.216999999999999</v>
      </c>
      <c r="M900" s="6">
        <v>58.216999999999999</v>
      </c>
      <c r="N900" s="6">
        <v>58.216999999999999</v>
      </c>
      <c r="O900" s="6">
        <v>58.216999999999999</v>
      </c>
      <c r="P900" s="6">
        <v>227</v>
      </c>
      <c r="Q900" s="4" t="s">
        <v>26</v>
      </c>
      <c r="R900" s="4">
        <v>0</v>
      </c>
      <c r="S900" s="6">
        <v>0</v>
      </c>
      <c r="T900" s="6">
        <v>29</v>
      </c>
      <c r="U900" s="6">
        <v>66</v>
      </c>
      <c r="V900" s="6">
        <f>IF(ISERROR(VLOOKUP($S$900,'TAR FIN'!$A$1:$O$85,15,0)),0,VLOOKUP($S$900,'TAR FIN'!$A$1:$O$85,15,0))</f>
        <v>0</v>
      </c>
      <c r="W900" s="6">
        <f>IF(ISERROR(VLOOKUP($T$900,'TAR FIN'!$A$1:$O$85,15,0)),0,VLOOKUP($T$900,'TAR FIN'!$A$1:$O$85,15,0))</f>
        <v>285.89</v>
      </c>
      <c r="X900" s="6">
        <f>IF(ISERROR(VLOOKUP($U$900,'TAR FIN'!$A$1:$O$85,15,0)),0,VLOOKUP($U$900,'TAR FIN'!$A$1:$O$85,15,0))</f>
        <v>283.83999999999997</v>
      </c>
      <c r="Y900" s="6"/>
      <c r="Z900" s="6">
        <f ca="1">('TUSD BE'!$AM$33+'TUSD BF'!$AM$33+'TUSD CVA'!$AM$33)*(1-CUSTOS!$M$38)</f>
        <v>408.71492269690788</v>
      </c>
      <c r="AA900" s="6">
        <f>('TE BE'!$AB$23+'TE BF'!$AB$23+'TE CVA'!$AB$23)*(1-CUSTOS!$M$38)</f>
        <v>300.75684149176499</v>
      </c>
      <c r="AB900" s="6">
        <f>$K$900*$V$900</f>
        <v>0</v>
      </c>
      <c r="AC900" s="6">
        <f>$M$900*$W$900</f>
        <v>16643.65813</v>
      </c>
      <c r="AD900" s="6">
        <f>$O$900*$X$900</f>
        <v>16524.313279999998</v>
      </c>
      <c r="AE900" s="6">
        <f>$K$900*$Y$900</f>
        <v>0</v>
      </c>
      <c r="AF900" s="6">
        <f ca="1">$M$900*$Z$900</f>
        <v>23794.156654645885</v>
      </c>
      <c r="AG900" s="6">
        <f>$O$900*$AA$900</f>
        <v>17509.161041126081</v>
      </c>
    </row>
    <row r="901" spans="1:33" ht="11.25" customHeight="1" x14ac:dyDescent="0.25">
      <c r="A901" s="4" t="s">
        <v>21</v>
      </c>
      <c r="B901" s="4" t="s">
        <v>43</v>
      </c>
      <c r="C901" s="4" t="s">
        <v>23</v>
      </c>
      <c r="D901" s="4" t="s">
        <v>44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44501</v>
      </c>
      <c r="J901" s="6">
        <v>0</v>
      </c>
      <c r="K901" s="6">
        <v>0</v>
      </c>
      <c r="L901" s="6">
        <v>6247.442</v>
      </c>
      <c r="M901" s="6">
        <v>6247.442</v>
      </c>
      <c r="N901" s="6">
        <v>6247.442</v>
      </c>
      <c r="O901" s="6">
        <v>6247.442</v>
      </c>
      <c r="P901" s="6">
        <v>26289</v>
      </c>
      <c r="Q901" s="4" t="s">
        <v>26</v>
      </c>
      <c r="R901" s="4">
        <v>0</v>
      </c>
      <c r="S901" s="6">
        <v>0</v>
      </c>
      <c r="T901" s="6">
        <v>29</v>
      </c>
      <c r="U901" s="6">
        <v>66</v>
      </c>
      <c r="V901" s="6">
        <f>IF(ISERROR(VLOOKUP($S$901,'TAR FIN'!$A$1:$O$85,15,0)),0,VLOOKUP($S$901,'TAR FIN'!$A$1:$O$85,15,0))</f>
        <v>0</v>
      </c>
      <c r="W901" s="6">
        <f>IF(ISERROR(VLOOKUP($T$901,'TAR FIN'!$A$1:$O$85,15,0)),0,VLOOKUP($T$901,'TAR FIN'!$A$1:$O$85,15,0))</f>
        <v>285.89</v>
      </c>
      <c r="X901" s="6">
        <f>IF(ISERROR(VLOOKUP($U$901,'TAR FIN'!$A$1:$O$85,15,0)),0,VLOOKUP($U$901,'TAR FIN'!$A$1:$O$85,15,0))</f>
        <v>283.83999999999997</v>
      </c>
      <c r="Y901" s="6"/>
      <c r="Z901" s="6">
        <f ca="1">('TUSD BE'!$AM$33+'TUSD BF'!$AM$33+'TUSD CVA'!$AM$33)*(1-CUSTOS!$M$38)</f>
        <v>408.71492269690788</v>
      </c>
      <c r="AA901" s="6">
        <f>('TE BE'!$AB$23+'TE BF'!$AB$23+'TE CVA'!$AB$23)*(1-CUSTOS!$M$38)</f>
        <v>300.75684149176499</v>
      </c>
      <c r="AB901" s="6">
        <f>$K$901*$V$901</f>
        <v>0</v>
      </c>
      <c r="AC901" s="6">
        <f>$M$901*$W$901</f>
        <v>1786081.1933799998</v>
      </c>
      <c r="AD901" s="6">
        <f>$O$901*$X$901</f>
        <v>1773273.93728</v>
      </c>
      <c r="AE901" s="6">
        <f>$K$901*$Y$901</f>
        <v>0</v>
      </c>
      <c r="AF901" s="6">
        <f ca="1">$M$901*$Z$901</f>
        <v>2553422.7740834155</v>
      </c>
      <c r="AG901" s="6">
        <f>$O$901*$AA$901</f>
        <v>1878960.9233229952</v>
      </c>
    </row>
    <row r="902" spans="1:33" ht="11.25" customHeight="1" x14ac:dyDescent="0.25">
      <c r="A902" s="4" t="s">
        <v>27</v>
      </c>
      <c r="B902" s="4" t="s">
        <v>43</v>
      </c>
      <c r="C902" s="4" t="s">
        <v>23</v>
      </c>
      <c r="D902" s="4" t="s">
        <v>44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44501</v>
      </c>
      <c r="J902" s="6">
        <v>0</v>
      </c>
      <c r="K902" s="6">
        <v>0</v>
      </c>
      <c r="L902" s="6">
        <v>-5.1539999999999999</v>
      </c>
      <c r="M902" s="6">
        <v>-5.1539999999999999</v>
      </c>
      <c r="N902" s="6">
        <v>-5.1539999999999999</v>
      </c>
      <c r="O902" s="6">
        <v>-5.1539999999999999</v>
      </c>
      <c r="P902" s="6">
        <v>-1</v>
      </c>
      <c r="Q902" s="4" t="s">
        <v>26</v>
      </c>
      <c r="R902" s="4">
        <v>0</v>
      </c>
      <c r="S902" s="6">
        <v>0</v>
      </c>
      <c r="T902" s="6">
        <v>29</v>
      </c>
      <c r="U902" s="6">
        <v>66</v>
      </c>
      <c r="V902" s="6">
        <f>IF(ISERROR(VLOOKUP($S$902,'TAR FIN'!$A$1:$O$85,15,0)),0,VLOOKUP($S$902,'TAR FIN'!$A$1:$O$85,15,0))</f>
        <v>0</v>
      </c>
      <c r="W902" s="6">
        <f>IF(ISERROR(VLOOKUP($T$902,'TAR FIN'!$A$1:$O$85,15,0)),0,VLOOKUP($T$902,'TAR FIN'!$A$1:$O$85,15,0))</f>
        <v>285.89</v>
      </c>
      <c r="X902" s="6">
        <f>IF(ISERROR(VLOOKUP($U$902,'TAR FIN'!$A$1:$O$85,15,0)),0,VLOOKUP($U$902,'TAR FIN'!$A$1:$O$85,15,0))</f>
        <v>283.83999999999997</v>
      </c>
      <c r="Y902" s="6"/>
      <c r="Z902" s="6">
        <f ca="1">('TUSD BE'!$AM$33+'TUSD BF'!$AM$33+'TUSD CVA'!$AM$33)*(1-CUSTOS!$M$38)</f>
        <v>408.71492269690788</v>
      </c>
      <c r="AA902" s="6">
        <f>('TE BE'!$AB$23+'TE BF'!$AB$23+'TE CVA'!$AB$23)*(1-CUSTOS!$M$38)</f>
        <v>300.75684149176499</v>
      </c>
      <c r="AB902" s="6">
        <f>$K$902*$V$902</f>
        <v>0</v>
      </c>
      <c r="AC902" s="6">
        <f>$M$902*$W$902</f>
        <v>-1473.4770599999999</v>
      </c>
      <c r="AD902" s="6">
        <f>$O$902*$X$902</f>
        <v>-1462.9113599999998</v>
      </c>
      <c r="AE902" s="6">
        <f>$K$902*$Y$902</f>
        <v>0</v>
      </c>
      <c r="AF902" s="6">
        <f ca="1">$M$902*$Z$902</f>
        <v>-2106.5167115798631</v>
      </c>
      <c r="AG902" s="6">
        <f>$O$902*$AA$902</f>
        <v>-1550.1007610485567</v>
      </c>
    </row>
    <row r="903" spans="1:33" ht="11.25" customHeight="1" x14ac:dyDescent="0.25">
      <c r="A903" s="4" t="s">
        <v>28</v>
      </c>
      <c r="B903" s="4" t="s">
        <v>43</v>
      </c>
      <c r="C903" s="4" t="s">
        <v>23</v>
      </c>
      <c r="D903" s="4" t="s">
        <v>44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44501</v>
      </c>
      <c r="J903" s="6">
        <v>0</v>
      </c>
      <c r="K903" s="6">
        <v>0</v>
      </c>
      <c r="L903" s="6">
        <v>51.704000000000001</v>
      </c>
      <c r="M903" s="6">
        <v>51.704000000000001</v>
      </c>
      <c r="N903" s="6">
        <v>51.704000000000001</v>
      </c>
      <c r="O903" s="6">
        <v>51.704000000000001</v>
      </c>
      <c r="P903" s="6">
        <v>274</v>
      </c>
      <c r="Q903" s="4" t="s">
        <v>26</v>
      </c>
      <c r="R903" s="4">
        <v>0</v>
      </c>
      <c r="S903" s="6">
        <v>0</v>
      </c>
      <c r="T903" s="6">
        <v>29</v>
      </c>
      <c r="U903" s="6">
        <v>66</v>
      </c>
      <c r="V903" s="6">
        <f>IF(ISERROR(VLOOKUP($S$903,'TAR FIN'!$A$1:$O$85,15,0)),0,VLOOKUP($S$903,'TAR FIN'!$A$1:$O$85,15,0))</f>
        <v>0</v>
      </c>
      <c r="W903" s="6">
        <f>IF(ISERROR(VLOOKUP($T$903,'TAR FIN'!$A$1:$O$85,15,0)),0,VLOOKUP($T$903,'TAR FIN'!$A$1:$O$85,15,0))</f>
        <v>285.89</v>
      </c>
      <c r="X903" s="6">
        <f>IF(ISERROR(VLOOKUP($U$903,'TAR FIN'!$A$1:$O$85,15,0)),0,VLOOKUP($U$903,'TAR FIN'!$A$1:$O$85,15,0))</f>
        <v>283.83999999999997</v>
      </c>
      <c r="Y903" s="6"/>
      <c r="Z903" s="6">
        <f ca="1">('TUSD BE'!$AM$33+'TUSD BF'!$AM$33+'TUSD CVA'!$AM$33)*(1-CUSTOS!$M$38)</f>
        <v>408.71492269690788</v>
      </c>
      <c r="AA903" s="6">
        <f>('TE BE'!$AB$23+'TE BF'!$AB$23+'TE CVA'!$AB$23)*(1-CUSTOS!$M$38)</f>
        <v>300.75684149176499</v>
      </c>
      <c r="AB903" s="6">
        <f>$K$903*$V$903</f>
        <v>0</v>
      </c>
      <c r="AC903" s="6">
        <f>$M$903*$W$903</f>
        <v>14781.656559999999</v>
      </c>
      <c r="AD903" s="6">
        <f>$O$903*$X$903</f>
        <v>14675.663359999999</v>
      </c>
      <c r="AE903" s="6">
        <f>$K$903*$Y$903</f>
        <v>0</v>
      </c>
      <c r="AF903" s="6">
        <f ca="1">$M$903*$Z$903</f>
        <v>21132.196363120926</v>
      </c>
      <c r="AG903" s="6">
        <f>$O$903*$AA$903</f>
        <v>15550.331732490216</v>
      </c>
    </row>
    <row r="904" spans="1:33" ht="11.25" customHeight="1" x14ac:dyDescent="0.25">
      <c r="A904" s="4" t="s">
        <v>21</v>
      </c>
      <c r="B904" s="4" t="s">
        <v>43</v>
      </c>
      <c r="C904" s="4" t="s">
        <v>23</v>
      </c>
      <c r="D904" s="4" t="s">
        <v>44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44531</v>
      </c>
      <c r="J904" s="6">
        <v>0</v>
      </c>
      <c r="K904" s="6">
        <v>0</v>
      </c>
      <c r="L904" s="6">
        <v>6314.4870000000001</v>
      </c>
      <c r="M904" s="6">
        <v>6314.4870000000001</v>
      </c>
      <c r="N904" s="6">
        <v>6314.4870000000001</v>
      </c>
      <c r="O904" s="6">
        <v>6314.4870000000001</v>
      </c>
      <c r="P904" s="6">
        <v>27205</v>
      </c>
      <c r="Q904" s="4" t="s">
        <v>26</v>
      </c>
      <c r="R904" s="4">
        <v>0</v>
      </c>
      <c r="S904" s="6">
        <v>0</v>
      </c>
      <c r="T904" s="6">
        <v>29</v>
      </c>
      <c r="U904" s="6">
        <v>66</v>
      </c>
      <c r="V904" s="6">
        <f>IF(ISERROR(VLOOKUP($S$904,'TAR FIN'!$A$1:$O$85,15,0)),0,VLOOKUP($S$904,'TAR FIN'!$A$1:$O$85,15,0))</f>
        <v>0</v>
      </c>
      <c r="W904" s="6">
        <f>IF(ISERROR(VLOOKUP($T$904,'TAR FIN'!$A$1:$O$85,15,0)),0,VLOOKUP($T$904,'TAR FIN'!$A$1:$O$85,15,0))</f>
        <v>285.89</v>
      </c>
      <c r="X904" s="6">
        <f>IF(ISERROR(VLOOKUP($U$904,'TAR FIN'!$A$1:$O$85,15,0)),0,VLOOKUP($U$904,'TAR FIN'!$A$1:$O$85,15,0))</f>
        <v>283.83999999999997</v>
      </c>
      <c r="Y904" s="6"/>
      <c r="Z904" s="6">
        <f ca="1">('TUSD BE'!$AM$33+'TUSD BF'!$AM$33+'TUSD CVA'!$AM$33)*(1-CUSTOS!$M$38)</f>
        <v>408.71492269690788</v>
      </c>
      <c r="AA904" s="6">
        <f>('TE BE'!$AB$23+'TE BF'!$AB$23+'TE CVA'!$AB$23)*(1-CUSTOS!$M$38)</f>
        <v>300.75684149176499</v>
      </c>
      <c r="AB904" s="6">
        <f>$K$904*$V$904</f>
        <v>0</v>
      </c>
      <c r="AC904" s="6">
        <f>$M$904*$W$904</f>
        <v>1805248.6884299999</v>
      </c>
      <c r="AD904" s="6">
        <f>$O$904*$X$904</f>
        <v>1792303.9900799999</v>
      </c>
      <c r="AE904" s="6">
        <f>$K$904*$Y$904</f>
        <v>0</v>
      </c>
      <c r="AF904" s="6">
        <f ca="1">$M$904*$Z$904</f>
        <v>2580825.0660756296</v>
      </c>
      <c r="AG904" s="6">
        <f>$O$904*$AA$904</f>
        <v>1899125.1657608107</v>
      </c>
    </row>
    <row r="905" spans="1:33" ht="11.25" customHeight="1" x14ac:dyDescent="0.25">
      <c r="A905" s="4" t="s">
        <v>27</v>
      </c>
      <c r="B905" s="4" t="s">
        <v>43</v>
      </c>
      <c r="C905" s="4" t="s">
        <v>23</v>
      </c>
      <c r="D905" s="4" t="s">
        <v>44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44531</v>
      </c>
      <c r="J905" s="6">
        <v>0</v>
      </c>
      <c r="K905" s="6">
        <v>0</v>
      </c>
      <c r="L905" s="6">
        <v>-2.6829999999999998</v>
      </c>
      <c r="M905" s="6">
        <v>-2.6829999999999998</v>
      </c>
      <c r="N905" s="6">
        <v>-2.6829999999999998</v>
      </c>
      <c r="O905" s="6">
        <v>-2.6829999999999998</v>
      </c>
      <c r="P905" s="6">
        <v>4</v>
      </c>
      <c r="Q905" s="4" t="s">
        <v>26</v>
      </c>
      <c r="R905" s="4">
        <v>0</v>
      </c>
      <c r="S905" s="6">
        <v>0</v>
      </c>
      <c r="T905" s="6">
        <v>29</v>
      </c>
      <c r="U905" s="6">
        <v>66</v>
      </c>
      <c r="V905" s="6">
        <f>IF(ISERROR(VLOOKUP($S$905,'TAR FIN'!$A$1:$O$85,15,0)),0,VLOOKUP($S$905,'TAR FIN'!$A$1:$O$85,15,0))</f>
        <v>0</v>
      </c>
      <c r="W905" s="6">
        <f>IF(ISERROR(VLOOKUP($T$905,'TAR FIN'!$A$1:$O$85,15,0)),0,VLOOKUP($T$905,'TAR FIN'!$A$1:$O$85,15,0))</f>
        <v>285.89</v>
      </c>
      <c r="X905" s="6">
        <f>IF(ISERROR(VLOOKUP($U$905,'TAR FIN'!$A$1:$O$85,15,0)),0,VLOOKUP($U$905,'TAR FIN'!$A$1:$O$85,15,0))</f>
        <v>283.83999999999997</v>
      </c>
      <c r="Y905" s="6"/>
      <c r="Z905" s="6">
        <f ca="1">('TUSD BE'!$AM$33+'TUSD BF'!$AM$33+'TUSD CVA'!$AM$33)*(1-CUSTOS!$M$38)</f>
        <v>408.71492269690788</v>
      </c>
      <c r="AA905" s="6">
        <f>('TE BE'!$AB$23+'TE BF'!$AB$23+'TE CVA'!$AB$23)*(1-CUSTOS!$M$38)</f>
        <v>300.75684149176499</v>
      </c>
      <c r="AB905" s="6">
        <f>$K$905*$V$905</f>
        <v>0</v>
      </c>
      <c r="AC905" s="6">
        <f>$M$905*$W$905</f>
        <v>-767.04286999999988</v>
      </c>
      <c r="AD905" s="6">
        <f>$O$905*$X$905</f>
        <v>-761.54271999999992</v>
      </c>
      <c r="AE905" s="6">
        <f>$K$905*$Y$905</f>
        <v>0</v>
      </c>
      <c r="AF905" s="6">
        <f ca="1">$M$905*$Z$905</f>
        <v>-1096.5821375958037</v>
      </c>
      <c r="AG905" s="6">
        <f>$O$905*$AA$905</f>
        <v>-806.9306057224054</v>
      </c>
    </row>
    <row r="906" spans="1:33" ht="11.25" customHeight="1" x14ac:dyDescent="0.25">
      <c r="A906" s="4" t="s">
        <v>28</v>
      </c>
      <c r="B906" s="4" t="s">
        <v>43</v>
      </c>
      <c r="C906" s="4" t="s">
        <v>23</v>
      </c>
      <c r="D906" s="4" t="s">
        <v>44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44531</v>
      </c>
      <c r="J906" s="6">
        <v>0</v>
      </c>
      <c r="K906" s="6">
        <v>0</v>
      </c>
      <c r="L906" s="6">
        <v>50.966000000000001</v>
      </c>
      <c r="M906" s="6">
        <v>50.966000000000001</v>
      </c>
      <c r="N906" s="6">
        <v>50.966000000000001</v>
      </c>
      <c r="O906" s="6">
        <v>50.966000000000001</v>
      </c>
      <c r="P906" s="6">
        <v>325</v>
      </c>
      <c r="Q906" s="4" t="s">
        <v>26</v>
      </c>
      <c r="R906" s="4">
        <v>0</v>
      </c>
      <c r="S906" s="6">
        <v>0</v>
      </c>
      <c r="T906" s="6">
        <v>29</v>
      </c>
      <c r="U906" s="6">
        <v>66</v>
      </c>
      <c r="V906" s="6">
        <f>IF(ISERROR(VLOOKUP($S$906,'TAR FIN'!$A$1:$O$85,15,0)),0,VLOOKUP($S$906,'TAR FIN'!$A$1:$O$85,15,0))</f>
        <v>0</v>
      </c>
      <c r="W906" s="6">
        <f>IF(ISERROR(VLOOKUP($T$906,'TAR FIN'!$A$1:$O$85,15,0)),0,VLOOKUP($T$906,'TAR FIN'!$A$1:$O$85,15,0))</f>
        <v>285.89</v>
      </c>
      <c r="X906" s="6">
        <f>IF(ISERROR(VLOOKUP($U$906,'TAR FIN'!$A$1:$O$85,15,0)),0,VLOOKUP($U$906,'TAR FIN'!$A$1:$O$85,15,0))</f>
        <v>283.83999999999997</v>
      </c>
      <c r="Y906" s="6"/>
      <c r="Z906" s="6">
        <f ca="1">('TUSD BE'!$AM$33+'TUSD BF'!$AM$33+'TUSD CVA'!$AM$33)*(1-CUSTOS!$M$38)</f>
        <v>408.71492269690788</v>
      </c>
      <c r="AA906" s="6">
        <f>('TE BE'!$AB$23+'TE BF'!$AB$23+'TE CVA'!$AB$23)*(1-CUSTOS!$M$38)</f>
        <v>300.75684149176499</v>
      </c>
      <c r="AB906" s="6">
        <f>$K$906*$V$906</f>
        <v>0</v>
      </c>
      <c r="AC906" s="6">
        <f>$M$906*$W$906</f>
        <v>14570.669739999999</v>
      </c>
      <c r="AD906" s="6">
        <f>$O$906*$X$906</f>
        <v>14466.189439999998</v>
      </c>
      <c r="AE906" s="6">
        <f>$K$906*$Y$906</f>
        <v>0</v>
      </c>
      <c r="AF906" s="6">
        <f ca="1">$M$906*$Z$906</f>
        <v>20830.564750170608</v>
      </c>
      <c r="AG906" s="6">
        <f>$O$906*$AA$906</f>
        <v>15328.373183469295</v>
      </c>
    </row>
    <row r="907" spans="1:33" ht="11.25" customHeight="1" x14ac:dyDescent="0.25">
      <c r="A907" s="4" t="s">
        <v>21</v>
      </c>
      <c r="B907" s="4" t="s">
        <v>43</v>
      </c>
      <c r="C907" s="4" t="s">
        <v>23</v>
      </c>
      <c r="D907" s="4" t="s">
        <v>44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44562</v>
      </c>
      <c r="J907" s="6">
        <v>0</v>
      </c>
      <c r="K907" s="6">
        <v>0</v>
      </c>
      <c r="L907" s="6">
        <v>6613.875</v>
      </c>
      <c r="M907" s="6">
        <v>6613.875</v>
      </c>
      <c r="N907" s="6">
        <v>6613.875</v>
      </c>
      <c r="O907" s="6">
        <v>6613.875</v>
      </c>
      <c r="P907" s="6">
        <v>27060</v>
      </c>
      <c r="Q907" s="4" t="s">
        <v>26</v>
      </c>
      <c r="R907" s="4">
        <v>0</v>
      </c>
      <c r="S907" s="6">
        <v>0</v>
      </c>
      <c r="T907" s="6">
        <v>29</v>
      </c>
      <c r="U907" s="6">
        <v>66</v>
      </c>
      <c r="V907" s="6">
        <f>IF(ISERROR(VLOOKUP($S$907,'TAR FIN'!$A$1:$O$85,15,0)),0,VLOOKUP($S$907,'TAR FIN'!$A$1:$O$85,15,0))</f>
        <v>0</v>
      </c>
      <c r="W907" s="6">
        <f>IF(ISERROR(VLOOKUP($T$907,'TAR FIN'!$A$1:$O$85,15,0)),0,VLOOKUP($T$907,'TAR FIN'!$A$1:$O$85,15,0))</f>
        <v>285.89</v>
      </c>
      <c r="X907" s="6">
        <f>IF(ISERROR(VLOOKUP($U$907,'TAR FIN'!$A$1:$O$85,15,0)),0,VLOOKUP($U$907,'TAR FIN'!$A$1:$O$85,15,0))</f>
        <v>283.83999999999997</v>
      </c>
      <c r="Y907" s="6"/>
      <c r="Z907" s="6">
        <f ca="1">('TUSD BE'!$AM$33+'TUSD BF'!$AM$33+'TUSD CVA'!$AM$33)*(1-CUSTOS!$M$38)</f>
        <v>408.71492269690788</v>
      </c>
      <c r="AA907" s="6">
        <f>('TE BE'!$AB$23+'TE BF'!$AB$23+'TE CVA'!$AB$23)*(1-CUSTOS!$M$38)</f>
        <v>300.75684149176499</v>
      </c>
      <c r="AB907" s="6">
        <f>$K$907*$V$907</f>
        <v>0</v>
      </c>
      <c r="AC907" s="6">
        <f>$M$907*$W$907</f>
        <v>1890840.7237499999</v>
      </c>
      <c r="AD907" s="6">
        <f>$O$907*$X$907</f>
        <v>1877282.2799999998</v>
      </c>
      <c r="AE907" s="6">
        <f>$K$907*$Y$907</f>
        <v>0</v>
      </c>
      <c r="AF907" s="6">
        <f ca="1">$M$907*$Z$907</f>
        <v>2703189.4093520115</v>
      </c>
      <c r="AG907" s="6">
        <f>$O$907*$AA$907</f>
        <v>1989168.1550213471</v>
      </c>
    </row>
    <row r="908" spans="1:33" ht="11.25" customHeight="1" x14ac:dyDescent="0.25">
      <c r="A908" s="4" t="s">
        <v>27</v>
      </c>
      <c r="B908" s="4" t="s">
        <v>43</v>
      </c>
      <c r="C908" s="4" t="s">
        <v>23</v>
      </c>
      <c r="D908" s="4" t="s">
        <v>44</v>
      </c>
      <c r="E908" s="4" t="s">
        <v>25</v>
      </c>
      <c r="F908" s="4" t="s">
        <v>25</v>
      </c>
      <c r="G908" s="4" t="s">
        <v>25</v>
      </c>
      <c r="H908" s="4" t="s">
        <v>25</v>
      </c>
      <c r="I908" s="5">
        <v>44562</v>
      </c>
      <c r="J908" s="6">
        <v>0</v>
      </c>
      <c r="K908" s="6">
        <v>0</v>
      </c>
      <c r="L908" s="6">
        <v>-9.1020000000000003</v>
      </c>
      <c r="M908" s="6">
        <v>-9.1020000000000003</v>
      </c>
      <c r="N908" s="6">
        <v>-9.1020000000000003</v>
      </c>
      <c r="O908" s="6">
        <v>-9.1020000000000003</v>
      </c>
      <c r="P908" s="6">
        <v>8</v>
      </c>
      <c r="Q908" s="4" t="s">
        <v>26</v>
      </c>
      <c r="R908" s="4">
        <v>0</v>
      </c>
      <c r="S908" s="6">
        <v>0</v>
      </c>
      <c r="T908" s="6">
        <v>29</v>
      </c>
      <c r="U908" s="6">
        <v>66</v>
      </c>
      <c r="V908" s="6">
        <f>IF(ISERROR(VLOOKUP($S$908,'TAR FIN'!$A$1:$O$85,15,0)),0,VLOOKUP($S$908,'TAR FIN'!$A$1:$O$85,15,0))</f>
        <v>0</v>
      </c>
      <c r="W908" s="6">
        <f>IF(ISERROR(VLOOKUP($T$908,'TAR FIN'!$A$1:$O$85,15,0)),0,VLOOKUP($T$908,'TAR FIN'!$A$1:$O$85,15,0))</f>
        <v>285.89</v>
      </c>
      <c r="X908" s="6">
        <f>IF(ISERROR(VLOOKUP($U$908,'TAR FIN'!$A$1:$O$85,15,0)),0,VLOOKUP($U$908,'TAR FIN'!$A$1:$O$85,15,0))</f>
        <v>283.83999999999997</v>
      </c>
      <c r="Y908" s="6"/>
      <c r="Z908" s="6">
        <f ca="1">('TUSD BE'!$AM$33+'TUSD BF'!$AM$33+'TUSD CVA'!$AM$33)*(1-CUSTOS!$M$38)</f>
        <v>408.71492269690788</v>
      </c>
      <c r="AA908" s="6">
        <f>('TE BE'!$AB$23+'TE BF'!$AB$23+'TE CVA'!$AB$23)*(1-CUSTOS!$M$38)</f>
        <v>300.75684149176499</v>
      </c>
      <c r="AB908" s="6">
        <f>$K$908*$V$908</f>
        <v>0</v>
      </c>
      <c r="AC908" s="6">
        <f>$M$908*$W$908</f>
        <v>-2602.1707799999999</v>
      </c>
      <c r="AD908" s="6">
        <f>$O$908*$X$908</f>
        <v>-2583.5116800000001</v>
      </c>
      <c r="AE908" s="6">
        <f>$K$908*$Y$908</f>
        <v>0</v>
      </c>
      <c r="AF908" s="6">
        <f ca="1">$M$908*$Z$908</f>
        <v>-3720.1232263872557</v>
      </c>
      <c r="AG908" s="6">
        <f>$O$908*$AA$908</f>
        <v>-2737.4887712580448</v>
      </c>
    </row>
    <row r="909" spans="1:33" ht="11.25" customHeight="1" x14ac:dyDescent="0.25">
      <c r="A909" s="4" t="s">
        <v>28</v>
      </c>
      <c r="B909" s="4" t="s">
        <v>43</v>
      </c>
      <c r="C909" s="4" t="s">
        <v>23</v>
      </c>
      <c r="D909" s="4" t="s">
        <v>44</v>
      </c>
      <c r="E909" s="4" t="s">
        <v>25</v>
      </c>
      <c r="F909" s="4" t="s">
        <v>25</v>
      </c>
      <c r="G909" s="4" t="s">
        <v>25</v>
      </c>
      <c r="H909" s="4" t="s">
        <v>25</v>
      </c>
      <c r="I909" s="5">
        <v>44562</v>
      </c>
      <c r="J909" s="6">
        <v>0</v>
      </c>
      <c r="K909" s="6">
        <v>0</v>
      </c>
      <c r="L909" s="6">
        <v>48.07</v>
      </c>
      <c r="M909" s="6">
        <v>48.07</v>
      </c>
      <c r="N909" s="6">
        <v>48.07</v>
      </c>
      <c r="O909" s="6">
        <v>48.07</v>
      </c>
      <c r="P909" s="6">
        <v>369</v>
      </c>
      <c r="Q909" s="4" t="s">
        <v>26</v>
      </c>
      <c r="R909" s="4">
        <v>0</v>
      </c>
      <c r="S909" s="6">
        <v>0</v>
      </c>
      <c r="T909" s="6">
        <v>29</v>
      </c>
      <c r="U909" s="6">
        <v>66</v>
      </c>
      <c r="V909" s="6">
        <f>IF(ISERROR(VLOOKUP($S$909,'TAR FIN'!$A$1:$O$85,15,0)),0,VLOOKUP($S$909,'TAR FIN'!$A$1:$O$85,15,0))</f>
        <v>0</v>
      </c>
      <c r="W909" s="6">
        <f>IF(ISERROR(VLOOKUP($T$909,'TAR FIN'!$A$1:$O$85,15,0)),0,VLOOKUP($T$909,'TAR FIN'!$A$1:$O$85,15,0))</f>
        <v>285.89</v>
      </c>
      <c r="X909" s="6">
        <f>IF(ISERROR(VLOOKUP($U$909,'TAR FIN'!$A$1:$O$85,15,0)),0,VLOOKUP($U$909,'TAR FIN'!$A$1:$O$85,15,0))</f>
        <v>283.83999999999997</v>
      </c>
      <c r="Y909" s="6"/>
      <c r="Z909" s="6">
        <f ca="1">('TUSD BE'!$AM$33+'TUSD BF'!$AM$33+'TUSD CVA'!$AM$33)*(1-CUSTOS!$M$38)</f>
        <v>408.71492269690788</v>
      </c>
      <c r="AA909" s="6">
        <f>('TE BE'!$AB$23+'TE BF'!$AB$23+'TE CVA'!$AB$23)*(1-CUSTOS!$M$38)</f>
        <v>300.75684149176499</v>
      </c>
      <c r="AB909" s="6">
        <f>$K$909*$V$909</f>
        <v>0</v>
      </c>
      <c r="AC909" s="6">
        <f>$M$909*$W$909</f>
        <v>13742.7323</v>
      </c>
      <c r="AD909" s="6">
        <f>$O$909*$X$909</f>
        <v>13644.188799999998</v>
      </c>
      <c r="AE909" s="6">
        <f>$K$909*$Y$909</f>
        <v>0</v>
      </c>
      <c r="AF909" s="6">
        <f ca="1">$M$909*$Z$909</f>
        <v>19646.926334040363</v>
      </c>
      <c r="AG909" s="6">
        <f>$O$909*$AA$909</f>
        <v>14457.381370509143</v>
      </c>
    </row>
    <row r="910" spans="1:33" ht="11.25" customHeight="1" x14ac:dyDescent="0.25">
      <c r="A910" s="4" t="s">
        <v>21</v>
      </c>
      <c r="B910" s="4" t="s">
        <v>43</v>
      </c>
      <c r="C910" s="4" t="s">
        <v>23</v>
      </c>
      <c r="D910" s="4" t="s">
        <v>44</v>
      </c>
      <c r="E910" s="4" t="s">
        <v>25</v>
      </c>
      <c r="F910" s="4" t="s">
        <v>25</v>
      </c>
      <c r="G910" s="4" t="s">
        <v>25</v>
      </c>
      <c r="H910" s="4" t="s">
        <v>25</v>
      </c>
      <c r="I910" s="5">
        <v>44593</v>
      </c>
      <c r="J910" s="6">
        <v>0</v>
      </c>
      <c r="K910" s="6">
        <v>0</v>
      </c>
      <c r="L910" s="6">
        <v>6744.0609999999997</v>
      </c>
      <c r="M910" s="6">
        <v>6744.0609999999997</v>
      </c>
      <c r="N910" s="6">
        <v>6744.0609999999997</v>
      </c>
      <c r="O910" s="6">
        <v>6744.0609999999997</v>
      </c>
      <c r="P910" s="6">
        <v>25766</v>
      </c>
      <c r="Q910" s="4" t="s">
        <v>26</v>
      </c>
      <c r="R910" s="4">
        <v>0</v>
      </c>
      <c r="S910" s="6">
        <v>0</v>
      </c>
      <c r="T910" s="6">
        <v>29</v>
      </c>
      <c r="U910" s="6">
        <v>66</v>
      </c>
      <c r="V910" s="6">
        <f>IF(ISERROR(VLOOKUP($S$910,'TAR FIN'!$A$1:$O$85,15,0)),0,VLOOKUP($S$910,'TAR FIN'!$A$1:$O$85,15,0))</f>
        <v>0</v>
      </c>
      <c r="W910" s="6">
        <f>IF(ISERROR(VLOOKUP($T$910,'TAR FIN'!$A$1:$O$85,15,0)),0,VLOOKUP($T$910,'TAR FIN'!$A$1:$O$85,15,0))</f>
        <v>285.89</v>
      </c>
      <c r="X910" s="6">
        <f>IF(ISERROR(VLOOKUP($U$910,'TAR FIN'!$A$1:$O$85,15,0)),0,VLOOKUP($U$910,'TAR FIN'!$A$1:$O$85,15,0))</f>
        <v>283.83999999999997</v>
      </c>
      <c r="Y910" s="6"/>
      <c r="Z910" s="6">
        <f ca="1">('TUSD BE'!$AM$33+'TUSD BF'!$AM$33+'TUSD CVA'!$AM$33)*(1-CUSTOS!$M$38)</f>
        <v>408.71492269690788</v>
      </c>
      <c r="AA910" s="6">
        <f>('TE BE'!$AB$23+'TE BF'!$AB$23+'TE CVA'!$AB$23)*(1-CUSTOS!$M$38)</f>
        <v>300.75684149176499</v>
      </c>
      <c r="AB910" s="6">
        <f>$K$910*$V$910</f>
        <v>0</v>
      </c>
      <c r="AC910" s="6">
        <f>$M$910*$W$910</f>
        <v>1928059.5992899998</v>
      </c>
      <c r="AD910" s="6">
        <f>$O$910*$X$910</f>
        <v>1914234.2742399997</v>
      </c>
      <c r="AE910" s="6">
        <f>$K$910*$Y$910</f>
        <v>0</v>
      </c>
      <c r="AF910" s="6">
        <f ca="1">$M$910*$Z$910</f>
        <v>2756398.3702782313</v>
      </c>
      <c r="AG910" s="6">
        <f>$O$910*$AA$910</f>
        <v>2028322.4851877941</v>
      </c>
    </row>
    <row r="911" spans="1:33" ht="11.25" customHeight="1" x14ac:dyDescent="0.25">
      <c r="A911" s="4" t="s">
        <v>27</v>
      </c>
      <c r="B911" s="4" t="s">
        <v>43</v>
      </c>
      <c r="C911" s="4" t="s">
        <v>23</v>
      </c>
      <c r="D911" s="4" t="s">
        <v>44</v>
      </c>
      <c r="E911" s="4" t="s">
        <v>25</v>
      </c>
      <c r="F911" s="4" t="s">
        <v>25</v>
      </c>
      <c r="G911" s="4" t="s">
        <v>25</v>
      </c>
      <c r="H911" s="4" t="s">
        <v>25</v>
      </c>
      <c r="I911" s="5">
        <v>44593</v>
      </c>
      <c r="J911" s="6">
        <v>0</v>
      </c>
      <c r="K911" s="6">
        <v>0</v>
      </c>
      <c r="L911" s="6">
        <v>-0.91900000000000004</v>
      </c>
      <c r="M911" s="6">
        <v>-0.91900000000000004</v>
      </c>
      <c r="N911" s="6">
        <v>-0.91900000000000004</v>
      </c>
      <c r="O911" s="6">
        <v>-0.91900000000000004</v>
      </c>
      <c r="P911" s="6">
        <v>0</v>
      </c>
      <c r="Q911" s="4" t="s">
        <v>26</v>
      </c>
      <c r="R911" s="4">
        <v>0</v>
      </c>
      <c r="S911" s="6">
        <v>0</v>
      </c>
      <c r="T911" s="6">
        <v>29</v>
      </c>
      <c r="U911" s="6">
        <v>66</v>
      </c>
      <c r="V911" s="6">
        <f>IF(ISERROR(VLOOKUP($S$911,'TAR FIN'!$A$1:$O$85,15,0)),0,VLOOKUP($S$911,'TAR FIN'!$A$1:$O$85,15,0))</f>
        <v>0</v>
      </c>
      <c r="W911" s="6">
        <f>IF(ISERROR(VLOOKUP($T$911,'TAR FIN'!$A$1:$O$85,15,0)),0,VLOOKUP($T$911,'TAR FIN'!$A$1:$O$85,15,0))</f>
        <v>285.89</v>
      </c>
      <c r="X911" s="6">
        <f>IF(ISERROR(VLOOKUP($U$911,'TAR FIN'!$A$1:$O$85,15,0)),0,VLOOKUP($U$911,'TAR FIN'!$A$1:$O$85,15,0))</f>
        <v>283.83999999999997</v>
      </c>
      <c r="Y911" s="6"/>
      <c r="Z911" s="6">
        <f ca="1">('TUSD BE'!$AM$33+'TUSD BF'!$AM$33+'TUSD CVA'!$AM$33)*(1-CUSTOS!$M$38)</f>
        <v>408.71492269690788</v>
      </c>
      <c r="AA911" s="6">
        <f>('TE BE'!$AB$23+'TE BF'!$AB$23+'TE CVA'!$AB$23)*(1-CUSTOS!$M$38)</f>
        <v>300.75684149176499</v>
      </c>
      <c r="AB911" s="6">
        <f>$K$911*$V$911</f>
        <v>0</v>
      </c>
      <c r="AC911" s="6">
        <f>$M$911*$W$911</f>
        <v>-262.73291</v>
      </c>
      <c r="AD911" s="6">
        <f>$O$911*$X$911</f>
        <v>-260.84895999999998</v>
      </c>
      <c r="AE911" s="6">
        <f>$K$911*$Y$911</f>
        <v>0</v>
      </c>
      <c r="AF911" s="6">
        <f ca="1">$M$911*$Z$911</f>
        <v>-375.60901395845838</v>
      </c>
      <c r="AG911" s="6">
        <f>$O$911*$AA$911</f>
        <v>-276.39553733093203</v>
      </c>
    </row>
    <row r="912" spans="1:33" ht="11.25" customHeight="1" x14ac:dyDescent="0.25">
      <c r="A912" s="4" t="s">
        <v>28</v>
      </c>
      <c r="B912" s="4" t="s">
        <v>43</v>
      </c>
      <c r="C912" s="4" t="s">
        <v>23</v>
      </c>
      <c r="D912" s="4" t="s">
        <v>44</v>
      </c>
      <c r="E912" s="4" t="s">
        <v>25</v>
      </c>
      <c r="F912" s="4" t="s">
        <v>25</v>
      </c>
      <c r="G912" s="4" t="s">
        <v>25</v>
      </c>
      <c r="H912" s="4" t="s">
        <v>25</v>
      </c>
      <c r="I912" s="5">
        <v>44593</v>
      </c>
      <c r="J912" s="6">
        <v>0</v>
      </c>
      <c r="K912" s="6">
        <v>0</v>
      </c>
      <c r="L912" s="6">
        <v>54.429000000000002</v>
      </c>
      <c r="M912" s="6">
        <v>54.429000000000002</v>
      </c>
      <c r="N912" s="6">
        <v>54.429000000000002</v>
      </c>
      <c r="O912" s="6">
        <v>54.429000000000002</v>
      </c>
      <c r="P912" s="6">
        <v>407</v>
      </c>
      <c r="Q912" s="4" t="s">
        <v>26</v>
      </c>
      <c r="R912" s="4">
        <v>0</v>
      </c>
      <c r="S912" s="6">
        <v>0</v>
      </c>
      <c r="T912" s="6">
        <v>29</v>
      </c>
      <c r="U912" s="6">
        <v>66</v>
      </c>
      <c r="V912" s="6">
        <f>IF(ISERROR(VLOOKUP($S$912,'TAR FIN'!$A$1:$O$85,15,0)),0,VLOOKUP($S$912,'TAR FIN'!$A$1:$O$85,15,0))</f>
        <v>0</v>
      </c>
      <c r="W912" s="6">
        <f>IF(ISERROR(VLOOKUP($T$912,'TAR FIN'!$A$1:$O$85,15,0)),0,VLOOKUP($T$912,'TAR FIN'!$A$1:$O$85,15,0))</f>
        <v>285.89</v>
      </c>
      <c r="X912" s="6">
        <f>IF(ISERROR(VLOOKUP($U$912,'TAR FIN'!$A$1:$O$85,15,0)),0,VLOOKUP($U$912,'TAR FIN'!$A$1:$O$85,15,0))</f>
        <v>283.83999999999997</v>
      </c>
      <c r="Y912" s="6"/>
      <c r="Z912" s="6">
        <f ca="1">('TUSD BE'!$AM$33+'TUSD BF'!$AM$33+'TUSD CVA'!$AM$33)*(1-CUSTOS!$M$38)</f>
        <v>408.71492269690788</v>
      </c>
      <c r="AA912" s="6">
        <f>('TE BE'!$AB$23+'TE BF'!$AB$23+'TE CVA'!$AB$23)*(1-CUSTOS!$M$38)</f>
        <v>300.75684149176499</v>
      </c>
      <c r="AB912" s="6">
        <f>$K$912*$V$912</f>
        <v>0</v>
      </c>
      <c r="AC912" s="6">
        <f>$M$912*$W$912</f>
        <v>15560.70681</v>
      </c>
      <c r="AD912" s="6">
        <f>$O$912*$X$912</f>
        <v>15449.127359999999</v>
      </c>
      <c r="AE912" s="6">
        <f>$K$912*$Y$912</f>
        <v>0</v>
      </c>
      <c r="AF912" s="6">
        <f ca="1">$M$912*$Z$912</f>
        <v>22245.944527470001</v>
      </c>
      <c r="AG912" s="6">
        <f>$O$912*$AA$912</f>
        <v>16369.894125555276</v>
      </c>
    </row>
    <row r="913" spans="1:33" ht="11.25" customHeight="1" x14ac:dyDescent="0.25">
      <c r="A913" s="4" t="s">
        <v>28</v>
      </c>
      <c r="B913" s="4" t="s">
        <v>43</v>
      </c>
      <c r="C913" s="4" t="s">
        <v>23</v>
      </c>
      <c r="D913" s="4" t="s">
        <v>44</v>
      </c>
      <c r="E913" s="4" t="s">
        <v>25</v>
      </c>
      <c r="F913" s="4" t="s">
        <v>25</v>
      </c>
      <c r="G913" s="4" t="s">
        <v>25</v>
      </c>
      <c r="H913" s="4" t="s">
        <v>25</v>
      </c>
      <c r="I913" s="5">
        <v>44593</v>
      </c>
      <c r="J913" s="6">
        <v>0</v>
      </c>
      <c r="K913" s="6">
        <v>0</v>
      </c>
      <c r="L913" s="6">
        <v>6.9020000000000001</v>
      </c>
      <c r="M913" s="6">
        <v>6.9020000000000001</v>
      </c>
      <c r="N913" s="6">
        <v>6.9020000000000001</v>
      </c>
      <c r="O913" s="6">
        <v>6.9020000000000001</v>
      </c>
      <c r="P913" s="6">
        <v>0</v>
      </c>
      <c r="Q913" s="4" t="s">
        <v>26</v>
      </c>
      <c r="R913" s="4">
        <v>0</v>
      </c>
      <c r="S913" s="6">
        <v>0</v>
      </c>
      <c r="T913" s="6">
        <v>29</v>
      </c>
      <c r="U913" s="6">
        <v>66</v>
      </c>
      <c r="V913" s="6">
        <f>IF(ISERROR(VLOOKUP($S$913,'TAR FIN'!$A$1:$O$85,15,0)),0,VLOOKUP($S$913,'TAR FIN'!$A$1:$O$85,15,0))</f>
        <v>0</v>
      </c>
      <c r="W913" s="6">
        <f>IF(ISERROR(VLOOKUP($T$913,'TAR FIN'!$A$1:$O$85,15,0)),0,VLOOKUP($T$913,'TAR FIN'!$A$1:$O$85,15,0))</f>
        <v>285.89</v>
      </c>
      <c r="X913" s="6">
        <f>IF(ISERROR(VLOOKUP($U$913,'TAR FIN'!$A$1:$O$85,15,0)),0,VLOOKUP($U$913,'TAR FIN'!$A$1:$O$85,15,0))</f>
        <v>283.83999999999997</v>
      </c>
      <c r="Y913" s="6"/>
      <c r="Z913" s="6">
        <f ca="1">('TUSD BE'!$AM$33+'TUSD BF'!$AM$33+'TUSD CVA'!$AM$33)*(1-CUSTOS!$M$38)</f>
        <v>408.71492269690788</v>
      </c>
      <c r="AA913" s="6">
        <f>('TE BE'!$AB$23+'TE BF'!$AB$23+'TE CVA'!$AB$23)*(1-CUSTOS!$M$38)</f>
        <v>300.75684149176499</v>
      </c>
      <c r="AB913" s="6">
        <f>$K$913*$V$913</f>
        <v>0</v>
      </c>
      <c r="AC913" s="6">
        <f>$M$913*$W$913</f>
        <v>1973.2127799999998</v>
      </c>
      <c r="AD913" s="6">
        <f>$O$913*$X$913</f>
        <v>1959.06368</v>
      </c>
      <c r="AE913" s="6">
        <f>$K$913*$Y$913</f>
        <v>0</v>
      </c>
      <c r="AF913" s="6">
        <f ca="1">$M$913*$Z$913</f>
        <v>2820.9503964540581</v>
      </c>
      <c r="AG913" s="6">
        <f>$O$913*$AA$913</f>
        <v>2075.823719976162</v>
      </c>
    </row>
    <row r="914" spans="1:33" ht="11.25" customHeight="1" x14ac:dyDescent="0.25">
      <c r="A914" s="4" t="s">
        <v>21</v>
      </c>
      <c r="B914" s="4" t="s">
        <v>43</v>
      </c>
      <c r="C914" s="4" t="s">
        <v>23</v>
      </c>
      <c r="D914" s="4" t="s">
        <v>44</v>
      </c>
      <c r="E914" s="4" t="s">
        <v>25</v>
      </c>
      <c r="F914" s="4" t="s">
        <v>25</v>
      </c>
      <c r="G914" s="4" t="s">
        <v>25</v>
      </c>
      <c r="H914" s="4" t="s">
        <v>25</v>
      </c>
      <c r="I914" s="5">
        <v>44621</v>
      </c>
      <c r="J914" s="6">
        <v>0</v>
      </c>
      <c r="K914" s="6">
        <v>0</v>
      </c>
      <c r="L914" s="6">
        <v>6840.9759999999997</v>
      </c>
      <c r="M914" s="6">
        <v>6840.9759999999997</v>
      </c>
      <c r="N914" s="6">
        <v>6840.9759999999997</v>
      </c>
      <c r="O914" s="6">
        <v>6840.9759999999997</v>
      </c>
      <c r="P914" s="6">
        <v>26577</v>
      </c>
      <c r="Q914" s="4" t="s">
        <v>26</v>
      </c>
      <c r="R914" s="4">
        <v>0</v>
      </c>
      <c r="S914" s="6">
        <v>0</v>
      </c>
      <c r="T914" s="6">
        <v>29</v>
      </c>
      <c r="U914" s="6">
        <v>66</v>
      </c>
      <c r="V914" s="6">
        <f>IF(ISERROR(VLOOKUP($S$914,'TAR FIN'!$A$1:$O$85,15,0)),0,VLOOKUP($S$914,'TAR FIN'!$A$1:$O$85,15,0))</f>
        <v>0</v>
      </c>
      <c r="W914" s="6">
        <f>IF(ISERROR(VLOOKUP($T$914,'TAR FIN'!$A$1:$O$85,15,0)),0,VLOOKUP($T$914,'TAR FIN'!$A$1:$O$85,15,0))</f>
        <v>285.89</v>
      </c>
      <c r="X914" s="6">
        <f>IF(ISERROR(VLOOKUP($U$914,'TAR FIN'!$A$1:$O$85,15,0)),0,VLOOKUP($U$914,'TAR FIN'!$A$1:$O$85,15,0))</f>
        <v>283.83999999999997</v>
      </c>
      <c r="Y914" s="6"/>
      <c r="Z914" s="6">
        <f ca="1">('TUSD BE'!$AM$33+'TUSD BF'!$AM$33+'TUSD CVA'!$AM$33)*(1-CUSTOS!$M$38)</f>
        <v>408.71492269690788</v>
      </c>
      <c r="AA914" s="6">
        <f>('TE BE'!$AB$23+'TE BF'!$AB$23+'TE CVA'!$AB$23)*(1-CUSTOS!$M$38)</f>
        <v>300.75684149176499</v>
      </c>
      <c r="AB914" s="6">
        <f>$K$914*$V$914</f>
        <v>0</v>
      </c>
      <c r="AC914" s="6">
        <f>$M$914*$W$914</f>
        <v>1955766.6286399998</v>
      </c>
      <c r="AD914" s="6">
        <f>$O$914*$X$914</f>
        <v>1941742.6278399997</v>
      </c>
      <c r="AE914" s="6">
        <f>$K$914*$Y$914</f>
        <v>0</v>
      </c>
      <c r="AF914" s="6">
        <f ca="1">$M$914*$Z$914</f>
        <v>2796008.9770114021</v>
      </c>
      <c r="AG914" s="6">
        <f>$O$914*$AA$914</f>
        <v>2057470.3344809683</v>
      </c>
    </row>
    <row r="915" spans="1:33" ht="11.25" customHeight="1" x14ac:dyDescent="0.25">
      <c r="A915" s="4" t="s">
        <v>27</v>
      </c>
      <c r="B915" s="4" t="s">
        <v>43</v>
      </c>
      <c r="C915" s="4" t="s">
        <v>23</v>
      </c>
      <c r="D915" s="4" t="s">
        <v>44</v>
      </c>
      <c r="E915" s="4" t="s">
        <v>25</v>
      </c>
      <c r="F915" s="4" t="s">
        <v>25</v>
      </c>
      <c r="G915" s="4" t="s">
        <v>25</v>
      </c>
      <c r="H915" s="4" t="s">
        <v>25</v>
      </c>
      <c r="I915" s="5">
        <v>44621</v>
      </c>
      <c r="J915" s="6">
        <v>0</v>
      </c>
      <c r="K915" s="6">
        <v>0</v>
      </c>
      <c r="L915" s="6">
        <v>-14.576000000000001</v>
      </c>
      <c r="M915" s="6">
        <v>-14.576000000000001</v>
      </c>
      <c r="N915" s="6">
        <v>-14.576000000000001</v>
      </c>
      <c r="O915" s="6">
        <v>-14.576000000000001</v>
      </c>
      <c r="P915" s="6">
        <v>2</v>
      </c>
      <c r="Q915" s="4" t="s">
        <v>26</v>
      </c>
      <c r="R915" s="4">
        <v>0</v>
      </c>
      <c r="S915" s="6">
        <v>0</v>
      </c>
      <c r="T915" s="6">
        <v>29</v>
      </c>
      <c r="U915" s="6">
        <v>66</v>
      </c>
      <c r="V915" s="6">
        <f>IF(ISERROR(VLOOKUP($S$915,'TAR FIN'!$A$1:$O$85,15,0)),0,VLOOKUP($S$915,'TAR FIN'!$A$1:$O$85,15,0))</f>
        <v>0</v>
      </c>
      <c r="W915" s="6">
        <f>IF(ISERROR(VLOOKUP($T$915,'TAR FIN'!$A$1:$O$85,15,0)),0,VLOOKUP($T$915,'TAR FIN'!$A$1:$O$85,15,0))</f>
        <v>285.89</v>
      </c>
      <c r="X915" s="6">
        <f>IF(ISERROR(VLOOKUP($U$915,'TAR FIN'!$A$1:$O$85,15,0)),0,VLOOKUP($U$915,'TAR FIN'!$A$1:$O$85,15,0))</f>
        <v>283.83999999999997</v>
      </c>
      <c r="Y915" s="6"/>
      <c r="Z915" s="6">
        <f ca="1">('TUSD BE'!$AM$33+'TUSD BF'!$AM$33+'TUSD CVA'!$AM$33)*(1-CUSTOS!$M$38)</f>
        <v>408.71492269690788</v>
      </c>
      <c r="AA915" s="6">
        <f>('TE BE'!$AB$23+'TE BF'!$AB$23+'TE CVA'!$AB$23)*(1-CUSTOS!$M$38)</f>
        <v>300.75684149176499</v>
      </c>
      <c r="AB915" s="6">
        <f>$K$915*$V$915</f>
        <v>0</v>
      </c>
      <c r="AC915" s="6">
        <f>$M$915*$W$915</f>
        <v>-4167.1326399999998</v>
      </c>
      <c r="AD915" s="6">
        <f>$O$915*$X$915</f>
        <v>-4137.2518399999999</v>
      </c>
      <c r="AE915" s="6">
        <f>$K$915*$Y$915</f>
        <v>0</v>
      </c>
      <c r="AF915" s="6">
        <f ca="1">$M$915*$Z$915</f>
        <v>-5957.4287132301297</v>
      </c>
      <c r="AG915" s="6">
        <f>$O$915*$AA$915</f>
        <v>-4383.831721583967</v>
      </c>
    </row>
    <row r="916" spans="1:33" ht="11.25" customHeight="1" x14ac:dyDescent="0.25">
      <c r="A916" s="4" t="s">
        <v>28</v>
      </c>
      <c r="B916" s="4" t="s">
        <v>43</v>
      </c>
      <c r="C916" s="4" t="s">
        <v>23</v>
      </c>
      <c r="D916" s="4" t="s">
        <v>44</v>
      </c>
      <c r="E916" s="4" t="s">
        <v>25</v>
      </c>
      <c r="F916" s="4" t="s">
        <v>25</v>
      </c>
      <c r="G916" s="4" t="s">
        <v>25</v>
      </c>
      <c r="H916" s="4" t="s">
        <v>25</v>
      </c>
      <c r="I916" s="5">
        <v>44621</v>
      </c>
      <c r="J916" s="6">
        <v>0</v>
      </c>
      <c r="K916" s="6">
        <v>0</v>
      </c>
      <c r="L916" s="6">
        <v>60.368000000000002</v>
      </c>
      <c r="M916" s="6">
        <v>60.368000000000002</v>
      </c>
      <c r="N916" s="6">
        <v>60.368000000000002</v>
      </c>
      <c r="O916" s="6">
        <v>60.368000000000002</v>
      </c>
      <c r="P916" s="6">
        <v>471</v>
      </c>
      <c r="Q916" s="4" t="s">
        <v>26</v>
      </c>
      <c r="R916" s="4">
        <v>0</v>
      </c>
      <c r="S916" s="6">
        <v>0</v>
      </c>
      <c r="T916" s="6">
        <v>29</v>
      </c>
      <c r="U916" s="6">
        <v>66</v>
      </c>
      <c r="V916" s="6">
        <f>IF(ISERROR(VLOOKUP($S$916,'TAR FIN'!$A$1:$O$85,15,0)),0,VLOOKUP($S$916,'TAR FIN'!$A$1:$O$85,15,0))</f>
        <v>0</v>
      </c>
      <c r="W916" s="6">
        <f>IF(ISERROR(VLOOKUP($T$916,'TAR FIN'!$A$1:$O$85,15,0)),0,VLOOKUP($T$916,'TAR FIN'!$A$1:$O$85,15,0))</f>
        <v>285.89</v>
      </c>
      <c r="X916" s="6">
        <f>IF(ISERROR(VLOOKUP($U$916,'TAR FIN'!$A$1:$O$85,15,0)),0,VLOOKUP($U$916,'TAR FIN'!$A$1:$O$85,15,0))</f>
        <v>283.83999999999997</v>
      </c>
      <c r="Y916" s="6"/>
      <c r="Z916" s="6">
        <f ca="1">('TUSD BE'!$AM$33+'TUSD BF'!$AM$33+'TUSD CVA'!$AM$33)*(1-CUSTOS!$M$38)</f>
        <v>408.71492269690788</v>
      </c>
      <c r="AA916" s="6">
        <f>('TE BE'!$AB$23+'TE BF'!$AB$23+'TE CVA'!$AB$23)*(1-CUSTOS!$M$38)</f>
        <v>300.75684149176499</v>
      </c>
      <c r="AB916" s="6">
        <f>$K$916*$V$916</f>
        <v>0</v>
      </c>
      <c r="AC916" s="6">
        <f>$M$916*$W$916</f>
        <v>17258.607520000001</v>
      </c>
      <c r="AD916" s="6">
        <f>$O$916*$X$916</f>
        <v>17134.85312</v>
      </c>
      <c r="AE916" s="6">
        <f>$K$916*$Y$916</f>
        <v>0</v>
      </c>
      <c r="AF916" s="6">
        <f ca="1">$M$916*$Z$916</f>
        <v>24673.302453366934</v>
      </c>
      <c r="AG916" s="6">
        <f>$O$916*$AA$916</f>
        <v>18156.089007174869</v>
      </c>
    </row>
    <row r="917" spans="1:33" ht="11.25" customHeight="1" x14ac:dyDescent="0.25">
      <c r="A917" s="4" t="s">
        <v>21</v>
      </c>
      <c r="B917" s="4" t="s">
        <v>43</v>
      </c>
      <c r="C917" s="4" t="s">
        <v>23</v>
      </c>
      <c r="D917" s="4" t="s">
        <v>44</v>
      </c>
      <c r="E917" s="4" t="s">
        <v>25</v>
      </c>
      <c r="F917" s="4" t="s">
        <v>25</v>
      </c>
      <c r="G917" s="4" t="s">
        <v>25</v>
      </c>
      <c r="H917" s="4" t="s">
        <v>25</v>
      </c>
      <c r="I917" s="5">
        <v>44652</v>
      </c>
      <c r="J917" s="6">
        <v>0</v>
      </c>
      <c r="K917" s="6">
        <v>0</v>
      </c>
      <c r="L917" s="6">
        <v>7022.2060000000001</v>
      </c>
      <c r="M917" s="6">
        <v>7022.2060000000001</v>
      </c>
      <c r="N917" s="6">
        <v>7022.2060000000001</v>
      </c>
      <c r="O917" s="6">
        <v>7022.2060000000001</v>
      </c>
      <c r="P917" s="6">
        <v>25443</v>
      </c>
      <c r="Q917" s="4" t="s">
        <v>26</v>
      </c>
      <c r="R917" s="4">
        <v>0</v>
      </c>
      <c r="S917" s="6">
        <v>0</v>
      </c>
      <c r="T917" s="6">
        <v>29</v>
      </c>
      <c r="U917" s="6">
        <v>66</v>
      </c>
      <c r="V917" s="6">
        <f>IF(ISERROR(VLOOKUP($S$917,'TAR FIN'!$A$1:$O$85,15,0)),0,VLOOKUP($S$917,'TAR FIN'!$A$1:$O$85,15,0))</f>
        <v>0</v>
      </c>
      <c r="W917" s="6">
        <f>IF(ISERROR(VLOOKUP($T$917,'TAR FIN'!$A$1:$O$85,15,0)),0,VLOOKUP($T$917,'TAR FIN'!$A$1:$O$85,15,0))</f>
        <v>285.89</v>
      </c>
      <c r="X917" s="6">
        <f>IF(ISERROR(VLOOKUP($U$917,'TAR FIN'!$A$1:$O$85,15,0)),0,VLOOKUP($U$917,'TAR FIN'!$A$1:$O$85,15,0))</f>
        <v>283.83999999999997</v>
      </c>
      <c r="Y917" s="6"/>
      <c r="Z917" s="6">
        <f ca="1">('TUSD BE'!$AM$33+'TUSD BF'!$AM$33+'TUSD CVA'!$AM$33)*(1-CUSTOS!$M$38)</f>
        <v>408.71492269690788</v>
      </c>
      <c r="AA917" s="6">
        <f>('TE BE'!$AB$23+'TE BF'!$AB$23+'TE CVA'!$AB$23)*(1-CUSTOS!$M$38)</f>
        <v>300.75684149176499</v>
      </c>
      <c r="AB917" s="6">
        <f>$K$917*$V$917</f>
        <v>0</v>
      </c>
      <c r="AC917" s="6">
        <f>$M$917*$W$917</f>
        <v>2007578.47334</v>
      </c>
      <c r="AD917" s="6">
        <f>$O$917*$X$917</f>
        <v>1993182.95104</v>
      </c>
      <c r="AE917" s="6">
        <f>$K$917*$Y$917</f>
        <v>0</v>
      </c>
      <c r="AF917" s="6">
        <f ca="1">$M$917*$Z$917</f>
        <v>2870080.3824517629</v>
      </c>
      <c r="AG917" s="6">
        <f>$O$917*$AA$917</f>
        <v>2111976.4968645209</v>
      </c>
    </row>
    <row r="918" spans="1:33" ht="11.25" customHeight="1" x14ac:dyDescent="0.25">
      <c r="A918" s="4" t="s">
        <v>27</v>
      </c>
      <c r="B918" s="4" t="s">
        <v>43</v>
      </c>
      <c r="C918" s="4" t="s">
        <v>23</v>
      </c>
      <c r="D918" s="4" t="s">
        <v>44</v>
      </c>
      <c r="E918" s="4" t="s">
        <v>25</v>
      </c>
      <c r="F918" s="4" t="s">
        <v>25</v>
      </c>
      <c r="G918" s="4" t="s">
        <v>25</v>
      </c>
      <c r="H918" s="4" t="s">
        <v>25</v>
      </c>
      <c r="I918" s="5">
        <v>44652</v>
      </c>
      <c r="J918" s="6">
        <v>0</v>
      </c>
      <c r="K918" s="6">
        <v>0</v>
      </c>
      <c r="L918" s="6">
        <v>-10.545999999999999</v>
      </c>
      <c r="M918" s="6">
        <v>-10.545999999999999</v>
      </c>
      <c r="N918" s="6">
        <v>-10.545999999999999</v>
      </c>
      <c r="O918" s="6">
        <v>-10.545999999999999</v>
      </c>
      <c r="P918" s="6">
        <v>5</v>
      </c>
      <c r="Q918" s="4" t="s">
        <v>26</v>
      </c>
      <c r="R918" s="4">
        <v>0</v>
      </c>
      <c r="S918" s="6">
        <v>0</v>
      </c>
      <c r="T918" s="6">
        <v>29</v>
      </c>
      <c r="U918" s="6">
        <v>66</v>
      </c>
      <c r="V918" s="6">
        <f>IF(ISERROR(VLOOKUP($S$918,'TAR FIN'!$A$1:$O$85,15,0)),0,VLOOKUP($S$918,'TAR FIN'!$A$1:$O$85,15,0))</f>
        <v>0</v>
      </c>
      <c r="W918" s="6">
        <f>IF(ISERROR(VLOOKUP($T$918,'TAR FIN'!$A$1:$O$85,15,0)),0,VLOOKUP($T$918,'TAR FIN'!$A$1:$O$85,15,0))</f>
        <v>285.89</v>
      </c>
      <c r="X918" s="6">
        <f>IF(ISERROR(VLOOKUP($U$918,'TAR FIN'!$A$1:$O$85,15,0)),0,VLOOKUP($U$918,'TAR FIN'!$A$1:$O$85,15,0))</f>
        <v>283.83999999999997</v>
      </c>
      <c r="Y918" s="6"/>
      <c r="Z918" s="6">
        <f ca="1">('TUSD BE'!$AM$33+'TUSD BF'!$AM$33+'TUSD CVA'!$AM$33)*(1-CUSTOS!$M$38)</f>
        <v>408.71492269690788</v>
      </c>
      <c r="AA918" s="6">
        <f>('TE BE'!$AB$23+'TE BF'!$AB$23+'TE CVA'!$AB$23)*(1-CUSTOS!$M$38)</f>
        <v>300.75684149176499</v>
      </c>
      <c r="AB918" s="6">
        <f>$K$918*$V$918</f>
        <v>0</v>
      </c>
      <c r="AC918" s="6">
        <f>$M$918*$W$918</f>
        <v>-3014.9959399999998</v>
      </c>
      <c r="AD918" s="6">
        <f>$O$918*$X$918</f>
        <v>-2993.3766399999995</v>
      </c>
      <c r="AE918" s="6">
        <f>$K$918*$Y$918</f>
        <v>0</v>
      </c>
      <c r="AF918" s="6">
        <f ca="1">$M$918*$Z$918</f>
        <v>-4310.3075747615903</v>
      </c>
      <c r="AG918" s="6">
        <f>$O$918*$AA$918</f>
        <v>-3171.7816503721533</v>
      </c>
    </row>
    <row r="919" spans="1:33" ht="11.25" customHeight="1" x14ac:dyDescent="0.25">
      <c r="A919" s="4" t="s">
        <v>28</v>
      </c>
      <c r="B919" s="4" t="s">
        <v>43</v>
      </c>
      <c r="C919" s="4" t="s">
        <v>23</v>
      </c>
      <c r="D919" s="4" t="s">
        <v>44</v>
      </c>
      <c r="E919" s="4" t="s">
        <v>25</v>
      </c>
      <c r="F919" s="4" t="s">
        <v>25</v>
      </c>
      <c r="G919" s="4" t="s">
        <v>25</v>
      </c>
      <c r="H919" s="4" t="s">
        <v>25</v>
      </c>
      <c r="I919" s="5">
        <v>44652</v>
      </c>
      <c r="J919" s="6">
        <v>0</v>
      </c>
      <c r="K919" s="6">
        <v>0</v>
      </c>
      <c r="L919" s="6">
        <v>71.492999999999995</v>
      </c>
      <c r="M919" s="6">
        <v>71.492999999999995</v>
      </c>
      <c r="N919" s="6">
        <v>71.492999999999995</v>
      </c>
      <c r="O919" s="6">
        <v>71.492999999999995</v>
      </c>
      <c r="P919" s="6">
        <v>537</v>
      </c>
      <c r="Q919" s="4" t="s">
        <v>26</v>
      </c>
      <c r="R919" s="4">
        <v>0</v>
      </c>
      <c r="S919" s="6">
        <v>0</v>
      </c>
      <c r="T919" s="6">
        <v>29</v>
      </c>
      <c r="U919" s="6">
        <v>66</v>
      </c>
      <c r="V919" s="6">
        <f>IF(ISERROR(VLOOKUP($S$919,'TAR FIN'!$A$1:$O$85,15,0)),0,VLOOKUP($S$919,'TAR FIN'!$A$1:$O$85,15,0))</f>
        <v>0</v>
      </c>
      <c r="W919" s="6">
        <f>IF(ISERROR(VLOOKUP($T$919,'TAR FIN'!$A$1:$O$85,15,0)),0,VLOOKUP($T$919,'TAR FIN'!$A$1:$O$85,15,0))</f>
        <v>285.89</v>
      </c>
      <c r="X919" s="6">
        <f>IF(ISERROR(VLOOKUP($U$919,'TAR FIN'!$A$1:$O$85,15,0)),0,VLOOKUP($U$919,'TAR FIN'!$A$1:$O$85,15,0))</f>
        <v>283.83999999999997</v>
      </c>
      <c r="Y919" s="6"/>
      <c r="Z919" s="6">
        <f ca="1">('TUSD BE'!$AM$33+'TUSD BF'!$AM$33+'TUSD CVA'!$AM$33)*(1-CUSTOS!$M$38)</f>
        <v>408.71492269690788</v>
      </c>
      <c r="AA919" s="6">
        <f>('TE BE'!$AB$23+'TE BF'!$AB$23+'TE CVA'!$AB$23)*(1-CUSTOS!$M$38)</f>
        <v>300.75684149176499</v>
      </c>
      <c r="AB919" s="6">
        <f>$K$919*$V$919</f>
        <v>0</v>
      </c>
      <c r="AC919" s="6">
        <f>$M$919*$W$919</f>
        <v>20439.133769999997</v>
      </c>
      <c r="AD919" s="6">
        <f>$O$919*$X$919</f>
        <v>20292.573119999997</v>
      </c>
      <c r="AE919" s="6">
        <f>$K$919*$Y$919</f>
        <v>0</v>
      </c>
      <c r="AF919" s="6">
        <f ca="1">$M$919*$Z$919</f>
        <v>29220.255968370031</v>
      </c>
      <c r="AG919" s="6">
        <f>$O$919*$AA$919</f>
        <v>21502.008868770754</v>
      </c>
    </row>
    <row r="920" spans="1:33" ht="11.25" customHeight="1" x14ac:dyDescent="0.25">
      <c r="A920" s="4" t="s">
        <v>28</v>
      </c>
      <c r="B920" s="4" t="s">
        <v>43</v>
      </c>
      <c r="C920" s="4" t="s">
        <v>23</v>
      </c>
      <c r="D920" s="4" t="s">
        <v>44</v>
      </c>
      <c r="E920" s="4" t="s">
        <v>25</v>
      </c>
      <c r="F920" s="4" t="s">
        <v>25</v>
      </c>
      <c r="G920" s="4" t="s">
        <v>25</v>
      </c>
      <c r="H920" s="4" t="s">
        <v>25</v>
      </c>
      <c r="I920" s="5">
        <v>44652</v>
      </c>
      <c r="J920" s="6">
        <v>0</v>
      </c>
      <c r="K920" s="6">
        <v>0</v>
      </c>
      <c r="L920" s="6">
        <v>1.1299999999999999</v>
      </c>
      <c r="M920" s="6">
        <v>1.1299999999999999</v>
      </c>
      <c r="N920" s="6">
        <v>1.1299999999999999</v>
      </c>
      <c r="O920" s="6">
        <v>1.1299999999999999</v>
      </c>
      <c r="P920" s="6">
        <v>3</v>
      </c>
      <c r="Q920" s="4" t="s">
        <v>26</v>
      </c>
      <c r="R920" s="4">
        <v>0</v>
      </c>
      <c r="S920" s="6">
        <v>0</v>
      </c>
      <c r="T920" s="6">
        <v>29</v>
      </c>
      <c r="U920" s="6">
        <v>66</v>
      </c>
      <c r="V920" s="6">
        <f>IF(ISERROR(VLOOKUP($S$920,'TAR FIN'!$A$1:$O$85,15,0)),0,VLOOKUP($S$920,'TAR FIN'!$A$1:$O$85,15,0))</f>
        <v>0</v>
      </c>
      <c r="W920" s="6">
        <f>IF(ISERROR(VLOOKUP($T$920,'TAR FIN'!$A$1:$O$85,15,0)),0,VLOOKUP($T$920,'TAR FIN'!$A$1:$O$85,15,0))</f>
        <v>285.89</v>
      </c>
      <c r="X920" s="6">
        <f>IF(ISERROR(VLOOKUP($U$920,'TAR FIN'!$A$1:$O$85,15,0)),0,VLOOKUP($U$920,'TAR FIN'!$A$1:$O$85,15,0))</f>
        <v>283.83999999999997</v>
      </c>
      <c r="Y920" s="6"/>
      <c r="Z920" s="6">
        <f ca="1">('TUSD BE'!$AM$33+'TUSD BF'!$AM$33+'TUSD CVA'!$AM$33)*(1-CUSTOS!$M$38)</f>
        <v>408.71492269690788</v>
      </c>
      <c r="AA920" s="6">
        <f>('TE BE'!$AB$23+'TE BF'!$AB$23+'TE CVA'!$AB$23)*(1-CUSTOS!$M$38)</f>
        <v>300.75684149176499</v>
      </c>
      <c r="AB920" s="6">
        <f>$K$920*$V$920</f>
        <v>0</v>
      </c>
      <c r="AC920" s="6">
        <f>$M$920*$W$920</f>
        <v>323.05569999999994</v>
      </c>
      <c r="AD920" s="6">
        <f>$O$920*$X$920</f>
        <v>320.73919999999993</v>
      </c>
      <c r="AE920" s="6">
        <f>$K$920*$Y$920</f>
        <v>0</v>
      </c>
      <c r="AF920" s="6">
        <f ca="1">$M$920*$Z$920</f>
        <v>461.84786264750585</v>
      </c>
      <c r="AG920" s="6">
        <f>$O$920*$AA$920</f>
        <v>339.85523088569443</v>
      </c>
    </row>
    <row r="921" spans="1:33" ht="11.25" customHeight="1" x14ac:dyDescent="0.25">
      <c r="A921" s="4" t="s">
        <v>21</v>
      </c>
      <c r="B921" s="4" t="s">
        <v>43</v>
      </c>
      <c r="C921" s="4" t="s">
        <v>23</v>
      </c>
      <c r="D921" s="4" t="s">
        <v>44</v>
      </c>
      <c r="E921" s="4" t="s">
        <v>25</v>
      </c>
      <c r="F921" s="4" t="s">
        <v>25</v>
      </c>
      <c r="G921" s="4" t="s">
        <v>25</v>
      </c>
      <c r="H921" s="4" t="s">
        <v>25</v>
      </c>
      <c r="I921" s="5">
        <v>44682</v>
      </c>
      <c r="J921" s="6">
        <v>0</v>
      </c>
      <c r="K921" s="6">
        <v>0</v>
      </c>
      <c r="L921" s="6">
        <v>8529.67</v>
      </c>
      <c r="M921" s="6">
        <v>8529.67</v>
      </c>
      <c r="N921" s="6">
        <v>8529.67</v>
      </c>
      <c r="O921" s="6">
        <v>8529.67</v>
      </c>
      <c r="P921" s="6">
        <v>24910</v>
      </c>
      <c r="Q921" s="4" t="s">
        <v>26</v>
      </c>
      <c r="R921" s="4">
        <v>0</v>
      </c>
      <c r="S921" s="6">
        <v>0</v>
      </c>
      <c r="T921" s="6">
        <v>29</v>
      </c>
      <c r="U921" s="6">
        <v>66</v>
      </c>
      <c r="V921" s="6">
        <f>IF(ISERROR(VLOOKUP($S$921,'TAR FIN'!$A$1:$O$85,15,0)),0,VLOOKUP($S$921,'TAR FIN'!$A$1:$O$85,15,0))</f>
        <v>0</v>
      </c>
      <c r="W921" s="6">
        <f>IF(ISERROR(VLOOKUP($T$921,'TAR FIN'!$A$1:$O$85,15,0)),0,VLOOKUP($T$921,'TAR FIN'!$A$1:$O$85,15,0))</f>
        <v>285.89</v>
      </c>
      <c r="X921" s="6">
        <f>IF(ISERROR(VLOOKUP($U$921,'TAR FIN'!$A$1:$O$85,15,0)),0,VLOOKUP($U$921,'TAR FIN'!$A$1:$O$85,15,0))</f>
        <v>283.83999999999997</v>
      </c>
      <c r="Y921" s="6"/>
      <c r="Z921" s="6">
        <f ca="1">('TUSD BE'!$AM$33+'TUSD BF'!$AM$33+'TUSD CVA'!$AM$33)*(1-CUSTOS!$M$38)</f>
        <v>408.71492269690788</v>
      </c>
      <c r="AA921" s="6">
        <f>('TE BE'!$AB$23+'TE BF'!$AB$23+'TE CVA'!$AB$23)*(1-CUSTOS!$M$38)</f>
        <v>300.75684149176499</v>
      </c>
      <c r="AB921" s="6">
        <f>$K$921*$V$921</f>
        <v>0</v>
      </c>
      <c r="AC921" s="6">
        <f>$M$921*$W$921</f>
        <v>2438547.3563000001</v>
      </c>
      <c r="AD921" s="6">
        <f>$O$921*$X$921</f>
        <v>2421061.5327999997</v>
      </c>
      <c r="AE921" s="6">
        <f>$K$921*$Y$921</f>
        <v>0</v>
      </c>
      <c r="AF921" s="6">
        <f ca="1">$M$921*$Z$921</f>
        <v>3486203.414680134</v>
      </c>
      <c r="AG921" s="6">
        <f>$O$921*$AA$921</f>
        <v>2565356.608167063</v>
      </c>
    </row>
    <row r="922" spans="1:33" ht="11.25" customHeight="1" x14ac:dyDescent="0.25">
      <c r="A922" s="4" t="s">
        <v>27</v>
      </c>
      <c r="B922" s="4" t="s">
        <v>43</v>
      </c>
      <c r="C922" s="4" t="s">
        <v>23</v>
      </c>
      <c r="D922" s="4" t="s">
        <v>44</v>
      </c>
      <c r="E922" s="4" t="s">
        <v>25</v>
      </c>
      <c r="F922" s="4" t="s">
        <v>25</v>
      </c>
      <c r="G922" s="4" t="s">
        <v>25</v>
      </c>
      <c r="H922" s="4" t="s">
        <v>25</v>
      </c>
      <c r="I922" s="5">
        <v>44682</v>
      </c>
      <c r="J922" s="6">
        <v>0</v>
      </c>
      <c r="K922" s="6">
        <v>0</v>
      </c>
      <c r="L922" s="6">
        <v>0.58399999999999996</v>
      </c>
      <c r="M922" s="6">
        <v>0.58399999999999996</v>
      </c>
      <c r="N922" s="6">
        <v>0.58399999999999996</v>
      </c>
      <c r="O922" s="6">
        <v>0.58399999999999996</v>
      </c>
      <c r="P922" s="6">
        <v>12</v>
      </c>
      <c r="Q922" s="4" t="s">
        <v>26</v>
      </c>
      <c r="R922" s="4">
        <v>0</v>
      </c>
      <c r="S922" s="6">
        <v>0</v>
      </c>
      <c r="T922" s="6">
        <v>29</v>
      </c>
      <c r="U922" s="6">
        <v>66</v>
      </c>
      <c r="V922" s="6">
        <f>IF(ISERROR(VLOOKUP($S$922,'TAR FIN'!$A$1:$O$85,15,0)),0,VLOOKUP($S$922,'TAR FIN'!$A$1:$O$85,15,0))</f>
        <v>0</v>
      </c>
      <c r="W922" s="6">
        <f>IF(ISERROR(VLOOKUP($T$922,'TAR FIN'!$A$1:$O$85,15,0)),0,VLOOKUP($T$922,'TAR FIN'!$A$1:$O$85,15,0))</f>
        <v>285.89</v>
      </c>
      <c r="X922" s="6">
        <f>IF(ISERROR(VLOOKUP($U$922,'TAR FIN'!$A$1:$O$85,15,0)),0,VLOOKUP($U$922,'TAR FIN'!$A$1:$O$85,15,0))</f>
        <v>283.83999999999997</v>
      </c>
      <c r="Y922" s="6"/>
      <c r="Z922" s="6">
        <f ca="1">('TUSD BE'!$AM$33+'TUSD BF'!$AM$33+'TUSD CVA'!$AM$33)*(1-CUSTOS!$M$38)</f>
        <v>408.71492269690788</v>
      </c>
      <c r="AA922" s="6">
        <f>('TE BE'!$AB$23+'TE BF'!$AB$23+'TE CVA'!$AB$23)*(1-CUSTOS!$M$38)</f>
        <v>300.75684149176499</v>
      </c>
      <c r="AB922" s="6">
        <f>$K$922*$V$922</f>
        <v>0</v>
      </c>
      <c r="AC922" s="6">
        <f>$M$922*$W$922</f>
        <v>166.95975999999999</v>
      </c>
      <c r="AD922" s="6">
        <f>$O$922*$X$922</f>
        <v>165.76255999999998</v>
      </c>
      <c r="AE922" s="6">
        <f>$K$922*$Y$922</f>
        <v>0</v>
      </c>
      <c r="AF922" s="6">
        <f ca="1">$M$922*$Z$922</f>
        <v>238.68951485499417</v>
      </c>
      <c r="AG922" s="6">
        <f>$O$922*$AA$922</f>
        <v>175.64199543119074</v>
      </c>
    </row>
    <row r="923" spans="1:33" ht="11.25" customHeight="1" x14ac:dyDescent="0.25">
      <c r="A923" s="4" t="s">
        <v>28</v>
      </c>
      <c r="B923" s="4" t="s">
        <v>43</v>
      </c>
      <c r="C923" s="4" t="s">
        <v>23</v>
      </c>
      <c r="D923" s="4" t="s">
        <v>44</v>
      </c>
      <c r="E923" s="4" t="s">
        <v>25</v>
      </c>
      <c r="F923" s="4" t="s">
        <v>25</v>
      </c>
      <c r="G923" s="4" t="s">
        <v>25</v>
      </c>
      <c r="H923" s="4" t="s">
        <v>25</v>
      </c>
      <c r="I923" s="5">
        <v>44682</v>
      </c>
      <c r="J923" s="6">
        <v>0</v>
      </c>
      <c r="K923" s="6">
        <v>0</v>
      </c>
      <c r="L923" s="6">
        <v>109.31399999999999</v>
      </c>
      <c r="M923" s="6">
        <v>109.31399999999999</v>
      </c>
      <c r="N923" s="6">
        <v>109.31399999999999</v>
      </c>
      <c r="O923" s="6">
        <v>109.31399999999999</v>
      </c>
      <c r="P923" s="6">
        <v>585</v>
      </c>
      <c r="Q923" s="4" t="s">
        <v>26</v>
      </c>
      <c r="R923" s="4">
        <v>0</v>
      </c>
      <c r="S923" s="6">
        <v>0</v>
      </c>
      <c r="T923" s="6">
        <v>29</v>
      </c>
      <c r="U923" s="6">
        <v>66</v>
      </c>
      <c r="V923" s="6">
        <f>IF(ISERROR(VLOOKUP($S$923,'TAR FIN'!$A$1:$O$85,15,0)),0,VLOOKUP($S$923,'TAR FIN'!$A$1:$O$85,15,0))</f>
        <v>0</v>
      </c>
      <c r="W923" s="6">
        <f>IF(ISERROR(VLOOKUP($T$923,'TAR FIN'!$A$1:$O$85,15,0)),0,VLOOKUP($T$923,'TAR FIN'!$A$1:$O$85,15,0))</f>
        <v>285.89</v>
      </c>
      <c r="X923" s="6">
        <f>IF(ISERROR(VLOOKUP($U$923,'TAR FIN'!$A$1:$O$85,15,0)),0,VLOOKUP($U$923,'TAR FIN'!$A$1:$O$85,15,0))</f>
        <v>283.83999999999997</v>
      </c>
      <c r="Y923" s="6"/>
      <c r="Z923" s="6">
        <f ca="1">('TUSD BE'!$AM$33+'TUSD BF'!$AM$33+'TUSD CVA'!$AM$33)*(1-CUSTOS!$M$38)</f>
        <v>408.71492269690788</v>
      </c>
      <c r="AA923" s="6">
        <f>('TE BE'!$AB$23+'TE BF'!$AB$23+'TE CVA'!$AB$23)*(1-CUSTOS!$M$38)</f>
        <v>300.75684149176499</v>
      </c>
      <c r="AB923" s="6">
        <f>$K$923*$V$923</f>
        <v>0</v>
      </c>
      <c r="AC923" s="6">
        <f>$M$923*$W$923</f>
        <v>31251.779459999998</v>
      </c>
      <c r="AD923" s="6">
        <f>$O$923*$X$923</f>
        <v>31027.685759999997</v>
      </c>
      <c r="AE923" s="6">
        <f>$K$923*$Y$923</f>
        <v>0</v>
      </c>
      <c r="AF923" s="6">
        <f ca="1">$M$923*$Z$923</f>
        <v>44678.263059689787</v>
      </c>
      <c r="AG923" s="6">
        <f>$O$923*$AA$923</f>
        <v>32876.933370830797</v>
      </c>
    </row>
    <row r="924" spans="1:33" ht="11.25" customHeight="1" x14ac:dyDescent="0.25">
      <c r="A924" s="4" t="s">
        <v>21</v>
      </c>
      <c r="B924" s="4" t="s">
        <v>43</v>
      </c>
      <c r="C924" s="4" t="s">
        <v>23</v>
      </c>
      <c r="D924" s="4" t="s">
        <v>44</v>
      </c>
      <c r="E924" s="4" t="s">
        <v>25</v>
      </c>
      <c r="F924" s="4" t="s">
        <v>25</v>
      </c>
      <c r="G924" s="4" t="s">
        <v>25</v>
      </c>
      <c r="H924" s="4" t="s">
        <v>25</v>
      </c>
      <c r="I924" s="5">
        <v>44713</v>
      </c>
      <c r="J924" s="6">
        <v>0</v>
      </c>
      <c r="K924" s="6">
        <v>0</v>
      </c>
      <c r="L924" s="6">
        <v>10383.521000000001</v>
      </c>
      <c r="M924" s="6">
        <v>10383.521000000001</v>
      </c>
      <c r="N924" s="6">
        <v>10383.521000000001</v>
      </c>
      <c r="O924" s="6">
        <v>10383.521000000001</v>
      </c>
      <c r="P924" s="6">
        <v>25200</v>
      </c>
      <c r="Q924" s="4" t="s">
        <v>26</v>
      </c>
      <c r="R924" s="4">
        <v>0</v>
      </c>
      <c r="S924" s="6">
        <v>0</v>
      </c>
      <c r="T924" s="6">
        <v>29</v>
      </c>
      <c r="U924" s="6">
        <v>66</v>
      </c>
      <c r="V924" s="6">
        <f>IF(ISERROR(VLOOKUP($S$924,'TAR FIN'!$A$1:$O$85,15,0)),0,VLOOKUP($S$924,'TAR FIN'!$A$1:$O$85,15,0))</f>
        <v>0</v>
      </c>
      <c r="W924" s="6">
        <f>IF(ISERROR(VLOOKUP($T$924,'TAR FIN'!$A$1:$O$85,15,0)),0,VLOOKUP($T$924,'TAR FIN'!$A$1:$O$85,15,0))</f>
        <v>285.89</v>
      </c>
      <c r="X924" s="6">
        <f>IF(ISERROR(VLOOKUP($U$924,'TAR FIN'!$A$1:$O$85,15,0)),0,VLOOKUP($U$924,'TAR FIN'!$A$1:$O$85,15,0))</f>
        <v>283.83999999999997</v>
      </c>
      <c r="Y924" s="6"/>
      <c r="Z924" s="6">
        <f ca="1">('TUSD BE'!$AM$33+'TUSD BF'!$AM$33+'TUSD CVA'!$AM$33)*(1-CUSTOS!$M$38)</f>
        <v>408.71492269690788</v>
      </c>
      <c r="AA924" s="6">
        <f>('TE BE'!$AB$23+'TE BF'!$AB$23+'TE CVA'!$AB$23)*(1-CUSTOS!$M$38)</f>
        <v>300.75684149176499</v>
      </c>
      <c r="AB924" s="6">
        <f>$K$924*$V$924</f>
        <v>0</v>
      </c>
      <c r="AC924" s="6">
        <f>$M$924*$W$924</f>
        <v>2968544.8186900001</v>
      </c>
      <c r="AD924" s="6">
        <f>$O$924*$X$924</f>
        <v>2947258.6006399998</v>
      </c>
      <c r="AE924" s="6">
        <f>$K$924*$Y$924</f>
        <v>0</v>
      </c>
      <c r="AF924" s="6">
        <f ca="1">$M$924*$Z$924</f>
        <v>4243899.9828367196</v>
      </c>
      <c r="AG924" s="6">
        <f>$O$924*$AA$924</f>
        <v>3122914.9795234133</v>
      </c>
    </row>
    <row r="925" spans="1:33" ht="11.25" customHeight="1" x14ac:dyDescent="0.25">
      <c r="A925" s="4" t="s">
        <v>27</v>
      </c>
      <c r="B925" s="4" t="s">
        <v>43</v>
      </c>
      <c r="C925" s="4" t="s">
        <v>23</v>
      </c>
      <c r="D925" s="4" t="s">
        <v>44</v>
      </c>
      <c r="E925" s="4" t="s">
        <v>25</v>
      </c>
      <c r="F925" s="4" t="s">
        <v>25</v>
      </c>
      <c r="G925" s="4" t="s">
        <v>25</v>
      </c>
      <c r="H925" s="4" t="s">
        <v>25</v>
      </c>
      <c r="I925" s="5">
        <v>44713</v>
      </c>
      <c r="J925" s="6">
        <v>0</v>
      </c>
      <c r="K925" s="6">
        <v>0</v>
      </c>
      <c r="L925" s="6">
        <v>0.182</v>
      </c>
      <c r="M925" s="6">
        <v>0.182</v>
      </c>
      <c r="N925" s="6">
        <v>0.182</v>
      </c>
      <c r="O925" s="6">
        <v>0.182</v>
      </c>
      <c r="P925" s="6">
        <v>4</v>
      </c>
      <c r="Q925" s="4" t="s">
        <v>26</v>
      </c>
      <c r="R925" s="4">
        <v>0</v>
      </c>
      <c r="S925" s="6">
        <v>0</v>
      </c>
      <c r="T925" s="6">
        <v>29</v>
      </c>
      <c r="U925" s="6">
        <v>66</v>
      </c>
      <c r="V925" s="6">
        <f>IF(ISERROR(VLOOKUP($S$925,'TAR FIN'!$A$1:$O$85,15,0)),0,VLOOKUP($S$925,'TAR FIN'!$A$1:$O$85,15,0))</f>
        <v>0</v>
      </c>
      <c r="W925" s="6">
        <f>IF(ISERROR(VLOOKUP($T$925,'TAR FIN'!$A$1:$O$85,15,0)),0,VLOOKUP($T$925,'TAR FIN'!$A$1:$O$85,15,0))</f>
        <v>285.89</v>
      </c>
      <c r="X925" s="6">
        <f>IF(ISERROR(VLOOKUP($U$925,'TAR FIN'!$A$1:$O$85,15,0)),0,VLOOKUP($U$925,'TAR FIN'!$A$1:$O$85,15,0))</f>
        <v>283.83999999999997</v>
      </c>
      <c r="Y925" s="6"/>
      <c r="Z925" s="6">
        <f ca="1">('TUSD BE'!$AM$33+'TUSD BF'!$AM$33+'TUSD CVA'!$AM$33)*(1-CUSTOS!$M$38)</f>
        <v>408.71492269690788</v>
      </c>
      <c r="AA925" s="6">
        <f>('TE BE'!$AB$23+'TE BF'!$AB$23+'TE CVA'!$AB$23)*(1-CUSTOS!$M$38)</f>
        <v>300.75684149176499</v>
      </c>
      <c r="AB925" s="6">
        <f>$K$925*$V$925</f>
        <v>0</v>
      </c>
      <c r="AC925" s="6">
        <f>$M$925*$W$925</f>
        <v>52.031979999999997</v>
      </c>
      <c r="AD925" s="6">
        <f>$O$925*$X$925</f>
        <v>51.658879999999996</v>
      </c>
      <c r="AE925" s="6">
        <f>$K$925*$Y$925</f>
        <v>0</v>
      </c>
      <c r="AF925" s="6">
        <f ca="1">$M$925*$Z$925</f>
        <v>74.386115930837235</v>
      </c>
      <c r="AG925" s="6">
        <f>$O$925*$AA$925</f>
        <v>54.73774515150123</v>
      </c>
    </row>
    <row r="926" spans="1:33" ht="11.25" customHeight="1" x14ac:dyDescent="0.25">
      <c r="A926" s="4" t="s">
        <v>28</v>
      </c>
      <c r="B926" s="4" t="s">
        <v>43</v>
      </c>
      <c r="C926" s="4" t="s">
        <v>23</v>
      </c>
      <c r="D926" s="4" t="s">
        <v>44</v>
      </c>
      <c r="E926" s="4" t="s">
        <v>25</v>
      </c>
      <c r="F926" s="4" t="s">
        <v>25</v>
      </c>
      <c r="G926" s="4" t="s">
        <v>25</v>
      </c>
      <c r="H926" s="4" t="s">
        <v>25</v>
      </c>
      <c r="I926" s="5">
        <v>44713</v>
      </c>
      <c r="J926" s="6">
        <v>0</v>
      </c>
      <c r="K926" s="6">
        <v>0</v>
      </c>
      <c r="L926" s="6">
        <v>229.316</v>
      </c>
      <c r="M926" s="6">
        <v>229.316</v>
      </c>
      <c r="N926" s="6">
        <v>229.316</v>
      </c>
      <c r="O926" s="6">
        <v>229.316</v>
      </c>
      <c r="P926" s="6">
        <v>640</v>
      </c>
      <c r="Q926" s="4" t="s">
        <v>26</v>
      </c>
      <c r="R926" s="4">
        <v>0</v>
      </c>
      <c r="S926" s="6">
        <v>0</v>
      </c>
      <c r="T926" s="6">
        <v>29</v>
      </c>
      <c r="U926" s="6">
        <v>66</v>
      </c>
      <c r="V926" s="6">
        <f>IF(ISERROR(VLOOKUP($S$926,'TAR FIN'!$A$1:$O$85,15,0)),0,VLOOKUP($S$926,'TAR FIN'!$A$1:$O$85,15,0))</f>
        <v>0</v>
      </c>
      <c r="W926" s="6">
        <f>IF(ISERROR(VLOOKUP($T$926,'TAR FIN'!$A$1:$O$85,15,0)),0,VLOOKUP($T$926,'TAR FIN'!$A$1:$O$85,15,0))</f>
        <v>285.89</v>
      </c>
      <c r="X926" s="6">
        <f>IF(ISERROR(VLOOKUP($U$926,'TAR FIN'!$A$1:$O$85,15,0)),0,VLOOKUP($U$926,'TAR FIN'!$A$1:$O$85,15,0))</f>
        <v>283.83999999999997</v>
      </c>
      <c r="Y926" s="6"/>
      <c r="Z926" s="6">
        <f ca="1">('TUSD BE'!$AM$33+'TUSD BF'!$AM$33+'TUSD CVA'!$AM$33)*(1-CUSTOS!$M$38)</f>
        <v>408.71492269690788</v>
      </c>
      <c r="AA926" s="6">
        <f>('TE BE'!$AB$23+'TE BF'!$AB$23+'TE CVA'!$AB$23)*(1-CUSTOS!$M$38)</f>
        <v>300.75684149176499</v>
      </c>
      <c r="AB926" s="6">
        <f>$K$926*$V$926</f>
        <v>0</v>
      </c>
      <c r="AC926" s="6">
        <f>$M$926*$W$926</f>
        <v>65559.151239999992</v>
      </c>
      <c r="AD926" s="6">
        <f>$O$926*$X$926</f>
        <v>65089.053439999996</v>
      </c>
      <c r="AE926" s="6">
        <f>$K$926*$Y$926</f>
        <v>0</v>
      </c>
      <c r="AF926" s="6">
        <f ca="1">$M$926*$Z$926</f>
        <v>93724.871213164122</v>
      </c>
      <c r="AG926" s="6">
        <f>$O$926*$AA$926</f>
        <v>68968.355863525576</v>
      </c>
    </row>
    <row r="927" spans="1:33" ht="11.25" customHeight="1" x14ac:dyDescent="0.25">
      <c r="A927" s="4" t="s">
        <v>21</v>
      </c>
      <c r="B927" s="4" t="s">
        <v>43</v>
      </c>
      <c r="C927" s="4" t="s">
        <v>23</v>
      </c>
      <c r="D927" s="4" t="s">
        <v>44</v>
      </c>
      <c r="E927" s="4" t="s">
        <v>25</v>
      </c>
      <c r="F927" s="4" t="s">
        <v>25</v>
      </c>
      <c r="G927" s="4" t="s">
        <v>25</v>
      </c>
      <c r="H927" s="4" t="s">
        <v>25</v>
      </c>
      <c r="I927" s="5">
        <v>44743</v>
      </c>
      <c r="J927" s="6">
        <v>0</v>
      </c>
      <c r="K927" s="6">
        <v>0</v>
      </c>
      <c r="L927" s="6">
        <v>9415.5849999999991</v>
      </c>
      <c r="M927" s="6">
        <v>9415.5849999999991</v>
      </c>
      <c r="N927" s="6">
        <v>9415.5849999999991</v>
      </c>
      <c r="O927" s="6">
        <v>9415.5849999999991</v>
      </c>
      <c r="P927" s="6">
        <v>25128</v>
      </c>
      <c r="Q927" s="4" t="s">
        <v>26</v>
      </c>
      <c r="R927" s="4">
        <v>0</v>
      </c>
      <c r="S927" s="6">
        <v>0</v>
      </c>
      <c r="T927" s="6">
        <v>29</v>
      </c>
      <c r="U927" s="6">
        <v>66</v>
      </c>
      <c r="V927" s="6">
        <f>IF(ISERROR(VLOOKUP($S$927,'TAR FIN'!$A$1:$O$85,15,0)),0,VLOOKUP($S$927,'TAR FIN'!$A$1:$O$85,15,0))</f>
        <v>0</v>
      </c>
      <c r="W927" s="6">
        <f>IF(ISERROR(VLOOKUP($T$927,'TAR FIN'!$A$1:$O$85,15,0)),0,VLOOKUP($T$927,'TAR FIN'!$A$1:$O$85,15,0))</f>
        <v>285.89</v>
      </c>
      <c r="X927" s="6">
        <f>IF(ISERROR(VLOOKUP($U$927,'TAR FIN'!$A$1:$O$85,15,0)),0,VLOOKUP($U$927,'TAR FIN'!$A$1:$O$85,15,0))</f>
        <v>283.83999999999997</v>
      </c>
      <c r="Y927" s="6"/>
      <c r="Z927" s="6">
        <f ca="1">('TUSD BE'!$AM$33+'TUSD BF'!$AM$33+'TUSD CVA'!$AM$33)*(1-CUSTOS!$M$38)</f>
        <v>408.71492269690788</v>
      </c>
      <c r="AA927" s="6">
        <f>('TE BE'!$AB$23+'TE BF'!$AB$23+'TE CVA'!$AB$23)*(1-CUSTOS!$M$38)</f>
        <v>300.75684149176499</v>
      </c>
      <c r="AB927" s="6">
        <f>$K$927*$V$927</f>
        <v>0</v>
      </c>
      <c r="AC927" s="6">
        <f>$M$927*$W$927</f>
        <v>2691821.5956499996</v>
      </c>
      <c r="AD927" s="6">
        <f>$O$927*$X$927</f>
        <v>2672519.6463999995</v>
      </c>
      <c r="AE927" s="6">
        <f>$K$927*$Y$927</f>
        <v>0</v>
      </c>
      <c r="AF927" s="6">
        <f ca="1">$M$927*$Z$927</f>
        <v>3848290.0954211648</v>
      </c>
      <c r="AG927" s="6">
        <f>$O$927*$AA$927</f>
        <v>2831801.6053972398</v>
      </c>
    </row>
    <row r="928" spans="1:33" ht="11.25" customHeight="1" x14ac:dyDescent="0.25">
      <c r="A928" s="4" t="s">
        <v>27</v>
      </c>
      <c r="B928" s="4" t="s">
        <v>43</v>
      </c>
      <c r="C928" s="4" t="s">
        <v>23</v>
      </c>
      <c r="D928" s="4" t="s">
        <v>44</v>
      </c>
      <c r="E928" s="4" t="s">
        <v>25</v>
      </c>
      <c r="F928" s="4" t="s">
        <v>25</v>
      </c>
      <c r="G928" s="4" t="s">
        <v>25</v>
      </c>
      <c r="H928" s="4" t="s">
        <v>25</v>
      </c>
      <c r="I928" s="5">
        <v>44743</v>
      </c>
      <c r="J928" s="6">
        <v>0</v>
      </c>
      <c r="K928" s="6">
        <v>0</v>
      </c>
      <c r="L928" s="6">
        <v>-7.2789999999999999</v>
      </c>
      <c r="M928" s="6">
        <v>-7.2789999999999999</v>
      </c>
      <c r="N928" s="6">
        <v>-7.2789999999999999</v>
      </c>
      <c r="O928" s="6">
        <v>-7.2789999999999999</v>
      </c>
      <c r="P928" s="6">
        <v>9</v>
      </c>
      <c r="Q928" s="4" t="s">
        <v>26</v>
      </c>
      <c r="R928" s="4">
        <v>0</v>
      </c>
      <c r="S928" s="6">
        <v>0</v>
      </c>
      <c r="T928" s="6">
        <v>29</v>
      </c>
      <c r="U928" s="6">
        <v>66</v>
      </c>
      <c r="V928" s="6">
        <f>IF(ISERROR(VLOOKUP($S$928,'TAR FIN'!$A$1:$O$85,15,0)),0,VLOOKUP($S$928,'TAR FIN'!$A$1:$O$85,15,0))</f>
        <v>0</v>
      </c>
      <c r="W928" s="6">
        <f>IF(ISERROR(VLOOKUP($T$928,'TAR FIN'!$A$1:$O$85,15,0)),0,VLOOKUP($T$928,'TAR FIN'!$A$1:$O$85,15,0))</f>
        <v>285.89</v>
      </c>
      <c r="X928" s="6">
        <f>IF(ISERROR(VLOOKUP($U$928,'TAR FIN'!$A$1:$O$85,15,0)),0,VLOOKUP($U$928,'TAR FIN'!$A$1:$O$85,15,0))</f>
        <v>283.83999999999997</v>
      </c>
      <c r="Y928" s="6"/>
      <c r="Z928" s="6">
        <f ca="1">('TUSD BE'!$AM$33+'TUSD BF'!$AM$33+'TUSD CVA'!$AM$33)*(1-CUSTOS!$M$38)</f>
        <v>408.71492269690788</v>
      </c>
      <c r="AA928" s="6">
        <f>('TE BE'!$AB$23+'TE BF'!$AB$23+'TE CVA'!$AB$23)*(1-CUSTOS!$M$38)</f>
        <v>300.75684149176499</v>
      </c>
      <c r="AB928" s="6">
        <f>$K$928*$V$928</f>
        <v>0</v>
      </c>
      <c r="AC928" s="6">
        <f>$M$928*$W$928</f>
        <v>-2080.9933099999998</v>
      </c>
      <c r="AD928" s="6">
        <f>$O$928*$X$928</f>
        <v>-2066.0713599999999</v>
      </c>
      <c r="AE928" s="6">
        <f>$K$928*$Y$928</f>
        <v>0</v>
      </c>
      <c r="AF928" s="6">
        <f ca="1">$M$928*$Z$928</f>
        <v>-2975.0359223107926</v>
      </c>
      <c r="AG928" s="6">
        <f>$O$928*$AA$928</f>
        <v>-2189.2090492185575</v>
      </c>
    </row>
    <row r="929" spans="1:33" ht="11.25" customHeight="1" x14ac:dyDescent="0.25">
      <c r="A929" s="4" t="s">
        <v>28</v>
      </c>
      <c r="B929" s="4" t="s">
        <v>43</v>
      </c>
      <c r="C929" s="4" t="s">
        <v>23</v>
      </c>
      <c r="D929" s="4" t="s">
        <v>44</v>
      </c>
      <c r="E929" s="4" t="s">
        <v>25</v>
      </c>
      <c r="F929" s="4" t="s">
        <v>25</v>
      </c>
      <c r="G929" s="4" t="s">
        <v>25</v>
      </c>
      <c r="H929" s="4" t="s">
        <v>25</v>
      </c>
      <c r="I929" s="5">
        <v>44743</v>
      </c>
      <c r="J929" s="6">
        <v>0</v>
      </c>
      <c r="K929" s="6">
        <v>0</v>
      </c>
      <c r="L929" s="6">
        <v>267.82900000000001</v>
      </c>
      <c r="M929" s="6">
        <v>267.82900000000001</v>
      </c>
      <c r="N929" s="6">
        <v>267.82900000000001</v>
      </c>
      <c r="O929" s="6">
        <v>267.82900000000001</v>
      </c>
      <c r="P929" s="6">
        <v>683</v>
      </c>
      <c r="Q929" s="4" t="s">
        <v>26</v>
      </c>
      <c r="R929" s="4">
        <v>0</v>
      </c>
      <c r="S929" s="6">
        <v>0</v>
      </c>
      <c r="T929" s="6">
        <v>29</v>
      </c>
      <c r="U929" s="6">
        <v>66</v>
      </c>
      <c r="V929" s="6">
        <f>IF(ISERROR(VLOOKUP($S$929,'TAR FIN'!$A$1:$O$85,15,0)),0,VLOOKUP($S$929,'TAR FIN'!$A$1:$O$85,15,0))</f>
        <v>0</v>
      </c>
      <c r="W929" s="6">
        <f>IF(ISERROR(VLOOKUP($T$929,'TAR FIN'!$A$1:$O$85,15,0)),0,VLOOKUP($T$929,'TAR FIN'!$A$1:$O$85,15,0))</f>
        <v>285.89</v>
      </c>
      <c r="X929" s="6">
        <f>IF(ISERROR(VLOOKUP($U$929,'TAR FIN'!$A$1:$O$85,15,0)),0,VLOOKUP($U$929,'TAR FIN'!$A$1:$O$85,15,0))</f>
        <v>283.83999999999997</v>
      </c>
      <c r="Y929" s="6"/>
      <c r="Z929" s="6">
        <f ca="1">('TUSD BE'!$AM$33+'TUSD BF'!$AM$33+'TUSD CVA'!$AM$33)*(1-CUSTOS!$M$38)</f>
        <v>408.71492269690788</v>
      </c>
      <c r="AA929" s="6">
        <f>('TE BE'!$AB$23+'TE BF'!$AB$23+'TE CVA'!$AB$23)*(1-CUSTOS!$M$38)</f>
        <v>300.75684149176499</v>
      </c>
      <c r="AB929" s="6">
        <f>$K$929*$V$929</f>
        <v>0</v>
      </c>
      <c r="AC929" s="6">
        <f>$M$929*$W$929</f>
        <v>76569.632809999996</v>
      </c>
      <c r="AD929" s="6">
        <f>$O$929*$X$929</f>
        <v>76020.58335999999</v>
      </c>
      <c r="AE929" s="6">
        <f>$K$929*$Y$929</f>
        <v>0</v>
      </c>
      <c r="AF929" s="6">
        <f ca="1">$M$929*$Z$929</f>
        <v>109465.70903099014</v>
      </c>
      <c r="AG929" s="6">
        <f>$O$929*$AA$929</f>
        <v>80551.404099897933</v>
      </c>
    </row>
    <row r="930" spans="1:33" ht="11.25" customHeight="1" x14ac:dyDescent="0.25">
      <c r="A930" s="4" t="s">
        <v>56</v>
      </c>
      <c r="B930" s="4" t="s">
        <v>43</v>
      </c>
      <c r="C930" s="4" t="s">
        <v>23</v>
      </c>
      <c r="D930" s="4" t="s">
        <v>44</v>
      </c>
      <c r="E930" s="4" t="s">
        <v>25</v>
      </c>
      <c r="F930" s="4" t="s">
        <v>25</v>
      </c>
      <c r="G930" s="4" t="s">
        <v>25</v>
      </c>
      <c r="H930" s="4" t="s">
        <v>25</v>
      </c>
      <c r="I930" s="5">
        <v>44774</v>
      </c>
      <c r="J930" s="6">
        <v>0</v>
      </c>
      <c r="K930" s="6">
        <v>0</v>
      </c>
      <c r="L930" s="6">
        <v>9415.5849999999991</v>
      </c>
      <c r="M930" s="6">
        <v>9415.5849999999991</v>
      </c>
      <c r="N930" s="6">
        <v>9415.5849999999991</v>
      </c>
      <c r="O930" s="6">
        <v>9415.5849999999991</v>
      </c>
      <c r="P930" s="6">
        <v>25128</v>
      </c>
      <c r="Q930" s="4" t="s">
        <v>26</v>
      </c>
      <c r="R930" s="4">
        <v>0</v>
      </c>
      <c r="S930" s="6">
        <v>0</v>
      </c>
      <c r="T930" s="6">
        <v>29</v>
      </c>
      <c r="U930" s="6">
        <v>66</v>
      </c>
      <c r="V930" s="6">
        <f>IF(ISERROR(VLOOKUP($S$930,'TAR FIN'!$A$1:$O$85,15,0)),0,VLOOKUP($S$930,'TAR FIN'!$A$1:$O$85,15,0))</f>
        <v>0</v>
      </c>
      <c r="W930" s="6">
        <f>IF(ISERROR(VLOOKUP($T$930,'TAR FIN'!$A$1:$O$85,15,0)),0,VLOOKUP($T$930,'TAR FIN'!$A$1:$O$85,15,0))</f>
        <v>285.89</v>
      </c>
      <c r="X930" s="6">
        <f>IF(ISERROR(VLOOKUP($U$930,'TAR FIN'!$A$1:$O$85,15,0)),0,VLOOKUP($U$930,'TAR FIN'!$A$1:$O$85,15,0))</f>
        <v>283.83999999999997</v>
      </c>
      <c r="Y930" s="6"/>
      <c r="Z930" s="6">
        <f ca="1">('TUSD BE'!$AM$33+'TUSD BF'!$AM$33+'TUSD CVA'!$AM$33)*(1-CUSTOS!$M$38)</f>
        <v>408.71492269690788</v>
      </c>
      <c r="AA930" s="6">
        <f>('TE BE'!$AB$23+'TE BF'!$AB$23+'TE CVA'!$AB$23)*(1-CUSTOS!$M$38)</f>
        <v>300.75684149176499</v>
      </c>
      <c r="AB930" s="6">
        <f>$K$930*$V$930</f>
        <v>0</v>
      </c>
      <c r="AC930" s="6">
        <f>$M$930*$W$930</f>
        <v>2691821.5956499996</v>
      </c>
      <c r="AD930" s="6">
        <f>$O$930*$X$930</f>
        <v>2672519.6463999995</v>
      </c>
      <c r="AE930" s="6">
        <f>$K$930*$Y$930</f>
        <v>0</v>
      </c>
      <c r="AF930" s="6">
        <f ca="1">$M$930*$Z$930</f>
        <v>3848290.0954211648</v>
      </c>
      <c r="AG930" s="6">
        <f>$O$930*$AA$930</f>
        <v>2831801.6053972398</v>
      </c>
    </row>
    <row r="931" spans="1:33" ht="11.25" customHeight="1" x14ac:dyDescent="0.25">
      <c r="A931" s="4" t="s">
        <v>56</v>
      </c>
      <c r="B931" s="4" t="s">
        <v>43</v>
      </c>
      <c r="C931" s="4" t="s">
        <v>23</v>
      </c>
      <c r="D931" s="4" t="s">
        <v>44</v>
      </c>
      <c r="E931" s="4" t="s">
        <v>25</v>
      </c>
      <c r="F931" s="4" t="s">
        <v>25</v>
      </c>
      <c r="G931" s="4" t="s">
        <v>25</v>
      </c>
      <c r="H931" s="4" t="s">
        <v>25</v>
      </c>
      <c r="I931" s="5">
        <v>44774</v>
      </c>
      <c r="J931" s="6">
        <v>0</v>
      </c>
      <c r="K931" s="6">
        <v>0</v>
      </c>
      <c r="L931" s="6">
        <v>-7.2789999999999999</v>
      </c>
      <c r="M931" s="6">
        <v>-7.2789999999999999</v>
      </c>
      <c r="N931" s="6">
        <v>-7.2789999999999999</v>
      </c>
      <c r="O931" s="6">
        <v>-7.2789999999999999</v>
      </c>
      <c r="P931" s="6">
        <v>9</v>
      </c>
      <c r="Q931" s="4" t="s">
        <v>26</v>
      </c>
      <c r="R931" s="4">
        <v>0</v>
      </c>
      <c r="S931" s="6">
        <v>0</v>
      </c>
      <c r="T931" s="6">
        <v>29</v>
      </c>
      <c r="U931" s="6">
        <v>66</v>
      </c>
      <c r="V931" s="6">
        <f>IF(ISERROR(VLOOKUP($S$931,'TAR FIN'!$A$1:$O$85,15,0)),0,VLOOKUP($S$931,'TAR FIN'!$A$1:$O$85,15,0))</f>
        <v>0</v>
      </c>
      <c r="W931" s="6">
        <f>IF(ISERROR(VLOOKUP($T$931,'TAR FIN'!$A$1:$O$85,15,0)),0,VLOOKUP($T$931,'TAR FIN'!$A$1:$O$85,15,0))</f>
        <v>285.89</v>
      </c>
      <c r="X931" s="6">
        <f>IF(ISERROR(VLOOKUP($U$931,'TAR FIN'!$A$1:$O$85,15,0)),0,VLOOKUP($U$931,'TAR FIN'!$A$1:$O$85,15,0))</f>
        <v>283.83999999999997</v>
      </c>
      <c r="Y931" s="6"/>
      <c r="Z931" s="6">
        <f ca="1">('TUSD BE'!$AM$33+'TUSD BF'!$AM$33+'TUSD CVA'!$AM$33)*(1-CUSTOS!$M$38)</f>
        <v>408.71492269690788</v>
      </c>
      <c r="AA931" s="6">
        <f>('TE BE'!$AB$23+'TE BF'!$AB$23+'TE CVA'!$AB$23)*(1-CUSTOS!$M$38)</f>
        <v>300.75684149176499</v>
      </c>
      <c r="AB931" s="6">
        <f>$K$931*$V$931</f>
        <v>0</v>
      </c>
      <c r="AC931" s="6">
        <f>$M$931*$W$931</f>
        <v>-2080.9933099999998</v>
      </c>
      <c r="AD931" s="6">
        <f>$O$931*$X$931</f>
        <v>-2066.0713599999999</v>
      </c>
      <c r="AE931" s="6">
        <f>$K$931*$Y$931</f>
        <v>0</v>
      </c>
      <c r="AF931" s="6">
        <f ca="1">$M$931*$Z$931</f>
        <v>-2975.0359223107926</v>
      </c>
      <c r="AG931" s="6">
        <f>$O$931*$AA$931</f>
        <v>-2189.2090492185575</v>
      </c>
    </row>
    <row r="932" spans="1:33" ht="11.25" customHeight="1" x14ac:dyDescent="0.25">
      <c r="A932" s="4" t="s">
        <v>56</v>
      </c>
      <c r="B932" s="4" t="s">
        <v>43</v>
      </c>
      <c r="C932" s="4" t="s">
        <v>23</v>
      </c>
      <c r="D932" s="4" t="s">
        <v>44</v>
      </c>
      <c r="E932" s="4" t="s">
        <v>25</v>
      </c>
      <c r="F932" s="4" t="s">
        <v>25</v>
      </c>
      <c r="G932" s="4" t="s">
        <v>25</v>
      </c>
      <c r="H932" s="4" t="s">
        <v>25</v>
      </c>
      <c r="I932" s="5">
        <v>44774</v>
      </c>
      <c r="J932" s="6">
        <v>0</v>
      </c>
      <c r="K932" s="6">
        <v>0</v>
      </c>
      <c r="L932" s="6">
        <v>267.82900000000001</v>
      </c>
      <c r="M932" s="6">
        <v>267.82900000000001</v>
      </c>
      <c r="N932" s="6">
        <v>267.82900000000001</v>
      </c>
      <c r="O932" s="6">
        <v>267.82900000000001</v>
      </c>
      <c r="P932" s="6">
        <v>683</v>
      </c>
      <c r="Q932" s="4" t="s">
        <v>26</v>
      </c>
      <c r="R932" s="4">
        <v>0</v>
      </c>
      <c r="S932" s="6">
        <v>0</v>
      </c>
      <c r="T932" s="6">
        <v>29</v>
      </c>
      <c r="U932" s="6">
        <v>66</v>
      </c>
      <c r="V932" s="6">
        <f>IF(ISERROR(VLOOKUP($S$932,'TAR FIN'!$A$1:$O$85,15,0)),0,VLOOKUP($S$932,'TAR FIN'!$A$1:$O$85,15,0))</f>
        <v>0</v>
      </c>
      <c r="W932" s="6">
        <f>IF(ISERROR(VLOOKUP($T$932,'TAR FIN'!$A$1:$O$85,15,0)),0,VLOOKUP($T$932,'TAR FIN'!$A$1:$O$85,15,0))</f>
        <v>285.89</v>
      </c>
      <c r="X932" s="6">
        <f>IF(ISERROR(VLOOKUP($U$932,'TAR FIN'!$A$1:$O$85,15,0)),0,VLOOKUP($U$932,'TAR FIN'!$A$1:$O$85,15,0))</f>
        <v>283.83999999999997</v>
      </c>
      <c r="Y932" s="6"/>
      <c r="Z932" s="6">
        <f ca="1">('TUSD BE'!$AM$33+'TUSD BF'!$AM$33+'TUSD CVA'!$AM$33)*(1-CUSTOS!$M$38)</f>
        <v>408.71492269690788</v>
      </c>
      <c r="AA932" s="6">
        <f>('TE BE'!$AB$23+'TE BF'!$AB$23+'TE CVA'!$AB$23)*(1-CUSTOS!$M$38)</f>
        <v>300.75684149176499</v>
      </c>
      <c r="AB932" s="6">
        <f>$K$932*$V$932</f>
        <v>0</v>
      </c>
      <c r="AC932" s="6">
        <f>$M$932*$W$932</f>
        <v>76569.632809999996</v>
      </c>
      <c r="AD932" s="6">
        <f>$O$932*$X$932</f>
        <v>76020.58335999999</v>
      </c>
      <c r="AE932" s="6">
        <f>$K$932*$Y$932</f>
        <v>0</v>
      </c>
      <c r="AF932" s="6">
        <f ca="1">$M$932*$Z$932</f>
        <v>109465.70903099014</v>
      </c>
      <c r="AG932" s="6">
        <f>$O$932*$AA$932</f>
        <v>80551.404099897933</v>
      </c>
    </row>
    <row r="933" spans="1:33" ht="11.25" customHeight="1" x14ac:dyDescent="0.25">
      <c r="A933" s="4" t="s">
        <v>21</v>
      </c>
      <c r="B933" s="4" t="s">
        <v>43</v>
      </c>
      <c r="C933" s="4" t="s">
        <v>23</v>
      </c>
      <c r="D933" s="4" t="s">
        <v>44</v>
      </c>
      <c r="E933" s="4" t="s">
        <v>55</v>
      </c>
      <c r="F933" s="4" t="s">
        <v>53</v>
      </c>
      <c r="G933" s="4" t="s">
        <v>25</v>
      </c>
      <c r="H933" s="4" t="s">
        <v>25</v>
      </c>
      <c r="I933" s="5">
        <v>44440</v>
      </c>
      <c r="J933" s="6">
        <v>0</v>
      </c>
      <c r="K933" s="6">
        <v>0</v>
      </c>
      <c r="L933" s="6">
        <v>1.968</v>
      </c>
      <c r="M933" s="6">
        <v>1.968</v>
      </c>
      <c r="N933" s="6">
        <v>1.968</v>
      </c>
      <c r="O933" s="6">
        <v>1.968</v>
      </c>
      <c r="P933" s="6">
        <v>0</v>
      </c>
      <c r="Q933" s="4" t="s">
        <v>26</v>
      </c>
      <c r="R933" s="4">
        <v>0</v>
      </c>
      <c r="S933" s="6">
        <v>0</v>
      </c>
      <c r="T933" s="6">
        <v>37</v>
      </c>
      <c r="U933" s="6">
        <v>74</v>
      </c>
      <c r="V933" s="6">
        <f>IF(ISERROR(VLOOKUP($S$933,'TAR FIN'!$A$1:$O$85,15,0)),0,VLOOKUP($S$933,'TAR FIN'!$A$1:$O$85,15,0))</f>
        <v>0</v>
      </c>
      <c r="W933" s="6">
        <f>IF(ISERROR(VLOOKUP($T$933,'TAR FIN'!$A$1:$O$85,15,0)),0,VLOOKUP($T$933,'TAR FIN'!$A$1:$O$85,15,0))</f>
        <v>272.89999999999998</v>
      </c>
      <c r="X933" s="6">
        <f>IF(ISERROR(VLOOKUP($U$933,'TAR FIN'!$A$1:$O$85,15,0)),0,VLOOKUP($U$933,'TAR FIN'!$A$1:$O$85,15,0))</f>
        <v>270.94</v>
      </c>
      <c r="Y933" s="6"/>
      <c r="Z933" s="6">
        <f ca="1">('TUSD BE'!$AM$41+'TUSD BF'!$AM$41+'TUSD CVA'!$AM$41)*(1-CUSTOS!$M$40)</f>
        <v>400.01886051186733</v>
      </c>
      <c r="AA933" s="6">
        <f>('TE BE'!$AB$31+'TE BF'!$AB$31+'TE CVA'!$AB$31)*(1-CUSTOS!$M$40)</f>
        <v>294.35775975789767</v>
      </c>
      <c r="AB933" s="6">
        <f>$K$933*$V$933</f>
        <v>0</v>
      </c>
      <c r="AC933" s="6">
        <f>$M$933*$W$933</f>
        <v>537.06719999999996</v>
      </c>
      <c r="AD933" s="6">
        <f>$O$933*$X$933</f>
        <v>533.20992000000001</v>
      </c>
      <c r="AE933" s="6">
        <f>$K$933*$Y$933</f>
        <v>0</v>
      </c>
      <c r="AF933" s="6">
        <f ca="1">$M$933*$Z$933</f>
        <v>787.23711748735491</v>
      </c>
      <c r="AG933" s="6">
        <f>$O$933*$AA$933</f>
        <v>579.29607120354262</v>
      </c>
    </row>
    <row r="934" spans="1:33" ht="11.25" customHeight="1" x14ac:dyDescent="0.25">
      <c r="A934" s="4" t="s">
        <v>21</v>
      </c>
      <c r="B934" s="4" t="s">
        <v>43</v>
      </c>
      <c r="C934" s="4" t="s">
        <v>23</v>
      </c>
      <c r="D934" s="4" t="s">
        <v>44</v>
      </c>
      <c r="E934" s="4" t="s">
        <v>55</v>
      </c>
      <c r="F934" s="4" t="s">
        <v>53</v>
      </c>
      <c r="G934" s="4" t="s">
        <v>25</v>
      </c>
      <c r="H934" s="4" t="s">
        <v>25</v>
      </c>
      <c r="I934" s="5">
        <v>44470</v>
      </c>
      <c r="J934" s="6">
        <v>0</v>
      </c>
      <c r="K934" s="6">
        <v>0</v>
      </c>
      <c r="L934" s="6">
        <v>2.2549999999999999</v>
      </c>
      <c r="M934" s="6">
        <v>2.2549999999999999</v>
      </c>
      <c r="N934" s="6">
        <v>2.2549999999999999</v>
      </c>
      <c r="O934" s="6">
        <v>2.2549999999999999</v>
      </c>
      <c r="P934" s="6">
        <v>0</v>
      </c>
      <c r="Q934" s="4" t="s">
        <v>26</v>
      </c>
      <c r="R934" s="4">
        <v>0</v>
      </c>
      <c r="S934" s="6">
        <v>0</v>
      </c>
      <c r="T934" s="6">
        <v>37</v>
      </c>
      <c r="U934" s="6">
        <v>74</v>
      </c>
      <c r="V934" s="6">
        <f>IF(ISERROR(VLOOKUP($S$934,'TAR FIN'!$A$1:$O$85,15,0)),0,VLOOKUP($S$934,'TAR FIN'!$A$1:$O$85,15,0))</f>
        <v>0</v>
      </c>
      <c r="W934" s="6">
        <f>IF(ISERROR(VLOOKUP($T$934,'TAR FIN'!$A$1:$O$85,15,0)),0,VLOOKUP($T$934,'TAR FIN'!$A$1:$O$85,15,0))</f>
        <v>272.89999999999998</v>
      </c>
      <c r="X934" s="6">
        <f>IF(ISERROR(VLOOKUP($U$934,'TAR FIN'!$A$1:$O$85,15,0)),0,VLOOKUP($U$934,'TAR FIN'!$A$1:$O$85,15,0))</f>
        <v>270.94</v>
      </c>
      <c r="Y934" s="6"/>
      <c r="Z934" s="6">
        <f ca="1">('TUSD BE'!$AM$41+'TUSD BF'!$AM$41+'TUSD CVA'!$AM$41)*(1-CUSTOS!$M$40)</f>
        <v>400.01886051186733</v>
      </c>
      <c r="AA934" s="6">
        <f>('TE BE'!$AB$31+'TE BF'!$AB$31+'TE CVA'!$AB$31)*(1-CUSTOS!$M$40)</f>
        <v>294.35775975789767</v>
      </c>
      <c r="AB934" s="6">
        <f>$K$934*$V$934</f>
        <v>0</v>
      </c>
      <c r="AC934" s="6">
        <f>$M$934*$W$934</f>
        <v>615.38949999999988</v>
      </c>
      <c r="AD934" s="6">
        <f>$O$934*$X$934</f>
        <v>610.96969999999999</v>
      </c>
      <c r="AE934" s="6">
        <f>$K$934*$Y$934</f>
        <v>0</v>
      </c>
      <c r="AF934" s="6">
        <f ca="1">$M$934*$Z$934</f>
        <v>902.04253045426083</v>
      </c>
      <c r="AG934" s="6">
        <f>$O$934*$AA$934</f>
        <v>663.77674825405916</v>
      </c>
    </row>
    <row r="935" spans="1:33" ht="11.25" customHeight="1" x14ac:dyDescent="0.25">
      <c r="A935" s="4" t="s">
        <v>21</v>
      </c>
      <c r="B935" s="4" t="s">
        <v>43</v>
      </c>
      <c r="C935" s="4" t="s">
        <v>23</v>
      </c>
      <c r="D935" s="4" t="s">
        <v>44</v>
      </c>
      <c r="E935" s="4" t="s">
        <v>55</v>
      </c>
      <c r="F935" s="4" t="s">
        <v>53</v>
      </c>
      <c r="G935" s="4" t="s">
        <v>25</v>
      </c>
      <c r="H935" s="4" t="s">
        <v>25</v>
      </c>
      <c r="I935" s="5">
        <v>44501</v>
      </c>
      <c r="J935" s="6">
        <v>0</v>
      </c>
      <c r="K935" s="6">
        <v>0</v>
      </c>
      <c r="L935" s="6">
        <v>0.1</v>
      </c>
      <c r="M935" s="6">
        <v>0.1</v>
      </c>
      <c r="N935" s="6">
        <v>0.1</v>
      </c>
      <c r="O935" s="6">
        <v>0.1</v>
      </c>
      <c r="P935" s="6">
        <v>0</v>
      </c>
      <c r="Q935" s="4" t="s">
        <v>26</v>
      </c>
      <c r="R935" s="4">
        <v>0</v>
      </c>
      <c r="S935" s="6">
        <v>0</v>
      </c>
      <c r="T935" s="6">
        <v>37</v>
      </c>
      <c r="U935" s="6">
        <v>74</v>
      </c>
      <c r="V935" s="6">
        <f>IF(ISERROR(VLOOKUP($S$935,'TAR FIN'!$A$1:$O$85,15,0)),0,VLOOKUP($S$935,'TAR FIN'!$A$1:$O$85,15,0))</f>
        <v>0</v>
      </c>
      <c r="W935" s="6">
        <f>IF(ISERROR(VLOOKUP($T$935,'TAR FIN'!$A$1:$O$85,15,0)),0,VLOOKUP($T$935,'TAR FIN'!$A$1:$O$85,15,0))</f>
        <v>272.89999999999998</v>
      </c>
      <c r="X935" s="6">
        <f>IF(ISERROR(VLOOKUP($U$935,'TAR FIN'!$A$1:$O$85,15,0)),0,VLOOKUP($U$935,'TAR FIN'!$A$1:$O$85,15,0))</f>
        <v>270.94</v>
      </c>
      <c r="Y935" s="6"/>
      <c r="Z935" s="6">
        <f ca="1">('TUSD BE'!$AM$41+'TUSD BF'!$AM$41+'TUSD CVA'!$AM$41)*(1-CUSTOS!$M$40)</f>
        <v>400.01886051186733</v>
      </c>
      <c r="AA935" s="6">
        <f>('TE BE'!$AB$31+'TE BF'!$AB$31+'TE CVA'!$AB$31)*(1-CUSTOS!$M$40)</f>
        <v>294.35775975789767</v>
      </c>
      <c r="AB935" s="6">
        <f>$K$935*$V$935</f>
        <v>0</v>
      </c>
      <c r="AC935" s="6">
        <f>$M$935*$W$935</f>
        <v>27.29</v>
      </c>
      <c r="AD935" s="6">
        <f>$O$935*$X$935</f>
        <v>27.094000000000001</v>
      </c>
      <c r="AE935" s="6">
        <f>$K$935*$Y$935</f>
        <v>0</v>
      </c>
      <c r="AF935" s="6">
        <f ca="1">$M$935*$Z$935</f>
        <v>40.001886051186737</v>
      </c>
      <c r="AG935" s="6">
        <f>$O$935*$AA$935</f>
        <v>29.435775975789767</v>
      </c>
    </row>
    <row r="936" spans="1:33" ht="11.25" customHeight="1" x14ac:dyDescent="0.25">
      <c r="A936" s="4" t="s">
        <v>21</v>
      </c>
      <c r="B936" s="4" t="s">
        <v>43</v>
      </c>
      <c r="C936" s="4" t="s">
        <v>23</v>
      </c>
      <c r="D936" s="4" t="s">
        <v>44</v>
      </c>
      <c r="E936" s="4" t="s">
        <v>55</v>
      </c>
      <c r="F936" s="4" t="s">
        <v>53</v>
      </c>
      <c r="G936" s="4" t="s">
        <v>25</v>
      </c>
      <c r="H936" s="4" t="s">
        <v>25</v>
      </c>
      <c r="I936" s="5">
        <v>44531</v>
      </c>
      <c r="J936" s="6">
        <v>0</v>
      </c>
      <c r="K936" s="6">
        <v>0</v>
      </c>
      <c r="L936" s="6">
        <v>4.1000000000000002E-2</v>
      </c>
      <c r="M936" s="6">
        <v>4.1000000000000002E-2</v>
      </c>
      <c r="N936" s="6">
        <v>4.1000000000000002E-2</v>
      </c>
      <c r="O936" s="6">
        <v>4.1000000000000002E-2</v>
      </c>
      <c r="P936" s="6">
        <v>0</v>
      </c>
      <c r="Q936" s="4" t="s">
        <v>26</v>
      </c>
      <c r="R936" s="4">
        <v>0</v>
      </c>
      <c r="S936" s="6">
        <v>0</v>
      </c>
      <c r="T936" s="6">
        <v>37</v>
      </c>
      <c r="U936" s="6">
        <v>74</v>
      </c>
      <c r="V936" s="6">
        <f>IF(ISERROR(VLOOKUP($S$936,'TAR FIN'!$A$1:$O$85,15,0)),0,VLOOKUP($S$936,'TAR FIN'!$A$1:$O$85,15,0))</f>
        <v>0</v>
      </c>
      <c r="W936" s="6">
        <f>IF(ISERROR(VLOOKUP($T$936,'TAR FIN'!$A$1:$O$85,15,0)),0,VLOOKUP($T$936,'TAR FIN'!$A$1:$O$85,15,0))</f>
        <v>272.89999999999998</v>
      </c>
      <c r="X936" s="6">
        <f>IF(ISERROR(VLOOKUP($U$936,'TAR FIN'!$A$1:$O$85,15,0)),0,VLOOKUP($U$936,'TAR FIN'!$A$1:$O$85,15,0))</f>
        <v>270.94</v>
      </c>
      <c r="Y936" s="6"/>
      <c r="Z936" s="6">
        <f ca="1">('TUSD BE'!$AM$41+'TUSD BF'!$AM$41+'TUSD CVA'!$AM$41)*(1-CUSTOS!$M$40)</f>
        <v>400.01886051186733</v>
      </c>
      <c r="AA936" s="6">
        <f>('TE BE'!$AB$31+'TE BF'!$AB$31+'TE CVA'!$AB$31)*(1-CUSTOS!$M$40)</f>
        <v>294.35775975789767</v>
      </c>
      <c r="AB936" s="6">
        <f>$K$936*$V$936</f>
        <v>0</v>
      </c>
      <c r="AC936" s="6">
        <f>$M$936*$W$936</f>
        <v>11.1889</v>
      </c>
      <c r="AD936" s="6">
        <f>$O$936*$X$936</f>
        <v>11.10854</v>
      </c>
      <c r="AE936" s="6">
        <f>$K$936*$Y$936</f>
        <v>0</v>
      </c>
      <c r="AF936" s="6">
        <f ca="1">$M$936*$Z$936</f>
        <v>16.400773280986563</v>
      </c>
      <c r="AG936" s="6">
        <f>$O$936*$AA$936</f>
        <v>12.068668150073805</v>
      </c>
    </row>
    <row r="937" spans="1:33" ht="11.25" customHeight="1" x14ac:dyDescent="0.25">
      <c r="A937" s="4" t="s">
        <v>21</v>
      </c>
      <c r="B937" s="4" t="s">
        <v>43</v>
      </c>
      <c r="C937" s="4" t="s">
        <v>23</v>
      </c>
      <c r="D937" s="4" t="s">
        <v>44</v>
      </c>
      <c r="E937" s="4" t="s">
        <v>55</v>
      </c>
      <c r="F937" s="4" t="s">
        <v>53</v>
      </c>
      <c r="G937" s="4" t="s">
        <v>25</v>
      </c>
      <c r="H937" s="4" t="s">
        <v>25</v>
      </c>
      <c r="I937" s="5">
        <v>44562</v>
      </c>
      <c r="J937" s="6">
        <v>0</v>
      </c>
      <c r="K937" s="6">
        <v>0</v>
      </c>
      <c r="L937" s="6">
        <v>0.67</v>
      </c>
      <c r="M937" s="6">
        <v>0.67</v>
      </c>
      <c r="N937" s="6">
        <v>0.67</v>
      </c>
      <c r="O937" s="6">
        <v>0.67</v>
      </c>
      <c r="P937" s="6">
        <v>0</v>
      </c>
      <c r="Q937" s="4" t="s">
        <v>26</v>
      </c>
      <c r="R937" s="4">
        <v>0</v>
      </c>
      <c r="S937" s="6">
        <v>0</v>
      </c>
      <c r="T937" s="6">
        <v>37</v>
      </c>
      <c r="U937" s="6">
        <v>74</v>
      </c>
      <c r="V937" s="6">
        <f>IF(ISERROR(VLOOKUP($S$937,'TAR FIN'!$A$1:$O$85,15,0)),0,VLOOKUP($S$937,'TAR FIN'!$A$1:$O$85,15,0))</f>
        <v>0</v>
      </c>
      <c r="W937" s="6">
        <f>IF(ISERROR(VLOOKUP($T$937,'TAR FIN'!$A$1:$O$85,15,0)),0,VLOOKUP($T$937,'TAR FIN'!$A$1:$O$85,15,0))</f>
        <v>272.89999999999998</v>
      </c>
      <c r="X937" s="6">
        <f>IF(ISERROR(VLOOKUP($U$937,'TAR FIN'!$A$1:$O$85,15,0)),0,VLOOKUP($U$937,'TAR FIN'!$A$1:$O$85,15,0))</f>
        <v>270.94</v>
      </c>
      <c r="Y937" s="6"/>
      <c r="Z937" s="6">
        <f ca="1">('TUSD BE'!$AM$41+'TUSD BF'!$AM$41+'TUSD CVA'!$AM$41)*(1-CUSTOS!$M$40)</f>
        <v>400.01886051186733</v>
      </c>
      <c r="AA937" s="6">
        <f>('TE BE'!$AB$31+'TE BF'!$AB$31+'TE CVA'!$AB$31)*(1-CUSTOS!$M$40)</f>
        <v>294.35775975789767</v>
      </c>
      <c r="AB937" s="6">
        <f>$K$937*$V$937</f>
        <v>0</v>
      </c>
      <c r="AC937" s="6">
        <f>$M$937*$W$937</f>
        <v>182.84299999999999</v>
      </c>
      <c r="AD937" s="6">
        <f>$O$937*$X$937</f>
        <v>181.52980000000002</v>
      </c>
      <c r="AE937" s="6">
        <f>$K$937*$Y$937</f>
        <v>0</v>
      </c>
      <c r="AF937" s="6">
        <f ca="1">$M$937*$Z$937</f>
        <v>268.0126365429511</v>
      </c>
      <c r="AG937" s="6">
        <f>$O$937*$AA$937</f>
        <v>197.21969903779146</v>
      </c>
    </row>
    <row r="938" spans="1:33" ht="11.25" customHeight="1" x14ac:dyDescent="0.25">
      <c r="A938" s="4" t="s">
        <v>21</v>
      </c>
      <c r="B938" s="4" t="s">
        <v>43</v>
      </c>
      <c r="C938" s="4" t="s">
        <v>23</v>
      </c>
      <c r="D938" s="4" t="s">
        <v>44</v>
      </c>
      <c r="E938" s="4" t="s">
        <v>55</v>
      </c>
      <c r="F938" s="4" t="s">
        <v>53</v>
      </c>
      <c r="G938" s="4" t="s">
        <v>25</v>
      </c>
      <c r="H938" s="4" t="s">
        <v>25</v>
      </c>
      <c r="I938" s="5">
        <v>44593</v>
      </c>
      <c r="J938" s="6">
        <v>0</v>
      </c>
      <c r="K938" s="6">
        <v>0</v>
      </c>
      <c r="L938" s="6">
        <v>0.71699999999999997</v>
      </c>
      <c r="M938" s="6">
        <v>0.71699999999999997</v>
      </c>
      <c r="N938" s="6">
        <v>0.71699999999999997</v>
      </c>
      <c r="O938" s="6">
        <v>0.71699999999999997</v>
      </c>
      <c r="P938" s="6">
        <v>0</v>
      </c>
      <c r="Q938" s="4" t="s">
        <v>26</v>
      </c>
      <c r="R938" s="4">
        <v>0</v>
      </c>
      <c r="S938" s="6">
        <v>0</v>
      </c>
      <c r="T938" s="6">
        <v>37</v>
      </c>
      <c r="U938" s="6">
        <v>74</v>
      </c>
      <c r="V938" s="6">
        <f>IF(ISERROR(VLOOKUP($S$938,'TAR FIN'!$A$1:$O$85,15,0)),0,VLOOKUP($S$938,'TAR FIN'!$A$1:$O$85,15,0))</f>
        <v>0</v>
      </c>
      <c r="W938" s="6">
        <f>IF(ISERROR(VLOOKUP($T$938,'TAR FIN'!$A$1:$O$85,15,0)),0,VLOOKUP($T$938,'TAR FIN'!$A$1:$O$85,15,0))</f>
        <v>272.89999999999998</v>
      </c>
      <c r="X938" s="6">
        <f>IF(ISERROR(VLOOKUP($U$938,'TAR FIN'!$A$1:$O$85,15,0)),0,VLOOKUP($U$938,'TAR FIN'!$A$1:$O$85,15,0))</f>
        <v>270.94</v>
      </c>
      <c r="Y938" s="6"/>
      <c r="Z938" s="6">
        <f ca="1">('TUSD BE'!$AM$41+'TUSD BF'!$AM$41+'TUSD CVA'!$AM$41)*(1-CUSTOS!$M$40)</f>
        <v>400.01886051186733</v>
      </c>
      <c r="AA938" s="6">
        <f>('TE BE'!$AB$31+'TE BF'!$AB$31+'TE CVA'!$AB$31)*(1-CUSTOS!$M$40)</f>
        <v>294.35775975789767</v>
      </c>
      <c r="AB938" s="6">
        <f>$K$938*$V$938</f>
        <v>0</v>
      </c>
      <c r="AC938" s="6">
        <f>$M$938*$W$938</f>
        <v>195.66929999999996</v>
      </c>
      <c r="AD938" s="6">
        <f>$O$938*$X$938</f>
        <v>194.26398</v>
      </c>
      <c r="AE938" s="6">
        <f>$K$938*$Y$938</f>
        <v>0</v>
      </c>
      <c r="AF938" s="6">
        <f ca="1">$M$938*$Z$938</f>
        <v>286.81352298700887</v>
      </c>
      <c r="AG938" s="6">
        <f>$O$938*$AA$938</f>
        <v>211.05451374641262</v>
      </c>
    </row>
    <row r="939" spans="1:33" ht="11.25" customHeight="1" x14ac:dyDescent="0.25">
      <c r="A939" s="4" t="s">
        <v>21</v>
      </c>
      <c r="B939" s="4" t="s">
        <v>43</v>
      </c>
      <c r="C939" s="4" t="s">
        <v>23</v>
      </c>
      <c r="D939" s="4" t="s">
        <v>44</v>
      </c>
      <c r="E939" s="4" t="s">
        <v>55</v>
      </c>
      <c r="F939" s="4" t="s">
        <v>53</v>
      </c>
      <c r="G939" s="4" t="s">
        <v>25</v>
      </c>
      <c r="H939" s="4" t="s">
        <v>25</v>
      </c>
      <c r="I939" s="5">
        <v>44621</v>
      </c>
      <c r="J939" s="6">
        <v>0</v>
      </c>
      <c r="K939" s="6">
        <v>0</v>
      </c>
      <c r="L939" s="6">
        <v>2.8000000000000001E-2</v>
      </c>
      <c r="M939" s="6">
        <v>2.8000000000000001E-2</v>
      </c>
      <c r="N939" s="6">
        <v>2.8000000000000001E-2</v>
      </c>
      <c r="O939" s="6">
        <v>2.8000000000000001E-2</v>
      </c>
      <c r="P939" s="6">
        <v>0</v>
      </c>
      <c r="Q939" s="4" t="s">
        <v>26</v>
      </c>
      <c r="R939" s="4">
        <v>0</v>
      </c>
      <c r="S939" s="6">
        <v>0</v>
      </c>
      <c r="T939" s="6">
        <v>37</v>
      </c>
      <c r="U939" s="6">
        <v>74</v>
      </c>
      <c r="V939" s="6">
        <f>IF(ISERROR(VLOOKUP($S$939,'TAR FIN'!$A$1:$O$85,15,0)),0,VLOOKUP($S$939,'TAR FIN'!$A$1:$O$85,15,0))</f>
        <v>0</v>
      </c>
      <c r="W939" s="6">
        <f>IF(ISERROR(VLOOKUP($T$939,'TAR FIN'!$A$1:$O$85,15,0)),0,VLOOKUP($T$939,'TAR FIN'!$A$1:$O$85,15,0))</f>
        <v>272.89999999999998</v>
      </c>
      <c r="X939" s="6">
        <f>IF(ISERROR(VLOOKUP($U$939,'TAR FIN'!$A$1:$O$85,15,0)),0,VLOOKUP($U$939,'TAR FIN'!$A$1:$O$85,15,0))</f>
        <v>270.94</v>
      </c>
      <c r="Y939" s="6"/>
      <c r="Z939" s="6">
        <f ca="1">('TUSD BE'!$AM$41+'TUSD BF'!$AM$41+'TUSD CVA'!$AM$41)*(1-CUSTOS!$M$40)</f>
        <v>400.01886051186733</v>
      </c>
      <c r="AA939" s="6">
        <f>('TE BE'!$AB$31+'TE BF'!$AB$31+'TE CVA'!$AB$31)*(1-CUSTOS!$M$40)</f>
        <v>294.35775975789767</v>
      </c>
      <c r="AB939" s="6">
        <f>$K$939*$V$939</f>
        <v>0</v>
      </c>
      <c r="AC939" s="6">
        <f>$M$939*$W$939</f>
        <v>7.6411999999999995</v>
      </c>
      <c r="AD939" s="6">
        <f>$O$939*$X$939</f>
        <v>7.5863199999999997</v>
      </c>
      <c r="AE939" s="6">
        <f>$K$939*$Y$939</f>
        <v>0</v>
      </c>
      <c r="AF939" s="6">
        <f ca="1">$M$939*$Z$939</f>
        <v>11.200528094332286</v>
      </c>
      <c r="AG939" s="6">
        <f>$O$939*$AA$939</f>
        <v>8.2420172732211352</v>
      </c>
    </row>
    <row r="940" spans="1:33" ht="11.25" customHeight="1" x14ac:dyDescent="0.25">
      <c r="A940" s="4" t="s">
        <v>21</v>
      </c>
      <c r="B940" s="4" t="s">
        <v>43</v>
      </c>
      <c r="C940" s="4" t="s">
        <v>23</v>
      </c>
      <c r="D940" s="4" t="s">
        <v>44</v>
      </c>
      <c r="E940" s="4" t="s">
        <v>55</v>
      </c>
      <c r="F940" s="4" t="s">
        <v>53</v>
      </c>
      <c r="G940" s="4" t="s">
        <v>25</v>
      </c>
      <c r="H940" s="4" t="s">
        <v>25</v>
      </c>
      <c r="I940" s="5">
        <v>44652</v>
      </c>
      <c r="J940" s="6">
        <v>0</v>
      </c>
      <c r="K940" s="6">
        <v>0</v>
      </c>
      <c r="L940" s="6">
        <v>1.4350000000000001</v>
      </c>
      <c r="M940" s="6">
        <v>1.4350000000000001</v>
      </c>
      <c r="N940" s="6">
        <v>1.4350000000000001</v>
      </c>
      <c r="O940" s="6">
        <v>1.4350000000000001</v>
      </c>
      <c r="P940" s="6">
        <v>0</v>
      </c>
      <c r="Q940" s="4" t="s">
        <v>26</v>
      </c>
      <c r="R940" s="4">
        <v>0</v>
      </c>
      <c r="S940" s="6">
        <v>0</v>
      </c>
      <c r="T940" s="6">
        <v>37</v>
      </c>
      <c r="U940" s="6">
        <v>74</v>
      </c>
      <c r="V940" s="6">
        <f>IF(ISERROR(VLOOKUP($S$940,'TAR FIN'!$A$1:$O$85,15,0)),0,VLOOKUP($S$940,'TAR FIN'!$A$1:$O$85,15,0))</f>
        <v>0</v>
      </c>
      <c r="W940" s="6">
        <f>IF(ISERROR(VLOOKUP($T$940,'TAR FIN'!$A$1:$O$85,15,0)),0,VLOOKUP($T$940,'TAR FIN'!$A$1:$O$85,15,0))</f>
        <v>272.89999999999998</v>
      </c>
      <c r="X940" s="6">
        <f>IF(ISERROR(VLOOKUP($U$940,'TAR FIN'!$A$1:$O$85,15,0)),0,VLOOKUP($U$940,'TAR FIN'!$A$1:$O$85,15,0))</f>
        <v>270.94</v>
      </c>
      <c r="Y940" s="6"/>
      <c r="Z940" s="6">
        <f ca="1">('TUSD BE'!$AM$41+'TUSD BF'!$AM$41+'TUSD CVA'!$AM$41)*(1-CUSTOS!$M$40)</f>
        <v>400.01886051186733</v>
      </c>
      <c r="AA940" s="6">
        <f>('TE BE'!$AB$31+'TE BF'!$AB$31+'TE CVA'!$AB$31)*(1-CUSTOS!$M$40)</f>
        <v>294.35775975789767</v>
      </c>
      <c r="AB940" s="6">
        <f>$K$940*$V$940</f>
        <v>0</v>
      </c>
      <c r="AC940" s="6">
        <f>$M$940*$W$940</f>
        <v>391.61149999999998</v>
      </c>
      <c r="AD940" s="6">
        <f>$O$940*$X$940</f>
        <v>388.7989</v>
      </c>
      <c r="AE940" s="6">
        <f>$K$940*$Y$940</f>
        <v>0</v>
      </c>
      <c r="AF940" s="6">
        <f ca="1">$M$940*$Z$940</f>
        <v>574.0270648345296</v>
      </c>
      <c r="AG940" s="6">
        <f>$O$940*$AA$940</f>
        <v>422.40338525258318</v>
      </c>
    </row>
    <row r="941" spans="1:33" ht="11.25" customHeight="1" x14ac:dyDescent="0.25">
      <c r="A941" s="4" t="s">
        <v>21</v>
      </c>
      <c r="B941" s="4" t="s">
        <v>43</v>
      </c>
      <c r="C941" s="4" t="s">
        <v>23</v>
      </c>
      <c r="D941" s="4" t="s">
        <v>44</v>
      </c>
      <c r="E941" s="4" t="s">
        <v>55</v>
      </c>
      <c r="F941" s="4" t="s">
        <v>53</v>
      </c>
      <c r="G941" s="4" t="s">
        <v>25</v>
      </c>
      <c r="H941" s="4" t="s">
        <v>25</v>
      </c>
      <c r="I941" s="5">
        <v>44682</v>
      </c>
      <c r="J941" s="6">
        <v>0</v>
      </c>
      <c r="K941" s="6">
        <v>0</v>
      </c>
      <c r="L941" s="6">
        <v>1.353</v>
      </c>
      <c r="M941" s="6">
        <v>1.353</v>
      </c>
      <c r="N941" s="6">
        <v>1.353</v>
      </c>
      <c r="O941" s="6">
        <v>1.353</v>
      </c>
      <c r="P941" s="6">
        <v>0</v>
      </c>
      <c r="Q941" s="4" t="s">
        <v>26</v>
      </c>
      <c r="R941" s="4">
        <v>0</v>
      </c>
      <c r="S941" s="6">
        <v>0</v>
      </c>
      <c r="T941" s="6">
        <v>37</v>
      </c>
      <c r="U941" s="6">
        <v>74</v>
      </c>
      <c r="V941" s="6">
        <f>IF(ISERROR(VLOOKUP($S$941,'TAR FIN'!$A$1:$O$85,15,0)),0,VLOOKUP($S$941,'TAR FIN'!$A$1:$O$85,15,0))</f>
        <v>0</v>
      </c>
      <c r="W941" s="6">
        <f>IF(ISERROR(VLOOKUP($T$941,'TAR FIN'!$A$1:$O$85,15,0)),0,VLOOKUP($T$941,'TAR FIN'!$A$1:$O$85,15,0))</f>
        <v>272.89999999999998</v>
      </c>
      <c r="X941" s="6">
        <f>IF(ISERROR(VLOOKUP($U$941,'TAR FIN'!$A$1:$O$85,15,0)),0,VLOOKUP($U$941,'TAR FIN'!$A$1:$O$85,15,0))</f>
        <v>270.94</v>
      </c>
      <c r="Y941" s="6"/>
      <c r="Z941" s="6">
        <f ca="1">('TUSD BE'!$AM$41+'TUSD BF'!$AM$41+'TUSD CVA'!$AM$41)*(1-CUSTOS!$M$40)</f>
        <v>400.01886051186733</v>
      </c>
      <c r="AA941" s="6">
        <f>('TE BE'!$AB$31+'TE BF'!$AB$31+'TE CVA'!$AB$31)*(1-CUSTOS!$M$40)</f>
        <v>294.35775975789767</v>
      </c>
      <c r="AB941" s="6">
        <f>$K$941*$V$941</f>
        <v>0</v>
      </c>
      <c r="AC941" s="6">
        <f>$M$941*$W$941</f>
        <v>369.23369999999994</v>
      </c>
      <c r="AD941" s="6">
        <f>$O$941*$X$941</f>
        <v>366.58181999999999</v>
      </c>
      <c r="AE941" s="6">
        <f>$K$941*$Y$941</f>
        <v>0</v>
      </c>
      <c r="AF941" s="6">
        <f ca="1">$M$941*$Z$941</f>
        <v>541.22551827255654</v>
      </c>
      <c r="AG941" s="6">
        <f>$O$941*$AA$941</f>
        <v>398.26604895243554</v>
      </c>
    </row>
    <row r="942" spans="1:33" ht="11.25" customHeight="1" x14ac:dyDescent="0.25">
      <c r="A942" s="4" t="s">
        <v>21</v>
      </c>
      <c r="B942" s="4" t="s">
        <v>43</v>
      </c>
      <c r="C942" s="4" t="s">
        <v>23</v>
      </c>
      <c r="D942" s="4" t="s">
        <v>44</v>
      </c>
      <c r="E942" s="4" t="s">
        <v>55</v>
      </c>
      <c r="F942" s="4" t="s">
        <v>53</v>
      </c>
      <c r="G942" s="4" t="s">
        <v>25</v>
      </c>
      <c r="H942" s="4" t="s">
        <v>25</v>
      </c>
      <c r="I942" s="5">
        <v>44713</v>
      </c>
      <c r="J942" s="6">
        <v>0</v>
      </c>
      <c r="K942" s="6">
        <v>0</v>
      </c>
      <c r="L942" s="6">
        <v>0.246</v>
      </c>
      <c r="M942" s="6">
        <v>0.246</v>
      </c>
      <c r="N942" s="6">
        <v>0.246</v>
      </c>
      <c r="O942" s="6">
        <v>0.246</v>
      </c>
      <c r="P942" s="6">
        <v>0</v>
      </c>
      <c r="Q942" s="4" t="s">
        <v>26</v>
      </c>
      <c r="R942" s="4">
        <v>0</v>
      </c>
      <c r="S942" s="6">
        <v>0</v>
      </c>
      <c r="T942" s="6">
        <v>37</v>
      </c>
      <c r="U942" s="6">
        <v>74</v>
      </c>
      <c r="V942" s="6">
        <f>IF(ISERROR(VLOOKUP($S$942,'TAR FIN'!$A$1:$O$85,15,0)),0,VLOOKUP($S$942,'TAR FIN'!$A$1:$O$85,15,0))</f>
        <v>0</v>
      </c>
      <c r="W942" s="6">
        <f>IF(ISERROR(VLOOKUP($T$942,'TAR FIN'!$A$1:$O$85,15,0)),0,VLOOKUP($T$942,'TAR FIN'!$A$1:$O$85,15,0))</f>
        <v>272.89999999999998</v>
      </c>
      <c r="X942" s="6">
        <f>IF(ISERROR(VLOOKUP($U$942,'TAR FIN'!$A$1:$O$85,15,0)),0,VLOOKUP($U$942,'TAR FIN'!$A$1:$O$85,15,0))</f>
        <v>270.94</v>
      </c>
      <c r="Y942" s="6"/>
      <c r="Z942" s="6">
        <f ca="1">('TUSD BE'!$AM$41+'TUSD BF'!$AM$41+'TUSD CVA'!$AM$41)*(1-CUSTOS!$M$40)</f>
        <v>400.01886051186733</v>
      </c>
      <c r="AA942" s="6">
        <f>('TE BE'!$AB$31+'TE BF'!$AB$31+'TE CVA'!$AB$31)*(1-CUSTOS!$M$40)</f>
        <v>294.35775975789767</v>
      </c>
      <c r="AB942" s="6">
        <f>$K$942*$V$942</f>
        <v>0</v>
      </c>
      <c r="AC942" s="6">
        <f>$M$942*$W$942</f>
        <v>67.133399999999995</v>
      </c>
      <c r="AD942" s="6">
        <f>$O$942*$X$942</f>
        <v>66.651240000000001</v>
      </c>
      <c r="AE942" s="6">
        <f>$K$942*$Y$942</f>
        <v>0</v>
      </c>
      <c r="AF942" s="6">
        <f ca="1">$M$942*$Z$942</f>
        <v>98.404639685919364</v>
      </c>
      <c r="AG942" s="6">
        <f>$O$942*$AA$942</f>
        <v>72.412008900442828</v>
      </c>
    </row>
    <row r="943" spans="1:33" ht="11.25" customHeight="1" x14ac:dyDescent="0.25">
      <c r="A943" s="4" t="s">
        <v>21</v>
      </c>
      <c r="B943" s="4" t="s">
        <v>43</v>
      </c>
      <c r="C943" s="4" t="s">
        <v>23</v>
      </c>
      <c r="D943" s="4" t="s">
        <v>44</v>
      </c>
      <c r="E943" s="4" t="s">
        <v>55</v>
      </c>
      <c r="F943" s="4" t="s">
        <v>53</v>
      </c>
      <c r="G943" s="4" t="s">
        <v>25</v>
      </c>
      <c r="H943" s="4" t="s">
        <v>25</v>
      </c>
      <c r="I943" s="5">
        <v>44743</v>
      </c>
      <c r="J943" s="6">
        <v>0</v>
      </c>
      <c r="K943" s="6">
        <v>0</v>
      </c>
      <c r="L943" s="6">
        <v>0.20499999999999999</v>
      </c>
      <c r="M943" s="6">
        <v>0.20499999999999999</v>
      </c>
      <c r="N943" s="6">
        <v>0.20499999999999999</v>
      </c>
      <c r="O943" s="6">
        <v>0.20499999999999999</v>
      </c>
      <c r="P943" s="6">
        <v>0</v>
      </c>
      <c r="Q943" s="4" t="s">
        <v>26</v>
      </c>
      <c r="R943" s="4">
        <v>0</v>
      </c>
      <c r="S943" s="6">
        <v>0</v>
      </c>
      <c r="T943" s="6">
        <v>37</v>
      </c>
      <c r="U943" s="6">
        <v>74</v>
      </c>
      <c r="V943" s="6">
        <f>IF(ISERROR(VLOOKUP($S$943,'TAR FIN'!$A$1:$O$85,15,0)),0,VLOOKUP($S$943,'TAR FIN'!$A$1:$O$85,15,0))</f>
        <v>0</v>
      </c>
      <c r="W943" s="6">
        <f>IF(ISERROR(VLOOKUP($T$943,'TAR FIN'!$A$1:$O$85,15,0)),0,VLOOKUP($T$943,'TAR FIN'!$A$1:$O$85,15,0))</f>
        <v>272.89999999999998</v>
      </c>
      <c r="X943" s="6">
        <f>IF(ISERROR(VLOOKUP($U$943,'TAR FIN'!$A$1:$O$85,15,0)),0,VLOOKUP($U$943,'TAR FIN'!$A$1:$O$85,15,0))</f>
        <v>270.94</v>
      </c>
      <c r="Y943" s="6"/>
      <c r="Z943" s="6">
        <f ca="1">('TUSD BE'!$AM$41+'TUSD BF'!$AM$41+'TUSD CVA'!$AM$41)*(1-CUSTOS!$M$40)</f>
        <v>400.01886051186733</v>
      </c>
      <c r="AA943" s="6">
        <f>('TE BE'!$AB$31+'TE BF'!$AB$31+'TE CVA'!$AB$31)*(1-CUSTOS!$M$40)</f>
        <v>294.35775975789767</v>
      </c>
      <c r="AB943" s="6">
        <f>$K$943*$V$943</f>
        <v>0</v>
      </c>
      <c r="AC943" s="6">
        <f>$M$943*$W$943</f>
        <v>55.944499999999991</v>
      </c>
      <c r="AD943" s="6">
        <f>$O$943*$X$943</f>
        <v>55.542699999999996</v>
      </c>
      <c r="AE943" s="6">
        <f>$K$943*$Y$943</f>
        <v>0</v>
      </c>
      <c r="AF943" s="6">
        <f ca="1">$M$943*$Z$943</f>
        <v>82.003866404932793</v>
      </c>
      <c r="AG943" s="6">
        <f>$O$943*$AA$943</f>
        <v>60.343340750369016</v>
      </c>
    </row>
    <row r="944" spans="1:33" ht="11.25" customHeight="1" x14ac:dyDescent="0.25">
      <c r="A944" s="4" t="s">
        <v>56</v>
      </c>
      <c r="B944" s="4" t="s">
        <v>43</v>
      </c>
      <c r="C944" s="4" t="s">
        <v>23</v>
      </c>
      <c r="D944" s="4" t="s">
        <v>44</v>
      </c>
      <c r="E944" s="4" t="s">
        <v>55</v>
      </c>
      <c r="F944" s="4" t="s">
        <v>53</v>
      </c>
      <c r="G944" s="4" t="s">
        <v>25</v>
      </c>
      <c r="H944" s="4" t="s">
        <v>25</v>
      </c>
      <c r="I944" s="5">
        <v>44774</v>
      </c>
      <c r="J944" s="6">
        <v>0</v>
      </c>
      <c r="K944" s="6">
        <v>0</v>
      </c>
      <c r="L944" s="6">
        <v>0.20499999999999999</v>
      </c>
      <c r="M944" s="6">
        <v>0.20499999999999999</v>
      </c>
      <c r="N944" s="6">
        <v>0.20499999999999999</v>
      </c>
      <c r="O944" s="6">
        <v>0.20499999999999999</v>
      </c>
      <c r="P944" s="6">
        <v>0</v>
      </c>
      <c r="Q944" s="4" t="s">
        <v>26</v>
      </c>
      <c r="R944" s="4">
        <v>0</v>
      </c>
      <c r="S944" s="6">
        <v>0</v>
      </c>
      <c r="T944" s="6">
        <v>37</v>
      </c>
      <c r="U944" s="6">
        <v>74</v>
      </c>
      <c r="V944" s="6">
        <f>IF(ISERROR(VLOOKUP($S$944,'TAR FIN'!$A$1:$O$85,15,0)),0,VLOOKUP($S$944,'TAR FIN'!$A$1:$O$85,15,0))</f>
        <v>0</v>
      </c>
      <c r="W944" s="6">
        <f>IF(ISERROR(VLOOKUP($T$944,'TAR FIN'!$A$1:$O$85,15,0)),0,VLOOKUP($T$944,'TAR FIN'!$A$1:$O$85,15,0))</f>
        <v>272.89999999999998</v>
      </c>
      <c r="X944" s="6">
        <f>IF(ISERROR(VLOOKUP($U$944,'TAR FIN'!$A$1:$O$85,15,0)),0,VLOOKUP($U$944,'TAR FIN'!$A$1:$O$85,15,0))</f>
        <v>270.94</v>
      </c>
      <c r="Y944" s="6"/>
      <c r="Z944" s="6">
        <f ca="1">('TUSD BE'!$AM$41+'TUSD BF'!$AM$41+'TUSD CVA'!$AM$41)*(1-CUSTOS!$M$40)</f>
        <v>400.01886051186733</v>
      </c>
      <c r="AA944" s="6">
        <f>('TE BE'!$AB$31+'TE BF'!$AB$31+'TE CVA'!$AB$31)*(1-CUSTOS!$M$40)</f>
        <v>294.35775975789767</v>
      </c>
      <c r="AB944" s="6">
        <f>$K$944*$V$944</f>
        <v>0</v>
      </c>
      <c r="AC944" s="6">
        <f>$M$944*$W$944</f>
        <v>55.944499999999991</v>
      </c>
      <c r="AD944" s="6">
        <f>$O$944*$X$944</f>
        <v>55.542699999999996</v>
      </c>
      <c r="AE944" s="6">
        <f>$K$944*$Y$944</f>
        <v>0</v>
      </c>
      <c r="AF944" s="6">
        <f ca="1">$M$944*$Z$944</f>
        <v>82.003866404932793</v>
      </c>
      <c r="AG944" s="6">
        <f>$O$944*$AA$944</f>
        <v>60.343340750369016</v>
      </c>
    </row>
    <row r="945" spans="1:33" ht="11.25" customHeight="1" x14ac:dyDescent="0.25">
      <c r="A945" s="4" t="s">
        <v>21</v>
      </c>
      <c r="B945" s="4" t="s">
        <v>43</v>
      </c>
      <c r="C945" s="4" t="s">
        <v>23</v>
      </c>
      <c r="D945" s="4" t="s">
        <v>44</v>
      </c>
      <c r="E945" s="4" t="s">
        <v>55</v>
      </c>
      <c r="F945" s="4" t="s">
        <v>54</v>
      </c>
      <c r="G945" s="4" t="s">
        <v>25</v>
      </c>
      <c r="H945" s="4" t="s">
        <v>25</v>
      </c>
      <c r="I945" s="5">
        <v>44440</v>
      </c>
      <c r="J945" s="6">
        <v>0</v>
      </c>
      <c r="K945" s="6">
        <v>0</v>
      </c>
      <c r="L945" s="6">
        <v>3.403</v>
      </c>
      <c r="M945" s="6">
        <v>0.91881000000000002</v>
      </c>
      <c r="N945" s="6">
        <v>3.403</v>
      </c>
      <c r="O945" s="6">
        <v>0.91881000000000002</v>
      </c>
      <c r="P945" s="6">
        <v>0</v>
      </c>
      <c r="Q945" s="4" t="s">
        <v>26</v>
      </c>
      <c r="R945" s="4">
        <v>0</v>
      </c>
      <c r="S945" s="6">
        <v>0</v>
      </c>
      <c r="T945" s="6">
        <v>37</v>
      </c>
      <c r="U945" s="6">
        <v>74</v>
      </c>
      <c r="V945" s="6">
        <f>IF(ISERROR(VLOOKUP($S$945,'TAR FIN'!$A$1:$O$85,15,0)),0,VLOOKUP($S$945,'TAR FIN'!$A$1:$O$85,15,0))</f>
        <v>0</v>
      </c>
      <c r="W945" s="6">
        <f>IF(ISERROR(VLOOKUP($T$945,'TAR FIN'!$A$1:$O$85,15,0)),0,VLOOKUP($T$945,'TAR FIN'!$A$1:$O$85,15,0))</f>
        <v>272.89999999999998</v>
      </c>
      <c r="X945" s="6">
        <f>IF(ISERROR(VLOOKUP($U$945,'TAR FIN'!$A$1:$O$85,15,0)),0,VLOOKUP($U$945,'TAR FIN'!$A$1:$O$85,15,0))</f>
        <v>270.94</v>
      </c>
      <c r="Y945" s="6"/>
      <c r="Z945" s="6">
        <f ca="1">('TUSD BE'!$AM$41+'TUSD BF'!$AM$41+'TUSD CVA'!$AM$41)*(1-CUSTOS!$M$38)</f>
        <v>408.71492269690788</v>
      </c>
      <c r="AA945" s="6">
        <f>('TE BE'!$AB$31+'TE BF'!$AB$31+'TE CVA'!$AB$31)*(1-CUSTOS!$M$38)</f>
        <v>300.75684149176499</v>
      </c>
      <c r="AB945" s="6">
        <f>$K$945*$V$945</f>
        <v>0</v>
      </c>
      <c r="AC945" s="6">
        <f>$M$945*$W$945</f>
        <v>250.74324899999999</v>
      </c>
      <c r="AD945" s="6">
        <f>$O$945*$X$945</f>
        <v>248.94238139999999</v>
      </c>
      <c r="AE945" s="6">
        <f>$K$945*$Y$945</f>
        <v>0</v>
      </c>
      <c r="AF945" s="6">
        <f ca="1">$M$945*$Z$945</f>
        <v>375.53135812314594</v>
      </c>
      <c r="AG945" s="6">
        <f>$O$945*$AA$945</f>
        <v>276.33839353104861</v>
      </c>
    </row>
    <row r="946" spans="1:33" ht="11.25" customHeight="1" x14ac:dyDescent="0.25">
      <c r="A946" s="4" t="s">
        <v>21</v>
      </c>
      <c r="B946" s="4" t="s">
        <v>43</v>
      </c>
      <c r="C946" s="4" t="s">
        <v>23</v>
      </c>
      <c r="D946" s="4" t="s">
        <v>44</v>
      </c>
      <c r="E946" s="4" t="s">
        <v>55</v>
      </c>
      <c r="F946" s="4" t="s">
        <v>54</v>
      </c>
      <c r="G946" s="4" t="s">
        <v>25</v>
      </c>
      <c r="H946" s="4" t="s">
        <v>25</v>
      </c>
      <c r="I946" s="5">
        <v>44470</v>
      </c>
      <c r="J946" s="6">
        <v>0</v>
      </c>
      <c r="K946" s="6">
        <v>0</v>
      </c>
      <c r="L946" s="6">
        <v>4.4690000000000003</v>
      </c>
      <c r="M946" s="6">
        <v>1.2066300000000001</v>
      </c>
      <c r="N946" s="6">
        <v>4.4690000000000003</v>
      </c>
      <c r="O946" s="6">
        <v>1.2066300000000001</v>
      </c>
      <c r="P946" s="6">
        <v>0</v>
      </c>
      <c r="Q946" s="4" t="s">
        <v>26</v>
      </c>
      <c r="R946" s="4">
        <v>0</v>
      </c>
      <c r="S946" s="6">
        <v>0</v>
      </c>
      <c r="T946" s="6">
        <v>37</v>
      </c>
      <c r="U946" s="6">
        <v>74</v>
      </c>
      <c r="V946" s="6">
        <f>IF(ISERROR(VLOOKUP($S$946,'TAR FIN'!$A$1:$O$85,15,0)),0,VLOOKUP($S$946,'TAR FIN'!$A$1:$O$85,15,0))</f>
        <v>0</v>
      </c>
      <c r="W946" s="6">
        <f>IF(ISERROR(VLOOKUP($T$946,'TAR FIN'!$A$1:$O$85,15,0)),0,VLOOKUP($T$946,'TAR FIN'!$A$1:$O$85,15,0))</f>
        <v>272.89999999999998</v>
      </c>
      <c r="X946" s="6">
        <f>IF(ISERROR(VLOOKUP($U$946,'TAR FIN'!$A$1:$O$85,15,0)),0,VLOOKUP($U$946,'TAR FIN'!$A$1:$O$85,15,0))</f>
        <v>270.94</v>
      </c>
      <c r="Y946" s="6"/>
      <c r="Z946" s="6">
        <f ca="1">('TUSD BE'!$AM$41+'TUSD BF'!$AM$41+'TUSD CVA'!$AM$41)*(1-CUSTOS!$M$38)</f>
        <v>408.71492269690788</v>
      </c>
      <c r="AA946" s="6">
        <f>('TE BE'!$AB$31+'TE BF'!$AB$31+'TE CVA'!$AB$31)*(1-CUSTOS!$M$38)</f>
        <v>300.75684149176499</v>
      </c>
      <c r="AB946" s="6">
        <f>$K$946*$V$946</f>
        <v>0</v>
      </c>
      <c r="AC946" s="6">
        <f>$M$946*$W$946</f>
        <v>329.28932700000001</v>
      </c>
      <c r="AD946" s="6">
        <f>$O$946*$X$946</f>
        <v>326.92433220000004</v>
      </c>
      <c r="AE946" s="6">
        <f>$K$946*$Y$946</f>
        <v>0</v>
      </c>
      <c r="AF946" s="6">
        <f ca="1">$M$946*$Z$946</f>
        <v>493.16768717376999</v>
      </c>
      <c r="AG946" s="6">
        <f>$O$946*$AA$946</f>
        <v>362.90222764920844</v>
      </c>
    </row>
    <row r="947" spans="1:33" ht="11.25" customHeight="1" x14ac:dyDescent="0.25">
      <c r="A947" s="4" t="s">
        <v>21</v>
      </c>
      <c r="B947" s="4" t="s">
        <v>43</v>
      </c>
      <c r="C947" s="4" t="s">
        <v>23</v>
      </c>
      <c r="D947" s="4" t="s">
        <v>44</v>
      </c>
      <c r="E947" s="4" t="s">
        <v>55</v>
      </c>
      <c r="F947" s="4" t="s">
        <v>54</v>
      </c>
      <c r="G947" s="4" t="s">
        <v>25</v>
      </c>
      <c r="H947" s="4" t="s">
        <v>25</v>
      </c>
      <c r="I947" s="5">
        <v>44501</v>
      </c>
      <c r="J947" s="6">
        <v>0</v>
      </c>
      <c r="K947" s="6">
        <v>0</v>
      </c>
      <c r="L947" s="6">
        <v>4.1000000000000002E-2</v>
      </c>
      <c r="M947" s="6">
        <v>1.107E-2</v>
      </c>
      <c r="N947" s="6">
        <v>4.1000000000000002E-2</v>
      </c>
      <c r="O947" s="6">
        <v>1.107E-2</v>
      </c>
      <c r="P947" s="6">
        <v>0</v>
      </c>
      <c r="Q947" s="4" t="s">
        <v>26</v>
      </c>
      <c r="R947" s="4">
        <v>0</v>
      </c>
      <c r="S947" s="6">
        <v>0</v>
      </c>
      <c r="T947" s="6">
        <v>37</v>
      </c>
      <c r="U947" s="6">
        <v>74</v>
      </c>
      <c r="V947" s="6">
        <f>IF(ISERROR(VLOOKUP($S$947,'TAR FIN'!$A$1:$O$85,15,0)),0,VLOOKUP($S$947,'TAR FIN'!$A$1:$O$85,15,0))</f>
        <v>0</v>
      </c>
      <c r="W947" s="6">
        <f>IF(ISERROR(VLOOKUP($T$947,'TAR FIN'!$A$1:$O$85,15,0)),0,VLOOKUP($T$947,'TAR FIN'!$A$1:$O$85,15,0))</f>
        <v>272.89999999999998</v>
      </c>
      <c r="X947" s="6">
        <f>IF(ISERROR(VLOOKUP($U$947,'TAR FIN'!$A$1:$O$85,15,0)),0,VLOOKUP($U$947,'TAR FIN'!$A$1:$O$85,15,0))</f>
        <v>270.94</v>
      </c>
      <c r="Y947" s="6"/>
      <c r="Z947" s="6">
        <f ca="1">('TUSD BE'!$AM$41+'TUSD BF'!$AM$41+'TUSD CVA'!$AM$41)*(1-CUSTOS!$M$38)</f>
        <v>408.71492269690788</v>
      </c>
      <c r="AA947" s="6">
        <f>('TE BE'!$AB$31+'TE BF'!$AB$31+'TE CVA'!$AB$31)*(1-CUSTOS!$M$38)</f>
        <v>300.75684149176499</v>
      </c>
      <c r="AB947" s="6">
        <f>$K$947*$V$947</f>
        <v>0</v>
      </c>
      <c r="AC947" s="6">
        <f>$M$947*$W$947</f>
        <v>3.0210029999999999</v>
      </c>
      <c r="AD947" s="6">
        <f>$O$947*$X$947</f>
        <v>2.9993058000000001</v>
      </c>
      <c r="AE947" s="6">
        <f>$K$947*$Y$947</f>
        <v>0</v>
      </c>
      <c r="AF947" s="6">
        <f ca="1">$M$947*$Z$947</f>
        <v>4.5244741942547702</v>
      </c>
      <c r="AG947" s="6">
        <f>$O$947*$AA$947</f>
        <v>3.3293782353138384</v>
      </c>
    </row>
    <row r="948" spans="1:33" ht="11.25" customHeight="1" x14ac:dyDescent="0.25">
      <c r="A948" s="4" t="s">
        <v>21</v>
      </c>
      <c r="B948" s="4" t="s">
        <v>43</v>
      </c>
      <c r="C948" s="4" t="s">
        <v>23</v>
      </c>
      <c r="D948" s="4" t="s">
        <v>44</v>
      </c>
      <c r="E948" s="4" t="s">
        <v>55</v>
      </c>
      <c r="F948" s="4" t="s">
        <v>54</v>
      </c>
      <c r="G948" s="4" t="s">
        <v>25</v>
      </c>
      <c r="H948" s="4" t="s">
        <v>25</v>
      </c>
      <c r="I948" s="5">
        <v>44531</v>
      </c>
      <c r="J948" s="6">
        <v>0</v>
      </c>
      <c r="K948" s="6">
        <v>0</v>
      </c>
      <c r="L948" s="6">
        <v>0.73799999999999999</v>
      </c>
      <c r="M948" s="6">
        <v>0.19925999999999999</v>
      </c>
      <c r="N948" s="6">
        <v>0.73799999999999999</v>
      </c>
      <c r="O948" s="6">
        <v>0.19925999999999999</v>
      </c>
      <c r="P948" s="6">
        <v>0</v>
      </c>
      <c r="Q948" s="4" t="s">
        <v>26</v>
      </c>
      <c r="R948" s="4">
        <v>0</v>
      </c>
      <c r="S948" s="6">
        <v>0</v>
      </c>
      <c r="T948" s="6">
        <v>37</v>
      </c>
      <c r="U948" s="6">
        <v>74</v>
      </c>
      <c r="V948" s="6">
        <f>IF(ISERROR(VLOOKUP($S$948,'TAR FIN'!$A$1:$O$85,15,0)),0,VLOOKUP($S$948,'TAR FIN'!$A$1:$O$85,15,0))</f>
        <v>0</v>
      </c>
      <c r="W948" s="6">
        <f>IF(ISERROR(VLOOKUP($T$948,'TAR FIN'!$A$1:$O$85,15,0)),0,VLOOKUP($T$948,'TAR FIN'!$A$1:$O$85,15,0))</f>
        <v>272.89999999999998</v>
      </c>
      <c r="X948" s="6">
        <f>IF(ISERROR(VLOOKUP($U$948,'TAR FIN'!$A$1:$O$85,15,0)),0,VLOOKUP($U$948,'TAR FIN'!$A$1:$O$85,15,0))</f>
        <v>270.94</v>
      </c>
      <c r="Y948" s="6"/>
      <c r="Z948" s="6">
        <f ca="1">('TUSD BE'!$AM$41+'TUSD BF'!$AM$41+'TUSD CVA'!$AM$41)*(1-CUSTOS!$M$38)</f>
        <v>408.71492269690788</v>
      </c>
      <c r="AA948" s="6">
        <f>('TE BE'!$AB$31+'TE BF'!$AB$31+'TE CVA'!$AB$31)*(1-CUSTOS!$M$38)</f>
        <v>300.75684149176499</v>
      </c>
      <c r="AB948" s="6">
        <f>$K$948*$V$948</f>
        <v>0</v>
      </c>
      <c r="AC948" s="6">
        <f>$M$948*$W$948</f>
        <v>54.378053999999992</v>
      </c>
      <c r="AD948" s="6">
        <f>$O$948*$X$948</f>
        <v>53.987504399999999</v>
      </c>
      <c r="AE948" s="6">
        <f>$K$948*$Y$948</f>
        <v>0</v>
      </c>
      <c r="AF948" s="6">
        <f ca="1">$M$948*$Z$948</f>
        <v>81.440535496585866</v>
      </c>
      <c r="AG948" s="6">
        <f>$O$948*$AA$948</f>
        <v>59.928808235649086</v>
      </c>
    </row>
    <row r="949" spans="1:33" ht="11.25" customHeight="1" x14ac:dyDescent="0.25">
      <c r="A949" s="4" t="s">
        <v>21</v>
      </c>
      <c r="B949" s="4" t="s">
        <v>43</v>
      </c>
      <c r="C949" s="4" t="s">
        <v>23</v>
      </c>
      <c r="D949" s="4" t="s">
        <v>44</v>
      </c>
      <c r="E949" s="4" t="s">
        <v>55</v>
      </c>
      <c r="F949" s="4" t="s">
        <v>54</v>
      </c>
      <c r="G949" s="4" t="s">
        <v>25</v>
      </c>
      <c r="H949" s="4" t="s">
        <v>25</v>
      </c>
      <c r="I949" s="5">
        <v>44562</v>
      </c>
      <c r="J949" s="6">
        <v>0</v>
      </c>
      <c r="K949" s="6">
        <v>0</v>
      </c>
      <c r="L949" s="6">
        <v>1.3939999999999999</v>
      </c>
      <c r="M949" s="6">
        <v>0.37637999999999999</v>
      </c>
      <c r="N949" s="6">
        <v>1.3939999999999999</v>
      </c>
      <c r="O949" s="6">
        <v>0.37637999999999999</v>
      </c>
      <c r="P949" s="6">
        <v>0</v>
      </c>
      <c r="Q949" s="4" t="s">
        <v>26</v>
      </c>
      <c r="R949" s="4">
        <v>0</v>
      </c>
      <c r="S949" s="6">
        <v>0</v>
      </c>
      <c r="T949" s="6">
        <v>37</v>
      </c>
      <c r="U949" s="6">
        <v>74</v>
      </c>
      <c r="V949" s="6">
        <f>IF(ISERROR(VLOOKUP($S$949,'TAR FIN'!$A$1:$O$85,15,0)),0,VLOOKUP($S$949,'TAR FIN'!$A$1:$O$85,15,0))</f>
        <v>0</v>
      </c>
      <c r="W949" s="6">
        <f>IF(ISERROR(VLOOKUP($T$949,'TAR FIN'!$A$1:$O$85,15,0)),0,VLOOKUP($T$949,'TAR FIN'!$A$1:$O$85,15,0))</f>
        <v>272.89999999999998</v>
      </c>
      <c r="X949" s="6">
        <f>IF(ISERROR(VLOOKUP($U$949,'TAR FIN'!$A$1:$O$85,15,0)),0,VLOOKUP($U$949,'TAR FIN'!$A$1:$O$85,15,0))</f>
        <v>270.94</v>
      </c>
      <c r="Y949" s="6"/>
      <c r="Z949" s="6">
        <f ca="1">('TUSD BE'!$AM$41+'TUSD BF'!$AM$41+'TUSD CVA'!$AM$41)*(1-CUSTOS!$M$38)</f>
        <v>408.71492269690788</v>
      </c>
      <c r="AA949" s="6">
        <f>('TE BE'!$AB$31+'TE BF'!$AB$31+'TE CVA'!$AB$31)*(1-CUSTOS!$M$38)</f>
        <v>300.75684149176499</v>
      </c>
      <c r="AB949" s="6">
        <f>$K$949*$V$949</f>
        <v>0</v>
      </c>
      <c r="AC949" s="6">
        <f>$M$949*$W$949</f>
        <v>102.71410199999998</v>
      </c>
      <c r="AD949" s="6">
        <f>$O$949*$X$949</f>
        <v>101.97639719999999</v>
      </c>
      <c r="AE949" s="6">
        <f>$K$949*$Y$949</f>
        <v>0</v>
      </c>
      <c r="AF949" s="6">
        <f ca="1">$M$949*$Z$949</f>
        <v>153.83212260466217</v>
      </c>
      <c r="AG949" s="6">
        <f>$O$949*$AA$949</f>
        <v>113.19886000067051</v>
      </c>
    </row>
    <row r="950" spans="1:33" ht="11.25" customHeight="1" x14ac:dyDescent="0.25">
      <c r="A950" s="4" t="s">
        <v>21</v>
      </c>
      <c r="B950" s="4" t="s">
        <v>43</v>
      </c>
      <c r="C950" s="4" t="s">
        <v>23</v>
      </c>
      <c r="D950" s="4" t="s">
        <v>44</v>
      </c>
      <c r="E950" s="4" t="s">
        <v>55</v>
      </c>
      <c r="F950" s="4" t="s">
        <v>54</v>
      </c>
      <c r="G950" s="4" t="s">
        <v>25</v>
      </c>
      <c r="H950" s="4" t="s">
        <v>25</v>
      </c>
      <c r="I950" s="5">
        <v>44593</v>
      </c>
      <c r="J950" s="6">
        <v>0</v>
      </c>
      <c r="K950" s="6">
        <v>0</v>
      </c>
      <c r="L950" s="6">
        <v>2.2050000000000001</v>
      </c>
      <c r="M950" s="6">
        <v>0.59535000000000005</v>
      </c>
      <c r="N950" s="6">
        <v>2.2050000000000001</v>
      </c>
      <c r="O950" s="6">
        <v>0.59535000000000005</v>
      </c>
      <c r="P950" s="6">
        <v>0</v>
      </c>
      <c r="Q950" s="4" t="s">
        <v>26</v>
      </c>
      <c r="R950" s="4">
        <v>0</v>
      </c>
      <c r="S950" s="6">
        <v>0</v>
      </c>
      <c r="T950" s="6">
        <v>37</v>
      </c>
      <c r="U950" s="6">
        <v>74</v>
      </c>
      <c r="V950" s="6">
        <f>IF(ISERROR(VLOOKUP($S$950,'TAR FIN'!$A$1:$O$85,15,0)),0,VLOOKUP($S$950,'TAR FIN'!$A$1:$O$85,15,0))</f>
        <v>0</v>
      </c>
      <c r="W950" s="6">
        <f>IF(ISERROR(VLOOKUP($T$950,'TAR FIN'!$A$1:$O$85,15,0)),0,VLOOKUP($T$950,'TAR FIN'!$A$1:$O$85,15,0))</f>
        <v>272.89999999999998</v>
      </c>
      <c r="X950" s="6">
        <f>IF(ISERROR(VLOOKUP($U$950,'TAR FIN'!$A$1:$O$85,15,0)),0,VLOOKUP($U$950,'TAR FIN'!$A$1:$O$85,15,0))</f>
        <v>270.94</v>
      </c>
      <c r="Y950" s="6"/>
      <c r="Z950" s="6">
        <f ca="1">('TUSD BE'!$AM$41+'TUSD BF'!$AM$41+'TUSD CVA'!$AM$41)*(1-CUSTOS!$M$38)</f>
        <v>408.71492269690788</v>
      </c>
      <c r="AA950" s="6">
        <f>('TE BE'!$AB$31+'TE BF'!$AB$31+'TE CVA'!$AB$31)*(1-CUSTOS!$M$38)</f>
        <v>300.75684149176499</v>
      </c>
      <c r="AB950" s="6">
        <f>$K$950*$V$950</f>
        <v>0</v>
      </c>
      <c r="AC950" s="6">
        <f>$M$950*$W$950</f>
        <v>162.47101499999999</v>
      </c>
      <c r="AD950" s="6">
        <f>$O$950*$X$950</f>
        <v>161.30412900000002</v>
      </c>
      <c r="AE950" s="6">
        <f>$K$950*$Y$950</f>
        <v>0</v>
      </c>
      <c r="AF950" s="6">
        <f ca="1">$M$950*$Z$950</f>
        <v>243.32842922760412</v>
      </c>
      <c r="AG950" s="6">
        <f>$O$950*$AA$950</f>
        <v>179.05558558212229</v>
      </c>
    </row>
    <row r="951" spans="1:33" ht="11.25" customHeight="1" x14ac:dyDescent="0.25">
      <c r="A951" s="4" t="s">
        <v>21</v>
      </c>
      <c r="B951" s="4" t="s">
        <v>43</v>
      </c>
      <c r="C951" s="4" t="s">
        <v>23</v>
      </c>
      <c r="D951" s="4" t="s">
        <v>44</v>
      </c>
      <c r="E951" s="4" t="s">
        <v>55</v>
      </c>
      <c r="F951" s="4" t="s">
        <v>54</v>
      </c>
      <c r="G951" s="4" t="s">
        <v>25</v>
      </c>
      <c r="H951" s="4" t="s">
        <v>25</v>
      </c>
      <c r="I951" s="5">
        <v>44621</v>
      </c>
      <c r="J951" s="6">
        <v>0</v>
      </c>
      <c r="K951" s="6">
        <v>0</v>
      </c>
      <c r="L951" s="6">
        <v>0.58399999999999996</v>
      </c>
      <c r="M951" s="6">
        <v>0.2336</v>
      </c>
      <c r="N951" s="6">
        <v>0.58399999999999996</v>
      </c>
      <c r="O951" s="6">
        <v>0.2336</v>
      </c>
      <c r="P951" s="6">
        <v>0</v>
      </c>
      <c r="Q951" s="4" t="s">
        <v>26</v>
      </c>
      <c r="R951" s="4">
        <v>0</v>
      </c>
      <c r="S951" s="6">
        <v>0</v>
      </c>
      <c r="T951" s="6">
        <v>37</v>
      </c>
      <c r="U951" s="6">
        <v>74</v>
      </c>
      <c r="V951" s="6">
        <f>IF(ISERROR(VLOOKUP($S$951,'TAR FIN'!$A$1:$O$85,15,0)),0,VLOOKUP($S$951,'TAR FIN'!$A$1:$O$85,15,0))</f>
        <v>0</v>
      </c>
      <c r="W951" s="6">
        <f>IF(ISERROR(VLOOKUP($T$951,'TAR FIN'!$A$1:$O$85,15,0)),0,VLOOKUP($T$951,'TAR FIN'!$A$1:$O$85,15,0))</f>
        <v>272.89999999999998</v>
      </c>
      <c r="X951" s="6">
        <f>IF(ISERROR(VLOOKUP($U$951,'TAR FIN'!$A$1:$O$85,15,0)),0,VLOOKUP($U$951,'TAR FIN'!$A$1:$O$85,15,0))</f>
        <v>270.94</v>
      </c>
      <c r="Y951" s="6"/>
      <c r="Z951" s="6">
        <f ca="1">('TUSD BE'!$AM$41+'TUSD BF'!$AM$41+'TUSD CVA'!$AM$41)*(1-CUSTOS!$M$38)</f>
        <v>408.71492269690788</v>
      </c>
      <c r="AA951" s="6">
        <f>('TE BE'!$AB$31+'TE BF'!$AB$31+'TE CVA'!$AB$31)*(1-CUSTOS!$M$38)</f>
        <v>300.75684149176499</v>
      </c>
      <c r="AB951" s="6">
        <f>$K$951*$V$951</f>
        <v>0</v>
      </c>
      <c r="AC951" s="6">
        <f>$M$951*$W$951</f>
        <v>63.749439999999993</v>
      </c>
      <c r="AD951" s="6">
        <f>$O$951*$X$951</f>
        <v>63.291584</v>
      </c>
      <c r="AE951" s="6">
        <f>$K$951*$Y$951</f>
        <v>0</v>
      </c>
      <c r="AF951" s="6">
        <f ca="1">$M$951*$Z$951</f>
        <v>95.475805941997677</v>
      </c>
      <c r="AG951" s="6">
        <f>$O$951*$AA$951</f>
        <v>70.256798172476309</v>
      </c>
    </row>
    <row r="952" spans="1:33" ht="11.25" customHeight="1" x14ac:dyDescent="0.25">
      <c r="A952" s="4" t="s">
        <v>21</v>
      </c>
      <c r="B952" s="4" t="s">
        <v>43</v>
      </c>
      <c r="C952" s="4" t="s">
        <v>23</v>
      </c>
      <c r="D952" s="4" t="s">
        <v>44</v>
      </c>
      <c r="E952" s="4" t="s">
        <v>55</v>
      </c>
      <c r="F952" s="4" t="s">
        <v>54</v>
      </c>
      <c r="G952" s="4" t="s">
        <v>25</v>
      </c>
      <c r="H952" s="4" t="s">
        <v>25</v>
      </c>
      <c r="I952" s="5">
        <v>44652</v>
      </c>
      <c r="J952" s="6">
        <v>0</v>
      </c>
      <c r="K952" s="6">
        <v>0</v>
      </c>
      <c r="L952" s="6">
        <v>2.5009999999999999</v>
      </c>
      <c r="M952" s="6">
        <v>0.67527000000000004</v>
      </c>
      <c r="N952" s="6">
        <v>2.5009999999999999</v>
      </c>
      <c r="O952" s="6">
        <v>0.67527000000000004</v>
      </c>
      <c r="P952" s="6">
        <v>0</v>
      </c>
      <c r="Q952" s="4" t="s">
        <v>26</v>
      </c>
      <c r="R952" s="4">
        <v>0</v>
      </c>
      <c r="S952" s="6">
        <v>0</v>
      </c>
      <c r="T952" s="6">
        <v>37</v>
      </c>
      <c r="U952" s="6">
        <v>74</v>
      </c>
      <c r="V952" s="6">
        <f>IF(ISERROR(VLOOKUP($S$952,'TAR FIN'!$A$1:$O$85,15,0)),0,VLOOKUP($S$952,'TAR FIN'!$A$1:$O$85,15,0))</f>
        <v>0</v>
      </c>
      <c r="W952" s="6">
        <f>IF(ISERROR(VLOOKUP($T$952,'TAR FIN'!$A$1:$O$85,15,0)),0,VLOOKUP($T$952,'TAR FIN'!$A$1:$O$85,15,0))</f>
        <v>272.89999999999998</v>
      </c>
      <c r="X952" s="6">
        <f>IF(ISERROR(VLOOKUP($U$952,'TAR FIN'!$A$1:$O$85,15,0)),0,VLOOKUP($U$952,'TAR FIN'!$A$1:$O$85,15,0))</f>
        <v>270.94</v>
      </c>
      <c r="Y952" s="6"/>
      <c r="Z952" s="6">
        <f ca="1">('TUSD BE'!$AM$41+'TUSD BF'!$AM$41+'TUSD CVA'!$AM$41)*(1-CUSTOS!$M$38)</f>
        <v>408.71492269690788</v>
      </c>
      <c r="AA952" s="6">
        <f>('TE BE'!$AB$31+'TE BF'!$AB$31+'TE CVA'!$AB$31)*(1-CUSTOS!$M$38)</f>
        <v>300.75684149176499</v>
      </c>
      <c r="AB952" s="6">
        <f>$K$952*$V$952</f>
        <v>0</v>
      </c>
      <c r="AC952" s="6">
        <f>$M$952*$W$952</f>
        <v>184.281183</v>
      </c>
      <c r="AD952" s="6">
        <f>$O$952*$X$952</f>
        <v>182.9576538</v>
      </c>
      <c r="AE952" s="6">
        <f>$K$952*$Y$952</f>
        <v>0</v>
      </c>
      <c r="AF952" s="6">
        <f ca="1">$M$952*$Z$952</f>
        <v>275.992925849541</v>
      </c>
      <c r="AG952" s="6">
        <f>$O$952*$AA$952</f>
        <v>203.09207235414416</v>
      </c>
    </row>
    <row r="953" spans="1:33" ht="11.25" customHeight="1" x14ac:dyDescent="0.25">
      <c r="A953" s="4" t="s">
        <v>21</v>
      </c>
      <c r="B953" s="4" t="s">
        <v>43</v>
      </c>
      <c r="C953" s="4" t="s">
        <v>23</v>
      </c>
      <c r="D953" s="4" t="s">
        <v>44</v>
      </c>
      <c r="E953" s="4" t="s">
        <v>55</v>
      </c>
      <c r="F953" s="4" t="s">
        <v>54</v>
      </c>
      <c r="G953" s="4" t="s">
        <v>25</v>
      </c>
      <c r="H953" s="4" t="s">
        <v>25</v>
      </c>
      <c r="I953" s="5">
        <v>44682</v>
      </c>
      <c r="J953" s="6">
        <v>0</v>
      </c>
      <c r="K953" s="6">
        <v>0</v>
      </c>
      <c r="L953" s="6">
        <v>3.3210000000000002</v>
      </c>
      <c r="M953" s="6">
        <v>0.89666999999999997</v>
      </c>
      <c r="N953" s="6">
        <v>3.3210000000000002</v>
      </c>
      <c r="O953" s="6">
        <v>0.89666999999999997</v>
      </c>
      <c r="P953" s="6">
        <v>0</v>
      </c>
      <c r="Q953" s="4" t="s">
        <v>26</v>
      </c>
      <c r="R953" s="4">
        <v>0</v>
      </c>
      <c r="S953" s="6">
        <v>0</v>
      </c>
      <c r="T953" s="6">
        <v>37</v>
      </c>
      <c r="U953" s="6">
        <v>74</v>
      </c>
      <c r="V953" s="6">
        <f>IF(ISERROR(VLOOKUP($S$953,'TAR FIN'!$A$1:$O$85,15,0)),0,VLOOKUP($S$953,'TAR FIN'!$A$1:$O$85,15,0))</f>
        <v>0</v>
      </c>
      <c r="W953" s="6">
        <f>IF(ISERROR(VLOOKUP($T$953,'TAR FIN'!$A$1:$O$85,15,0)),0,VLOOKUP($T$953,'TAR FIN'!$A$1:$O$85,15,0))</f>
        <v>272.89999999999998</v>
      </c>
      <c r="X953" s="6">
        <f>IF(ISERROR(VLOOKUP($U$953,'TAR FIN'!$A$1:$O$85,15,0)),0,VLOOKUP($U$953,'TAR FIN'!$A$1:$O$85,15,0))</f>
        <v>270.94</v>
      </c>
      <c r="Y953" s="6"/>
      <c r="Z953" s="6">
        <f ca="1">('TUSD BE'!$AM$41+'TUSD BF'!$AM$41+'TUSD CVA'!$AM$41)*(1-CUSTOS!$M$38)</f>
        <v>408.71492269690788</v>
      </c>
      <c r="AA953" s="6">
        <f>('TE BE'!$AB$31+'TE BF'!$AB$31+'TE CVA'!$AB$31)*(1-CUSTOS!$M$38)</f>
        <v>300.75684149176499</v>
      </c>
      <c r="AB953" s="6">
        <f>$K$953*$V$953</f>
        <v>0</v>
      </c>
      <c r="AC953" s="6">
        <f>$M$953*$W$953</f>
        <v>244.70124299999998</v>
      </c>
      <c r="AD953" s="6">
        <f>$O$953*$X$953</f>
        <v>242.94376979999998</v>
      </c>
      <c r="AE953" s="6">
        <f>$K$953*$Y$953</f>
        <v>0</v>
      </c>
      <c r="AF953" s="6">
        <f ca="1">$M$953*$Z$953</f>
        <v>366.48240973463635</v>
      </c>
      <c r="AG953" s="6">
        <f>$O$953*$AA$953</f>
        <v>269.67963706042087</v>
      </c>
    </row>
    <row r="954" spans="1:33" ht="11.25" customHeight="1" x14ac:dyDescent="0.25">
      <c r="A954" s="4" t="s">
        <v>21</v>
      </c>
      <c r="B954" s="4" t="s">
        <v>43</v>
      </c>
      <c r="C954" s="4" t="s">
        <v>23</v>
      </c>
      <c r="D954" s="4" t="s">
        <v>44</v>
      </c>
      <c r="E954" s="4" t="s">
        <v>55</v>
      </c>
      <c r="F954" s="4" t="s">
        <v>54</v>
      </c>
      <c r="G954" s="4" t="s">
        <v>25</v>
      </c>
      <c r="H954" s="4" t="s">
        <v>25</v>
      </c>
      <c r="I954" s="5">
        <v>44713</v>
      </c>
      <c r="J954" s="6">
        <v>0</v>
      </c>
      <c r="K954" s="6">
        <v>0</v>
      </c>
      <c r="L954" s="6">
        <v>0.73799999999999999</v>
      </c>
      <c r="M954" s="6">
        <v>0.19925999999999999</v>
      </c>
      <c r="N954" s="6">
        <v>0.73799999999999999</v>
      </c>
      <c r="O954" s="6">
        <v>0.19925999999999999</v>
      </c>
      <c r="P954" s="6">
        <v>0</v>
      </c>
      <c r="Q954" s="4" t="s">
        <v>26</v>
      </c>
      <c r="R954" s="4">
        <v>0</v>
      </c>
      <c r="S954" s="6">
        <v>0</v>
      </c>
      <c r="T954" s="6">
        <v>37</v>
      </c>
      <c r="U954" s="6">
        <v>74</v>
      </c>
      <c r="V954" s="6">
        <f>IF(ISERROR(VLOOKUP($S$954,'TAR FIN'!$A$1:$O$85,15,0)),0,VLOOKUP($S$954,'TAR FIN'!$A$1:$O$85,15,0))</f>
        <v>0</v>
      </c>
      <c r="W954" s="6">
        <f>IF(ISERROR(VLOOKUP($T$954,'TAR FIN'!$A$1:$O$85,15,0)),0,VLOOKUP($T$954,'TAR FIN'!$A$1:$O$85,15,0))</f>
        <v>272.89999999999998</v>
      </c>
      <c r="X954" s="6">
        <f>IF(ISERROR(VLOOKUP($U$954,'TAR FIN'!$A$1:$O$85,15,0)),0,VLOOKUP($U$954,'TAR FIN'!$A$1:$O$85,15,0))</f>
        <v>270.94</v>
      </c>
      <c r="Y954" s="6"/>
      <c r="Z954" s="6">
        <f ca="1">('TUSD BE'!$AM$41+'TUSD BF'!$AM$41+'TUSD CVA'!$AM$41)*(1-CUSTOS!$M$38)</f>
        <v>408.71492269690788</v>
      </c>
      <c r="AA954" s="6">
        <f>('TE BE'!$AB$31+'TE BF'!$AB$31+'TE CVA'!$AB$31)*(1-CUSTOS!$M$38)</f>
        <v>300.75684149176499</v>
      </c>
      <c r="AB954" s="6">
        <f>$K$954*$V$954</f>
        <v>0</v>
      </c>
      <c r="AC954" s="6">
        <f>$M$954*$W$954</f>
        <v>54.378053999999992</v>
      </c>
      <c r="AD954" s="6">
        <f>$O$954*$X$954</f>
        <v>53.987504399999999</v>
      </c>
      <c r="AE954" s="6">
        <f>$K$954*$Y$954</f>
        <v>0</v>
      </c>
      <c r="AF954" s="6">
        <f ca="1">$M$954*$Z$954</f>
        <v>81.440535496585866</v>
      </c>
      <c r="AG954" s="6">
        <f>$O$954*$AA$954</f>
        <v>59.928808235649086</v>
      </c>
    </row>
    <row r="955" spans="1:33" ht="11.25" customHeight="1" x14ac:dyDescent="0.25">
      <c r="A955" s="4" t="s">
        <v>21</v>
      </c>
      <c r="B955" s="4" t="s">
        <v>43</v>
      </c>
      <c r="C955" s="4" t="s">
        <v>23</v>
      </c>
      <c r="D955" s="4" t="s">
        <v>44</v>
      </c>
      <c r="E955" s="4" t="s">
        <v>55</v>
      </c>
      <c r="F955" s="4" t="s">
        <v>54</v>
      </c>
      <c r="G955" s="4" t="s">
        <v>25</v>
      </c>
      <c r="H955" s="4" t="s">
        <v>25</v>
      </c>
      <c r="I955" s="5">
        <v>44743</v>
      </c>
      <c r="J955" s="6">
        <v>0</v>
      </c>
      <c r="K955" s="6">
        <v>0</v>
      </c>
      <c r="L955" s="6">
        <v>0.65600000000000003</v>
      </c>
      <c r="M955" s="6">
        <v>0.17712</v>
      </c>
      <c r="N955" s="6">
        <v>0.65600000000000003</v>
      </c>
      <c r="O955" s="6">
        <v>0.17712</v>
      </c>
      <c r="P955" s="6">
        <v>0</v>
      </c>
      <c r="Q955" s="4" t="s">
        <v>26</v>
      </c>
      <c r="R955" s="4">
        <v>0</v>
      </c>
      <c r="S955" s="6">
        <v>0</v>
      </c>
      <c r="T955" s="6">
        <v>37</v>
      </c>
      <c r="U955" s="6">
        <v>74</v>
      </c>
      <c r="V955" s="6">
        <f>IF(ISERROR(VLOOKUP($S$955,'TAR FIN'!$A$1:$O$85,15,0)),0,VLOOKUP($S$955,'TAR FIN'!$A$1:$O$85,15,0))</f>
        <v>0</v>
      </c>
      <c r="W955" s="6">
        <f>IF(ISERROR(VLOOKUP($T$955,'TAR FIN'!$A$1:$O$85,15,0)),0,VLOOKUP($T$955,'TAR FIN'!$A$1:$O$85,15,0))</f>
        <v>272.89999999999998</v>
      </c>
      <c r="X955" s="6">
        <f>IF(ISERROR(VLOOKUP($U$955,'TAR FIN'!$A$1:$O$85,15,0)),0,VLOOKUP($U$955,'TAR FIN'!$A$1:$O$85,15,0))</f>
        <v>270.94</v>
      </c>
      <c r="Y955" s="6"/>
      <c r="Z955" s="6">
        <f ca="1">('TUSD BE'!$AM$41+'TUSD BF'!$AM$41+'TUSD CVA'!$AM$41)*(1-CUSTOS!$M$38)</f>
        <v>408.71492269690788</v>
      </c>
      <c r="AA955" s="6">
        <f>('TE BE'!$AB$31+'TE BF'!$AB$31+'TE CVA'!$AB$31)*(1-CUSTOS!$M$38)</f>
        <v>300.75684149176499</v>
      </c>
      <c r="AB955" s="6">
        <f>$K$955*$V$955</f>
        <v>0</v>
      </c>
      <c r="AC955" s="6">
        <f>$M$955*$W$955</f>
        <v>48.336047999999998</v>
      </c>
      <c r="AD955" s="6">
        <f>$O$955*$X$955</f>
        <v>47.988892800000002</v>
      </c>
      <c r="AE955" s="6">
        <f>$K$955*$Y$955</f>
        <v>0</v>
      </c>
      <c r="AF955" s="6">
        <f ca="1">$M$955*$Z$955</f>
        <v>72.391587108076322</v>
      </c>
      <c r="AG955" s="6">
        <f>$O$955*$AA$955</f>
        <v>53.270051765021414</v>
      </c>
    </row>
    <row r="956" spans="1:33" ht="11.25" customHeight="1" x14ac:dyDescent="0.25">
      <c r="A956" s="4" t="s">
        <v>56</v>
      </c>
      <c r="B956" s="4" t="s">
        <v>43</v>
      </c>
      <c r="C956" s="4" t="s">
        <v>23</v>
      </c>
      <c r="D956" s="4" t="s">
        <v>44</v>
      </c>
      <c r="E956" s="4" t="s">
        <v>55</v>
      </c>
      <c r="F956" s="4" t="s">
        <v>54</v>
      </c>
      <c r="G956" s="4" t="s">
        <v>25</v>
      </c>
      <c r="H956" s="4" t="s">
        <v>25</v>
      </c>
      <c r="I956" s="5">
        <v>44774</v>
      </c>
      <c r="J956" s="6">
        <v>0</v>
      </c>
      <c r="K956" s="6">
        <v>0</v>
      </c>
      <c r="L956" s="6">
        <v>0.65600000000000003</v>
      </c>
      <c r="M956" s="6">
        <v>0.17712</v>
      </c>
      <c r="N956" s="6">
        <v>0.65600000000000003</v>
      </c>
      <c r="O956" s="6">
        <v>0.17712</v>
      </c>
      <c r="P956" s="6">
        <v>0</v>
      </c>
      <c r="Q956" s="4" t="s">
        <v>26</v>
      </c>
      <c r="R956" s="4">
        <v>0</v>
      </c>
      <c r="S956" s="6">
        <v>0</v>
      </c>
      <c r="T956" s="6">
        <v>37</v>
      </c>
      <c r="U956" s="6">
        <v>74</v>
      </c>
      <c r="V956" s="6">
        <f>IF(ISERROR(VLOOKUP($S$956,'TAR FIN'!$A$1:$O$85,15,0)),0,VLOOKUP($S$956,'TAR FIN'!$A$1:$O$85,15,0))</f>
        <v>0</v>
      </c>
      <c r="W956" s="6">
        <f>IF(ISERROR(VLOOKUP($T$956,'TAR FIN'!$A$1:$O$85,15,0)),0,VLOOKUP($T$956,'TAR FIN'!$A$1:$O$85,15,0))</f>
        <v>272.89999999999998</v>
      </c>
      <c r="X956" s="6">
        <f>IF(ISERROR(VLOOKUP($U$956,'TAR FIN'!$A$1:$O$85,15,0)),0,VLOOKUP($U$956,'TAR FIN'!$A$1:$O$85,15,0))</f>
        <v>270.94</v>
      </c>
      <c r="Y956" s="6"/>
      <c r="Z956" s="6">
        <f ca="1">('TUSD BE'!$AM$41+'TUSD BF'!$AM$41+'TUSD CVA'!$AM$41)*(1-CUSTOS!$M$38)</f>
        <v>408.71492269690788</v>
      </c>
      <c r="AA956" s="6">
        <f>('TE BE'!$AB$31+'TE BF'!$AB$31+'TE CVA'!$AB$31)*(1-CUSTOS!$M$38)</f>
        <v>300.75684149176499</v>
      </c>
      <c r="AB956" s="6">
        <f>$K$956*$V$956</f>
        <v>0</v>
      </c>
      <c r="AC956" s="6">
        <f>$M$956*$W$956</f>
        <v>48.336047999999998</v>
      </c>
      <c r="AD956" s="6">
        <f>$O$956*$X$956</f>
        <v>47.988892800000002</v>
      </c>
      <c r="AE956" s="6">
        <f>$K$956*$Y$956</f>
        <v>0</v>
      </c>
      <c r="AF956" s="6">
        <f ca="1">$M$956*$Z$956</f>
        <v>72.391587108076322</v>
      </c>
      <c r="AG956" s="6">
        <f>$O$956*$AA$956</f>
        <v>53.270051765021414</v>
      </c>
    </row>
    <row r="957" spans="1:33" ht="11.25" customHeight="1" x14ac:dyDescent="0.25">
      <c r="A957" s="4" t="s">
        <v>21</v>
      </c>
      <c r="B957" s="4" t="s">
        <v>37</v>
      </c>
      <c r="C957" s="4" t="s">
        <v>33</v>
      </c>
      <c r="D957" s="4" t="s">
        <v>41</v>
      </c>
      <c r="E957" s="4" t="s">
        <v>25</v>
      </c>
      <c r="F957" s="4" t="s">
        <v>25</v>
      </c>
      <c r="G957" s="4" t="s">
        <v>25</v>
      </c>
      <c r="H957" s="4" t="s">
        <v>35</v>
      </c>
      <c r="I957" s="5">
        <v>44440</v>
      </c>
      <c r="J957" s="6">
        <v>0</v>
      </c>
      <c r="K957" s="6">
        <v>0</v>
      </c>
      <c r="L957" s="6">
        <v>56.54</v>
      </c>
      <c r="M957" s="6">
        <v>56.54</v>
      </c>
      <c r="N957" s="6">
        <v>56.54</v>
      </c>
      <c r="O957" s="6">
        <v>56.54</v>
      </c>
      <c r="P957" s="6">
        <v>0</v>
      </c>
      <c r="Q957" s="4" t="s">
        <v>26</v>
      </c>
      <c r="R957" s="4">
        <v>0</v>
      </c>
      <c r="S957" s="6">
        <v>0</v>
      </c>
      <c r="T957" s="6">
        <v>43</v>
      </c>
      <c r="U957" s="6">
        <v>80</v>
      </c>
      <c r="V957" s="6">
        <f>IF(ISERROR(VLOOKUP($S$957,'TAR FIN'!$A$1:$O$85,15,0)),0,VLOOKUP($S$957,'TAR FIN'!$A$1:$O$85,15,0))</f>
        <v>0</v>
      </c>
      <c r="W957" s="6">
        <f>IF(ISERROR(VLOOKUP($T$957,'TAR FIN'!$A$1:$O$85,15,0)),0,VLOOKUP($T$957,'TAR FIN'!$A$1:$O$85,15,0))</f>
        <v>259.20999999999998</v>
      </c>
      <c r="X957" s="6">
        <f>IF(ISERROR(VLOOKUP($U$957,'TAR FIN'!$A$1:$O$85,15,0)),0,VLOOKUP($U$957,'TAR FIN'!$A$1:$O$85,15,0))</f>
        <v>307.08</v>
      </c>
      <c r="Y957" s="6"/>
      <c r="Z957" s="6">
        <f ca="1">('TUSD BE'!$AM$47+'TUSD BF'!$AM$47+'TUSD CVA'!$AM$47)*1</f>
        <v>362.55114049612132</v>
      </c>
      <c r="AA957" s="6">
        <f>('TE BE'!$AB$37+'TE BF'!$AB$37+'TE CVA'!$AB$37)*1</f>
        <v>304.87027853653359</v>
      </c>
      <c r="AB957" s="6">
        <f>$K$957*$V$957</f>
        <v>0</v>
      </c>
      <c r="AC957" s="6">
        <f>$M$957*$W$957</f>
        <v>14655.733399999999</v>
      </c>
      <c r="AD957" s="6">
        <f>$O$957*$X$957</f>
        <v>17362.303199999998</v>
      </c>
      <c r="AE957" s="6">
        <f>$K$957*$Y$957</f>
        <v>0</v>
      </c>
      <c r="AF957" s="6">
        <f ca="1">$M$957*$Z$957</f>
        <v>20498.641483650699</v>
      </c>
      <c r="AG957" s="6">
        <f>$O$957*$AA$957</f>
        <v>17237.365548455607</v>
      </c>
    </row>
    <row r="958" spans="1:33" ht="11.25" customHeight="1" x14ac:dyDescent="0.25">
      <c r="A958" s="4" t="s">
        <v>28</v>
      </c>
      <c r="B958" s="4" t="s">
        <v>37</v>
      </c>
      <c r="C958" s="4" t="s">
        <v>33</v>
      </c>
      <c r="D958" s="4" t="s">
        <v>41</v>
      </c>
      <c r="E958" s="4" t="s">
        <v>25</v>
      </c>
      <c r="F958" s="4" t="s">
        <v>25</v>
      </c>
      <c r="G958" s="4" t="s">
        <v>25</v>
      </c>
      <c r="H958" s="4" t="s">
        <v>35</v>
      </c>
      <c r="I958" s="5">
        <v>44440</v>
      </c>
      <c r="J958" s="6">
        <v>0</v>
      </c>
      <c r="K958" s="6">
        <v>0</v>
      </c>
      <c r="L958" s="6">
        <v>4.7389999999999999</v>
      </c>
      <c r="M958" s="6">
        <v>4.7389999999999999</v>
      </c>
      <c r="N958" s="6">
        <v>4.7389999999999999</v>
      </c>
      <c r="O958" s="6">
        <v>4.7389999999999999</v>
      </c>
      <c r="P958" s="6">
        <v>0</v>
      </c>
      <c r="Q958" s="4" t="s">
        <v>26</v>
      </c>
      <c r="R958" s="4">
        <v>0</v>
      </c>
      <c r="S958" s="6">
        <v>0</v>
      </c>
      <c r="T958" s="6">
        <v>43</v>
      </c>
      <c r="U958" s="6">
        <v>80</v>
      </c>
      <c r="V958" s="6">
        <f>IF(ISERROR(VLOOKUP($S$958,'TAR FIN'!$A$1:$O$85,15,0)),0,VLOOKUP($S$958,'TAR FIN'!$A$1:$O$85,15,0))</f>
        <v>0</v>
      </c>
      <c r="W958" s="6">
        <f>IF(ISERROR(VLOOKUP($T$958,'TAR FIN'!$A$1:$O$85,15,0)),0,VLOOKUP($T$958,'TAR FIN'!$A$1:$O$85,15,0))</f>
        <v>259.20999999999998</v>
      </c>
      <c r="X958" s="6">
        <f>IF(ISERROR(VLOOKUP($U$958,'TAR FIN'!$A$1:$O$85,15,0)),0,VLOOKUP($U$958,'TAR FIN'!$A$1:$O$85,15,0))</f>
        <v>307.08</v>
      </c>
      <c r="Y958" s="6"/>
      <c r="Z958" s="6">
        <f ca="1">('TUSD BE'!$AM$47+'TUSD BF'!$AM$47+'TUSD CVA'!$AM$47)*1</f>
        <v>362.55114049612132</v>
      </c>
      <c r="AA958" s="6">
        <f>('TE BE'!$AB$37+'TE BF'!$AB$37+'TE CVA'!$AB$37)*1</f>
        <v>304.87027853653359</v>
      </c>
      <c r="AB958" s="6">
        <f>$K$958*$V$958</f>
        <v>0</v>
      </c>
      <c r="AC958" s="6">
        <f>$M$958*$W$958</f>
        <v>1228.3961899999999</v>
      </c>
      <c r="AD958" s="6">
        <f>$O$958*$X$958</f>
        <v>1455.2521199999999</v>
      </c>
      <c r="AE958" s="6">
        <f>$K$958*$Y$958</f>
        <v>0</v>
      </c>
      <c r="AF958" s="6">
        <f ca="1">$M$958*$Z$958</f>
        <v>1718.129854811119</v>
      </c>
      <c r="AG958" s="6">
        <f>$O$958*$AA$958</f>
        <v>1444.7802499846327</v>
      </c>
    </row>
    <row r="959" spans="1:33" ht="11.25" customHeight="1" x14ac:dyDescent="0.25">
      <c r="A959" s="4" t="s">
        <v>21</v>
      </c>
      <c r="B959" s="4" t="s">
        <v>37</v>
      </c>
      <c r="C959" s="4" t="s">
        <v>33</v>
      </c>
      <c r="D959" s="4" t="s">
        <v>41</v>
      </c>
      <c r="E959" s="4" t="s">
        <v>25</v>
      </c>
      <c r="F959" s="4" t="s">
        <v>25</v>
      </c>
      <c r="G959" s="4" t="s">
        <v>25</v>
      </c>
      <c r="H959" s="4" t="s">
        <v>35</v>
      </c>
      <c r="I959" s="5">
        <v>44470</v>
      </c>
      <c r="J959" s="6">
        <v>0</v>
      </c>
      <c r="K959" s="6">
        <v>0</v>
      </c>
      <c r="L959" s="6">
        <v>66.213999999999999</v>
      </c>
      <c r="M959" s="6">
        <v>66.213999999999999</v>
      </c>
      <c r="N959" s="6">
        <v>66.213999999999999</v>
      </c>
      <c r="O959" s="6">
        <v>66.213999999999999</v>
      </c>
      <c r="P959" s="6">
        <v>0</v>
      </c>
      <c r="Q959" s="4" t="s">
        <v>26</v>
      </c>
      <c r="R959" s="4">
        <v>0</v>
      </c>
      <c r="S959" s="6">
        <v>0</v>
      </c>
      <c r="T959" s="6">
        <v>43</v>
      </c>
      <c r="U959" s="6">
        <v>80</v>
      </c>
      <c r="V959" s="6">
        <f>IF(ISERROR(VLOOKUP($S$959,'TAR FIN'!$A$1:$O$85,15,0)),0,VLOOKUP($S$959,'TAR FIN'!$A$1:$O$85,15,0))</f>
        <v>0</v>
      </c>
      <c r="W959" s="6">
        <f>IF(ISERROR(VLOOKUP($T$959,'TAR FIN'!$A$1:$O$85,15,0)),0,VLOOKUP($T$959,'TAR FIN'!$A$1:$O$85,15,0))</f>
        <v>259.20999999999998</v>
      </c>
      <c r="X959" s="6">
        <f>IF(ISERROR(VLOOKUP($U$959,'TAR FIN'!$A$1:$O$85,15,0)),0,VLOOKUP($U$959,'TAR FIN'!$A$1:$O$85,15,0))</f>
        <v>307.08</v>
      </c>
      <c r="Y959" s="6"/>
      <c r="Z959" s="6">
        <f ca="1">('TUSD BE'!$AM$47+'TUSD BF'!$AM$47+'TUSD CVA'!$AM$47)*1</f>
        <v>362.55114049612132</v>
      </c>
      <c r="AA959" s="6">
        <f>('TE BE'!$AB$37+'TE BF'!$AB$37+'TE CVA'!$AB$37)*1</f>
        <v>304.87027853653359</v>
      </c>
      <c r="AB959" s="6">
        <f>$K$959*$V$959</f>
        <v>0</v>
      </c>
      <c r="AC959" s="6">
        <f>$M$959*$W$959</f>
        <v>17163.33094</v>
      </c>
      <c r="AD959" s="6">
        <f>$O$959*$X$959</f>
        <v>20332.99512</v>
      </c>
      <c r="AE959" s="6">
        <f>$K$959*$Y$959</f>
        <v>0</v>
      </c>
      <c r="AF959" s="6">
        <f ca="1">$M$959*$Z$959</f>
        <v>24005.961216810178</v>
      </c>
      <c r="AG959" s="6">
        <f>$O$959*$AA$959</f>
        <v>20186.680623018034</v>
      </c>
    </row>
    <row r="960" spans="1:33" ht="11.25" customHeight="1" x14ac:dyDescent="0.25">
      <c r="A960" s="4" t="s">
        <v>28</v>
      </c>
      <c r="B960" s="4" t="s">
        <v>37</v>
      </c>
      <c r="C960" s="4" t="s">
        <v>33</v>
      </c>
      <c r="D960" s="4" t="s">
        <v>41</v>
      </c>
      <c r="E960" s="4" t="s">
        <v>25</v>
      </c>
      <c r="F960" s="4" t="s">
        <v>25</v>
      </c>
      <c r="G960" s="4" t="s">
        <v>25</v>
      </c>
      <c r="H960" s="4" t="s">
        <v>35</v>
      </c>
      <c r="I960" s="5">
        <v>44470</v>
      </c>
      <c r="J960" s="6">
        <v>0</v>
      </c>
      <c r="K960" s="6">
        <v>0</v>
      </c>
      <c r="L960" s="6">
        <v>4.109</v>
      </c>
      <c r="M960" s="6">
        <v>4.109</v>
      </c>
      <c r="N960" s="6">
        <v>4.109</v>
      </c>
      <c r="O960" s="6">
        <v>4.109</v>
      </c>
      <c r="P960" s="6">
        <v>0</v>
      </c>
      <c r="Q960" s="4" t="s">
        <v>26</v>
      </c>
      <c r="R960" s="4">
        <v>0</v>
      </c>
      <c r="S960" s="6">
        <v>0</v>
      </c>
      <c r="T960" s="6">
        <v>43</v>
      </c>
      <c r="U960" s="6">
        <v>80</v>
      </c>
      <c r="V960" s="6">
        <f>IF(ISERROR(VLOOKUP($S$960,'TAR FIN'!$A$1:$O$85,15,0)),0,VLOOKUP($S$960,'TAR FIN'!$A$1:$O$85,15,0))</f>
        <v>0</v>
      </c>
      <c r="W960" s="6">
        <f>IF(ISERROR(VLOOKUP($T$960,'TAR FIN'!$A$1:$O$85,15,0)),0,VLOOKUP($T$960,'TAR FIN'!$A$1:$O$85,15,0))</f>
        <v>259.20999999999998</v>
      </c>
      <c r="X960" s="6">
        <f>IF(ISERROR(VLOOKUP($U$960,'TAR FIN'!$A$1:$O$85,15,0)),0,VLOOKUP($U$960,'TAR FIN'!$A$1:$O$85,15,0))</f>
        <v>307.08</v>
      </c>
      <c r="Y960" s="6"/>
      <c r="Z960" s="6">
        <f ca="1">('TUSD BE'!$AM$47+'TUSD BF'!$AM$47+'TUSD CVA'!$AM$47)*1</f>
        <v>362.55114049612132</v>
      </c>
      <c r="AA960" s="6">
        <f>('TE BE'!$AB$37+'TE BF'!$AB$37+'TE CVA'!$AB$37)*1</f>
        <v>304.87027853653359</v>
      </c>
      <c r="AB960" s="6">
        <f>$K$960*$V$960</f>
        <v>0</v>
      </c>
      <c r="AC960" s="6">
        <f>$M$960*$W$960</f>
        <v>1065.0938899999999</v>
      </c>
      <c r="AD960" s="6">
        <f>$O$960*$X$960</f>
        <v>1261.7917199999999</v>
      </c>
      <c r="AE960" s="6">
        <f>$K$960*$Y$960</f>
        <v>0</v>
      </c>
      <c r="AF960" s="6">
        <f ca="1">$M$960*$Z$960</f>
        <v>1489.7226362985625</v>
      </c>
      <c r="AG960" s="6">
        <f>$O$960*$AA$960</f>
        <v>1252.7119745066166</v>
      </c>
    </row>
    <row r="961" spans="1:33" ht="11.25" customHeight="1" x14ac:dyDescent="0.25">
      <c r="A961" s="4" t="s">
        <v>21</v>
      </c>
      <c r="B961" s="4" t="s">
        <v>37</v>
      </c>
      <c r="C961" s="4" t="s">
        <v>33</v>
      </c>
      <c r="D961" s="4" t="s">
        <v>41</v>
      </c>
      <c r="E961" s="4" t="s">
        <v>25</v>
      </c>
      <c r="F961" s="4" t="s">
        <v>25</v>
      </c>
      <c r="G961" s="4" t="s">
        <v>25</v>
      </c>
      <c r="H961" s="4" t="s">
        <v>35</v>
      </c>
      <c r="I961" s="5">
        <v>44501</v>
      </c>
      <c r="J961" s="6">
        <v>0</v>
      </c>
      <c r="K961" s="6">
        <v>0</v>
      </c>
      <c r="L961" s="6">
        <v>64.161000000000001</v>
      </c>
      <c r="M961" s="6">
        <v>64.161000000000001</v>
      </c>
      <c r="N961" s="6">
        <v>64.161000000000001</v>
      </c>
      <c r="O961" s="6">
        <v>64.161000000000001</v>
      </c>
      <c r="P961" s="6">
        <v>0</v>
      </c>
      <c r="Q961" s="4" t="s">
        <v>26</v>
      </c>
      <c r="R961" s="4">
        <v>0</v>
      </c>
      <c r="S961" s="6">
        <v>0</v>
      </c>
      <c r="T961" s="6">
        <v>43</v>
      </c>
      <c r="U961" s="6">
        <v>80</v>
      </c>
      <c r="V961" s="6">
        <f>IF(ISERROR(VLOOKUP($S$961,'TAR FIN'!$A$1:$O$85,15,0)),0,VLOOKUP($S$961,'TAR FIN'!$A$1:$O$85,15,0))</f>
        <v>0</v>
      </c>
      <c r="W961" s="6">
        <f>IF(ISERROR(VLOOKUP($T$961,'TAR FIN'!$A$1:$O$85,15,0)),0,VLOOKUP($T$961,'TAR FIN'!$A$1:$O$85,15,0))</f>
        <v>259.20999999999998</v>
      </c>
      <c r="X961" s="6">
        <f>IF(ISERROR(VLOOKUP($U$961,'TAR FIN'!$A$1:$O$85,15,0)),0,VLOOKUP($U$961,'TAR FIN'!$A$1:$O$85,15,0))</f>
        <v>307.08</v>
      </c>
      <c r="Y961" s="6"/>
      <c r="Z961" s="6">
        <f ca="1">('TUSD BE'!$AM$47+'TUSD BF'!$AM$47+'TUSD CVA'!$AM$47)*1</f>
        <v>362.55114049612132</v>
      </c>
      <c r="AA961" s="6">
        <f>('TE BE'!$AB$37+'TE BF'!$AB$37+'TE CVA'!$AB$37)*1</f>
        <v>304.87027853653359</v>
      </c>
      <c r="AB961" s="6">
        <f>$K$961*$V$961</f>
        <v>0</v>
      </c>
      <c r="AC961" s="6">
        <f>$M$961*$W$961</f>
        <v>16631.17281</v>
      </c>
      <c r="AD961" s="6">
        <f>$O$961*$X$961</f>
        <v>19702.559880000001</v>
      </c>
      <c r="AE961" s="6">
        <f>$K$961*$Y$961</f>
        <v>0</v>
      </c>
      <c r="AF961" s="6">
        <f ca="1">$M$961*$Z$961</f>
        <v>23261.643725371639</v>
      </c>
      <c r="AG961" s="6">
        <f>$O$961*$AA$961</f>
        <v>19560.781941182533</v>
      </c>
    </row>
    <row r="962" spans="1:33" ht="11.25" customHeight="1" x14ac:dyDescent="0.25">
      <c r="A962" s="4" t="s">
        <v>28</v>
      </c>
      <c r="B962" s="4" t="s">
        <v>37</v>
      </c>
      <c r="C962" s="4" t="s">
        <v>33</v>
      </c>
      <c r="D962" s="4" t="s">
        <v>41</v>
      </c>
      <c r="E962" s="4" t="s">
        <v>25</v>
      </c>
      <c r="F962" s="4" t="s">
        <v>25</v>
      </c>
      <c r="G962" s="4" t="s">
        <v>25</v>
      </c>
      <c r="H962" s="4" t="s">
        <v>35</v>
      </c>
      <c r="I962" s="5">
        <v>44501</v>
      </c>
      <c r="J962" s="6">
        <v>0</v>
      </c>
      <c r="K962" s="6">
        <v>0</v>
      </c>
      <c r="L962" s="6">
        <v>3.621</v>
      </c>
      <c r="M962" s="6">
        <v>3.621</v>
      </c>
      <c r="N962" s="6">
        <v>3.621</v>
      </c>
      <c r="O962" s="6">
        <v>3.621</v>
      </c>
      <c r="P962" s="6">
        <v>0</v>
      </c>
      <c r="Q962" s="4" t="s">
        <v>26</v>
      </c>
      <c r="R962" s="4">
        <v>0</v>
      </c>
      <c r="S962" s="6">
        <v>0</v>
      </c>
      <c r="T962" s="6">
        <v>43</v>
      </c>
      <c r="U962" s="6">
        <v>80</v>
      </c>
      <c r="V962" s="6">
        <f>IF(ISERROR(VLOOKUP($S$962,'TAR FIN'!$A$1:$O$85,15,0)),0,VLOOKUP($S$962,'TAR FIN'!$A$1:$O$85,15,0))</f>
        <v>0</v>
      </c>
      <c r="W962" s="6">
        <f>IF(ISERROR(VLOOKUP($T$962,'TAR FIN'!$A$1:$O$85,15,0)),0,VLOOKUP($T$962,'TAR FIN'!$A$1:$O$85,15,0))</f>
        <v>259.20999999999998</v>
      </c>
      <c r="X962" s="6">
        <f>IF(ISERROR(VLOOKUP($U$962,'TAR FIN'!$A$1:$O$85,15,0)),0,VLOOKUP($U$962,'TAR FIN'!$A$1:$O$85,15,0))</f>
        <v>307.08</v>
      </c>
      <c r="Y962" s="6"/>
      <c r="Z962" s="6">
        <f ca="1">('TUSD BE'!$AM$47+'TUSD BF'!$AM$47+'TUSD CVA'!$AM$47)*1</f>
        <v>362.55114049612132</v>
      </c>
      <c r="AA962" s="6">
        <f>('TE BE'!$AB$37+'TE BF'!$AB$37+'TE CVA'!$AB$37)*1</f>
        <v>304.87027853653359</v>
      </c>
      <c r="AB962" s="6">
        <f>$K$962*$V$962</f>
        <v>0</v>
      </c>
      <c r="AC962" s="6">
        <f>$M$962*$W$962</f>
        <v>938.59940999999992</v>
      </c>
      <c r="AD962" s="6">
        <f>$O$962*$X$962</f>
        <v>1111.93668</v>
      </c>
      <c r="AE962" s="6">
        <f>$K$962*$Y$962</f>
        <v>0</v>
      </c>
      <c r="AF962" s="6">
        <f ca="1">$M$962*$Z$962</f>
        <v>1312.7976797364554</v>
      </c>
      <c r="AG962" s="6">
        <f>$O$962*$AA$962</f>
        <v>1103.9352785807882</v>
      </c>
    </row>
    <row r="963" spans="1:33" ht="11.25" customHeight="1" x14ac:dyDescent="0.25">
      <c r="A963" s="4" t="s">
        <v>21</v>
      </c>
      <c r="B963" s="4" t="s">
        <v>37</v>
      </c>
      <c r="C963" s="4" t="s">
        <v>33</v>
      </c>
      <c r="D963" s="4" t="s">
        <v>41</v>
      </c>
      <c r="E963" s="4" t="s">
        <v>25</v>
      </c>
      <c r="F963" s="4" t="s">
        <v>25</v>
      </c>
      <c r="G963" s="4" t="s">
        <v>25</v>
      </c>
      <c r="H963" s="4" t="s">
        <v>35</v>
      </c>
      <c r="I963" s="5">
        <v>44531</v>
      </c>
      <c r="J963" s="6">
        <v>0</v>
      </c>
      <c r="K963" s="6">
        <v>0</v>
      </c>
      <c r="L963" s="6">
        <v>79.045000000000002</v>
      </c>
      <c r="M963" s="6">
        <v>79.045000000000002</v>
      </c>
      <c r="N963" s="6">
        <v>79.045000000000002</v>
      </c>
      <c r="O963" s="6">
        <v>79.045000000000002</v>
      </c>
      <c r="P963" s="6">
        <v>0</v>
      </c>
      <c r="Q963" s="4" t="s">
        <v>26</v>
      </c>
      <c r="R963" s="4">
        <v>0</v>
      </c>
      <c r="S963" s="6">
        <v>0</v>
      </c>
      <c r="T963" s="6">
        <v>43</v>
      </c>
      <c r="U963" s="6">
        <v>80</v>
      </c>
      <c r="V963" s="6">
        <f>IF(ISERROR(VLOOKUP($S$963,'TAR FIN'!$A$1:$O$85,15,0)),0,VLOOKUP($S$963,'TAR FIN'!$A$1:$O$85,15,0))</f>
        <v>0</v>
      </c>
      <c r="W963" s="6">
        <f>IF(ISERROR(VLOOKUP($T$963,'TAR FIN'!$A$1:$O$85,15,0)),0,VLOOKUP($T$963,'TAR FIN'!$A$1:$O$85,15,0))</f>
        <v>259.20999999999998</v>
      </c>
      <c r="X963" s="6">
        <f>IF(ISERROR(VLOOKUP($U$963,'TAR FIN'!$A$1:$O$85,15,0)),0,VLOOKUP($U$963,'TAR FIN'!$A$1:$O$85,15,0))</f>
        <v>307.08</v>
      </c>
      <c r="Y963" s="6"/>
      <c r="Z963" s="6">
        <f ca="1">('TUSD BE'!$AM$47+'TUSD BF'!$AM$47+'TUSD CVA'!$AM$47)*1</f>
        <v>362.55114049612132</v>
      </c>
      <c r="AA963" s="6">
        <f>('TE BE'!$AB$37+'TE BF'!$AB$37+'TE CVA'!$AB$37)*1</f>
        <v>304.87027853653359</v>
      </c>
      <c r="AB963" s="6">
        <f>$K$963*$V$963</f>
        <v>0</v>
      </c>
      <c r="AC963" s="6">
        <f>$M$963*$W$963</f>
        <v>20489.25445</v>
      </c>
      <c r="AD963" s="6">
        <f>$O$963*$X$963</f>
        <v>24273.138599999998</v>
      </c>
      <c r="AE963" s="6">
        <f>$K$963*$Y$963</f>
        <v>0</v>
      </c>
      <c r="AF963" s="6">
        <f ca="1">$M$963*$Z$963</f>
        <v>28657.854900515911</v>
      </c>
      <c r="AG963" s="6">
        <f>$O$963*$AA$963</f>
        <v>24098.471166920299</v>
      </c>
    </row>
    <row r="964" spans="1:33" ht="11.25" customHeight="1" x14ac:dyDescent="0.25">
      <c r="A964" s="4" t="s">
        <v>28</v>
      </c>
      <c r="B964" s="4" t="s">
        <v>37</v>
      </c>
      <c r="C964" s="4" t="s">
        <v>33</v>
      </c>
      <c r="D964" s="4" t="s">
        <v>41</v>
      </c>
      <c r="E964" s="4" t="s">
        <v>25</v>
      </c>
      <c r="F964" s="4" t="s">
        <v>25</v>
      </c>
      <c r="G964" s="4" t="s">
        <v>25</v>
      </c>
      <c r="H964" s="4" t="s">
        <v>35</v>
      </c>
      <c r="I964" s="5">
        <v>44531</v>
      </c>
      <c r="J964" s="6">
        <v>0</v>
      </c>
      <c r="K964" s="6">
        <v>0</v>
      </c>
      <c r="L964" s="6">
        <v>3.218</v>
      </c>
      <c r="M964" s="6">
        <v>3.218</v>
      </c>
      <c r="N964" s="6">
        <v>3.218</v>
      </c>
      <c r="O964" s="6">
        <v>3.218</v>
      </c>
      <c r="P964" s="6">
        <v>0</v>
      </c>
      <c r="Q964" s="4" t="s">
        <v>26</v>
      </c>
      <c r="R964" s="4">
        <v>0</v>
      </c>
      <c r="S964" s="6">
        <v>0</v>
      </c>
      <c r="T964" s="6">
        <v>43</v>
      </c>
      <c r="U964" s="6">
        <v>80</v>
      </c>
      <c r="V964" s="6">
        <f>IF(ISERROR(VLOOKUP($S$964,'TAR FIN'!$A$1:$O$85,15,0)),0,VLOOKUP($S$964,'TAR FIN'!$A$1:$O$85,15,0))</f>
        <v>0</v>
      </c>
      <c r="W964" s="6">
        <f>IF(ISERROR(VLOOKUP($T$964,'TAR FIN'!$A$1:$O$85,15,0)),0,VLOOKUP($T$964,'TAR FIN'!$A$1:$O$85,15,0))</f>
        <v>259.20999999999998</v>
      </c>
      <c r="X964" s="6">
        <f>IF(ISERROR(VLOOKUP($U$964,'TAR FIN'!$A$1:$O$85,15,0)),0,VLOOKUP($U$964,'TAR FIN'!$A$1:$O$85,15,0))</f>
        <v>307.08</v>
      </c>
      <c r="Y964" s="6"/>
      <c r="Z964" s="6">
        <f ca="1">('TUSD BE'!$AM$47+'TUSD BF'!$AM$47+'TUSD CVA'!$AM$47)*1</f>
        <v>362.55114049612132</v>
      </c>
      <c r="AA964" s="6">
        <f>('TE BE'!$AB$37+'TE BF'!$AB$37+'TE CVA'!$AB$37)*1</f>
        <v>304.87027853653359</v>
      </c>
      <c r="AB964" s="6">
        <f>$K$964*$V$964</f>
        <v>0</v>
      </c>
      <c r="AC964" s="6">
        <f>$M$964*$W$964</f>
        <v>834.13777999999991</v>
      </c>
      <c r="AD964" s="6">
        <f>$O$964*$X$964</f>
        <v>988.18343999999991</v>
      </c>
      <c r="AE964" s="6">
        <f>$K$964*$Y$964</f>
        <v>0</v>
      </c>
      <c r="AF964" s="6">
        <f ca="1">$M$964*$Z$964</f>
        <v>1166.6895701165183</v>
      </c>
      <c r="AG964" s="6">
        <f>$O$964*$AA$964</f>
        <v>981.07255633056513</v>
      </c>
    </row>
    <row r="965" spans="1:33" ht="11.25" customHeight="1" x14ac:dyDescent="0.25">
      <c r="A965" s="4" t="s">
        <v>21</v>
      </c>
      <c r="B965" s="4" t="s">
        <v>37</v>
      </c>
      <c r="C965" s="4" t="s">
        <v>33</v>
      </c>
      <c r="D965" s="4" t="s">
        <v>41</v>
      </c>
      <c r="E965" s="4" t="s">
        <v>25</v>
      </c>
      <c r="F965" s="4" t="s">
        <v>25</v>
      </c>
      <c r="G965" s="4" t="s">
        <v>25</v>
      </c>
      <c r="H965" s="4" t="s">
        <v>35</v>
      </c>
      <c r="I965" s="5">
        <v>44562</v>
      </c>
      <c r="J965" s="6">
        <v>0</v>
      </c>
      <c r="K965" s="6">
        <v>0</v>
      </c>
      <c r="L965" s="6">
        <v>75.718999999999994</v>
      </c>
      <c r="M965" s="6">
        <v>75.718999999999994</v>
      </c>
      <c r="N965" s="6">
        <v>75.718999999999994</v>
      </c>
      <c r="O965" s="6">
        <v>75.718999999999994</v>
      </c>
      <c r="P965" s="6">
        <v>0</v>
      </c>
      <c r="Q965" s="4" t="s">
        <v>26</v>
      </c>
      <c r="R965" s="4">
        <v>0</v>
      </c>
      <c r="S965" s="6">
        <v>0</v>
      </c>
      <c r="T965" s="6">
        <v>43</v>
      </c>
      <c r="U965" s="6">
        <v>80</v>
      </c>
      <c r="V965" s="6">
        <f>IF(ISERROR(VLOOKUP($S$965,'TAR FIN'!$A$1:$O$85,15,0)),0,VLOOKUP($S$965,'TAR FIN'!$A$1:$O$85,15,0))</f>
        <v>0</v>
      </c>
      <c r="W965" s="6">
        <f>IF(ISERROR(VLOOKUP($T$965,'TAR FIN'!$A$1:$O$85,15,0)),0,VLOOKUP($T$965,'TAR FIN'!$A$1:$O$85,15,0))</f>
        <v>259.20999999999998</v>
      </c>
      <c r="X965" s="6">
        <f>IF(ISERROR(VLOOKUP($U$965,'TAR FIN'!$A$1:$O$85,15,0)),0,VLOOKUP($U$965,'TAR FIN'!$A$1:$O$85,15,0))</f>
        <v>307.08</v>
      </c>
      <c r="Y965" s="6"/>
      <c r="Z965" s="6">
        <f ca="1">('TUSD BE'!$AM$47+'TUSD BF'!$AM$47+'TUSD CVA'!$AM$47)*1</f>
        <v>362.55114049612132</v>
      </c>
      <c r="AA965" s="6">
        <f>('TE BE'!$AB$37+'TE BF'!$AB$37+'TE CVA'!$AB$37)*1</f>
        <v>304.87027853653359</v>
      </c>
      <c r="AB965" s="6">
        <f>$K$965*$V$965</f>
        <v>0</v>
      </c>
      <c r="AC965" s="6">
        <f>$M$965*$W$965</f>
        <v>19627.121989999996</v>
      </c>
      <c r="AD965" s="6">
        <f>$O$965*$X$965</f>
        <v>23251.790519999999</v>
      </c>
      <c r="AE965" s="6">
        <f>$K$965*$Y$965</f>
        <v>0</v>
      </c>
      <c r="AF965" s="6">
        <f ca="1">$M$965*$Z$965</f>
        <v>27452.009807225808</v>
      </c>
      <c r="AG965" s="6">
        <f>$O$965*$AA$965</f>
        <v>23084.472620507786</v>
      </c>
    </row>
    <row r="966" spans="1:33" ht="11.25" customHeight="1" x14ac:dyDescent="0.25">
      <c r="A966" s="4" t="s">
        <v>27</v>
      </c>
      <c r="B966" s="4" t="s">
        <v>37</v>
      </c>
      <c r="C966" s="4" t="s">
        <v>33</v>
      </c>
      <c r="D966" s="4" t="s">
        <v>41</v>
      </c>
      <c r="E966" s="4" t="s">
        <v>25</v>
      </c>
      <c r="F966" s="4" t="s">
        <v>25</v>
      </c>
      <c r="G966" s="4" t="s">
        <v>25</v>
      </c>
      <c r="H966" s="4" t="s">
        <v>35</v>
      </c>
      <c r="I966" s="5">
        <v>44562</v>
      </c>
      <c r="J966" s="6">
        <v>0</v>
      </c>
      <c r="K966" s="6">
        <v>0</v>
      </c>
      <c r="L966" s="6">
        <v>-6</v>
      </c>
      <c r="M966" s="6">
        <v>-6</v>
      </c>
      <c r="N966" s="6">
        <v>-6</v>
      </c>
      <c r="O966" s="6">
        <v>-6</v>
      </c>
      <c r="P966" s="6">
        <v>0</v>
      </c>
      <c r="Q966" s="4" t="s">
        <v>26</v>
      </c>
      <c r="R966" s="4">
        <v>0</v>
      </c>
      <c r="S966" s="6">
        <v>0</v>
      </c>
      <c r="T966" s="6">
        <v>43</v>
      </c>
      <c r="U966" s="6">
        <v>80</v>
      </c>
      <c r="V966" s="6">
        <f>IF(ISERROR(VLOOKUP($S$966,'TAR FIN'!$A$1:$O$85,15,0)),0,VLOOKUP($S$966,'TAR FIN'!$A$1:$O$85,15,0))</f>
        <v>0</v>
      </c>
      <c r="W966" s="6">
        <f>IF(ISERROR(VLOOKUP($T$966,'TAR FIN'!$A$1:$O$85,15,0)),0,VLOOKUP($T$966,'TAR FIN'!$A$1:$O$85,15,0))</f>
        <v>259.20999999999998</v>
      </c>
      <c r="X966" s="6">
        <f>IF(ISERROR(VLOOKUP($U$966,'TAR FIN'!$A$1:$O$85,15,0)),0,VLOOKUP($U$966,'TAR FIN'!$A$1:$O$85,15,0))</f>
        <v>307.08</v>
      </c>
      <c r="Y966" s="6"/>
      <c r="Z966" s="6">
        <f ca="1">('TUSD BE'!$AM$47+'TUSD BF'!$AM$47+'TUSD CVA'!$AM$47)*1</f>
        <v>362.55114049612132</v>
      </c>
      <c r="AA966" s="6">
        <f>('TE BE'!$AB$37+'TE BF'!$AB$37+'TE CVA'!$AB$37)*1</f>
        <v>304.87027853653359</v>
      </c>
      <c r="AB966" s="6">
        <f>$K$966*$V$966</f>
        <v>0</v>
      </c>
      <c r="AC966" s="6">
        <f>$M$966*$W$966</f>
        <v>-1555.2599999999998</v>
      </c>
      <c r="AD966" s="6">
        <f>$O$966*$X$966</f>
        <v>-1842.48</v>
      </c>
      <c r="AE966" s="6">
        <f>$K$966*$Y$966</f>
        <v>0</v>
      </c>
      <c r="AF966" s="6">
        <f ca="1">$M$966*$Z$966</f>
        <v>-2175.3068429767281</v>
      </c>
      <c r="AG966" s="6">
        <f>$O$966*$AA$966</f>
        <v>-1829.2216712192017</v>
      </c>
    </row>
    <row r="967" spans="1:33" ht="11.25" customHeight="1" x14ac:dyDescent="0.25">
      <c r="A967" s="4" t="s">
        <v>28</v>
      </c>
      <c r="B967" s="4" t="s">
        <v>37</v>
      </c>
      <c r="C967" s="4" t="s">
        <v>33</v>
      </c>
      <c r="D967" s="4" t="s">
        <v>41</v>
      </c>
      <c r="E967" s="4" t="s">
        <v>25</v>
      </c>
      <c r="F967" s="4" t="s">
        <v>25</v>
      </c>
      <c r="G967" s="4" t="s">
        <v>25</v>
      </c>
      <c r="H967" s="4" t="s">
        <v>35</v>
      </c>
      <c r="I967" s="5">
        <v>44562</v>
      </c>
      <c r="J967" s="6">
        <v>0</v>
      </c>
      <c r="K967" s="6">
        <v>0</v>
      </c>
      <c r="L967" s="6">
        <v>0.57799999999999996</v>
      </c>
      <c r="M967" s="6">
        <v>0.57799999999999996</v>
      </c>
      <c r="N967" s="6">
        <v>0.57799999999999996</v>
      </c>
      <c r="O967" s="6">
        <v>0.57799999999999996</v>
      </c>
      <c r="P967" s="6">
        <v>0</v>
      </c>
      <c r="Q967" s="4" t="s">
        <v>26</v>
      </c>
      <c r="R967" s="4">
        <v>0</v>
      </c>
      <c r="S967" s="6">
        <v>0</v>
      </c>
      <c r="T967" s="6">
        <v>43</v>
      </c>
      <c r="U967" s="6">
        <v>80</v>
      </c>
      <c r="V967" s="6">
        <f>IF(ISERROR(VLOOKUP($S$967,'TAR FIN'!$A$1:$O$85,15,0)),0,VLOOKUP($S$967,'TAR FIN'!$A$1:$O$85,15,0))</f>
        <v>0</v>
      </c>
      <c r="W967" s="6">
        <f>IF(ISERROR(VLOOKUP($T$967,'TAR FIN'!$A$1:$O$85,15,0)),0,VLOOKUP($T$967,'TAR FIN'!$A$1:$O$85,15,0))</f>
        <v>259.20999999999998</v>
      </c>
      <c r="X967" s="6">
        <f>IF(ISERROR(VLOOKUP($U$967,'TAR FIN'!$A$1:$O$85,15,0)),0,VLOOKUP($U$967,'TAR FIN'!$A$1:$O$85,15,0))</f>
        <v>307.08</v>
      </c>
      <c r="Y967" s="6"/>
      <c r="Z967" s="6">
        <f ca="1">('TUSD BE'!$AM$47+'TUSD BF'!$AM$47+'TUSD CVA'!$AM$47)*1</f>
        <v>362.55114049612132</v>
      </c>
      <c r="AA967" s="6">
        <f>('TE BE'!$AB$37+'TE BF'!$AB$37+'TE CVA'!$AB$37)*1</f>
        <v>304.87027853653359</v>
      </c>
      <c r="AB967" s="6">
        <f>$K$967*$V$967</f>
        <v>0</v>
      </c>
      <c r="AC967" s="6">
        <f>$M$967*$W$967</f>
        <v>149.82337999999999</v>
      </c>
      <c r="AD967" s="6">
        <f>$O$967*$X$967</f>
        <v>177.49223999999998</v>
      </c>
      <c r="AE967" s="6">
        <f>$K$967*$Y$967</f>
        <v>0</v>
      </c>
      <c r="AF967" s="6">
        <f ca="1">$M$967*$Z$967</f>
        <v>209.55455920675811</v>
      </c>
      <c r="AG967" s="6">
        <f>$O$967*$AA$967</f>
        <v>176.2150209941164</v>
      </c>
    </row>
    <row r="968" spans="1:33" ht="11.25" customHeight="1" x14ac:dyDescent="0.25">
      <c r="A968" s="4" t="s">
        <v>21</v>
      </c>
      <c r="B968" s="4" t="s">
        <v>37</v>
      </c>
      <c r="C968" s="4" t="s">
        <v>33</v>
      </c>
      <c r="D968" s="4" t="s">
        <v>41</v>
      </c>
      <c r="E968" s="4" t="s">
        <v>25</v>
      </c>
      <c r="F968" s="4" t="s">
        <v>25</v>
      </c>
      <c r="G968" s="4" t="s">
        <v>25</v>
      </c>
      <c r="H968" s="4" t="s">
        <v>35</v>
      </c>
      <c r="I968" s="5">
        <v>44593</v>
      </c>
      <c r="J968" s="6">
        <v>0</v>
      </c>
      <c r="K968" s="6">
        <v>0</v>
      </c>
      <c r="L968" s="6">
        <v>84.117000000000004</v>
      </c>
      <c r="M968" s="6">
        <v>84.117000000000004</v>
      </c>
      <c r="N968" s="6">
        <v>84.117000000000004</v>
      </c>
      <c r="O968" s="6">
        <v>84.117000000000004</v>
      </c>
      <c r="P968" s="6">
        <v>0</v>
      </c>
      <c r="Q968" s="4" t="s">
        <v>26</v>
      </c>
      <c r="R968" s="4">
        <v>0</v>
      </c>
      <c r="S968" s="6">
        <v>0</v>
      </c>
      <c r="T968" s="6">
        <v>43</v>
      </c>
      <c r="U968" s="6">
        <v>80</v>
      </c>
      <c r="V968" s="6">
        <f>IF(ISERROR(VLOOKUP($S$968,'TAR FIN'!$A$1:$O$85,15,0)),0,VLOOKUP($S$968,'TAR FIN'!$A$1:$O$85,15,0))</f>
        <v>0</v>
      </c>
      <c r="W968" s="6">
        <f>IF(ISERROR(VLOOKUP($T$968,'TAR FIN'!$A$1:$O$85,15,0)),0,VLOOKUP($T$968,'TAR FIN'!$A$1:$O$85,15,0))</f>
        <v>259.20999999999998</v>
      </c>
      <c r="X968" s="6">
        <f>IF(ISERROR(VLOOKUP($U$968,'TAR FIN'!$A$1:$O$85,15,0)),0,VLOOKUP($U$968,'TAR FIN'!$A$1:$O$85,15,0))</f>
        <v>307.08</v>
      </c>
      <c r="Y968" s="6"/>
      <c r="Z968" s="6">
        <f ca="1">('TUSD BE'!$AM$47+'TUSD BF'!$AM$47+'TUSD CVA'!$AM$47)*1</f>
        <v>362.55114049612132</v>
      </c>
      <c r="AA968" s="6">
        <f>('TE BE'!$AB$37+'TE BF'!$AB$37+'TE CVA'!$AB$37)*1</f>
        <v>304.87027853653359</v>
      </c>
      <c r="AB968" s="6">
        <f>$K$968*$V$968</f>
        <v>0</v>
      </c>
      <c r="AC968" s="6">
        <f>$M$968*$W$968</f>
        <v>21803.967570000001</v>
      </c>
      <c r="AD968" s="6">
        <f>$O$968*$X$968</f>
        <v>25830.648359999999</v>
      </c>
      <c r="AE968" s="6">
        <f>$K$968*$Y$968</f>
        <v>0</v>
      </c>
      <c r="AF968" s="6">
        <f ca="1">$M$968*$Z$968</f>
        <v>30496.714285112237</v>
      </c>
      <c r="AG968" s="6">
        <f>$O$968*$AA$968</f>
        <v>25644.773219657596</v>
      </c>
    </row>
    <row r="969" spans="1:33" ht="11.25" customHeight="1" x14ac:dyDescent="0.25">
      <c r="A969" s="4" t="s">
        <v>28</v>
      </c>
      <c r="B969" s="4" t="s">
        <v>37</v>
      </c>
      <c r="C969" s="4" t="s">
        <v>33</v>
      </c>
      <c r="D969" s="4" t="s">
        <v>41</v>
      </c>
      <c r="E969" s="4" t="s">
        <v>25</v>
      </c>
      <c r="F969" s="4" t="s">
        <v>25</v>
      </c>
      <c r="G969" s="4" t="s">
        <v>25</v>
      </c>
      <c r="H969" s="4" t="s">
        <v>35</v>
      </c>
      <c r="I969" s="5">
        <v>44593</v>
      </c>
      <c r="J969" s="6">
        <v>0</v>
      </c>
      <c r="K969" s="6">
        <v>0</v>
      </c>
      <c r="L969" s="6">
        <v>2.6680000000000001</v>
      </c>
      <c r="M969" s="6">
        <v>2.6680000000000001</v>
      </c>
      <c r="N969" s="6">
        <v>2.6680000000000001</v>
      </c>
      <c r="O969" s="6">
        <v>2.6680000000000001</v>
      </c>
      <c r="P969" s="6">
        <v>0</v>
      </c>
      <c r="Q969" s="4" t="s">
        <v>26</v>
      </c>
      <c r="R969" s="4">
        <v>0</v>
      </c>
      <c r="S969" s="6">
        <v>0</v>
      </c>
      <c r="T969" s="6">
        <v>43</v>
      </c>
      <c r="U969" s="6">
        <v>80</v>
      </c>
      <c r="V969" s="6">
        <f>IF(ISERROR(VLOOKUP($S$969,'TAR FIN'!$A$1:$O$85,15,0)),0,VLOOKUP($S$969,'TAR FIN'!$A$1:$O$85,15,0))</f>
        <v>0</v>
      </c>
      <c r="W969" s="6">
        <f>IF(ISERROR(VLOOKUP($T$969,'TAR FIN'!$A$1:$O$85,15,0)),0,VLOOKUP($T$969,'TAR FIN'!$A$1:$O$85,15,0))</f>
        <v>259.20999999999998</v>
      </c>
      <c r="X969" s="6">
        <f>IF(ISERROR(VLOOKUP($U$969,'TAR FIN'!$A$1:$O$85,15,0)),0,VLOOKUP($U$969,'TAR FIN'!$A$1:$O$85,15,0))</f>
        <v>307.08</v>
      </c>
      <c r="Y969" s="6"/>
      <c r="Z969" s="6">
        <f ca="1">('TUSD BE'!$AM$47+'TUSD BF'!$AM$47+'TUSD CVA'!$AM$47)*1</f>
        <v>362.55114049612132</v>
      </c>
      <c r="AA969" s="6">
        <f>('TE BE'!$AB$37+'TE BF'!$AB$37+'TE CVA'!$AB$37)*1</f>
        <v>304.87027853653359</v>
      </c>
      <c r="AB969" s="6">
        <f>$K$969*$V$969</f>
        <v>0</v>
      </c>
      <c r="AC969" s="6">
        <f>$M$969*$W$969</f>
        <v>691.57227999999998</v>
      </c>
      <c r="AD969" s="6">
        <f>$O$969*$X$969</f>
        <v>819.28944000000001</v>
      </c>
      <c r="AE969" s="6">
        <f>$K$969*$Y$969</f>
        <v>0</v>
      </c>
      <c r="AF969" s="6">
        <f ca="1">$M$969*$Z$969</f>
        <v>967.28644284365168</v>
      </c>
      <c r="AG969" s="6">
        <f>$O$969*$AA$969</f>
        <v>813.39390313547165</v>
      </c>
    </row>
    <row r="970" spans="1:33" ht="11.25" customHeight="1" x14ac:dyDescent="0.25">
      <c r="A970" s="4" t="s">
        <v>21</v>
      </c>
      <c r="B970" s="4" t="s">
        <v>37</v>
      </c>
      <c r="C970" s="4" t="s">
        <v>33</v>
      </c>
      <c r="D970" s="4" t="s">
        <v>41</v>
      </c>
      <c r="E970" s="4" t="s">
        <v>25</v>
      </c>
      <c r="F970" s="4" t="s">
        <v>25</v>
      </c>
      <c r="G970" s="4" t="s">
        <v>25</v>
      </c>
      <c r="H970" s="4" t="s">
        <v>35</v>
      </c>
      <c r="I970" s="5">
        <v>44621</v>
      </c>
      <c r="J970" s="6">
        <v>0</v>
      </c>
      <c r="K970" s="6">
        <v>0</v>
      </c>
      <c r="L970" s="6">
        <v>81.427000000000007</v>
      </c>
      <c r="M970" s="6">
        <v>81.427000000000007</v>
      </c>
      <c r="N970" s="6">
        <v>81.427000000000007</v>
      </c>
      <c r="O970" s="6">
        <v>81.427000000000007</v>
      </c>
      <c r="P970" s="6">
        <v>0</v>
      </c>
      <c r="Q970" s="4" t="s">
        <v>26</v>
      </c>
      <c r="R970" s="4">
        <v>0</v>
      </c>
      <c r="S970" s="6">
        <v>0</v>
      </c>
      <c r="T970" s="6">
        <v>43</v>
      </c>
      <c r="U970" s="6">
        <v>80</v>
      </c>
      <c r="V970" s="6">
        <f>IF(ISERROR(VLOOKUP($S$970,'TAR FIN'!$A$1:$O$85,15,0)),0,VLOOKUP($S$970,'TAR FIN'!$A$1:$O$85,15,0))</f>
        <v>0</v>
      </c>
      <c r="W970" s="6">
        <f>IF(ISERROR(VLOOKUP($T$970,'TAR FIN'!$A$1:$O$85,15,0)),0,VLOOKUP($T$970,'TAR FIN'!$A$1:$O$85,15,0))</f>
        <v>259.20999999999998</v>
      </c>
      <c r="X970" s="6">
        <f>IF(ISERROR(VLOOKUP($U$970,'TAR FIN'!$A$1:$O$85,15,0)),0,VLOOKUP($U$970,'TAR FIN'!$A$1:$O$85,15,0))</f>
        <v>307.08</v>
      </c>
      <c r="Y970" s="6"/>
      <c r="Z970" s="6">
        <f ca="1">('TUSD BE'!$AM$47+'TUSD BF'!$AM$47+'TUSD CVA'!$AM$47)*1</f>
        <v>362.55114049612132</v>
      </c>
      <c r="AA970" s="6">
        <f>('TE BE'!$AB$37+'TE BF'!$AB$37+'TE CVA'!$AB$37)*1</f>
        <v>304.87027853653359</v>
      </c>
      <c r="AB970" s="6">
        <f>$K$970*$V$970</f>
        <v>0</v>
      </c>
      <c r="AC970" s="6">
        <f>$M$970*$W$970</f>
        <v>21106.69267</v>
      </c>
      <c r="AD970" s="6">
        <f>$O$970*$X$970</f>
        <v>25004.603160000002</v>
      </c>
      <c r="AE970" s="6">
        <f>$K$970*$Y$970</f>
        <v>0</v>
      </c>
      <c r="AF970" s="6">
        <f ca="1">$M$970*$Z$970</f>
        <v>29521.451717177672</v>
      </c>
      <c r="AG970" s="6">
        <f>$O$970*$AA$970</f>
        <v>24824.672170394322</v>
      </c>
    </row>
    <row r="971" spans="1:33" ht="11.25" customHeight="1" x14ac:dyDescent="0.25">
      <c r="A971" s="4" t="s">
        <v>28</v>
      </c>
      <c r="B971" s="4" t="s">
        <v>37</v>
      </c>
      <c r="C971" s="4" t="s">
        <v>33</v>
      </c>
      <c r="D971" s="4" t="s">
        <v>41</v>
      </c>
      <c r="E971" s="4" t="s">
        <v>25</v>
      </c>
      <c r="F971" s="4" t="s">
        <v>25</v>
      </c>
      <c r="G971" s="4" t="s">
        <v>25</v>
      </c>
      <c r="H971" s="4" t="s">
        <v>35</v>
      </c>
      <c r="I971" s="5">
        <v>44621</v>
      </c>
      <c r="J971" s="6">
        <v>0</v>
      </c>
      <c r="K971" s="6">
        <v>0</v>
      </c>
      <c r="L971" s="6">
        <v>2.2469999999999999</v>
      </c>
      <c r="M971" s="6">
        <v>2.2469999999999999</v>
      </c>
      <c r="N971" s="6">
        <v>2.2469999999999999</v>
      </c>
      <c r="O971" s="6">
        <v>2.2469999999999999</v>
      </c>
      <c r="P971" s="6">
        <v>0</v>
      </c>
      <c r="Q971" s="4" t="s">
        <v>26</v>
      </c>
      <c r="R971" s="4">
        <v>0</v>
      </c>
      <c r="S971" s="6">
        <v>0</v>
      </c>
      <c r="T971" s="6">
        <v>43</v>
      </c>
      <c r="U971" s="6">
        <v>80</v>
      </c>
      <c r="V971" s="6">
        <f>IF(ISERROR(VLOOKUP($S$971,'TAR FIN'!$A$1:$O$85,15,0)),0,VLOOKUP($S$971,'TAR FIN'!$A$1:$O$85,15,0))</f>
        <v>0</v>
      </c>
      <c r="W971" s="6">
        <f>IF(ISERROR(VLOOKUP($T$971,'TAR FIN'!$A$1:$O$85,15,0)),0,VLOOKUP($T$971,'TAR FIN'!$A$1:$O$85,15,0))</f>
        <v>259.20999999999998</v>
      </c>
      <c r="X971" s="6">
        <f>IF(ISERROR(VLOOKUP($U$971,'TAR FIN'!$A$1:$O$85,15,0)),0,VLOOKUP($U$971,'TAR FIN'!$A$1:$O$85,15,0))</f>
        <v>307.08</v>
      </c>
      <c r="Y971" s="6"/>
      <c r="Z971" s="6">
        <f ca="1">('TUSD BE'!$AM$47+'TUSD BF'!$AM$47+'TUSD CVA'!$AM$47)*1</f>
        <v>362.55114049612132</v>
      </c>
      <c r="AA971" s="6">
        <f>('TE BE'!$AB$37+'TE BF'!$AB$37+'TE CVA'!$AB$37)*1</f>
        <v>304.87027853653359</v>
      </c>
      <c r="AB971" s="6">
        <f>$K$971*$V$971</f>
        <v>0</v>
      </c>
      <c r="AC971" s="6">
        <f>$M$971*$W$971</f>
        <v>582.44486999999992</v>
      </c>
      <c r="AD971" s="6">
        <f>$O$971*$X$971</f>
        <v>690.00875999999994</v>
      </c>
      <c r="AE971" s="6">
        <f>$K$971*$Y$971</f>
        <v>0</v>
      </c>
      <c r="AF971" s="6">
        <f ca="1">$M$971*$Z$971</f>
        <v>814.65241269478452</v>
      </c>
      <c r="AG971" s="6">
        <f>$O$971*$AA$971</f>
        <v>685.0435158715909</v>
      </c>
    </row>
    <row r="972" spans="1:33" ht="11.25" customHeight="1" x14ac:dyDescent="0.25">
      <c r="A972" s="4" t="s">
        <v>21</v>
      </c>
      <c r="B972" s="4" t="s">
        <v>37</v>
      </c>
      <c r="C972" s="4" t="s">
        <v>33</v>
      </c>
      <c r="D972" s="4" t="s">
        <v>41</v>
      </c>
      <c r="E972" s="4" t="s">
        <v>25</v>
      </c>
      <c r="F972" s="4" t="s">
        <v>25</v>
      </c>
      <c r="G972" s="4" t="s">
        <v>25</v>
      </c>
      <c r="H972" s="4" t="s">
        <v>35</v>
      </c>
      <c r="I972" s="5">
        <v>44652</v>
      </c>
      <c r="J972" s="6">
        <v>0</v>
      </c>
      <c r="K972" s="6">
        <v>0</v>
      </c>
      <c r="L972" s="6">
        <v>84.117999999999995</v>
      </c>
      <c r="M972" s="6">
        <v>84.117999999999995</v>
      </c>
      <c r="N972" s="6">
        <v>84.117999999999995</v>
      </c>
      <c r="O972" s="6">
        <v>84.117999999999995</v>
      </c>
      <c r="P972" s="6">
        <v>0</v>
      </c>
      <c r="Q972" s="4" t="s">
        <v>26</v>
      </c>
      <c r="R972" s="4">
        <v>0</v>
      </c>
      <c r="S972" s="6">
        <v>0</v>
      </c>
      <c r="T972" s="6">
        <v>43</v>
      </c>
      <c r="U972" s="6">
        <v>80</v>
      </c>
      <c r="V972" s="6">
        <f>IF(ISERROR(VLOOKUP($S$972,'TAR FIN'!$A$1:$O$85,15,0)),0,VLOOKUP($S$972,'TAR FIN'!$A$1:$O$85,15,0))</f>
        <v>0</v>
      </c>
      <c r="W972" s="6">
        <f>IF(ISERROR(VLOOKUP($T$972,'TAR FIN'!$A$1:$O$85,15,0)),0,VLOOKUP($T$972,'TAR FIN'!$A$1:$O$85,15,0))</f>
        <v>259.20999999999998</v>
      </c>
      <c r="X972" s="6">
        <f>IF(ISERROR(VLOOKUP($U$972,'TAR FIN'!$A$1:$O$85,15,0)),0,VLOOKUP($U$972,'TAR FIN'!$A$1:$O$85,15,0))</f>
        <v>307.08</v>
      </c>
      <c r="Y972" s="6"/>
      <c r="Z972" s="6">
        <f ca="1">('TUSD BE'!$AM$47+'TUSD BF'!$AM$47+'TUSD CVA'!$AM$47)*1</f>
        <v>362.55114049612132</v>
      </c>
      <c r="AA972" s="6">
        <f>('TE BE'!$AB$37+'TE BF'!$AB$37+'TE CVA'!$AB$37)*1</f>
        <v>304.87027853653359</v>
      </c>
      <c r="AB972" s="6">
        <f>$K$972*$V$972</f>
        <v>0</v>
      </c>
      <c r="AC972" s="6">
        <f>$M$972*$W$972</f>
        <v>21804.226779999997</v>
      </c>
      <c r="AD972" s="6">
        <f>$O$972*$X$972</f>
        <v>25830.955439999998</v>
      </c>
      <c r="AE972" s="6">
        <f>$K$972*$Y$972</f>
        <v>0</v>
      </c>
      <c r="AF972" s="6">
        <f ca="1">$M$972*$Z$972</f>
        <v>30497.076836252731</v>
      </c>
      <c r="AG972" s="6">
        <f>$O$972*$AA$972</f>
        <v>25645.078089936131</v>
      </c>
    </row>
    <row r="973" spans="1:33" ht="11.25" customHeight="1" x14ac:dyDescent="0.25">
      <c r="A973" s="4" t="s">
        <v>28</v>
      </c>
      <c r="B973" s="4" t="s">
        <v>37</v>
      </c>
      <c r="C973" s="4" t="s">
        <v>33</v>
      </c>
      <c r="D973" s="4" t="s">
        <v>41</v>
      </c>
      <c r="E973" s="4" t="s">
        <v>25</v>
      </c>
      <c r="F973" s="4" t="s">
        <v>25</v>
      </c>
      <c r="G973" s="4" t="s">
        <v>25</v>
      </c>
      <c r="H973" s="4" t="s">
        <v>35</v>
      </c>
      <c r="I973" s="5">
        <v>44652</v>
      </c>
      <c r="J973" s="6">
        <v>0</v>
      </c>
      <c r="K973" s="6">
        <v>0</v>
      </c>
      <c r="L973" s="6">
        <v>1.849</v>
      </c>
      <c r="M973" s="6">
        <v>1.849</v>
      </c>
      <c r="N973" s="6">
        <v>1.849</v>
      </c>
      <c r="O973" s="6">
        <v>1.849</v>
      </c>
      <c r="P973" s="6">
        <v>0</v>
      </c>
      <c r="Q973" s="4" t="s">
        <v>26</v>
      </c>
      <c r="R973" s="4">
        <v>0</v>
      </c>
      <c r="S973" s="6">
        <v>0</v>
      </c>
      <c r="T973" s="6">
        <v>43</v>
      </c>
      <c r="U973" s="6">
        <v>80</v>
      </c>
      <c r="V973" s="6">
        <f>IF(ISERROR(VLOOKUP($S$973,'TAR FIN'!$A$1:$O$85,15,0)),0,VLOOKUP($S$973,'TAR FIN'!$A$1:$O$85,15,0))</f>
        <v>0</v>
      </c>
      <c r="W973" s="6">
        <f>IF(ISERROR(VLOOKUP($T$973,'TAR FIN'!$A$1:$O$85,15,0)),0,VLOOKUP($T$973,'TAR FIN'!$A$1:$O$85,15,0))</f>
        <v>259.20999999999998</v>
      </c>
      <c r="X973" s="6">
        <f>IF(ISERROR(VLOOKUP($U$973,'TAR FIN'!$A$1:$O$85,15,0)),0,VLOOKUP($U$973,'TAR FIN'!$A$1:$O$85,15,0))</f>
        <v>307.08</v>
      </c>
      <c r="Y973" s="6"/>
      <c r="Z973" s="6">
        <f ca="1">('TUSD BE'!$AM$47+'TUSD BF'!$AM$47+'TUSD CVA'!$AM$47)*1</f>
        <v>362.55114049612132</v>
      </c>
      <c r="AA973" s="6">
        <f>('TE BE'!$AB$37+'TE BF'!$AB$37+'TE CVA'!$AB$37)*1</f>
        <v>304.87027853653359</v>
      </c>
      <c r="AB973" s="6">
        <f>$K$973*$V$973</f>
        <v>0</v>
      </c>
      <c r="AC973" s="6">
        <f>$M$973*$W$973</f>
        <v>479.27928999999995</v>
      </c>
      <c r="AD973" s="6">
        <f>$O$973*$X$973</f>
        <v>567.79091999999991</v>
      </c>
      <c r="AE973" s="6">
        <f>$K$973*$Y$973</f>
        <v>0</v>
      </c>
      <c r="AF973" s="6">
        <f ca="1">$M$973*$Z$973</f>
        <v>670.35705877732835</v>
      </c>
      <c r="AG973" s="6">
        <f>$O$973*$AA$973</f>
        <v>563.70514501405057</v>
      </c>
    </row>
    <row r="974" spans="1:33" ht="11.25" customHeight="1" x14ac:dyDescent="0.25">
      <c r="A974" s="4" t="s">
        <v>21</v>
      </c>
      <c r="B974" s="4" t="s">
        <v>37</v>
      </c>
      <c r="C974" s="4" t="s">
        <v>33</v>
      </c>
      <c r="D974" s="4" t="s">
        <v>41</v>
      </c>
      <c r="E974" s="4" t="s">
        <v>25</v>
      </c>
      <c r="F974" s="4" t="s">
        <v>25</v>
      </c>
      <c r="G974" s="4" t="s">
        <v>25</v>
      </c>
      <c r="H974" s="4" t="s">
        <v>35</v>
      </c>
      <c r="I974" s="5">
        <v>44682</v>
      </c>
      <c r="J974" s="6">
        <v>0</v>
      </c>
      <c r="K974" s="6">
        <v>0</v>
      </c>
      <c r="L974" s="6">
        <v>69.53</v>
      </c>
      <c r="M974" s="6">
        <v>69.53</v>
      </c>
      <c r="N974" s="6">
        <v>69.53</v>
      </c>
      <c r="O974" s="6">
        <v>69.53</v>
      </c>
      <c r="P974" s="6">
        <v>0</v>
      </c>
      <c r="Q974" s="4" t="s">
        <v>26</v>
      </c>
      <c r="R974" s="4">
        <v>0</v>
      </c>
      <c r="S974" s="6">
        <v>0</v>
      </c>
      <c r="T974" s="6">
        <v>43</v>
      </c>
      <c r="U974" s="6">
        <v>80</v>
      </c>
      <c r="V974" s="6">
        <f>IF(ISERROR(VLOOKUP($S$974,'TAR FIN'!$A$1:$O$85,15,0)),0,VLOOKUP($S$974,'TAR FIN'!$A$1:$O$85,15,0))</f>
        <v>0</v>
      </c>
      <c r="W974" s="6">
        <f>IF(ISERROR(VLOOKUP($T$974,'TAR FIN'!$A$1:$O$85,15,0)),0,VLOOKUP($T$974,'TAR FIN'!$A$1:$O$85,15,0))</f>
        <v>259.20999999999998</v>
      </c>
      <c r="X974" s="6">
        <f>IF(ISERROR(VLOOKUP($U$974,'TAR FIN'!$A$1:$O$85,15,0)),0,VLOOKUP($U$974,'TAR FIN'!$A$1:$O$85,15,0))</f>
        <v>307.08</v>
      </c>
      <c r="Y974" s="6"/>
      <c r="Z974" s="6">
        <f ca="1">('TUSD BE'!$AM$47+'TUSD BF'!$AM$47+'TUSD CVA'!$AM$47)*1</f>
        <v>362.55114049612132</v>
      </c>
      <c r="AA974" s="6">
        <f>('TE BE'!$AB$37+'TE BF'!$AB$37+'TE CVA'!$AB$37)*1</f>
        <v>304.87027853653359</v>
      </c>
      <c r="AB974" s="6">
        <f>$K$974*$V$974</f>
        <v>0</v>
      </c>
      <c r="AC974" s="6">
        <f>$M$974*$W$974</f>
        <v>18022.871299999999</v>
      </c>
      <c r="AD974" s="6">
        <f>$O$974*$X$974</f>
        <v>21351.272399999998</v>
      </c>
      <c r="AE974" s="6">
        <f>$K$974*$Y$974</f>
        <v>0</v>
      </c>
      <c r="AF974" s="6">
        <f ca="1">$M$974*$Z$974</f>
        <v>25208.180798695317</v>
      </c>
      <c r="AG974" s="6">
        <f>$O$974*$AA$974</f>
        <v>21197.63046664518</v>
      </c>
    </row>
    <row r="975" spans="1:33" ht="11.25" customHeight="1" x14ac:dyDescent="0.25">
      <c r="A975" s="4" t="s">
        <v>28</v>
      </c>
      <c r="B975" s="4" t="s">
        <v>37</v>
      </c>
      <c r="C975" s="4" t="s">
        <v>33</v>
      </c>
      <c r="D975" s="4" t="s">
        <v>41</v>
      </c>
      <c r="E975" s="4" t="s">
        <v>25</v>
      </c>
      <c r="F975" s="4" t="s">
        <v>25</v>
      </c>
      <c r="G975" s="4" t="s">
        <v>25</v>
      </c>
      <c r="H975" s="4" t="s">
        <v>35</v>
      </c>
      <c r="I975" s="5">
        <v>44682</v>
      </c>
      <c r="J975" s="6">
        <v>0</v>
      </c>
      <c r="K975" s="6">
        <v>0</v>
      </c>
      <c r="L975" s="6">
        <v>3.597</v>
      </c>
      <c r="M975" s="6">
        <v>3.597</v>
      </c>
      <c r="N975" s="6">
        <v>3.597</v>
      </c>
      <c r="O975" s="6">
        <v>3.597</v>
      </c>
      <c r="P975" s="6">
        <v>0</v>
      </c>
      <c r="Q975" s="4" t="s">
        <v>26</v>
      </c>
      <c r="R975" s="4">
        <v>0</v>
      </c>
      <c r="S975" s="6">
        <v>0</v>
      </c>
      <c r="T975" s="6">
        <v>43</v>
      </c>
      <c r="U975" s="6">
        <v>80</v>
      </c>
      <c r="V975" s="6">
        <f>IF(ISERROR(VLOOKUP($S$975,'TAR FIN'!$A$1:$O$85,15,0)),0,VLOOKUP($S$975,'TAR FIN'!$A$1:$O$85,15,0))</f>
        <v>0</v>
      </c>
      <c r="W975" s="6">
        <f>IF(ISERROR(VLOOKUP($T$975,'TAR FIN'!$A$1:$O$85,15,0)),0,VLOOKUP($T$975,'TAR FIN'!$A$1:$O$85,15,0))</f>
        <v>259.20999999999998</v>
      </c>
      <c r="X975" s="6">
        <f>IF(ISERROR(VLOOKUP($U$975,'TAR FIN'!$A$1:$O$85,15,0)),0,VLOOKUP($U$975,'TAR FIN'!$A$1:$O$85,15,0))</f>
        <v>307.08</v>
      </c>
      <c r="Y975" s="6"/>
      <c r="Z975" s="6">
        <f ca="1">('TUSD BE'!$AM$47+'TUSD BF'!$AM$47+'TUSD CVA'!$AM$47)*1</f>
        <v>362.55114049612132</v>
      </c>
      <c r="AA975" s="6">
        <f>('TE BE'!$AB$37+'TE BF'!$AB$37+'TE CVA'!$AB$37)*1</f>
        <v>304.87027853653359</v>
      </c>
      <c r="AB975" s="6">
        <f>$K$975*$V$975</f>
        <v>0</v>
      </c>
      <c r="AC975" s="6">
        <f>$M$975*$W$975</f>
        <v>932.3783699999999</v>
      </c>
      <c r="AD975" s="6">
        <f>$O$975*$X$975</f>
        <v>1104.5667599999999</v>
      </c>
      <c r="AE975" s="6">
        <f>$K$975*$Y$975</f>
        <v>0</v>
      </c>
      <c r="AF975" s="6">
        <f ca="1">$M$975*$Z$975</f>
        <v>1304.0964523645484</v>
      </c>
      <c r="AG975" s="6">
        <f>$O$975*$AA$975</f>
        <v>1096.6183918959114</v>
      </c>
    </row>
    <row r="976" spans="1:33" ht="11.25" customHeight="1" x14ac:dyDescent="0.25">
      <c r="A976" s="4" t="s">
        <v>21</v>
      </c>
      <c r="B976" s="4" t="s">
        <v>37</v>
      </c>
      <c r="C976" s="4" t="s">
        <v>33</v>
      </c>
      <c r="D976" s="4" t="s">
        <v>41</v>
      </c>
      <c r="E976" s="4" t="s">
        <v>25</v>
      </c>
      <c r="F976" s="4" t="s">
        <v>25</v>
      </c>
      <c r="G976" s="4" t="s">
        <v>25</v>
      </c>
      <c r="H976" s="4" t="s">
        <v>35</v>
      </c>
      <c r="I976" s="5">
        <v>44713</v>
      </c>
      <c r="J976" s="6">
        <v>0</v>
      </c>
      <c r="K976" s="6">
        <v>0</v>
      </c>
      <c r="L976" s="6">
        <v>50.558</v>
      </c>
      <c r="M976" s="6">
        <v>50.558</v>
      </c>
      <c r="N976" s="6">
        <v>50.558</v>
      </c>
      <c r="O976" s="6">
        <v>50.558</v>
      </c>
      <c r="P976" s="6">
        <v>0</v>
      </c>
      <c r="Q976" s="4" t="s">
        <v>26</v>
      </c>
      <c r="R976" s="4">
        <v>0</v>
      </c>
      <c r="S976" s="6">
        <v>0</v>
      </c>
      <c r="T976" s="6">
        <v>43</v>
      </c>
      <c r="U976" s="6">
        <v>80</v>
      </c>
      <c r="V976" s="6">
        <f>IF(ISERROR(VLOOKUP($S$976,'TAR FIN'!$A$1:$O$85,15,0)),0,VLOOKUP($S$976,'TAR FIN'!$A$1:$O$85,15,0))</f>
        <v>0</v>
      </c>
      <c r="W976" s="6">
        <f>IF(ISERROR(VLOOKUP($T$976,'TAR FIN'!$A$1:$O$85,15,0)),0,VLOOKUP($T$976,'TAR FIN'!$A$1:$O$85,15,0))</f>
        <v>259.20999999999998</v>
      </c>
      <c r="X976" s="6">
        <f>IF(ISERROR(VLOOKUP($U$976,'TAR FIN'!$A$1:$O$85,15,0)),0,VLOOKUP($U$976,'TAR FIN'!$A$1:$O$85,15,0))</f>
        <v>307.08</v>
      </c>
      <c r="Y976" s="6"/>
      <c r="Z976" s="6">
        <f ca="1">('TUSD BE'!$AM$47+'TUSD BF'!$AM$47+'TUSD CVA'!$AM$47)*1</f>
        <v>362.55114049612132</v>
      </c>
      <c r="AA976" s="6">
        <f>('TE BE'!$AB$37+'TE BF'!$AB$37+'TE CVA'!$AB$37)*1</f>
        <v>304.87027853653359</v>
      </c>
      <c r="AB976" s="6">
        <f>$K$976*$V$976</f>
        <v>0</v>
      </c>
      <c r="AC976" s="6">
        <f>$M$976*$W$976</f>
        <v>13105.139179999998</v>
      </c>
      <c r="AD976" s="6">
        <f>$O$976*$X$976</f>
        <v>15525.350639999999</v>
      </c>
      <c r="AE976" s="6">
        <f>$K$976*$Y$976</f>
        <v>0</v>
      </c>
      <c r="AF976" s="6">
        <f ca="1">$M$976*$Z$976</f>
        <v>18329.860561202902</v>
      </c>
      <c r="AG976" s="6">
        <f>$O$976*$AA$976</f>
        <v>15413.631542250065</v>
      </c>
    </row>
    <row r="977" spans="1:33" ht="11.25" customHeight="1" x14ac:dyDescent="0.25">
      <c r="A977" s="4" t="s">
        <v>28</v>
      </c>
      <c r="B977" s="4" t="s">
        <v>37</v>
      </c>
      <c r="C977" s="4" t="s">
        <v>33</v>
      </c>
      <c r="D977" s="4" t="s">
        <v>41</v>
      </c>
      <c r="E977" s="4" t="s">
        <v>25</v>
      </c>
      <c r="F977" s="4" t="s">
        <v>25</v>
      </c>
      <c r="G977" s="4" t="s">
        <v>25</v>
      </c>
      <c r="H977" s="4" t="s">
        <v>35</v>
      </c>
      <c r="I977" s="5">
        <v>44713</v>
      </c>
      <c r="J977" s="6">
        <v>0</v>
      </c>
      <c r="K977" s="6">
        <v>0</v>
      </c>
      <c r="L977" s="6">
        <v>3.012</v>
      </c>
      <c r="M977" s="6">
        <v>3.012</v>
      </c>
      <c r="N977" s="6">
        <v>3.012</v>
      </c>
      <c r="O977" s="6">
        <v>3.012</v>
      </c>
      <c r="P977" s="6">
        <v>0</v>
      </c>
      <c r="Q977" s="4" t="s">
        <v>26</v>
      </c>
      <c r="R977" s="4">
        <v>0</v>
      </c>
      <c r="S977" s="6">
        <v>0</v>
      </c>
      <c r="T977" s="6">
        <v>43</v>
      </c>
      <c r="U977" s="6">
        <v>80</v>
      </c>
      <c r="V977" s="6">
        <f>IF(ISERROR(VLOOKUP($S$977,'TAR FIN'!$A$1:$O$85,15,0)),0,VLOOKUP($S$977,'TAR FIN'!$A$1:$O$85,15,0))</f>
        <v>0</v>
      </c>
      <c r="W977" s="6">
        <f>IF(ISERROR(VLOOKUP($T$977,'TAR FIN'!$A$1:$O$85,15,0)),0,VLOOKUP($T$977,'TAR FIN'!$A$1:$O$85,15,0))</f>
        <v>259.20999999999998</v>
      </c>
      <c r="X977" s="6">
        <f>IF(ISERROR(VLOOKUP($U$977,'TAR FIN'!$A$1:$O$85,15,0)),0,VLOOKUP($U$977,'TAR FIN'!$A$1:$O$85,15,0))</f>
        <v>307.08</v>
      </c>
      <c r="Y977" s="6"/>
      <c r="Z977" s="6">
        <f ca="1">('TUSD BE'!$AM$47+'TUSD BF'!$AM$47+'TUSD CVA'!$AM$47)*1</f>
        <v>362.55114049612132</v>
      </c>
      <c r="AA977" s="6">
        <f>('TE BE'!$AB$37+'TE BF'!$AB$37+'TE CVA'!$AB$37)*1</f>
        <v>304.87027853653359</v>
      </c>
      <c r="AB977" s="6">
        <f>$K$977*$V$977</f>
        <v>0</v>
      </c>
      <c r="AC977" s="6">
        <f>$M$977*$W$977</f>
        <v>780.74051999999995</v>
      </c>
      <c r="AD977" s="6">
        <f>$O$977*$X$977</f>
        <v>924.92495999999994</v>
      </c>
      <c r="AE977" s="6">
        <f>$K$977*$Y$977</f>
        <v>0</v>
      </c>
      <c r="AF977" s="6">
        <f ca="1">$M$977*$Z$977</f>
        <v>1092.0040351743173</v>
      </c>
      <c r="AG977" s="6">
        <f>$O$977*$AA$977</f>
        <v>918.26927895203914</v>
      </c>
    </row>
    <row r="978" spans="1:33" ht="11.25" customHeight="1" x14ac:dyDescent="0.25">
      <c r="A978" s="4" t="s">
        <v>21</v>
      </c>
      <c r="B978" s="4" t="s">
        <v>37</v>
      </c>
      <c r="C978" s="4" t="s">
        <v>33</v>
      </c>
      <c r="D978" s="4" t="s">
        <v>41</v>
      </c>
      <c r="E978" s="4" t="s">
        <v>25</v>
      </c>
      <c r="F978" s="4" t="s">
        <v>25</v>
      </c>
      <c r="G978" s="4" t="s">
        <v>25</v>
      </c>
      <c r="H978" s="4" t="s">
        <v>35</v>
      </c>
      <c r="I978" s="5">
        <v>44743</v>
      </c>
      <c r="J978" s="6">
        <v>0</v>
      </c>
      <c r="K978" s="6">
        <v>0</v>
      </c>
      <c r="L978" s="6">
        <v>41.808</v>
      </c>
      <c r="M978" s="6">
        <v>41.808</v>
      </c>
      <c r="N978" s="6">
        <v>41.808</v>
      </c>
      <c r="O978" s="6">
        <v>41.808</v>
      </c>
      <c r="P978" s="6">
        <v>0</v>
      </c>
      <c r="Q978" s="4" t="s">
        <v>26</v>
      </c>
      <c r="R978" s="4">
        <v>0</v>
      </c>
      <c r="S978" s="6">
        <v>0</v>
      </c>
      <c r="T978" s="6">
        <v>43</v>
      </c>
      <c r="U978" s="6">
        <v>80</v>
      </c>
      <c r="V978" s="6">
        <f>IF(ISERROR(VLOOKUP($S$978,'TAR FIN'!$A$1:$O$85,15,0)),0,VLOOKUP($S$978,'TAR FIN'!$A$1:$O$85,15,0))</f>
        <v>0</v>
      </c>
      <c r="W978" s="6">
        <f>IF(ISERROR(VLOOKUP($T$978,'TAR FIN'!$A$1:$O$85,15,0)),0,VLOOKUP($T$978,'TAR FIN'!$A$1:$O$85,15,0))</f>
        <v>259.20999999999998</v>
      </c>
      <c r="X978" s="6">
        <f>IF(ISERROR(VLOOKUP($U$978,'TAR FIN'!$A$1:$O$85,15,0)),0,VLOOKUP($U$978,'TAR FIN'!$A$1:$O$85,15,0))</f>
        <v>307.08</v>
      </c>
      <c r="Y978" s="6"/>
      <c r="Z978" s="6">
        <f ca="1">('TUSD BE'!$AM$47+'TUSD BF'!$AM$47+'TUSD CVA'!$AM$47)*1</f>
        <v>362.55114049612132</v>
      </c>
      <c r="AA978" s="6">
        <f>('TE BE'!$AB$37+'TE BF'!$AB$37+'TE CVA'!$AB$37)*1</f>
        <v>304.87027853653359</v>
      </c>
      <c r="AB978" s="6">
        <f>$K$978*$V$978</f>
        <v>0</v>
      </c>
      <c r="AC978" s="6">
        <f>$M$978*$W$978</f>
        <v>10837.051679999999</v>
      </c>
      <c r="AD978" s="6">
        <f>$O$978*$X$978</f>
        <v>12838.40064</v>
      </c>
      <c r="AE978" s="6">
        <f>$K$978*$Y$978</f>
        <v>0</v>
      </c>
      <c r="AF978" s="6">
        <f ca="1">$M$978*$Z$978</f>
        <v>15157.53808186184</v>
      </c>
      <c r="AG978" s="6">
        <f>$O$978*$AA$978</f>
        <v>12746.016605055396</v>
      </c>
    </row>
    <row r="979" spans="1:33" ht="11.25" customHeight="1" x14ac:dyDescent="0.25">
      <c r="A979" s="4" t="s">
        <v>28</v>
      </c>
      <c r="B979" s="4" t="s">
        <v>37</v>
      </c>
      <c r="C979" s="4" t="s">
        <v>33</v>
      </c>
      <c r="D979" s="4" t="s">
        <v>41</v>
      </c>
      <c r="E979" s="4" t="s">
        <v>25</v>
      </c>
      <c r="F979" s="4" t="s">
        <v>25</v>
      </c>
      <c r="G979" s="4" t="s">
        <v>25</v>
      </c>
      <c r="H979" s="4" t="s">
        <v>35</v>
      </c>
      <c r="I979" s="5">
        <v>44743</v>
      </c>
      <c r="J979" s="6">
        <v>0</v>
      </c>
      <c r="K979" s="6">
        <v>0</v>
      </c>
      <c r="L979" s="6">
        <v>7.38</v>
      </c>
      <c r="M979" s="6">
        <v>7.38</v>
      </c>
      <c r="N979" s="6">
        <v>7.38</v>
      </c>
      <c r="O979" s="6">
        <v>7.38</v>
      </c>
      <c r="P979" s="6">
        <v>0</v>
      </c>
      <c r="Q979" s="4" t="s">
        <v>26</v>
      </c>
      <c r="R979" s="4">
        <v>0</v>
      </c>
      <c r="S979" s="6">
        <v>0</v>
      </c>
      <c r="T979" s="6">
        <v>43</v>
      </c>
      <c r="U979" s="6">
        <v>80</v>
      </c>
      <c r="V979" s="6">
        <f>IF(ISERROR(VLOOKUP($S$979,'TAR FIN'!$A$1:$O$85,15,0)),0,VLOOKUP($S$979,'TAR FIN'!$A$1:$O$85,15,0))</f>
        <v>0</v>
      </c>
      <c r="W979" s="6">
        <f>IF(ISERROR(VLOOKUP($T$979,'TAR FIN'!$A$1:$O$85,15,0)),0,VLOOKUP($T$979,'TAR FIN'!$A$1:$O$85,15,0))</f>
        <v>259.20999999999998</v>
      </c>
      <c r="X979" s="6">
        <f>IF(ISERROR(VLOOKUP($U$979,'TAR FIN'!$A$1:$O$85,15,0)),0,VLOOKUP($U$979,'TAR FIN'!$A$1:$O$85,15,0))</f>
        <v>307.08</v>
      </c>
      <c r="Y979" s="6"/>
      <c r="Z979" s="6">
        <f ca="1">('TUSD BE'!$AM$47+'TUSD BF'!$AM$47+'TUSD CVA'!$AM$47)*1</f>
        <v>362.55114049612132</v>
      </c>
      <c r="AA979" s="6">
        <f>('TE BE'!$AB$37+'TE BF'!$AB$37+'TE CVA'!$AB$37)*1</f>
        <v>304.87027853653359</v>
      </c>
      <c r="AB979" s="6">
        <f>$K$979*$V$979</f>
        <v>0</v>
      </c>
      <c r="AC979" s="6">
        <f>$M$979*$W$979</f>
        <v>1912.9697999999999</v>
      </c>
      <c r="AD979" s="6">
        <f>$O$979*$X$979</f>
        <v>2266.2503999999999</v>
      </c>
      <c r="AE979" s="6">
        <f>$K$979*$Y$979</f>
        <v>0</v>
      </c>
      <c r="AF979" s="6">
        <f ca="1">$M$979*$Z$979</f>
        <v>2675.6274168613754</v>
      </c>
      <c r="AG979" s="6">
        <f>$O$979*$AA$979</f>
        <v>2249.9426555996179</v>
      </c>
    </row>
    <row r="980" spans="1:33" ht="11.25" customHeight="1" x14ac:dyDescent="0.25">
      <c r="A980" s="4" t="s">
        <v>56</v>
      </c>
      <c r="B980" s="4" t="s">
        <v>37</v>
      </c>
      <c r="C980" s="4" t="s">
        <v>33</v>
      </c>
      <c r="D980" s="4" t="s">
        <v>41</v>
      </c>
      <c r="E980" s="4" t="s">
        <v>25</v>
      </c>
      <c r="F980" s="4" t="s">
        <v>25</v>
      </c>
      <c r="G980" s="4" t="s">
        <v>25</v>
      </c>
      <c r="H980" s="4" t="s">
        <v>35</v>
      </c>
      <c r="I980" s="5">
        <v>44774</v>
      </c>
      <c r="J980" s="6">
        <v>0</v>
      </c>
      <c r="K980" s="6">
        <v>0</v>
      </c>
      <c r="L980" s="6">
        <v>41.808</v>
      </c>
      <c r="M980" s="6">
        <v>41.808</v>
      </c>
      <c r="N980" s="6">
        <v>41.808</v>
      </c>
      <c r="O980" s="6">
        <v>41.808</v>
      </c>
      <c r="P980" s="6">
        <v>0</v>
      </c>
      <c r="Q980" s="4" t="s">
        <v>26</v>
      </c>
      <c r="R980" s="4">
        <v>0</v>
      </c>
      <c r="S980" s="6">
        <v>0</v>
      </c>
      <c r="T980" s="6">
        <v>43</v>
      </c>
      <c r="U980" s="6">
        <v>80</v>
      </c>
      <c r="V980" s="6">
        <f>IF(ISERROR(VLOOKUP($S$980,'TAR FIN'!$A$1:$O$85,15,0)),0,VLOOKUP($S$980,'TAR FIN'!$A$1:$O$85,15,0))</f>
        <v>0</v>
      </c>
      <c r="W980" s="6">
        <f>IF(ISERROR(VLOOKUP($T$980,'TAR FIN'!$A$1:$O$85,15,0)),0,VLOOKUP($T$980,'TAR FIN'!$A$1:$O$85,15,0))</f>
        <v>259.20999999999998</v>
      </c>
      <c r="X980" s="6">
        <f>IF(ISERROR(VLOOKUP($U$980,'TAR FIN'!$A$1:$O$85,15,0)),0,VLOOKUP($U$980,'TAR FIN'!$A$1:$O$85,15,0))</f>
        <v>307.08</v>
      </c>
      <c r="Y980" s="6"/>
      <c r="Z980" s="6">
        <f ca="1">('TUSD BE'!$AM$47+'TUSD BF'!$AM$47+'TUSD CVA'!$AM$47)*1</f>
        <v>362.55114049612132</v>
      </c>
      <c r="AA980" s="6">
        <f>('TE BE'!$AB$37+'TE BF'!$AB$37+'TE CVA'!$AB$37)*1</f>
        <v>304.87027853653359</v>
      </c>
      <c r="AB980" s="6">
        <f>$K$980*$V$980</f>
        <v>0</v>
      </c>
      <c r="AC980" s="6">
        <f>$M$980*$W$980</f>
        <v>10837.051679999999</v>
      </c>
      <c r="AD980" s="6">
        <f>$O$980*$X$980</f>
        <v>12838.40064</v>
      </c>
      <c r="AE980" s="6">
        <f>$K$980*$Y$980</f>
        <v>0</v>
      </c>
      <c r="AF980" s="6">
        <f ca="1">$M$980*$Z$980</f>
        <v>15157.53808186184</v>
      </c>
      <c r="AG980" s="6">
        <f>$O$980*$AA$980</f>
        <v>12746.016605055396</v>
      </c>
    </row>
    <row r="981" spans="1:33" ht="11.25" customHeight="1" x14ac:dyDescent="0.25">
      <c r="A981" s="4" t="s">
        <v>56</v>
      </c>
      <c r="B981" s="4" t="s">
        <v>37</v>
      </c>
      <c r="C981" s="4" t="s">
        <v>33</v>
      </c>
      <c r="D981" s="4" t="s">
        <v>41</v>
      </c>
      <c r="E981" s="4" t="s">
        <v>25</v>
      </c>
      <c r="F981" s="4" t="s">
        <v>25</v>
      </c>
      <c r="G981" s="4" t="s">
        <v>25</v>
      </c>
      <c r="H981" s="4" t="s">
        <v>35</v>
      </c>
      <c r="I981" s="5">
        <v>44774</v>
      </c>
      <c r="J981" s="6">
        <v>0</v>
      </c>
      <c r="K981" s="6">
        <v>0</v>
      </c>
      <c r="L981" s="6">
        <v>7.38</v>
      </c>
      <c r="M981" s="6">
        <v>7.38</v>
      </c>
      <c r="N981" s="6">
        <v>7.38</v>
      </c>
      <c r="O981" s="6">
        <v>7.38</v>
      </c>
      <c r="P981" s="6">
        <v>0</v>
      </c>
      <c r="Q981" s="4" t="s">
        <v>26</v>
      </c>
      <c r="R981" s="4">
        <v>0</v>
      </c>
      <c r="S981" s="6">
        <v>0</v>
      </c>
      <c r="T981" s="6">
        <v>43</v>
      </c>
      <c r="U981" s="6">
        <v>80</v>
      </c>
      <c r="V981" s="6">
        <f>IF(ISERROR(VLOOKUP($S$981,'TAR FIN'!$A$1:$O$85,15,0)),0,VLOOKUP($S$981,'TAR FIN'!$A$1:$O$85,15,0))</f>
        <v>0</v>
      </c>
      <c r="W981" s="6">
        <f>IF(ISERROR(VLOOKUP($T$981,'TAR FIN'!$A$1:$O$85,15,0)),0,VLOOKUP($T$981,'TAR FIN'!$A$1:$O$85,15,0))</f>
        <v>259.20999999999998</v>
      </c>
      <c r="X981" s="6">
        <f>IF(ISERROR(VLOOKUP($U$981,'TAR FIN'!$A$1:$O$85,15,0)),0,VLOOKUP($U$981,'TAR FIN'!$A$1:$O$85,15,0))</f>
        <v>307.08</v>
      </c>
      <c r="Y981" s="6"/>
      <c r="Z981" s="6">
        <f ca="1">('TUSD BE'!$AM$47+'TUSD BF'!$AM$47+'TUSD CVA'!$AM$47)*1</f>
        <v>362.55114049612132</v>
      </c>
      <c r="AA981" s="6">
        <f>('TE BE'!$AB$37+'TE BF'!$AB$37+'TE CVA'!$AB$37)*1</f>
        <v>304.87027853653359</v>
      </c>
      <c r="AB981" s="6">
        <f>$K$981*$V$981</f>
        <v>0</v>
      </c>
      <c r="AC981" s="6">
        <f>$M$981*$W$981</f>
        <v>1912.9697999999999</v>
      </c>
      <c r="AD981" s="6">
        <f>$O$981*$X$981</f>
        <v>2266.2503999999999</v>
      </c>
      <c r="AE981" s="6">
        <f>$K$981*$Y$981</f>
        <v>0</v>
      </c>
      <c r="AF981" s="6">
        <f ca="1">$M$981*$Z$981</f>
        <v>2675.6274168613754</v>
      </c>
      <c r="AG981" s="6">
        <f>$O$981*$AA$981</f>
        <v>2249.9426555996179</v>
      </c>
    </row>
    <row r="982" spans="1:33" ht="11.25" customHeight="1" x14ac:dyDescent="0.25">
      <c r="A982" s="4" t="s">
        <v>21</v>
      </c>
      <c r="B982" s="4" t="s">
        <v>37</v>
      </c>
      <c r="C982" s="4" t="s">
        <v>33</v>
      </c>
      <c r="D982" s="4" t="s">
        <v>41</v>
      </c>
      <c r="E982" s="4" t="s">
        <v>25</v>
      </c>
      <c r="F982" s="4" t="s">
        <v>25</v>
      </c>
      <c r="G982" s="4" t="s">
        <v>25</v>
      </c>
      <c r="H982" s="4" t="s">
        <v>36</v>
      </c>
      <c r="I982" s="5">
        <v>44440</v>
      </c>
      <c r="J982" s="6">
        <v>0</v>
      </c>
      <c r="K982" s="6">
        <v>0</v>
      </c>
      <c r="L982" s="6">
        <v>3.05</v>
      </c>
      <c r="M982" s="6">
        <v>3.05</v>
      </c>
      <c r="N982" s="6">
        <v>3.05</v>
      </c>
      <c r="O982" s="6">
        <v>3.05</v>
      </c>
      <c r="P982" s="6">
        <v>0</v>
      </c>
      <c r="Q982" s="4" t="s">
        <v>26</v>
      </c>
      <c r="R982" s="4">
        <v>0</v>
      </c>
      <c r="S982" s="6">
        <v>0</v>
      </c>
      <c r="T982" s="6">
        <v>42</v>
      </c>
      <c r="U982" s="6">
        <v>79</v>
      </c>
      <c r="V982" s="6">
        <f>IF(ISERROR(VLOOKUP($S$982,'TAR FIN'!$A$1:$O$85,15,0)),0,VLOOKUP($S$982,'TAR FIN'!$A$1:$O$85,15,0))</f>
        <v>0</v>
      </c>
      <c r="W982" s="6">
        <f>IF(ISERROR(VLOOKUP($T$982,'TAR FIN'!$A$1:$O$85,15,0)),0,VLOOKUP($T$982,'TAR FIN'!$A$1:$O$85,15,0))</f>
        <v>580.75</v>
      </c>
      <c r="X982" s="6">
        <f>IF(ISERROR(VLOOKUP($U$982,'TAR FIN'!$A$1:$O$85,15,0)),0,VLOOKUP($U$982,'TAR FIN'!$A$1:$O$85,15,0))</f>
        <v>307.08</v>
      </c>
      <c r="Y982" s="6"/>
      <c r="Z982" s="6">
        <f ca="1">('TUSD BE'!$AM$46+'TUSD BF'!$AM$46+'TUSD CVA'!$AM$46)*1</f>
        <v>716.33643413012067</v>
      </c>
      <c r="AA982" s="6">
        <f>('TE BE'!$AB$36+'TE BF'!$AB$36+'TE CVA'!$AB$36)*1</f>
        <v>304.87027853653359</v>
      </c>
      <c r="AB982" s="6">
        <f>$K$982*$V$982</f>
        <v>0</v>
      </c>
      <c r="AC982" s="6">
        <f>$M$982*$W$982</f>
        <v>1771.2874999999999</v>
      </c>
      <c r="AD982" s="6">
        <f>$O$982*$X$982</f>
        <v>936.59399999999994</v>
      </c>
      <c r="AE982" s="6">
        <f>$K$982*$Y$982</f>
        <v>0</v>
      </c>
      <c r="AF982" s="6">
        <f ca="1">$M$982*$Z$982</f>
        <v>2184.8261240968677</v>
      </c>
      <c r="AG982" s="6">
        <f>$O$982*$AA$982</f>
        <v>929.85434953642743</v>
      </c>
    </row>
    <row r="983" spans="1:33" ht="11.25" customHeight="1" x14ac:dyDescent="0.25">
      <c r="A983" s="4" t="s">
        <v>28</v>
      </c>
      <c r="B983" s="4" t="s">
        <v>37</v>
      </c>
      <c r="C983" s="4" t="s">
        <v>33</v>
      </c>
      <c r="D983" s="4" t="s">
        <v>41</v>
      </c>
      <c r="E983" s="4" t="s">
        <v>25</v>
      </c>
      <c r="F983" s="4" t="s">
        <v>25</v>
      </c>
      <c r="G983" s="4" t="s">
        <v>25</v>
      </c>
      <c r="H983" s="4" t="s">
        <v>36</v>
      </c>
      <c r="I983" s="5">
        <v>44440</v>
      </c>
      <c r="J983" s="6">
        <v>0</v>
      </c>
      <c r="K983" s="6">
        <v>0</v>
      </c>
      <c r="L983" s="6">
        <v>0.152</v>
      </c>
      <c r="M983" s="6">
        <v>0.152</v>
      </c>
      <c r="N983" s="6">
        <v>0.152</v>
      </c>
      <c r="O983" s="6">
        <v>0.152</v>
      </c>
      <c r="P983" s="6">
        <v>0</v>
      </c>
      <c r="Q983" s="4" t="s">
        <v>26</v>
      </c>
      <c r="R983" s="4">
        <v>0</v>
      </c>
      <c r="S983" s="6">
        <v>0</v>
      </c>
      <c r="T983" s="6">
        <v>42</v>
      </c>
      <c r="U983" s="6">
        <v>79</v>
      </c>
      <c r="V983" s="6">
        <f>IF(ISERROR(VLOOKUP($S$983,'TAR FIN'!$A$1:$O$85,15,0)),0,VLOOKUP($S$983,'TAR FIN'!$A$1:$O$85,15,0))</f>
        <v>0</v>
      </c>
      <c r="W983" s="6">
        <f>IF(ISERROR(VLOOKUP($T$983,'TAR FIN'!$A$1:$O$85,15,0)),0,VLOOKUP($T$983,'TAR FIN'!$A$1:$O$85,15,0))</f>
        <v>580.75</v>
      </c>
      <c r="X983" s="6">
        <f>IF(ISERROR(VLOOKUP($U$983,'TAR FIN'!$A$1:$O$85,15,0)),0,VLOOKUP($U$983,'TAR FIN'!$A$1:$O$85,15,0))</f>
        <v>307.08</v>
      </c>
      <c r="Y983" s="6"/>
      <c r="Z983" s="6">
        <f ca="1">('TUSD BE'!$AM$46+'TUSD BF'!$AM$46+'TUSD CVA'!$AM$46)*1</f>
        <v>716.33643413012067</v>
      </c>
      <c r="AA983" s="6">
        <f>('TE BE'!$AB$36+'TE BF'!$AB$36+'TE CVA'!$AB$36)*1</f>
        <v>304.87027853653359</v>
      </c>
      <c r="AB983" s="6">
        <f>$K$983*$V$983</f>
        <v>0</v>
      </c>
      <c r="AC983" s="6">
        <f>$M$983*$W$983</f>
        <v>88.274000000000001</v>
      </c>
      <c r="AD983" s="6">
        <f>$O$983*$X$983</f>
        <v>46.676159999999996</v>
      </c>
      <c r="AE983" s="6">
        <f>$K$983*$Y$983</f>
        <v>0</v>
      </c>
      <c r="AF983" s="6">
        <f ca="1">$M$983*$Z$983</f>
        <v>108.88313798777834</v>
      </c>
      <c r="AG983" s="6">
        <f>$O$983*$AA$983</f>
        <v>46.340282337553106</v>
      </c>
    </row>
    <row r="984" spans="1:33" ht="11.25" customHeight="1" x14ac:dyDescent="0.25">
      <c r="A984" s="4" t="s">
        <v>21</v>
      </c>
      <c r="B984" s="4" t="s">
        <v>37</v>
      </c>
      <c r="C984" s="4" t="s">
        <v>33</v>
      </c>
      <c r="D984" s="4" t="s">
        <v>41</v>
      </c>
      <c r="E984" s="4" t="s">
        <v>25</v>
      </c>
      <c r="F984" s="4" t="s">
        <v>25</v>
      </c>
      <c r="G984" s="4" t="s">
        <v>25</v>
      </c>
      <c r="H984" s="4" t="s">
        <v>36</v>
      </c>
      <c r="I984" s="5">
        <v>44470</v>
      </c>
      <c r="J984" s="6">
        <v>0</v>
      </c>
      <c r="K984" s="6">
        <v>0</v>
      </c>
      <c r="L984" s="6">
        <v>3.4049999999999998</v>
      </c>
      <c r="M984" s="6">
        <v>3.4049999999999998</v>
      </c>
      <c r="N984" s="6">
        <v>3.4049999999999998</v>
      </c>
      <c r="O984" s="6">
        <v>3.4049999999999998</v>
      </c>
      <c r="P984" s="6">
        <v>0</v>
      </c>
      <c r="Q984" s="4" t="s">
        <v>26</v>
      </c>
      <c r="R984" s="4">
        <v>0</v>
      </c>
      <c r="S984" s="6">
        <v>0</v>
      </c>
      <c r="T984" s="6">
        <v>42</v>
      </c>
      <c r="U984" s="6">
        <v>79</v>
      </c>
      <c r="V984" s="6">
        <f>IF(ISERROR(VLOOKUP($S$984,'TAR FIN'!$A$1:$O$85,15,0)),0,VLOOKUP($S$984,'TAR FIN'!$A$1:$O$85,15,0))</f>
        <v>0</v>
      </c>
      <c r="W984" s="6">
        <f>IF(ISERROR(VLOOKUP($T$984,'TAR FIN'!$A$1:$O$85,15,0)),0,VLOOKUP($T$984,'TAR FIN'!$A$1:$O$85,15,0))</f>
        <v>580.75</v>
      </c>
      <c r="X984" s="6">
        <f>IF(ISERROR(VLOOKUP($U$984,'TAR FIN'!$A$1:$O$85,15,0)),0,VLOOKUP($U$984,'TAR FIN'!$A$1:$O$85,15,0))</f>
        <v>307.08</v>
      </c>
      <c r="Y984" s="6"/>
      <c r="Z984" s="6">
        <f ca="1">('TUSD BE'!$AM$46+'TUSD BF'!$AM$46+'TUSD CVA'!$AM$46)*1</f>
        <v>716.33643413012067</v>
      </c>
      <c r="AA984" s="6">
        <f>('TE BE'!$AB$36+'TE BF'!$AB$36+'TE CVA'!$AB$36)*1</f>
        <v>304.87027853653359</v>
      </c>
      <c r="AB984" s="6">
        <f>$K$984*$V$984</f>
        <v>0</v>
      </c>
      <c r="AC984" s="6">
        <f>$M$984*$W$984</f>
        <v>1977.4537499999999</v>
      </c>
      <c r="AD984" s="6">
        <f>$O$984*$X$984</f>
        <v>1045.6073999999999</v>
      </c>
      <c r="AE984" s="6">
        <f>$K$984*$Y$984</f>
        <v>0</v>
      </c>
      <c r="AF984" s="6">
        <f ca="1">$M$984*$Z$984</f>
        <v>2439.1255582130607</v>
      </c>
      <c r="AG984" s="6">
        <f>$O$984*$AA$984</f>
        <v>1038.0832984168969</v>
      </c>
    </row>
    <row r="985" spans="1:33" ht="11.25" customHeight="1" x14ac:dyDescent="0.25">
      <c r="A985" s="4" t="s">
        <v>28</v>
      </c>
      <c r="B985" s="4" t="s">
        <v>37</v>
      </c>
      <c r="C985" s="4" t="s">
        <v>33</v>
      </c>
      <c r="D985" s="4" t="s">
        <v>41</v>
      </c>
      <c r="E985" s="4" t="s">
        <v>25</v>
      </c>
      <c r="F985" s="4" t="s">
        <v>25</v>
      </c>
      <c r="G985" s="4" t="s">
        <v>25</v>
      </c>
      <c r="H985" s="4" t="s">
        <v>36</v>
      </c>
      <c r="I985" s="5">
        <v>44470</v>
      </c>
      <c r="J985" s="6">
        <v>0</v>
      </c>
      <c r="K985" s="6">
        <v>0</v>
      </c>
      <c r="L985" s="6">
        <v>0.111</v>
      </c>
      <c r="M985" s="6">
        <v>0.111</v>
      </c>
      <c r="N985" s="6">
        <v>0.111</v>
      </c>
      <c r="O985" s="6">
        <v>0.111</v>
      </c>
      <c r="P985" s="6">
        <v>0</v>
      </c>
      <c r="Q985" s="4" t="s">
        <v>26</v>
      </c>
      <c r="R985" s="4">
        <v>0</v>
      </c>
      <c r="S985" s="6">
        <v>0</v>
      </c>
      <c r="T985" s="6">
        <v>42</v>
      </c>
      <c r="U985" s="6">
        <v>79</v>
      </c>
      <c r="V985" s="6">
        <f>IF(ISERROR(VLOOKUP($S$985,'TAR FIN'!$A$1:$O$85,15,0)),0,VLOOKUP($S$985,'TAR FIN'!$A$1:$O$85,15,0))</f>
        <v>0</v>
      </c>
      <c r="W985" s="6">
        <f>IF(ISERROR(VLOOKUP($T$985,'TAR FIN'!$A$1:$O$85,15,0)),0,VLOOKUP($T$985,'TAR FIN'!$A$1:$O$85,15,0))</f>
        <v>580.75</v>
      </c>
      <c r="X985" s="6">
        <f>IF(ISERROR(VLOOKUP($U$985,'TAR FIN'!$A$1:$O$85,15,0)),0,VLOOKUP($U$985,'TAR FIN'!$A$1:$O$85,15,0))</f>
        <v>307.08</v>
      </c>
      <c r="Y985" s="6"/>
      <c r="Z985" s="6">
        <f ca="1">('TUSD BE'!$AM$46+'TUSD BF'!$AM$46+'TUSD CVA'!$AM$46)*1</f>
        <v>716.33643413012067</v>
      </c>
      <c r="AA985" s="6">
        <f>('TE BE'!$AB$36+'TE BF'!$AB$36+'TE CVA'!$AB$36)*1</f>
        <v>304.87027853653359</v>
      </c>
      <c r="AB985" s="6">
        <f>$K$985*$V$985</f>
        <v>0</v>
      </c>
      <c r="AC985" s="6">
        <f>$M$985*$W$985</f>
        <v>64.463250000000002</v>
      </c>
      <c r="AD985" s="6">
        <f>$O$985*$X$985</f>
        <v>34.085879999999996</v>
      </c>
      <c r="AE985" s="6">
        <f>$K$985*$Y$985</f>
        <v>0</v>
      </c>
      <c r="AF985" s="6">
        <f ca="1">$M$985*$Z$985</f>
        <v>79.513344188443398</v>
      </c>
      <c r="AG985" s="6">
        <f>$O$985*$AA$985</f>
        <v>33.840600917555228</v>
      </c>
    </row>
    <row r="986" spans="1:33" ht="11.25" customHeight="1" x14ac:dyDescent="0.25">
      <c r="A986" s="4" t="s">
        <v>21</v>
      </c>
      <c r="B986" s="4" t="s">
        <v>37</v>
      </c>
      <c r="C986" s="4" t="s">
        <v>33</v>
      </c>
      <c r="D986" s="4" t="s">
        <v>41</v>
      </c>
      <c r="E986" s="4" t="s">
        <v>25</v>
      </c>
      <c r="F986" s="4" t="s">
        <v>25</v>
      </c>
      <c r="G986" s="4" t="s">
        <v>25</v>
      </c>
      <c r="H986" s="4" t="s">
        <v>36</v>
      </c>
      <c r="I986" s="5">
        <v>44501</v>
      </c>
      <c r="J986" s="6">
        <v>0</v>
      </c>
      <c r="K986" s="6">
        <v>0</v>
      </c>
      <c r="L986" s="6">
        <v>7.4189999999999996</v>
      </c>
      <c r="M986" s="6">
        <v>7.4189999999999996</v>
      </c>
      <c r="N986" s="6">
        <v>7.4189999999999996</v>
      </c>
      <c r="O986" s="6">
        <v>7.4189999999999996</v>
      </c>
      <c r="P986" s="6">
        <v>0</v>
      </c>
      <c r="Q986" s="4" t="s">
        <v>26</v>
      </c>
      <c r="R986" s="4">
        <v>0</v>
      </c>
      <c r="S986" s="6">
        <v>0</v>
      </c>
      <c r="T986" s="6">
        <v>42</v>
      </c>
      <c r="U986" s="6">
        <v>79</v>
      </c>
      <c r="V986" s="6">
        <f>IF(ISERROR(VLOOKUP($S$986,'TAR FIN'!$A$1:$O$85,15,0)),0,VLOOKUP($S$986,'TAR FIN'!$A$1:$O$85,15,0))</f>
        <v>0</v>
      </c>
      <c r="W986" s="6">
        <f>IF(ISERROR(VLOOKUP($T$986,'TAR FIN'!$A$1:$O$85,15,0)),0,VLOOKUP($T$986,'TAR FIN'!$A$1:$O$85,15,0))</f>
        <v>580.75</v>
      </c>
      <c r="X986" s="6">
        <f>IF(ISERROR(VLOOKUP($U$986,'TAR FIN'!$A$1:$O$85,15,0)),0,VLOOKUP($U$986,'TAR FIN'!$A$1:$O$85,15,0))</f>
        <v>307.08</v>
      </c>
      <c r="Y986" s="6"/>
      <c r="Z986" s="6">
        <f ca="1">('TUSD BE'!$AM$46+'TUSD BF'!$AM$46+'TUSD CVA'!$AM$46)*1</f>
        <v>716.33643413012067</v>
      </c>
      <c r="AA986" s="6">
        <f>('TE BE'!$AB$36+'TE BF'!$AB$36+'TE CVA'!$AB$36)*1</f>
        <v>304.87027853653359</v>
      </c>
      <c r="AB986" s="6">
        <f>$K$986*$V$986</f>
        <v>0</v>
      </c>
      <c r="AC986" s="6">
        <f>$M$986*$W$986</f>
        <v>4308.5842499999999</v>
      </c>
      <c r="AD986" s="6">
        <f>$O$986*$X$986</f>
        <v>2278.2265199999997</v>
      </c>
      <c r="AE986" s="6">
        <f>$K$986*$Y$986</f>
        <v>0</v>
      </c>
      <c r="AF986" s="6">
        <f ca="1">$M$986*$Z$986</f>
        <v>5314.5000048113652</v>
      </c>
      <c r="AG986" s="6">
        <f>$O$986*$AA$986</f>
        <v>2261.8325964625424</v>
      </c>
    </row>
    <row r="987" spans="1:33" ht="11.25" customHeight="1" x14ac:dyDescent="0.25">
      <c r="A987" s="4" t="s">
        <v>28</v>
      </c>
      <c r="B987" s="4" t="s">
        <v>37</v>
      </c>
      <c r="C987" s="4" t="s">
        <v>33</v>
      </c>
      <c r="D987" s="4" t="s">
        <v>41</v>
      </c>
      <c r="E987" s="4" t="s">
        <v>25</v>
      </c>
      <c r="F987" s="4" t="s">
        <v>25</v>
      </c>
      <c r="G987" s="4" t="s">
        <v>25</v>
      </c>
      <c r="H987" s="4" t="s">
        <v>36</v>
      </c>
      <c r="I987" s="5">
        <v>44501</v>
      </c>
      <c r="J987" s="6">
        <v>0</v>
      </c>
      <c r="K987" s="6">
        <v>0</v>
      </c>
      <c r="L987" s="6">
        <v>0.153</v>
      </c>
      <c r="M987" s="6">
        <v>0.153</v>
      </c>
      <c r="N987" s="6">
        <v>0.153</v>
      </c>
      <c r="O987" s="6">
        <v>0.153</v>
      </c>
      <c r="P987" s="6">
        <v>0</v>
      </c>
      <c r="Q987" s="4" t="s">
        <v>26</v>
      </c>
      <c r="R987" s="4">
        <v>0</v>
      </c>
      <c r="S987" s="6">
        <v>0</v>
      </c>
      <c r="T987" s="6">
        <v>42</v>
      </c>
      <c r="U987" s="6">
        <v>79</v>
      </c>
      <c r="V987" s="6">
        <f>IF(ISERROR(VLOOKUP($S$987,'TAR FIN'!$A$1:$O$85,15,0)),0,VLOOKUP($S$987,'TAR FIN'!$A$1:$O$85,15,0))</f>
        <v>0</v>
      </c>
      <c r="W987" s="6">
        <f>IF(ISERROR(VLOOKUP($T$987,'TAR FIN'!$A$1:$O$85,15,0)),0,VLOOKUP($T$987,'TAR FIN'!$A$1:$O$85,15,0))</f>
        <v>580.75</v>
      </c>
      <c r="X987" s="6">
        <f>IF(ISERROR(VLOOKUP($U$987,'TAR FIN'!$A$1:$O$85,15,0)),0,VLOOKUP($U$987,'TAR FIN'!$A$1:$O$85,15,0))</f>
        <v>307.08</v>
      </c>
      <c r="Y987" s="6"/>
      <c r="Z987" s="6">
        <f ca="1">('TUSD BE'!$AM$46+'TUSD BF'!$AM$46+'TUSD CVA'!$AM$46)*1</f>
        <v>716.33643413012067</v>
      </c>
      <c r="AA987" s="6">
        <f>('TE BE'!$AB$36+'TE BF'!$AB$36+'TE CVA'!$AB$36)*1</f>
        <v>304.87027853653359</v>
      </c>
      <c r="AB987" s="6">
        <f>$K$987*$V$987</f>
        <v>0</v>
      </c>
      <c r="AC987" s="6">
        <f>$M$987*$W$987</f>
        <v>88.854749999999996</v>
      </c>
      <c r="AD987" s="6">
        <f>$O$987*$X$987</f>
        <v>46.983239999999995</v>
      </c>
      <c r="AE987" s="6">
        <f>$K$987*$Y$987</f>
        <v>0</v>
      </c>
      <c r="AF987" s="6">
        <f ca="1">$M$987*$Z$987</f>
        <v>109.59947442190845</v>
      </c>
      <c r="AG987" s="6">
        <f>$O$987*$AA$987</f>
        <v>46.645152616089639</v>
      </c>
    </row>
    <row r="988" spans="1:33" ht="11.25" customHeight="1" x14ac:dyDescent="0.25">
      <c r="A988" s="4" t="s">
        <v>21</v>
      </c>
      <c r="B988" s="4" t="s">
        <v>37</v>
      </c>
      <c r="C988" s="4" t="s">
        <v>33</v>
      </c>
      <c r="D988" s="4" t="s">
        <v>41</v>
      </c>
      <c r="E988" s="4" t="s">
        <v>25</v>
      </c>
      <c r="F988" s="4" t="s">
        <v>25</v>
      </c>
      <c r="G988" s="4" t="s">
        <v>25</v>
      </c>
      <c r="H988" s="4" t="s">
        <v>36</v>
      </c>
      <c r="I988" s="5">
        <v>44531</v>
      </c>
      <c r="J988" s="6">
        <v>0</v>
      </c>
      <c r="K988" s="6">
        <v>0</v>
      </c>
      <c r="L988" s="6">
        <v>5.024</v>
      </c>
      <c r="M988" s="6">
        <v>5.024</v>
      </c>
      <c r="N988" s="6">
        <v>5.024</v>
      </c>
      <c r="O988" s="6">
        <v>5.024</v>
      </c>
      <c r="P988" s="6">
        <v>0</v>
      </c>
      <c r="Q988" s="4" t="s">
        <v>26</v>
      </c>
      <c r="R988" s="4">
        <v>0</v>
      </c>
      <c r="S988" s="6">
        <v>0</v>
      </c>
      <c r="T988" s="6">
        <v>42</v>
      </c>
      <c r="U988" s="6">
        <v>79</v>
      </c>
      <c r="V988" s="6">
        <f>IF(ISERROR(VLOOKUP($S$988,'TAR FIN'!$A$1:$O$85,15,0)),0,VLOOKUP($S$988,'TAR FIN'!$A$1:$O$85,15,0))</f>
        <v>0</v>
      </c>
      <c r="W988" s="6">
        <f>IF(ISERROR(VLOOKUP($T$988,'TAR FIN'!$A$1:$O$85,15,0)),0,VLOOKUP($T$988,'TAR FIN'!$A$1:$O$85,15,0))</f>
        <v>580.75</v>
      </c>
      <c r="X988" s="6">
        <f>IF(ISERROR(VLOOKUP($U$988,'TAR FIN'!$A$1:$O$85,15,0)),0,VLOOKUP($U$988,'TAR FIN'!$A$1:$O$85,15,0))</f>
        <v>307.08</v>
      </c>
      <c r="Y988" s="6"/>
      <c r="Z988" s="6">
        <f ca="1">('TUSD BE'!$AM$46+'TUSD BF'!$AM$46+'TUSD CVA'!$AM$46)*1</f>
        <v>716.33643413012067</v>
      </c>
      <c r="AA988" s="6">
        <f>('TE BE'!$AB$36+'TE BF'!$AB$36+'TE CVA'!$AB$36)*1</f>
        <v>304.87027853653359</v>
      </c>
      <c r="AB988" s="6">
        <f>$K$988*$V$988</f>
        <v>0</v>
      </c>
      <c r="AC988" s="6">
        <f>$M$988*$W$988</f>
        <v>2917.6880000000001</v>
      </c>
      <c r="AD988" s="6">
        <f>$O$988*$X$988</f>
        <v>1542.76992</v>
      </c>
      <c r="AE988" s="6">
        <f>$K$988*$Y$988</f>
        <v>0</v>
      </c>
      <c r="AF988" s="6">
        <f ca="1">$M$988*$Z$988</f>
        <v>3598.8742450697264</v>
      </c>
      <c r="AG988" s="6">
        <f>$O$988*$AA$988</f>
        <v>1531.6682793675448</v>
      </c>
    </row>
    <row r="989" spans="1:33" ht="11.25" customHeight="1" x14ac:dyDescent="0.25">
      <c r="A989" s="4" t="s">
        <v>27</v>
      </c>
      <c r="B989" s="4" t="s">
        <v>37</v>
      </c>
      <c r="C989" s="4" t="s">
        <v>33</v>
      </c>
      <c r="D989" s="4" t="s">
        <v>41</v>
      </c>
      <c r="E989" s="4" t="s">
        <v>25</v>
      </c>
      <c r="F989" s="4" t="s">
        <v>25</v>
      </c>
      <c r="G989" s="4" t="s">
        <v>25</v>
      </c>
      <c r="H989" s="4" t="s">
        <v>36</v>
      </c>
      <c r="I989" s="5">
        <v>44531</v>
      </c>
      <c r="J989" s="6">
        <v>0</v>
      </c>
      <c r="K989" s="6">
        <v>0</v>
      </c>
      <c r="L989" s="6">
        <v>-4.093</v>
      </c>
      <c r="M989" s="6">
        <v>-4.093</v>
      </c>
      <c r="N989" s="6">
        <v>-4.093</v>
      </c>
      <c r="O989" s="6">
        <v>-4.093</v>
      </c>
      <c r="P989" s="6">
        <v>0</v>
      </c>
      <c r="Q989" s="4" t="s">
        <v>26</v>
      </c>
      <c r="R989" s="4">
        <v>0</v>
      </c>
      <c r="S989" s="6">
        <v>0</v>
      </c>
      <c r="T989" s="6">
        <v>42</v>
      </c>
      <c r="U989" s="6">
        <v>79</v>
      </c>
      <c r="V989" s="6">
        <f>IF(ISERROR(VLOOKUP($S$989,'TAR FIN'!$A$1:$O$85,15,0)),0,VLOOKUP($S$989,'TAR FIN'!$A$1:$O$85,15,0))</f>
        <v>0</v>
      </c>
      <c r="W989" s="6">
        <f>IF(ISERROR(VLOOKUP($T$989,'TAR FIN'!$A$1:$O$85,15,0)),0,VLOOKUP($T$989,'TAR FIN'!$A$1:$O$85,15,0))</f>
        <v>580.75</v>
      </c>
      <c r="X989" s="6">
        <f>IF(ISERROR(VLOOKUP($U$989,'TAR FIN'!$A$1:$O$85,15,0)),0,VLOOKUP($U$989,'TAR FIN'!$A$1:$O$85,15,0))</f>
        <v>307.08</v>
      </c>
      <c r="Y989" s="6"/>
      <c r="Z989" s="6">
        <f ca="1">('TUSD BE'!$AM$46+'TUSD BF'!$AM$46+'TUSD CVA'!$AM$46)*1</f>
        <v>716.33643413012067</v>
      </c>
      <c r="AA989" s="6">
        <f>('TE BE'!$AB$36+'TE BF'!$AB$36+'TE CVA'!$AB$36)*1</f>
        <v>304.87027853653359</v>
      </c>
      <c r="AB989" s="6">
        <f>$K$989*$V$989</f>
        <v>0</v>
      </c>
      <c r="AC989" s="6">
        <f>$M$989*$W$989</f>
        <v>-2377.0097500000002</v>
      </c>
      <c r="AD989" s="6">
        <f>$O$989*$X$989</f>
        <v>-1256.87844</v>
      </c>
      <c r="AE989" s="6">
        <f>$K$989*$Y$989</f>
        <v>0</v>
      </c>
      <c r="AF989" s="6">
        <f ca="1">$M$989*$Z$989</f>
        <v>-2931.9650248945841</v>
      </c>
      <c r="AG989" s="6">
        <f>$O$989*$AA$989</f>
        <v>-1247.8340500500319</v>
      </c>
    </row>
    <row r="990" spans="1:33" ht="11.25" customHeight="1" x14ac:dyDescent="0.25">
      <c r="A990" s="4" t="s">
        <v>28</v>
      </c>
      <c r="B990" s="4" t="s">
        <v>37</v>
      </c>
      <c r="C990" s="4" t="s">
        <v>33</v>
      </c>
      <c r="D990" s="4" t="s">
        <v>41</v>
      </c>
      <c r="E990" s="4" t="s">
        <v>25</v>
      </c>
      <c r="F990" s="4" t="s">
        <v>25</v>
      </c>
      <c r="G990" s="4" t="s">
        <v>25</v>
      </c>
      <c r="H990" s="4" t="s">
        <v>36</v>
      </c>
      <c r="I990" s="5">
        <v>44531</v>
      </c>
      <c r="J990" s="6">
        <v>0</v>
      </c>
      <c r="K990" s="6">
        <v>0</v>
      </c>
      <c r="L990" s="6">
        <v>3.4000000000000002E-2</v>
      </c>
      <c r="M990" s="6">
        <v>3.4000000000000002E-2</v>
      </c>
      <c r="N990" s="6">
        <v>3.4000000000000002E-2</v>
      </c>
      <c r="O990" s="6">
        <v>3.4000000000000002E-2</v>
      </c>
      <c r="P990" s="6">
        <v>0</v>
      </c>
      <c r="Q990" s="4" t="s">
        <v>26</v>
      </c>
      <c r="R990" s="4">
        <v>0</v>
      </c>
      <c r="S990" s="6">
        <v>0</v>
      </c>
      <c r="T990" s="6">
        <v>42</v>
      </c>
      <c r="U990" s="6">
        <v>79</v>
      </c>
      <c r="V990" s="6">
        <f>IF(ISERROR(VLOOKUP($S$990,'TAR FIN'!$A$1:$O$85,15,0)),0,VLOOKUP($S$990,'TAR FIN'!$A$1:$O$85,15,0))</f>
        <v>0</v>
      </c>
      <c r="W990" s="6">
        <f>IF(ISERROR(VLOOKUP($T$990,'TAR FIN'!$A$1:$O$85,15,0)),0,VLOOKUP($T$990,'TAR FIN'!$A$1:$O$85,15,0))</f>
        <v>580.75</v>
      </c>
      <c r="X990" s="6">
        <f>IF(ISERROR(VLOOKUP($U$990,'TAR FIN'!$A$1:$O$85,15,0)),0,VLOOKUP($U$990,'TAR FIN'!$A$1:$O$85,15,0))</f>
        <v>307.08</v>
      </c>
      <c r="Y990" s="6"/>
      <c r="Z990" s="6">
        <f ca="1">('TUSD BE'!$AM$46+'TUSD BF'!$AM$46+'TUSD CVA'!$AM$46)*1</f>
        <v>716.33643413012067</v>
      </c>
      <c r="AA990" s="6">
        <f>('TE BE'!$AB$36+'TE BF'!$AB$36+'TE CVA'!$AB$36)*1</f>
        <v>304.87027853653359</v>
      </c>
      <c r="AB990" s="6">
        <f>$K$990*$V$990</f>
        <v>0</v>
      </c>
      <c r="AC990" s="6">
        <f>$M$990*$W$990</f>
        <v>19.7455</v>
      </c>
      <c r="AD990" s="6">
        <f>$O$990*$X$990</f>
        <v>10.440720000000001</v>
      </c>
      <c r="AE990" s="6">
        <f>$K$990*$Y$990</f>
        <v>0</v>
      </c>
      <c r="AF990" s="6">
        <f ca="1">$M$990*$Z$990</f>
        <v>24.355438760424104</v>
      </c>
      <c r="AG990" s="6">
        <f>$O$990*$AA$990</f>
        <v>10.365589470242142</v>
      </c>
    </row>
    <row r="991" spans="1:33" ht="11.25" customHeight="1" x14ac:dyDescent="0.25">
      <c r="A991" s="4" t="s">
        <v>21</v>
      </c>
      <c r="B991" s="4" t="s">
        <v>37</v>
      </c>
      <c r="C991" s="4" t="s">
        <v>33</v>
      </c>
      <c r="D991" s="4" t="s">
        <v>41</v>
      </c>
      <c r="E991" s="4" t="s">
        <v>25</v>
      </c>
      <c r="F991" s="4" t="s">
        <v>25</v>
      </c>
      <c r="G991" s="4" t="s">
        <v>25</v>
      </c>
      <c r="H991" s="4" t="s">
        <v>36</v>
      </c>
      <c r="I991" s="5">
        <v>44562</v>
      </c>
      <c r="J991" s="6">
        <v>0</v>
      </c>
      <c r="K991" s="6">
        <v>0</v>
      </c>
      <c r="L991" s="6">
        <v>3.8839999999999999</v>
      </c>
      <c r="M991" s="6">
        <v>3.8839999999999999</v>
      </c>
      <c r="N991" s="6">
        <v>3.8839999999999999</v>
      </c>
      <c r="O991" s="6">
        <v>3.8839999999999999</v>
      </c>
      <c r="P991" s="6">
        <v>0</v>
      </c>
      <c r="Q991" s="4" t="s">
        <v>26</v>
      </c>
      <c r="R991" s="4">
        <v>0</v>
      </c>
      <c r="S991" s="6">
        <v>0</v>
      </c>
      <c r="T991" s="6">
        <v>42</v>
      </c>
      <c r="U991" s="6">
        <v>79</v>
      </c>
      <c r="V991" s="6">
        <f>IF(ISERROR(VLOOKUP($S$991,'TAR FIN'!$A$1:$O$85,15,0)),0,VLOOKUP($S$991,'TAR FIN'!$A$1:$O$85,15,0))</f>
        <v>0</v>
      </c>
      <c r="W991" s="6">
        <f>IF(ISERROR(VLOOKUP($T$991,'TAR FIN'!$A$1:$O$85,15,0)),0,VLOOKUP($T$991,'TAR FIN'!$A$1:$O$85,15,0))</f>
        <v>580.75</v>
      </c>
      <c r="X991" s="6">
        <f>IF(ISERROR(VLOOKUP($U$991,'TAR FIN'!$A$1:$O$85,15,0)),0,VLOOKUP($U$991,'TAR FIN'!$A$1:$O$85,15,0))</f>
        <v>307.08</v>
      </c>
      <c r="Y991" s="6"/>
      <c r="Z991" s="6">
        <f ca="1">('TUSD BE'!$AM$46+'TUSD BF'!$AM$46+'TUSD CVA'!$AM$46)*1</f>
        <v>716.33643413012067</v>
      </c>
      <c r="AA991" s="6">
        <f>('TE BE'!$AB$36+'TE BF'!$AB$36+'TE CVA'!$AB$36)*1</f>
        <v>304.87027853653359</v>
      </c>
      <c r="AB991" s="6">
        <f>$K$991*$V$991</f>
        <v>0</v>
      </c>
      <c r="AC991" s="6">
        <f>$M$991*$W$991</f>
        <v>2255.6329999999998</v>
      </c>
      <c r="AD991" s="6">
        <f>$O$991*$X$991</f>
        <v>1192.6987199999999</v>
      </c>
      <c r="AE991" s="6">
        <f>$K$991*$Y$991</f>
        <v>0</v>
      </c>
      <c r="AF991" s="6">
        <f ca="1">$M$991*$Z$991</f>
        <v>2782.2507101613887</v>
      </c>
      <c r="AG991" s="6">
        <f>$O$991*$AA$991</f>
        <v>1184.1161618358965</v>
      </c>
    </row>
    <row r="992" spans="1:33" ht="11.25" customHeight="1" x14ac:dyDescent="0.25">
      <c r="A992" s="4" t="s">
        <v>28</v>
      </c>
      <c r="B992" s="4" t="s">
        <v>37</v>
      </c>
      <c r="C992" s="4" t="s">
        <v>33</v>
      </c>
      <c r="D992" s="4" t="s">
        <v>41</v>
      </c>
      <c r="E992" s="4" t="s">
        <v>25</v>
      </c>
      <c r="F992" s="4" t="s">
        <v>25</v>
      </c>
      <c r="G992" s="4" t="s">
        <v>25</v>
      </c>
      <c r="H992" s="4" t="s">
        <v>36</v>
      </c>
      <c r="I992" s="5">
        <v>44562</v>
      </c>
      <c r="J992" s="6">
        <v>0</v>
      </c>
      <c r="K992" s="6">
        <v>0</v>
      </c>
      <c r="L992" s="6">
        <v>0.115</v>
      </c>
      <c r="M992" s="6">
        <v>0.115</v>
      </c>
      <c r="N992" s="6">
        <v>0.115</v>
      </c>
      <c r="O992" s="6">
        <v>0.115</v>
      </c>
      <c r="P992" s="6">
        <v>0</v>
      </c>
      <c r="Q992" s="4" t="s">
        <v>26</v>
      </c>
      <c r="R992" s="4">
        <v>0</v>
      </c>
      <c r="S992" s="6">
        <v>0</v>
      </c>
      <c r="T992" s="6">
        <v>42</v>
      </c>
      <c r="U992" s="6">
        <v>79</v>
      </c>
      <c r="V992" s="6">
        <f>IF(ISERROR(VLOOKUP($S$992,'TAR FIN'!$A$1:$O$85,15,0)),0,VLOOKUP($S$992,'TAR FIN'!$A$1:$O$85,15,0))</f>
        <v>0</v>
      </c>
      <c r="W992" s="6">
        <f>IF(ISERROR(VLOOKUP($T$992,'TAR FIN'!$A$1:$O$85,15,0)),0,VLOOKUP($T$992,'TAR FIN'!$A$1:$O$85,15,0))</f>
        <v>580.75</v>
      </c>
      <c r="X992" s="6">
        <f>IF(ISERROR(VLOOKUP($U$992,'TAR FIN'!$A$1:$O$85,15,0)),0,VLOOKUP($U$992,'TAR FIN'!$A$1:$O$85,15,0))</f>
        <v>307.08</v>
      </c>
      <c r="Y992" s="6"/>
      <c r="Z992" s="6">
        <f ca="1">('TUSD BE'!$AM$46+'TUSD BF'!$AM$46+'TUSD CVA'!$AM$46)*1</f>
        <v>716.33643413012067</v>
      </c>
      <c r="AA992" s="6">
        <f>('TE BE'!$AB$36+'TE BF'!$AB$36+'TE CVA'!$AB$36)*1</f>
        <v>304.87027853653359</v>
      </c>
      <c r="AB992" s="6">
        <f>$K$992*$V$992</f>
        <v>0</v>
      </c>
      <c r="AC992" s="6">
        <f>$M$992*$W$992</f>
        <v>66.78625000000001</v>
      </c>
      <c r="AD992" s="6">
        <f>$O$992*$X$992</f>
        <v>35.3142</v>
      </c>
      <c r="AE992" s="6">
        <f>$K$992*$Y$992</f>
        <v>0</v>
      </c>
      <c r="AF992" s="6">
        <f ca="1">$M$992*$Z$992</f>
        <v>82.378689924963879</v>
      </c>
      <c r="AG992" s="6">
        <f>$O$992*$AA$992</f>
        <v>35.060082031701363</v>
      </c>
    </row>
    <row r="993" spans="1:33" ht="11.25" customHeight="1" x14ac:dyDescent="0.25">
      <c r="A993" s="4" t="s">
        <v>21</v>
      </c>
      <c r="B993" s="4" t="s">
        <v>37</v>
      </c>
      <c r="C993" s="4" t="s">
        <v>33</v>
      </c>
      <c r="D993" s="4" t="s">
        <v>41</v>
      </c>
      <c r="E993" s="4" t="s">
        <v>25</v>
      </c>
      <c r="F993" s="4" t="s">
        <v>25</v>
      </c>
      <c r="G993" s="4" t="s">
        <v>25</v>
      </c>
      <c r="H993" s="4" t="s">
        <v>36</v>
      </c>
      <c r="I993" s="5">
        <v>44593</v>
      </c>
      <c r="J993" s="6">
        <v>0</v>
      </c>
      <c r="K993" s="6">
        <v>0</v>
      </c>
      <c r="L993" s="6">
        <v>5.4889999999999999</v>
      </c>
      <c r="M993" s="6">
        <v>5.4889999999999999</v>
      </c>
      <c r="N993" s="6">
        <v>5.4889999999999999</v>
      </c>
      <c r="O993" s="6">
        <v>5.4889999999999999</v>
      </c>
      <c r="P993" s="6">
        <v>0</v>
      </c>
      <c r="Q993" s="4" t="s">
        <v>26</v>
      </c>
      <c r="R993" s="4">
        <v>0</v>
      </c>
      <c r="S993" s="6">
        <v>0</v>
      </c>
      <c r="T993" s="6">
        <v>42</v>
      </c>
      <c r="U993" s="6">
        <v>79</v>
      </c>
      <c r="V993" s="6">
        <f>IF(ISERROR(VLOOKUP($S$993,'TAR FIN'!$A$1:$O$85,15,0)),0,VLOOKUP($S$993,'TAR FIN'!$A$1:$O$85,15,0))</f>
        <v>0</v>
      </c>
      <c r="W993" s="6">
        <f>IF(ISERROR(VLOOKUP($T$993,'TAR FIN'!$A$1:$O$85,15,0)),0,VLOOKUP($T$993,'TAR FIN'!$A$1:$O$85,15,0))</f>
        <v>580.75</v>
      </c>
      <c r="X993" s="6">
        <f>IF(ISERROR(VLOOKUP($U$993,'TAR FIN'!$A$1:$O$85,15,0)),0,VLOOKUP($U$993,'TAR FIN'!$A$1:$O$85,15,0))</f>
        <v>307.08</v>
      </c>
      <c r="Y993" s="6"/>
      <c r="Z993" s="6">
        <f ca="1">('TUSD BE'!$AM$46+'TUSD BF'!$AM$46+'TUSD CVA'!$AM$46)*1</f>
        <v>716.33643413012067</v>
      </c>
      <c r="AA993" s="6">
        <f>('TE BE'!$AB$36+'TE BF'!$AB$36+'TE CVA'!$AB$36)*1</f>
        <v>304.87027853653359</v>
      </c>
      <c r="AB993" s="6">
        <f>$K$993*$V$993</f>
        <v>0</v>
      </c>
      <c r="AC993" s="6">
        <f>$M$993*$W$993</f>
        <v>3187.73675</v>
      </c>
      <c r="AD993" s="6">
        <f>$O$993*$X$993</f>
        <v>1685.5621199999998</v>
      </c>
      <c r="AE993" s="6">
        <f>$K$993*$Y$993</f>
        <v>0</v>
      </c>
      <c r="AF993" s="6">
        <f ca="1">$M$993*$Z$993</f>
        <v>3931.9706869402321</v>
      </c>
      <c r="AG993" s="6">
        <f>$O$993*$AA$993</f>
        <v>1673.4329588870328</v>
      </c>
    </row>
    <row r="994" spans="1:33" ht="11.25" customHeight="1" x14ac:dyDescent="0.25">
      <c r="A994" s="4" t="s">
        <v>28</v>
      </c>
      <c r="B994" s="4" t="s">
        <v>37</v>
      </c>
      <c r="C994" s="4" t="s">
        <v>33</v>
      </c>
      <c r="D994" s="4" t="s">
        <v>41</v>
      </c>
      <c r="E994" s="4" t="s">
        <v>25</v>
      </c>
      <c r="F994" s="4" t="s">
        <v>25</v>
      </c>
      <c r="G994" s="4" t="s">
        <v>25</v>
      </c>
      <c r="H994" s="4" t="s">
        <v>36</v>
      </c>
      <c r="I994" s="5">
        <v>44593</v>
      </c>
      <c r="J994" s="6">
        <v>0</v>
      </c>
      <c r="K994" s="6">
        <v>0</v>
      </c>
      <c r="L994" s="6">
        <v>0.11700000000000001</v>
      </c>
      <c r="M994" s="6">
        <v>0.11700000000000001</v>
      </c>
      <c r="N994" s="6">
        <v>0.11700000000000001</v>
      </c>
      <c r="O994" s="6">
        <v>0.11700000000000001</v>
      </c>
      <c r="P994" s="6">
        <v>0</v>
      </c>
      <c r="Q994" s="4" t="s">
        <v>26</v>
      </c>
      <c r="R994" s="4">
        <v>0</v>
      </c>
      <c r="S994" s="6">
        <v>0</v>
      </c>
      <c r="T994" s="6">
        <v>42</v>
      </c>
      <c r="U994" s="6">
        <v>79</v>
      </c>
      <c r="V994" s="6">
        <f>IF(ISERROR(VLOOKUP($S$994,'TAR FIN'!$A$1:$O$85,15,0)),0,VLOOKUP($S$994,'TAR FIN'!$A$1:$O$85,15,0))</f>
        <v>0</v>
      </c>
      <c r="W994" s="6">
        <f>IF(ISERROR(VLOOKUP($T$994,'TAR FIN'!$A$1:$O$85,15,0)),0,VLOOKUP($T$994,'TAR FIN'!$A$1:$O$85,15,0))</f>
        <v>580.75</v>
      </c>
      <c r="X994" s="6">
        <f>IF(ISERROR(VLOOKUP($U$994,'TAR FIN'!$A$1:$O$85,15,0)),0,VLOOKUP($U$994,'TAR FIN'!$A$1:$O$85,15,0))</f>
        <v>307.08</v>
      </c>
      <c r="Y994" s="6"/>
      <c r="Z994" s="6">
        <f ca="1">('TUSD BE'!$AM$46+'TUSD BF'!$AM$46+'TUSD CVA'!$AM$46)*1</f>
        <v>716.33643413012067</v>
      </c>
      <c r="AA994" s="6">
        <f>('TE BE'!$AB$36+'TE BF'!$AB$36+'TE CVA'!$AB$36)*1</f>
        <v>304.87027853653359</v>
      </c>
      <c r="AB994" s="6">
        <f>$K$994*$V$994</f>
        <v>0</v>
      </c>
      <c r="AC994" s="6">
        <f>$M$994*$W$994</f>
        <v>67.947749999999999</v>
      </c>
      <c r="AD994" s="6">
        <f>$O$994*$X$994</f>
        <v>35.928359999999998</v>
      </c>
      <c r="AE994" s="6">
        <f>$K$994*$Y$994</f>
        <v>0</v>
      </c>
      <c r="AF994" s="6">
        <f ca="1">$M$994*$Z$994</f>
        <v>83.81136279322412</v>
      </c>
      <c r="AG994" s="6">
        <f>$O$994*$AA$994</f>
        <v>35.66982258877443</v>
      </c>
    </row>
    <row r="995" spans="1:33" ht="11.25" customHeight="1" x14ac:dyDescent="0.25">
      <c r="A995" s="4" t="s">
        <v>21</v>
      </c>
      <c r="B995" s="4" t="s">
        <v>37</v>
      </c>
      <c r="C995" s="4" t="s">
        <v>33</v>
      </c>
      <c r="D995" s="4" t="s">
        <v>41</v>
      </c>
      <c r="E995" s="4" t="s">
        <v>25</v>
      </c>
      <c r="F995" s="4" t="s">
        <v>25</v>
      </c>
      <c r="G995" s="4" t="s">
        <v>25</v>
      </c>
      <c r="H995" s="4" t="s">
        <v>36</v>
      </c>
      <c r="I995" s="5">
        <v>44621</v>
      </c>
      <c r="J995" s="6">
        <v>0</v>
      </c>
      <c r="K995" s="6">
        <v>0</v>
      </c>
      <c r="L995" s="6">
        <v>4.4260000000000002</v>
      </c>
      <c r="M995" s="6">
        <v>4.4260000000000002</v>
      </c>
      <c r="N995" s="6">
        <v>4.4260000000000002</v>
      </c>
      <c r="O995" s="6">
        <v>4.4260000000000002</v>
      </c>
      <c r="P995" s="6">
        <v>0</v>
      </c>
      <c r="Q995" s="4" t="s">
        <v>26</v>
      </c>
      <c r="R995" s="4">
        <v>0</v>
      </c>
      <c r="S995" s="6">
        <v>0</v>
      </c>
      <c r="T995" s="6">
        <v>42</v>
      </c>
      <c r="U995" s="6">
        <v>79</v>
      </c>
      <c r="V995" s="6">
        <f>IF(ISERROR(VLOOKUP($S$995,'TAR FIN'!$A$1:$O$85,15,0)),0,VLOOKUP($S$995,'TAR FIN'!$A$1:$O$85,15,0))</f>
        <v>0</v>
      </c>
      <c r="W995" s="6">
        <f>IF(ISERROR(VLOOKUP($T$995,'TAR FIN'!$A$1:$O$85,15,0)),0,VLOOKUP($T$995,'TAR FIN'!$A$1:$O$85,15,0))</f>
        <v>580.75</v>
      </c>
      <c r="X995" s="6">
        <f>IF(ISERROR(VLOOKUP($U$995,'TAR FIN'!$A$1:$O$85,15,0)),0,VLOOKUP($U$995,'TAR FIN'!$A$1:$O$85,15,0))</f>
        <v>307.08</v>
      </c>
      <c r="Y995" s="6"/>
      <c r="Z995" s="6">
        <f ca="1">('TUSD BE'!$AM$46+'TUSD BF'!$AM$46+'TUSD CVA'!$AM$46)*1</f>
        <v>716.33643413012067</v>
      </c>
      <c r="AA995" s="6">
        <f>('TE BE'!$AB$36+'TE BF'!$AB$36+'TE CVA'!$AB$36)*1</f>
        <v>304.87027853653359</v>
      </c>
      <c r="AB995" s="6">
        <f>$K$995*$V$995</f>
        <v>0</v>
      </c>
      <c r="AC995" s="6">
        <f>$M$995*$W$995</f>
        <v>2570.3995</v>
      </c>
      <c r="AD995" s="6">
        <f>$O$995*$X$995</f>
        <v>1359.13608</v>
      </c>
      <c r="AE995" s="6">
        <f>$K$995*$Y$995</f>
        <v>0</v>
      </c>
      <c r="AF995" s="6">
        <f ca="1">$M$995*$Z$995</f>
        <v>3170.505057459914</v>
      </c>
      <c r="AG995" s="6">
        <f>$O$995*$AA$995</f>
        <v>1349.3558528026977</v>
      </c>
    </row>
    <row r="996" spans="1:33" ht="11.25" customHeight="1" x14ac:dyDescent="0.25">
      <c r="A996" s="4" t="s">
        <v>27</v>
      </c>
      <c r="B996" s="4" t="s">
        <v>37</v>
      </c>
      <c r="C996" s="4" t="s">
        <v>33</v>
      </c>
      <c r="D996" s="4" t="s">
        <v>41</v>
      </c>
      <c r="E996" s="4" t="s">
        <v>25</v>
      </c>
      <c r="F996" s="4" t="s">
        <v>25</v>
      </c>
      <c r="G996" s="4" t="s">
        <v>25</v>
      </c>
      <c r="H996" s="4" t="s">
        <v>36</v>
      </c>
      <c r="I996" s="5">
        <v>44621</v>
      </c>
      <c r="J996" s="6">
        <v>0</v>
      </c>
      <c r="K996" s="6">
        <v>0</v>
      </c>
      <c r="L996" s="6">
        <v>-0.96</v>
      </c>
      <c r="M996" s="6">
        <v>-0.96</v>
      </c>
      <c r="N996" s="6">
        <v>-0.96</v>
      </c>
      <c r="O996" s="6">
        <v>-0.96</v>
      </c>
      <c r="P996" s="6">
        <v>0</v>
      </c>
      <c r="Q996" s="4" t="s">
        <v>26</v>
      </c>
      <c r="R996" s="4">
        <v>0</v>
      </c>
      <c r="S996" s="6">
        <v>0</v>
      </c>
      <c r="T996" s="6">
        <v>42</v>
      </c>
      <c r="U996" s="6">
        <v>79</v>
      </c>
      <c r="V996" s="6">
        <f>IF(ISERROR(VLOOKUP($S$996,'TAR FIN'!$A$1:$O$85,15,0)),0,VLOOKUP($S$996,'TAR FIN'!$A$1:$O$85,15,0))</f>
        <v>0</v>
      </c>
      <c r="W996" s="6">
        <f>IF(ISERROR(VLOOKUP($T$996,'TAR FIN'!$A$1:$O$85,15,0)),0,VLOOKUP($T$996,'TAR FIN'!$A$1:$O$85,15,0))</f>
        <v>580.75</v>
      </c>
      <c r="X996" s="6">
        <f>IF(ISERROR(VLOOKUP($U$996,'TAR FIN'!$A$1:$O$85,15,0)),0,VLOOKUP($U$996,'TAR FIN'!$A$1:$O$85,15,0))</f>
        <v>307.08</v>
      </c>
      <c r="Y996" s="6"/>
      <c r="Z996" s="6">
        <f ca="1">('TUSD BE'!$AM$46+'TUSD BF'!$AM$46+'TUSD CVA'!$AM$46)*1</f>
        <v>716.33643413012067</v>
      </c>
      <c r="AA996" s="6">
        <f>('TE BE'!$AB$36+'TE BF'!$AB$36+'TE CVA'!$AB$36)*1</f>
        <v>304.87027853653359</v>
      </c>
      <c r="AB996" s="6">
        <f>$K$996*$V$996</f>
        <v>0</v>
      </c>
      <c r="AC996" s="6">
        <f>$M$996*$W$996</f>
        <v>-557.52</v>
      </c>
      <c r="AD996" s="6">
        <f>$O$996*$X$996</f>
        <v>-294.79679999999996</v>
      </c>
      <c r="AE996" s="6">
        <f>$K$996*$Y$996</f>
        <v>0</v>
      </c>
      <c r="AF996" s="6">
        <f ca="1">$M$996*$Z$996</f>
        <v>-687.68297676491579</v>
      </c>
      <c r="AG996" s="6">
        <f>$O$996*$AA$996</f>
        <v>-292.67546739507225</v>
      </c>
    </row>
    <row r="997" spans="1:33" ht="11.25" customHeight="1" x14ac:dyDescent="0.25">
      <c r="A997" s="4" t="s">
        <v>28</v>
      </c>
      <c r="B997" s="4" t="s">
        <v>37</v>
      </c>
      <c r="C997" s="4" t="s">
        <v>33</v>
      </c>
      <c r="D997" s="4" t="s">
        <v>41</v>
      </c>
      <c r="E997" s="4" t="s">
        <v>25</v>
      </c>
      <c r="F997" s="4" t="s">
        <v>25</v>
      </c>
      <c r="G997" s="4" t="s">
        <v>25</v>
      </c>
      <c r="H997" s="4" t="s">
        <v>36</v>
      </c>
      <c r="I997" s="5">
        <v>44621</v>
      </c>
      <c r="J997" s="6">
        <v>0</v>
      </c>
      <c r="K997" s="6">
        <v>0</v>
      </c>
      <c r="L997" s="6">
        <v>4.2000000000000003E-2</v>
      </c>
      <c r="M997" s="6">
        <v>4.2000000000000003E-2</v>
      </c>
      <c r="N997" s="6">
        <v>4.2000000000000003E-2</v>
      </c>
      <c r="O997" s="6">
        <v>4.2000000000000003E-2</v>
      </c>
      <c r="P997" s="6">
        <v>0</v>
      </c>
      <c r="Q997" s="4" t="s">
        <v>26</v>
      </c>
      <c r="R997" s="4">
        <v>0</v>
      </c>
      <c r="S997" s="6">
        <v>0</v>
      </c>
      <c r="T997" s="6">
        <v>42</v>
      </c>
      <c r="U997" s="6">
        <v>79</v>
      </c>
      <c r="V997" s="6">
        <f>IF(ISERROR(VLOOKUP($S$997,'TAR FIN'!$A$1:$O$85,15,0)),0,VLOOKUP($S$997,'TAR FIN'!$A$1:$O$85,15,0))</f>
        <v>0</v>
      </c>
      <c r="W997" s="6">
        <f>IF(ISERROR(VLOOKUP($T$997,'TAR FIN'!$A$1:$O$85,15,0)),0,VLOOKUP($T$997,'TAR FIN'!$A$1:$O$85,15,0))</f>
        <v>580.75</v>
      </c>
      <c r="X997" s="6">
        <f>IF(ISERROR(VLOOKUP($U$997,'TAR FIN'!$A$1:$O$85,15,0)),0,VLOOKUP($U$997,'TAR FIN'!$A$1:$O$85,15,0))</f>
        <v>307.08</v>
      </c>
      <c r="Y997" s="6"/>
      <c r="Z997" s="6">
        <f ca="1">('TUSD BE'!$AM$46+'TUSD BF'!$AM$46+'TUSD CVA'!$AM$46)*1</f>
        <v>716.33643413012067</v>
      </c>
      <c r="AA997" s="6">
        <f>('TE BE'!$AB$36+'TE BF'!$AB$36+'TE CVA'!$AB$36)*1</f>
        <v>304.87027853653359</v>
      </c>
      <c r="AB997" s="6">
        <f>$K$997*$V$997</f>
        <v>0</v>
      </c>
      <c r="AC997" s="6">
        <f>$M$997*$W$997</f>
        <v>24.391500000000001</v>
      </c>
      <c r="AD997" s="6">
        <f>$O$997*$X$997</f>
        <v>12.897360000000001</v>
      </c>
      <c r="AE997" s="6">
        <f>$K$997*$Y$997</f>
        <v>0</v>
      </c>
      <c r="AF997" s="6">
        <f ca="1">$M$997*$Z$997</f>
        <v>30.08613023346507</v>
      </c>
      <c r="AG997" s="6">
        <f>$O$997*$AA$997</f>
        <v>12.804551698534411</v>
      </c>
    </row>
    <row r="998" spans="1:33" ht="11.25" customHeight="1" x14ac:dyDescent="0.25">
      <c r="A998" s="4" t="s">
        <v>21</v>
      </c>
      <c r="B998" s="4" t="s">
        <v>37</v>
      </c>
      <c r="C998" s="4" t="s">
        <v>33</v>
      </c>
      <c r="D998" s="4" t="s">
        <v>41</v>
      </c>
      <c r="E998" s="4" t="s">
        <v>25</v>
      </c>
      <c r="F998" s="4" t="s">
        <v>25</v>
      </c>
      <c r="G998" s="4" t="s">
        <v>25</v>
      </c>
      <c r="H998" s="4" t="s">
        <v>36</v>
      </c>
      <c r="I998" s="5">
        <v>44652</v>
      </c>
      <c r="J998" s="6">
        <v>0</v>
      </c>
      <c r="K998" s="6">
        <v>0</v>
      </c>
      <c r="L998" s="6">
        <v>4.2560000000000002</v>
      </c>
      <c r="M998" s="6">
        <v>4.2560000000000002</v>
      </c>
      <c r="N998" s="6">
        <v>4.2560000000000002</v>
      </c>
      <c r="O998" s="6">
        <v>4.2560000000000002</v>
      </c>
      <c r="P998" s="6">
        <v>0</v>
      </c>
      <c r="Q998" s="4" t="s">
        <v>26</v>
      </c>
      <c r="R998" s="4">
        <v>0</v>
      </c>
      <c r="S998" s="6">
        <v>0</v>
      </c>
      <c r="T998" s="6">
        <v>42</v>
      </c>
      <c r="U998" s="6">
        <v>79</v>
      </c>
      <c r="V998" s="6">
        <f>IF(ISERROR(VLOOKUP($S$998,'TAR FIN'!$A$1:$O$85,15,0)),0,VLOOKUP($S$998,'TAR FIN'!$A$1:$O$85,15,0))</f>
        <v>0</v>
      </c>
      <c r="W998" s="6">
        <f>IF(ISERROR(VLOOKUP($T$998,'TAR FIN'!$A$1:$O$85,15,0)),0,VLOOKUP($T$998,'TAR FIN'!$A$1:$O$85,15,0))</f>
        <v>580.75</v>
      </c>
      <c r="X998" s="6">
        <f>IF(ISERROR(VLOOKUP($U$998,'TAR FIN'!$A$1:$O$85,15,0)),0,VLOOKUP($U$998,'TAR FIN'!$A$1:$O$85,15,0))</f>
        <v>307.08</v>
      </c>
      <c r="Y998" s="6"/>
      <c r="Z998" s="6">
        <f ca="1">('TUSD BE'!$AM$46+'TUSD BF'!$AM$46+'TUSD CVA'!$AM$46)*1</f>
        <v>716.33643413012067</v>
      </c>
      <c r="AA998" s="6">
        <f>('TE BE'!$AB$36+'TE BF'!$AB$36+'TE CVA'!$AB$36)*1</f>
        <v>304.87027853653359</v>
      </c>
      <c r="AB998" s="6">
        <f>$K$998*$V$998</f>
        <v>0</v>
      </c>
      <c r="AC998" s="6">
        <f>$M$998*$W$998</f>
        <v>2471.672</v>
      </c>
      <c r="AD998" s="6">
        <f>$O$998*$X$998</f>
        <v>1306.9324799999999</v>
      </c>
      <c r="AE998" s="6">
        <f>$K$998*$Y$998</f>
        <v>0</v>
      </c>
      <c r="AF998" s="6">
        <f ca="1">$M$998*$Z$998</f>
        <v>3048.7278636577939</v>
      </c>
      <c r="AG998" s="6">
        <f>$O$998*$AA$998</f>
        <v>1297.527905451487</v>
      </c>
    </row>
    <row r="999" spans="1:33" ht="11.25" customHeight="1" x14ac:dyDescent="0.25">
      <c r="A999" s="4" t="s">
        <v>28</v>
      </c>
      <c r="B999" s="4" t="s">
        <v>37</v>
      </c>
      <c r="C999" s="4" t="s">
        <v>33</v>
      </c>
      <c r="D999" s="4" t="s">
        <v>41</v>
      </c>
      <c r="E999" s="4" t="s">
        <v>25</v>
      </c>
      <c r="F999" s="4" t="s">
        <v>25</v>
      </c>
      <c r="G999" s="4" t="s">
        <v>25</v>
      </c>
      <c r="H999" s="4" t="s">
        <v>36</v>
      </c>
      <c r="I999" s="5">
        <v>44652</v>
      </c>
      <c r="J999" s="6">
        <v>0</v>
      </c>
      <c r="K999" s="6">
        <v>0</v>
      </c>
      <c r="L999" s="6">
        <v>0.124</v>
      </c>
      <c r="M999" s="6">
        <v>0.124</v>
      </c>
      <c r="N999" s="6">
        <v>0.124</v>
      </c>
      <c r="O999" s="6">
        <v>0.124</v>
      </c>
      <c r="P999" s="6">
        <v>0</v>
      </c>
      <c r="Q999" s="4" t="s">
        <v>26</v>
      </c>
      <c r="R999" s="4">
        <v>0</v>
      </c>
      <c r="S999" s="6">
        <v>0</v>
      </c>
      <c r="T999" s="6">
        <v>42</v>
      </c>
      <c r="U999" s="6">
        <v>79</v>
      </c>
      <c r="V999" s="6">
        <f>IF(ISERROR(VLOOKUP($S$999,'TAR FIN'!$A$1:$O$85,15,0)),0,VLOOKUP($S$999,'TAR FIN'!$A$1:$O$85,15,0))</f>
        <v>0</v>
      </c>
      <c r="W999" s="6">
        <f>IF(ISERROR(VLOOKUP($T$999,'TAR FIN'!$A$1:$O$85,15,0)),0,VLOOKUP($T$999,'TAR FIN'!$A$1:$O$85,15,0))</f>
        <v>580.75</v>
      </c>
      <c r="X999" s="6">
        <f>IF(ISERROR(VLOOKUP($U$999,'TAR FIN'!$A$1:$O$85,15,0)),0,VLOOKUP($U$999,'TAR FIN'!$A$1:$O$85,15,0))</f>
        <v>307.08</v>
      </c>
      <c r="Y999" s="6"/>
      <c r="Z999" s="6">
        <f ca="1">('TUSD BE'!$AM$46+'TUSD BF'!$AM$46+'TUSD CVA'!$AM$46)*1</f>
        <v>716.33643413012067</v>
      </c>
      <c r="AA999" s="6">
        <f>('TE BE'!$AB$36+'TE BF'!$AB$36+'TE CVA'!$AB$36)*1</f>
        <v>304.87027853653359</v>
      </c>
      <c r="AB999" s="6">
        <f>$K$999*$V$999</f>
        <v>0</v>
      </c>
      <c r="AC999" s="6">
        <f>$M$999*$W$999</f>
        <v>72.013000000000005</v>
      </c>
      <c r="AD999" s="6">
        <f>$O$999*$X$999</f>
        <v>38.077919999999999</v>
      </c>
      <c r="AE999" s="6">
        <f>$K$999*$Y$999</f>
        <v>0</v>
      </c>
      <c r="AF999" s="6">
        <f ca="1">$M$999*$Z$999</f>
        <v>88.825717832134956</v>
      </c>
      <c r="AG999" s="6">
        <f>$O$999*$AA$999</f>
        <v>37.803914538530165</v>
      </c>
    </row>
    <row r="1000" spans="1:33" ht="11.25" customHeight="1" x14ac:dyDescent="0.25">
      <c r="A1000" s="4" t="s">
        <v>21</v>
      </c>
      <c r="B1000" s="4" t="s">
        <v>37</v>
      </c>
      <c r="C1000" s="4" t="s">
        <v>33</v>
      </c>
      <c r="D1000" s="4" t="s">
        <v>41</v>
      </c>
      <c r="E1000" s="4" t="s">
        <v>25</v>
      </c>
      <c r="F1000" s="4" t="s">
        <v>25</v>
      </c>
      <c r="G1000" s="4" t="s">
        <v>25</v>
      </c>
      <c r="H1000" s="4" t="s">
        <v>36</v>
      </c>
      <c r="I1000" s="5">
        <v>44682</v>
      </c>
      <c r="J1000" s="6">
        <v>0</v>
      </c>
      <c r="K1000" s="6">
        <v>0</v>
      </c>
      <c r="L1000" s="6">
        <v>3.5950000000000002</v>
      </c>
      <c r="M1000" s="6">
        <v>3.5950000000000002</v>
      </c>
      <c r="N1000" s="6">
        <v>3.5950000000000002</v>
      </c>
      <c r="O1000" s="6">
        <v>3.5950000000000002</v>
      </c>
      <c r="P1000" s="6">
        <v>0</v>
      </c>
      <c r="Q1000" s="4" t="s">
        <v>26</v>
      </c>
      <c r="R1000" s="4">
        <v>0</v>
      </c>
      <c r="S1000" s="6">
        <v>0</v>
      </c>
      <c r="T1000" s="6">
        <v>42</v>
      </c>
      <c r="U1000" s="6">
        <v>79</v>
      </c>
      <c r="V1000" s="6">
        <f>IF(ISERROR(VLOOKUP($S$1000,'TAR FIN'!$A$1:$O$85,15,0)),0,VLOOKUP($S$1000,'TAR FIN'!$A$1:$O$85,15,0))</f>
        <v>0</v>
      </c>
      <c r="W1000" s="6">
        <f>IF(ISERROR(VLOOKUP($T$1000,'TAR FIN'!$A$1:$O$85,15,0)),0,VLOOKUP($T$1000,'TAR FIN'!$A$1:$O$85,15,0))</f>
        <v>580.75</v>
      </c>
      <c r="X1000" s="6">
        <f>IF(ISERROR(VLOOKUP($U$1000,'TAR FIN'!$A$1:$O$85,15,0)),0,VLOOKUP($U$1000,'TAR FIN'!$A$1:$O$85,15,0))</f>
        <v>307.08</v>
      </c>
      <c r="Y1000" s="6"/>
      <c r="Z1000" s="6">
        <f ca="1">('TUSD BE'!$AM$46+'TUSD BF'!$AM$46+'TUSD CVA'!$AM$46)*1</f>
        <v>716.33643413012067</v>
      </c>
      <c r="AA1000" s="6">
        <f>('TE BE'!$AB$36+'TE BF'!$AB$36+'TE CVA'!$AB$36)*1</f>
        <v>304.87027853653359</v>
      </c>
      <c r="AB1000" s="6">
        <f>$K$1000*$V$1000</f>
        <v>0</v>
      </c>
      <c r="AC1000" s="6">
        <f>$M$1000*$W$1000</f>
        <v>2087.7962500000003</v>
      </c>
      <c r="AD1000" s="6">
        <f>$O$1000*$X$1000</f>
        <v>1103.9526000000001</v>
      </c>
      <c r="AE1000" s="6">
        <f>$K$1000*$Y$1000</f>
        <v>0</v>
      </c>
      <c r="AF1000" s="6">
        <f ca="1">$M$1000*$Z$1000</f>
        <v>2575.2294806977839</v>
      </c>
      <c r="AG1000" s="6">
        <f>$O$1000*$AA$1000</f>
        <v>1096.0086513388383</v>
      </c>
    </row>
    <row r="1001" spans="1:33" ht="11.25" customHeight="1" x14ac:dyDescent="0.25">
      <c r="A1001" s="4" t="s">
        <v>28</v>
      </c>
      <c r="B1001" s="4" t="s">
        <v>37</v>
      </c>
      <c r="C1001" s="4" t="s">
        <v>33</v>
      </c>
      <c r="D1001" s="4" t="s">
        <v>41</v>
      </c>
      <c r="E1001" s="4" t="s">
        <v>25</v>
      </c>
      <c r="F1001" s="4" t="s">
        <v>25</v>
      </c>
      <c r="G1001" s="4" t="s">
        <v>25</v>
      </c>
      <c r="H1001" s="4" t="s">
        <v>36</v>
      </c>
      <c r="I1001" s="5">
        <v>44682</v>
      </c>
      <c r="J1001" s="6">
        <v>0</v>
      </c>
      <c r="K1001" s="6">
        <v>0</v>
      </c>
      <c r="L1001" s="6">
        <v>0.20599999999999999</v>
      </c>
      <c r="M1001" s="6">
        <v>0.20599999999999999</v>
      </c>
      <c r="N1001" s="6">
        <v>0.20599999999999999</v>
      </c>
      <c r="O1001" s="6">
        <v>0.20599999999999999</v>
      </c>
      <c r="P1001" s="6">
        <v>0</v>
      </c>
      <c r="Q1001" s="4" t="s">
        <v>26</v>
      </c>
      <c r="R1001" s="4">
        <v>0</v>
      </c>
      <c r="S1001" s="6">
        <v>0</v>
      </c>
      <c r="T1001" s="6">
        <v>42</v>
      </c>
      <c r="U1001" s="6">
        <v>79</v>
      </c>
      <c r="V1001" s="6">
        <f>IF(ISERROR(VLOOKUP($S$1001,'TAR FIN'!$A$1:$O$85,15,0)),0,VLOOKUP($S$1001,'TAR FIN'!$A$1:$O$85,15,0))</f>
        <v>0</v>
      </c>
      <c r="W1001" s="6">
        <f>IF(ISERROR(VLOOKUP($T$1001,'TAR FIN'!$A$1:$O$85,15,0)),0,VLOOKUP($T$1001,'TAR FIN'!$A$1:$O$85,15,0))</f>
        <v>580.75</v>
      </c>
      <c r="X1001" s="6">
        <f>IF(ISERROR(VLOOKUP($U$1001,'TAR FIN'!$A$1:$O$85,15,0)),0,VLOOKUP($U$1001,'TAR FIN'!$A$1:$O$85,15,0))</f>
        <v>307.08</v>
      </c>
      <c r="Y1001" s="6"/>
      <c r="Z1001" s="6">
        <f ca="1">('TUSD BE'!$AM$46+'TUSD BF'!$AM$46+'TUSD CVA'!$AM$46)*1</f>
        <v>716.33643413012067</v>
      </c>
      <c r="AA1001" s="6">
        <f>('TE BE'!$AB$36+'TE BF'!$AB$36+'TE CVA'!$AB$36)*1</f>
        <v>304.87027853653359</v>
      </c>
      <c r="AB1001" s="6">
        <f>$K$1001*$V$1001</f>
        <v>0</v>
      </c>
      <c r="AC1001" s="6">
        <f>$M$1001*$W$1001</f>
        <v>119.63449999999999</v>
      </c>
      <c r="AD1001" s="6">
        <f>$O$1001*$X$1001</f>
        <v>63.258479999999992</v>
      </c>
      <c r="AE1001" s="6">
        <f>$K$1001*$Y$1001</f>
        <v>0</v>
      </c>
      <c r="AF1001" s="6">
        <f ca="1">$M$1001*$Z$1001</f>
        <v>147.56530543080484</v>
      </c>
      <c r="AG1001" s="6">
        <f>$O$1001*$AA$1001</f>
        <v>62.80327737852592</v>
      </c>
    </row>
    <row r="1002" spans="1:33" ht="11.25" customHeight="1" x14ac:dyDescent="0.25">
      <c r="A1002" s="4" t="s">
        <v>21</v>
      </c>
      <c r="B1002" s="4" t="s">
        <v>37</v>
      </c>
      <c r="C1002" s="4" t="s">
        <v>33</v>
      </c>
      <c r="D1002" s="4" t="s">
        <v>41</v>
      </c>
      <c r="E1002" s="4" t="s">
        <v>25</v>
      </c>
      <c r="F1002" s="4" t="s">
        <v>25</v>
      </c>
      <c r="G1002" s="4" t="s">
        <v>25</v>
      </c>
      <c r="H1002" s="4" t="s">
        <v>36</v>
      </c>
      <c r="I1002" s="5">
        <v>44713</v>
      </c>
      <c r="J1002" s="6">
        <v>0</v>
      </c>
      <c r="K1002" s="6">
        <v>0</v>
      </c>
      <c r="L1002" s="6">
        <v>2.8490000000000002</v>
      </c>
      <c r="M1002" s="6">
        <v>2.8490000000000002</v>
      </c>
      <c r="N1002" s="6">
        <v>2.8490000000000002</v>
      </c>
      <c r="O1002" s="6">
        <v>2.8490000000000002</v>
      </c>
      <c r="P1002" s="6">
        <v>0</v>
      </c>
      <c r="Q1002" s="4" t="s">
        <v>26</v>
      </c>
      <c r="R1002" s="4">
        <v>0</v>
      </c>
      <c r="S1002" s="6">
        <v>0</v>
      </c>
      <c r="T1002" s="6">
        <v>42</v>
      </c>
      <c r="U1002" s="6">
        <v>79</v>
      </c>
      <c r="V1002" s="6">
        <f>IF(ISERROR(VLOOKUP($S$1002,'TAR FIN'!$A$1:$O$85,15,0)),0,VLOOKUP($S$1002,'TAR FIN'!$A$1:$O$85,15,0))</f>
        <v>0</v>
      </c>
      <c r="W1002" s="6">
        <f>IF(ISERROR(VLOOKUP($T$1002,'TAR FIN'!$A$1:$O$85,15,0)),0,VLOOKUP($T$1002,'TAR FIN'!$A$1:$O$85,15,0))</f>
        <v>580.75</v>
      </c>
      <c r="X1002" s="6">
        <f>IF(ISERROR(VLOOKUP($U$1002,'TAR FIN'!$A$1:$O$85,15,0)),0,VLOOKUP($U$1002,'TAR FIN'!$A$1:$O$85,15,0))</f>
        <v>307.08</v>
      </c>
      <c r="Y1002" s="6"/>
      <c r="Z1002" s="6">
        <f ca="1">('TUSD BE'!$AM$46+'TUSD BF'!$AM$46+'TUSD CVA'!$AM$46)*1</f>
        <v>716.33643413012067</v>
      </c>
      <c r="AA1002" s="6">
        <f>('TE BE'!$AB$36+'TE BF'!$AB$36+'TE CVA'!$AB$36)*1</f>
        <v>304.87027853653359</v>
      </c>
      <c r="AB1002" s="6">
        <f>$K$1002*$V$1002</f>
        <v>0</v>
      </c>
      <c r="AC1002" s="6">
        <f>$M$1002*$W$1002</f>
        <v>1654.5567500000002</v>
      </c>
      <c r="AD1002" s="6">
        <f>$O$1002*$X$1002</f>
        <v>874.87092000000007</v>
      </c>
      <c r="AE1002" s="6">
        <f>$K$1002*$Y$1002</f>
        <v>0</v>
      </c>
      <c r="AF1002" s="6">
        <f ca="1">$M$1002*$Z$1002</f>
        <v>2040.842500836714</v>
      </c>
      <c r="AG1002" s="6">
        <f>$O$1002*$AA$1002</f>
        <v>868.57542355058422</v>
      </c>
    </row>
    <row r="1003" spans="1:33" ht="11.25" customHeight="1" x14ac:dyDescent="0.25">
      <c r="A1003" s="4" t="s">
        <v>28</v>
      </c>
      <c r="B1003" s="4" t="s">
        <v>37</v>
      </c>
      <c r="C1003" s="4" t="s">
        <v>33</v>
      </c>
      <c r="D1003" s="4" t="s">
        <v>41</v>
      </c>
      <c r="E1003" s="4" t="s">
        <v>25</v>
      </c>
      <c r="F1003" s="4" t="s">
        <v>25</v>
      </c>
      <c r="G1003" s="4" t="s">
        <v>25</v>
      </c>
      <c r="H1003" s="4" t="s">
        <v>36</v>
      </c>
      <c r="I1003" s="5">
        <v>44713</v>
      </c>
      <c r="J1003" s="6">
        <v>0</v>
      </c>
      <c r="K1003" s="6">
        <v>0</v>
      </c>
      <c r="L1003" s="6">
        <v>9.6000000000000002E-2</v>
      </c>
      <c r="M1003" s="6">
        <v>9.6000000000000002E-2</v>
      </c>
      <c r="N1003" s="6">
        <v>9.6000000000000002E-2</v>
      </c>
      <c r="O1003" s="6">
        <v>9.6000000000000002E-2</v>
      </c>
      <c r="P1003" s="6">
        <v>0</v>
      </c>
      <c r="Q1003" s="4" t="s">
        <v>26</v>
      </c>
      <c r="R1003" s="4">
        <v>0</v>
      </c>
      <c r="S1003" s="6">
        <v>0</v>
      </c>
      <c r="T1003" s="6">
        <v>42</v>
      </c>
      <c r="U1003" s="6">
        <v>79</v>
      </c>
      <c r="V1003" s="6">
        <f>IF(ISERROR(VLOOKUP($S$1003,'TAR FIN'!$A$1:$O$85,15,0)),0,VLOOKUP($S$1003,'TAR FIN'!$A$1:$O$85,15,0))</f>
        <v>0</v>
      </c>
      <c r="W1003" s="6">
        <f>IF(ISERROR(VLOOKUP($T$1003,'TAR FIN'!$A$1:$O$85,15,0)),0,VLOOKUP($T$1003,'TAR FIN'!$A$1:$O$85,15,0))</f>
        <v>580.75</v>
      </c>
      <c r="X1003" s="6">
        <f>IF(ISERROR(VLOOKUP($U$1003,'TAR FIN'!$A$1:$O$85,15,0)),0,VLOOKUP($U$1003,'TAR FIN'!$A$1:$O$85,15,0))</f>
        <v>307.08</v>
      </c>
      <c r="Y1003" s="6"/>
      <c r="Z1003" s="6">
        <f ca="1">('TUSD BE'!$AM$46+'TUSD BF'!$AM$46+'TUSD CVA'!$AM$46)*1</f>
        <v>716.33643413012067</v>
      </c>
      <c r="AA1003" s="6">
        <f>('TE BE'!$AB$36+'TE BF'!$AB$36+'TE CVA'!$AB$36)*1</f>
        <v>304.87027853653359</v>
      </c>
      <c r="AB1003" s="6">
        <f>$K$1003*$V$1003</f>
        <v>0</v>
      </c>
      <c r="AC1003" s="6">
        <f>$M$1003*$W$1003</f>
        <v>55.752000000000002</v>
      </c>
      <c r="AD1003" s="6">
        <f>$O$1003*$X$1003</f>
        <v>29.479679999999998</v>
      </c>
      <c r="AE1003" s="6">
        <f>$K$1003*$Y$1003</f>
        <v>0</v>
      </c>
      <c r="AF1003" s="6">
        <f ca="1">$M$1003*$Z$1003</f>
        <v>68.768297676491585</v>
      </c>
      <c r="AG1003" s="6">
        <f>$O$1003*$AA$1003</f>
        <v>29.267546739507225</v>
      </c>
    </row>
    <row r="1004" spans="1:33" ht="11.25" customHeight="1" x14ac:dyDescent="0.25">
      <c r="A1004" s="4" t="s">
        <v>21</v>
      </c>
      <c r="B1004" s="4" t="s">
        <v>37</v>
      </c>
      <c r="C1004" s="4" t="s">
        <v>33</v>
      </c>
      <c r="D1004" s="4" t="s">
        <v>41</v>
      </c>
      <c r="E1004" s="4" t="s">
        <v>25</v>
      </c>
      <c r="F1004" s="4" t="s">
        <v>25</v>
      </c>
      <c r="G1004" s="4" t="s">
        <v>25</v>
      </c>
      <c r="H1004" s="4" t="s">
        <v>36</v>
      </c>
      <c r="I1004" s="5">
        <v>44743</v>
      </c>
      <c r="J1004" s="6">
        <v>0</v>
      </c>
      <c r="K1004" s="6">
        <v>0</v>
      </c>
      <c r="L1004" s="6">
        <v>2.4489999999999998</v>
      </c>
      <c r="M1004" s="6">
        <v>2.4489999999999998</v>
      </c>
      <c r="N1004" s="6">
        <v>2.4489999999999998</v>
      </c>
      <c r="O1004" s="6">
        <v>2.4489999999999998</v>
      </c>
      <c r="P1004" s="6">
        <v>0</v>
      </c>
      <c r="Q1004" s="4" t="s">
        <v>26</v>
      </c>
      <c r="R1004" s="4">
        <v>0</v>
      </c>
      <c r="S1004" s="6">
        <v>0</v>
      </c>
      <c r="T1004" s="6">
        <v>42</v>
      </c>
      <c r="U1004" s="6">
        <v>79</v>
      </c>
      <c r="V1004" s="6">
        <f>IF(ISERROR(VLOOKUP($S$1004,'TAR FIN'!$A$1:$O$85,15,0)),0,VLOOKUP($S$1004,'TAR FIN'!$A$1:$O$85,15,0))</f>
        <v>0</v>
      </c>
      <c r="W1004" s="6">
        <f>IF(ISERROR(VLOOKUP($T$1004,'TAR FIN'!$A$1:$O$85,15,0)),0,VLOOKUP($T$1004,'TAR FIN'!$A$1:$O$85,15,0))</f>
        <v>580.75</v>
      </c>
      <c r="X1004" s="6">
        <f>IF(ISERROR(VLOOKUP($U$1004,'TAR FIN'!$A$1:$O$85,15,0)),0,VLOOKUP($U$1004,'TAR FIN'!$A$1:$O$85,15,0))</f>
        <v>307.08</v>
      </c>
      <c r="Y1004" s="6"/>
      <c r="Z1004" s="6">
        <f ca="1">('TUSD BE'!$AM$46+'TUSD BF'!$AM$46+'TUSD CVA'!$AM$46)*1</f>
        <v>716.33643413012067</v>
      </c>
      <c r="AA1004" s="6">
        <f>('TE BE'!$AB$36+'TE BF'!$AB$36+'TE CVA'!$AB$36)*1</f>
        <v>304.87027853653359</v>
      </c>
      <c r="AB1004" s="6">
        <f>$K$1004*$V$1004</f>
        <v>0</v>
      </c>
      <c r="AC1004" s="6">
        <f>$M$1004*$W$1004</f>
        <v>1422.25675</v>
      </c>
      <c r="AD1004" s="6">
        <f>$O$1004*$X$1004</f>
        <v>752.03891999999996</v>
      </c>
      <c r="AE1004" s="6">
        <f>$K$1004*$Y$1004</f>
        <v>0</v>
      </c>
      <c r="AF1004" s="6">
        <f ca="1">$M$1004*$Z$1004</f>
        <v>1754.3079271846655</v>
      </c>
      <c r="AG1004" s="6">
        <f>$O$1004*$AA$1004</f>
        <v>746.62731213597067</v>
      </c>
    </row>
    <row r="1005" spans="1:33" ht="11.25" customHeight="1" x14ac:dyDescent="0.25">
      <c r="A1005" s="4" t="s">
        <v>28</v>
      </c>
      <c r="B1005" s="4" t="s">
        <v>37</v>
      </c>
      <c r="C1005" s="4" t="s">
        <v>33</v>
      </c>
      <c r="D1005" s="4" t="s">
        <v>41</v>
      </c>
      <c r="E1005" s="4" t="s">
        <v>25</v>
      </c>
      <c r="F1005" s="4" t="s">
        <v>25</v>
      </c>
      <c r="G1005" s="4" t="s">
        <v>25</v>
      </c>
      <c r="H1005" s="4" t="s">
        <v>36</v>
      </c>
      <c r="I1005" s="5">
        <v>44743</v>
      </c>
      <c r="J1005" s="6">
        <v>0</v>
      </c>
      <c r="K1005" s="6">
        <v>0</v>
      </c>
      <c r="L1005" s="6">
        <v>0.17199999999999999</v>
      </c>
      <c r="M1005" s="6">
        <v>0.17199999999999999</v>
      </c>
      <c r="N1005" s="6">
        <v>0.17199999999999999</v>
      </c>
      <c r="O1005" s="6">
        <v>0.17199999999999999</v>
      </c>
      <c r="P1005" s="6">
        <v>0</v>
      </c>
      <c r="Q1005" s="4" t="s">
        <v>26</v>
      </c>
      <c r="R1005" s="4">
        <v>0</v>
      </c>
      <c r="S1005" s="6">
        <v>0</v>
      </c>
      <c r="T1005" s="6">
        <v>42</v>
      </c>
      <c r="U1005" s="6">
        <v>79</v>
      </c>
      <c r="V1005" s="6">
        <f>IF(ISERROR(VLOOKUP($S$1005,'TAR FIN'!$A$1:$O$85,15,0)),0,VLOOKUP($S$1005,'TAR FIN'!$A$1:$O$85,15,0))</f>
        <v>0</v>
      </c>
      <c r="W1005" s="6">
        <f>IF(ISERROR(VLOOKUP($T$1005,'TAR FIN'!$A$1:$O$85,15,0)),0,VLOOKUP($T$1005,'TAR FIN'!$A$1:$O$85,15,0))</f>
        <v>580.75</v>
      </c>
      <c r="X1005" s="6">
        <f>IF(ISERROR(VLOOKUP($U$1005,'TAR FIN'!$A$1:$O$85,15,0)),0,VLOOKUP($U$1005,'TAR FIN'!$A$1:$O$85,15,0))</f>
        <v>307.08</v>
      </c>
      <c r="Y1005" s="6"/>
      <c r="Z1005" s="6">
        <f ca="1">('TUSD BE'!$AM$46+'TUSD BF'!$AM$46+'TUSD CVA'!$AM$46)*1</f>
        <v>716.33643413012067</v>
      </c>
      <c r="AA1005" s="6">
        <f>('TE BE'!$AB$36+'TE BF'!$AB$36+'TE CVA'!$AB$36)*1</f>
        <v>304.87027853653359</v>
      </c>
      <c r="AB1005" s="6">
        <f>$K$1005*$V$1005</f>
        <v>0</v>
      </c>
      <c r="AC1005" s="6">
        <f>$M$1005*$W$1005</f>
        <v>99.888999999999996</v>
      </c>
      <c r="AD1005" s="6">
        <f>$O$1005*$X$1005</f>
        <v>52.817759999999993</v>
      </c>
      <c r="AE1005" s="6">
        <f>$K$1005*$Y$1005</f>
        <v>0</v>
      </c>
      <c r="AF1005" s="6">
        <f ca="1">$M$1005*$Z$1005</f>
        <v>123.20986667038075</v>
      </c>
      <c r="AG1005" s="6">
        <f>$O$1005*$AA$1005</f>
        <v>52.43768790828377</v>
      </c>
    </row>
    <row r="1006" spans="1:33" ht="11.25" customHeight="1" x14ac:dyDescent="0.25">
      <c r="A1006" s="4" t="s">
        <v>56</v>
      </c>
      <c r="B1006" s="4" t="s">
        <v>37</v>
      </c>
      <c r="C1006" s="4" t="s">
        <v>33</v>
      </c>
      <c r="D1006" s="4" t="s">
        <v>41</v>
      </c>
      <c r="E1006" s="4" t="s">
        <v>25</v>
      </c>
      <c r="F1006" s="4" t="s">
        <v>25</v>
      </c>
      <c r="G1006" s="4" t="s">
        <v>25</v>
      </c>
      <c r="H1006" s="4" t="s">
        <v>36</v>
      </c>
      <c r="I1006" s="5">
        <v>44774</v>
      </c>
      <c r="J1006" s="6">
        <v>0</v>
      </c>
      <c r="K1006" s="6">
        <v>0</v>
      </c>
      <c r="L1006" s="6">
        <v>2.4489999999999998</v>
      </c>
      <c r="M1006" s="6">
        <v>2.4489999999999998</v>
      </c>
      <c r="N1006" s="6">
        <v>2.4489999999999998</v>
      </c>
      <c r="O1006" s="6">
        <v>2.4489999999999998</v>
      </c>
      <c r="P1006" s="6">
        <v>0</v>
      </c>
      <c r="Q1006" s="4" t="s">
        <v>26</v>
      </c>
      <c r="R1006" s="4">
        <v>0</v>
      </c>
      <c r="S1006" s="6">
        <v>0</v>
      </c>
      <c r="T1006" s="6">
        <v>42</v>
      </c>
      <c r="U1006" s="6">
        <v>79</v>
      </c>
      <c r="V1006" s="6">
        <f>IF(ISERROR(VLOOKUP($S$1006,'TAR FIN'!$A$1:$O$85,15,0)),0,VLOOKUP($S$1006,'TAR FIN'!$A$1:$O$85,15,0))</f>
        <v>0</v>
      </c>
      <c r="W1006" s="6">
        <f>IF(ISERROR(VLOOKUP($T$1006,'TAR FIN'!$A$1:$O$85,15,0)),0,VLOOKUP($T$1006,'TAR FIN'!$A$1:$O$85,15,0))</f>
        <v>580.75</v>
      </c>
      <c r="X1006" s="6">
        <f>IF(ISERROR(VLOOKUP($U$1006,'TAR FIN'!$A$1:$O$85,15,0)),0,VLOOKUP($U$1006,'TAR FIN'!$A$1:$O$85,15,0))</f>
        <v>307.08</v>
      </c>
      <c r="Y1006" s="6"/>
      <c r="Z1006" s="6">
        <f ca="1">('TUSD BE'!$AM$46+'TUSD BF'!$AM$46+'TUSD CVA'!$AM$46)*1</f>
        <v>716.33643413012067</v>
      </c>
      <c r="AA1006" s="6">
        <f>('TE BE'!$AB$36+'TE BF'!$AB$36+'TE CVA'!$AB$36)*1</f>
        <v>304.87027853653359</v>
      </c>
      <c r="AB1006" s="6">
        <f>$K$1006*$V$1006</f>
        <v>0</v>
      </c>
      <c r="AC1006" s="6">
        <f>$M$1006*$W$1006</f>
        <v>1422.25675</v>
      </c>
      <c r="AD1006" s="6">
        <f>$O$1006*$X$1006</f>
        <v>752.03891999999996</v>
      </c>
      <c r="AE1006" s="6">
        <f>$K$1006*$Y$1006</f>
        <v>0</v>
      </c>
      <c r="AF1006" s="6">
        <f ca="1">$M$1006*$Z$1006</f>
        <v>1754.3079271846655</v>
      </c>
      <c r="AG1006" s="6">
        <f>$O$1006*$AA$1006</f>
        <v>746.62731213597067</v>
      </c>
    </row>
    <row r="1007" spans="1:33" ht="11.25" customHeight="1" x14ac:dyDescent="0.25">
      <c r="A1007" s="4" t="s">
        <v>56</v>
      </c>
      <c r="B1007" s="4" t="s">
        <v>37</v>
      </c>
      <c r="C1007" s="4" t="s">
        <v>33</v>
      </c>
      <c r="D1007" s="4" t="s">
        <v>41</v>
      </c>
      <c r="E1007" s="4" t="s">
        <v>25</v>
      </c>
      <c r="F1007" s="4" t="s">
        <v>25</v>
      </c>
      <c r="G1007" s="4" t="s">
        <v>25</v>
      </c>
      <c r="H1007" s="4" t="s">
        <v>36</v>
      </c>
      <c r="I1007" s="5">
        <v>44774</v>
      </c>
      <c r="J1007" s="6">
        <v>0</v>
      </c>
      <c r="K1007" s="6">
        <v>0</v>
      </c>
      <c r="L1007" s="6">
        <v>0.17199999999999999</v>
      </c>
      <c r="M1007" s="6">
        <v>0.17199999999999999</v>
      </c>
      <c r="N1007" s="6">
        <v>0.17199999999999999</v>
      </c>
      <c r="O1007" s="6">
        <v>0.17199999999999999</v>
      </c>
      <c r="P1007" s="6">
        <v>0</v>
      </c>
      <c r="Q1007" s="4" t="s">
        <v>26</v>
      </c>
      <c r="R1007" s="4">
        <v>0</v>
      </c>
      <c r="S1007" s="6">
        <v>0</v>
      </c>
      <c r="T1007" s="6">
        <v>42</v>
      </c>
      <c r="U1007" s="6">
        <v>79</v>
      </c>
      <c r="V1007" s="6">
        <f>IF(ISERROR(VLOOKUP($S$1007,'TAR FIN'!$A$1:$O$85,15,0)),0,VLOOKUP($S$1007,'TAR FIN'!$A$1:$O$85,15,0))</f>
        <v>0</v>
      </c>
      <c r="W1007" s="6">
        <f>IF(ISERROR(VLOOKUP($T$1007,'TAR FIN'!$A$1:$O$85,15,0)),0,VLOOKUP($T$1007,'TAR FIN'!$A$1:$O$85,15,0))</f>
        <v>580.75</v>
      </c>
      <c r="X1007" s="6">
        <f>IF(ISERROR(VLOOKUP($U$1007,'TAR FIN'!$A$1:$O$85,15,0)),0,VLOOKUP($U$1007,'TAR FIN'!$A$1:$O$85,15,0))</f>
        <v>307.08</v>
      </c>
      <c r="Y1007" s="6"/>
      <c r="Z1007" s="6">
        <f ca="1">('TUSD BE'!$AM$46+'TUSD BF'!$AM$46+'TUSD CVA'!$AM$46)*1</f>
        <v>716.33643413012067</v>
      </c>
      <c r="AA1007" s="6">
        <f>('TE BE'!$AB$36+'TE BF'!$AB$36+'TE CVA'!$AB$36)*1</f>
        <v>304.87027853653359</v>
      </c>
      <c r="AB1007" s="6">
        <f>$K$1007*$V$1007</f>
        <v>0</v>
      </c>
      <c r="AC1007" s="6">
        <f>$M$1007*$W$1007</f>
        <v>99.888999999999996</v>
      </c>
      <c r="AD1007" s="6">
        <f>$O$1007*$X$1007</f>
        <v>52.817759999999993</v>
      </c>
      <c r="AE1007" s="6">
        <f>$K$1007*$Y$1007</f>
        <v>0</v>
      </c>
      <c r="AF1007" s="6">
        <f ca="1">$M$1007*$Z$1007</f>
        <v>123.20986667038075</v>
      </c>
      <c r="AG1007" s="6">
        <f>$O$1007*$AA$1007</f>
        <v>52.43768790828377</v>
      </c>
    </row>
    <row r="1008" spans="1:33" ht="11.25" customHeight="1" x14ac:dyDescent="0.25">
      <c r="A1008" s="4" t="s">
        <v>28</v>
      </c>
      <c r="B1008" s="4" t="s">
        <v>37</v>
      </c>
      <c r="C1008" s="4" t="s">
        <v>33</v>
      </c>
      <c r="D1008" s="4" t="s">
        <v>41</v>
      </c>
      <c r="E1008" s="4" t="s">
        <v>25</v>
      </c>
      <c r="F1008" s="4" t="s">
        <v>25</v>
      </c>
      <c r="G1008" s="4" t="s">
        <v>25</v>
      </c>
      <c r="H1008" s="4" t="s">
        <v>25</v>
      </c>
      <c r="I1008" s="5">
        <v>44440</v>
      </c>
      <c r="J1008" s="6">
        <v>0</v>
      </c>
      <c r="K1008" s="6">
        <v>0</v>
      </c>
      <c r="L1008" s="6">
        <v>0.2</v>
      </c>
      <c r="M1008" s="6">
        <v>0.2</v>
      </c>
      <c r="N1008" s="6">
        <v>0.2</v>
      </c>
      <c r="O1008" s="6">
        <v>0.2</v>
      </c>
      <c r="P1008" s="6">
        <v>2</v>
      </c>
      <c r="Q1008" s="4" t="s">
        <v>26</v>
      </c>
      <c r="R1008" s="4">
        <v>0</v>
      </c>
      <c r="S1008" s="6">
        <v>0</v>
      </c>
      <c r="T1008" s="6">
        <v>44</v>
      </c>
      <c r="U1008" s="6">
        <v>81</v>
      </c>
      <c r="V1008" s="6">
        <f>IF(ISERROR(VLOOKUP($S$1008,'TAR FIN'!$A$1:$O$85,15,0)),0,VLOOKUP($S$1008,'TAR FIN'!$A$1:$O$85,15,0))</f>
        <v>0</v>
      </c>
      <c r="W1008" s="6">
        <f>IF(ISERROR(VLOOKUP($T$1008,'TAR FIN'!$A$1:$O$85,15,0)),0,VLOOKUP($T$1008,'TAR FIN'!$A$1:$O$85,15,0))</f>
        <v>324.88</v>
      </c>
      <c r="X1008" s="6">
        <f>IF(ISERROR(VLOOKUP($U$1008,'TAR FIN'!$A$1:$O$85,15,0)),0,VLOOKUP($U$1008,'TAR FIN'!$A$1:$O$85,15,0))</f>
        <v>322.54000000000002</v>
      </c>
      <c r="Y1008" s="6"/>
      <c r="Z1008" s="6">
        <f ca="1">('TUSD BE'!$AM$48+'TUSD BF'!$AM$48+'TUSD CVA'!$AM$48)*1</f>
        <v>434.80310925202969</v>
      </c>
      <c r="AA1008" s="6">
        <f>('TE BE'!$AB$38+'TE BF'!$AB$38+'TE CVA'!$AB$38)*1</f>
        <v>319.954086693367</v>
      </c>
      <c r="AB1008" s="6">
        <f>$K$1008*$V$1008</f>
        <v>0</v>
      </c>
      <c r="AC1008" s="6">
        <f>$M$1008*$W$1008</f>
        <v>64.975999999999999</v>
      </c>
      <c r="AD1008" s="6">
        <f>$O$1008*$X$1008</f>
        <v>64.50800000000001</v>
      </c>
      <c r="AE1008" s="6">
        <f>$K$1008*$Y$1008</f>
        <v>0</v>
      </c>
      <c r="AF1008" s="6">
        <f ca="1">$M$1008*$Z$1008</f>
        <v>86.960621850405943</v>
      </c>
      <c r="AG1008" s="6">
        <f>$O$1008*$AA$1008</f>
        <v>63.990817338673402</v>
      </c>
    </row>
    <row r="1009" spans="1:33" ht="11.25" customHeight="1" x14ac:dyDescent="0.25">
      <c r="A1009" s="4" t="s">
        <v>28</v>
      </c>
      <c r="B1009" s="4" t="s">
        <v>37</v>
      </c>
      <c r="C1009" s="4" t="s">
        <v>33</v>
      </c>
      <c r="D1009" s="4" t="s">
        <v>41</v>
      </c>
      <c r="E1009" s="4" t="s">
        <v>25</v>
      </c>
      <c r="F1009" s="4" t="s">
        <v>25</v>
      </c>
      <c r="G1009" s="4" t="s">
        <v>25</v>
      </c>
      <c r="H1009" s="4" t="s">
        <v>25</v>
      </c>
      <c r="I1009" s="5">
        <v>44440</v>
      </c>
      <c r="J1009" s="6">
        <v>0</v>
      </c>
      <c r="K1009" s="6">
        <v>0</v>
      </c>
      <c r="L1009" s="6">
        <v>0.1</v>
      </c>
      <c r="M1009" s="6">
        <v>0.1</v>
      </c>
      <c r="N1009" s="6">
        <v>0.1</v>
      </c>
      <c r="O1009" s="6">
        <v>0.1</v>
      </c>
      <c r="P1009" s="6">
        <v>1</v>
      </c>
      <c r="Q1009" s="4" t="s">
        <v>26</v>
      </c>
      <c r="R1009" s="4">
        <v>0</v>
      </c>
      <c r="S1009" s="6">
        <v>0</v>
      </c>
      <c r="T1009" s="6">
        <v>44</v>
      </c>
      <c r="U1009" s="6">
        <v>81</v>
      </c>
      <c r="V1009" s="6">
        <f>IF(ISERROR(VLOOKUP($S$1009,'TAR FIN'!$A$1:$O$85,15,0)),0,VLOOKUP($S$1009,'TAR FIN'!$A$1:$O$85,15,0))</f>
        <v>0</v>
      </c>
      <c r="W1009" s="6">
        <f>IF(ISERROR(VLOOKUP($T$1009,'TAR FIN'!$A$1:$O$85,15,0)),0,VLOOKUP($T$1009,'TAR FIN'!$A$1:$O$85,15,0))</f>
        <v>324.88</v>
      </c>
      <c r="X1009" s="6">
        <f>IF(ISERROR(VLOOKUP($U$1009,'TAR FIN'!$A$1:$O$85,15,0)),0,VLOOKUP($U$1009,'TAR FIN'!$A$1:$O$85,15,0))</f>
        <v>322.54000000000002</v>
      </c>
      <c r="Y1009" s="6"/>
      <c r="Z1009" s="6">
        <f ca="1">('TUSD BE'!$AM$48+'TUSD BF'!$AM$48+'TUSD CVA'!$AM$48)*1</f>
        <v>434.80310925202969</v>
      </c>
      <c r="AA1009" s="6">
        <f>('TE BE'!$AB$38+'TE BF'!$AB$38+'TE CVA'!$AB$38)*1</f>
        <v>319.954086693367</v>
      </c>
      <c r="AB1009" s="6">
        <f>$K$1009*$V$1009</f>
        <v>0</v>
      </c>
      <c r="AC1009" s="6">
        <f>$M$1009*$W$1009</f>
        <v>32.488</v>
      </c>
      <c r="AD1009" s="6">
        <f>$O$1009*$X$1009</f>
        <v>32.254000000000005</v>
      </c>
      <c r="AE1009" s="6">
        <f>$K$1009*$Y$1009</f>
        <v>0</v>
      </c>
      <c r="AF1009" s="6">
        <f ca="1">$M$1009*$Z$1009</f>
        <v>43.480310925202971</v>
      </c>
      <c r="AG1009" s="6">
        <f>$O$1009*$AA$1009</f>
        <v>31.995408669336701</v>
      </c>
    </row>
    <row r="1010" spans="1:33" ht="11.25" customHeight="1" x14ac:dyDescent="0.25">
      <c r="A1010" s="4" t="s">
        <v>28</v>
      </c>
      <c r="B1010" s="4" t="s">
        <v>37</v>
      </c>
      <c r="C1010" s="4" t="s">
        <v>33</v>
      </c>
      <c r="D1010" s="4" t="s">
        <v>41</v>
      </c>
      <c r="E1010" s="4" t="s">
        <v>25</v>
      </c>
      <c r="F1010" s="4" t="s">
        <v>25</v>
      </c>
      <c r="G1010" s="4" t="s">
        <v>25</v>
      </c>
      <c r="H1010" s="4" t="s">
        <v>25</v>
      </c>
      <c r="I1010" s="5">
        <v>44470</v>
      </c>
      <c r="J1010" s="6">
        <v>0</v>
      </c>
      <c r="K1010" s="6">
        <v>0</v>
      </c>
      <c r="L1010" s="6">
        <v>9.8000000000000004E-2</v>
      </c>
      <c r="M1010" s="6">
        <v>9.8000000000000004E-2</v>
      </c>
      <c r="N1010" s="6">
        <v>9.8000000000000004E-2</v>
      </c>
      <c r="O1010" s="6">
        <v>9.8000000000000004E-2</v>
      </c>
      <c r="P1010" s="6">
        <v>1</v>
      </c>
      <c r="Q1010" s="4" t="s">
        <v>26</v>
      </c>
      <c r="R1010" s="4">
        <v>0</v>
      </c>
      <c r="S1010" s="6">
        <v>0</v>
      </c>
      <c r="T1010" s="6">
        <v>44</v>
      </c>
      <c r="U1010" s="6">
        <v>81</v>
      </c>
      <c r="V1010" s="6">
        <f>IF(ISERROR(VLOOKUP($S$1010,'TAR FIN'!$A$1:$O$85,15,0)),0,VLOOKUP($S$1010,'TAR FIN'!$A$1:$O$85,15,0))</f>
        <v>0</v>
      </c>
      <c r="W1010" s="6">
        <f>IF(ISERROR(VLOOKUP($T$1010,'TAR FIN'!$A$1:$O$85,15,0)),0,VLOOKUP($T$1010,'TAR FIN'!$A$1:$O$85,15,0))</f>
        <v>324.88</v>
      </c>
      <c r="X1010" s="6">
        <f>IF(ISERROR(VLOOKUP($U$1010,'TAR FIN'!$A$1:$O$85,15,0)),0,VLOOKUP($U$1010,'TAR FIN'!$A$1:$O$85,15,0))</f>
        <v>322.54000000000002</v>
      </c>
      <c r="Y1010" s="6"/>
      <c r="Z1010" s="6">
        <f ca="1">('TUSD BE'!$AM$48+'TUSD BF'!$AM$48+'TUSD CVA'!$AM$48)*1</f>
        <v>434.80310925202969</v>
      </c>
      <c r="AA1010" s="6">
        <f>('TE BE'!$AB$38+'TE BF'!$AB$38+'TE CVA'!$AB$38)*1</f>
        <v>319.954086693367</v>
      </c>
      <c r="AB1010" s="6">
        <f>$K$1010*$V$1010</f>
        <v>0</v>
      </c>
      <c r="AC1010" s="6">
        <f>$M$1010*$W$1010</f>
        <v>31.838240000000003</v>
      </c>
      <c r="AD1010" s="6">
        <f>$O$1010*$X$1010</f>
        <v>31.608920000000005</v>
      </c>
      <c r="AE1010" s="6">
        <f>$K$1010*$Y$1010</f>
        <v>0</v>
      </c>
      <c r="AF1010" s="6">
        <f ca="1">$M$1010*$Z$1010</f>
        <v>42.610704706698911</v>
      </c>
      <c r="AG1010" s="6">
        <f>$O$1010*$AA$1010</f>
        <v>31.355500495949968</v>
      </c>
    </row>
    <row r="1011" spans="1:33" ht="11.25" customHeight="1" x14ac:dyDescent="0.25">
      <c r="A1011" s="4" t="s">
        <v>28</v>
      </c>
      <c r="B1011" s="4" t="s">
        <v>37</v>
      </c>
      <c r="C1011" s="4" t="s">
        <v>33</v>
      </c>
      <c r="D1011" s="4" t="s">
        <v>41</v>
      </c>
      <c r="E1011" s="4" t="s">
        <v>25</v>
      </c>
      <c r="F1011" s="4" t="s">
        <v>25</v>
      </c>
      <c r="G1011" s="4" t="s">
        <v>25</v>
      </c>
      <c r="H1011" s="4" t="s">
        <v>25</v>
      </c>
      <c r="I1011" s="5">
        <v>44501</v>
      </c>
      <c r="J1011" s="6">
        <v>0</v>
      </c>
      <c r="K1011" s="6">
        <v>0</v>
      </c>
      <c r="L1011" s="6">
        <v>0.1</v>
      </c>
      <c r="M1011" s="6">
        <v>0.1</v>
      </c>
      <c r="N1011" s="6">
        <v>0.1</v>
      </c>
      <c r="O1011" s="6">
        <v>0.1</v>
      </c>
      <c r="P1011" s="6">
        <v>3</v>
      </c>
      <c r="Q1011" s="4" t="s">
        <v>26</v>
      </c>
      <c r="R1011" s="4">
        <v>0</v>
      </c>
      <c r="S1011" s="6">
        <v>0</v>
      </c>
      <c r="T1011" s="6">
        <v>44</v>
      </c>
      <c r="U1011" s="6">
        <v>81</v>
      </c>
      <c r="V1011" s="6">
        <f>IF(ISERROR(VLOOKUP($S$1011,'TAR FIN'!$A$1:$O$85,15,0)),0,VLOOKUP($S$1011,'TAR FIN'!$A$1:$O$85,15,0))</f>
        <v>0</v>
      </c>
      <c r="W1011" s="6">
        <f>IF(ISERROR(VLOOKUP($T$1011,'TAR FIN'!$A$1:$O$85,15,0)),0,VLOOKUP($T$1011,'TAR FIN'!$A$1:$O$85,15,0))</f>
        <v>324.88</v>
      </c>
      <c r="X1011" s="6">
        <f>IF(ISERROR(VLOOKUP($U$1011,'TAR FIN'!$A$1:$O$85,15,0)),0,VLOOKUP($U$1011,'TAR FIN'!$A$1:$O$85,15,0))</f>
        <v>322.54000000000002</v>
      </c>
      <c r="Y1011" s="6"/>
      <c r="Z1011" s="6">
        <f ca="1">('TUSD BE'!$AM$48+'TUSD BF'!$AM$48+'TUSD CVA'!$AM$48)*1</f>
        <v>434.80310925202969</v>
      </c>
      <c r="AA1011" s="6">
        <f>('TE BE'!$AB$38+'TE BF'!$AB$38+'TE CVA'!$AB$38)*1</f>
        <v>319.954086693367</v>
      </c>
      <c r="AB1011" s="6">
        <f>$K$1011*$V$1011</f>
        <v>0</v>
      </c>
      <c r="AC1011" s="6">
        <f>$M$1011*$W$1011</f>
        <v>32.488</v>
      </c>
      <c r="AD1011" s="6">
        <f>$O$1011*$X$1011</f>
        <v>32.254000000000005</v>
      </c>
      <c r="AE1011" s="6">
        <f>$K$1011*$Y$1011</f>
        <v>0</v>
      </c>
      <c r="AF1011" s="6">
        <f ca="1">$M$1011*$Z$1011</f>
        <v>43.480310925202971</v>
      </c>
      <c r="AG1011" s="6">
        <f>$O$1011*$AA$1011</f>
        <v>31.995408669336701</v>
      </c>
    </row>
    <row r="1012" spans="1:33" ht="11.25" customHeight="1" x14ac:dyDescent="0.25">
      <c r="A1012" s="4" t="s">
        <v>28</v>
      </c>
      <c r="B1012" s="4" t="s">
        <v>37</v>
      </c>
      <c r="C1012" s="4" t="s">
        <v>33</v>
      </c>
      <c r="D1012" s="4" t="s">
        <v>41</v>
      </c>
      <c r="E1012" s="4" t="s">
        <v>25</v>
      </c>
      <c r="F1012" s="4" t="s">
        <v>25</v>
      </c>
      <c r="G1012" s="4" t="s">
        <v>25</v>
      </c>
      <c r="H1012" s="4" t="s">
        <v>25</v>
      </c>
      <c r="I1012" s="5">
        <v>44531</v>
      </c>
      <c r="J1012" s="6">
        <v>0</v>
      </c>
      <c r="K1012" s="6">
        <v>0</v>
      </c>
      <c r="L1012" s="6">
        <v>0.1</v>
      </c>
      <c r="M1012" s="6">
        <v>0.1</v>
      </c>
      <c r="N1012" s="6">
        <v>0.1</v>
      </c>
      <c r="O1012" s="6">
        <v>0.1</v>
      </c>
      <c r="P1012" s="6">
        <v>3</v>
      </c>
      <c r="Q1012" s="4" t="s">
        <v>26</v>
      </c>
      <c r="R1012" s="4">
        <v>0</v>
      </c>
      <c r="S1012" s="6">
        <v>0</v>
      </c>
      <c r="T1012" s="6">
        <v>44</v>
      </c>
      <c r="U1012" s="6">
        <v>81</v>
      </c>
      <c r="V1012" s="6">
        <f>IF(ISERROR(VLOOKUP($S$1012,'TAR FIN'!$A$1:$O$85,15,0)),0,VLOOKUP($S$1012,'TAR FIN'!$A$1:$O$85,15,0))</f>
        <v>0</v>
      </c>
      <c r="W1012" s="6">
        <f>IF(ISERROR(VLOOKUP($T$1012,'TAR FIN'!$A$1:$O$85,15,0)),0,VLOOKUP($T$1012,'TAR FIN'!$A$1:$O$85,15,0))</f>
        <v>324.88</v>
      </c>
      <c r="X1012" s="6">
        <f>IF(ISERROR(VLOOKUP($U$1012,'TAR FIN'!$A$1:$O$85,15,0)),0,VLOOKUP($U$1012,'TAR FIN'!$A$1:$O$85,15,0))</f>
        <v>322.54000000000002</v>
      </c>
      <c r="Y1012" s="6"/>
      <c r="Z1012" s="6">
        <f ca="1">('TUSD BE'!$AM$48+'TUSD BF'!$AM$48+'TUSD CVA'!$AM$48)*1</f>
        <v>434.80310925202969</v>
      </c>
      <c r="AA1012" s="6">
        <f>('TE BE'!$AB$38+'TE BF'!$AB$38+'TE CVA'!$AB$38)*1</f>
        <v>319.954086693367</v>
      </c>
      <c r="AB1012" s="6">
        <f>$K$1012*$V$1012</f>
        <v>0</v>
      </c>
      <c r="AC1012" s="6">
        <f>$M$1012*$W$1012</f>
        <v>32.488</v>
      </c>
      <c r="AD1012" s="6">
        <f>$O$1012*$X$1012</f>
        <v>32.254000000000005</v>
      </c>
      <c r="AE1012" s="6">
        <f>$K$1012*$Y$1012</f>
        <v>0</v>
      </c>
      <c r="AF1012" s="6">
        <f ca="1">$M$1012*$Z$1012</f>
        <v>43.480310925202971</v>
      </c>
      <c r="AG1012" s="6">
        <f>$O$1012*$AA$1012</f>
        <v>31.995408669336701</v>
      </c>
    </row>
    <row r="1013" spans="1:33" ht="11.25" customHeight="1" x14ac:dyDescent="0.25">
      <c r="A1013" s="4" t="s">
        <v>28</v>
      </c>
      <c r="B1013" s="4" t="s">
        <v>37</v>
      </c>
      <c r="C1013" s="4" t="s">
        <v>33</v>
      </c>
      <c r="D1013" s="4" t="s">
        <v>41</v>
      </c>
      <c r="E1013" s="4" t="s">
        <v>25</v>
      </c>
      <c r="F1013" s="4" t="s">
        <v>25</v>
      </c>
      <c r="G1013" s="4" t="s">
        <v>25</v>
      </c>
      <c r="H1013" s="4" t="s">
        <v>25</v>
      </c>
      <c r="I1013" s="5">
        <v>44562</v>
      </c>
      <c r="J1013" s="6">
        <v>0</v>
      </c>
      <c r="K1013" s="6">
        <v>0</v>
      </c>
      <c r="L1013" s="6">
        <v>0.1</v>
      </c>
      <c r="M1013" s="6">
        <v>0.1</v>
      </c>
      <c r="N1013" s="6">
        <v>0.1</v>
      </c>
      <c r="O1013" s="6">
        <v>0.1</v>
      </c>
      <c r="P1013" s="6">
        <v>3</v>
      </c>
      <c r="Q1013" s="4" t="s">
        <v>26</v>
      </c>
      <c r="R1013" s="4">
        <v>0</v>
      </c>
      <c r="S1013" s="6">
        <v>0</v>
      </c>
      <c r="T1013" s="6">
        <v>44</v>
      </c>
      <c r="U1013" s="6">
        <v>81</v>
      </c>
      <c r="V1013" s="6">
        <f>IF(ISERROR(VLOOKUP($S$1013,'TAR FIN'!$A$1:$O$85,15,0)),0,VLOOKUP($S$1013,'TAR FIN'!$A$1:$O$85,15,0))</f>
        <v>0</v>
      </c>
      <c r="W1013" s="6">
        <f>IF(ISERROR(VLOOKUP($T$1013,'TAR FIN'!$A$1:$O$85,15,0)),0,VLOOKUP($T$1013,'TAR FIN'!$A$1:$O$85,15,0))</f>
        <v>324.88</v>
      </c>
      <c r="X1013" s="6">
        <f>IF(ISERROR(VLOOKUP($U$1013,'TAR FIN'!$A$1:$O$85,15,0)),0,VLOOKUP($U$1013,'TAR FIN'!$A$1:$O$85,15,0))</f>
        <v>322.54000000000002</v>
      </c>
      <c r="Y1013" s="6"/>
      <c r="Z1013" s="6">
        <f ca="1">('TUSD BE'!$AM$48+'TUSD BF'!$AM$48+'TUSD CVA'!$AM$48)*1</f>
        <v>434.80310925202969</v>
      </c>
      <c r="AA1013" s="6">
        <f>('TE BE'!$AB$38+'TE BF'!$AB$38+'TE CVA'!$AB$38)*1</f>
        <v>319.954086693367</v>
      </c>
      <c r="AB1013" s="6">
        <f>$K$1013*$V$1013</f>
        <v>0</v>
      </c>
      <c r="AC1013" s="6">
        <f>$M$1013*$W$1013</f>
        <v>32.488</v>
      </c>
      <c r="AD1013" s="6">
        <f>$O$1013*$X$1013</f>
        <v>32.254000000000005</v>
      </c>
      <c r="AE1013" s="6">
        <f>$K$1013*$Y$1013</f>
        <v>0</v>
      </c>
      <c r="AF1013" s="6">
        <f ca="1">$M$1013*$Z$1013</f>
        <v>43.480310925202971</v>
      </c>
      <c r="AG1013" s="6">
        <f>$O$1013*$AA$1013</f>
        <v>31.995408669336701</v>
      </c>
    </row>
    <row r="1014" spans="1:33" ht="11.25" customHeight="1" x14ac:dyDescent="0.25">
      <c r="A1014" s="4" t="s">
        <v>28</v>
      </c>
      <c r="B1014" s="4" t="s">
        <v>37</v>
      </c>
      <c r="C1014" s="4" t="s">
        <v>33</v>
      </c>
      <c r="D1014" s="4" t="s">
        <v>41</v>
      </c>
      <c r="E1014" s="4" t="s">
        <v>25</v>
      </c>
      <c r="F1014" s="4" t="s">
        <v>25</v>
      </c>
      <c r="G1014" s="4" t="s">
        <v>25</v>
      </c>
      <c r="H1014" s="4" t="s">
        <v>25</v>
      </c>
      <c r="I1014" s="5">
        <v>44593</v>
      </c>
      <c r="J1014" s="6">
        <v>0</v>
      </c>
      <c r="K1014" s="6">
        <v>0</v>
      </c>
      <c r="L1014" s="6">
        <v>0.1</v>
      </c>
      <c r="M1014" s="6">
        <v>0.1</v>
      </c>
      <c r="N1014" s="6">
        <v>0.1</v>
      </c>
      <c r="O1014" s="6">
        <v>0.1</v>
      </c>
      <c r="P1014" s="6">
        <v>3</v>
      </c>
      <c r="Q1014" s="4" t="s">
        <v>26</v>
      </c>
      <c r="R1014" s="4">
        <v>0</v>
      </c>
      <c r="S1014" s="6">
        <v>0</v>
      </c>
      <c r="T1014" s="6">
        <v>44</v>
      </c>
      <c r="U1014" s="6">
        <v>81</v>
      </c>
      <c r="V1014" s="6">
        <f>IF(ISERROR(VLOOKUP($S$1014,'TAR FIN'!$A$1:$O$85,15,0)),0,VLOOKUP($S$1014,'TAR FIN'!$A$1:$O$85,15,0))</f>
        <v>0</v>
      </c>
      <c r="W1014" s="6">
        <f>IF(ISERROR(VLOOKUP($T$1014,'TAR FIN'!$A$1:$O$85,15,0)),0,VLOOKUP($T$1014,'TAR FIN'!$A$1:$O$85,15,0))</f>
        <v>324.88</v>
      </c>
      <c r="X1014" s="6">
        <f>IF(ISERROR(VLOOKUP($U$1014,'TAR FIN'!$A$1:$O$85,15,0)),0,VLOOKUP($U$1014,'TAR FIN'!$A$1:$O$85,15,0))</f>
        <v>322.54000000000002</v>
      </c>
      <c r="Y1014" s="6"/>
      <c r="Z1014" s="6">
        <f ca="1">('TUSD BE'!$AM$48+'TUSD BF'!$AM$48+'TUSD CVA'!$AM$48)*1</f>
        <v>434.80310925202969</v>
      </c>
      <c r="AA1014" s="6">
        <f>('TE BE'!$AB$38+'TE BF'!$AB$38+'TE CVA'!$AB$38)*1</f>
        <v>319.954086693367</v>
      </c>
      <c r="AB1014" s="6">
        <f>$K$1014*$V$1014</f>
        <v>0</v>
      </c>
      <c r="AC1014" s="6">
        <f>$M$1014*$W$1014</f>
        <v>32.488</v>
      </c>
      <c r="AD1014" s="6">
        <f>$O$1014*$X$1014</f>
        <v>32.254000000000005</v>
      </c>
      <c r="AE1014" s="6">
        <f>$K$1014*$Y$1014</f>
        <v>0</v>
      </c>
      <c r="AF1014" s="6">
        <f ca="1">$M$1014*$Z$1014</f>
        <v>43.480310925202971</v>
      </c>
      <c r="AG1014" s="6">
        <f>$O$1014*$AA$1014</f>
        <v>31.995408669336701</v>
      </c>
    </row>
    <row r="1015" spans="1:33" ht="11.25" customHeight="1" x14ac:dyDescent="0.25">
      <c r="A1015" s="4" t="s">
        <v>28</v>
      </c>
      <c r="B1015" s="4" t="s">
        <v>37</v>
      </c>
      <c r="C1015" s="4" t="s">
        <v>33</v>
      </c>
      <c r="D1015" s="4" t="s">
        <v>41</v>
      </c>
      <c r="E1015" s="4" t="s">
        <v>25</v>
      </c>
      <c r="F1015" s="4" t="s">
        <v>25</v>
      </c>
      <c r="G1015" s="4" t="s">
        <v>25</v>
      </c>
      <c r="H1015" s="4" t="s">
        <v>25</v>
      </c>
      <c r="I1015" s="5">
        <v>44621</v>
      </c>
      <c r="J1015" s="6">
        <v>0</v>
      </c>
      <c r="K1015" s="6">
        <v>0</v>
      </c>
      <c r="L1015" s="6">
        <v>0.1</v>
      </c>
      <c r="M1015" s="6">
        <v>0.1</v>
      </c>
      <c r="N1015" s="6">
        <v>0.1</v>
      </c>
      <c r="O1015" s="6">
        <v>0.1</v>
      </c>
      <c r="P1015" s="6">
        <v>3</v>
      </c>
      <c r="Q1015" s="4" t="s">
        <v>26</v>
      </c>
      <c r="R1015" s="4">
        <v>0</v>
      </c>
      <c r="S1015" s="6">
        <v>0</v>
      </c>
      <c r="T1015" s="6">
        <v>44</v>
      </c>
      <c r="U1015" s="6">
        <v>81</v>
      </c>
      <c r="V1015" s="6">
        <f>IF(ISERROR(VLOOKUP($S$1015,'TAR FIN'!$A$1:$O$85,15,0)),0,VLOOKUP($S$1015,'TAR FIN'!$A$1:$O$85,15,0))</f>
        <v>0</v>
      </c>
      <c r="W1015" s="6">
        <f>IF(ISERROR(VLOOKUP($T$1015,'TAR FIN'!$A$1:$O$85,15,0)),0,VLOOKUP($T$1015,'TAR FIN'!$A$1:$O$85,15,0))</f>
        <v>324.88</v>
      </c>
      <c r="X1015" s="6">
        <f>IF(ISERROR(VLOOKUP($U$1015,'TAR FIN'!$A$1:$O$85,15,0)),0,VLOOKUP($U$1015,'TAR FIN'!$A$1:$O$85,15,0))</f>
        <v>322.54000000000002</v>
      </c>
      <c r="Y1015" s="6"/>
      <c r="Z1015" s="6">
        <f ca="1">('TUSD BE'!$AM$48+'TUSD BF'!$AM$48+'TUSD CVA'!$AM$48)*1</f>
        <v>434.80310925202969</v>
      </c>
      <c r="AA1015" s="6">
        <f>('TE BE'!$AB$38+'TE BF'!$AB$38+'TE CVA'!$AB$38)*1</f>
        <v>319.954086693367</v>
      </c>
      <c r="AB1015" s="6">
        <f>$K$1015*$V$1015</f>
        <v>0</v>
      </c>
      <c r="AC1015" s="6">
        <f>$M$1015*$W$1015</f>
        <v>32.488</v>
      </c>
      <c r="AD1015" s="6">
        <f>$O$1015*$X$1015</f>
        <v>32.254000000000005</v>
      </c>
      <c r="AE1015" s="6">
        <f>$K$1015*$Y$1015</f>
        <v>0</v>
      </c>
      <c r="AF1015" s="6">
        <f ca="1">$M$1015*$Z$1015</f>
        <v>43.480310925202971</v>
      </c>
      <c r="AG1015" s="6">
        <f>$O$1015*$AA$1015</f>
        <v>31.995408669336701</v>
      </c>
    </row>
    <row r="1016" spans="1:33" ht="11.25" customHeight="1" x14ac:dyDescent="0.25">
      <c r="A1016" s="4" t="s">
        <v>28</v>
      </c>
      <c r="B1016" s="4" t="s">
        <v>37</v>
      </c>
      <c r="C1016" s="4" t="s">
        <v>33</v>
      </c>
      <c r="D1016" s="4" t="s">
        <v>41</v>
      </c>
      <c r="E1016" s="4" t="s">
        <v>25</v>
      </c>
      <c r="F1016" s="4" t="s">
        <v>25</v>
      </c>
      <c r="G1016" s="4" t="s">
        <v>25</v>
      </c>
      <c r="H1016" s="4" t="s">
        <v>25</v>
      </c>
      <c r="I1016" s="5">
        <v>44682</v>
      </c>
      <c r="J1016" s="6">
        <v>0</v>
      </c>
      <c r="K1016" s="6">
        <v>0</v>
      </c>
      <c r="L1016" s="6">
        <v>0.1</v>
      </c>
      <c r="M1016" s="6">
        <v>0.1</v>
      </c>
      <c r="N1016" s="6">
        <v>0.1</v>
      </c>
      <c r="O1016" s="6">
        <v>0.1</v>
      </c>
      <c r="P1016" s="6">
        <v>5</v>
      </c>
      <c r="Q1016" s="4" t="s">
        <v>26</v>
      </c>
      <c r="R1016" s="4">
        <v>0</v>
      </c>
      <c r="S1016" s="6">
        <v>0</v>
      </c>
      <c r="T1016" s="6">
        <v>44</v>
      </c>
      <c r="U1016" s="6">
        <v>81</v>
      </c>
      <c r="V1016" s="6">
        <f>IF(ISERROR(VLOOKUP($S$1016,'TAR FIN'!$A$1:$O$85,15,0)),0,VLOOKUP($S$1016,'TAR FIN'!$A$1:$O$85,15,0))</f>
        <v>0</v>
      </c>
      <c r="W1016" s="6">
        <f>IF(ISERROR(VLOOKUP($T$1016,'TAR FIN'!$A$1:$O$85,15,0)),0,VLOOKUP($T$1016,'TAR FIN'!$A$1:$O$85,15,0))</f>
        <v>324.88</v>
      </c>
      <c r="X1016" s="6">
        <f>IF(ISERROR(VLOOKUP($U$1016,'TAR FIN'!$A$1:$O$85,15,0)),0,VLOOKUP($U$1016,'TAR FIN'!$A$1:$O$85,15,0))</f>
        <v>322.54000000000002</v>
      </c>
      <c r="Y1016" s="6"/>
      <c r="Z1016" s="6">
        <f ca="1">('TUSD BE'!$AM$48+'TUSD BF'!$AM$48+'TUSD CVA'!$AM$48)*1</f>
        <v>434.80310925202969</v>
      </c>
      <c r="AA1016" s="6">
        <f>('TE BE'!$AB$38+'TE BF'!$AB$38+'TE CVA'!$AB$38)*1</f>
        <v>319.954086693367</v>
      </c>
      <c r="AB1016" s="6">
        <f>$K$1016*$V$1016</f>
        <v>0</v>
      </c>
      <c r="AC1016" s="6">
        <f>$M$1016*$W$1016</f>
        <v>32.488</v>
      </c>
      <c r="AD1016" s="6">
        <f>$O$1016*$X$1016</f>
        <v>32.254000000000005</v>
      </c>
      <c r="AE1016" s="6">
        <f>$K$1016*$Y$1016</f>
        <v>0</v>
      </c>
      <c r="AF1016" s="6">
        <f ca="1">$M$1016*$Z$1016</f>
        <v>43.480310925202971</v>
      </c>
      <c r="AG1016" s="6">
        <f>$O$1016*$AA$1016</f>
        <v>31.995408669336701</v>
      </c>
    </row>
    <row r="1017" spans="1:33" ht="11.25" customHeight="1" x14ac:dyDescent="0.25">
      <c r="A1017" s="4" t="s">
        <v>28</v>
      </c>
      <c r="B1017" s="4" t="s">
        <v>37</v>
      </c>
      <c r="C1017" s="4" t="s">
        <v>33</v>
      </c>
      <c r="D1017" s="4" t="s">
        <v>41</v>
      </c>
      <c r="E1017" s="4" t="s">
        <v>25</v>
      </c>
      <c r="F1017" s="4" t="s">
        <v>25</v>
      </c>
      <c r="G1017" s="4" t="s">
        <v>25</v>
      </c>
      <c r="H1017" s="4" t="s">
        <v>25</v>
      </c>
      <c r="I1017" s="5">
        <v>44713</v>
      </c>
      <c r="J1017" s="6">
        <v>0</v>
      </c>
      <c r="K1017" s="6">
        <v>0</v>
      </c>
      <c r="L1017" s="6">
        <v>0.3</v>
      </c>
      <c r="M1017" s="6">
        <v>0.3</v>
      </c>
      <c r="N1017" s="6">
        <v>0.3</v>
      </c>
      <c r="O1017" s="6">
        <v>0.3</v>
      </c>
      <c r="P1017" s="6">
        <v>6</v>
      </c>
      <c r="Q1017" s="4" t="s">
        <v>26</v>
      </c>
      <c r="R1017" s="4">
        <v>0</v>
      </c>
      <c r="S1017" s="6">
        <v>0</v>
      </c>
      <c r="T1017" s="6">
        <v>44</v>
      </c>
      <c r="U1017" s="6">
        <v>81</v>
      </c>
      <c r="V1017" s="6">
        <f>IF(ISERROR(VLOOKUP($S$1017,'TAR FIN'!$A$1:$O$85,15,0)),0,VLOOKUP($S$1017,'TAR FIN'!$A$1:$O$85,15,0))</f>
        <v>0</v>
      </c>
      <c r="W1017" s="6">
        <f>IF(ISERROR(VLOOKUP($T$1017,'TAR FIN'!$A$1:$O$85,15,0)),0,VLOOKUP($T$1017,'TAR FIN'!$A$1:$O$85,15,0))</f>
        <v>324.88</v>
      </c>
      <c r="X1017" s="6">
        <f>IF(ISERROR(VLOOKUP($U$1017,'TAR FIN'!$A$1:$O$85,15,0)),0,VLOOKUP($U$1017,'TAR FIN'!$A$1:$O$85,15,0))</f>
        <v>322.54000000000002</v>
      </c>
      <c r="Y1017" s="6"/>
      <c r="Z1017" s="6">
        <f ca="1">('TUSD BE'!$AM$48+'TUSD BF'!$AM$48+'TUSD CVA'!$AM$48)*1</f>
        <v>434.80310925202969</v>
      </c>
      <c r="AA1017" s="6">
        <f>('TE BE'!$AB$38+'TE BF'!$AB$38+'TE CVA'!$AB$38)*1</f>
        <v>319.954086693367</v>
      </c>
      <c r="AB1017" s="6">
        <f>$K$1017*$V$1017</f>
        <v>0</v>
      </c>
      <c r="AC1017" s="6">
        <f>$M$1017*$W$1017</f>
        <v>97.463999999999999</v>
      </c>
      <c r="AD1017" s="6">
        <f>$O$1017*$X$1017</f>
        <v>96.762</v>
      </c>
      <c r="AE1017" s="6">
        <f>$K$1017*$Y$1017</f>
        <v>0</v>
      </c>
      <c r="AF1017" s="6">
        <f ca="1">$M$1017*$Z$1017</f>
        <v>130.4409327756089</v>
      </c>
      <c r="AG1017" s="6">
        <f>$O$1017*$AA$1017</f>
        <v>95.986226008010092</v>
      </c>
    </row>
    <row r="1018" spans="1:33" ht="11.25" customHeight="1" x14ac:dyDescent="0.25">
      <c r="A1018" s="4" t="s">
        <v>28</v>
      </c>
      <c r="B1018" s="4" t="s">
        <v>37</v>
      </c>
      <c r="C1018" s="4" t="s">
        <v>33</v>
      </c>
      <c r="D1018" s="4" t="s">
        <v>41</v>
      </c>
      <c r="E1018" s="4" t="s">
        <v>25</v>
      </c>
      <c r="F1018" s="4" t="s">
        <v>25</v>
      </c>
      <c r="G1018" s="4" t="s">
        <v>25</v>
      </c>
      <c r="H1018" s="4" t="s">
        <v>25</v>
      </c>
      <c r="I1018" s="5">
        <v>44743</v>
      </c>
      <c r="J1018" s="6">
        <v>0</v>
      </c>
      <c r="K1018" s="6">
        <v>0</v>
      </c>
      <c r="L1018" s="6">
        <v>0.3</v>
      </c>
      <c r="M1018" s="6">
        <v>0.3</v>
      </c>
      <c r="N1018" s="6">
        <v>0.3</v>
      </c>
      <c r="O1018" s="6">
        <v>0.3</v>
      </c>
      <c r="P1018" s="6">
        <v>6</v>
      </c>
      <c r="Q1018" s="4" t="s">
        <v>26</v>
      </c>
      <c r="R1018" s="4">
        <v>0</v>
      </c>
      <c r="S1018" s="6">
        <v>0</v>
      </c>
      <c r="T1018" s="6">
        <v>44</v>
      </c>
      <c r="U1018" s="6">
        <v>81</v>
      </c>
      <c r="V1018" s="6">
        <f>IF(ISERROR(VLOOKUP($S$1018,'TAR FIN'!$A$1:$O$85,15,0)),0,VLOOKUP($S$1018,'TAR FIN'!$A$1:$O$85,15,0))</f>
        <v>0</v>
      </c>
      <c r="W1018" s="6">
        <f>IF(ISERROR(VLOOKUP($T$1018,'TAR FIN'!$A$1:$O$85,15,0)),0,VLOOKUP($T$1018,'TAR FIN'!$A$1:$O$85,15,0))</f>
        <v>324.88</v>
      </c>
      <c r="X1018" s="6">
        <f>IF(ISERROR(VLOOKUP($U$1018,'TAR FIN'!$A$1:$O$85,15,0)),0,VLOOKUP($U$1018,'TAR FIN'!$A$1:$O$85,15,0))</f>
        <v>322.54000000000002</v>
      </c>
      <c r="Y1018" s="6"/>
      <c r="Z1018" s="6">
        <f ca="1">('TUSD BE'!$AM$48+'TUSD BF'!$AM$48+'TUSD CVA'!$AM$48)*1</f>
        <v>434.80310925202969</v>
      </c>
      <c r="AA1018" s="6">
        <f>('TE BE'!$AB$38+'TE BF'!$AB$38+'TE CVA'!$AB$38)*1</f>
        <v>319.954086693367</v>
      </c>
      <c r="AB1018" s="6">
        <f>$K$1018*$V$1018</f>
        <v>0</v>
      </c>
      <c r="AC1018" s="6">
        <f>$M$1018*$W$1018</f>
        <v>97.463999999999999</v>
      </c>
      <c r="AD1018" s="6">
        <f>$O$1018*$X$1018</f>
        <v>96.762</v>
      </c>
      <c r="AE1018" s="6">
        <f>$K$1018*$Y$1018</f>
        <v>0</v>
      </c>
      <c r="AF1018" s="6">
        <f ca="1">$M$1018*$Z$1018</f>
        <v>130.4409327756089</v>
      </c>
      <c r="AG1018" s="6">
        <f>$O$1018*$AA$1018</f>
        <v>95.986226008010092</v>
      </c>
    </row>
    <row r="1019" spans="1:33" ht="11.25" customHeight="1" x14ac:dyDescent="0.25">
      <c r="A1019" s="4" t="s">
        <v>56</v>
      </c>
      <c r="B1019" s="4" t="s">
        <v>37</v>
      </c>
      <c r="C1019" s="4" t="s">
        <v>33</v>
      </c>
      <c r="D1019" s="4" t="s">
        <v>41</v>
      </c>
      <c r="E1019" s="4" t="s">
        <v>25</v>
      </c>
      <c r="F1019" s="4" t="s">
        <v>25</v>
      </c>
      <c r="G1019" s="4" t="s">
        <v>25</v>
      </c>
      <c r="H1019" s="4" t="s">
        <v>25</v>
      </c>
      <c r="I1019" s="5">
        <v>44774</v>
      </c>
      <c r="J1019" s="6">
        <v>0</v>
      </c>
      <c r="K1019" s="6">
        <v>0</v>
      </c>
      <c r="L1019" s="6">
        <v>0.3</v>
      </c>
      <c r="M1019" s="6">
        <v>0.3</v>
      </c>
      <c r="N1019" s="6">
        <v>0.3</v>
      </c>
      <c r="O1019" s="6">
        <v>0.3</v>
      </c>
      <c r="P1019" s="6">
        <v>6</v>
      </c>
      <c r="Q1019" s="4" t="s">
        <v>26</v>
      </c>
      <c r="R1019" s="4">
        <v>0</v>
      </c>
      <c r="S1019" s="6">
        <v>0</v>
      </c>
      <c r="T1019" s="6">
        <v>44</v>
      </c>
      <c r="U1019" s="6">
        <v>81</v>
      </c>
      <c r="V1019" s="6">
        <f>IF(ISERROR(VLOOKUP($S$1019,'TAR FIN'!$A$1:$O$85,15,0)),0,VLOOKUP($S$1019,'TAR FIN'!$A$1:$O$85,15,0))</f>
        <v>0</v>
      </c>
      <c r="W1019" s="6">
        <f>IF(ISERROR(VLOOKUP($T$1019,'TAR FIN'!$A$1:$O$85,15,0)),0,VLOOKUP($T$1019,'TAR FIN'!$A$1:$O$85,15,0))</f>
        <v>324.88</v>
      </c>
      <c r="X1019" s="6">
        <f>IF(ISERROR(VLOOKUP($U$1019,'TAR FIN'!$A$1:$O$85,15,0)),0,VLOOKUP($U$1019,'TAR FIN'!$A$1:$O$85,15,0))</f>
        <v>322.54000000000002</v>
      </c>
      <c r="Y1019" s="6"/>
      <c r="Z1019" s="6">
        <f ca="1">('TUSD BE'!$AM$48+'TUSD BF'!$AM$48+'TUSD CVA'!$AM$48)*1</f>
        <v>434.80310925202969</v>
      </c>
      <c r="AA1019" s="6">
        <f>('TE BE'!$AB$38+'TE BF'!$AB$38+'TE CVA'!$AB$38)*1</f>
        <v>319.954086693367</v>
      </c>
      <c r="AB1019" s="6">
        <f>$K$1019*$V$1019</f>
        <v>0</v>
      </c>
      <c r="AC1019" s="6">
        <f>$M$1019*$W$1019</f>
        <v>97.463999999999999</v>
      </c>
      <c r="AD1019" s="6">
        <f>$O$1019*$X$1019</f>
        <v>96.762</v>
      </c>
      <c r="AE1019" s="6">
        <f>$K$1019*$Y$1019</f>
        <v>0</v>
      </c>
      <c r="AF1019" s="6">
        <f ca="1">$M$1019*$Z$1019</f>
        <v>130.4409327756089</v>
      </c>
      <c r="AG1019" s="6">
        <f>$O$1019*$AA$1019</f>
        <v>95.986226008010092</v>
      </c>
    </row>
    <row r="1020" spans="1:33" ht="11.25" customHeight="1" x14ac:dyDescent="0.25">
      <c r="A1020" s="4" t="s">
        <v>21</v>
      </c>
      <c r="B1020" s="4" t="s">
        <v>37</v>
      </c>
      <c r="C1020" s="4" t="s">
        <v>33</v>
      </c>
      <c r="D1020" s="4" t="s">
        <v>41</v>
      </c>
      <c r="E1020" s="4" t="s">
        <v>25</v>
      </c>
      <c r="F1020" s="4" t="s">
        <v>25</v>
      </c>
      <c r="G1020" s="4" t="s">
        <v>25</v>
      </c>
      <c r="H1020" s="4" t="s">
        <v>34</v>
      </c>
      <c r="I1020" s="5">
        <v>44440</v>
      </c>
      <c r="J1020" s="6">
        <v>0</v>
      </c>
      <c r="K1020" s="6">
        <v>0</v>
      </c>
      <c r="L1020" s="6">
        <v>4.1390000000000002</v>
      </c>
      <c r="M1020" s="6">
        <v>4.1390000000000002</v>
      </c>
      <c r="N1020" s="6">
        <v>4.1390000000000002</v>
      </c>
      <c r="O1020" s="6">
        <v>4.1390000000000002</v>
      </c>
      <c r="P1020" s="6">
        <v>0</v>
      </c>
      <c r="Q1020" s="4" t="s">
        <v>26</v>
      </c>
      <c r="R1020" s="4">
        <v>0</v>
      </c>
      <c r="S1020" s="6">
        <v>0</v>
      </c>
      <c r="T1020" s="6">
        <v>41</v>
      </c>
      <c r="U1020" s="6">
        <v>78</v>
      </c>
      <c r="V1020" s="6">
        <f>IF(ISERROR(VLOOKUP($S$1020,'TAR FIN'!$A$1:$O$85,15,0)),0,VLOOKUP($S$1020,'TAR FIN'!$A$1:$O$85,15,0))</f>
        <v>0</v>
      </c>
      <c r="W1020" s="6">
        <f>IF(ISERROR(VLOOKUP($T$1020,'TAR FIN'!$A$1:$O$85,15,0)),0,VLOOKUP($T$1020,'TAR FIN'!$A$1:$O$85,15,0))</f>
        <v>902.29</v>
      </c>
      <c r="X1020" s="6">
        <f>IF(ISERROR(VLOOKUP($U$1020,'TAR FIN'!$A$1:$O$85,15,0)),0,VLOOKUP($U$1020,'TAR FIN'!$A$1:$O$85,15,0))</f>
        <v>492.64</v>
      </c>
      <c r="Y1020" s="6"/>
      <c r="Z1020" s="6">
        <f ca="1">('TUSD BE'!$AM$45+'TUSD BF'!$AM$45+'TUSD CVA'!$AM$45)*1</f>
        <v>1070.1218426910054</v>
      </c>
      <c r="AA1020" s="6">
        <f>('TE BE'!$AB$35+'TE BF'!$AB$35+'TE CVA'!$AB$35)*1</f>
        <v>485.87597641853409</v>
      </c>
      <c r="AB1020" s="6">
        <f>$K$1020*$V$1020</f>
        <v>0</v>
      </c>
      <c r="AC1020" s="6">
        <f>$M$1020*$W$1020</f>
        <v>3734.5783099999999</v>
      </c>
      <c r="AD1020" s="6">
        <f>$O$1020*$X$1020</f>
        <v>2039.0369600000001</v>
      </c>
      <c r="AE1020" s="6">
        <f>$K$1020*$Y$1020</f>
        <v>0</v>
      </c>
      <c r="AF1020" s="6">
        <f ca="1">$M$1020*$Z$1020</f>
        <v>4429.2343068980717</v>
      </c>
      <c r="AG1020" s="6">
        <f>$O$1020*$AA$1020</f>
        <v>2011.0406663963126</v>
      </c>
    </row>
    <row r="1021" spans="1:33" ht="11.25" customHeight="1" x14ac:dyDescent="0.25">
      <c r="A1021" s="4" t="s">
        <v>28</v>
      </c>
      <c r="B1021" s="4" t="s">
        <v>37</v>
      </c>
      <c r="C1021" s="4" t="s">
        <v>33</v>
      </c>
      <c r="D1021" s="4" t="s">
        <v>41</v>
      </c>
      <c r="E1021" s="4" t="s">
        <v>25</v>
      </c>
      <c r="F1021" s="4" t="s">
        <v>25</v>
      </c>
      <c r="G1021" s="4" t="s">
        <v>25</v>
      </c>
      <c r="H1021" s="4" t="s">
        <v>34</v>
      </c>
      <c r="I1021" s="5">
        <v>44440</v>
      </c>
      <c r="J1021" s="6">
        <v>0</v>
      </c>
      <c r="K1021" s="6">
        <v>0</v>
      </c>
      <c r="L1021" s="6">
        <v>0.13500000000000001</v>
      </c>
      <c r="M1021" s="6">
        <v>0.13500000000000001</v>
      </c>
      <c r="N1021" s="6">
        <v>0.13500000000000001</v>
      </c>
      <c r="O1021" s="6">
        <v>0.13500000000000001</v>
      </c>
      <c r="P1021" s="6">
        <v>0</v>
      </c>
      <c r="Q1021" s="4" t="s">
        <v>26</v>
      </c>
      <c r="R1021" s="4">
        <v>0</v>
      </c>
      <c r="S1021" s="6">
        <v>0</v>
      </c>
      <c r="T1021" s="6">
        <v>41</v>
      </c>
      <c r="U1021" s="6">
        <v>78</v>
      </c>
      <c r="V1021" s="6">
        <f>IF(ISERROR(VLOOKUP($S$1021,'TAR FIN'!$A$1:$O$85,15,0)),0,VLOOKUP($S$1021,'TAR FIN'!$A$1:$O$85,15,0))</f>
        <v>0</v>
      </c>
      <c r="W1021" s="6">
        <f>IF(ISERROR(VLOOKUP($T$1021,'TAR FIN'!$A$1:$O$85,15,0)),0,VLOOKUP($T$1021,'TAR FIN'!$A$1:$O$85,15,0))</f>
        <v>902.29</v>
      </c>
      <c r="X1021" s="6">
        <f>IF(ISERROR(VLOOKUP($U$1021,'TAR FIN'!$A$1:$O$85,15,0)),0,VLOOKUP($U$1021,'TAR FIN'!$A$1:$O$85,15,0))</f>
        <v>492.64</v>
      </c>
      <c r="Y1021" s="6"/>
      <c r="Z1021" s="6">
        <f ca="1">('TUSD BE'!$AM$45+'TUSD BF'!$AM$45+'TUSD CVA'!$AM$45)*1</f>
        <v>1070.1218426910054</v>
      </c>
      <c r="AA1021" s="6">
        <f>('TE BE'!$AB$35+'TE BF'!$AB$35+'TE CVA'!$AB$35)*1</f>
        <v>485.87597641853409</v>
      </c>
      <c r="AB1021" s="6">
        <f>$K$1021*$V$1021</f>
        <v>0</v>
      </c>
      <c r="AC1021" s="6">
        <f>$M$1021*$W$1021</f>
        <v>121.80915</v>
      </c>
      <c r="AD1021" s="6">
        <f>$O$1021*$X$1021</f>
        <v>66.506399999999999</v>
      </c>
      <c r="AE1021" s="6">
        <f>$K$1021*$Y$1021</f>
        <v>0</v>
      </c>
      <c r="AF1021" s="6">
        <f ca="1">$M$1021*$Z$1021</f>
        <v>144.46644876328574</v>
      </c>
      <c r="AG1021" s="6">
        <f>$O$1021*$AA$1021</f>
        <v>65.593256816502105</v>
      </c>
    </row>
    <row r="1022" spans="1:33" ht="11.25" customHeight="1" x14ac:dyDescent="0.25">
      <c r="A1022" s="4" t="s">
        <v>21</v>
      </c>
      <c r="B1022" s="4" t="s">
        <v>37</v>
      </c>
      <c r="C1022" s="4" t="s">
        <v>33</v>
      </c>
      <c r="D1022" s="4" t="s">
        <v>41</v>
      </c>
      <c r="E1022" s="4" t="s">
        <v>25</v>
      </c>
      <c r="F1022" s="4" t="s">
        <v>25</v>
      </c>
      <c r="G1022" s="4" t="s">
        <v>25</v>
      </c>
      <c r="H1022" s="4" t="s">
        <v>34</v>
      </c>
      <c r="I1022" s="5">
        <v>44470</v>
      </c>
      <c r="J1022" s="6">
        <v>0</v>
      </c>
      <c r="K1022" s="6">
        <v>0</v>
      </c>
      <c r="L1022" s="6">
        <v>4.1980000000000004</v>
      </c>
      <c r="M1022" s="6">
        <v>4.1980000000000004</v>
      </c>
      <c r="N1022" s="6">
        <v>4.1980000000000004</v>
      </c>
      <c r="O1022" s="6">
        <v>4.1980000000000004</v>
      </c>
      <c r="P1022" s="6">
        <v>0</v>
      </c>
      <c r="Q1022" s="4" t="s">
        <v>26</v>
      </c>
      <c r="R1022" s="4">
        <v>0</v>
      </c>
      <c r="S1022" s="6">
        <v>0</v>
      </c>
      <c r="T1022" s="6">
        <v>41</v>
      </c>
      <c r="U1022" s="6">
        <v>78</v>
      </c>
      <c r="V1022" s="6">
        <f>IF(ISERROR(VLOOKUP($S$1022,'TAR FIN'!$A$1:$O$85,15,0)),0,VLOOKUP($S$1022,'TAR FIN'!$A$1:$O$85,15,0))</f>
        <v>0</v>
      </c>
      <c r="W1022" s="6">
        <f>IF(ISERROR(VLOOKUP($T$1022,'TAR FIN'!$A$1:$O$85,15,0)),0,VLOOKUP($T$1022,'TAR FIN'!$A$1:$O$85,15,0))</f>
        <v>902.29</v>
      </c>
      <c r="X1022" s="6">
        <f>IF(ISERROR(VLOOKUP($U$1022,'TAR FIN'!$A$1:$O$85,15,0)),0,VLOOKUP($U$1022,'TAR FIN'!$A$1:$O$85,15,0))</f>
        <v>492.64</v>
      </c>
      <c r="Y1022" s="6"/>
      <c r="Z1022" s="6">
        <f ca="1">('TUSD BE'!$AM$45+'TUSD BF'!$AM$45+'TUSD CVA'!$AM$45)*1</f>
        <v>1070.1218426910054</v>
      </c>
      <c r="AA1022" s="6">
        <f>('TE BE'!$AB$35+'TE BF'!$AB$35+'TE CVA'!$AB$35)*1</f>
        <v>485.87597641853409</v>
      </c>
      <c r="AB1022" s="6">
        <f>$K$1022*$V$1022</f>
        <v>0</v>
      </c>
      <c r="AC1022" s="6">
        <f>$M$1022*$W$1022</f>
        <v>3787.8134200000004</v>
      </c>
      <c r="AD1022" s="6">
        <f>$O$1022*$X$1022</f>
        <v>2068.1027200000003</v>
      </c>
      <c r="AE1022" s="6">
        <f>$K$1022*$Y$1022</f>
        <v>0</v>
      </c>
      <c r="AF1022" s="6">
        <f ca="1">$M$1022*$Z$1022</f>
        <v>4492.3714956168415</v>
      </c>
      <c r="AG1022" s="6">
        <f>$O$1022*$AA$1022</f>
        <v>2039.7073490050063</v>
      </c>
    </row>
    <row r="1023" spans="1:33" ht="11.25" customHeight="1" x14ac:dyDescent="0.25">
      <c r="A1023" s="4" t="s">
        <v>28</v>
      </c>
      <c r="B1023" s="4" t="s">
        <v>37</v>
      </c>
      <c r="C1023" s="4" t="s">
        <v>33</v>
      </c>
      <c r="D1023" s="4" t="s">
        <v>41</v>
      </c>
      <c r="E1023" s="4" t="s">
        <v>25</v>
      </c>
      <c r="F1023" s="4" t="s">
        <v>25</v>
      </c>
      <c r="G1023" s="4" t="s">
        <v>25</v>
      </c>
      <c r="H1023" s="4" t="s">
        <v>34</v>
      </c>
      <c r="I1023" s="5">
        <v>44470</v>
      </c>
      <c r="J1023" s="6">
        <v>0</v>
      </c>
      <c r="K1023" s="6">
        <v>0</v>
      </c>
      <c r="L1023" s="6">
        <v>9.9000000000000005E-2</v>
      </c>
      <c r="M1023" s="6">
        <v>9.9000000000000005E-2</v>
      </c>
      <c r="N1023" s="6">
        <v>9.9000000000000005E-2</v>
      </c>
      <c r="O1023" s="6">
        <v>9.9000000000000005E-2</v>
      </c>
      <c r="P1023" s="6">
        <v>0</v>
      </c>
      <c r="Q1023" s="4" t="s">
        <v>26</v>
      </c>
      <c r="R1023" s="4">
        <v>0</v>
      </c>
      <c r="S1023" s="6">
        <v>0</v>
      </c>
      <c r="T1023" s="6">
        <v>41</v>
      </c>
      <c r="U1023" s="6">
        <v>78</v>
      </c>
      <c r="V1023" s="6">
        <f>IF(ISERROR(VLOOKUP($S$1023,'TAR FIN'!$A$1:$O$85,15,0)),0,VLOOKUP($S$1023,'TAR FIN'!$A$1:$O$85,15,0))</f>
        <v>0</v>
      </c>
      <c r="W1023" s="6">
        <f>IF(ISERROR(VLOOKUP($T$1023,'TAR FIN'!$A$1:$O$85,15,0)),0,VLOOKUP($T$1023,'TAR FIN'!$A$1:$O$85,15,0))</f>
        <v>902.29</v>
      </c>
      <c r="X1023" s="6">
        <f>IF(ISERROR(VLOOKUP($U$1023,'TAR FIN'!$A$1:$O$85,15,0)),0,VLOOKUP($U$1023,'TAR FIN'!$A$1:$O$85,15,0))</f>
        <v>492.64</v>
      </c>
      <c r="Y1023" s="6"/>
      <c r="Z1023" s="6">
        <f ca="1">('TUSD BE'!$AM$45+'TUSD BF'!$AM$45+'TUSD CVA'!$AM$45)*1</f>
        <v>1070.1218426910054</v>
      </c>
      <c r="AA1023" s="6">
        <f>('TE BE'!$AB$35+'TE BF'!$AB$35+'TE CVA'!$AB$35)*1</f>
        <v>485.87597641853409</v>
      </c>
      <c r="AB1023" s="6">
        <f>$K$1023*$V$1023</f>
        <v>0</v>
      </c>
      <c r="AC1023" s="6">
        <f>$M$1023*$W$1023</f>
        <v>89.326710000000006</v>
      </c>
      <c r="AD1023" s="6">
        <f>$O$1023*$X$1023</f>
        <v>48.771360000000001</v>
      </c>
      <c r="AE1023" s="6">
        <f>$K$1023*$Y$1023</f>
        <v>0</v>
      </c>
      <c r="AF1023" s="6">
        <f ca="1">$M$1023*$Z$1023</f>
        <v>105.94206242640955</v>
      </c>
      <c r="AG1023" s="6">
        <f>$O$1023*$AA$1023</f>
        <v>48.10172166543488</v>
      </c>
    </row>
    <row r="1024" spans="1:33" ht="11.25" customHeight="1" x14ac:dyDescent="0.25">
      <c r="A1024" s="4" t="s">
        <v>28</v>
      </c>
      <c r="B1024" s="4" t="s">
        <v>37</v>
      </c>
      <c r="C1024" s="4" t="s">
        <v>33</v>
      </c>
      <c r="D1024" s="4" t="s">
        <v>41</v>
      </c>
      <c r="E1024" s="4" t="s">
        <v>25</v>
      </c>
      <c r="F1024" s="4" t="s">
        <v>25</v>
      </c>
      <c r="G1024" s="4" t="s">
        <v>25</v>
      </c>
      <c r="H1024" s="4" t="s">
        <v>34</v>
      </c>
      <c r="I1024" s="5">
        <v>44470</v>
      </c>
      <c r="J1024" s="6">
        <v>0</v>
      </c>
      <c r="K1024" s="6">
        <v>0</v>
      </c>
      <c r="L1024" s="6">
        <v>1E-3</v>
      </c>
      <c r="M1024" s="6">
        <v>1E-3</v>
      </c>
      <c r="N1024" s="6">
        <v>1E-3</v>
      </c>
      <c r="O1024" s="6">
        <v>1E-3</v>
      </c>
      <c r="P1024" s="6">
        <v>0</v>
      </c>
      <c r="Q1024" s="4" t="s">
        <v>26</v>
      </c>
      <c r="R1024" s="4">
        <v>0</v>
      </c>
      <c r="S1024" s="6">
        <v>0</v>
      </c>
      <c r="T1024" s="6">
        <v>41</v>
      </c>
      <c r="U1024" s="6">
        <v>78</v>
      </c>
      <c r="V1024" s="6">
        <f>IF(ISERROR(VLOOKUP($S$1024,'TAR FIN'!$A$1:$O$85,15,0)),0,VLOOKUP($S$1024,'TAR FIN'!$A$1:$O$85,15,0))</f>
        <v>0</v>
      </c>
      <c r="W1024" s="6">
        <f>IF(ISERROR(VLOOKUP($T$1024,'TAR FIN'!$A$1:$O$85,15,0)),0,VLOOKUP($T$1024,'TAR FIN'!$A$1:$O$85,15,0))</f>
        <v>902.29</v>
      </c>
      <c r="X1024" s="6">
        <f>IF(ISERROR(VLOOKUP($U$1024,'TAR FIN'!$A$1:$O$85,15,0)),0,VLOOKUP($U$1024,'TAR FIN'!$A$1:$O$85,15,0))</f>
        <v>492.64</v>
      </c>
      <c r="Y1024" s="6"/>
      <c r="Z1024" s="6">
        <f ca="1">('TUSD BE'!$AM$45+'TUSD BF'!$AM$45+'TUSD CVA'!$AM$45)*1</f>
        <v>1070.1218426910054</v>
      </c>
      <c r="AA1024" s="6">
        <f>('TE BE'!$AB$35+'TE BF'!$AB$35+'TE CVA'!$AB$35)*1</f>
        <v>485.87597641853409</v>
      </c>
      <c r="AB1024" s="6">
        <f>$K$1024*$V$1024</f>
        <v>0</v>
      </c>
      <c r="AC1024" s="6">
        <f>$M$1024*$W$1024</f>
        <v>0.90229000000000004</v>
      </c>
      <c r="AD1024" s="6">
        <f>$O$1024*$X$1024</f>
        <v>0.49264000000000002</v>
      </c>
      <c r="AE1024" s="6">
        <f>$K$1024*$Y$1024</f>
        <v>0</v>
      </c>
      <c r="AF1024" s="6">
        <f ca="1">$M$1024*$Z$1024</f>
        <v>1.0701218426910055</v>
      </c>
      <c r="AG1024" s="6">
        <f>$O$1024*$AA$1024</f>
        <v>0.48587597641853408</v>
      </c>
    </row>
    <row r="1025" spans="1:33" ht="11.25" customHeight="1" x14ac:dyDescent="0.25">
      <c r="A1025" s="4" t="s">
        <v>21</v>
      </c>
      <c r="B1025" s="4" t="s">
        <v>37</v>
      </c>
      <c r="C1025" s="4" t="s">
        <v>33</v>
      </c>
      <c r="D1025" s="4" t="s">
        <v>41</v>
      </c>
      <c r="E1025" s="4" t="s">
        <v>25</v>
      </c>
      <c r="F1025" s="4" t="s">
        <v>25</v>
      </c>
      <c r="G1025" s="4" t="s">
        <v>25</v>
      </c>
      <c r="H1025" s="4" t="s">
        <v>34</v>
      </c>
      <c r="I1025" s="5">
        <v>44501</v>
      </c>
      <c r="J1025" s="6">
        <v>0</v>
      </c>
      <c r="K1025" s="6">
        <v>0</v>
      </c>
      <c r="L1025" s="6">
        <v>4.2629999999999999</v>
      </c>
      <c r="M1025" s="6">
        <v>4.2629999999999999</v>
      </c>
      <c r="N1025" s="6">
        <v>4.2629999999999999</v>
      </c>
      <c r="O1025" s="6">
        <v>4.2629999999999999</v>
      </c>
      <c r="P1025" s="6">
        <v>0</v>
      </c>
      <c r="Q1025" s="4" t="s">
        <v>26</v>
      </c>
      <c r="R1025" s="4">
        <v>0</v>
      </c>
      <c r="S1025" s="6">
        <v>0</v>
      </c>
      <c r="T1025" s="6">
        <v>41</v>
      </c>
      <c r="U1025" s="6">
        <v>78</v>
      </c>
      <c r="V1025" s="6">
        <f>IF(ISERROR(VLOOKUP($S$1025,'TAR FIN'!$A$1:$O$85,15,0)),0,VLOOKUP($S$1025,'TAR FIN'!$A$1:$O$85,15,0))</f>
        <v>0</v>
      </c>
      <c r="W1025" s="6">
        <f>IF(ISERROR(VLOOKUP($T$1025,'TAR FIN'!$A$1:$O$85,15,0)),0,VLOOKUP($T$1025,'TAR FIN'!$A$1:$O$85,15,0))</f>
        <v>902.29</v>
      </c>
      <c r="X1025" s="6">
        <f>IF(ISERROR(VLOOKUP($U$1025,'TAR FIN'!$A$1:$O$85,15,0)),0,VLOOKUP($U$1025,'TAR FIN'!$A$1:$O$85,15,0))</f>
        <v>492.64</v>
      </c>
      <c r="Y1025" s="6"/>
      <c r="Z1025" s="6">
        <f ca="1">('TUSD BE'!$AM$45+'TUSD BF'!$AM$45+'TUSD CVA'!$AM$45)*1</f>
        <v>1070.1218426910054</v>
      </c>
      <c r="AA1025" s="6">
        <f>('TE BE'!$AB$35+'TE BF'!$AB$35+'TE CVA'!$AB$35)*1</f>
        <v>485.87597641853409</v>
      </c>
      <c r="AB1025" s="6">
        <f>$K$1025*$V$1025</f>
        <v>0</v>
      </c>
      <c r="AC1025" s="6">
        <f>$M$1025*$W$1025</f>
        <v>3846.4622699999995</v>
      </c>
      <c r="AD1025" s="6">
        <f>$O$1025*$X$1025</f>
        <v>2100.1243199999999</v>
      </c>
      <c r="AE1025" s="6">
        <f>$K$1025*$Y$1025</f>
        <v>0</v>
      </c>
      <c r="AF1025" s="6">
        <f ca="1">$M$1025*$Z$1025</f>
        <v>4561.9294153917563</v>
      </c>
      <c r="AG1025" s="6">
        <f>$O$1025*$AA$1025</f>
        <v>2071.2892874722106</v>
      </c>
    </row>
    <row r="1026" spans="1:33" ht="11.25" customHeight="1" x14ac:dyDescent="0.25">
      <c r="A1026" s="4" t="s">
        <v>28</v>
      </c>
      <c r="B1026" s="4" t="s">
        <v>37</v>
      </c>
      <c r="C1026" s="4" t="s">
        <v>33</v>
      </c>
      <c r="D1026" s="4" t="s">
        <v>41</v>
      </c>
      <c r="E1026" s="4" t="s">
        <v>25</v>
      </c>
      <c r="F1026" s="4" t="s">
        <v>25</v>
      </c>
      <c r="G1026" s="4" t="s">
        <v>25</v>
      </c>
      <c r="H1026" s="4" t="s">
        <v>34</v>
      </c>
      <c r="I1026" s="5">
        <v>44501</v>
      </c>
      <c r="J1026" s="6">
        <v>0</v>
      </c>
      <c r="K1026" s="6">
        <v>0</v>
      </c>
      <c r="L1026" s="6">
        <v>0.13600000000000001</v>
      </c>
      <c r="M1026" s="6">
        <v>0.13600000000000001</v>
      </c>
      <c r="N1026" s="6">
        <v>0.13600000000000001</v>
      </c>
      <c r="O1026" s="6">
        <v>0.13600000000000001</v>
      </c>
      <c r="P1026" s="6">
        <v>0</v>
      </c>
      <c r="Q1026" s="4" t="s">
        <v>26</v>
      </c>
      <c r="R1026" s="4">
        <v>0</v>
      </c>
      <c r="S1026" s="6">
        <v>0</v>
      </c>
      <c r="T1026" s="6">
        <v>41</v>
      </c>
      <c r="U1026" s="6">
        <v>78</v>
      </c>
      <c r="V1026" s="6">
        <f>IF(ISERROR(VLOOKUP($S$1026,'TAR FIN'!$A$1:$O$85,15,0)),0,VLOOKUP($S$1026,'TAR FIN'!$A$1:$O$85,15,0))</f>
        <v>0</v>
      </c>
      <c r="W1026" s="6">
        <f>IF(ISERROR(VLOOKUP($T$1026,'TAR FIN'!$A$1:$O$85,15,0)),0,VLOOKUP($T$1026,'TAR FIN'!$A$1:$O$85,15,0))</f>
        <v>902.29</v>
      </c>
      <c r="X1026" s="6">
        <f>IF(ISERROR(VLOOKUP($U$1026,'TAR FIN'!$A$1:$O$85,15,0)),0,VLOOKUP($U$1026,'TAR FIN'!$A$1:$O$85,15,0))</f>
        <v>492.64</v>
      </c>
      <c r="Y1026" s="6"/>
      <c r="Z1026" s="6">
        <f ca="1">('TUSD BE'!$AM$45+'TUSD BF'!$AM$45+'TUSD CVA'!$AM$45)*1</f>
        <v>1070.1218426910054</v>
      </c>
      <c r="AA1026" s="6">
        <f>('TE BE'!$AB$35+'TE BF'!$AB$35+'TE CVA'!$AB$35)*1</f>
        <v>485.87597641853409</v>
      </c>
      <c r="AB1026" s="6">
        <f>$K$1026*$V$1026</f>
        <v>0</v>
      </c>
      <c r="AC1026" s="6">
        <f>$M$1026*$W$1026</f>
        <v>122.71144000000001</v>
      </c>
      <c r="AD1026" s="6">
        <f>$O$1026*$X$1026</f>
        <v>66.999040000000008</v>
      </c>
      <c r="AE1026" s="6">
        <f>$K$1026*$Y$1026</f>
        <v>0</v>
      </c>
      <c r="AF1026" s="6">
        <f ca="1">$M$1026*$Z$1026</f>
        <v>145.53657060597675</v>
      </c>
      <c r="AG1026" s="6">
        <f>$O$1026*$AA$1026</f>
        <v>66.079132792920646</v>
      </c>
    </row>
    <row r="1027" spans="1:33" ht="11.25" customHeight="1" x14ac:dyDescent="0.25">
      <c r="A1027" s="4" t="s">
        <v>21</v>
      </c>
      <c r="B1027" s="4" t="s">
        <v>37</v>
      </c>
      <c r="C1027" s="4" t="s">
        <v>33</v>
      </c>
      <c r="D1027" s="4" t="s">
        <v>41</v>
      </c>
      <c r="E1027" s="4" t="s">
        <v>25</v>
      </c>
      <c r="F1027" s="4" t="s">
        <v>25</v>
      </c>
      <c r="G1027" s="4" t="s">
        <v>25</v>
      </c>
      <c r="H1027" s="4" t="s">
        <v>34</v>
      </c>
      <c r="I1027" s="5">
        <v>44531</v>
      </c>
      <c r="J1027" s="6">
        <v>0</v>
      </c>
      <c r="K1027" s="6">
        <v>0</v>
      </c>
      <c r="L1027" s="6">
        <v>4.5640000000000001</v>
      </c>
      <c r="M1027" s="6">
        <v>4.5640000000000001</v>
      </c>
      <c r="N1027" s="6">
        <v>4.5640000000000001</v>
      </c>
      <c r="O1027" s="6">
        <v>4.5640000000000001</v>
      </c>
      <c r="P1027" s="6">
        <v>0</v>
      </c>
      <c r="Q1027" s="4" t="s">
        <v>26</v>
      </c>
      <c r="R1027" s="4">
        <v>0</v>
      </c>
      <c r="S1027" s="6">
        <v>0</v>
      </c>
      <c r="T1027" s="6">
        <v>41</v>
      </c>
      <c r="U1027" s="6">
        <v>78</v>
      </c>
      <c r="V1027" s="6">
        <f>IF(ISERROR(VLOOKUP($S$1027,'TAR FIN'!$A$1:$O$85,15,0)),0,VLOOKUP($S$1027,'TAR FIN'!$A$1:$O$85,15,0))</f>
        <v>0</v>
      </c>
      <c r="W1027" s="6">
        <f>IF(ISERROR(VLOOKUP($T$1027,'TAR FIN'!$A$1:$O$85,15,0)),0,VLOOKUP($T$1027,'TAR FIN'!$A$1:$O$85,15,0))</f>
        <v>902.29</v>
      </c>
      <c r="X1027" s="6">
        <f>IF(ISERROR(VLOOKUP($U$1027,'TAR FIN'!$A$1:$O$85,15,0)),0,VLOOKUP($U$1027,'TAR FIN'!$A$1:$O$85,15,0))</f>
        <v>492.64</v>
      </c>
      <c r="Y1027" s="6"/>
      <c r="Z1027" s="6">
        <f ca="1">('TUSD BE'!$AM$45+'TUSD BF'!$AM$45+'TUSD CVA'!$AM$45)*1</f>
        <v>1070.1218426910054</v>
      </c>
      <c r="AA1027" s="6">
        <f>('TE BE'!$AB$35+'TE BF'!$AB$35+'TE CVA'!$AB$35)*1</f>
        <v>485.87597641853409</v>
      </c>
      <c r="AB1027" s="6">
        <f>$K$1027*$V$1027</f>
        <v>0</v>
      </c>
      <c r="AC1027" s="6">
        <f>$M$1027*$W$1027</f>
        <v>4118.0515599999999</v>
      </c>
      <c r="AD1027" s="6">
        <f>$O$1027*$X$1027</f>
        <v>2248.4089599999998</v>
      </c>
      <c r="AE1027" s="6">
        <f>$K$1027*$Y$1027</f>
        <v>0</v>
      </c>
      <c r="AF1027" s="6">
        <f ca="1">$M$1027*$Z$1027</f>
        <v>4884.036090041749</v>
      </c>
      <c r="AG1027" s="6">
        <f>$O$1027*$AA$1027</f>
        <v>2217.5379563741894</v>
      </c>
    </row>
    <row r="1028" spans="1:33" ht="11.25" customHeight="1" x14ac:dyDescent="0.25">
      <c r="A1028" s="4" t="s">
        <v>28</v>
      </c>
      <c r="B1028" s="4" t="s">
        <v>37</v>
      </c>
      <c r="C1028" s="4" t="s">
        <v>33</v>
      </c>
      <c r="D1028" s="4" t="s">
        <v>41</v>
      </c>
      <c r="E1028" s="4" t="s">
        <v>25</v>
      </c>
      <c r="F1028" s="4" t="s">
        <v>25</v>
      </c>
      <c r="G1028" s="4" t="s">
        <v>25</v>
      </c>
      <c r="H1028" s="4" t="s">
        <v>34</v>
      </c>
      <c r="I1028" s="5">
        <v>44531</v>
      </c>
      <c r="J1028" s="6">
        <v>0</v>
      </c>
      <c r="K1028" s="6">
        <v>0</v>
      </c>
      <c r="L1028" s="6">
        <v>0.13900000000000001</v>
      </c>
      <c r="M1028" s="6">
        <v>0.13900000000000001</v>
      </c>
      <c r="N1028" s="6">
        <v>0.13900000000000001</v>
      </c>
      <c r="O1028" s="6">
        <v>0.13900000000000001</v>
      </c>
      <c r="P1028" s="6">
        <v>0</v>
      </c>
      <c r="Q1028" s="4" t="s">
        <v>26</v>
      </c>
      <c r="R1028" s="4">
        <v>0</v>
      </c>
      <c r="S1028" s="6">
        <v>0</v>
      </c>
      <c r="T1028" s="6">
        <v>41</v>
      </c>
      <c r="U1028" s="6">
        <v>78</v>
      </c>
      <c r="V1028" s="6">
        <f>IF(ISERROR(VLOOKUP($S$1028,'TAR FIN'!$A$1:$O$85,15,0)),0,VLOOKUP($S$1028,'TAR FIN'!$A$1:$O$85,15,0))</f>
        <v>0</v>
      </c>
      <c r="W1028" s="6">
        <f>IF(ISERROR(VLOOKUP($T$1028,'TAR FIN'!$A$1:$O$85,15,0)),0,VLOOKUP($T$1028,'TAR FIN'!$A$1:$O$85,15,0))</f>
        <v>902.29</v>
      </c>
      <c r="X1028" s="6">
        <f>IF(ISERROR(VLOOKUP($U$1028,'TAR FIN'!$A$1:$O$85,15,0)),0,VLOOKUP($U$1028,'TAR FIN'!$A$1:$O$85,15,0))</f>
        <v>492.64</v>
      </c>
      <c r="Y1028" s="6"/>
      <c r="Z1028" s="6">
        <f ca="1">('TUSD BE'!$AM$45+'TUSD BF'!$AM$45+'TUSD CVA'!$AM$45)*1</f>
        <v>1070.1218426910054</v>
      </c>
      <c r="AA1028" s="6">
        <f>('TE BE'!$AB$35+'TE BF'!$AB$35+'TE CVA'!$AB$35)*1</f>
        <v>485.87597641853409</v>
      </c>
      <c r="AB1028" s="6">
        <f>$K$1028*$V$1028</f>
        <v>0</v>
      </c>
      <c r="AC1028" s="6">
        <f>$M$1028*$W$1028</f>
        <v>125.41831000000001</v>
      </c>
      <c r="AD1028" s="6">
        <f>$O$1028*$X$1028</f>
        <v>68.476960000000005</v>
      </c>
      <c r="AE1028" s="6">
        <f>$K$1028*$Y$1028</f>
        <v>0</v>
      </c>
      <c r="AF1028" s="6">
        <f ca="1">$M$1028*$Z$1028</f>
        <v>148.74693613404978</v>
      </c>
      <c r="AG1028" s="6">
        <f>$O$1028*$AA$1028</f>
        <v>67.53676072217624</v>
      </c>
    </row>
    <row r="1029" spans="1:33" ht="11.25" customHeight="1" x14ac:dyDescent="0.25">
      <c r="A1029" s="4" t="s">
        <v>21</v>
      </c>
      <c r="B1029" s="4" t="s">
        <v>37</v>
      </c>
      <c r="C1029" s="4" t="s">
        <v>33</v>
      </c>
      <c r="D1029" s="4" t="s">
        <v>41</v>
      </c>
      <c r="E1029" s="4" t="s">
        <v>25</v>
      </c>
      <c r="F1029" s="4" t="s">
        <v>25</v>
      </c>
      <c r="G1029" s="4" t="s">
        <v>25</v>
      </c>
      <c r="H1029" s="4" t="s">
        <v>34</v>
      </c>
      <c r="I1029" s="5">
        <v>44562</v>
      </c>
      <c r="J1029" s="6">
        <v>0</v>
      </c>
      <c r="K1029" s="6">
        <v>0</v>
      </c>
      <c r="L1029" s="6">
        <v>4.4950000000000001</v>
      </c>
      <c r="M1029" s="6">
        <v>4.4950000000000001</v>
      </c>
      <c r="N1029" s="6">
        <v>4.4950000000000001</v>
      </c>
      <c r="O1029" s="6">
        <v>4.4950000000000001</v>
      </c>
      <c r="P1029" s="6">
        <v>0</v>
      </c>
      <c r="Q1029" s="4" t="s">
        <v>26</v>
      </c>
      <c r="R1029" s="4">
        <v>0</v>
      </c>
      <c r="S1029" s="6">
        <v>0</v>
      </c>
      <c r="T1029" s="6">
        <v>41</v>
      </c>
      <c r="U1029" s="6">
        <v>78</v>
      </c>
      <c r="V1029" s="6">
        <f>IF(ISERROR(VLOOKUP($S$1029,'TAR FIN'!$A$1:$O$85,15,0)),0,VLOOKUP($S$1029,'TAR FIN'!$A$1:$O$85,15,0))</f>
        <v>0</v>
      </c>
      <c r="W1029" s="6">
        <f>IF(ISERROR(VLOOKUP($T$1029,'TAR FIN'!$A$1:$O$85,15,0)),0,VLOOKUP($T$1029,'TAR FIN'!$A$1:$O$85,15,0))</f>
        <v>902.29</v>
      </c>
      <c r="X1029" s="6">
        <f>IF(ISERROR(VLOOKUP($U$1029,'TAR FIN'!$A$1:$O$85,15,0)),0,VLOOKUP($U$1029,'TAR FIN'!$A$1:$O$85,15,0))</f>
        <v>492.64</v>
      </c>
      <c r="Y1029" s="6"/>
      <c r="Z1029" s="6">
        <f ca="1">('TUSD BE'!$AM$45+'TUSD BF'!$AM$45+'TUSD CVA'!$AM$45)*1</f>
        <v>1070.1218426910054</v>
      </c>
      <c r="AA1029" s="6">
        <f>('TE BE'!$AB$35+'TE BF'!$AB$35+'TE CVA'!$AB$35)*1</f>
        <v>485.87597641853409</v>
      </c>
      <c r="AB1029" s="6">
        <f>$K$1029*$V$1029</f>
        <v>0</v>
      </c>
      <c r="AC1029" s="6">
        <f>$M$1029*$W$1029</f>
        <v>4055.7935499999999</v>
      </c>
      <c r="AD1029" s="6">
        <f>$O$1029*$X$1029</f>
        <v>2214.4168</v>
      </c>
      <c r="AE1029" s="6">
        <f>$K$1029*$Y$1029</f>
        <v>0</v>
      </c>
      <c r="AF1029" s="6">
        <f ca="1">$M$1029*$Z$1029</f>
        <v>4810.1976828960696</v>
      </c>
      <c r="AG1029" s="6">
        <f>$O$1029*$AA$1029</f>
        <v>2184.0125140013106</v>
      </c>
    </row>
    <row r="1030" spans="1:33" ht="11.25" customHeight="1" x14ac:dyDescent="0.25">
      <c r="A1030" s="4" t="s">
        <v>28</v>
      </c>
      <c r="B1030" s="4" t="s">
        <v>37</v>
      </c>
      <c r="C1030" s="4" t="s">
        <v>33</v>
      </c>
      <c r="D1030" s="4" t="s">
        <v>41</v>
      </c>
      <c r="E1030" s="4" t="s">
        <v>25</v>
      </c>
      <c r="F1030" s="4" t="s">
        <v>25</v>
      </c>
      <c r="G1030" s="4" t="s">
        <v>25</v>
      </c>
      <c r="H1030" s="4" t="s">
        <v>34</v>
      </c>
      <c r="I1030" s="5">
        <v>44562</v>
      </c>
      <c r="J1030" s="6">
        <v>0</v>
      </c>
      <c r="K1030" s="6">
        <v>0</v>
      </c>
      <c r="L1030" s="6">
        <v>0.14699999999999999</v>
      </c>
      <c r="M1030" s="6">
        <v>0.14699999999999999</v>
      </c>
      <c r="N1030" s="6">
        <v>0.14699999999999999</v>
      </c>
      <c r="O1030" s="6">
        <v>0.14699999999999999</v>
      </c>
      <c r="P1030" s="6">
        <v>0</v>
      </c>
      <c r="Q1030" s="4" t="s">
        <v>26</v>
      </c>
      <c r="R1030" s="4">
        <v>0</v>
      </c>
      <c r="S1030" s="6">
        <v>0</v>
      </c>
      <c r="T1030" s="6">
        <v>41</v>
      </c>
      <c r="U1030" s="6">
        <v>78</v>
      </c>
      <c r="V1030" s="6">
        <f>IF(ISERROR(VLOOKUP($S$1030,'TAR FIN'!$A$1:$O$85,15,0)),0,VLOOKUP($S$1030,'TAR FIN'!$A$1:$O$85,15,0))</f>
        <v>0</v>
      </c>
      <c r="W1030" s="6">
        <f>IF(ISERROR(VLOOKUP($T$1030,'TAR FIN'!$A$1:$O$85,15,0)),0,VLOOKUP($T$1030,'TAR FIN'!$A$1:$O$85,15,0))</f>
        <v>902.29</v>
      </c>
      <c r="X1030" s="6">
        <f>IF(ISERROR(VLOOKUP($U$1030,'TAR FIN'!$A$1:$O$85,15,0)),0,VLOOKUP($U$1030,'TAR FIN'!$A$1:$O$85,15,0))</f>
        <v>492.64</v>
      </c>
      <c r="Y1030" s="6"/>
      <c r="Z1030" s="6">
        <f ca="1">('TUSD BE'!$AM$45+'TUSD BF'!$AM$45+'TUSD CVA'!$AM$45)*1</f>
        <v>1070.1218426910054</v>
      </c>
      <c r="AA1030" s="6">
        <f>('TE BE'!$AB$35+'TE BF'!$AB$35+'TE CVA'!$AB$35)*1</f>
        <v>485.87597641853409</v>
      </c>
      <c r="AB1030" s="6">
        <f>$K$1030*$V$1030</f>
        <v>0</v>
      </c>
      <c r="AC1030" s="6">
        <f>$M$1030*$W$1030</f>
        <v>132.63663</v>
      </c>
      <c r="AD1030" s="6">
        <f>$O$1030*$X$1030</f>
        <v>72.418079999999989</v>
      </c>
      <c r="AE1030" s="6">
        <f>$K$1030*$Y$1030</f>
        <v>0</v>
      </c>
      <c r="AF1030" s="6">
        <f ca="1">$M$1030*$Z$1030</f>
        <v>157.30791087557779</v>
      </c>
      <c r="AG1030" s="6">
        <f>$O$1030*$AA$1030</f>
        <v>71.423768533524509</v>
      </c>
    </row>
    <row r="1031" spans="1:33" ht="11.25" customHeight="1" x14ac:dyDescent="0.25">
      <c r="A1031" s="4" t="s">
        <v>21</v>
      </c>
      <c r="B1031" s="4" t="s">
        <v>37</v>
      </c>
      <c r="C1031" s="4" t="s">
        <v>33</v>
      </c>
      <c r="D1031" s="4" t="s">
        <v>41</v>
      </c>
      <c r="E1031" s="4" t="s">
        <v>25</v>
      </c>
      <c r="F1031" s="4" t="s">
        <v>25</v>
      </c>
      <c r="G1031" s="4" t="s">
        <v>25</v>
      </c>
      <c r="H1031" s="4" t="s">
        <v>34</v>
      </c>
      <c r="I1031" s="5">
        <v>44593</v>
      </c>
      <c r="J1031" s="6">
        <v>0</v>
      </c>
      <c r="K1031" s="6">
        <v>0</v>
      </c>
      <c r="L1031" s="6">
        <v>4.3879999999999999</v>
      </c>
      <c r="M1031" s="6">
        <v>4.3879999999999999</v>
      </c>
      <c r="N1031" s="6">
        <v>4.3879999999999999</v>
      </c>
      <c r="O1031" s="6">
        <v>4.3879999999999999</v>
      </c>
      <c r="P1031" s="6">
        <v>0</v>
      </c>
      <c r="Q1031" s="4" t="s">
        <v>26</v>
      </c>
      <c r="R1031" s="4">
        <v>0</v>
      </c>
      <c r="S1031" s="6">
        <v>0</v>
      </c>
      <c r="T1031" s="6">
        <v>41</v>
      </c>
      <c r="U1031" s="6">
        <v>78</v>
      </c>
      <c r="V1031" s="6">
        <f>IF(ISERROR(VLOOKUP($S$1031,'TAR FIN'!$A$1:$O$85,15,0)),0,VLOOKUP($S$1031,'TAR FIN'!$A$1:$O$85,15,0))</f>
        <v>0</v>
      </c>
      <c r="W1031" s="6">
        <f>IF(ISERROR(VLOOKUP($T$1031,'TAR FIN'!$A$1:$O$85,15,0)),0,VLOOKUP($T$1031,'TAR FIN'!$A$1:$O$85,15,0))</f>
        <v>902.29</v>
      </c>
      <c r="X1031" s="6">
        <f>IF(ISERROR(VLOOKUP($U$1031,'TAR FIN'!$A$1:$O$85,15,0)),0,VLOOKUP($U$1031,'TAR FIN'!$A$1:$O$85,15,0))</f>
        <v>492.64</v>
      </c>
      <c r="Y1031" s="6"/>
      <c r="Z1031" s="6">
        <f ca="1">('TUSD BE'!$AM$45+'TUSD BF'!$AM$45+'TUSD CVA'!$AM$45)*1</f>
        <v>1070.1218426910054</v>
      </c>
      <c r="AA1031" s="6">
        <f>('TE BE'!$AB$35+'TE BF'!$AB$35+'TE CVA'!$AB$35)*1</f>
        <v>485.87597641853409</v>
      </c>
      <c r="AB1031" s="6">
        <f>$K$1031*$V$1031</f>
        <v>0</v>
      </c>
      <c r="AC1031" s="6">
        <f>$M$1031*$W$1031</f>
        <v>3959.2485199999996</v>
      </c>
      <c r="AD1031" s="6">
        <f>$O$1031*$X$1031</f>
        <v>2161.7043199999998</v>
      </c>
      <c r="AE1031" s="6">
        <f>$K$1031*$Y$1031</f>
        <v>0</v>
      </c>
      <c r="AF1031" s="6">
        <f ca="1">$M$1031*$Z$1031</f>
        <v>4695.6946457281319</v>
      </c>
      <c r="AG1031" s="6">
        <f>$O$1031*$AA$1031</f>
        <v>2132.0237845245274</v>
      </c>
    </row>
    <row r="1032" spans="1:33" ht="11.25" customHeight="1" x14ac:dyDescent="0.25">
      <c r="A1032" s="4" t="s">
        <v>28</v>
      </c>
      <c r="B1032" s="4" t="s">
        <v>37</v>
      </c>
      <c r="C1032" s="4" t="s">
        <v>33</v>
      </c>
      <c r="D1032" s="4" t="s">
        <v>41</v>
      </c>
      <c r="E1032" s="4" t="s">
        <v>25</v>
      </c>
      <c r="F1032" s="4" t="s">
        <v>25</v>
      </c>
      <c r="G1032" s="4" t="s">
        <v>25</v>
      </c>
      <c r="H1032" s="4" t="s">
        <v>34</v>
      </c>
      <c r="I1032" s="5">
        <v>44593</v>
      </c>
      <c r="J1032" s="6">
        <v>0</v>
      </c>
      <c r="K1032" s="6">
        <v>0</v>
      </c>
      <c r="L1032" s="6">
        <v>0.16800000000000001</v>
      </c>
      <c r="M1032" s="6">
        <v>0.16800000000000001</v>
      </c>
      <c r="N1032" s="6">
        <v>0.16800000000000001</v>
      </c>
      <c r="O1032" s="6">
        <v>0.16800000000000001</v>
      </c>
      <c r="P1032" s="6">
        <v>0</v>
      </c>
      <c r="Q1032" s="4" t="s">
        <v>26</v>
      </c>
      <c r="R1032" s="4">
        <v>0</v>
      </c>
      <c r="S1032" s="6">
        <v>0</v>
      </c>
      <c r="T1032" s="6">
        <v>41</v>
      </c>
      <c r="U1032" s="6">
        <v>78</v>
      </c>
      <c r="V1032" s="6">
        <f>IF(ISERROR(VLOOKUP($S$1032,'TAR FIN'!$A$1:$O$85,15,0)),0,VLOOKUP($S$1032,'TAR FIN'!$A$1:$O$85,15,0))</f>
        <v>0</v>
      </c>
      <c r="W1032" s="6">
        <f>IF(ISERROR(VLOOKUP($T$1032,'TAR FIN'!$A$1:$O$85,15,0)),0,VLOOKUP($T$1032,'TAR FIN'!$A$1:$O$85,15,0))</f>
        <v>902.29</v>
      </c>
      <c r="X1032" s="6">
        <f>IF(ISERROR(VLOOKUP($U$1032,'TAR FIN'!$A$1:$O$85,15,0)),0,VLOOKUP($U$1032,'TAR FIN'!$A$1:$O$85,15,0))</f>
        <v>492.64</v>
      </c>
      <c r="Y1032" s="6"/>
      <c r="Z1032" s="6">
        <f ca="1">('TUSD BE'!$AM$45+'TUSD BF'!$AM$45+'TUSD CVA'!$AM$45)*1</f>
        <v>1070.1218426910054</v>
      </c>
      <c r="AA1032" s="6">
        <f>('TE BE'!$AB$35+'TE BF'!$AB$35+'TE CVA'!$AB$35)*1</f>
        <v>485.87597641853409</v>
      </c>
      <c r="AB1032" s="6">
        <f>$K$1032*$V$1032</f>
        <v>0</v>
      </c>
      <c r="AC1032" s="6">
        <f>$M$1032*$W$1032</f>
        <v>151.58472</v>
      </c>
      <c r="AD1032" s="6">
        <f>$O$1032*$X$1032</f>
        <v>82.76352</v>
      </c>
      <c r="AE1032" s="6">
        <f>$K$1032*$Y$1032</f>
        <v>0</v>
      </c>
      <c r="AF1032" s="6">
        <f ca="1">$M$1032*$Z$1032</f>
        <v>179.78046957208892</v>
      </c>
      <c r="AG1032" s="6">
        <f>$O$1032*$AA$1032</f>
        <v>81.627164038313737</v>
      </c>
    </row>
    <row r="1033" spans="1:33" ht="11.25" customHeight="1" x14ac:dyDescent="0.25">
      <c r="A1033" s="4" t="s">
        <v>21</v>
      </c>
      <c r="B1033" s="4" t="s">
        <v>37</v>
      </c>
      <c r="C1033" s="4" t="s">
        <v>33</v>
      </c>
      <c r="D1033" s="4" t="s">
        <v>41</v>
      </c>
      <c r="E1033" s="4" t="s">
        <v>25</v>
      </c>
      <c r="F1033" s="4" t="s">
        <v>25</v>
      </c>
      <c r="G1033" s="4" t="s">
        <v>25</v>
      </c>
      <c r="H1033" s="4" t="s">
        <v>34</v>
      </c>
      <c r="I1033" s="5">
        <v>44621</v>
      </c>
      <c r="J1033" s="6">
        <v>0</v>
      </c>
      <c r="K1033" s="6">
        <v>0</v>
      </c>
      <c r="L1033" s="6">
        <v>4.6660000000000004</v>
      </c>
      <c r="M1033" s="6">
        <v>4.6660000000000004</v>
      </c>
      <c r="N1033" s="6">
        <v>4.6660000000000004</v>
      </c>
      <c r="O1033" s="6">
        <v>4.6660000000000004</v>
      </c>
      <c r="P1033" s="6">
        <v>0</v>
      </c>
      <c r="Q1033" s="4" t="s">
        <v>26</v>
      </c>
      <c r="R1033" s="4">
        <v>0</v>
      </c>
      <c r="S1033" s="6">
        <v>0</v>
      </c>
      <c r="T1033" s="6">
        <v>41</v>
      </c>
      <c r="U1033" s="6">
        <v>78</v>
      </c>
      <c r="V1033" s="6">
        <f>IF(ISERROR(VLOOKUP($S$1033,'TAR FIN'!$A$1:$O$85,15,0)),0,VLOOKUP($S$1033,'TAR FIN'!$A$1:$O$85,15,0))</f>
        <v>0</v>
      </c>
      <c r="W1033" s="6">
        <f>IF(ISERROR(VLOOKUP($T$1033,'TAR FIN'!$A$1:$O$85,15,0)),0,VLOOKUP($T$1033,'TAR FIN'!$A$1:$O$85,15,0))</f>
        <v>902.29</v>
      </c>
      <c r="X1033" s="6">
        <f>IF(ISERROR(VLOOKUP($U$1033,'TAR FIN'!$A$1:$O$85,15,0)),0,VLOOKUP($U$1033,'TAR FIN'!$A$1:$O$85,15,0))</f>
        <v>492.64</v>
      </c>
      <c r="Y1033" s="6"/>
      <c r="Z1033" s="6">
        <f ca="1">('TUSD BE'!$AM$45+'TUSD BF'!$AM$45+'TUSD CVA'!$AM$45)*1</f>
        <v>1070.1218426910054</v>
      </c>
      <c r="AA1033" s="6">
        <f>('TE BE'!$AB$35+'TE BF'!$AB$35+'TE CVA'!$AB$35)*1</f>
        <v>485.87597641853409</v>
      </c>
      <c r="AB1033" s="6">
        <f>$K$1033*$V$1033</f>
        <v>0</v>
      </c>
      <c r="AC1033" s="6">
        <f>$M$1033*$W$1033</f>
        <v>4210.0851400000001</v>
      </c>
      <c r="AD1033" s="6">
        <f>$O$1033*$X$1033</f>
        <v>2298.6582400000002</v>
      </c>
      <c r="AE1033" s="6">
        <f>$K$1033*$Y$1033</f>
        <v>0</v>
      </c>
      <c r="AF1033" s="6">
        <f ca="1">$M$1033*$Z$1033</f>
        <v>4993.1885179962319</v>
      </c>
      <c r="AG1033" s="6">
        <f>$O$1033*$AA$1033</f>
        <v>2267.0973059688804</v>
      </c>
    </row>
    <row r="1034" spans="1:33" ht="11.25" customHeight="1" x14ac:dyDescent="0.25">
      <c r="A1034" s="4" t="s">
        <v>28</v>
      </c>
      <c r="B1034" s="4" t="s">
        <v>37</v>
      </c>
      <c r="C1034" s="4" t="s">
        <v>33</v>
      </c>
      <c r="D1034" s="4" t="s">
        <v>41</v>
      </c>
      <c r="E1034" s="4" t="s">
        <v>25</v>
      </c>
      <c r="F1034" s="4" t="s">
        <v>25</v>
      </c>
      <c r="G1034" s="4" t="s">
        <v>25</v>
      </c>
      <c r="H1034" s="4" t="s">
        <v>34</v>
      </c>
      <c r="I1034" s="5">
        <v>44621</v>
      </c>
      <c r="J1034" s="6">
        <v>0</v>
      </c>
      <c r="K1034" s="6">
        <v>0</v>
      </c>
      <c r="L1034" s="6">
        <v>0.106</v>
      </c>
      <c r="M1034" s="6">
        <v>0.106</v>
      </c>
      <c r="N1034" s="6">
        <v>0.106</v>
      </c>
      <c r="O1034" s="6">
        <v>0.106</v>
      </c>
      <c r="P1034" s="6">
        <v>0</v>
      </c>
      <c r="Q1034" s="4" t="s">
        <v>26</v>
      </c>
      <c r="R1034" s="4">
        <v>0</v>
      </c>
      <c r="S1034" s="6">
        <v>0</v>
      </c>
      <c r="T1034" s="6">
        <v>41</v>
      </c>
      <c r="U1034" s="6">
        <v>78</v>
      </c>
      <c r="V1034" s="6">
        <f>IF(ISERROR(VLOOKUP($S$1034,'TAR FIN'!$A$1:$O$85,15,0)),0,VLOOKUP($S$1034,'TAR FIN'!$A$1:$O$85,15,0))</f>
        <v>0</v>
      </c>
      <c r="W1034" s="6">
        <f>IF(ISERROR(VLOOKUP($T$1034,'TAR FIN'!$A$1:$O$85,15,0)),0,VLOOKUP($T$1034,'TAR FIN'!$A$1:$O$85,15,0))</f>
        <v>902.29</v>
      </c>
      <c r="X1034" s="6">
        <f>IF(ISERROR(VLOOKUP($U$1034,'TAR FIN'!$A$1:$O$85,15,0)),0,VLOOKUP($U$1034,'TAR FIN'!$A$1:$O$85,15,0))</f>
        <v>492.64</v>
      </c>
      <c r="Y1034" s="6"/>
      <c r="Z1034" s="6">
        <f ca="1">('TUSD BE'!$AM$45+'TUSD BF'!$AM$45+'TUSD CVA'!$AM$45)*1</f>
        <v>1070.1218426910054</v>
      </c>
      <c r="AA1034" s="6">
        <f>('TE BE'!$AB$35+'TE BF'!$AB$35+'TE CVA'!$AB$35)*1</f>
        <v>485.87597641853409</v>
      </c>
      <c r="AB1034" s="6">
        <f>$K$1034*$V$1034</f>
        <v>0</v>
      </c>
      <c r="AC1034" s="6">
        <f>$M$1034*$W$1034</f>
        <v>95.642739999999989</v>
      </c>
      <c r="AD1034" s="6">
        <f>$O$1034*$X$1034</f>
        <v>52.219839999999998</v>
      </c>
      <c r="AE1034" s="6">
        <f>$K$1034*$Y$1034</f>
        <v>0</v>
      </c>
      <c r="AF1034" s="6">
        <f ca="1">$M$1034*$Z$1034</f>
        <v>113.43291532524657</v>
      </c>
      <c r="AG1034" s="6">
        <f>$O$1034*$AA$1034</f>
        <v>51.502853500364616</v>
      </c>
    </row>
    <row r="1035" spans="1:33" ht="11.25" customHeight="1" x14ac:dyDescent="0.25">
      <c r="A1035" s="4" t="s">
        <v>21</v>
      </c>
      <c r="B1035" s="4" t="s">
        <v>37</v>
      </c>
      <c r="C1035" s="4" t="s">
        <v>33</v>
      </c>
      <c r="D1035" s="4" t="s">
        <v>41</v>
      </c>
      <c r="E1035" s="4" t="s">
        <v>25</v>
      </c>
      <c r="F1035" s="4" t="s">
        <v>25</v>
      </c>
      <c r="G1035" s="4" t="s">
        <v>25</v>
      </c>
      <c r="H1035" s="4" t="s">
        <v>34</v>
      </c>
      <c r="I1035" s="5">
        <v>44652</v>
      </c>
      <c r="J1035" s="6">
        <v>0</v>
      </c>
      <c r="K1035" s="6">
        <v>0</v>
      </c>
      <c r="L1035" s="6">
        <v>4.4059999999999997</v>
      </c>
      <c r="M1035" s="6">
        <v>4.4059999999999997</v>
      </c>
      <c r="N1035" s="6">
        <v>4.4059999999999997</v>
      </c>
      <c r="O1035" s="6">
        <v>4.4059999999999997</v>
      </c>
      <c r="P1035" s="6">
        <v>0</v>
      </c>
      <c r="Q1035" s="4" t="s">
        <v>26</v>
      </c>
      <c r="R1035" s="4">
        <v>0</v>
      </c>
      <c r="S1035" s="6">
        <v>0</v>
      </c>
      <c r="T1035" s="6">
        <v>41</v>
      </c>
      <c r="U1035" s="6">
        <v>78</v>
      </c>
      <c r="V1035" s="6">
        <f>IF(ISERROR(VLOOKUP($S$1035,'TAR FIN'!$A$1:$O$85,15,0)),0,VLOOKUP($S$1035,'TAR FIN'!$A$1:$O$85,15,0))</f>
        <v>0</v>
      </c>
      <c r="W1035" s="6">
        <f>IF(ISERROR(VLOOKUP($T$1035,'TAR FIN'!$A$1:$O$85,15,0)),0,VLOOKUP($T$1035,'TAR FIN'!$A$1:$O$85,15,0))</f>
        <v>902.29</v>
      </c>
      <c r="X1035" s="6">
        <f>IF(ISERROR(VLOOKUP($U$1035,'TAR FIN'!$A$1:$O$85,15,0)),0,VLOOKUP($U$1035,'TAR FIN'!$A$1:$O$85,15,0))</f>
        <v>492.64</v>
      </c>
      <c r="Y1035" s="6"/>
      <c r="Z1035" s="6">
        <f ca="1">('TUSD BE'!$AM$45+'TUSD BF'!$AM$45+'TUSD CVA'!$AM$45)*1</f>
        <v>1070.1218426910054</v>
      </c>
      <c r="AA1035" s="6">
        <f>('TE BE'!$AB$35+'TE BF'!$AB$35+'TE CVA'!$AB$35)*1</f>
        <v>485.87597641853409</v>
      </c>
      <c r="AB1035" s="6">
        <f>$K$1035*$V$1035</f>
        <v>0</v>
      </c>
      <c r="AC1035" s="6">
        <f>$M$1035*$W$1035</f>
        <v>3975.4897399999995</v>
      </c>
      <c r="AD1035" s="6">
        <f>$O$1035*$X$1035</f>
        <v>2170.5718399999996</v>
      </c>
      <c r="AE1035" s="6">
        <f>$K$1035*$Y$1035</f>
        <v>0</v>
      </c>
      <c r="AF1035" s="6">
        <f ca="1">$M$1035*$Z$1035</f>
        <v>4714.9568388965699</v>
      </c>
      <c r="AG1035" s="6">
        <f>$O$1035*$AA$1035</f>
        <v>2140.769552100061</v>
      </c>
    </row>
    <row r="1036" spans="1:33" ht="11.25" customHeight="1" x14ac:dyDescent="0.25">
      <c r="A1036" s="4" t="s">
        <v>28</v>
      </c>
      <c r="B1036" s="4" t="s">
        <v>37</v>
      </c>
      <c r="C1036" s="4" t="s">
        <v>33</v>
      </c>
      <c r="D1036" s="4" t="s">
        <v>41</v>
      </c>
      <c r="E1036" s="4" t="s">
        <v>25</v>
      </c>
      <c r="F1036" s="4" t="s">
        <v>25</v>
      </c>
      <c r="G1036" s="4" t="s">
        <v>25</v>
      </c>
      <c r="H1036" s="4" t="s">
        <v>34</v>
      </c>
      <c r="I1036" s="5">
        <v>44652</v>
      </c>
      <c r="J1036" s="6">
        <v>0</v>
      </c>
      <c r="K1036" s="6">
        <v>0</v>
      </c>
      <c r="L1036" s="6">
        <v>0.186</v>
      </c>
      <c r="M1036" s="6">
        <v>0.186</v>
      </c>
      <c r="N1036" s="6">
        <v>0.186</v>
      </c>
      <c r="O1036" s="6">
        <v>0.186</v>
      </c>
      <c r="P1036" s="6">
        <v>0</v>
      </c>
      <c r="Q1036" s="4" t="s">
        <v>26</v>
      </c>
      <c r="R1036" s="4">
        <v>0</v>
      </c>
      <c r="S1036" s="6">
        <v>0</v>
      </c>
      <c r="T1036" s="6">
        <v>41</v>
      </c>
      <c r="U1036" s="6">
        <v>78</v>
      </c>
      <c r="V1036" s="6">
        <f>IF(ISERROR(VLOOKUP($S$1036,'TAR FIN'!$A$1:$O$85,15,0)),0,VLOOKUP($S$1036,'TAR FIN'!$A$1:$O$85,15,0))</f>
        <v>0</v>
      </c>
      <c r="W1036" s="6">
        <f>IF(ISERROR(VLOOKUP($T$1036,'TAR FIN'!$A$1:$O$85,15,0)),0,VLOOKUP($T$1036,'TAR FIN'!$A$1:$O$85,15,0))</f>
        <v>902.29</v>
      </c>
      <c r="X1036" s="6">
        <f>IF(ISERROR(VLOOKUP($U$1036,'TAR FIN'!$A$1:$O$85,15,0)),0,VLOOKUP($U$1036,'TAR FIN'!$A$1:$O$85,15,0))</f>
        <v>492.64</v>
      </c>
      <c r="Y1036" s="6"/>
      <c r="Z1036" s="6">
        <f ca="1">('TUSD BE'!$AM$45+'TUSD BF'!$AM$45+'TUSD CVA'!$AM$45)*1</f>
        <v>1070.1218426910054</v>
      </c>
      <c r="AA1036" s="6">
        <f>('TE BE'!$AB$35+'TE BF'!$AB$35+'TE CVA'!$AB$35)*1</f>
        <v>485.87597641853409</v>
      </c>
      <c r="AB1036" s="6">
        <f>$K$1036*$V$1036</f>
        <v>0</v>
      </c>
      <c r="AC1036" s="6">
        <f>$M$1036*$W$1036</f>
        <v>167.82594</v>
      </c>
      <c r="AD1036" s="6">
        <f>$O$1036*$X$1036</f>
        <v>91.631039999999999</v>
      </c>
      <c r="AE1036" s="6">
        <f>$K$1036*$Y$1036</f>
        <v>0</v>
      </c>
      <c r="AF1036" s="6">
        <f ca="1">$M$1036*$Z$1036</f>
        <v>199.04266274052702</v>
      </c>
      <c r="AG1036" s="6">
        <f>$O$1036*$AA$1036</f>
        <v>90.372931613847342</v>
      </c>
    </row>
    <row r="1037" spans="1:33" ht="11.25" customHeight="1" x14ac:dyDescent="0.25">
      <c r="A1037" s="4" t="s">
        <v>21</v>
      </c>
      <c r="B1037" s="4" t="s">
        <v>37</v>
      </c>
      <c r="C1037" s="4" t="s">
        <v>33</v>
      </c>
      <c r="D1037" s="4" t="s">
        <v>41</v>
      </c>
      <c r="E1037" s="4" t="s">
        <v>25</v>
      </c>
      <c r="F1037" s="4" t="s">
        <v>25</v>
      </c>
      <c r="G1037" s="4" t="s">
        <v>25</v>
      </c>
      <c r="H1037" s="4" t="s">
        <v>34</v>
      </c>
      <c r="I1037" s="5">
        <v>44682</v>
      </c>
      <c r="J1037" s="6">
        <v>0</v>
      </c>
      <c r="K1037" s="6">
        <v>0</v>
      </c>
      <c r="L1037" s="6">
        <v>4.01</v>
      </c>
      <c r="M1037" s="6">
        <v>4.01</v>
      </c>
      <c r="N1037" s="6">
        <v>4.01</v>
      </c>
      <c r="O1037" s="6">
        <v>4.01</v>
      </c>
      <c r="P1037" s="6">
        <v>0</v>
      </c>
      <c r="Q1037" s="4" t="s">
        <v>26</v>
      </c>
      <c r="R1037" s="4">
        <v>0</v>
      </c>
      <c r="S1037" s="6">
        <v>0</v>
      </c>
      <c r="T1037" s="6">
        <v>41</v>
      </c>
      <c r="U1037" s="6">
        <v>78</v>
      </c>
      <c r="V1037" s="6">
        <f>IF(ISERROR(VLOOKUP($S$1037,'TAR FIN'!$A$1:$O$85,15,0)),0,VLOOKUP($S$1037,'TAR FIN'!$A$1:$O$85,15,0))</f>
        <v>0</v>
      </c>
      <c r="W1037" s="6">
        <f>IF(ISERROR(VLOOKUP($T$1037,'TAR FIN'!$A$1:$O$85,15,0)),0,VLOOKUP($T$1037,'TAR FIN'!$A$1:$O$85,15,0))</f>
        <v>902.29</v>
      </c>
      <c r="X1037" s="6">
        <f>IF(ISERROR(VLOOKUP($U$1037,'TAR FIN'!$A$1:$O$85,15,0)),0,VLOOKUP($U$1037,'TAR FIN'!$A$1:$O$85,15,0))</f>
        <v>492.64</v>
      </c>
      <c r="Y1037" s="6"/>
      <c r="Z1037" s="6">
        <f ca="1">('TUSD BE'!$AM$45+'TUSD BF'!$AM$45+'TUSD CVA'!$AM$45)*1</f>
        <v>1070.1218426910054</v>
      </c>
      <c r="AA1037" s="6">
        <f>('TE BE'!$AB$35+'TE BF'!$AB$35+'TE CVA'!$AB$35)*1</f>
        <v>485.87597641853409</v>
      </c>
      <c r="AB1037" s="6">
        <f>$K$1037*$V$1037</f>
        <v>0</v>
      </c>
      <c r="AC1037" s="6">
        <f>$M$1037*$W$1037</f>
        <v>3618.1828999999998</v>
      </c>
      <c r="AD1037" s="6">
        <f>$O$1037*$X$1037</f>
        <v>1975.4863999999998</v>
      </c>
      <c r="AE1037" s="6">
        <f>$K$1037*$Y$1037</f>
        <v>0</v>
      </c>
      <c r="AF1037" s="6">
        <f ca="1">$M$1037*$Z$1037</f>
        <v>4291.1885891909315</v>
      </c>
      <c r="AG1037" s="6">
        <f>$O$1037*$AA$1037</f>
        <v>1948.3626654383215</v>
      </c>
    </row>
    <row r="1038" spans="1:33" ht="11.25" customHeight="1" x14ac:dyDescent="0.25">
      <c r="A1038" s="4" t="s">
        <v>28</v>
      </c>
      <c r="B1038" s="4" t="s">
        <v>37</v>
      </c>
      <c r="C1038" s="4" t="s">
        <v>33</v>
      </c>
      <c r="D1038" s="4" t="s">
        <v>41</v>
      </c>
      <c r="E1038" s="4" t="s">
        <v>25</v>
      </c>
      <c r="F1038" s="4" t="s">
        <v>25</v>
      </c>
      <c r="G1038" s="4" t="s">
        <v>25</v>
      </c>
      <c r="H1038" s="4" t="s">
        <v>34</v>
      </c>
      <c r="I1038" s="5">
        <v>44682</v>
      </c>
      <c r="J1038" s="6">
        <v>0</v>
      </c>
      <c r="K1038" s="6">
        <v>0</v>
      </c>
      <c r="L1038" s="6">
        <v>0.25900000000000001</v>
      </c>
      <c r="M1038" s="6">
        <v>0.25900000000000001</v>
      </c>
      <c r="N1038" s="6">
        <v>0.25900000000000001</v>
      </c>
      <c r="O1038" s="6">
        <v>0.25900000000000001</v>
      </c>
      <c r="P1038" s="6">
        <v>0</v>
      </c>
      <c r="Q1038" s="4" t="s">
        <v>26</v>
      </c>
      <c r="R1038" s="4">
        <v>0</v>
      </c>
      <c r="S1038" s="6">
        <v>0</v>
      </c>
      <c r="T1038" s="6">
        <v>41</v>
      </c>
      <c r="U1038" s="6">
        <v>78</v>
      </c>
      <c r="V1038" s="6">
        <f>IF(ISERROR(VLOOKUP($S$1038,'TAR FIN'!$A$1:$O$85,15,0)),0,VLOOKUP($S$1038,'TAR FIN'!$A$1:$O$85,15,0))</f>
        <v>0</v>
      </c>
      <c r="W1038" s="6">
        <f>IF(ISERROR(VLOOKUP($T$1038,'TAR FIN'!$A$1:$O$85,15,0)),0,VLOOKUP($T$1038,'TAR FIN'!$A$1:$O$85,15,0))</f>
        <v>902.29</v>
      </c>
      <c r="X1038" s="6">
        <f>IF(ISERROR(VLOOKUP($U$1038,'TAR FIN'!$A$1:$O$85,15,0)),0,VLOOKUP($U$1038,'TAR FIN'!$A$1:$O$85,15,0))</f>
        <v>492.64</v>
      </c>
      <c r="Y1038" s="6"/>
      <c r="Z1038" s="6">
        <f ca="1">('TUSD BE'!$AM$45+'TUSD BF'!$AM$45+'TUSD CVA'!$AM$45)*1</f>
        <v>1070.1218426910054</v>
      </c>
      <c r="AA1038" s="6">
        <f>('TE BE'!$AB$35+'TE BF'!$AB$35+'TE CVA'!$AB$35)*1</f>
        <v>485.87597641853409</v>
      </c>
      <c r="AB1038" s="6">
        <f>$K$1038*$V$1038</f>
        <v>0</v>
      </c>
      <c r="AC1038" s="6">
        <f>$M$1038*$W$1038</f>
        <v>233.69310999999999</v>
      </c>
      <c r="AD1038" s="6">
        <f>$O$1038*$X$1038</f>
        <v>127.59376</v>
      </c>
      <c r="AE1038" s="6">
        <f>$K$1038*$Y$1038</f>
        <v>0</v>
      </c>
      <c r="AF1038" s="6">
        <f ca="1">$M$1038*$Z$1038</f>
        <v>277.16155725697041</v>
      </c>
      <c r="AG1038" s="6">
        <f>$O$1038*$AA$1038</f>
        <v>125.84187789240033</v>
      </c>
    </row>
    <row r="1039" spans="1:33" ht="11.25" customHeight="1" x14ac:dyDescent="0.25">
      <c r="A1039" s="4" t="s">
        <v>21</v>
      </c>
      <c r="B1039" s="4" t="s">
        <v>37</v>
      </c>
      <c r="C1039" s="4" t="s">
        <v>33</v>
      </c>
      <c r="D1039" s="4" t="s">
        <v>41</v>
      </c>
      <c r="E1039" s="4" t="s">
        <v>25</v>
      </c>
      <c r="F1039" s="4" t="s">
        <v>25</v>
      </c>
      <c r="G1039" s="4" t="s">
        <v>25</v>
      </c>
      <c r="H1039" s="4" t="s">
        <v>34</v>
      </c>
      <c r="I1039" s="5">
        <v>44713</v>
      </c>
      <c r="J1039" s="6">
        <v>0</v>
      </c>
      <c r="K1039" s="6">
        <v>0</v>
      </c>
      <c r="L1039" s="6">
        <v>3.65</v>
      </c>
      <c r="M1039" s="6">
        <v>3.65</v>
      </c>
      <c r="N1039" s="6">
        <v>3.65</v>
      </c>
      <c r="O1039" s="6">
        <v>3.65</v>
      </c>
      <c r="P1039" s="6">
        <v>0</v>
      </c>
      <c r="Q1039" s="4" t="s">
        <v>26</v>
      </c>
      <c r="R1039" s="4">
        <v>0</v>
      </c>
      <c r="S1039" s="6">
        <v>0</v>
      </c>
      <c r="T1039" s="6">
        <v>41</v>
      </c>
      <c r="U1039" s="6">
        <v>78</v>
      </c>
      <c r="V1039" s="6">
        <f>IF(ISERROR(VLOOKUP($S$1039,'TAR FIN'!$A$1:$O$85,15,0)),0,VLOOKUP($S$1039,'TAR FIN'!$A$1:$O$85,15,0))</f>
        <v>0</v>
      </c>
      <c r="W1039" s="6">
        <f>IF(ISERROR(VLOOKUP($T$1039,'TAR FIN'!$A$1:$O$85,15,0)),0,VLOOKUP($T$1039,'TAR FIN'!$A$1:$O$85,15,0))</f>
        <v>902.29</v>
      </c>
      <c r="X1039" s="6">
        <f>IF(ISERROR(VLOOKUP($U$1039,'TAR FIN'!$A$1:$O$85,15,0)),0,VLOOKUP($U$1039,'TAR FIN'!$A$1:$O$85,15,0))</f>
        <v>492.64</v>
      </c>
      <c r="Y1039" s="6"/>
      <c r="Z1039" s="6">
        <f ca="1">('TUSD BE'!$AM$45+'TUSD BF'!$AM$45+'TUSD CVA'!$AM$45)*1</f>
        <v>1070.1218426910054</v>
      </c>
      <c r="AA1039" s="6">
        <f>('TE BE'!$AB$35+'TE BF'!$AB$35+'TE CVA'!$AB$35)*1</f>
        <v>485.87597641853409</v>
      </c>
      <c r="AB1039" s="6">
        <f>$K$1039*$V$1039</f>
        <v>0</v>
      </c>
      <c r="AC1039" s="6">
        <f>$M$1039*$W$1039</f>
        <v>3293.3584999999998</v>
      </c>
      <c r="AD1039" s="6">
        <f>$O$1039*$X$1039</f>
        <v>1798.136</v>
      </c>
      <c r="AE1039" s="6">
        <f>$K$1039*$Y$1039</f>
        <v>0</v>
      </c>
      <c r="AF1039" s="6">
        <f ca="1">$M$1039*$Z$1039</f>
        <v>3905.9447258221699</v>
      </c>
      <c r="AG1039" s="6">
        <f>$O$1039*$AA$1039</f>
        <v>1773.4473139276495</v>
      </c>
    </row>
    <row r="1040" spans="1:33" ht="11.25" customHeight="1" x14ac:dyDescent="0.25">
      <c r="A1040" s="4" t="s">
        <v>28</v>
      </c>
      <c r="B1040" s="4" t="s">
        <v>37</v>
      </c>
      <c r="C1040" s="4" t="s">
        <v>33</v>
      </c>
      <c r="D1040" s="4" t="s">
        <v>41</v>
      </c>
      <c r="E1040" s="4" t="s">
        <v>25</v>
      </c>
      <c r="F1040" s="4" t="s">
        <v>25</v>
      </c>
      <c r="G1040" s="4" t="s">
        <v>25</v>
      </c>
      <c r="H1040" s="4" t="s">
        <v>34</v>
      </c>
      <c r="I1040" s="5">
        <v>44713</v>
      </c>
      <c r="J1040" s="6">
        <v>0</v>
      </c>
      <c r="K1040" s="6">
        <v>0</v>
      </c>
      <c r="L1040" s="6">
        <v>0.24199999999999999</v>
      </c>
      <c r="M1040" s="6">
        <v>0.24199999999999999</v>
      </c>
      <c r="N1040" s="6">
        <v>0.24199999999999999</v>
      </c>
      <c r="O1040" s="6">
        <v>0.24199999999999999</v>
      </c>
      <c r="P1040" s="6">
        <v>0</v>
      </c>
      <c r="Q1040" s="4" t="s">
        <v>26</v>
      </c>
      <c r="R1040" s="4">
        <v>0</v>
      </c>
      <c r="S1040" s="6">
        <v>0</v>
      </c>
      <c r="T1040" s="6">
        <v>41</v>
      </c>
      <c r="U1040" s="6">
        <v>78</v>
      </c>
      <c r="V1040" s="6">
        <f>IF(ISERROR(VLOOKUP($S$1040,'TAR FIN'!$A$1:$O$85,15,0)),0,VLOOKUP($S$1040,'TAR FIN'!$A$1:$O$85,15,0))</f>
        <v>0</v>
      </c>
      <c r="W1040" s="6">
        <f>IF(ISERROR(VLOOKUP($T$1040,'TAR FIN'!$A$1:$O$85,15,0)),0,VLOOKUP($T$1040,'TAR FIN'!$A$1:$O$85,15,0))</f>
        <v>902.29</v>
      </c>
      <c r="X1040" s="6">
        <f>IF(ISERROR(VLOOKUP($U$1040,'TAR FIN'!$A$1:$O$85,15,0)),0,VLOOKUP($U$1040,'TAR FIN'!$A$1:$O$85,15,0))</f>
        <v>492.64</v>
      </c>
      <c r="Y1040" s="6"/>
      <c r="Z1040" s="6">
        <f ca="1">('TUSD BE'!$AM$45+'TUSD BF'!$AM$45+'TUSD CVA'!$AM$45)*1</f>
        <v>1070.1218426910054</v>
      </c>
      <c r="AA1040" s="6">
        <f>('TE BE'!$AB$35+'TE BF'!$AB$35+'TE CVA'!$AB$35)*1</f>
        <v>485.87597641853409</v>
      </c>
      <c r="AB1040" s="6">
        <f>$K$1040*$V$1040</f>
        <v>0</v>
      </c>
      <c r="AC1040" s="6">
        <f>$M$1040*$W$1040</f>
        <v>218.35417999999999</v>
      </c>
      <c r="AD1040" s="6">
        <f>$O$1040*$X$1040</f>
        <v>119.21888</v>
      </c>
      <c r="AE1040" s="6">
        <f>$K$1040*$Y$1040</f>
        <v>0</v>
      </c>
      <c r="AF1040" s="6">
        <f ca="1">$M$1040*$Z$1040</f>
        <v>258.96948593122329</v>
      </c>
      <c r="AG1040" s="6">
        <f>$O$1040*$AA$1040</f>
        <v>117.58198629328525</v>
      </c>
    </row>
    <row r="1041" spans="1:33" ht="11.25" customHeight="1" x14ac:dyDescent="0.25">
      <c r="A1041" s="4" t="s">
        <v>21</v>
      </c>
      <c r="B1041" s="4" t="s">
        <v>37</v>
      </c>
      <c r="C1041" s="4" t="s">
        <v>33</v>
      </c>
      <c r="D1041" s="4" t="s">
        <v>41</v>
      </c>
      <c r="E1041" s="4" t="s">
        <v>25</v>
      </c>
      <c r="F1041" s="4" t="s">
        <v>25</v>
      </c>
      <c r="G1041" s="4" t="s">
        <v>25</v>
      </c>
      <c r="H1041" s="4" t="s">
        <v>34</v>
      </c>
      <c r="I1041" s="5">
        <v>44743</v>
      </c>
      <c r="J1041" s="6">
        <v>0</v>
      </c>
      <c r="K1041" s="6">
        <v>0</v>
      </c>
      <c r="L1041" s="6">
        <v>3.38</v>
      </c>
      <c r="M1041" s="6">
        <v>3.38</v>
      </c>
      <c r="N1041" s="6">
        <v>3.38</v>
      </c>
      <c r="O1041" s="6">
        <v>3.38</v>
      </c>
      <c r="P1041" s="6">
        <v>0</v>
      </c>
      <c r="Q1041" s="4" t="s">
        <v>26</v>
      </c>
      <c r="R1041" s="4">
        <v>0</v>
      </c>
      <c r="S1041" s="6">
        <v>0</v>
      </c>
      <c r="T1041" s="6">
        <v>41</v>
      </c>
      <c r="U1041" s="6">
        <v>78</v>
      </c>
      <c r="V1041" s="6">
        <f>IF(ISERROR(VLOOKUP($S$1041,'TAR FIN'!$A$1:$O$85,15,0)),0,VLOOKUP($S$1041,'TAR FIN'!$A$1:$O$85,15,0))</f>
        <v>0</v>
      </c>
      <c r="W1041" s="6">
        <f>IF(ISERROR(VLOOKUP($T$1041,'TAR FIN'!$A$1:$O$85,15,0)),0,VLOOKUP($T$1041,'TAR FIN'!$A$1:$O$85,15,0))</f>
        <v>902.29</v>
      </c>
      <c r="X1041" s="6">
        <f>IF(ISERROR(VLOOKUP($U$1041,'TAR FIN'!$A$1:$O$85,15,0)),0,VLOOKUP($U$1041,'TAR FIN'!$A$1:$O$85,15,0))</f>
        <v>492.64</v>
      </c>
      <c r="Y1041" s="6"/>
      <c r="Z1041" s="6">
        <f ca="1">('TUSD BE'!$AM$45+'TUSD BF'!$AM$45+'TUSD CVA'!$AM$45)*1</f>
        <v>1070.1218426910054</v>
      </c>
      <c r="AA1041" s="6">
        <f>('TE BE'!$AB$35+'TE BF'!$AB$35+'TE CVA'!$AB$35)*1</f>
        <v>485.87597641853409</v>
      </c>
      <c r="AB1041" s="6">
        <f>$K$1041*$V$1041</f>
        <v>0</v>
      </c>
      <c r="AC1041" s="6">
        <f>$M$1041*$W$1041</f>
        <v>3049.7401999999997</v>
      </c>
      <c r="AD1041" s="6">
        <f>$O$1041*$X$1041</f>
        <v>1665.1232</v>
      </c>
      <c r="AE1041" s="6">
        <f>$K$1041*$Y$1041</f>
        <v>0</v>
      </c>
      <c r="AF1041" s="6">
        <f ca="1">$M$1041*$Z$1041</f>
        <v>3617.0118282955982</v>
      </c>
      <c r="AG1041" s="6">
        <f>$O$1041*$AA$1041</f>
        <v>1642.2608002946452</v>
      </c>
    </row>
    <row r="1042" spans="1:33" ht="11.25" customHeight="1" x14ac:dyDescent="0.25">
      <c r="A1042" s="4" t="s">
        <v>28</v>
      </c>
      <c r="B1042" s="4" t="s">
        <v>37</v>
      </c>
      <c r="C1042" s="4" t="s">
        <v>33</v>
      </c>
      <c r="D1042" s="4" t="s">
        <v>41</v>
      </c>
      <c r="E1042" s="4" t="s">
        <v>25</v>
      </c>
      <c r="F1042" s="4" t="s">
        <v>25</v>
      </c>
      <c r="G1042" s="4" t="s">
        <v>25</v>
      </c>
      <c r="H1042" s="4" t="s">
        <v>34</v>
      </c>
      <c r="I1042" s="5">
        <v>44743</v>
      </c>
      <c r="J1042" s="6">
        <v>0</v>
      </c>
      <c r="K1042" s="6">
        <v>0</v>
      </c>
      <c r="L1042" s="6">
        <v>0.28199999999999997</v>
      </c>
      <c r="M1042" s="6">
        <v>0.28199999999999997</v>
      </c>
      <c r="N1042" s="6">
        <v>0.28199999999999997</v>
      </c>
      <c r="O1042" s="6">
        <v>0.28199999999999997</v>
      </c>
      <c r="P1042" s="6">
        <v>0</v>
      </c>
      <c r="Q1042" s="4" t="s">
        <v>26</v>
      </c>
      <c r="R1042" s="4">
        <v>0</v>
      </c>
      <c r="S1042" s="6">
        <v>0</v>
      </c>
      <c r="T1042" s="6">
        <v>41</v>
      </c>
      <c r="U1042" s="6">
        <v>78</v>
      </c>
      <c r="V1042" s="6">
        <f>IF(ISERROR(VLOOKUP($S$1042,'TAR FIN'!$A$1:$O$85,15,0)),0,VLOOKUP($S$1042,'TAR FIN'!$A$1:$O$85,15,0))</f>
        <v>0</v>
      </c>
      <c r="W1042" s="6">
        <f>IF(ISERROR(VLOOKUP($T$1042,'TAR FIN'!$A$1:$O$85,15,0)),0,VLOOKUP($T$1042,'TAR FIN'!$A$1:$O$85,15,0))</f>
        <v>902.29</v>
      </c>
      <c r="X1042" s="6">
        <f>IF(ISERROR(VLOOKUP($U$1042,'TAR FIN'!$A$1:$O$85,15,0)),0,VLOOKUP($U$1042,'TAR FIN'!$A$1:$O$85,15,0))</f>
        <v>492.64</v>
      </c>
      <c r="Y1042" s="6"/>
      <c r="Z1042" s="6">
        <f ca="1">('TUSD BE'!$AM$45+'TUSD BF'!$AM$45+'TUSD CVA'!$AM$45)*1</f>
        <v>1070.1218426910054</v>
      </c>
      <c r="AA1042" s="6">
        <f>('TE BE'!$AB$35+'TE BF'!$AB$35+'TE CVA'!$AB$35)*1</f>
        <v>485.87597641853409</v>
      </c>
      <c r="AB1042" s="6">
        <f>$K$1042*$V$1042</f>
        <v>0</v>
      </c>
      <c r="AC1042" s="6">
        <f>$M$1042*$W$1042</f>
        <v>254.44577999999996</v>
      </c>
      <c r="AD1042" s="6">
        <f>$O$1042*$X$1042</f>
        <v>138.92447999999999</v>
      </c>
      <c r="AE1042" s="6">
        <f>$K$1042*$Y$1042</f>
        <v>0</v>
      </c>
      <c r="AF1042" s="6">
        <f ca="1">$M$1042*$Z$1042</f>
        <v>301.77435963886353</v>
      </c>
      <c r="AG1042" s="6">
        <f>$O$1042*$AA$1042</f>
        <v>137.01702535002661</v>
      </c>
    </row>
    <row r="1043" spans="1:33" ht="11.25" customHeight="1" x14ac:dyDescent="0.25">
      <c r="A1043" s="4" t="s">
        <v>56</v>
      </c>
      <c r="B1043" s="4" t="s">
        <v>37</v>
      </c>
      <c r="C1043" s="4" t="s">
        <v>33</v>
      </c>
      <c r="D1043" s="4" t="s">
        <v>41</v>
      </c>
      <c r="E1043" s="4" t="s">
        <v>25</v>
      </c>
      <c r="F1043" s="4" t="s">
        <v>25</v>
      </c>
      <c r="G1043" s="4" t="s">
        <v>25</v>
      </c>
      <c r="H1043" s="4" t="s">
        <v>34</v>
      </c>
      <c r="I1043" s="5">
        <v>44774</v>
      </c>
      <c r="J1043" s="6">
        <v>0</v>
      </c>
      <c r="K1043" s="6">
        <v>0</v>
      </c>
      <c r="L1043" s="6">
        <v>3.38</v>
      </c>
      <c r="M1043" s="6">
        <v>3.38</v>
      </c>
      <c r="N1043" s="6">
        <v>3.38</v>
      </c>
      <c r="O1043" s="6">
        <v>3.38</v>
      </c>
      <c r="P1043" s="6">
        <v>0</v>
      </c>
      <c r="Q1043" s="4" t="s">
        <v>26</v>
      </c>
      <c r="R1043" s="4">
        <v>0</v>
      </c>
      <c r="S1043" s="6">
        <v>0</v>
      </c>
      <c r="T1043" s="6">
        <v>41</v>
      </c>
      <c r="U1043" s="6">
        <v>78</v>
      </c>
      <c r="V1043" s="6">
        <f>IF(ISERROR(VLOOKUP($S$1043,'TAR FIN'!$A$1:$O$85,15,0)),0,VLOOKUP($S$1043,'TAR FIN'!$A$1:$O$85,15,0))</f>
        <v>0</v>
      </c>
      <c r="W1043" s="6">
        <f>IF(ISERROR(VLOOKUP($T$1043,'TAR FIN'!$A$1:$O$85,15,0)),0,VLOOKUP($T$1043,'TAR FIN'!$A$1:$O$85,15,0))</f>
        <v>902.29</v>
      </c>
      <c r="X1043" s="6">
        <f>IF(ISERROR(VLOOKUP($U$1043,'TAR FIN'!$A$1:$O$85,15,0)),0,VLOOKUP($U$1043,'TAR FIN'!$A$1:$O$85,15,0))</f>
        <v>492.64</v>
      </c>
      <c r="Y1043" s="6"/>
      <c r="Z1043" s="6">
        <f ca="1">('TUSD BE'!$AM$45+'TUSD BF'!$AM$45+'TUSD CVA'!$AM$45)*1</f>
        <v>1070.1218426910054</v>
      </c>
      <c r="AA1043" s="6">
        <f>('TE BE'!$AB$35+'TE BF'!$AB$35+'TE CVA'!$AB$35)*1</f>
        <v>485.87597641853409</v>
      </c>
      <c r="AB1043" s="6">
        <f>$K$1043*$V$1043</f>
        <v>0</v>
      </c>
      <c r="AC1043" s="6">
        <f>$M$1043*$W$1043</f>
        <v>3049.7401999999997</v>
      </c>
      <c r="AD1043" s="6">
        <f>$O$1043*$X$1043</f>
        <v>1665.1232</v>
      </c>
      <c r="AE1043" s="6">
        <f>$K$1043*$Y$1043</f>
        <v>0</v>
      </c>
      <c r="AF1043" s="6">
        <f ca="1">$M$1043*$Z$1043</f>
        <v>3617.0118282955982</v>
      </c>
      <c r="AG1043" s="6">
        <f>$O$1043*$AA$1043</f>
        <v>1642.2608002946452</v>
      </c>
    </row>
    <row r="1044" spans="1:33" ht="11.25" customHeight="1" x14ac:dyDescent="0.25">
      <c r="A1044" s="4" t="s">
        <v>56</v>
      </c>
      <c r="B1044" s="4" t="s">
        <v>37</v>
      </c>
      <c r="C1044" s="4" t="s">
        <v>33</v>
      </c>
      <c r="D1044" s="4" t="s">
        <v>41</v>
      </c>
      <c r="E1044" s="4" t="s">
        <v>25</v>
      </c>
      <c r="F1044" s="4" t="s">
        <v>25</v>
      </c>
      <c r="G1044" s="4" t="s">
        <v>25</v>
      </c>
      <c r="H1044" s="4" t="s">
        <v>34</v>
      </c>
      <c r="I1044" s="5">
        <v>44774</v>
      </c>
      <c r="J1044" s="6">
        <v>0</v>
      </c>
      <c r="K1044" s="6">
        <v>0</v>
      </c>
      <c r="L1044" s="6">
        <v>0.28199999999999997</v>
      </c>
      <c r="M1044" s="6">
        <v>0.28199999999999997</v>
      </c>
      <c r="N1044" s="6">
        <v>0.28199999999999997</v>
      </c>
      <c r="O1044" s="6">
        <v>0.28199999999999997</v>
      </c>
      <c r="P1044" s="6">
        <v>0</v>
      </c>
      <c r="Q1044" s="4" t="s">
        <v>26</v>
      </c>
      <c r="R1044" s="4">
        <v>0</v>
      </c>
      <c r="S1044" s="6">
        <v>0</v>
      </c>
      <c r="T1044" s="6">
        <v>41</v>
      </c>
      <c r="U1044" s="6">
        <v>78</v>
      </c>
      <c r="V1044" s="6">
        <f>IF(ISERROR(VLOOKUP($S$1044,'TAR FIN'!$A$1:$O$85,15,0)),0,VLOOKUP($S$1044,'TAR FIN'!$A$1:$O$85,15,0))</f>
        <v>0</v>
      </c>
      <c r="W1044" s="6">
        <f>IF(ISERROR(VLOOKUP($T$1044,'TAR FIN'!$A$1:$O$85,15,0)),0,VLOOKUP($T$1044,'TAR FIN'!$A$1:$O$85,15,0))</f>
        <v>902.29</v>
      </c>
      <c r="X1044" s="6">
        <f>IF(ISERROR(VLOOKUP($U$1044,'TAR FIN'!$A$1:$O$85,15,0)),0,VLOOKUP($U$1044,'TAR FIN'!$A$1:$O$85,15,0))</f>
        <v>492.64</v>
      </c>
      <c r="Y1044" s="6"/>
      <c r="Z1044" s="6">
        <f ca="1">('TUSD BE'!$AM$45+'TUSD BF'!$AM$45+'TUSD CVA'!$AM$45)*1</f>
        <v>1070.1218426910054</v>
      </c>
      <c r="AA1044" s="6">
        <f>('TE BE'!$AB$35+'TE BF'!$AB$35+'TE CVA'!$AB$35)*1</f>
        <v>485.87597641853409</v>
      </c>
      <c r="AB1044" s="6">
        <f>$K$1044*$V$1044</f>
        <v>0</v>
      </c>
      <c r="AC1044" s="6">
        <f>$M$1044*$W$1044</f>
        <v>254.44577999999996</v>
      </c>
      <c r="AD1044" s="6">
        <f>$O$1044*$X$1044</f>
        <v>138.92447999999999</v>
      </c>
      <c r="AE1044" s="6">
        <f>$K$1044*$Y$1044</f>
        <v>0</v>
      </c>
      <c r="AF1044" s="6">
        <f ca="1">$M$1044*$Z$1044</f>
        <v>301.77435963886353</v>
      </c>
      <c r="AG1044" s="6">
        <f>$O$1044*$AA$1044</f>
        <v>137.01702535002661</v>
      </c>
    </row>
    <row r="1045" spans="1:33" ht="11.25" customHeight="1" x14ac:dyDescent="0.25">
      <c r="A1045" s="4" t="s">
        <v>21</v>
      </c>
      <c r="B1045" s="4" t="s">
        <v>37</v>
      </c>
      <c r="C1045" s="4" t="s">
        <v>33</v>
      </c>
      <c r="D1045" s="4" t="s">
        <v>38</v>
      </c>
      <c r="E1045" s="4" t="s">
        <v>25</v>
      </c>
      <c r="F1045" s="4" t="s">
        <v>25</v>
      </c>
      <c r="G1045" s="4" t="s">
        <v>25</v>
      </c>
      <c r="H1045" s="4" t="s">
        <v>35</v>
      </c>
      <c r="I1045" s="5">
        <v>44440</v>
      </c>
      <c r="J1045" s="6">
        <v>0</v>
      </c>
      <c r="K1045" s="6">
        <v>0</v>
      </c>
      <c r="L1045" s="6">
        <v>13.423999999999999</v>
      </c>
      <c r="M1045" s="6">
        <v>13.423999999999999</v>
      </c>
      <c r="N1045" s="6">
        <v>13.423999999999999</v>
      </c>
      <c r="O1045" s="6">
        <v>13.423999999999999</v>
      </c>
      <c r="P1045" s="6">
        <v>0</v>
      </c>
      <c r="Q1045" s="4" t="s">
        <v>26</v>
      </c>
      <c r="R1045" s="4">
        <v>0</v>
      </c>
      <c r="S1045" s="6">
        <v>0</v>
      </c>
      <c r="T1045" s="6">
        <v>43</v>
      </c>
      <c r="U1045" s="6">
        <v>80</v>
      </c>
      <c r="V1045" s="6">
        <f>IF(ISERROR(VLOOKUP($S$1045,'TAR FIN'!$A$1:$O$85,15,0)),0,VLOOKUP($S$1045,'TAR FIN'!$A$1:$O$85,15,0))</f>
        <v>0</v>
      </c>
      <c r="W1045" s="6">
        <f>IF(ISERROR(VLOOKUP($T$1045,'TAR FIN'!$A$1:$O$85,15,0)),0,VLOOKUP($T$1045,'TAR FIN'!$A$1:$O$85,15,0))</f>
        <v>259.20999999999998</v>
      </c>
      <c r="X1045" s="6">
        <f>IF(ISERROR(VLOOKUP($U$1045,'TAR FIN'!$A$1:$O$85,15,0)),0,VLOOKUP($U$1045,'TAR FIN'!$A$1:$O$85,15,0))</f>
        <v>307.08</v>
      </c>
      <c r="Y1045" s="6"/>
      <c r="Z1045" s="6">
        <f ca="1">('TUSD BE'!$AM$47+'TUSD BF'!$AM$47+'TUSD CVA'!$AM$47)*1</f>
        <v>362.55114049612132</v>
      </c>
      <c r="AA1045" s="6">
        <f>('TE BE'!$AB$37+'TE BF'!$AB$37+'TE CVA'!$AB$37)*1</f>
        <v>304.87027853653359</v>
      </c>
      <c r="AB1045" s="6">
        <f>$K$1045*$V$1045</f>
        <v>0</v>
      </c>
      <c r="AC1045" s="6">
        <f>$M$1045*$W$1045</f>
        <v>3479.6350399999997</v>
      </c>
      <c r="AD1045" s="6">
        <f>$O$1045*$X$1045</f>
        <v>4122.2419199999995</v>
      </c>
      <c r="AE1045" s="6">
        <f>$K$1045*$Y$1045</f>
        <v>0</v>
      </c>
      <c r="AF1045" s="6">
        <f ca="1">$M$1045*$Z$1045</f>
        <v>4866.8865100199328</v>
      </c>
      <c r="AG1045" s="6">
        <f>$O$1045*$AA$1045</f>
        <v>4092.5786190744266</v>
      </c>
    </row>
    <row r="1046" spans="1:33" ht="11.25" customHeight="1" x14ac:dyDescent="0.25">
      <c r="A1046" s="4" t="s">
        <v>28</v>
      </c>
      <c r="B1046" s="4" t="s">
        <v>37</v>
      </c>
      <c r="C1046" s="4" t="s">
        <v>33</v>
      </c>
      <c r="D1046" s="4" t="s">
        <v>38</v>
      </c>
      <c r="E1046" s="4" t="s">
        <v>25</v>
      </c>
      <c r="F1046" s="4" t="s">
        <v>25</v>
      </c>
      <c r="G1046" s="4" t="s">
        <v>25</v>
      </c>
      <c r="H1046" s="4" t="s">
        <v>35</v>
      </c>
      <c r="I1046" s="5">
        <v>44440</v>
      </c>
      <c r="J1046" s="6">
        <v>0</v>
      </c>
      <c r="K1046" s="6">
        <v>0</v>
      </c>
      <c r="L1046" s="6">
        <v>1.92</v>
      </c>
      <c r="M1046" s="6">
        <v>1.92</v>
      </c>
      <c r="N1046" s="6">
        <v>1.92</v>
      </c>
      <c r="O1046" s="6">
        <v>1.92</v>
      </c>
      <c r="P1046" s="6">
        <v>0</v>
      </c>
      <c r="Q1046" s="4" t="s">
        <v>26</v>
      </c>
      <c r="R1046" s="4">
        <v>0</v>
      </c>
      <c r="S1046" s="6">
        <v>0</v>
      </c>
      <c r="T1046" s="6">
        <v>43</v>
      </c>
      <c r="U1046" s="6">
        <v>80</v>
      </c>
      <c r="V1046" s="6">
        <f>IF(ISERROR(VLOOKUP($S$1046,'TAR FIN'!$A$1:$O$85,15,0)),0,VLOOKUP($S$1046,'TAR FIN'!$A$1:$O$85,15,0))</f>
        <v>0</v>
      </c>
      <c r="W1046" s="6">
        <f>IF(ISERROR(VLOOKUP($T$1046,'TAR FIN'!$A$1:$O$85,15,0)),0,VLOOKUP($T$1046,'TAR FIN'!$A$1:$O$85,15,0))</f>
        <v>259.20999999999998</v>
      </c>
      <c r="X1046" s="6">
        <f>IF(ISERROR(VLOOKUP($U$1046,'TAR FIN'!$A$1:$O$85,15,0)),0,VLOOKUP($U$1046,'TAR FIN'!$A$1:$O$85,15,0))</f>
        <v>307.08</v>
      </c>
      <c r="Y1046" s="6"/>
      <c r="Z1046" s="6">
        <f ca="1">('TUSD BE'!$AM$47+'TUSD BF'!$AM$47+'TUSD CVA'!$AM$47)*1</f>
        <v>362.55114049612132</v>
      </c>
      <c r="AA1046" s="6">
        <f>('TE BE'!$AB$37+'TE BF'!$AB$37+'TE CVA'!$AB$37)*1</f>
        <v>304.87027853653359</v>
      </c>
      <c r="AB1046" s="6">
        <f>$K$1046*$V$1046</f>
        <v>0</v>
      </c>
      <c r="AC1046" s="6">
        <f>$M$1046*$W$1046</f>
        <v>497.68319999999994</v>
      </c>
      <c r="AD1046" s="6">
        <f>$O$1046*$X$1046</f>
        <v>589.59359999999992</v>
      </c>
      <c r="AE1046" s="6">
        <f>$K$1046*$Y$1046</f>
        <v>0</v>
      </c>
      <c r="AF1046" s="6">
        <f ca="1">$M$1046*$Z$1046</f>
        <v>696.09818975255291</v>
      </c>
      <c r="AG1046" s="6">
        <f>$O$1046*$AA$1046</f>
        <v>585.35093479014449</v>
      </c>
    </row>
    <row r="1047" spans="1:33" ht="11.25" customHeight="1" x14ac:dyDescent="0.25">
      <c r="A1047" s="4" t="s">
        <v>21</v>
      </c>
      <c r="B1047" s="4" t="s">
        <v>37</v>
      </c>
      <c r="C1047" s="4" t="s">
        <v>33</v>
      </c>
      <c r="D1047" s="4" t="s">
        <v>38</v>
      </c>
      <c r="E1047" s="4" t="s">
        <v>25</v>
      </c>
      <c r="F1047" s="4" t="s">
        <v>25</v>
      </c>
      <c r="G1047" s="4" t="s">
        <v>25</v>
      </c>
      <c r="H1047" s="4" t="s">
        <v>35</v>
      </c>
      <c r="I1047" s="5">
        <v>44470</v>
      </c>
      <c r="J1047" s="6">
        <v>0</v>
      </c>
      <c r="K1047" s="6">
        <v>0</v>
      </c>
      <c r="L1047" s="6">
        <v>14.161</v>
      </c>
      <c r="M1047" s="6">
        <v>14.161</v>
      </c>
      <c r="N1047" s="6">
        <v>14.161</v>
      </c>
      <c r="O1047" s="6">
        <v>14.161</v>
      </c>
      <c r="P1047" s="6">
        <v>0</v>
      </c>
      <c r="Q1047" s="4" t="s">
        <v>26</v>
      </c>
      <c r="R1047" s="4">
        <v>0</v>
      </c>
      <c r="S1047" s="6">
        <v>0</v>
      </c>
      <c r="T1047" s="6">
        <v>43</v>
      </c>
      <c r="U1047" s="6">
        <v>80</v>
      </c>
      <c r="V1047" s="6">
        <f>IF(ISERROR(VLOOKUP($S$1047,'TAR FIN'!$A$1:$O$85,15,0)),0,VLOOKUP($S$1047,'TAR FIN'!$A$1:$O$85,15,0))</f>
        <v>0</v>
      </c>
      <c r="W1047" s="6">
        <f>IF(ISERROR(VLOOKUP($T$1047,'TAR FIN'!$A$1:$O$85,15,0)),0,VLOOKUP($T$1047,'TAR FIN'!$A$1:$O$85,15,0))</f>
        <v>259.20999999999998</v>
      </c>
      <c r="X1047" s="6">
        <f>IF(ISERROR(VLOOKUP($U$1047,'TAR FIN'!$A$1:$O$85,15,0)),0,VLOOKUP($U$1047,'TAR FIN'!$A$1:$O$85,15,0))</f>
        <v>307.08</v>
      </c>
      <c r="Y1047" s="6"/>
      <c r="Z1047" s="6">
        <f ca="1">('TUSD BE'!$AM$47+'TUSD BF'!$AM$47+'TUSD CVA'!$AM$47)*1</f>
        <v>362.55114049612132</v>
      </c>
      <c r="AA1047" s="6">
        <f>('TE BE'!$AB$37+'TE BF'!$AB$37+'TE CVA'!$AB$37)*1</f>
        <v>304.87027853653359</v>
      </c>
      <c r="AB1047" s="6">
        <f>$K$1047*$V$1047</f>
        <v>0</v>
      </c>
      <c r="AC1047" s="6">
        <f>$M$1047*$W$1047</f>
        <v>3670.6728099999996</v>
      </c>
      <c r="AD1047" s="6">
        <f>$O$1047*$X$1047</f>
        <v>4348.5598799999998</v>
      </c>
      <c r="AE1047" s="6">
        <f>$K$1047*$Y$1047</f>
        <v>0</v>
      </c>
      <c r="AF1047" s="6">
        <f ca="1">$M$1047*$Z$1047</f>
        <v>5134.0867005655737</v>
      </c>
      <c r="AG1047" s="6">
        <f>$O$1047*$AA$1047</f>
        <v>4317.2680143558518</v>
      </c>
    </row>
    <row r="1048" spans="1:33" ht="11.25" customHeight="1" x14ac:dyDescent="0.25">
      <c r="A1048" s="4" t="s">
        <v>28</v>
      </c>
      <c r="B1048" s="4" t="s">
        <v>37</v>
      </c>
      <c r="C1048" s="4" t="s">
        <v>33</v>
      </c>
      <c r="D1048" s="4" t="s">
        <v>38</v>
      </c>
      <c r="E1048" s="4" t="s">
        <v>25</v>
      </c>
      <c r="F1048" s="4" t="s">
        <v>25</v>
      </c>
      <c r="G1048" s="4" t="s">
        <v>25</v>
      </c>
      <c r="H1048" s="4" t="s">
        <v>35</v>
      </c>
      <c r="I1048" s="5">
        <v>44470</v>
      </c>
      <c r="J1048" s="6">
        <v>0</v>
      </c>
      <c r="K1048" s="6">
        <v>0</v>
      </c>
      <c r="L1048" s="6">
        <v>1.7430000000000001</v>
      </c>
      <c r="M1048" s="6">
        <v>1.7430000000000001</v>
      </c>
      <c r="N1048" s="6">
        <v>1.7430000000000001</v>
      </c>
      <c r="O1048" s="6">
        <v>1.7430000000000001</v>
      </c>
      <c r="P1048" s="6">
        <v>0</v>
      </c>
      <c r="Q1048" s="4" t="s">
        <v>26</v>
      </c>
      <c r="R1048" s="4">
        <v>0</v>
      </c>
      <c r="S1048" s="6">
        <v>0</v>
      </c>
      <c r="T1048" s="6">
        <v>43</v>
      </c>
      <c r="U1048" s="6">
        <v>80</v>
      </c>
      <c r="V1048" s="6">
        <f>IF(ISERROR(VLOOKUP($S$1048,'TAR FIN'!$A$1:$O$85,15,0)),0,VLOOKUP($S$1048,'TAR FIN'!$A$1:$O$85,15,0))</f>
        <v>0</v>
      </c>
      <c r="W1048" s="6">
        <f>IF(ISERROR(VLOOKUP($T$1048,'TAR FIN'!$A$1:$O$85,15,0)),0,VLOOKUP($T$1048,'TAR FIN'!$A$1:$O$85,15,0))</f>
        <v>259.20999999999998</v>
      </c>
      <c r="X1048" s="6">
        <f>IF(ISERROR(VLOOKUP($U$1048,'TAR FIN'!$A$1:$O$85,15,0)),0,VLOOKUP($U$1048,'TAR FIN'!$A$1:$O$85,15,0))</f>
        <v>307.08</v>
      </c>
      <c r="Y1048" s="6"/>
      <c r="Z1048" s="6">
        <f ca="1">('TUSD BE'!$AM$47+'TUSD BF'!$AM$47+'TUSD CVA'!$AM$47)*1</f>
        <v>362.55114049612132</v>
      </c>
      <c r="AA1048" s="6">
        <f>('TE BE'!$AB$37+'TE BF'!$AB$37+'TE CVA'!$AB$37)*1</f>
        <v>304.87027853653359</v>
      </c>
      <c r="AB1048" s="6">
        <f>$K$1048*$V$1048</f>
        <v>0</v>
      </c>
      <c r="AC1048" s="6">
        <f>$M$1048*$W$1048</f>
        <v>451.80302999999998</v>
      </c>
      <c r="AD1048" s="6">
        <f>$O$1048*$X$1048</f>
        <v>535.24044000000004</v>
      </c>
      <c r="AE1048" s="6">
        <f>$K$1048*$Y$1048</f>
        <v>0</v>
      </c>
      <c r="AF1048" s="6">
        <f ca="1">$M$1048*$Z$1048</f>
        <v>631.92663788473953</v>
      </c>
      <c r="AG1048" s="6">
        <f>$O$1048*$AA$1048</f>
        <v>531.38889548917803</v>
      </c>
    </row>
    <row r="1049" spans="1:33" ht="11.25" customHeight="1" x14ac:dyDescent="0.25">
      <c r="A1049" s="4" t="s">
        <v>21</v>
      </c>
      <c r="B1049" s="4" t="s">
        <v>37</v>
      </c>
      <c r="C1049" s="4" t="s">
        <v>33</v>
      </c>
      <c r="D1049" s="4" t="s">
        <v>38</v>
      </c>
      <c r="E1049" s="4" t="s">
        <v>25</v>
      </c>
      <c r="F1049" s="4" t="s">
        <v>25</v>
      </c>
      <c r="G1049" s="4" t="s">
        <v>25</v>
      </c>
      <c r="H1049" s="4" t="s">
        <v>35</v>
      </c>
      <c r="I1049" s="5">
        <v>44501</v>
      </c>
      <c r="J1049" s="6">
        <v>0</v>
      </c>
      <c r="K1049" s="6">
        <v>0</v>
      </c>
      <c r="L1049" s="6">
        <v>8.1609999999999996</v>
      </c>
      <c r="M1049" s="6">
        <v>8.1609999999999996</v>
      </c>
      <c r="N1049" s="6">
        <v>8.1609999999999996</v>
      </c>
      <c r="O1049" s="6">
        <v>8.1609999999999996</v>
      </c>
      <c r="P1049" s="6">
        <v>0</v>
      </c>
      <c r="Q1049" s="4" t="s">
        <v>26</v>
      </c>
      <c r="R1049" s="4">
        <v>0</v>
      </c>
      <c r="S1049" s="6">
        <v>0</v>
      </c>
      <c r="T1049" s="6">
        <v>43</v>
      </c>
      <c r="U1049" s="6">
        <v>80</v>
      </c>
      <c r="V1049" s="6">
        <f>IF(ISERROR(VLOOKUP($S$1049,'TAR FIN'!$A$1:$O$85,15,0)),0,VLOOKUP($S$1049,'TAR FIN'!$A$1:$O$85,15,0))</f>
        <v>0</v>
      </c>
      <c r="W1049" s="6">
        <f>IF(ISERROR(VLOOKUP($T$1049,'TAR FIN'!$A$1:$O$85,15,0)),0,VLOOKUP($T$1049,'TAR FIN'!$A$1:$O$85,15,0))</f>
        <v>259.20999999999998</v>
      </c>
      <c r="X1049" s="6">
        <f>IF(ISERROR(VLOOKUP($U$1049,'TAR FIN'!$A$1:$O$85,15,0)),0,VLOOKUP($U$1049,'TAR FIN'!$A$1:$O$85,15,0))</f>
        <v>307.08</v>
      </c>
      <c r="Y1049" s="6"/>
      <c r="Z1049" s="6">
        <f ca="1">('TUSD BE'!$AM$47+'TUSD BF'!$AM$47+'TUSD CVA'!$AM$47)*1</f>
        <v>362.55114049612132</v>
      </c>
      <c r="AA1049" s="6">
        <f>('TE BE'!$AB$37+'TE BF'!$AB$37+'TE CVA'!$AB$37)*1</f>
        <v>304.87027853653359</v>
      </c>
      <c r="AB1049" s="6">
        <f>$K$1049*$V$1049</f>
        <v>0</v>
      </c>
      <c r="AC1049" s="6">
        <f>$M$1049*$W$1049</f>
        <v>2115.4128099999998</v>
      </c>
      <c r="AD1049" s="6">
        <f>$O$1049*$X$1049</f>
        <v>2506.0798799999998</v>
      </c>
      <c r="AE1049" s="6">
        <f>$K$1049*$Y$1049</f>
        <v>0</v>
      </c>
      <c r="AF1049" s="6">
        <f ca="1">$M$1049*$Z$1049</f>
        <v>2958.779857588846</v>
      </c>
      <c r="AG1049" s="6">
        <f>$O$1049*$AA$1049</f>
        <v>2488.0463431366506</v>
      </c>
    </row>
    <row r="1050" spans="1:33" ht="11.25" customHeight="1" x14ac:dyDescent="0.25">
      <c r="A1050" s="4" t="s">
        <v>28</v>
      </c>
      <c r="B1050" s="4" t="s">
        <v>37</v>
      </c>
      <c r="C1050" s="4" t="s">
        <v>33</v>
      </c>
      <c r="D1050" s="4" t="s">
        <v>38</v>
      </c>
      <c r="E1050" s="4" t="s">
        <v>25</v>
      </c>
      <c r="F1050" s="4" t="s">
        <v>25</v>
      </c>
      <c r="G1050" s="4" t="s">
        <v>25</v>
      </c>
      <c r="H1050" s="4" t="s">
        <v>35</v>
      </c>
      <c r="I1050" s="5">
        <v>44501</v>
      </c>
      <c r="J1050" s="6">
        <v>0</v>
      </c>
      <c r="K1050" s="6">
        <v>0</v>
      </c>
      <c r="L1050" s="6">
        <v>3.746</v>
      </c>
      <c r="M1050" s="6">
        <v>3.746</v>
      </c>
      <c r="N1050" s="6">
        <v>3.746</v>
      </c>
      <c r="O1050" s="6">
        <v>3.746</v>
      </c>
      <c r="P1050" s="6">
        <v>0</v>
      </c>
      <c r="Q1050" s="4" t="s">
        <v>26</v>
      </c>
      <c r="R1050" s="4">
        <v>0</v>
      </c>
      <c r="S1050" s="6">
        <v>0</v>
      </c>
      <c r="T1050" s="6">
        <v>43</v>
      </c>
      <c r="U1050" s="6">
        <v>80</v>
      </c>
      <c r="V1050" s="6">
        <f>IF(ISERROR(VLOOKUP($S$1050,'TAR FIN'!$A$1:$O$85,15,0)),0,VLOOKUP($S$1050,'TAR FIN'!$A$1:$O$85,15,0))</f>
        <v>0</v>
      </c>
      <c r="W1050" s="6">
        <f>IF(ISERROR(VLOOKUP($T$1050,'TAR FIN'!$A$1:$O$85,15,0)),0,VLOOKUP($T$1050,'TAR FIN'!$A$1:$O$85,15,0))</f>
        <v>259.20999999999998</v>
      </c>
      <c r="X1050" s="6">
        <f>IF(ISERROR(VLOOKUP($U$1050,'TAR FIN'!$A$1:$O$85,15,0)),0,VLOOKUP($U$1050,'TAR FIN'!$A$1:$O$85,15,0))</f>
        <v>307.08</v>
      </c>
      <c r="Y1050" s="6"/>
      <c r="Z1050" s="6">
        <f ca="1">('TUSD BE'!$AM$47+'TUSD BF'!$AM$47+'TUSD CVA'!$AM$47)*1</f>
        <v>362.55114049612132</v>
      </c>
      <c r="AA1050" s="6">
        <f>('TE BE'!$AB$37+'TE BF'!$AB$37+'TE CVA'!$AB$37)*1</f>
        <v>304.87027853653359</v>
      </c>
      <c r="AB1050" s="6">
        <f>$K$1050*$V$1050</f>
        <v>0</v>
      </c>
      <c r="AC1050" s="6">
        <f>$M$1050*$W$1050</f>
        <v>971.00065999999993</v>
      </c>
      <c r="AD1050" s="6">
        <f>$O$1050*$X$1050</f>
        <v>1150.32168</v>
      </c>
      <c r="AE1050" s="6">
        <f>$K$1050*$Y$1050</f>
        <v>0</v>
      </c>
      <c r="AF1050" s="6">
        <f ca="1">$M$1050*$Z$1050</f>
        <v>1358.1165722984704</v>
      </c>
      <c r="AG1050" s="6">
        <f>$O$1050*$AA$1050</f>
        <v>1142.0440633978549</v>
      </c>
    </row>
    <row r="1051" spans="1:33" ht="11.25" customHeight="1" x14ac:dyDescent="0.25">
      <c r="A1051" s="4" t="s">
        <v>21</v>
      </c>
      <c r="B1051" s="4" t="s">
        <v>37</v>
      </c>
      <c r="C1051" s="4" t="s">
        <v>33</v>
      </c>
      <c r="D1051" s="4" t="s">
        <v>38</v>
      </c>
      <c r="E1051" s="4" t="s">
        <v>25</v>
      </c>
      <c r="F1051" s="4" t="s">
        <v>25</v>
      </c>
      <c r="G1051" s="4" t="s">
        <v>25</v>
      </c>
      <c r="H1051" s="4" t="s">
        <v>35</v>
      </c>
      <c r="I1051" s="5">
        <v>44531</v>
      </c>
      <c r="J1051" s="6">
        <v>0</v>
      </c>
      <c r="K1051" s="6">
        <v>0</v>
      </c>
      <c r="L1051" s="6">
        <v>8.2840000000000007</v>
      </c>
      <c r="M1051" s="6">
        <v>8.2840000000000007</v>
      </c>
      <c r="N1051" s="6">
        <v>8.2840000000000007</v>
      </c>
      <c r="O1051" s="6">
        <v>8.2840000000000007</v>
      </c>
      <c r="P1051" s="6">
        <v>0</v>
      </c>
      <c r="Q1051" s="4" t="s">
        <v>26</v>
      </c>
      <c r="R1051" s="4">
        <v>0</v>
      </c>
      <c r="S1051" s="6">
        <v>0</v>
      </c>
      <c r="T1051" s="6">
        <v>43</v>
      </c>
      <c r="U1051" s="6">
        <v>80</v>
      </c>
      <c r="V1051" s="6">
        <f>IF(ISERROR(VLOOKUP($S$1051,'TAR FIN'!$A$1:$O$85,15,0)),0,VLOOKUP($S$1051,'TAR FIN'!$A$1:$O$85,15,0))</f>
        <v>0</v>
      </c>
      <c r="W1051" s="6">
        <f>IF(ISERROR(VLOOKUP($T$1051,'TAR FIN'!$A$1:$O$85,15,0)),0,VLOOKUP($T$1051,'TAR FIN'!$A$1:$O$85,15,0))</f>
        <v>259.20999999999998</v>
      </c>
      <c r="X1051" s="6">
        <f>IF(ISERROR(VLOOKUP($U$1051,'TAR FIN'!$A$1:$O$85,15,0)),0,VLOOKUP($U$1051,'TAR FIN'!$A$1:$O$85,15,0))</f>
        <v>307.08</v>
      </c>
      <c r="Y1051" s="6"/>
      <c r="Z1051" s="6">
        <f ca="1">('TUSD BE'!$AM$47+'TUSD BF'!$AM$47+'TUSD CVA'!$AM$47)*1</f>
        <v>362.55114049612132</v>
      </c>
      <c r="AA1051" s="6">
        <f>('TE BE'!$AB$37+'TE BF'!$AB$37+'TE CVA'!$AB$37)*1</f>
        <v>304.87027853653359</v>
      </c>
      <c r="AB1051" s="6">
        <f>$K$1051*$V$1051</f>
        <v>0</v>
      </c>
      <c r="AC1051" s="6">
        <f>$M$1051*$W$1051</f>
        <v>2147.2956399999998</v>
      </c>
      <c r="AD1051" s="6">
        <f>$O$1051*$X$1051</f>
        <v>2543.8507199999999</v>
      </c>
      <c r="AE1051" s="6">
        <f>$K$1051*$Y$1051</f>
        <v>0</v>
      </c>
      <c r="AF1051" s="6">
        <f ca="1">$M$1051*$Z$1051</f>
        <v>3003.3736478698693</v>
      </c>
      <c r="AG1051" s="6">
        <f>$O$1051*$AA$1051</f>
        <v>2525.5453873966444</v>
      </c>
    </row>
    <row r="1052" spans="1:33" ht="11.25" customHeight="1" x14ac:dyDescent="0.25">
      <c r="A1052" s="4" t="s">
        <v>28</v>
      </c>
      <c r="B1052" s="4" t="s">
        <v>37</v>
      </c>
      <c r="C1052" s="4" t="s">
        <v>33</v>
      </c>
      <c r="D1052" s="4" t="s">
        <v>38</v>
      </c>
      <c r="E1052" s="4" t="s">
        <v>25</v>
      </c>
      <c r="F1052" s="4" t="s">
        <v>25</v>
      </c>
      <c r="G1052" s="4" t="s">
        <v>25</v>
      </c>
      <c r="H1052" s="4" t="s">
        <v>35</v>
      </c>
      <c r="I1052" s="5">
        <v>44531</v>
      </c>
      <c r="J1052" s="6">
        <v>0</v>
      </c>
      <c r="K1052" s="6">
        <v>0</v>
      </c>
      <c r="L1052" s="6">
        <v>0.93600000000000005</v>
      </c>
      <c r="M1052" s="6">
        <v>0.93600000000000005</v>
      </c>
      <c r="N1052" s="6">
        <v>0.93600000000000005</v>
      </c>
      <c r="O1052" s="6">
        <v>0.93600000000000005</v>
      </c>
      <c r="P1052" s="6">
        <v>0</v>
      </c>
      <c r="Q1052" s="4" t="s">
        <v>26</v>
      </c>
      <c r="R1052" s="4">
        <v>0</v>
      </c>
      <c r="S1052" s="6">
        <v>0</v>
      </c>
      <c r="T1052" s="6">
        <v>43</v>
      </c>
      <c r="U1052" s="6">
        <v>80</v>
      </c>
      <c r="V1052" s="6">
        <f>IF(ISERROR(VLOOKUP($S$1052,'TAR FIN'!$A$1:$O$85,15,0)),0,VLOOKUP($S$1052,'TAR FIN'!$A$1:$O$85,15,0))</f>
        <v>0</v>
      </c>
      <c r="W1052" s="6">
        <f>IF(ISERROR(VLOOKUP($T$1052,'TAR FIN'!$A$1:$O$85,15,0)),0,VLOOKUP($T$1052,'TAR FIN'!$A$1:$O$85,15,0))</f>
        <v>259.20999999999998</v>
      </c>
      <c r="X1052" s="6">
        <f>IF(ISERROR(VLOOKUP($U$1052,'TAR FIN'!$A$1:$O$85,15,0)),0,VLOOKUP($U$1052,'TAR FIN'!$A$1:$O$85,15,0))</f>
        <v>307.08</v>
      </c>
      <c r="Y1052" s="6"/>
      <c r="Z1052" s="6">
        <f ca="1">('TUSD BE'!$AM$47+'TUSD BF'!$AM$47+'TUSD CVA'!$AM$47)*1</f>
        <v>362.55114049612132</v>
      </c>
      <c r="AA1052" s="6">
        <f>('TE BE'!$AB$37+'TE BF'!$AB$37+'TE CVA'!$AB$37)*1</f>
        <v>304.87027853653359</v>
      </c>
      <c r="AB1052" s="6">
        <f>$K$1052*$V$1052</f>
        <v>0</v>
      </c>
      <c r="AC1052" s="6">
        <f>$M$1052*$W$1052</f>
        <v>242.62055999999998</v>
      </c>
      <c r="AD1052" s="6">
        <f>$O$1052*$X$1052</f>
        <v>287.42687999999998</v>
      </c>
      <c r="AE1052" s="6">
        <f>$K$1052*$Y$1052</f>
        <v>0</v>
      </c>
      <c r="AF1052" s="6">
        <f ca="1">$M$1052*$Z$1052</f>
        <v>339.34786750436956</v>
      </c>
      <c r="AG1052" s="6">
        <f>$O$1052*$AA$1052</f>
        <v>285.35858071019544</v>
      </c>
    </row>
    <row r="1053" spans="1:33" ht="11.25" customHeight="1" x14ac:dyDescent="0.25">
      <c r="A1053" s="4" t="s">
        <v>21</v>
      </c>
      <c r="B1053" s="4" t="s">
        <v>37</v>
      </c>
      <c r="C1053" s="4" t="s">
        <v>33</v>
      </c>
      <c r="D1053" s="4" t="s">
        <v>38</v>
      </c>
      <c r="E1053" s="4" t="s">
        <v>25</v>
      </c>
      <c r="F1053" s="4" t="s">
        <v>25</v>
      </c>
      <c r="G1053" s="4" t="s">
        <v>25</v>
      </c>
      <c r="H1053" s="4" t="s">
        <v>35</v>
      </c>
      <c r="I1053" s="5">
        <v>44562</v>
      </c>
      <c r="J1053" s="6">
        <v>0</v>
      </c>
      <c r="K1053" s="6">
        <v>0</v>
      </c>
      <c r="L1053" s="6">
        <v>8.9380000000000006</v>
      </c>
      <c r="M1053" s="6">
        <v>8.9380000000000006</v>
      </c>
      <c r="N1053" s="6">
        <v>8.9380000000000006</v>
      </c>
      <c r="O1053" s="6">
        <v>8.9380000000000006</v>
      </c>
      <c r="P1053" s="6">
        <v>0</v>
      </c>
      <c r="Q1053" s="4" t="s">
        <v>26</v>
      </c>
      <c r="R1053" s="4">
        <v>0</v>
      </c>
      <c r="S1053" s="6">
        <v>0</v>
      </c>
      <c r="T1053" s="6">
        <v>43</v>
      </c>
      <c r="U1053" s="6">
        <v>80</v>
      </c>
      <c r="V1053" s="6">
        <f>IF(ISERROR(VLOOKUP($S$1053,'TAR FIN'!$A$1:$O$85,15,0)),0,VLOOKUP($S$1053,'TAR FIN'!$A$1:$O$85,15,0))</f>
        <v>0</v>
      </c>
      <c r="W1053" s="6">
        <f>IF(ISERROR(VLOOKUP($T$1053,'TAR FIN'!$A$1:$O$85,15,0)),0,VLOOKUP($T$1053,'TAR FIN'!$A$1:$O$85,15,0))</f>
        <v>259.20999999999998</v>
      </c>
      <c r="X1053" s="6">
        <f>IF(ISERROR(VLOOKUP($U$1053,'TAR FIN'!$A$1:$O$85,15,0)),0,VLOOKUP($U$1053,'TAR FIN'!$A$1:$O$85,15,0))</f>
        <v>307.08</v>
      </c>
      <c r="Y1053" s="6"/>
      <c r="Z1053" s="6">
        <f ca="1">('TUSD BE'!$AM$47+'TUSD BF'!$AM$47+'TUSD CVA'!$AM$47)*1</f>
        <v>362.55114049612132</v>
      </c>
      <c r="AA1053" s="6">
        <f>('TE BE'!$AB$37+'TE BF'!$AB$37+'TE CVA'!$AB$37)*1</f>
        <v>304.87027853653359</v>
      </c>
      <c r="AB1053" s="6">
        <f>$K$1053*$V$1053</f>
        <v>0</v>
      </c>
      <c r="AC1053" s="6">
        <f>$M$1053*$W$1053</f>
        <v>2316.81898</v>
      </c>
      <c r="AD1053" s="6">
        <f>$O$1053*$X$1053</f>
        <v>2744.6810399999999</v>
      </c>
      <c r="AE1053" s="6">
        <f>$K$1053*$Y$1053</f>
        <v>0</v>
      </c>
      <c r="AF1053" s="6">
        <f ca="1">$M$1053*$Z$1053</f>
        <v>3240.4820937543327</v>
      </c>
      <c r="AG1053" s="6">
        <f>$O$1053*$AA$1053</f>
        <v>2724.9305495595372</v>
      </c>
    </row>
    <row r="1054" spans="1:33" ht="11.25" customHeight="1" x14ac:dyDescent="0.25">
      <c r="A1054" s="4" t="s">
        <v>21</v>
      </c>
      <c r="B1054" s="4" t="s">
        <v>37</v>
      </c>
      <c r="C1054" s="4" t="s">
        <v>33</v>
      </c>
      <c r="D1054" s="4" t="s">
        <v>38</v>
      </c>
      <c r="E1054" s="4" t="s">
        <v>25</v>
      </c>
      <c r="F1054" s="4" t="s">
        <v>25</v>
      </c>
      <c r="G1054" s="4" t="s">
        <v>25</v>
      </c>
      <c r="H1054" s="4" t="s">
        <v>35</v>
      </c>
      <c r="I1054" s="5">
        <v>44593</v>
      </c>
      <c r="J1054" s="6">
        <v>0</v>
      </c>
      <c r="K1054" s="6">
        <v>0</v>
      </c>
      <c r="L1054" s="6">
        <v>10.185</v>
      </c>
      <c r="M1054" s="6">
        <v>10.185</v>
      </c>
      <c r="N1054" s="6">
        <v>10.185</v>
      </c>
      <c r="O1054" s="6">
        <v>10.185</v>
      </c>
      <c r="P1054" s="6">
        <v>0</v>
      </c>
      <c r="Q1054" s="4" t="s">
        <v>26</v>
      </c>
      <c r="R1054" s="4">
        <v>0</v>
      </c>
      <c r="S1054" s="6">
        <v>0</v>
      </c>
      <c r="T1054" s="6">
        <v>43</v>
      </c>
      <c r="U1054" s="6">
        <v>80</v>
      </c>
      <c r="V1054" s="6">
        <f>IF(ISERROR(VLOOKUP($S$1054,'TAR FIN'!$A$1:$O$85,15,0)),0,VLOOKUP($S$1054,'TAR FIN'!$A$1:$O$85,15,0))</f>
        <v>0</v>
      </c>
      <c r="W1054" s="6">
        <f>IF(ISERROR(VLOOKUP($T$1054,'TAR FIN'!$A$1:$O$85,15,0)),0,VLOOKUP($T$1054,'TAR FIN'!$A$1:$O$85,15,0))</f>
        <v>259.20999999999998</v>
      </c>
      <c r="X1054" s="6">
        <f>IF(ISERROR(VLOOKUP($U$1054,'TAR FIN'!$A$1:$O$85,15,0)),0,VLOOKUP($U$1054,'TAR FIN'!$A$1:$O$85,15,0))</f>
        <v>307.08</v>
      </c>
      <c r="Y1054" s="6"/>
      <c r="Z1054" s="6">
        <f ca="1">('TUSD BE'!$AM$47+'TUSD BF'!$AM$47+'TUSD CVA'!$AM$47)*1</f>
        <v>362.55114049612132</v>
      </c>
      <c r="AA1054" s="6">
        <f>('TE BE'!$AB$37+'TE BF'!$AB$37+'TE CVA'!$AB$37)*1</f>
        <v>304.87027853653359</v>
      </c>
      <c r="AB1054" s="6">
        <f>$K$1054*$V$1054</f>
        <v>0</v>
      </c>
      <c r="AC1054" s="6">
        <f>$M$1054*$W$1054</f>
        <v>2640.0538499999998</v>
      </c>
      <c r="AD1054" s="6">
        <f>$O$1054*$X$1054</f>
        <v>3127.6098000000002</v>
      </c>
      <c r="AE1054" s="6">
        <f>$K$1054*$Y$1054</f>
        <v>0</v>
      </c>
      <c r="AF1054" s="6">
        <f ca="1">$M$1054*$Z$1054</f>
        <v>3692.5833659529958</v>
      </c>
      <c r="AG1054" s="6">
        <f>$O$1054*$AA$1054</f>
        <v>3105.1037868945946</v>
      </c>
    </row>
    <row r="1055" spans="1:33" ht="11.25" customHeight="1" x14ac:dyDescent="0.25">
      <c r="A1055" s="4" t="s">
        <v>28</v>
      </c>
      <c r="B1055" s="4" t="s">
        <v>37</v>
      </c>
      <c r="C1055" s="4" t="s">
        <v>33</v>
      </c>
      <c r="D1055" s="4" t="s">
        <v>38</v>
      </c>
      <c r="E1055" s="4" t="s">
        <v>25</v>
      </c>
      <c r="F1055" s="4" t="s">
        <v>25</v>
      </c>
      <c r="G1055" s="4" t="s">
        <v>25</v>
      </c>
      <c r="H1055" s="4" t="s">
        <v>35</v>
      </c>
      <c r="I1055" s="5">
        <v>44593</v>
      </c>
      <c r="J1055" s="6">
        <v>0</v>
      </c>
      <c r="K1055" s="6">
        <v>0</v>
      </c>
      <c r="L1055" s="6">
        <v>3.15</v>
      </c>
      <c r="M1055" s="6">
        <v>3.15</v>
      </c>
      <c r="N1055" s="6">
        <v>3.15</v>
      </c>
      <c r="O1055" s="6">
        <v>3.15</v>
      </c>
      <c r="P1055" s="6">
        <v>0</v>
      </c>
      <c r="Q1055" s="4" t="s">
        <v>26</v>
      </c>
      <c r="R1055" s="4">
        <v>0</v>
      </c>
      <c r="S1055" s="6">
        <v>0</v>
      </c>
      <c r="T1055" s="6">
        <v>43</v>
      </c>
      <c r="U1055" s="6">
        <v>80</v>
      </c>
      <c r="V1055" s="6">
        <f>IF(ISERROR(VLOOKUP($S$1055,'TAR FIN'!$A$1:$O$85,15,0)),0,VLOOKUP($S$1055,'TAR FIN'!$A$1:$O$85,15,0))</f>
        <v>0</v>
      </c>
      <c r="W1055" s="6">
        <f>IF(ISERROR(VLOOKUP($T$1055,'TAR FIN'!$A$1:$O$85,15,0)),0,VLOOKUP($T$1055,'TAR FIN'!$A$1:$O$85,15,0))</f>
        <v>259.20999999999998</v>
      </c>
      <c r="X1055" s="6">
        <f>IF(ISERROR(VLOOKUP($U$1055,'TAR FIN'!$A$1:$O$85,15,0)),0,VLOOKUP($U$1055,'TAR FIN'!$A$1:$O$85,15,0))</f>
        <v>307.08</v>
      </c>
      <c r="Y1055" s="6"/>
      <c r="Z1055" s="6">
        <f ca="1">('TUSD BE'!$AM$47+'TUSD BF'!$AM$47+'TUSD CVA'!$AM$47)*1</f>
        <v>362.55114049612132</v>
      </c>
      <c r="AA1055" s="6">
        <f>('TE BE'!$AB$37+'TE BF'!$AB$37+'TE CVA'!$AB$37)*1</f>
        <v>304.87027853653359</v>
      </c>
      <c r="AB1055" s="6">
        <f>$K$1055*$V$1055</f>
        <v>0</v>
      </c>
      <c r="AC1055" s="6">
        <f>$M$1055*$W$1055</f>
        <v>816.51149999999996</v>
      </c>
      <c r="AD1055" s="6">
        <f>$O$1055*$X$1055</f>
        <v>967.30199999999991</v>
      </c>
      <c r="AE1055" s="6">
        <f>$K$1055*$Y$1055</f>
        <v>0</v>
      </c>
      <c r="AF1055" s="6">
        <f ca="1">$M$1055*$Z$1055</f>
        <v>1142.0360925627822</v>
      </c>
      <c r="AG1055" s="6">
        <f>$O$1055*$AA$1055</f>
        <v>960.34137739008077</v>
      </c>
    </row>
    <row r="1056" spans="1:33" ht="11.25" customHeight="1" x14ac:dyDescent="0.25">
      <c r="A1056" s="4" t="s">
        <v>21</v>
      </c>
      <c r="B1056" s="4" t="s">
        <v>37</v>
      </c>
      <c r="C1056" s="4" t="s">
        <v>33</v>
      </c>
      <c r="D1056" s="4" t="s">
        <v>38</v>
      </c>
      <c r="E1056" s="4" t="s">
        <v>25</v>
      </c>
      <c r="F1056" s="4" t="s">
        <v>25</v>
      </c>
      <c r="G1056" s="4" t="s">
        <v>25</v>
      </c>
      <c r="H1056" s="4" t="s">
        <v>35</v>
      </c>
      <c r="I1056" s="5">
        <v>44621</v>
      </c>
      <c r="J1056" s="6">
        <v>0</v>
      </c>
      <c r="K1056" s="6">
        <v>0</v>
      </c>
      <c r="L1056" s="6">
        <v>10.805</v>
      </c>
      <c r="M1056" s="6">
        <v>10.805</v>
      </c>
      <c r="N1056" s="6">
        <v>10.805</v>
      </c>
      <c r="O1056" s="6">
        <v>10.805</v>
      </c>
      <c r="P1056" s="6">
        <v>0</v>
      </c>
      <c r="Q1056" s="4" t="s">
        <v>26</v>
      </c>
      <c r="R1056" s="4">
        <v>0</v>
      </c>
      <c r="S1056" s="6">
        <v>0</v>
      </c>
      <c r="T1056" s="6">
        <v>43</v>
      </c>
      <c r="U1056" s="6">
        <v>80</v>
      </c>
      <c r="V1056" s="6">
        <f>IF(ISERROR(VLOOKUP($S$1056,'TAR FIN'!$A$1:$O$85,15,0)),0,VLOOKUP($S$1056,'TAR FIN'!$A$1:$O$85,15,0))</f>
        <v>0</v>
      </c>
      <c r="W1056" s="6">
        <f>IF(ISERROR(VLOOKUP($T$1056,'TAR FIN'!$A$1:$O$85,15,0)),0,VLOOKUP($T$1056,'TAR FIN'!$A$1:$O$85,15,0))</f>
        <v>259.20999999999998</v>
      </c>
      <c r="X1056" s="6">
        <f>IF(ISERROR(VLOOKUP($U$1056,'TAR FIN'!$A$1:$O$85,15,0)),0,VLOOKUP($U$1056,'TAR FIN'!$A$1:$O$85,15,0))</f>
        <v>307.08</v>
      </c>
      <c r="Y1056" s="6"/>
      <c r="Z1056" s="6">
        <f ca="1">('TUSD BE'!$AM$47+'TUSD BF'!$AM$47+'TUSD CVA'!$AM$47)*1</f>
        <v>362.55114049612132</v>
      </c>
      <c r="AA1056" s="6">
        <f>('TE BE'!$AB$37+'TE BF'!$AB$37+'TE CVA'!$AB$37)*1</f>
        <v>304.87027853653359</v>
      </c>
      <c r="AB1056" s="6">
        <f>$K$1056*$V$1056</f>
        <v>0</v>
      </c>
      <c r="AC1056" s="6">
        <f>$M$1056*$W$1056</f>
        <v>2800.7640499999998</v>
      </c>
      <c r="AD1056" s="6">
        <f>$O$1056*$X$1056</f>
        <v>3317.9993999999997</v>
      </c>
      <c r="AE1056" s="6">
        <f>$K$1056*$Y$1056</f>
        <v>0</v>
      </c>
      <c r="AF1056" s="6">
        <f ca="1">$M$1056*$Z$1056</f>
        <v>3917.3650730605909</v>
      </c>
      <c r="AG1056" s="6">
        <f>$O$1056*$AA$1056</f>
        <v>3294.1233595872454</v>
      </c>
    </row>
    <row r="1057" spans="1:33" ht="11.25" customHeight="1" x14ac:dyDescent="0.25">
      <c r="A1057" s="4" t="s">
        <v>28</v>
      </c>
      <c r="B1057" s="4" t="s">
        <v>37</v>
      </c>
      <c r="C1057" s="4" t="s">
        <v>33</v>
      </c>
      <c r="D1057" s="4" t="s">
        <v>38</v>
      </c>
      <c r="E1057" s="4" t="s">
        <v>25</v>
      </c>
      <c r="F1057" s="4" t="s">
        <v>25</v>
      </c>
      <c r="G1057" s="4" t="s">
        <v>25</v>
      </c>
      <c r="H1057" s="4" t="s">
        <v>35</v>
      </c>
      <c r="I1057" s="5">
        <v>44621</v>
      </c>
      <c r="J1057" s="6">
        <v>0</v>
      </c>
      <c r="K1057" s="6">
        <v>0</v>
      </c>
      <c r="L1057" s="6">
        <v>4.7E-2</v>
      </c>
      <c r="M1057" s="6">
        <v>4.7E-2</v>
      </c>
      <c r="N1057" s="6">
        <v>4.7E-2</v>
      </c>
      <c r="O1057" s="6">
        <v>4.7E-2</v>
      </c>
      <c r="P1057" s="6">
        <v>0</v>
      </c>
      <c r="Q1057" s="4" t="s">
        <v>26</v>
      </c>
      <c r="R1057" s="4">
        <v>0</v>
      </c>
      <c r="S1057" s="6">
        <v>0</v>
      </c>
      <c r="T1057" s="6">
        <v>43</v>
      </c>
      <c r="U1057" s="6">
        <v>80</v>
      </c>
      <c r="V1057" s="6">
        <f>IF(ISERROR(VLOOKUP($S$1057,'TAR FIN'!$A$1:$O$85,15,0)),0,VLOOKUP($S$1057,'TAR FIN'!$A$1:$O$85,15,0))</f>
        <v>0</v>
      </c>
      <c r="W1057" s="6">
        <f>IF(ISERROR(VLOOKUP($T$1057,'TAR FIN'!$A$1:$O$85,15,0)),0,VLOOKUP($T$1057,'TAR FIN'!$A$1:$O$85,15,0))</f>
        <v>259.20999999999998</v>
      </c>
      <c r="X1057" s="6">
        <f>IF(ISERROR(VLOOKUP($U$1057,'TAR FIN'!$A$1:$O$85,15,0)),0,VLOOKUP($U$1057,'TAR FIN'!$A$1:$O$85,15,0))</f>
        <v>307.08</v>
      </c>
      <c r="Y1057" s="6"/>
      <c r="Z1057" s="6">
        <f ca="1">('TUSD BE'!$AM$47+'TUSD BF'!$AM$47+'TUSD CVA'!$AM$47)*1</f>
        <v>362.55114049612132</v>
      </c>
      <c r="AA1057" s="6">
        <f>('TE BE'!$AB$37+'TE BF'!$AB$37+'TE CVA'!$AB$37)*1</f>
        <v>304.87027853653359</v>
      </c>
      <c r="AB1057" s="6">
        <f>$K$1057*$V$1057</f>
        <v>0</v>
      </c>
      <c r="AC1057" s="6">
        <f>$M$1057*$W$1057</f>
        <v>12.182869999999999</v>
      </c>
      <c r="AD1057" s="6">
        <f>$O$1057*$X$1057</f>
        <v>14.43276</v>
      </c>
      <c r="AE1057" s="6">
        <f>$K$1057*$Y$1057</f>
        <v>0</v>
      </c>
      <c r="AF1057" s="6">
        <f ca="1">$M$1057*$Z$1057</f>
        <v>17.0399036033177</v>
      </c>
      <c r="AG1057" s="6">
        <f>$O$1057*$AA$1057</f>
        <v>14.328903091217079</v>
      </c>
    </row>
    <row r="1058" spans="1:33" ht="11.25" customHeight="1" x14ac:dyDescent="0.25">
      <c r="A1058" s="4" t="s">
        <v>28</v>
      </c>
      <c r="B1058" s="4" t="s">
        <v>37</v>
      </c>
      <c r="C1058" s="4" t="s">
        <v>33</v>
      </c>
      <c r="D1058" s="4" t="s">
        <v>38</v>
      </c>
      <c r="E1058" s="4" t="s">
        <v>25</v>
      </c>
      <c r="F1058" s="4" t="s">
        <v>25</v>
      </c>
      <c r="G1058" s="4" t="s">
        <v>25</v>
      </c>
      <c r="H1058" s="4" t="s">
        <v>35</v>
      </c>
      <c r="I1058" s="5">
        <v>44621</v>
      </c>
      <c r="J1058" s="6">
        <v>0</v>
      </c>
      <c r="K1058" s="6">
        <v>0</v>
      </c>
      <c r="L1058" s="6">
        <v>3.15</v>
      </c>
      <c r="M1058" s="6">
        <v>3.15</v>
      </c>
      <c r="N1058" s="6">
        <v>3.15</v>
      </c>
      <c r="O1058" s="6">
        <v>3.15</v>
      </c>
      <c r="P1058" s="6">
        <v>0</v>
      </c>
      <c r="Q1058" s="4" t="s">
        <v>26</v>
      </c>
      <c r="R1058" s="4">
        <v>0</v>
      </c>
      <c r="S1058" s="6">
        <v>0</v>
      </c>
      <c r="T1058" s="6">
        <v>43</v>
      </c>
      <c r="U1058" s="6">
        <v>80</v>
      </c>
      <c r="V1058" s="6">
        <f>IF(ISERROR(VLOOKUP($S$1058,'TAR FIN'!$A$1:$O$85,15,0)),0,VLOOKUP($S$1058,'TAR FIN'!$A$1:$O$85,15,0))</f>
        <v>0</v>
      </c>
      <c r="W1058" s="6">
        <f>IF(ISERROR(VLOOKUP($T$1058,'TAR FIN'!$A$1:$O$85,15,0)),0,VLOOKUP($T$1058,'TAR FIN'!$A$1:$O$85,15,0))</f>
        <v>259.20999999999998</v>
      </c>
      <c r="X1058" s="6">
        <f>IF(ISERROR(VLOOKUP($U$1058,'TAR FIN'!$A$1:$O$85,15,0)),0,VLOOKUP($U$1058,'TAR FIN'!$A$1:$O$85,15,0))</f>
        <v>307.08</v>
      </c>
      <c r="Y1058" s="6"/>
      <c r="Z1058" s="6">
        <f ca="1">('TUSD BE'!$AM$47+'TUSD BF'!$AM$47+'TUSD CVA'!$AM$47)*1</f>
        <v>362.55114049612132</v>
      </c>
      <c r="AA1058" s="6">
        <f>('TE BE'!$AB$37+'TE BF'!$AB$37+'TE CVA'!$AB$37)*1</f>
        <v>304.87027853653359</v>
      </c>
      <c r="AB1058" s="6">
        <f>$K$1058*$V$1058</f>
        <v>0</v>
      </c>
      <c r="AC1058" s="6">
        <f>$M$1058*$W$1058</f>
        <v>816.51149999999996</v>
      </c>
      <c r="AD1058" s="6">
        <f>$O$1058*$X$1058</f>
        <v>967.30199999999991</v>
      </c>
      <c r="AE1058" s="6">
        <f>$K$1058*$Y$1058</f>
        <v>0</v>
      </c>
      <c r="AF1058" s="6">
        <f ca="1">$M$1058*$Z$1058</f>
        <v>1142.0360925627822</v>
      </c>
      <c r="AG1058" s="6">
        <f>$O$1058*$AA$1058</f>
        <v>960.34137739008077</v>
      </c>
    </row>
    <row r="1059" spans="1:33" ht="11.25" customHeight="1" x14ac:dyDescent="0.25">
      <c r="A1059" s="4" t="s">
        <v>21</v>
      </c>
      <c r="B1059" s="4" t="s">
        <v>37</v>
      </c>
      <c r="C1059" s="4" t="s">
        <v>33</v>
      </c>
      <c r="D1059" s="4" t="s">
        <v>38</v>
      </c>
      <c r="E1059" s="4" t="s">
        <v>25</v>
      </c>
      <c r="F1059" s="4" t="s">
        <v>25</v>
      </c>
      <c r="G1059" s="4" t="s">
        <v>25</v>
      </c>
      <c r="H1059" s="4" t="s">
        <v>35</v>
      </c>
      <c r="I1059" s="5">
        <v>44652</v>
      </c>
      <c r="J1059" s="6">
        <v>0</v>
      </c>
      <c r="K1059" s="6">
        <v>0</v>
      </c>
      <c r="L1059" s="6">
        <v>10.351000000000001</v>
      </c>
      <c r="M1059" s="6">
        <v>10.351000000000001</v>
      </c>
      <c r="N1059" s="6">
        <v>10.351000000000001</v>
      </c>
      <c r="O1059" s="6">
        <v>10.351000000000001</v>
      </c>
      <c r="P1059" s="6">
        <v>0</v>
      </c>
      <c r="Q1059" s="4" t="s">
        <v>26</v>
      </c>
      <c r="R1059" s="4">
        <v>0</v>
      </c>
      <c r="S1059" s="6">
        <v>0</v>
      </c>
      <c r="T1059" s="6">
        <v>43</v>
      </c>
      <c r="U1059" s="6">
        <v>80</v>
      </c>
      <c r="V1059" s="6">
        <f>IF(ISERROR(VLOOKUP($S$1059,'TAR FIN'!$A$1:$O$85,15,0)),0,VLOOKUP($S$1059,'TAR FIN'!$A$1:$O$85,15,0))</f>
        <v>0</v>
      </c>
      <c r="W1059" s="6">
        <f>IF(ISERROR(VLOOKUP($T$1059,'TAR FIN'!$A$1:$O$85,15,0)),0,VLOOKUP($T$1059,'TAR FIN'!$A$1:$O$85,15,0))</f>
        <v>259.20999999999998</v>
      </c>
      <c r="X1059" s="6">
        <f>IF(ISERROR(VLOOKUP($U$1059,'TAR FIN'!$A$1:$O$85,15,0)),0,VLOOKUP($U$1059,'TAR FIN'!$A$1:$O$85,15,0))</f>
        <v>307.08</v>
      </c>
      <c r="Y1059" s="6"/>
      <c r="Z1059" s="6">
        <f ca="1">('TUSD BE'!$AM$47+'TUSD BF'!$AM$47+'TUSD CVA'!$AM$47)*1</f>
        <v>362.55114049612132</v>
      </c>
      <c r="AA1059" s="6">
        <f>('TE BE'!$AB$37+'TE BF'!$AB$37+'TE CVA'!$AB$37)*1</f>
        <v>304.87027853653359</v>
      </c>
      <c r="AB1059" s="6">
        <f>$K$1059*$V$1059</f>
        <v>0</v>
      </c>
      <c r="AC1059" s="6">
        <f>$M$1059*$W$1059</f>
        <v>2683.0827100000001</v>
      </c>
      <c r="AD1059" s="6">
        <f>$O$1059*$X$1059</f>
        <v>3178.5850800000003</v>
      </c>
      <c r="AE1059" s="6">
        <f>$K$1059*$Y$1059</f>
        <v>0</v>
      </c>
      <c r="AF1059" s="6">
        <f ca="1">$M$1059*$Z$1059</f>
        <v>3752.7668552753521</v>
      </c>
      <c r="AG1059" s="6">
        <f>$O$1059*$AA$1059</f>
        <v>3155.7122531316595</v>
      </c>
    </row>
    <row r="1060" spans="1:33" ht="11.25" customHeight="1" x14ac:dyDescent="0.25">
      <c r="A1060" s="4" t="s">
        <v>28</v>
      </c>
      <c r="B1060" s="4" t="s">
        <v>37</v>
      </c>
      <c r="C1060" s="4" t="s">
        <v>33</v>
      </c>
      <c r="D1060" s="4" t="s">
        <v>38</v>
      </c>
      <c r="E1060" s="4" t="s">
        <v>25</v>
      </c>
      <c r="F1060" s="4" t="s">
        <v>25</v>
      </c>
      <c r="G1060" s="4" t="s">
        <v>25</v>
      </c>
      <c r="H1060" s="4" t="s">
        <v>35</v>
      </c>
      <c r="I1060" s="5">
        <v>44652</v>
      </c>
      <c r="J1060" s="6">
        <v>0</v>
      </c>
      <c r="K1060" s="6">
        <v>0</v>
      </c>
      <c r="L1060" s="6">
        <v>0.25600000000000001</v>
      </c>
      <c r="M1060" s="6">
        <v>0.25600000000000001</v>
      </c>
      <c r="N1060" s="6">
        <v>0.25600000000000001</v>
      </c>
      <c r="O1060" s="6">
        <v>0.25600000000000001</v>
      </c>
      <c r="P1060" s="6">
        <v>0</v>
      </c>
      <c r="Q1060" s="4" t="s">
        <v>26</v>
      </c>
      <c r="R1060" s="4">
        <v>0</v>
      </c>
      <c r="S1060" s="6">
        <v>0</v>
      </c>
      <c r="T1060" s="6">
        <v>43</v>
      </c>
      <c r="U1060" s="6">
        <v>80</v>
      </c>
      <c r="V1060" s="6">
        <f>IF(ISERROR(VLOOKUP($S$1060,'TAR FIN'!$A$1:$O$85,15,0)),0,VLOOKUP($S$1060,'TAR FIN'!$A$1:$O$85,15,0))</f>
        <v>0</v>
      </c>
      <c r="W1060" s="6">
        <f>IF(ISERROR(VLOOKUP($T$1060,'TAR FIN'!$A$1:$O$85,15,0)),0,VLOOKUP($T$1060,'TAR FIN'!$A$1:$O$85,15,0))</f>
        <v>259.20999999999998</v>
      </c>
      <c r="X1060" s="6">
        <f>IF(ISERROR(VLOOKUP($U$1060,'TAR FIN'!$A$1:$O$85,15,0)),0,VLOOKUP($U$1060,'TAR FIN'!$A$1:$O$85,15,0))</f>
        <v>307.08</v>
      </c>
      <c r="Y1060" s="6"/>
      <c r="Z1060" s="6">
        <f ca="1">('TUSD BE'!$AM$47+'TUSD BF'!$AM$47+'TUSD CVA'!$AM$47)*1</f>
        <v>362.55114049612132</v>
      </c>
      <c r="AA1060" s="6">
        <f>('TE BE'!$AB$37+'TE BF'!$AB$37+'TE CVA'!$AB$37)*1</f>
        <v>304.87027853653359</v>
      </c>
      <c r="AB1060" s="6">
        <f>$K$1060*$V$1060</f>
        <v>0</v>
      </c>
      <c r="AC1060" s="6">
        <f>$M$1060*$W$1060</f>
        <v>66.357759999999999</v>
      </c>
      <c r="AD1060" s="6">
        <f>$O$1060*$X$1060</f>
        <v>78.612479999999991</v>
      </c>
      <c r="AE1060" s="6">
        <f>$K$1060*$Y$1060</f>
        <v>0</v>
      </c>
      <c r="AF1060" s="6">
        <f ca="1">$M$1060*$Z$1060</f>
        <v>92.813091967007054</v>
      </c>
      <c r="AG1060" s="6">
        <f>$O$1060*$AA$1060</f>
        <v>78.046791305352599</v>
      </c>
    </row>
    <row r="1061" spans="1:33" ht="11.25" customHeight="1" x14ac:dyDescent="0.25">
      <c r="A1061" s="4" t="s">
        <v>21</v>
      </c>
      <c r="B1061" s="4" t="s">
        <v>37</v>
      </c>
      <c r="C1061" s="4" t="s">
        <v>33</v>
      </c>
      <c r="D1061" s="4" t="s">
        <v>38</v>
      </c>
      <c r="E1061" s="4" t="s">
        <v>25</v>
      </c>
      <c r="F1061" s="4" t="s">
        <v>25</v>
      </c>
      <c r="G1061" s="4" t="s">
        <v>25</v>
      </c>
      <c r="H1061" s="4" t="s">
        <v>35</v>
      </c>
      <c r="I1061" s="5">
        <v>44682</v>
      </c>
      <c r="J1061" s="6">
        <v>0</v>
      </c>
      <c r="K1061" s="6">
        <v>0</v>
      </c>
      <c r="L1061" s="6">
        <v>9.1</v>
      </c>
      <c r="M1061" s="6">
        <v>9.1</v>
      </c>
      <c r="N1061" s="6">
        <v>9.1</v>
      </c>
      <c r="O1061" s="6">
        <v>9.1</v>
      </c>
      <c r="P1061" s="6">
        <v>0</v>
      </c>
      <c r="Q1061" s="4" t="s">
        <v>26</v>
      </c>
      <c r="R1061" s="4">
        <v>0</v>
      </c>
      <c r="S1061" s="6">
        <v>0</v>
      </c>
      <c r="T1061" s="6">
        <v>43</v>
      </c>
      <c r="U1061" s="6">
        <v>80</v>
      </c>
      <c r="V1061" s="6">
        <f>IF(ISERROR(VLOOKUP($S$1061,'TAR FIN'!$A$1:$O$85,15,0)),0,VLOOKUP($S$1061,'TAR FIN'!$A$1:$O$85,15,0))</f>
        <v>0</v>
      </c>
      <c r="W1061" s="6">
        <f>IF(ISERROR(VLOOKUP($T$1061,'TAR FIN'!$A$1:$O$85,15,0)),0,VLOOKUP($T$1061,'TAR FIN'!$A$1:$O$85,15,0))</f>
        <v>259.20999999999998</v>
      </c>
      <c r="X1061" s="6">
        <f>IF(ISERROR(VLOOKUP($U$1061,'TAR FIN'!$A$1:$O$85,15,0)),0,VLOOKUP($U$1061,'TAR FIN'!$A$1:$O$85,15,0))</f>
        <v>307.08</v>
      </c>
      <c r="Y1061" s="6"/>
      <c r="Z1061" s="6">
        <f ca="1">('TUSD BE'!$AM$47+'TUSD BF'!$AM$47+'TUSD CVA'!$AM$47)*1</f>
        <v>362.55114049612132</v>
      </c>
      <c r="AA1061" s="6">
        <f>('TE BE'!$AB$37+'TE BF'!$AB$37+'TE CVA'!$AB$37)*1</f>
        <v>304.87027853653359</v>
      </c>
      <c r="AB1061" s="6">
        <f>$K$1061*$V$1061</f>
        <v>0</v>
      </c>
      <c r="AC1061" s="6">
        <f>$M$1061*$W$1061</f>
        <v>2358.8109999999997</v>
      </c>
      <c r="AD1061" s="6">
        <f>$O$1061*$X$1061</f>
        <v>2794.4279999999999</v>
      </c>
      <c r="AE1061" s="6">
        <f>$K$1061*$Y$1061</f>
        <v>0</v>
      </c>
      <c r="AF1061" s="6">
        <f ca="1">$M$1061*$Z$1061</f>
        <v>3299.2153785147038</v>
      </c>
      <c r="AG1061" s="6">
        <f>$O$1061*$AA$1061</f>
        <v>2774.3195346824555</v>
      </c>
    </row>
    <row r="1062" spans="1:33" ht="11.25" customHeight="1" x14ac:dyDescent="0.25">
      <c r="A1062" s="4" t="s">
        <v>28</v>
      </c>
      <c r="B1062" s="4" t="s">
        <v>37</v>
      </c>
      <c r="C1062" s="4" t="s">
        <v>33</v>
      </c>
      <c r="D1062" s="4" t="s">
        <v>38</v>
      </c>
      <c r="E1062" s="4" t="s">
        <v>25</v>
      </c>
      <c r="F1062" s="4" t="s">
        <v>25</v>
      </c>
      <c r="G1062" s="4" t="s">
        <v>25</v>
      </c>
      <c r="H1062" s="4" t="s">
        <v>35</v>
      </c>
      <c r="I1062" s="5">
        <v>44682</v>
      </c>
      <c r="J1062" s="6">
        <v>0</v>
      </c>
      <c r="K1062" s="6">
        <v>0</v>
      </c>
      <c r="L1062" s="6">
        <v>0.24</v>
      </c>
      <c r="M1062" s="6">
        <v>0.24</v>
      </c>
      <c r="N1062" s="6">
        <v>0.24</v>
      </c>
      <c r="O1062" s="6">
        <v>0.24</v>
      </c>
      <c r="P1062" s="6">
        <v>0</v>
      </c>
      <c r="Q1062" s="4" t="s">
        <v>26</v>
      </c>
      <c r="R1062" s="4">
        <v>0</v>
      </c>
      <c r="S1062" s="6">
        <v>0</v>
      </c>
      <c r="T1062" s="6">
        <v>43</v>
      </c>
      <c r="U1062" s="6">
        <v>80</v>
      </c>
      <c r="V1062" s="6">
        <f>IF(ISERROR(VLOOKUP($S$1062,'TAR FIN'!$A$1:$O$85,15,0)),0,VLOOKUP($S$1062,'TAR FIN'!$A$1:$O$85,15,0))</f>
        <v>0</v>
      </c>
      <c r="W1062" s="6">
        <f>IF(ISERROR(VLOOKUP($T$1062,'TAR FIN'!$A$1:$O$85,15,0)),0,VLOOKUP($T$1062,'TAR FIN'!$A$1:$O$85,15,0))</f>
        <v>259.20999999999998</v>
      </c>
      <c r="X1062" s="6">
        <f>IF(ISERROR(VLOOKUP($U$1062,'TAR FIN'!$A$1:$O$85,15,0)),0,VLOOKUP($U$1062,'TAR FIN'!$A$1:$O$85,15,0))</f>
        <v>307.08</v>
      </c>
      <c r="Y1062" s="6"/>
      <c r="Z1062" s="6">
        <f ca="1">('TUSD BE'!$AM$47+'TUSD BF'!$AM$47+'TUSD CVA'!$AM$47)*1</f>
        <v>362.55114049612132</v>
      </c>
      <c r="AA1062" s="6">
        <f>('TE BE'!$AB$37+'TE BF'!$AB$37+'TE CVA'!$AB$37)*1</f>
        <v>304.87027853653359</v>
      </c>
      <c r="AB1062" s="6">
        <f>$K$1062*$V$1062</f>
        <v>0</v>
      </c>
      <c r="AC1062" s="6">
        <f>$M$1062*$W$1062</f>
        <v>62.210399999999993</v>
      </c>
      <c r="AD1062" s="6">
        <f>$O$1062*$X$1062</f>
        <v>73.69919999999999</v>
      </c>
      <c r="AE1062" s="6">
        <f>$K$1062*$Y$1062</f>
        <v>0</v>
      </c>
      <c r="AF1062" s="6">
        <f ca="1">$M$1062*$Z$1062</f>
        <v>87.012273719069114</v>
      </c>
      <c r="AG1062" s="6">
        <f>$O$1062*$AA$1062</f>
        <v>73.168866848768062</v>
      </c>
    </row>
    <row r="1063" spans="1:33" ht="11.25" customHeight="1" x14ac:dyDescent="0.25">
      <c r="A1063" s="4" t="s">
        <v>21</v>
      </c>
      <c r="B1063" s="4" t="s">
        <v>37</v>
      </c>
      <c r="C1063" s="4" t="s">
        <v>33</v>
      </c>
      <c r="D1063" s="4" t="s">
        <v>38</v>
      </c>
      <c r="E1063" s="4" t="s">
        <v>25</v>
      </c>
      <c r="F1063" s="4" t="s">
        <v>25</v>
      </c>
      <c r="G1063" s="4" t="s">
        <v>25</v>
      </c>
      <c r="H1063" s="4" t="s">
        <v>35</v>
      </c>
      <c r="I1063" s="5">
        <v>44713</v>
      </c>
      <c r="J1063" s="6">
        <v>0</v>
      </c>
      <c r="K1063" s="6">
        <v>0</v>
      </c>
      <c r="L1063" s="6">
        <v>9.14</v>
      </c>
      <c r="M1063" s="6">
        <v>9.14</v>
      </c>
      <c r="N1063" s="6">
        <v>9.14</v>
      </c>
      <c r="O1063" s="6">
        <v>9.14</v>
      </c>
      <c r="P1063" s="6">
        <v>0</v>
      </c>
      <c r="Q1063" s="4" t="s">
        <v>26</v>
      </c>
      <c r="R1063" s="4">
        <v>0</v>
      </c>
      <c r="S1063" s="6">
        <v>0</v>
      </c>
      <c r="T1063" s="6">
        <v>43</v>
      </c>
      <c r="U1063" s="6">
        <v>80</v>
      </c>
      <c r="V1063" s="6">
        <f>IF(ISERROR(VLOOKUP($S$1063,'TAR FIN'!$A$1:$O$85,15,0)),0,VLOOKUP($S$1063,'TAR FIN'!$A$1:$O$85,15,0))</f>
        <v>0</v>
      </c>
      <c r="W1063" s="6">
        <f>IF(ISERROR(VLOOKUP($T$1063,'TAR FIN'!$A$1:$O$85,15,0)),0,VLOOKUP($T$1063,'TAR FIN'!$A$1:$O$85,15,0))</f>
        <v>259.20999999999998</v>
      </c>
      <c r="X1063" s="6">
        <f>IF(ISERROR(VLOOKUP($U$1063,'TAR FIN'!$A$1:$O$85,15,0)),0,VLOOKUP($U$1063,'TAR FIN'!$A$1:$O$85,15,0))</f>
        <v>307.08</v>
      </c>
      <c r="Y1063" s="6"/>
      <c r="Z1063" s="6">
        <f ca="1">('TUSD BE'!$AM$47+'TUSD BF'!$AM$47+'TUSD CVA'!$AM$47)*1</f>
        <v>362.55114049612132</v>
      </c>
      <c r="AA1063" s="6">
        <f>('TE BE'!$AB$37+'TE BF'!$AB$37+'TE CVA'!$AB$37)*1</f>
        <v>304.87027853653359</v>
      </c>
      <c r="AB1063" s="6">
        <f>$K$1063*$V$1063</f>
        <v>0</v>
      </c>
      <c r="AC1063" s="6">
        <f>$M$1063*$W$1063</f>
        <v>2369.1794</v>
      </c>
      <c r="AD1063" s="6">
        <f>$O$1063*$X$1063</f>
        <v>2806.7112000000002</v>
      </c>
      <c r="AE1063" s="6">
        <f>$K$1063*$Y$1063</f>
        <v>0</v>
      </c>
      <c r="AF1063" s="6">
        <f ca="1">$M$1063*$Z$1063</f>
        <v>3313.7174241345492</v>
      </c>
      <c r="AG1063" s="6">
        <f>$O$1063*$AA$1063</f>
        <v>2786.5143458239172</v>
      </c>
    </row>
    <row r="1064" spans="1:33" ht="11.25" customHeight="1" x14ac:dyDescent="0.25">
      <c r="A1064" s="4" t="s">
        <v>28</v>
      </c>
      <c r="B1064" s="4" t="s">
        <v>37</v>
      </c>
      <c r="C1064" s="4" t="s">
        <v>33</v>
      </c>
      <c r="D1064" s="4" t="s">
        <v>38</v>
      </c>
      <c r="E1064" s="4" t="s">
        <v>25</v>
      </c>
      <c r="F1064" s="4" t="s">
        <v>25</v>
      </c>
      <c r="G1064" s="4" t="s">
        <v>25</v>
      </c>
      <c r="H1064" s="4" t="s">
        <v>35</v>
      </c>
      <c r="I1064" s="5">
        <v>44713</v>
      </c>
      <c r="J1064" s="6">
        <v>0</v>
      </c>
      <c r="K1064" s="6">
        <v>0</v>
      </c>
      <c r="L1064" s="6">
        <v>0.9</v>
      </c>
      <c r="M1064" s="6">
        <v>0.9</v>
      </c>
      <c r="N1064" s="6">
        <v>0.9</v>
      </c>
      <c r="O1064" s="6">
        <v>0.9</v>
      </c>
      <c r="P1064" s="6">
        <v>0</v>
      </c>
      <c r="Q1064" s="4" t="s">
        <v>26</v>
      </c>
      <c r="R1064" s="4">
        <v>0</v>
      </c>
      <c r="S1064" s="6">
        <v>0</v>
      </c>
      <c r="T1064" s="6">
        <v>43</v>
      </c>
      <c r="U1064" s="6">
        <v>80</v>
      </c>
      <c r="V1064" s="6">
        <f>IF(ISERROR(VLOOKUP($S$1064,'TAR FIN'!$A$1:$O$85,15,0)),0,VLOOKUP($S$1064,'TAR FIN'!$A$1:$O$85,15,0))</f>
        <v>0</v>
      </c>
      <c r="W1064" s="6">
        <f>IF(ISERROR(VLOOKUP($T$1064,'TAR FIN'!$A$1:$O$85,15,0)),0,VLOOKUP($T$1064,'TAR FIN'!$A$1:$O$85,15,0))</f>
        <v>259.20999999999998</v>
      </c>
      <c r="X1064" s="6">
        <f>IF(ISERROR(VLOOKUP($U$1064,'TAR FIN'!$A$1:$O$85,15,0)),0,VLOOKUP($U$1064,'TAR FIN'!$A$1:$O$85,15,0))</f>
        <v>307.08</v>
      </c>
      <c r="Y1064" s="6"/>
      <c r="Z1064" s="6">
        <f ca="1">('TUSD BE'!$AM$47+'TUSD BF'!$AM$47+'TUSD CVA'!$AM$47)*1</f>
        <v>362.55114049612132</v>
      </c>
      <c r="AA1064" s="6">
        <f>('TE BE'!$AB$37+'TE BF'!$AB$37+'TE CVA'!$AB$37)*1</f>
        <v>304.87027853653359</v>
      </c>
      <c r="AB1064" s="6">
        <f>$K$1064*$V$1064</f>
        <v>0</v>
      </c>
      <c r="AC1064" s="6">
        <f>$M$1064*$W$1064</f>
        <v>233.28899999999999</v>
      </c>
      <c r="AD1064" s="6">
        <f>$O$1064*$X$1064</f>
        <v>276.37200000000001</v>
      </c>
      <c r="AE1064" s="6">
        <f>$K$1064*$Y$1064</f>
        <v>0</v>
      </c>
      <c r="AF1064" s="6">
        <f ca="1">$M$1064*$Z$1064</f>
        <v>326.29602644650919</v>
      </c>
      <c r="AG1064" s="6">
        <f>$O$1064*$AA$1064</f>
        <v>274.38325068288026</v>
      </c>
    </row>
    <row r="1065" spans="1:33" ht="11.25" customHeight="1" x14ac:dyDescent="0.25">
      <c r="A1065" s="4" t="s">
        <v>21</v>
      </c>
      <c r="B1065" s="4" t="s">
        <v>37</v>
      </c>
      <c r="C1065" s="4" t="s">
        <v>33</v>
      </c>
      <c r="D1065" s="4" t="s">
        <v>38</v>
      </c>
      <c r="E1065" s="4" t="s">
        <v>25</v>
      </c>
      <c r="F1065" s="4" t="s">
        <v>25</v>
      </c>
      <c r="G1065" s="4" t="s">
        <v>25</v>
      </c>
      <c r="H1065" s="4" t="s">
        <v>35</v>
      </c>
      <c r="I1065" s="5">
        <v>44743</v>
      </c>
      <c r="J1065" s="6">
        <v>0</v>
      </c>
      <c r="K1065" s="6">
        <v>0</v>
      </c>
      <c r="L1065" s="6">
        <v>10.19</v>
      </c>
      <c r="M1065" s="6">
        <v>10.19</v>
      </c>
      <c r="N1065" s="6">
        <v>10.19</v>
      </c>
      <c r="O1065" s="6">
        <v>10.19</v>
      </c>
      <c r="P1065" s="6">
        <v>0</v>
      </c>
      <c r="Q1065" s="4" t="s">
        <v>26</v>
      </c>
      <c r="R1065" s="4">
        <v>0</v>
      </c>
      <c r="S1065" s="6">
        <v>0</v>
      </c>
      <c r="T1065" s="6">
        <v>43</v>
      </c>
      <c r="U1065" s="6">
        <v>80</v>
      </c>
      <c r="V1065" s="6">
        <f>IF(ISERROR(VLOOKUP($S$1065,'TAR FIN'!$A$1:$O$85,15,0)),0,VLOOKUP($S$1065,'TAR FIN'!$A$1:$O$85,15,0))</f>
        <v>0</v>
      </c>
      <c r="W1065" s="6">
        <f>IF(ISERROR(VLOOKUP($T$1065,'TAR FIN'!$A$1:$O$85,15,0)),0,VLOOKUP($T$1065,'TAR FIN'!$A$1:$O$85,15,0))</f>
        <v>259.20999999999998</v>
      </c>
      <c r="X1065" s="6">
        <f>IF(ISERROR(VLOOKUP($U$1065,'TAR FIN'!$A$1:$O$85,15,0)),0,VLOOKUP($U$1065,'TAR FIN'!$A$1:$O$85,15,0))</f>
        <v>307.08</v>
      </c>
      <c r="Y1065" s="6"/>
      <c r="Z1065" s="6">
        <f ca="1">('TUSD BE'!$AM$47+'TUSD BF'!$AM$47+'TUSD CVA'!$AM$47)*1</f>
        <v>362.55114049612132</v>
      </c>
      <c r="AA1065" s="6">
        <f>('TE BE'!$AB$37+'TE BF'!$AB$37+'TE CVA'!$AB$37)*1</f>
        <v>304.87027853653359</v>
      </c>
      <c r="AB1065" s="6">
        <f>$K$1065*$V$1065</f>
        <v>0</v>
      </c>
      <c r="AC1065" s="6">
        <f>$M$1065*$W$1065</f>
        <v>2641.3498999999997</v>
      </c>
      <c r="AD1065" s="6">
        <f>$O$1065*$X$1065</f>
        <v>3129.1451999999995</v>
      </c>
      <c r="AE1065" s="6">
        <f>$K$1065*$Y$1065</f>
        <v>0</v>
      </c>
      <c r="AF1065" s="6">
        <f ca="1">$M$1065*$Z$1065</f>
        <v>3694.3961216554762</v>
      </c>
      <c r="AG1065" s="6">
        <f>$O$1065*$AA$1065</f>
        <v>3106.6281382872771</v>
      </c>
    </row>
    <row r="1066" spans="1:33" ht="11.25" customHeight="1" x14ac:dyDescent="0.25">
      <c r="A1066" s="4" t="s">
        <v>28</v>
      </c>
      <c r="B1066" s="4" t="s">
        <v>37</v>
      </c>
      <c r="C1066" s="4" t="s">
        <v>33</v>
      </c>
      <c r="D1066" s="4" t="s">
        <v>38</v>
      </c>
      <c r="E1066" s="4" t="s">
        <v>25</v>
      </c>
      <c r="F1066" s="4" t="s">
        <v>25</v>
      </c>
      <c r="G1066" s="4" t="s">
        <v>25</v>
      </c>
      <c r="H1066" s="4" t="s">
        <v>35</v>
      </c>
      <c r="I1066" s="5">
        <v>44743</v>
      </c>
      <c r="J1066" s="6">
        <v>0</v>
      </c>
      <c r="K1066" s="6">
        <v>0</v>
      </c>
      <c r="L1066" s="6">
        <v>5.13</v>
      </c>
      <c r="M1066" s="6">
        <v>5.13</v>
      </c>
      <c r="N1066" s="6">
        <v>5.13</v>
      </c>
      <c r="O1066" s="6">
        <v>5.13</v>
      </c>
      <c r="P1066" s="6">
        <v>0</v>
      </c>
      <c r="Q1066" s="4" t="s">
        <v>26</v>
      </c>
      <c r="R1066" s="4">
        <v>0</v>
      </c>
      <c r="S1066" s="6">
        <v>0</v>
      </c>
      <c r="T1066" s="6">
        <v>43</v>
      </c>
      <c r="U1066" s="6">
        <v>80</v>
      </c>
      <c r="V1066" s="6">
        <f>IF(ISERROR(VLOOKUP($S$1066,'TAR FIN'!$A$1:$O$85,15,0)),0,VLOOKUP($S$1066,'TAR FIN'!$A$1:$O$85,15,0))</f>
        <v>0</v>
      </c>
      <c r="W1066" s="6">
        <f>IF(ISERROR(VLOOKUP($T$1066,'TAR FIN'!$A$1:$O$85,15,0)),0,VLOOKUP($T$1066,'TAR FIN'!$A$1:$O$85,15,0))</f>
        <v>259.20999999999998</v>
      </c>
      <c r="X1066" s="6">
        <f>IF(ISERROR(VLOOKUP($U$1066,'TAR FIN'!$A$1:$O$85,15,0)),0,VLOOKUP($U$1066,'TAR FIN'!$A$1:$O$85,15,0))</f>
        <v>307.08</v>
      </c>
      <c r="Y1066" s="6"/>
      <c r="Z1066" s="6">
        <f ca="1">('TUSD BE'!$AM$47+'TUSD BF'!$AM$47+'TUSD CVA'!$AM$47)*1</f>
        <v>362.55114049612132</v>
      </c>
      <c r="AA1066" s="6">
        <f>('TE BE'!$AB$37+'TE BF'!$AB$37+'TE CVA'!$AB$37)*1</f>
        <v>304.87027853653359</v>
      </c>
      <c r="AB1066" s="6">
        <f>$K$1066*$V$1066</f>
        <v>0</v>
      </c>
      <c r="AC1066" s="6">
        <f>$M$1066*$W$1066</f>
        <v>1329.7472999999998</v>
      </c>
      <c r="AD1066" s="6">
        <f>$O$1066*$X$1066</f>
        <v>1575.3203999999998</v>
      </c>
      <c r="AE1066" s="6">
        <f>$K$1066*$Y$1066</f>
        <v>0</v>
      </c>
      <c r="AF1066" s="6">
        <f ca="1">$M$1066*$Z$1066</f>
        <v>1859.8873507451024</v>
      </c>
      <c r="AG1066" s="6">
        <f>$O$1066*$AA$1066</f>
        <v>1563.9845288924173</v>
      </c>
    </row>
    <row r="1067" spans="1:33" ht="11.25" customHeight="1" x14ac:dyDescent="0.25">
      <c r="A1067" s="4" t="s">
        <v>56</v>
      </c>
      <c r="B1067" s="4" t="s">
        <v>37</v>
      </c>
      <c r="C1067" s="4" t="s">
        <v>33</v>
      </c>
      <c r="D1067" s="4" t="s">
        <v>38</v>
      </c>
      <c r="E1067" s="4" t="s">
        <v>25</v>
      </c>
      <c r="F1067" s="4" t="s">
        <v>25</v>
      </c>
      <c r="G1067" s="4" t="s">
        <v>25</v>
      </c>
      <c r="H1067" s="4" t="s">
        <v>35</v>
      </c>
      <c r="I1067" s="5">
        <v>44774</v>
      </c>
      <c r="J1067" s="6">
        <v>0</v>
      </c>
      <c r="K1067" s="6">
        <v>0</v>
      </c>
      <c r="L1067" s="6">
        <v>10.19</v>
      </c>
      <c r="M1067" s="6">
        <v>10.19</v>
      </c>
      <c r="N1067" s="6">
        <v>10.19</v>
      </c>
      <c r="O1067" s="6">
        <v>10.19</v>
      </c>
      <c r="P1067" s="6">
        <v>0</v>
      </c>
      <c r="Q1067" s="4" t="s">
        <v>26</v>
      </c>
      <c r="R1067" s="4">
        <v>0</v>
      </c>
      <c r="S1067" s="6">
        <v>0</v>
      </c>
      <c r="T1067" s="6">
        <v>43</v>
      </c>
      <c r="U1067" s="6">
        <v>80</v>
      </c>
      <c r="V1067" s="6">
        <f>IF(ISERROR(VLOOKUP($S$1067,'TAR FIN'!$A$1:$O$85,15,0)),0,VLOOKUP($S$1067,'TAR FIN'!$A$1:$O$85,15,0))</f>
        <v>0</v>
      </c>
      <c r="W1067" s="6">
        <f>IF(ISERROR(VLOOKUP($T$1067,'TAR FIN'!$A$1:$O$85,15,0)),0,VLOOKUP($T$1067,'TAR FIN'!$A$1:$O$85,15,0))</f>
        <v>259.20999999999998</v>
      </c>
      <c r="X1067" s="6">
        <f>IF(ISERROR(VLOOKUP($U$1067,'TAR FIN'!$A$1:$O$85,15,0)),0,VLOOKUP($U$1067,'TAR FIN'!$A$1:$O$85,15,0))</f>
        <v>307.08</v>
      </c>
      <c r="Y1067" s="6"/>
      <c r="Z1067" s="6">
        <f ca="1">('TUSD BE'!$AM$47+'TUSD BF'!$AM$47+'TUSD CVA'!$AM$47)*1</f>
        <v>362.55114049612132</v>
      </c>
      <c r="AA1067" s="6">
        <f>('TE BE'!$AB$37+'TE BF'!$AB$37+'TE CVA'!$AB$37)*1</f>
        <v>304.87027853653359</v>
      </c>
      <c r="AB1067" s="6">
        <f>$K$1067*$V$1067</f>
        <v>0</v>
      </c>
      <c r="AC1067" s="6">
        <f>$M$1067*$W$1067</f>
        <v>2641.3498999999997</v>
      </c>
      <c r="AD1067" s="6">
        <f>$O$1067*$X$1067</f>
        <v>3129.1451999999995</v>
      </c>
      <c r="AE1067" s="6">
        <f>$K$1067*$Y$1067</f>
        <v>0</v>
      </c>
      <c r="AF1067" s="6">
        <f ca="1">$M$1067*$Z$1067</f>
        <v>3694.3961216554762</v>
      </c>
      <c r="AG1067" s="6">
        <f>$O$1067*$AA$1067</f>
        <v>3106.6281382872771</v>
      </c>
    </row>
    <row r="1068" spans="1:33" ht="11.25" customHeight="1" x14ac:dyDescent="0.25">
      <c r="A1068" s="4" t="s">
        <v>56</v>
      </c>
      <c r="B1068" s="4" t="s">
        <v>37</v>
      </c>
      <c r="C1068" s="4" t="s">
        <v>33</v>
      </c>
      <c r="D1068" s="4" t="s">
        <v>38</v>
      </c>
      <c r="E1068" s="4" t="s">
        <v>25</v>
      </c>
      <c r="F1068" s="4" t="s">
        <v>25</v>
      </c>
      <c r="G1068" s="4" t="s">
        <v>25</v>
      </c>
      <c r="H1068" s="4" t="s">
        <v>35</v>
      </c>
      <c r="I1068" s="5">
        <v>44774</v>
      </c>
      <c r="J1068" s="6">
        <v>0</v>
      </c>
      <c r="K1068" s="6">
        <v>0</v>
      </c>
      <c r="L1068" s="6">
        <v>5.13</v>
      </c>
      <c r="M1068" s="6">
        <v>5.13</v>
      </c>
      <c r="N1068" s="6">
        <v>5.13</v>
      </c>
      <c r="O1068" s="6">
        <v>5.13</v>
      </c>
      <c r="P1068" s="6">
        <v>0</v>
      </c>
      <c r="Q1068" s="4" t="s">
        <v>26</v>
      </c>
      <c r="R1068" s="4">
        <v>0</v>
      </c>
      <c r="S1068" s="6">
        <v>0</v>
      </c>
      <c r="T1068" s="6">
        <v>43</v>
      </c>
      <c r="U1068" s="6">
        <v>80</v>
      </c>
      <c r="V1068" s="6">
        <f>IF(ISERROR(VLOOKUP($S$1068,'TAR FIN'!$A$1:$O$85,15,0)),0,VLOOKUP($S$1068,'TAR FIN'!$A$1:$O$85,15,0))</f>
        <v>0</v>
      </c>
      <c r="W1068" s="6">
        <f>IF(ISERROR(VLOOKUP($T$1068,'TAR FIN'!$A$1:$O$85,15,0)),0,VLOOKUP($T$1068,'TAR FIN'!$A$1:$O$85,15,0))</f>
        <v>259.20999999999998</v>
      </c>
      <c r="X1068" s="6">
        <f>IF(ISERROR(VLOOKUP($U$1068,'TAR FIN'!$A$1:$O$85,15,0)),0,VLOOKUP($U$1068,'TAR FIN'!$A$1:$O$85,15,0))</f>
        <v>307.08</v>
      </c>
      <c r="Y1068" s="6"/>
      <c r="Z1068" s="6">
        <f ca="1">('TUSD BE'!$AM$47+'TUSD BF'!$AM$47+'TUSD CVA'!$AM$47)*1</f>
        <v>362.55114049612132</v>
      </c>
      <c r="AA1068" s="6">
        <f>('TE BE'!$AB$37+'TE BF'!$AB$37+'TE CVA'!$AB$37)*1</f>
        <v>304.87027853653359</v>
      </c>
      <c r="AB1068" s="6">
        <f>$K$1068*$V$1068</f>
        <v>0</v>
      </c>
      <c r="AC1068" s="6">
        <f>$M$1068*$W$1068</f>
        <v>1329.7472999999998</v>
      </c>
      <c r="AD1068" s="6">
        <f>$O$1068*$X$1068</f>
        <v>1575.3203999999998</v>
      </c>
      <c r="AE1068" s="6">
        <f>$K$1068*$Y$1068</f>
        <v>0</v>
      </c>
      <c r="AF1068" s="6">
        <f ca="1">$M$1068*$Z$1068</f>
        <v>1859.8873507451024</v>
      </c>
      <c r="AG1068" s="6">
        <f>$O$1068*$AA$1068</f>
        <v>1563.9845288924173</v>
      </c>
    </row>
    <row r="1069" spans="1:33" ht="11.25" customHeight="1" x14ac:dyDescent="0.25">
      <c r="A1069" s="4" t="s">
        <v>21</v>
      </c>
      <c r="B1069" s="4" t="s">
        <v>37</v>
      </c>
      <c r="C1069" s="4" t="s">
        <v>33</v>
      </c>
      <c r="D1069" s="4" t="s">
        <v>38</v>
      </c>
      <c r="E1069" s="4" t="s">
        <v>25</v>
      </c>
      <c r="F1069" s="4" t="s">
        <v>25</v>
      </c>
      <c r="G1069" s="4" t="s">
        <v>25</v>
      </c>
      <c r="H1069" s="4" t="s">
        <v>36</v>
      </c>
      <c r="I1069" s="5">
        <v>44440</v>
      </c>
      <c r="J1069" s="6">
        <v>0</v>
      </c>
      <c r="K1069" s="6">
        <v>0</v>
      </c>
      <c r="L1069" s="6">
        <v>0.40300000000000002</v>
      </c>
      <c r="M1069" s="6">
        <v>0.40300000000000002</v>
      </c>
      <c r="N1069" s="6">
        <v>0.40300000000000002</v>
      </c>
      <c r="O1069" s="6">
        <v>0.40300000000000002</v>
      </c>
      <c r="P1069" s="6">
        <v>0</v>
      </c>
      <c r="Q1069" s="4" t="s">
        <v>26</v>
      </c>
      <c r="R1069" s="4">
        <v>0</v>
      </c>
      <c r="S1069" s="6">
        <v>0</v>
      </c>
      <c r="T1069" s="6">
        <v>42</v>
      </c>
      <c r="U1069" s="6">
        <v>79</v>
      </c>
      <c r="V1069" s="6">
        <f>IF(ISERROR(VLOOKUP($S$1069,'TAR FIN'!$A$1:$O$85,15,0)),0,VLOOKUP($S$1069,'TAR FIN'!$A$1:$O$85,15,0))</f>
        <v>0</v>
      </c>
      <c r="W1069" s="6">
        <f>IF(ISERROR(VLOOKUP($T$1069,'TAR FIN'!$A$1:$O$85,15,0)),0,VLOOKUP($T$1069,'TAR FIN'!$A$1:$O$85,15,0))</f>
        <v>580.75</v>
      </c>
      <c r="X1069" s="6">
        <f>IF(ISERROR(VLOOKUP($U$1069,'TAR FIN'!$A$1:$O$85,15,0)),0,VLOOKUP($U$1069,'TAR FIN'!$A$1:$O$85,15,0))</f>
        <v>307.08</v>
      </c>
      <c r="Y1069" s="6"/>
      <c r="Z1069" s="6">
        <f ca="1">('TUSD BE'!$AM$46+'TUSD BF'!$AM$46+'TUSD CVA'!$AM$46)*1</f>
        <v>716.33643413012067</v>
      </c>
      <c r="AA1069" s="6">
        <f>('TE BE'!$AB$36+'TE BF'!$AB$36+'TE CVA'!$AB$36)*1</f>
        <v>304.87027853653359</v>
      </c>
      <c r="AB1069" s="6">
        <f>$K$1069*$V$1069</f>
        <v>0</v>
      </c>
      <c r="AC1069" s="6">
        <f>$M$1069*$W$1069</f>
        <v>234.04225000000002</v>
      </c>
      <c r="AD1069" s="6">
        <f>$O$1069*$X$1069</f>
        <v>123.75324000000001</v>
      </c>
      <c r="AE1069" s="6">
        <f>$K$1069*$Y$1069</f>
        <v>0</v>
      </c>
      <c r="AF1069" s="6">
        <f ca="1">$M$1069*$Z$1069</f>
        <v>288.68358295443863</v>
      </c>
      <c r="AG1069" s="6">
        <f>$O$1069*$AA$1069</f>
        <v>122.86272225022304</v>
      </c>
    </row>
    <row r="1070" spans="1:33" ht="11.25" customHeight="1" x14ac:dyDescent="0.25">
      <c r="A1070" s="4" t="s">
        <v>28</v>
      </c>
      <c r="B1070" s="4" t="s">
        <v>37</v>
      </c>
      <c r="C1070" s="4" t="s">
        <v>33</v>
      </c>
      <c r="D1070" s="4" t="s">
        <v>38</v>
      </c>
      <c r="E1070" s="4" t="s">
        <v>25</v>
      </c>
      <c r="F1070" s="4" t="s">
        <v>25</v>
      </c>
      <c r="G1070" s="4" t="s">
        <v>25</v>
      </c>
      <c r="H1070" s="4" t="s">
        <v>36</v>
      </c>
      <c r="I1070" s="5">
        <v>44440</v>
      </c>
      <c r="J1070" s="6">
        <v>0</v>
      </c>
      <c r="K1070" s="6">
        <v>0</v>
      </c>
      <c r="L1070" s="6">
        <v>0.09</v>
      </c>
      <c r="M1070" s="6">
        <v>0.09</v>
      </c>
      <c r="N1070" s="6">
        <v>0.09</v>
      </c>
      <c r="O1070" s="6">
        <v>0.09</v>
      </c>
      <c r="P1070" s="6">
        <v>0</v>
      </c>
      <c r="Q1070" s="4" t="s">
        <v>26</v>
      </c>
      <c r="R1070" s="4">
        <v>0</v>
      </c>
      <c r="S1070" s="6">
        <v>0</v>
      </c>
      <c r="T1070" s="6">
        <v>42</v>
      </c>
      <c r="U1070" s="6">
        <v>79</v>
      </c>
      <c r="V1070" s="6">
        <f>IF(ISERROR(VLOOKUP($S$1070,'TAR FIN'!$A$1:$O$85,15,0)),0,VLOOKUP($S$1070,'TAR FIN'!$A$1:$O$85,15,0))</f>
        <v>0</v>
      </c>
      <c r="W1070" s="6">
        <f>IF(ISERROR(VLOOKUP($T$1070,'TAR FIN'!$A$1:$O$85,15,0)),0,VLOOKUP($T$1070,'TAR FIN'!$A$1:$O$85,15,0))</f>
        <v>580.75</v>
      </c>
      <c r="X1070" s="6">
        <f>IF(ISERROR(VLOOKUP($U$1070,'TAR FIN'!$A$1:$O$85,15,0)),0,VLOOKUP($U$1070,'TAR FIN'!$A$1:$O$85,15,0))</f>
        <v>307.08</v>
      </c>
      <c r="Y1070" s="6"/>
      <c r="Z1070" s="6">
        <f ca="1">('TUSD BE'!$AM$46+'TUSD BF'!$AM$46+'TUSD CVA'!$AM$46)*1</f>
        <v>716.33643413012067</v>
      </c>
      <c r="AA1070" s="6">
        <f>('TE BE'!$AB$36+'TE BF'!$AB$36+'TE CVA'!$AB$36)*1</f>
        <v>304.87027853653359</v>
      </c>
      <c r="AB1070" s="6">
        <f>$K$1070*$V$1070</f>
        <v>0</v>
      </c>
      <c r="AC1070" s="6">
        <f>$M$1070*$W$1070</f>
        <v>52.267499999999998</v>
      </c>
      <c r="AD1070" s="6">
        <f>$O$1070*$X$1070</f>
        <v>27.637199999999996</v>
      </c>
      <c r="AE1070" s="6">
        <f>$K$1070*$Y$1070</f>
        <v>0</v>
      </c>
      <c r="AF1070" s="6">
        <f ca="1">$M$1070*$Z$1070</f>
        <v>64.470279071710863</v>
      </c>
      <c r="AG1070" s="6">
        <f>$O$1070*$AA$1070</f>
        <v>27.438325068288023</v>
      </c>
    </row>
    <row r="1071" spans="1:33" ht="11.25" customHeight="1" x14ac:dyDescent="0.25">
      <c r="A1071" s="4" t="s">
        <v>21</v>
      </c>
      <c r="B1071" s="4" t="s">
        <v>37</v>
      </c>
      <c r="C1071" s="4" t="s">
        <v>33</v>
      </c>
      <c r="D1071" s="4" t="s">
        <v>38</v>
      </c>
      <c r="E1071" s="4" t="s">
        <v>25</v>
      </c>
      <c r="F1071" s="4" t="s">
        <v>25</v>
      </c>
      <c r="G1071" s="4" t="s">
        <v>25</v>
      </c>
      <c r="H1071" s="4" t="s">
        <v>36</v>
      </c>
      <c r="I1071" s="5">
        <v>44470</v>
      </c>
      <c r="J1071" s="6">
        <v>0</v>
      </c>
      <c r="K1071" s="6">
        <v>0</v>
      </c>
      <c r="L1071" s="6">
        <v>0.58499999999999996</v>
      </c>
      <c r="M1071" s="6">
        <v>0.58499999999999996</v>
      </c>
      <c r="N1071" s="6">
        <v>0.58499999999999996</v>
      </c>
      <c r="O1071" s="6">
        <v>0.58499999999999996</v>
      </c>
      <c r="P1071" s="6">
        <v>0</v>
      </c>
      <c r="Q1071" s="4" t="s">
        <v>26</v>
      </c>
      <c r="R1071" s="4">
        <v>0</v>
      </c>
      <c r="S1071" s="6">
        <v>0</v>
      </c>
      <c r="T1071" s="6">
        <v>42</v>
      </c>
      <c r="U1071" s="6">
        <v>79</v>
      </c>
      <c r="V1071" s="6">
        <f>IF(ISERROR(VLOOKUP($S$1071,'TAR FIN'!$A$1:$O$85,15,0)),0,VLOOKUP($S$1071,'TAR FIN'!$A$1:$O$85,15,0))</f>
        <v>0</v>
      </c>
      <c r="W1071" s="6">
        <f>IF(ISERROR(VLOOKUP($T$1071,'TAR FIN'!$A$1:$O$85,15,0)),0,VLOOKUP($T$1071,'TAR FIN'!$A$1:$O$85,15,0))</f>
        <v>580.75</v>
      </c>
      <c r="X1071" s="6">
        <f>IF(ISERROR(VLOOKUP($U$1071,'TAR FIN'!$A$1:$O$85,15,0)),0,VLOOKUP($U$1071,'TAR FIN'!$A$1:$O$85,15,0))</f>
        <v>307.08</v>
      </c>
      <c r="Y1071" s="6"/>
      <c r="Z1071" s="6">
        <f ca="1">('TUSD BE'!$AM$46+'TUSD BF'!$AM$46+'TUSD CVA'!$AM$46)*1</f>
        <v>716.33643413012067</v>
      </c>
      <c r="AA1071" s="6">
        <f>('TE BE'!$AB$36+'TE BF'!$AB$36+'TE CVA'!$AB$36)*1</f>
        <v>304.87027853653359</v>
      </c>
      <c r="AB1071" s="6">
        <f>$K$1071*$V$1071</f>
        <v>0</v>
      </c>
      <c r="AC1071" s="6">
        <f>$M$1071*$W$1071</f>
        <v>339.73874999999998</v>
      </c>
      <c r="AD1071" s="6">
        <f>$O$1071*$X$1071</f>
        <v>179.64179999999999</v>
      </c>
      <c r="AE1071" s="6">
        <f>$K$1071*$Y$1071</f>
        <v>0</v>
      </c>
      <c r="AF1071" s="6">
        <f ca="1">$M$1071*$Z$1071</f>
        <v>419.05681396612056</v>
      </c>
      <c r="AG1071" s="6">
        <f>$O$1071*$AA$1071</f>
        <v>178.34911294387214</v>
      </c>
    </row>
    <row r="1072" spans="1:33" ht="11.25" customHeight="1" x14ac:dyDescent="0.25">
      <c r="A1072" s="4" t="s">
        <v>21</v>
      </c>
      <c r="B1072" s="4" t="s">
        <v>37</v>
      </c>
      <c r="C1072" s="4" t="s">
        <v>33</v>
      </c>
      <c r="D1072" s="4" t="s">
        <v>38</v>
      </c>
      <c r="E1072" s="4" t="s">
        <v>25</v>
      </c>
      <c r="F1072" s="4" t="s">
        <v>25</v>
      </c>
      <c r="G1072" s="4" t="s">
        <v>25</v>
      </c>
      <c r="H1072" s="4" t="s">
        <v>36</v>
      </c>
      <c r="I1072" s="5">
        <v>44501</v>
      </c>
      <c r="J1072" s="6">
        <v>0</v>
      </c>
      <c r="K1072" s="6">
        <v>0</v>
      </c>
      <c r="L1072" s="6">
        <v>0.25600000000000001</v>
      </c>
      <c r="M1072" s="6">
        <v>0.25600000000000001</v>
      </c>
      <c r="N1072" s="6">
        <v>0.25600000000000001</v>
      </c>
      <c r="O1072" s="6">
        <v>0.25600000000000001</v>
      </c>
      <c r="P1072" s="6">
        <v>0</v>
      </c>
      <c r="Q1072" s="4" t="s">
        <v>26</v>
      </c>
      <c r="R1072" s="4">
        <v>0</v>
      </c>
      <c r="S1072" s="6">
        <v>0</v>
      </c>
      <c r="T1072" s="6">
        <v>42</v>
      </c>
      <c r="U1072" s="6">
        <v>79</v>
      </c>
      <c r="V1072" s="6">
        <f>IF(ISERROR(VLOOKUP($S$1072,'TAR FIN'!$A$1:$O$85,15,0)),0,VLOOKUP($S$1072,'TAR FIN'!$A$1:$O$85,15,0))</f>
        <v>0</v>
      </c>
      <c r="W1072" s="6">
        <f>IF(ISERROR(VLOOKUP($T$1072,'TAR FIN'!$A$1:$O$85,15,0)),0,VLOOKUP($T$1072,'TAR FIN'!$A$1:$O$85,15,0))</f>
        <v>580.75</v>
      </c>
      <c r="X1072" s="6">
        <f>IF(ISERROR(VLOOKUP($U$1072,'TAR FIN'!$A$1:$O$85,15,0)),0,VLOOKUP($U$1072,'TAR FIN'!$A$1:$O$85,15,0))</f>
        <v>307.08</v>
      </c>
      <c r="Y1072" s="6"/>
      <c r="Z1072" s="6">
        <f ca="1">('TUSD BE'!$AM$46+'TUSD BF'!$AM$46+'TUSD CVA'!$AM$46)*1</f>
        <v>716.33643413012067</v>
      </c>
      <c r="AA1072" s="6">
        <f>('TE BE'!$AB$36+'TE BF'!$AB$36+'TE CVA'!$AB$36)*1</f>
        <v>304.87027853653359</v>
      </c>
      <c r="AB1072" s="6">
        <f>$K$1072*$V$1072</f>
        <v>0</v>
      </c>
      <c r="AC1072" s="6">
        <f>$M$1072*$W$1072</f>
        <v>148.672</v>
      </c>
      <c r="AD1072" s="6">
        <f>$O$1072*$X$1072</f>
        <v>78.612479999999991</v>
      </c>
      <c r="AE1072" s="6">
        <f>$K$1072*$Y$1072</f>
        <v>0</v>
      </c>
      <c r="AF1072" s="6">
        <f ca="1">$M$1072*$Z$1072</f>
        <v>183.3821271373109</v>
      </c>
      <c r="AG1072" s="6">
        <f>$O$1072*$AA$1072</f>
        <v>78.046791305352599</v>
      </c>
    </row>
    <row r="1073" spans="1:33" ht="11.25" customHeight="1" x14ac:dyDescent="0.25">
      <c r="A1073" s="4" t="s">
        <v>28</v>
      </c>
      <c r="B1073" s="4" t="s">
        <v>37</v>
      </c>
      <c r="C1073" s="4" t="s">
        <v>33</v>
      </c>
      <c r="D1073" s="4" t="s">
        <v>38</v>
      </c>
      <c r="E1073" s="4" t="s">
        <v>25</v>
      </c>
      <c r="F1073" s="4" t="s">
        <v>25</v>
      </c>
      <c r="G1073" s="4" t="s">
        <v>25</v>
      </c>
      <c r="H1073" s="4" t="s">
        <v>36</v>
      </c>
      <c r="I1073" s="5">
        <v>44501</v>
      </c>
      <c r="J1073" s="6">
        <v>0</v>
      </c>
      <c r="K1073" s="6">
        <v>0</v>
      </c>
      <c r="L1073" s="6">
        <v>0.36</v>
      </c>
      <c r="M1073" s="6">
        <v>0.36</v>
      </c>
      <c r="N1073" s="6">
        <v>0.36</v>
      </c>
      <c r="O1073" s="6">
        <v>0.36</v>
      </c>
      <c r="P1073" s="6">
        <v>0</v>
      </c>
      <c r="Q1073" s="4" t="s">
        <v>26</v>
      </c>
      <c r="R1073" s="4">
        <v>0</v>
      </c>
      <c r="S1073" s="6">
        <v>0</v>
      </c>
      <c r="T1073" s="6">
        <v>42</v>
      </c>
      <c r="U1073" s="6">
        <v>79</v>
      </c>
      <c r="V1073" s="6">
        <f>IF(ISERROR(VLOOKUP($S$1073,'TAR FIN'!$A$1:$O$85,15,0)),0,VLOOKUP($S$1073,'TAR FIN'!$A$1:$O$85,15,0))</f>
        <v>0</v>
      </c>
      <c r="W1073" s="6">
        <f>IF(ISERROR(VLOOKUP($T$1073,'TAR FIN'!$A$1:$O$85,15,0)),0,VLOOKUP($T$1073,'TAR FIN'!$A$1:$O$85,15,0))</f>
        <v>580.75</v>
      </c>
      <c r="X1073" s="6">
        <f>IF(ISERROR(VLOOKUP($U$1073,'TAR FIN'!$A$1:$O$85,15,0)),0,VLOOKUP($U$1073,'TAR FIN'!$A$1:$O$85,15,0))</f>
        <v>307.08</v>
      </c>
      <c r="Y1073" s="6"/>
      <c r="Z1073" s="6">
        <f ca="1">('TUSD BE'!$AM$46+'TUSD BF'!$AM$46+'TUSD CVA'!$AM$46)*1</f>
        <v>716.33643413012067</v>
      </c>
      <c r="AA1073" s="6">
        <f>('TE BE'!$AB$36+'TE BF'!$AB$36+'TE CVA'!$AB$36)*1</f>
        <v>304.87027853653359</v>
      </c>
      <c r="AB1073" s="6">
        <f>$K$1073*$V$1073</f>
        <v>0</v>
      </c>
      <c r="AC1073" s="6">
        <f>$M$1073*$W$1073</f>
        <v>209.07</v>
      </c>
      <c r="AD1073" s="6">
        <f>$O$1073*$X$1073</f>
        <v>110.54879999999999</v>
      </c>
      <c r="AE1073" s="6">
        <f>$K$1073*$Y$1073</f>
        <v>0</v>
      </c>
      <c r="AF1073" s="6">
        <f ca="1">$M$1073*$Z$1073</f>
        <v>257.88111628684345</v>
      </c>
      <c r="AG1073" s="6">
        <f>$O$1073*$AA$1073</f>
        <v>109.75330027315209</v>
      </c>
    </row>
    <row r="1074" spans="1:33" ht="11.25" customHeight="1" x14ac:dyDescent="0.25">
      <c r="A1074" s="4" t="s">
        <v>21</v>
      </c>
      <c r="B1074" s="4" t="s">
        <v>37</v>
      </c>
      <c r="C1074" s="4" t="s">
        <v>33</v>
      </c>
      <c r="D1074" s="4" t="s">
        <v>38</v>
      </c>
      <c r="E1074" s="4" t="s">
        <v>25</v>
      </c>
      <c r="F1074" s="4" t="s">
        <v>25</v>
      </c>
      <c r="G1074" s="4" t="s">
        <v>25</v>
      </c>
      <c r="H1074" s="4" t="s">
        <v>36</v>
      </c>
      <c r="I1074" s="5">
        <v>44531</v>
      </c>
      <c r="J1074" s="6">
        <v>0</v>
      </c>
      <c r="K1074" s="6">
        <v>0</v>
      </c>
      <c r="L1074" s="6">
        <v>0.29599999999999999</v>
      </c>
      <c r="M1074" s="6">
        <v>0.29599999999999999</v>
      </c>
      <c r="N1074" s="6">
        <v>0.29599999999999999</v>
      </c>
      <c r="O1074" s="6">
        <v>0.29599999999999999</v>
      </c>
      <c r="P1074" s="6">
        <v>0</v>
      </c>
      <c r="Q1074" s="4" t="s">
        <v>26</v>
      </c>
      <c r="R1074" s="4">
        <v>0</v>
      </c>
      <c r="S1074" s="6">
        <v>0</v>
      </c>
      <c r="T1074" s="6">
        <v>42</v>
      </c>
      <c r="U1074" s="6">
        <v>79</v>
      </c>
      <c r="V1074" s="6">
        <f>IF(ISERROR(VLOOKUP($S$1074,'TAR FIN'!$A$1:$O$85,15,0)),0,VLOOKUP($S$1074,'TAR FIN'!$A$1:$O$85,15,0))</f>
        <v>0</v>
      </c>
      <c r="W1074" s="6">
        <f>IF(ISERROR(VLOOKUP($T$1074,'TAR FIN'!$A$1:$O$85,15,0)),0,VLOOKUP($T$1074,'TAR FIN'!$A$1:$O$85,15,0))</f>
        <v>580.75</v>
      </c>
      <c r="X1074" s="6">
        <f>IF(ISERROR(VLOOKUP($U$1074,'TAR FIN'!$A$1:$O$85,15,0)),0,VLOOKUP($U$1074,'TAR FIN'!$A$1:$O$85,15,0))</f>
        <v>307.08</v>
      </c>
      <c r="Y1074" s="6"/>
      <c r="Z1074" s="6">
        <f ca="1">('TUSD BE'!$AM$46+'TUSD BF'!$AM$46+'TUSD CVA'!$AM$46)*1</f>
        <v>716.33643413012067</v>
      </c>
      <c r="AA1074" s="6">
        <f>('TE BE'!$AB$36+'TE BF'!$AB$36+'TE CVA'!$AB$36)*1</f>
        <v>304.87027853653359</v>
      </c>
      <c r="AB1074" s="6">
        <f>$K$1074*$V$1074</f>
        <v>0</v>
      </c>
      <c r="AC1074" s="6">
        <f>$M$1074*$W$1074</f>
        <v>171.90199999999999</v>
      </c>
      <c r="AD1074" s="6">
        <f>$O$1074*$X$1074</f>
        <v>90.895679999999984</v>
      </c>
      <c r="AE1074" s="6">
        <f>$K$1074*$Y$1074</f>
        <v>0</v>
      </c>
      <c r="AF1074" s="6">
        <f ca="1">$M$1074*$Z$1074</f>
        <v>212.03558450251572</v>
      </c>
      <c r="AG1074" s="6">
        <f>$O$1074*$AA$1074</f>
        <v>90.241602446813943</v>
      </c>
    </row>
    <row r="1075" spans="1:33" ht="11.25" customHeight="1" x14ac:dyDescent="0.25">
      <c r="A1075" s="4" t="s">
        <v>28</v>
      </c>
      <c r="B1075" s="4" t="s">
        <v>37</v>
      </c>
      <c r="C1075" s="4" t="s">
        <v>33</v>
      </c>
      <c r="D1075" s="4" t="s">
        <v>38</v>
      </c>
      <c r="E1075" s="4" t="s">
        <v>25</v>
      </c>
      <c r="F1075" s="4" t="s">
        <v>25</v>
      </c>
      <c r="G1075" s="4" t="s">
        <v>25</v>
      </c>
      <c r="H1075" s="4" t="s">
        <v>36</v>
      </c>
      <c r="I1075" s="5">
        <v>44531</v>
      </c>
      <c r="J1075" s="6">
        <v>0</v>
      </c>
      <c r="K1075" s="6">
        <v>0</v>
      </c>
      <c r="L1075" s="6">
        <v>0.21</v>
      </c>
      <c r="M1075" s="6">
        <v>0.21</v>
      </c>
      <c r="N1075" s="6">
        <v>0.21</v>
      </c>
      <c r="O1075" s="6">
        <v>0.21</v>
      </c>
      <c r="P1075" s="6">
        <v>0</v>
      </c>
      <c r="Q1075" s="4" t="s">
        <v>26</v>
      </c>
      <c r="R1075" s="4">
        <v>0</v>
      </c>
      <c r="S1075" s="6">
        <v>0</v>
      </c>
      <c r="T1075" s="6">
        <v>42</v>
      </c>
      <c r="U1075" s="6">
        <v>79</v>
      </c>
      <c r="V1075" s="6">
        <f>IF(ISERROR(VLOOKUP($S$1075,'TAR FIN'!$A$1:$O$85,15,0)),0,VLOOKUP($S$1075,'TAR FIN'!$A$1:$O$85,15,0))</f>
        <v>0</v>
      </c>
      <c r="W1075" s="6">
        <f>IF(ISERROR(VLOOKUP($T$1075,'TAR FIN'!$A$1:$O$85,15,0)),0,VLOOKUP($T$1075,'TAR FIN'!$A$1:$O$85,15,0))</f>
        <v>580.75</v>
      </c>
      <c r="X1075" s="6">
        <f>IF(ISERROR(VLOOKUP($U$1075,'TAR FIN'!$A$1:$O$85,15,0)),0,VLOOKUP($U$1075,'TAR FIN'!$A$1:$O$85,15,0))</f>
        <v>307.08</v>
      </c>
      <c r="Y1075" s="6"/>
      <c r="Z1075" s="6">
        <f ca="1">('TUSD BE'!$AM$46+'TUSD BF'!$AM$46+'TUSD CVA'!$AM$46)*1</f>
        <v>716.33643413012067</v>
      </c>
      <c r="AA1075" s="6">
        <f>('TE BE'!$AB$36+'TE BF'!$AB$36+'TE CVA'!$AB$36)*1</f>
        <v>304.87027853653359</v>
      </c>
      <c r="AB1075" s="6">
        <f>$K$1075*$V$1075</f>
        <v>0</v>
      </c>
      <c r="AC1075" s="6">
        <f>$M$1075*$W$1075</f>
        <v>121.9575</v>
      </c>
      <c r="AD1075" s="6">
        <f>$O$1075*$X$1075</f>
        <v>64.486799999999988</v>
      </c>
      <c r="AE1075" s="6">
        <f>$K$1075*$Y$1075</f>
        <v>0</v>
      </c>
      <c r="AF1075" s="6">
        <f ca="1">$M$1075*$Z$1075</f>
        <v>150.43065116732532</v>
      </c>
      <c r="AG1075" s="6">
        <f>$O$1075*$AA$1075</f>
        <v>64.022758492672054</v>
      </c>
    </row>
    <row r="1076" spans="1:33" ht="11.25" customHeight="1" x14ac:dyDescent="0.25">
      <c r="A1076" s="4" t="s">
        <v>21</v>
      </c>
      <c r="B1076" s="4" t="s">
        <v>37</v>
      </c>
      <c r="C1076" s="4" t="s">
        <v>33</v>
      </c>
      <c r="D1076" s="4" t="s">
        <v>38</v>
      </c>
      <c r="E1076" s="4" t="s">
        <v>25</v>
      </c>
      <c r="F1076" s="4" t="s">
        <v>25</v>
      </c>
      <c r="G1076" s="4" t="s">
        <v>25</v>
      </c>
      <c r="H1076" s="4" t="s">
        <v>36</v>
      </c>
      <c r="I1076" s="5">
        <v>44562</v>
      </c>
      <c r="J1076" s="6">
        <v>0</v>
      </c>
      <c r="K1076" s="6">
        <v>0</v>
      </c>
      <c r="L1076" s="6">
        <v>0.255</v>
      </c>
      <c r="M1076" s="6">
        <v>0.255</v>
      </c>
      <c r="N1076" s="6">
        <v>0.255</v>
      </c>
      <c r="O1076" s="6">
        <v>0.255</v>
      </c>
      <c r="P1076" s="6">
        <v>0</v>
      </c>
      <c r="Q1076" s="4" t="s">
        <v>26</v>
      </c>
      <c r="R1076" s="4">
        <v>0</v>
      </c>
      <c r="S1076" s="6">
        <v>0</v>
      </c>
      <c r="T1076" s="6">
        <v>42</v>
      </c>
      <c r="U1076" s="6">
        <v>79</v>
      </c>
      <c r="V1076" s="6">
        <f>IF(ISERROR(VLOOKUP($S$1076,'TAR FIN'!$A$1:$O$85,15,0)),0,VLOOKUP($S$1076,'TAR FIN'!$A$1:$O$85,15,0))</f>
        <v>0</v>
      </c>
      <c r="W1076" s="6">
        <f>IF(ISERROR(VLOOKUP($T$1076,'TAR FIN'!$A$1:$O$85,15,0)),0,VLOOKUP($T$1076,'TAR FIN'!$A$1:$O$85,15,0))</f>
        <v>580.75</v>
      </c>
      <c r="X1076" s="6">
        <f>IF(ISERROR(VLOOKUP($U$1076,'TAR FIN'!$A$1:$O$85,15,0)),0,VLOOKUP($U$1076,'TAR FIN'!$A$1:$O$85,15,0))</f>
        <v>307.08</v>
      </c>
      <c r="Y1076" s="6"/>
      <c r="Z1076" s="6">
        <f ca="1">('TUSD BE'!$AM$46+'TUSD BF'!$AM$46+'TUSD CVA'!$AM$46)*1</f>
        <v>716.33643413012067</v>
      </c>
      <c r="AA1076" s="6">
        <f>('TE BE'!$AB$36+'TE BF'!$AB$36+'TE CVA'!$AB$36)*1</f>
        <v>304.87027853653359</v>
      </c>
      <c r="AB1076" s="6">
        <f>$K$1076*$V$1076</f>
        <v>0</v>
      </c>
      <c r="AC1076" s="6">
        <f>$M$1076*$W$1076</f>
        <v>148.09125</v>
      </c>
      <c r="AD1076" s="6">
        <f>$O$1076*$X$1076</f>
        <v>78.305399999999992</v>
      </c>
      <c r="AE1076" s="6">
        <f>$K$1076*$Y$1076</f>
        <v>0</v>
      </c>
      <c r="AF1076" s="6">
        <f ca="1">$M$1076*$Z$1076</f>
        <v>182.66579070318076</v>
      </c>
      <c r="AG1076" s="6">
        <f>$O$1076*$AA$1076</f>
        <v>77.741921026816073</v>
      </c>
    </row>
    <row r="1077" spans="1:33" ht="11.25" customHeight="1" x14ac:dyDescent="0.25">
      <c r="A1077" s="4" t="s">
        <v>21</v>
      </c>
      <c r="B1077" s="4" t="s">
        <v>37</v>
      </c>
      <c r="C1077" s="4" t="s">
        <v>33</v>
      </c>
      <c r="D1077" s="4" t="s">
        <v>38</v>
      </c>
      <c r="E1077" s="4" t="s">
        <v>25</v>
      </c>
      <c r="F1077" s="4" t="s">
        <v>25</v>
      </c>
      <c r="G1077" s="4" t="s">
        <v>25</v>
      </c>
      <c r="H1077" s="4" t="s">
        <v>36</v>
      </c>
      <c r="I1077" s="5">
        <v>44593</v>
      </c>
      <c r="J1077" s="6">
        <v>0</v>
      </c>
      <c r="K1077" s="6">
        <v>0</v>
      </c>
      <c r="L1077" s="6">
        <v>0.48899999999999999</v>
      </c>
      <c r="M1077" s="6">
        <v>0.48899999999999999</v>
      </c>
      <c r="N1077" s="6">
        <v>0.48899999999999999</v>
      </c>
      <c r="O1077" s="6">
        <v>0.48899999999999999</v>
      </c>
      <c r="P1077" s="6">
        <v>0</v>
      </c>
      <c r="Q1077" s="4" t="s">
        <v>26</v>
      </c>
      <c r="R1077" s="4">
        <v>0</v>
      </c>
      <c r="S1077" s="6">
        <v>0</v>
      </c>
      <c r="T1077" s="6">
        <v>42</v>
      </c>
      <c r="U1077" s="6">
        <v>79</v>
      </c>
      <c r="V1077" s="6">
        <f>IF(ISERROR(VLOOKUP($S$1077,'TAR FIN'!$A$1:$O$85,15,0)),0,VLOOKUP($S$1077,'TAR FIN'!$A$1:$O$85,15,0))</f>
        <v>0</v>
      </c>
      <c r="W1077" s="6">
        <f>IF(ISERROR(VLOOKUP($T$1077,'TAR FIN'!$A$1:$O$85,15,0)),0,VLOOKUP($T$1077,'TAR FIN'!$A$1:$O$85,15,0))</f>
        <v>580.75</v>
      </c>
      <c r="X1077" s="6">
        <f>IF(ISERROR(VLOOKUP($U$1077,'TAR FIN'!$A$1:$O$85,15,0)),0,VLOOKUP($U$1077,'TAR FIN'!$A$1:$O$85,15,0))</f>
        <v>307.08</v>
      </c>
      <c r="Y1077" s="6"/>
      <c r="Z1077" s="6">
        <f ca="1">('TUSD BE'!$AM$46+'TUSD BF'!$AM$46+'TUSD CVA'!$AM$46)*1</f>
        <v>716.33643413012067</v>
      </c>
      <c r="AA1077" s="6">
        <f>('TE BE'!$AB$36+'TE BF'!$AB$36+'TE CVA'!$AB$36)*1</f>
        <v>304.87027853653359</v>
      </c>
      <c r="AB1077" s="6">
        <f>$K$1077*$V$1077</f>
        <v>0</v>
      </c>
      <c r="AC1077" s="6">
        <f>$M$1077*$W$1077</f>
        <v>283.98674999999997</v>
      </c>
      <c r="AD1077" s="6">
        <f>$O$1077*$X$1077</f>
        <v>150.16211999999999</v>
      </c>
      <c r="AE1077" s="6">
        <f>$K$1077*$Y$1077</f>
        <v>0</v>
      </c>
      <c r="AF1077" s="6">
        <f ca="1">$M$1077*$Z$1077</f>
        <v>350.288516289629</v>
      </c>
      <c r="AG1077" s="6">
        <f>$O$1077*$AA$1077</f>
        <v>149.08156620436492</v>
      </c>
    </row>
    <row r="1078" spans="1:33" ht="11.25" customHeight="1" x14ac:dyDescent="0.25">
      <c r="A1078" s="4" t="s">
        <v>21</v>
      </c>
      <c r="B1078" s="4" t="s">
        <v>37</v>
      </c>
      <c r="C1078" s="4" t="s">
        <v>33</v>
      </c>
      <c r="D1078" s="4" t="s">
        <v>38</v>
      </c>
      <c r="E1078" s="4" t="s">
        <v>25</v>
      </c>
      <c r="F1078" s="4" t="s">
        <v>25</v>
      </c>
      <c r="G1078" s="4" t="s">
        <v>25</v>
      </c>
      <c r="H1078" s="4" t="s">
        <v>36</v>
      </c>
      <c r="I1078" s="5">
        <v>44621</v>
      </c>
      <c r="J1078" s="6">
        <v>0</v>
      </c>
      <c r="K1078" s="6">
        <v>0</v>
      </c>
      <c r="L1078" s="6">
        <v>1.161</v>
      </c>
      <c r="M1078" s="6">
        <v>1.161</v>
      </c>
      <c r="N1078" s="6">
        <v>1.161</v>
      </c>
      <c r="O1078" s="6">
        <v>1.161</v>
      </c>
      <c r="P1078" s="6">
        <v>0</v>
      </c>
      <c r="Q1078" s="4" t="s">
        <v>26</v>
      </c>
      <c r="R1078" s="4">
        <v>0</v>
      </c>
      <c r="S1078" s="6">
        <v>0</v>
      </c>
      <c r="T1078" s="6">
        <v>42</v>
      </c>
      <c r="U1078" s="6">
        <v>79</v>
      </c>
      <c r="V1078" s="6">
        <f>IF(ISERROR(VLOOKUP($S$1078,'TAR FIN'!$A$1:$O$85,15,0)),0,VLOOKUP($S$1078,'TAR FIN'!$A$1:$O$85,15,0))</f>
        <v>0</v>
      </c>
      <c r="W1078" s="6">
        <f>IF(ISERROR(VLOOKUP($T$1078,'TAR FIN'!$A$1:$O$85,15,0)),0,VLOOKUP($T$1078,'TAR FIN'!$A$1:$O$85,15,0))</f>
        <v>580.75</v>
      </c>
      <c r="X1078" s="6">
        <f>IF(ISERROR(VLOOKUP($U$1078,'TAR FIN'!$A$1:$O$85,15,0)),0,VLOOKUP($U$1078,'TAR FIN'!$A$1:$O$85,15,0))</f>
        <v>307.08</v>
      </c>
      <c r="Y1078" s="6"/>
      <c r="Z1078" s="6">
        <f ca="1">('TUSD BE'!$AM$46+'TUSD BF'!$AM$46+'TUSD CVA'!$AM$46)*1</f>
        <v>716.33643413012067</v>
      </c>
      <c r="AA1078" s="6">
        <f>('TE BE'!$AB$36+'TE BF'!$AB$36+'TE CVA'!$AB$36)*1</f>
        <v>304.87027853653359</v>
      </c>
      <c r="AB1078" s="6">
        <f>$K$1078*$V$1078</f>
        <v>0</v>
      </c>
      <c r="AC1078" s="6">
        <f>$M$1078*$W$1078</f>
        <v>674.25075000000004</v>
      </c>
      <c r="AD1078" s="6">
        <f>$O$1078*$X$1078</f>
        <v>356.51988</v>
      </c>
      <c r="AE1078" s="6">
        <f>$K$1078*$Y$1078</f>
        <v>0</v>
      </c>
      <c r="AF1078" s="6">
        <f ca="1">$M$1078*$Z$1078</f>
        <v>831.66660002507012</v>
      </c>
      <c r="AG1078" s="6">
        <f>$O$1078*$AA$1078</f>
        <v>353.95439338091552</v>
      </c>
    </row>
    <row r="1079" spans="1:33" ht="11.25" customHeight="1" x14ac:dyDescent="0.25">
      <c r="A1079" s="4" t="s">
        <v>28</v>
      </c>
      <c r="B1079" s="4" t="s">
        <v>37</v>
      </c>
      <c r="C1079" s="4" t="s">
        <v>33</v>
      </c>
      <c r="D1079" s="4" t="s">
        <v>38</v>
      </c>
      <c r="E1079" s="4" t="s">
        <v>25</v>
      </c>
      <c r="F1079" s="4" t="s">
        <v>25</v>
      </c>
      <c r="G1079" s="4" t="s">
        <v>25</v>
      </c>
      <c r="H1079" s="4" t="s">
        <v>36</v>
      </c>
      <c r="I1079" s="5">
        <v>44621</v>
      </c>
      <c r="J1079" s="6">
        <v>0</v>
      </c>
      <c r="K1079" s="6">
        <v>0</v>
      </c>
      <c r="L1079" s="6">
        <v>0.06</v>
      </c>
      <c r="M1079" s="6">
        <v>0.06</v>
      </c>
      <c r="N1079" s="6">
        <v>0.06</v>
      </c>
      <c r="O1079" s="6">
        <v>0.06</v>
      </c>
      <c r="P1079" s="6">
        <v>0</v>
      </c>
      <c r="Q1079" s="4" t="s">
        <v>26</v>
      </c>
      <c r="R1079" s="4">
        <v>0</v>
      </c>
      <c r="S1079" s="6">
        <v>0</v>
      </c>
      <c r="T1079" s="6">
        <v>42</v>
      </c>
      <c r="U1079" s="6">
        <v>79</v>
      </c>
      <c r="V1079" s="6">
        <f>IF(ISERROR(VLOOKUP($S$1079,'TAR FIN'!$A$1:$O$85,15,0)),0,VLOOKUP($S$1079,'TAR FIN'!$A$1:$O$85,15,0))</f>
        <v>0</v>
      </c>
      <c r="W1079" s="6">
        <f>IF(ISERROR(VLOOKUP($T$1079,'TAR FIN'!$A$1:$O$85,15,0)),0,VLOOKUP($T$1079,'TAR FIN'!$A$1:$O$85,15,0))</f>
        <v>580.75</v>
      </c>
      <c r="X1079" s="6">
        <f>IF(ISERROR(VLOOKUP($U$1079,'TAR FIN'!$A$1:$O$85,15,0)),0,VLOOKUP($U$1079,'TAR FIN'!$A$1:$O$85,15,0))</f>
        <v>307.08</v>
      </c>
      <c r="Y1079" s="6"/>
      <c r="Z1079" s="6">
        <f ca="1">('TUSD BE'!$AM$46+'TUSD BF'!$AM$46+'TUSD CVA'!$AM$46)*1</f>
        <v>716.33643413012067</v>
      </c>
      <c r="AA1079" s="6">
        <f>('TE BE'!$AB$36+'TE BF'!$AB$36+'TE CVA'!$AB$36)*1</f>
        <v>304.87027853653359</v>
      </c>
      <c r="AB1079" s="6">
        <f>$K$1079*$V$1079</f>
        <v>0</v>
      </c>
      <c r="AC1079" s="6">
        <f>$M$1079*$W$1079</f>
        <v>34.844999999999999</v>
      </c>
      <c r="AD1079" s="6">
        <f>$O$1079*$X$1079</f>
        <v>18.424799999999998</v>
      </c>
      <c r="AE1079" s="6">
        <f>$K$1079*$Y$1079</f>
        <v>0</v>
      </c>
      <c r="AF1079" s="6">
        <f ca="1">$M$1079*$Z$1079</f>
        <v>42.980186047807237</v>
      </c>
      <c r="AG1079" s="6">
        <f>$O$1079*$AA$1079</f>
        <v>18.292216712192015</v>
      </c>
    </row>
    <row r="1080" spans="1:33" ht="11.25" customHeight="1" x14ac:dyDescent="0.25">
      <c r="A1080" s="4" t="s">
        <v>21</v>
      </c>
      <c r="B1080" s="4" t="s">
        <v>37</v>
      </c>
      <c r="C1080" s="4" t="s">
        <v>33</v>
      </c>
      <c r="D1080" s="4" t="s">
        <v>38</v>
      </c>
      <c r="E1080" s="4" t="s">
        <v>25</v>
      </c>
      <c r="F1080" s="4" t="s">
        <v>25</v>
      </c>
      <c r="G1080" s="4" t="s">
        <v>25</v>
      </c>
      <c r="H1080" s="4" t="s">
        <v>36</v>
      </c>
      <c r="I1080" s="5">
        <v>44652</v>
      </c>
      <c r="J1080" s="6">
        <v>0</v>
      </c>
      <c r="K1080" s="6">
        <v>0</v>
      </c>
      <c r="L1080" s="6">
        <v>0.29699999999999999</v>
      </c>
      <c r="M1080" s="6">
        <v>0.29699999999999999</v>
      </c>
      <c r="N1080" s="6">
        <v>0.29699999999999999</v>
      </c>
      <c r="O1080" s="6">
        <v>0.29699999999999999</v>
      </c>
      <c r="P1080" s="6">
        <v>0</v>
      </c>
      <c r="Q1080" s="4" t="s">
        <v>26</v>
      </c>
      <c r="R1080" s="4">
        <v>0</v>
      </c>
      <c r="S1080" s="6">
        <v>0</v>
      </c>
      <c r="T1080" s="6">
        <v>42</v>
      </c>
      <c r="U1080" s="6">
        <v>79</v>
      </c>
      <c r="V1080" s="6">
        <f>IF(ISERROR(VLOOKUP($S$1080,'TAR FIN'!$A$1:$O$85,15,0)),0,VLOOKUP($S$1080,'TAR FIN'!$A$1:$O$85,15,0))</f>
        <v>0</v>
      </c>
      <c r="W1080" s="6">
        <f>IF(ISERROR(VLOOKUP($T$1080,'TAR FIN'!$A$1:$O$85,15,0)),0,VLOOKUP($T$1080,'TAR FIN'!$A$1:$O$85,15,0))</f>
        <v>580.75</v>
      </c>
      <c r="X1080" s="6">
        <f>IF(ISERROR(VLOOKUP($U$1080,'TAR FIN'!$A$1:$O$85,15,0)),0,VLOOKUP($U$1080,'TAR FIN'!$A$1:$O$85,15,0))</f>
        <v>307.08</v>
      </c>
      <c r="Y1080" s="6"/>
      <c r="Z1080" s="6">
        <f ca="1">('TUSD BE'!$AM$46+'TUSD BF'!$AM$46+'TUSD CVA'!$AM$46)*1</f>
        <v>716.33643413012067</v>
      </c>
      <c r="AA1080" s="6">
        <f>('TE BE'!$AB$36+'TE BF'!$AB$36+'TE CVA'!$AB$36)*1</f>
        <v>304.87027853653359</v>
      </c>
      <c r="AB1080" s="6">
        <f>$K$1080*$V$1080</f>
        <v>0</v>
      </c>
      <c r="AC1080" s="6">
        <f>$M$1080*$W$1080</f>
        <v>172.48274999999998</v>
      </c>
      <c r="AD1080" s="6">
        <f>$O$1080*$X$1080</f>
        <v>91.202759999999998</v>
      </c>
      <c r="AE1080" s="6">
        <f>$K$1080*$Y$1080</f>
        <v>0</v>
      </c>
      <c r="AF1080" s="6">
        <f ca="1">$M$1080*$Z$1080</f>
        <v>212.75192093664583</v>
      </c>
      <c r="AG1080" s="6">
        <f>$O$1080*$AA$1080</f>
        <v>90.546472725350469</v>
      </c>
    </row>
    <row r="1081" spans="1:33" ht="11.25" customHeight="1" x14ac:dyDescent="0.25">
      <c r="A1081" s="4" t="s">
        <v>21</v>
      </c>
      <c r="B1081" s="4" t="s">
        <v>37</v>
      </c>
      <c r="C1081" s="4" t="s">
        <v>33</v>
      </c>
      <c r="D1081" s="4" t="s">
        <v>38</v>
      </c>
      <c r="E1081" s="4" t="s">
        <v>25</v>
      </c>
      <c r="F1081" s="4" t="s">
        <v>25</v>
      </c>
      <c r="G1081" s="4" t="s">
        <v>25</v>
      </c>
      <c r="H1081" s="4" t="s">
        <v>36</v>
      </c>
      <c r="I1081" s="5">
        <v>44682</v>
      </c>
      <c r="J1081" s="6">
        <v>0</v>
      </c>
      <c r="K1081" s="6">
        <v>0</v>
      </c>
      <c r="L1081" s="6">
        <v>0.28299999999999997</v>
      </c>
      <c r="M1081" s="6">
        <v>0.28299999999999997</v>
      </c>
      <c r="N1081" s="6">
        <v>0.28299999999999997</v>
      </c>
      <c r="O1081" s="6">
        <v>0.28299999999999997</v>
      </c>
      <c r="P1081" s="6">
        <v>0</v>
      </c>
      <c r="Q1081" s="4" t="s">
        <v>26</v>
      </c>
      <c r="R1081" s="4">
        <v>0</v>
      </c>
      <c r="S1081" s="6">
        <v>0</v>
      </c>
      <c r="T1081" s="6">
        <v>42</v>
      </c>
      <c r="U1081" s="6">
        <v>79</v>
      </c>
      <c r="V1081" s="6">
        <f>IF(ISERROR(VLOOKUP($S$1081,'TAR FIN'!$A$1:$O$85,15,0)),0,VLOOKUP($S$1081,'TAR FIN'!$A$1:$O$85,15,0))</f>
        <v>0</v>
      </c>
      <c r="W1081" s="6">
        <f>IF(ISERROR(VLOOKUP($T$1081,'TAR FIN'!$A$1:$O$85,15,0)),0,VLOOKUP($T$1081,'TAR FIN'!$A$1:$O$85,15,0))</f>
        <v>580.75</v>
      </c>
      <c r="X1081" s="6">
        <f>IF(ISERROR(VLOOKUP($U$1081,'TAR FIN'!$A$1:$O$85,15,0)),0,VLOOKUP($U$1081,'TAR FIN'!$A$1:$O$85,15,0))</f>
        <v>307.08</v>
      </c>
      <c r="Y1081" s="6"/>
      <c r="Z1081" s="6">
        <f ca="1">('TUSD BE'!$AM$46+'TUSD BF'!$AM$46+'TUSD CVA'!$AM$46)*1</f>
        <v>716.33643413012067</v>
      </c>
      <c r="AA1081" s="6">
        <f>('TE BE'!$AB$36+'TE BF'!$AB$36+'TE CVA'!$AB$36)*1</f>
        <v>304.87027853653359</v>
      </c>
      <c r="AB1081" s="6">
        <f>$K$1081*$V$1081</f>
        <v>0</v>
      </c>
      <c r="AC1081" s="6">
        <f>$M$1081*$W$1081</f>
        <v>164.35225</v>
      </c>
      <c r="AD1081" s="6">
        <f>$O$1081*$X$1081</f>
        <v>86.903639999999982</v>
      </c>
      <c r="AE1081" s="6">
        <f>$K$1081*$Y$1081</f>
        <v>0</v>
      </c>
      <c r="AF1081" s="6">
        <f ca="1">$M$1081*$Z$1081</f>
        <v>202.72321085882413</v>
      </c>
      <c r="AG1081" s="6">
        <f>$O$1081*$AA$1081</f>
        <v>86.278288825838999</v>
      </c>
    </row>
    <row r="1082" spans="1:33" ht="11.25" customHeight="1" x14ac:dyDescent="0.25">
      <c r="A1082" s="4" t="s">
        <v>28</v>
      </c>
      <c r="B1082" s="4" t="s">
        <v>37</v>
      </c>
      <c r="C1082" s="4" t="s">
        <v>33</v>
      </c>
      <c r="D1082" s="4" t="s">
        <v>38</v>
      </c>
      <c r="E1082" s="4" t="s">
        <v>25</v>
      </c>
      <c r="F1082" s="4" t="s">
        <v>25</v>
      </c>
      <c r="G1082" s="4" t="s">
        <v>25</v>
      </c>
      <c r="H1082" s="4" t="s">
        <v>36</v>
      </c>
      <c r="I1082" s="5">
        <v>44682</v>
      </c>
      <c r="J1082" s="6">
        <v>0</v>
      </c>
      <c r="K1082" s="6">
        <v>0</v>
      </c>
      <c r="L1082" s="6">
        <v>0.18</v>
      </c>
      <c r="M1082" s="6">
        <v>0.18</v>
      </c>
      <c r="N1082" s="6">
        <v>0.18</v>
      </c>
      <c r="O1082" s="6">
        <v>0.18</v>
      </c>
      <c r="P1082" s="6">
        <v>0</v>
      </c>
      <c r="Q1082" s="4" t="s">
        <v>26</v>
      </c>
      <c r="R1082" s="4">
        <v>0</v>
      </c>
      <c r="S1082" s="6">
        <v>0</v>
      </c>
      <c r="T1082" s="6">
        <v>42</v>
      </c>
      <c r="U1082" s="6">
        <v>79</v>
      </c>
      <c r="V1082" s="6">
        <f>IF(ISERROR(VLOOKUP($S$1082,'TAR FIN'!$A$1:$O$85,15,0)),0,VLOOKUP($S$1082,'TAR FIN'!$A$1:$O$85,15,0))</f>
        <v>0</v>
      </c>
      <c r="W1082" s="6">
        <f>IF(ISERROR(VLOOKUP($T$1082,'TAR FIN'!$A$1:$O$85,15,0)),0,VLOOKUP($T$1082,'TAR FIN'!$A$1:$O$85,15,0))</f>
        <v>580.75</v>
      </c>
      <c r="X1082" s="6">
        <f>IF(ISERROR(VLOOKUP($U$1082,'TAR FIN'!$A$1:$O$85,15,0)),0,VLOOKUP($U$1082,'TAR FIN'!$A$1:$O$85,15,0))</f>
        <v>307.08</v>
      </c>
      <c r="Y1082" s="6"/>
      <c r="Z1082" s="6">
        <f ca="1">('TUSD BE'!$AM$46+'TUSD BF'!$AM$46+'TUSD CVA'!$AM$46)*1</f>
        <v>716.33643413012067</v>
      </c>
      <c r="AA1082" s="6">
        <f>('TE BE'!$AB$36+'TE BF'!$AB$36+'TE CVA'!$AB$36)*1</f>
        <v>304.87027853653359</v>
      </c>
      <c r="AB1082" s="6">
        <f>$K$1082*$V$1082</f>
        <v>0</v>
      </c>
      <c r="AC1082" s="6">
        <f>$M$1082*$W$1082</f>
        <v>104.535</v>
      </c>
      <c r="AD1082" s="6">
        <f>$O$1082*$X$1082</f>
        <v>55.274399999999993</v>
      </c>
      <c r="AE1082" s="6">
        <f>$K$1082*$Y$1082</f>
        <v>0</v>
      </c>
      <c r="AF1082" s="6">
        <f ca="1">$M$1082*$Z$1082</f>
        <v>128.94055814342173</v>
      </c>
      <c r="AG1082" s="6">
        <f>$O$1082*$AA$1082</f>
        <v>54.876650136576046</v>
      </c>
    </row>
    <row r="1083" spans="1:33" ht="11.25" customHeight="1" x14ac:dyDescent="0.25">
      <c r="A1083" s="4" t="s">
        <v>21</v>
      </c>
      <c r="B1083" s="4" t="s">
        <v>37</v>
      </c>
      <c r="C1083" s="4" t="s">
        <v>33</v>
      </c>
      <c r="D1083" s="4" t="s">
        <v>38</v>
      </c>
      <c r="E1083" s="4" t="s">
        <v>25</v>
      </c>
      <c r="F1083" s="4" t="s">
        <v>25</v>
      </c>
      <c r="G1083" s="4" t="s">
        <v>25</v>
      </c>
      <c r="H1083" s="4" t="s">
        <v>36</v>
      </c>
      <c r="I1083" s="5">
        <v>44713</v>
      </c>
      <c r="J1083" s="6">
        <v>0</v>
      </c>
      <c r="K1083" s="6">
        <v>0</v>
      </c>
      <c r="L1083" s="6">
        <v>0.33300000000000002</v>
      </c>
      <c r="M1083" s="6">
        <v>0.33300000000000002</v>
      </c>
      <c r="N1083" s="6">
        <v>0.33300000000000002</v>
      </c>
      <c r="O1083" s="6">
        <v>0.33300000000000002</v>
      </c>
      <c r="P1083" s="6">
        <v>0</v>
      </c>
      <c r="Q1083" s="4" t="s">
        <v>26</v>
      </c>
      <c r="R1083" s="4">
        <v>0</v>
      </c>
      <c r="S1083" s="6">
        <v>0</v>
      </c>
      <c r="T1083" s="6">
        <v>42</v>
      </c>
      <c r="U1083" s="6">
        <v>79</v>
      </c>
      <c r="V1083" s="6">
        <f>IF(ISERROR(VLOOKUP($S$1083,'TAR FIN'!$A$1:$O$85,15,0)),0,VLOOKUP($S$1083,'TAR FIN'!$A$1:$O$85,15,0))</f>
        <v>0</v>
      </c>
      <c r="W1083" s="6">
        <f>IF(ISERROR(VLOOKUP($T$1083,'TAR FIN'!$A$1:$O$85,15,0)),0,VLOOKUP($T$1083,'TAR FIN'!$A$1:$O$85,15,0))</f>
        <v>580.75</v>
      </c>
      <c r="X1083" s="6">
        <f>IF(ISERROR(VLOOKUP($U$1083,'TAR FIN'!$A$1:$O$85,15,0)),0,VLOOKUP($U$1083,'TAR FIN'!$A$1:$O$85,15,0))</f>
        <v>307.08</v>
      </c>
      <c r="Y1083" s="6"/>
      <c r="Z1083" s="6">
        <f ca="1">('TUSD BE'!$AM$46+'TUSD BF'!$AM$46+'TUSD CVA'!$AM$46)*1</f>
        <v>716.33643413012067</v>
      </c>
      <c r="AA1083" s="6">
        <f>('TE BE'!$AB$36+'TE BF'!$AB$36+'TE CVA'!$AB$36)*1</f>
        <v>304.87027853653359</v>
      </c>
      <c r="AB1083" s="6">
        <f>$K$1083*$V$1083</f>
        <v>0</v>
      </c>
      <c r="AC1083" s="6">
        <f>$M$1083*$W$1083</f>
        <v>193.38975000000002</v>
      </c>
      <c r="AD1083" s="6">
        <f>$O$1083*$X$1083</f>
        <v>102.25763999999999</v>
      </c>
      <c r="AE1083" s="6">
        <f>$K$1083*$Y$1083</f>
        <v>0</v>
      </c>
      <c r="AF1083" s="6">
        <f ca="1">$M$1083*$Z$1083</f>
        <v>238.54003256533019</v>
      </c>
      <c r="AG1083" s="6">
        <f>$O$1083*$AA$1083</f>
        <v>101.52180275266569</v>
      </c>
    </row>
    <row r="1084" spans="1:33" ht="11.25" customHeight="1" x14ac:dyDescent="0.25">
      <c r="A1084" s="4" t="s">
        <v>28</v>
      </c>
      <c r="B1084" s="4" t="s">
        <v>37</v>
      </c>
      <c r="C1084" s="4" t="s">
        <v>33</v>
      </c>
      <c r="D1084" s="4" t="s">
        <v>38</v>
      </c>
      <c r="E1084" s="4" t="s">
        <v>25</v>
      </c>
      <c r="F1084" s="4" t="s">
        <v>25</v>
      </c>
      <c r="G1084" s="4" t="s">
        <v>25</v>
      </c>
      <c r="H1084" s="4" t="s">
        <v>36</v>
      </c>
      <c r="I1084" s="5">
        <v>44713</v>
      </c>
      <c r="J1084" s="6">
        <v>0</v>
      </c>
      <c r="K1084" s="6">
        <v>0</v>
      </c>
      <c r="L1084" s="6">
        <v>0.18</v>
      </c>
      <c r="M1084" s="6">
        <v>0.18</v>
      </c>
      <c r="N1084" s="6">
        <v>0.18</v>
      </c>
      <c r="O1084" s="6">
        <v>0.18</v>
      </c>
      <c r="P1084" s="6">
        <v>0</v>
      </c>
      <c r="Q1084" s="4" t="s">
        <v>26</v>
      </c>
      <c r="R1084" s="4">
        <v>0</v>
      </c>
      <c r="S1084" s="6">
        <v>0</v>
      </c>
      <c r="T1084" s="6">
        <v>42</v>
      </c>
      <c r="U1084" s="6">
        <v>79</v>
      </c>
      <c r="V1084" s="6">
        <f>IF(ISERROR(VLOOKUP($S$1084,'TAR FIN'!$A$1:$O$85,15,0)),0,VLOOKUP($S$1084,'TAR FIN'!$A$1:$O$85,15,0))</f>
        <v>0</v>
      </c>
      <c r="W1084" s="6">
        <f>IF(ISERROR(VLOOKUP($T$1084,'TAR FIN'!$A$1:$O$85,15,0)),0,VLOOKUP($T$1084,'TAR FIN'!$A$1:$O$85,15,0))</f>
        <v>580.75</v>
      </c>
      <c r="X1084" s="6">
        <f>IF(ISERROR(VLOOKUP($U$1084,'TAR FIN'!$A$1:$O$85,15,0)),0,VLOOKUP($U$1084,'TAR FIN'!$A$1:$O$85,15,0))</f>
        <v>307.08</v>
      </c>
      <c r="Y1084" s="6"/>
      <c r="Z1084" s="6">
        <f ca="1">('TUSD BE'!$AM$46+'TUSD BF'!$AM$46+'TUSD CVA'!$AM$46)*1</f>
        <v>716.33643413012067</v>
      </c>
      <c r="AA1084" s="6">
        <f>('TE BE'!$AB$36+'TE BF'!$AB$36+'TE CVA'!$AB$36)*1</f>
        <v>304.87027853653359</v>
      </c>
      <c r="AB1084" s="6">
        <f>$K$1084*$V$1084</f>
        <v>0</v>
      </c>
      <c r="AC1084" s="6">
        <f>$M$1084*$W$1084</f>
        <v>104.535</v>
      </c>
      <c r="AD1084" s="6">
        <f>$O$1084*$X$1084</f>
        <v>55.274399999999993</v>
      </c>
      <c r="AE1084" s="6">
        <f>$K$1084*$Y$1084</f>
        <v>0</v>
      </c>
      <c r="AF1084" s="6">
        <f ca="1">$M$1084*$Z$1084</f>
        <v>128.94055814342173</v>
      </c>
      <c r="AG1084" s="6">
        <f>$O$1084*$AA$1084</f>
        <v>54.876650136576046</v>
      </c>
    </row>
    <row r="1085" spans="1:33" ht="11.25" customHeight="1" x14ac:dyDescent="0.25">
      <c r="A1085" s="4" t="s">
        <v>21</v>
      </c>
      <c r="B1085" s="4" t="s">
        <v>37</v>
      </c>
      <c r="C1085" s="4" t="s">
        <v>33</v>
      </c>
      <c r="D1085" s="4" t="s">
        <v>38</v>
      </c>
      <c r="E1085" s="4" t="s">
        <v>25</v>
      </c>
      <c r="F1085" s="4" t="s">
        <v>25</v>
      </c>
      <c r="G1085" s="4" t="s">
        <v>25</v>
      </c>
      <c r="H1085" s="4" t="s">
        <v>36</v>
      </c>
      <c r="I1085" s="5">
        <v>44743</v>
      </c>
      <c r="J1085" s="6">
        <v>0</v>
      </c>
      <c r="K1085" s="6">
        <v>0</v>
      </c>
      <c r="L1085" s="6">
        <v>0.376</v>
      </c>
      <c r="M1085" s="6">
        <v>0.376</v>
      </c>
      <c r="N1085" s="6">
        <v>0.376</v>
      </c>
      <c r="O1085" s="6">
        <v>0.376</v>
      </c>
      <c r="P1085" s="6">
        <v>0</v>
      </c>
      <c r="Q1085" s="4" t="s">
        <v>26</v>
      </c>
      <c r="R1085" s="4">
        <v>0</v>
      </c>
      <c r="S1085" s="6">
        <v>0</v>
      </c>
      <c r="T1085" s="6">
        <v>42</v>
      </c>
      <c r="U1085" s="6">
        <v>79</v>
      </c>
      <c r="V1085" s="6">
        <f>IF(ISERROR(VLOOKUP($S$1085,'TAR FIN'!$A$1:$O$85,15,0)),0,VLOOKUP($S$1085,'TAR FIN'!$A$1:$O$85,15,0))</f>
        <v>0</v>
      </c>
      <c r="W1085" s="6">
        <f>IF(ISERROR(VLOOKUP($T$1085,'TAR FIN'!$A$1:$O$85,15,0)),0,VLOOKUP($T$1085,'TAR FIN'!$A$1:$O$85,15,0))</f>
        <v>580.75</v>
      </c>
      <c r="X1085" s="6">
        <f>IF(ISERROR(VLOOKUP($U$1085,'TAR FIN'!$A$1:$O$85,15,0)),0,VLOOKUP($U$1085,'TAR FIN'!$A$1:$O$85,15,0))</f>
        <v>307.08</v>
      </c>
      <c r="Y1085" s="6"/>
      <c r="Z1085" s="6">
        <f ca="1">('TUSD BE'!$AM$46+'TUSD BF'!$AM$46+'TUSD CVA'!$AM$46)*1</f>
        <v>716.33643413012067</v>
      </c>
      <c r="AA1085" s="6">
        <f>('TE BE'!$AB$36+'TE BF'!$AB$36+'TE CVA'!$AB$36)*1</f>
        <v>304.87027853653359</v>
      </c>
      <c r="AB1085" s="6">
        <f>$K$1085*$V$1085</f>
        <v>0</v>
      </c>
      <c r="AC1085" s="6">
        <f>$M$1085*$W$1085</f>
        <v>218.36199999999999</v>
      </c>
      <c r="AD1085" s="6">
        <f>$O$1085*$X$1085</f>
        <v>115.46208</v>
      </c>
      <c r="AE1085" s="6">
        <f>$K$1085*$Y$1085</f>
        <v>0</v>
      </c>
      <c r="AF1085" s="6">
        <f ca="1">$M$1085*$Z$1085</f>
        <v>269.34249923292538</v>
      </c>
      <c r="AG1085" s="6">
        <f>$O$1085*$AA$1085</f>
        <v>114.63122472973663</v>
      </c>
    </row>
    <row r="1086" spans="1:33" ht="11.25" customHeight="1" x14ac:dyDescent="0.25">
      <c r="A1086" s="4" t="s">
        <v>28</v>
      </c>
      <c r="B1086" s="4" t="s">
        <v>37</v>
      </c>
      <c r="C1086" s="4" t="s">
        <v>33</v>
      </c>
      <c r="D1086" s="4" t="s">
        <v>38</v>
      </c>
      <c r="E1086" s="4" t="s">
        <v>25</v>
      </c>
      <c r="F1086" s="4" t="s">
        <v>25</v>
      </c>
      <c r="G1086" s="4" t="s">
        <v>25</v>
      </c>
      <c r="H1086" s="4" t="s">
        <v>36</v>
      </c>
      <c r="I1086" s="5">
        <v>44743</v>
      </c>
      <c r="J1086" s="6">
        <v>0</v>
      </c>
      <c r="K1086" s="6">
        <v>0</v>
      </c>
      <c r="L1086" s="6">
        <v>0.36</v>
      </c>
      <c r="M1086" s="6">
        <v>0.36</v>
      </c>
      <c r="N1086" s="6">
        <v>0.36</v>
      </c>
      <c r="O1086" s="6">
        <v>0.36</v>
      </c>
      <c r="P1086" s="6">
        <v>0</v>
      </c>
      <c r="Q1086" s="4" t="s">
        <v>26</v>
      </c>
      <c r="R1086" s="4">
        <v>0</v>
      </c>
      <c r="S1086" s="6">
        <v>0</v>
      </c>
      <c r="T1086" s="6">
        <v>42</v>
      </c>
      <c r="U1086" s="6">
        <v>79</v>
      </c>
      <c r="V1086" s="6">
        <f>IF(ISERROR(VLOOKUP($S$1086,'TAR FIN'!$A$1:$O$85,15,0)),0,VLOOKUP($S$1086,'TAR FIN'!$A$1:$O$85,15,0))</f>
        <v>0</v>
      </c>
      <c r="W1086" s="6">
        <f>IF(ISERROR(VLOOKUP($T$1086,'TAR FIN'!$A$1:$O$85,15,0)),0,VLOOKUP($T$1086,'TAR FIN'!$A$1:$O$85,15,0))</f>
        <v>580.75</v>
      </c>
      <c r="X1086" s="6">
        <f>IF(ISERROR(VLOOKUP($U$1086,'TAR FIN'!$A$1:$O$85,15,0)),0,VLOOKUP($U$1086,'TAR FIN'!$A$1:$O$85,15,0))</f>
        <v>307.08</v>
      </c>
      <c r="Y1086" s="6"/>
      <c r="Z1086" s="6">
        <f ca="1">('TUSD BE'!$AM$46+'TUSD BF'!$AM$46+'TUSD CVA'!$AM$46)*1</f>
        <v>716.33643413012067</v>
      </c>
      <c r="AA1086" s="6">
        <f>('TE BE'!$AB$36+'TE BF'!$AB$36+'TE CVA'!$AB$36)*1</f>
        <v>304.87027853653359</v>
      </c>
      <c r="AB1086" s="6">
        <f>$K$1086*$V$1086</f>
        <v>0</v>
      </c>
      <c r="AC1086" s="6">
        <f>$M$1086*$W$1086</f>
        <v>209.07</v>
      </c>
      <c r="AD1086" s="6">
        <f>$O$1086*$X$1086</f>
        <v>110.54879999999999</v>
      </c>
      <c r="AE1086" s="6">
        <f>$K$1086*$Y$1086</f>
        <v>0</v>
      </c>
      <c r="AF1086" s="6">
        <f ca="1">$M$1086*$Z$1086</f>
        <v>257.88111628684345</v>
      </c>
      <c r="AG1086" s="6">
        <f>$O$1086*$AA$1086</f>
        <v>109.75330027315209</v>
      </c>
    </row>
    <row r="1087" spans="1:33" ht="11.25" customHeight="1" x14ac:dyDescent="0.25">
      <c r="A1087" s="4" t="s">
        <v>56</v>
      </c>
      <c r="B1087" s="4" t="s">
        <v>37</v>
      </c>
      <c r="C1087" s="4" t="s">
        <v>33</v>
      </c>
      <c r="D1087" s="4" t="s">
        <v>38</v>
      </c>
      <c r="E1087" s="4" t="s">
        <v>25</v>
      </c>
      <c r="F1087" s="4" t="s">
        <v>25</v>
      </c>
      <c r="G1087" s="4" t="s">
        <v>25</v>
      </c>
      <c r="H1087" s="4" t="s">
        <v>36</v>
      </c>
      <c r="I1087" s="5">
        <v>44774</v>
      </c>
      <c r="J1087" s="6">
        <v>0</v>
      </c>
      <c r="K1087" s="6">
        <v>0</v>
      </c>
      <c r="L1087" s="6">
        <v>0.376</v>
      </c>
      <c r="M1087" s="6">
        <v>0.376</v>
      </c>
      <c r="N1087" s="6">
        <v>0.376</v>
      </c>
      <c r="O1087" s="6">
        <v>0.376</v>
      </c>
      <c r="P1087" s="6">
        <v>0</v>
      </c>
      <c r="Q1087" s="4" t="s">
        <v>26</v>
      </c>
      <c r="R1087" s="4">
        <v>0</v>
      </c>
      <c r="S1087" s="6">
        <v>0</v>
      </c>
      <c r="T1087" s="6">
        <v>42</v>
      </c>
      <c r="U1087" s="6">
        <v>79</v>
      </c>
      <c r="V1087" s="6">
        <f>IF(ISERROR(VLOOKUP($S$1087,'TAR FIN'!$A$1:$O$85,15,0)),0,VLOOKUP($S$1087,'TAR FIN'!$A$1:$O$85,15,0))</f>
        <v>0</v>
      </c>
      <c r="W1087" s="6">
        <f>IF(ISERROR(VLOOKUP($T$1087,'TAR FIN'!$A$1:$O$85,15,0)),0,VLOOKUP($T$1087,'TAR FIN'!$A$1:$O$85,15,0))</f>
        <v>580.75</v>
      </c>
      <c r="X1087" s="6">
        <f>IF(ISERROR(VLOOKUP($U$1087,'TAR FIN'!$A$1:$O$85,15,0)),0,VLOOKUP($U$1087,'TAR FIN'!$A$1:$O$85,15,0))</f>
        <v>307.08</v>
      </c>
      <c r="Y1087" s="6"/>
      <c r="Z1087" s="6">
        <f ca="1">('TUSD BE'!$AM$46+'TUSD BF'!$AM$46+'TUSD CVA'!$AM$46)*1</f>
        <v>716.33643413012067</v>
      </c>
      <c r="AA1087" s="6">
        <f>('TE BE'!$AB$36+'TE BF'!$AB$36+'TE CVA'!$AB$36)*1</f>
        <v>304.87027853653359</v>
      </c>
      <c r="AB1087" s="6">
        <f>$K$1087*$V$1087</f>
        <v>0</v>
      </c>
      <c r="AC1087" s="6">
        <f>$M$1087*$W$1087</f>
        <v>218.36199999999999</v>
      </c>
      <c r="AD1087" s="6">
        <f>$O$1087*$X$1087</f>
        <v>115.46208</v>
      </c>
      <c r="AE1087" s="6">
        <f>$K$1087*$Y$1087</f>
        <v>0</v>
      </c>
      <c r="AF1087" s="6">
        <f ca="1">$M$1087*$Z$1087</f>
        <v>269.34249923292538</v>
      </c>
      <c r="AG1087" s="6">
        <f>$O$1087*$AA$1087</f>
        <v>114.63122472973663</v>
      </c>
    </row>
    <row r="1088" spans="1:33" ht="11.25" customHeight="1" x14ac:dyDescent="0.25">
      <c r="A1088" s="4" t="s">
        <v>56</v>
      </c>
      <c r="B1088" s="4" t="s">
        <v>37</v>
      </c>
      <c r="C1088" s="4" t="s">
        <v>33</v>
      </c>
      <c r="D1088" s="4" t="s">
        <v>38</v>
      </c>
      <c r="E1088" s="4" t="s">
        <v>25</v>
      </c>
      <c r="F1088" s="4" t="s">
        <v>25</v>
      </c>
      <c r="G1088" s="4" t="s">
        <v>25</v>
      </c>
      <c r="H1088" s="4" t="s">
        <v>36</v>
      </c>
      <c r="I1088" s="5">
        <v>44774</v>
      </c>
      <c r="J1088" s="6">
        <v>0</v>
      </c>
      <c r="K1088" s="6">
        <v>0</v>
      </c>
      <c r="L1088" s="6">
        <v>0.36</v>
      </c>
      <c r="M1088" s="6">
        <v>0.36</v>
      </c>
      <c r="N1088" s="6">
        <v>0.36</v>
      </c>
      <c r="O1088" s="6">
        <v>0.36</v>
      </c>
      <c r="P1088" s="6">
        <v>0</v>
      </c>
      <c r="Q1088" s="4" t="s">
        <v>26</v>
      </c>
      <c r="R1088" s="4">
        <v>0</v>
      </c>
      <c r="S1088" s="6">
        <v>0</v>
      </c>
      <c r="T1088" s="6">
        <v>42</v>
      </c>
      <c r="U1088" s="6">
        <v>79</v>
      </c>
      <c r="V1088" s="6">
        <f>IF(ISERROR(VLOOKUP($S$1088,'TAR FIN'!$A$1:$O$85,15,0)),0,VLOOKUP($S$1088,'TAR FIN'!$A$1:$O$85,15,0))</f>
        <v>0</v>
      </c>
      <c r="W1088" s="6">
        <f>IF(ISERROR(VLOOKUP($T$1088,'TAR FIN'!$A$1:$O$85,15,0)),0,VLOOKUP($T$1088,'TAR FIN'!$A$1:$O$85,15,0))</f>
        <v>580.75</v>
      </c>
      <c r="X1088" s="6">
        <f>IF(ISERROR(VLOOKUP($U$1088,'TAR FIN'!$A$1:$O$85,15,0)),0,VLOOKUP($U$1088,'TAR FIN'!$A$1:$O$85,15,0))</f>
        <v>307.08</v>
      </c>
      <c r="Y1088" s="6"/>
      <c r="Z1088" s="6">
        <f ca="1">('TUSD BE'!$AM$46+'TUSD BF'!$AM$46+'TUSD CVA'!$AM$46)*1</f>
        <v>716.33643413012067</v>
      </c>
      <c r="AA1088" s="6">
        <f>('TE BE'!$AB$36+'TE BF'!$AB$36+'TE CVA'!$AB$36)*1</f>
        <v>304.87027853653359</v>
      </c>
      <c r="AB1088" s="6">
        <f>$K$1088*$V$1088</f>
        <v>0</v>
      </c>
      <c r="AC1088" s="6">
        <f>$M$1088*$W$1088</f>
        <v>209.07</v>
      </c>
      <c r="AD1088" s="6">
        <f>$O$1088*$X$1088</f>
        <v>110.54879999999999</v>
      </c>
      <c r="AE1088" s="6">
        <f>$K$1088*$Y$1088</f>
        <v>0</v>
      </c>
      <c r="AF1088" s="6">
        <f ca="1">$M$1088*$Z$1088</f>
        <v>257.88111628684345</v>
      </c>
      <c r="AG1088" s="6">
        <f>$O$1088*$AA$1088</f>
        <v>109.75330027315209</v>
      </c>
    </row>
    <row r="1089" spans="1:33" ht="11.25" customHeight="1" x14ac:dyDescent="0.25">
      <c r="A1089" s="4" t="s">
        <v>28</v>
      </c>
      <c r="B1089" s="4" t="s">
        <v>37</v>
      </c>
      <c r="C1089" s="4" t="s">
        <v>33</v>
      </c>
      <c r="D1089" s="4" t="s">
        <v>38</v>
      </c>
      <c r="E1089" s="4" t="s">
        <v>25</v>
      </c>
      <c r="F1089" s="4" t="s">
        <v>25</v>
      </c>
      <c r="G1089" s="4" t="s">
        <v>25</v>
      </c>
      <c r="H1089" s="4" t="s">
        <v>25</v>
      </c>
      <c r="I1089" s="5">
        <v>44440</v>
      </c>
      <c r="J1089" s="6">
        <v>0</v>
      </c>
      <c r="K1089" s="6">
        <v>0</v>
      </c>
      <c r="L1089" s="6">
        <v>0.3</v>
      </c>
      <c r="M1089" s="6">
        <v>0.3</v>
      </c>
      <c r="N1089" s="6">
        <v>0.3</v>
      </c>
      <c r="O1089" s="6">
        <v>0.3</v>
      </c>
      <c r="P1089" s="6">
        <v>3</v>
      </c>
      <c r="Q1089" s="4" t="s">
        <v>26</v>
      </c>
      <c r="R1089" s="4">
        <v>0</v>
      </c>
      <c r="S1089" s="6">
        <v>0</v>
      </c>
      <c r="T1089" s="6">
        <v>44</v>
      </c>
      <c r="U1089" s="6">
        <v>81</v>
      </c>
      <c r="V1089" s="6">
        <f>IF(ISERROR(VLOOKUP($S$1089,'TAR FIN'!$A$1:$O$85,15,0)),0,VLOOKUP($S$1089,'TAR FIN'!$A$1:$O$85,15,0))</f>
        <v>0</v>
      </c>
      <c r="W1089" s="6">
        <f>IF(ISERROR(VLOOKUP($T$1089,'TAR FIN'!$A$1:$O$85,15,0)),0,VLOOKUP($T$1089,'TAR FIN'!$A$1:$O$85,15,0))</f>
        <v>324.88</v>
      </c>
      <c r="X1089" s="6">
        <f>IF(ISERROR(VLOOKUP($U$1089,'TAR FIN'!$A$1:$O$85,15,0)),0,VLOOKUP($U$1089,'TAR FIN'!$A$1:$O$85,15,0))</f>
        <v>322.54000000000002</v>
      </c>
      <c r="Y1089" s="6"/>
      <c r="Z1089" s="6">
        <f ca="1">('TUSD BE'!$AM$48+'TUSD BF'!$AM$48+'TUSD CVA'!$AM$48)*1</f>
        <v>434.80310925202969</v>
      </c>
      <c r="AA1089" s="6">
        <f>('TE BE'!$AB$38+'TE BF'!$AB$38+'TE CVA'!$AB$38)*1</f>
        <v>319.954086693367</v>
      </c>
      <c r="AB1089" s="6">
        <f>$K$1089*$V$1089</f>
        <v>0</v>
      </c>
      <c r="AC1089" s="6">
        <f>$M$1089*$W$1089</f>
        <v>97.463999999999999</v>
      </c>
      <c r="AD1089" s="6">
        <f>$O$1089*$X$1089</f>
        <v>96.762</v>
      </c>
      <c r="AE1089" s="6">
        <f>$K$1089*$Y$1089</f>
        <v>0</v>
      </c>
      <c r="AF1089" s="6">
        <f ca="1">$M$1089*$Z$1089</f>
        <v>130.4409327756089</v>
      </c>
      <c r="AG1089" s="6">
        <f>$O$1089*$AA$1089</f>
        <v>95.986226008010092</v>
      </c>
    </row>
    <row r="1090" spans="1:33" ht="11.25" customHeight="1" x14ac:dyDescent="0.25">
      <c r="A1090" s="4" t="s">
        <v>28</v>
      </c>
      <c r="B1090" s="4" t="s">
        <v>37</v>
      </c>
      <c r="C1090" s="4" t="s">
        <v>33</v>
      </c>
      <c r="D1090" s="4" t="s">
        <v>38</v>
      </c>
      <c r="E1090" s="4" t="s">
        <v>25</v>
      </c>
      <c r="F1090" s="4" t="s">
        <v>25</v>
      </c>
      <c r="G1090" s="4" t="s">
        <v>25</v>
      </c>
      <c r="H1090" s="4" t="s">
        <v>25</v>
      </c>
      <c r="I1090" s="5">
        <v>44470</v>
      </c>
      <c r="J1090" s="6">
        <v>0</v>
      </c>
      <c r="K1090" s="6">
        <v>0</v>
      </c>
      <c r="L1090" s="6">
        <v>0.2</v>
      </c>
      <c r="M1090" s="6">
        <v>0.2</v>
      </c>
      <c r="N1090" s="6">
        <v>0.2</v>
      </c>
      <c r="O1090" s="6">
        <v>0.2</v>
      </c>
      <c r="P1090" s="6">
        <v>2</v>
      </c>
      <c r="Q1090" s="4" t="s">
        <v>26</v>
      </c>
      <c r="R1090" s="4">
        <v>0</v>
      </c>
      <c r="S1090" s="6">
        <v>0</v>
      </c>
      <c r="T1090" s="6">
        <v>44</v>
      </c>
      <c r="U1090" s="6">
        <v>81</v>
      </c>
      <c r="V1090" s="6">
        <f>IF(ISERROR(VLOOKUP($S$1090,'TAR FIN'!$A$1:$O$85,15,0)),0,VLOOKUP($S$1090,'TAR FIN'!$A$1:$O$85,15,0))</f>
        <v>0</v>
      </c>
      <c r="W1090" s="6">
        <f>IF(ISERROR(VLOOKUP($T$1090,'TAR FIN'!$A$1:$O$85,15,0)),0,VLOOKUP($T$1090,'TAR FIN'!$A$1:$O$85,15,0))</f>
        <v>324.88</v>
      </c>
      <c r="X1090" s="6">
        <f>IF(ISERROR(VLOOKUP($U$1090,'TAR FIN'!$A$1:$O$85,15,0)),0,VLOOKUP($U$1090,'TAR FIN'!$A$1:$O$85,15,0))</f>
        <v>322.54000000000002</v>
      </c>
      <c r="Y1090" s="6"/>
      <c r="Z1090" s="6">
        <f ca="1">('TUSD BE'!$AM$48+'TUSD BF'!$AM$48+'TUSD CVA'!$AM$48)*1</f>
        <v>434.80310925202969</v>
      </c>
      <c r="AA1090" s="6">
        <f>('TE BE'!$AB$38+'TE BF'!$AB$38+'TE CVA'!$AB$38)*1</f>
        <v>319.954086693367</v>
      </c>
      <c r="AB1090" s="6">
        <f>$K$1090*$V$1090</f>
        <v>0</v>
      </c>
      <c r="AC1090" s="6">
        <f>$M$1090*$W$1090</f>
        <v>64.975999999999999</v>
      </c>
      <c r="AD1090" s="6">
        <f>$O$1090*$X$1090</f>
        <v>64.50800000000001</v>
      </c>
      <c r="AE1090" s="6">
        <f>$K$1090*$Y$1090</f>
        <v>0</v>
      </c>
      <c r="AF1090" s="6">
        <f ca="1">$M$1090*$Z$1090</f>
        <v>86.960621850405943</v>
      </c>
      <c r="AG1090" s="6">
        <f>$O$1090*$AA$1090</f>
        <v>63.990817338673402</v>
      </c>
    </row>
    <row r="1091" spans="1:33" ht="11.25" customHeight="1" x14ac:dyDescent="0.25">
      <c r="A1091" s="4" t="s">
        <v>28</v>
      </c>
      <c r="B1091" s="4" t="s">
        <v>37</v>
      </c>
      <c r="C1091" s="4" t="s">
        <v>33</v>
      </c>
      <c r="D1091" s="4" t="s">
        <v>38</v>
      </c>
      <c r="E1091" s="4" t="s">
        <v>25</v>
      </c>
      <c r="F1091" s="4" t="s">
        <v>25</v>
      </c>
      <c r="G1091" s="4" t="s">
        <v>25</v>
      </c>
      <c r="H1091" s="4" t="s">
        <v>25</v>
      </c>
      <c r="I1091" s="5">
        <v>44501</v>
      </c>
      <c r="J1091" s="6">
        <v>0</v>
      </c>
      <c r="K1091" s="6">
        <v>0</v>
      </c>
      <c r="L1091" s="6">
        <v>0.4</v>
      </c>
      <c r="M1091" s="6">
        <v>0.4</v>
      </c>
      <c r="N1091" s="6">
        <v>0.4</v>
      </c>
      <c r="O1091" s="6">
        <v>0.4</v>
      </c>
      <c r="P1091" s="6">
        <v>4</v>
      </c>
      <c r="Q1091" s="4" t="s">
        <v>26</v>
      </c>
      <c r="R1091" s="4">
        <v>0</v>
      </c>
      <c r="S1091" s="6">
        <v>0</v>
      </c>
      <c r="T1091" s="6">
        <v>44</v>
      </c>
      <c r="U1091" s="6">
        <v>81</v>
      </c>
      <c r="V1091" s="6">
        <f>IF(ISERROR(VLOOKUP($S$1091,'TAR FIN'!$A$1:$O$85,15,0)),0,VLOOKUP($S$1091,'TAR FIN'!$A$1:$O$85,15,0))</f>
        <v>0</v>
      </c>
      <c r="W1091" s="6">
        <f>IF(ISERROR(VLOOKUP($T$1091,'TAR FIN'!$A$1:$O$85,15,0)),0,VLOOKUP($T$1091,'TAR FIN'!$A$1:$O$85,15,0))</f>
        <v>324.88</v>
      </c>
      <c r="X1091" s="6">
        <f>IF(ISERROR(VLOOKUP($U$1091,'TAR FIN'!$A$1:$O$85,15,0)),0,VLOOKUP($U$1091,'TAR FIN'!$A$1:$O$85,15,0))</f>
        <v>322.54000000000002</v>
      </c>
      <c r="Y1091" s="6"/>
      <c r="Z1091" s="6">
        <f ca="1">('TUSD BE'!$AM$48+'TUSD BF'!$AM$48+'TUSD CVA'!$AM$48)*1</f>
        <v>434.80310925202969</v>
      </c>
      <c r="AA1091" s="6">
        <f>('TE BE'!$AB$38+'TE BF'!$AB$38+'TE CVA'!$AB$38)*1</f>
        <v>319.954086693367</v>
      </c>
      <c r="AB1091" s="6">
        <f>$K$1091*$V$1091</f>
        <v>0</v>
      </c>
      <c r="AC1091" s="6">
        <f>$M$1091*$W$1091</f>
        <v>129.952</v>
      </c>
      <c r="AD1091" s="6">
        <f>$O$1091*$X$1091</f>
        <v>129.01600000000002</v>
      </c>
      <c r="AE1091" s="6">
        <f>$K$1091*$Y$1091</f>
        <v>0</v>
      </c>
      <c r="AF1091" s="6">
        <f ca="1">$M$1091*$Z$1091</f>
        <v>173.92124370081189</v>
      </c>
      <c r="AG1091" s="6">
        <f>$O$1091*$AA$1091</f>
        <v>127.9816346773468</v>
      </c>
    </row>
    <row r="1092" spans="1:33" ht="11.25" customHeight="1" x14ac:dyDescent="0.25">
      <c r="A1092" s="4" t="s">
        <v>28</v>
      </c>
      <c r="B1092" s="4" t="s">
        <v>37</v>
      </c>
      <c r="C1092" s="4" t="s">
        <v>33</v>
      </c>
      <c r="D1092" s="4" t="s">
        <v>38</v>
      </c>
      <c r="E1092" s="4" t="s">
        <v>25</v>
      </c>
      <c r="F1092" s="4" t="s">
        <v>25</v>
      </c>
      <c r="G1092" s="4" t="s">
        <v>25</v>
      </c>
      <c r="H1092" s="4" t="s">
        <v>25</v>
      </c>
      <c r="I1092" s="5">
        <v>44531</v>
      </c>
      <c r="J1092" s="6">
        <v>0</v>
      </c>
      <c r="K1092" s="6">
        <v>0</v>
      </c>
      <c r="L1092" s="6">
        <v>0.1</v>
      </c>
      <c r="M1092" s="6">
        <v>0.1</v>
      </c>
      <c r="N1092" s="6">
        <v>0.1</v>
      </c>
      <c r="O1092" s="6">
        <v>0.1</v>
      </c>
      <c r="P1092" s="6">
        <v>4</v>
      </c>
      <c r="Q1092" s="4" t="s">
        <v>26</v>
      </c>
      <c r="R1092" s="4">
        <v>0</v>
      </c>
      <c r="S1092" s="6">
        <v>0</v>
      </c>
      <c r="T1092" s="6">
        <v>44</v>
      </c>
      <c r="U1092" s="6">
        <v>81</v>
      </c>
      <c r="V1092" s="6">
        <f>IF(ISERROR(VLOOKUP($S$1092,'TAR FIN'!$A$1:$O$85,15,0)),0,VLOOKUP($S$1092,'TAR FIN'!$A$1:$O$85,15,0))</f>
        <v>0</v>
      </c>
      <c r="W1092" s="6">
        <f>IF(ISERROR(VLOOKUP($T$1092,'TAR FIN'!$A$1:$O$85,15,0)),0,VLOOKUP($T$1092,'TAR FIN'!$A$1:$O$85,15,0))</f>
        <v>324.88</v>
      </c>
      <c r="X1092" s="6">
        <f>IF(ISERROR(VLOOKUP($U$1092,'TAR FIN'!$A$1:$O$85,15,0)),0,VLOOKUP($U$1092,'TAR FIN'!$A$1:$O$85,15,0))</f>
        <v>322.54000000000002</v>
      </c>
      <c r="Y1092" s="6"/>
      <c r="Z1092" s="6">
        <f ca="1">('TUSD BE'!$AM$48+'TUSD BF'!$AM$48+'TUSD CVA'!$AM$48)*1</f>
        <v>434.80310925202969</v>
      </c>
      <c r="AA1092" s="6">
        <f>('TE BE'!$AB$38+'TE BF'!$AB$38+'TE CVA'!$AB$38)*1</f>
        <v>319.954086693367</v>
      </c>
      <c r="AB1092" s="6">
        <f>$K$1092*$V$1092</f>
        <v>0</v>
      </c>
      <c r="AC1092" s="6">
        <f>$M$1092*$W$1092</f>
        <v>32.488</v>
      </c>
      <c r="AD1092" s="6">
        <f>$O$1092*$X$1092</f>
        <v>32.254000000000005</v>
      </c>
      <c r="AE1092" s="6">
        <f>$K$1092*$Y$1092</f>
        <v>0</v>
      </c>
      <c r="AF1092" s="6">
        <f ca="1">$M$1092*$Z$1092</f>
        <v>43.480310925202971</v>
      </c>
      <c r="AG1092" s="6">
        <f>$O$1092*$AA$1092</f>
        <v>31.995408669336701</v>
      </c>
    </row>
    <row r="1093" spans="1:33" ht="11.25" customHeight="1" x14ac:dyDescent="0.25">
      <c r="A1093" s="4" t="s">
        <v>28</v>
      </c>
      <c r="B1093" s="4" t="s">
        <v>37</v>
      </c>
      <c r="C1093" s="4" t="s">
        <v>33</v>
      </c>
      <c r="D1093" s="4" t="s">
        <v>38</v>
      </c>
      <c r="E1093" s="4" t="s">
        <v>25</v>
      </c>
      <c r="F1093" s="4" t="s">
        <v>25</v>
      </c>
      <c r="G1093" s="4" t="s">
        <v>25</v>
      </c>
      <c r="H1093" s="4" t="s">
        <v>25</v>
      </c>
      <c r="I1093" s="5">
        <v>44562</v>
      </c>
      <c r="J1093" s="6">
        <v>0</v>
      </c>
      <c r="K1093" s="6">
        <v>0</v>
      </c>
      <c r="L1093" s="6">
        <v>0.4</v>
      </c>
      <c r="M1093" s="6">
        <v>0.4</v>
      </c>
      <c r="N1093" s="6">
        <v>0.4</v>
      </c>
      <c r="O1093" s="6">
        <v>0.4</v>
      </c>
      <c r="P1093" s="6">
        <v>4</v>
      </c>
      <c r="Q1093" s="4" t="s">
        <v>26</v>
      </c>
      <c r="R1093" s="4">
        <v>0</v>
      </c>
      <c r="S1093" s="6">
        <v>0</v>
      </c>
      <c r="T1093" s="6">
        <v>44</v>
      </c>
      <c r="U1093" s="6">
        <v>81</v>
      </c>
      <c r="V1093" s="6">
        <f>IF(ISERROR(VLOOKUP($S$1093,'TAR FIN'!$A$1:$O$85,15,0)),0,VLOOKUP($S$1093,'TAR FIN'!$A$1:$O$85,15,0))</f>
        <v>0</v>
      </c>
      <c r="W1093" s="6">
        <f>IF(ISERROR(VLOOKUP($T$1093,'TAR FIN'!$A$1:$O$85,15,0)),0,VLOOKUP($T$1093,'TAR FIN'!$A$1:$O$85,15,0))</f>
        <v>324.88</v>
      </c>
      <c r="X1093" s="6">
        <f>IF(ISERROR(VLOOKUP($U$1093,'TAR FIN'!$A$1:$O$85,15,0)),0,VLOOKUP($U$1093,'TAR FIN'!$A$1:$O$85,15,0))</f>
        <v>322.54000000000002</v>
      </c>
      <c r="Y1093" s="6"/>
      <c r="Z1093" s="6">
        <f ca="1">('TUSD BE'!$AM$48+'TUSD BF'!$AM$48+'TUSD CVA'!$AM$48)*1</f>
        <v>434.80310925202969</v>
      </c>
      <c r="AA1093" s="6">
        <f>('TE BE'!$AB$38+'TE BF'!$AB$38+'TE CVA'!$AB$38)*1</f>
        <v>319.954086693367</v>
      </c>
      <c r="AB1093" s="6">
        <f>$K$1093*$V$1093</f>
        <v>0</v>
      </c>
      <c r="AC1093" s="6">
        <f>$M$1093*$W$1093</f>
        <v>129.952</v>
      </c>
      <c r="AD1093" s="6">
        <f>$O$1093*$X$1093</f>
        <v>129.01600000000002</v>
      </c>
      <c r="AE1093" s="6">
        <f>$K$1093*$Y$1093</f>
        <v>0</v>
      </c>
      <c r="AF1093" s="6">
        <f ca="1">$M$1093*$Z$1093</f>
        <v>173.92124370081189</v>
      </c>
      <c r="AG1093" s="6">
        <f>$O$1093*$AA$1093</f>
        <v>127.9816346773468</v>
      </c>
    </row>
    <row r="1094" spans="1:33" ht="11.25" customHeight="1" x14ac:dyDescent="0.25">
      <c r="A1094" s="4" t="s">
        <v>28</v>
      </c>
      <c r="B1094" s="4" t="s">
        <v>37</v>
      </c>
      <c r="C1094" s="4" t="s">
        <v>33</v>
      </c>
      <c r="D1094" s="4" t="s">
        <v>38</v>
      </c>
      <c r="E1094" s="4" t="s">
        <v>25</v>
      </c>
      <c r="F1094" s="4" t="s">
        <v>25</v>
      </c>
      <c r="G1094" s="4" t="s">
        <v>25</v>
      </c>
      <c r="H1094" s="4" t="s">
        <v>25</v>
      </c>
      <c r="I1094" s="5">
        <v>44593</v>
      </c>
      <c r="J1094" s="6">
        <v>0</v>
      </c>
      <c r="K1094" s="6">
        <v>0</v>
      </c>
      <c r="L1094" s="6">
        <v>0.4</v>
      </c>
      <c r="M1094" s="6">
        <v>0.4</v>
      </c>
      <c r="N1094" s="6">
        <v>0.4</v>
      </c>
      <c r="O1094" s="6">
        <v>0.4</v>
      </c>
      <c r="P1094" s="6">
        <v>4</v>
      </c>
      <c r="Q1094" s="4" t="s">
        <v>26</v>
      </c>
      <c r="R1094" s="4">
        <v>0</v>
      </c>
      <c r="S1094" s="6">
        <v>0</v>
      </c>
      <c r="T1094" s="6">
        <v>44</v>
      </c>
      <c r="U1094" s="6">
        <v>81</v>
      </c>
      <c r="V1094" s="6">
        <f>IF(ISERROR(VLOOKUP($S$1094,'TAR FIN'!$A$1:$O$85,15,0)),0,VLOOKUP($S$1094,'TAR FIN'!$A$1:$O$85,15,0))</f>
        <v>0</v>
      </c>
      <c r="W1094" s="6">
        <f>IF(ISERROR(VLOOKUP($T$1094,'TAR FIN'!$A$1:$O$85,15,0)),0,VLOOKUP($T$1094,'TAR FIN'!$A$1:$O$85,15,0))</f>
        <v>324.88</v>
      </c>
      <c r="X1094" s="6">
        <f>IF(ISERROR(VLOOKUP($U$1094,'TAR FIN'!$A$1:$O$85,15,0)),0,VLOOKUP($U$1094,'TAR FIN'!$A$1:$O$85,15,0))</f>
        <v>322.54000000000002</v>
      </c>
      <c r="Y1094" s="6"/>
      <c r="Z1094" s="6">
        <f ca="1">('TUSD BE'!$AM$48+'TUSD BF'!$AM$48+'TUSD CVA'!$AM$48)*1</f>
        <v>434.80310925202969</v>
      </c>
      <c r="AA1094" s="6">
        <f>('TE BE'!$AB$38+'TE BF'!$AB$38+'TE CVA'!$AB$38)*1</f>
        <v>319.954086693367</v>
      </c>
      <c r="AB1094" s="6">
        <f>$K$1094*$V$1094</f>
        <v>0</v>
      </c>
      <c r="AC1094" s="6">
        <f>$M$1094*$W$1094</f>
        <v>129.952</v>
      </c>
      <c r="AD1094" s="6">
        <f>$O$1094*$X$1094</f>
        <v>129.01600000000002</v>
      </c>
      <c r="AE1094" s="6">
        <f>$K$1094*$Y$1094</f>
        <v>0</v>
      </c>
      <c r="AF1094" s="6">
        <f ca="1">$M$1094*$Z$1094</f>
        <v>173.92124370081189</v>
      </c>
      <c r="AG1094" s="6">
        <f>$O$1094*$AA$1094</f>
        <v>127.9816346773468</v>
      </c>
    </row>
    <row r="1095" spans="1:33" ht="11.25" customHeight="1" x14ac:dyDescent="0.25">
      <c r="A1095" s="4" t="s">
        <v>28</v>
      </c>
      <c r="B1095" s="4" t="s">
        <v>37</v>
      </c>
      <c r="C1095" s="4" t="s">
        <v>33</v>
      </c>
      <c r="D1095" s="4" t="s">
        <v>38</v>
      </c>
      <c r="E1095" s="4" t="s">
        <v>25</v>
      </c>
      <c r="F1095" s="4" t="s">
        <v>25</v>
      </c>
      <c r="G1095" s="4" t="s">
        <v>25</v>
      </c>
      <c r="H1095" s="4" t="s">
        <v>25</v>
      </c>
      <c r="I1095" s="5">
        <v>44621</v>
      </c>
      <c r="J1095" s="6">
        <v>0</v>
      </c>
      <c r="K1095" s="6">
        <v>0</v>
      </c>
      <c r="L1095" s="6">
        <v>0.4</v>
      </c>
      <c r="M1095" s="6">
        <v>0.4</v>
      </c>
      <c r="N1095" s="6">
        <v>0.4</v>
      </c>
      <c r="O1095" s="6">
        <v>0.4</v>
      </c>
      <c r="P1095" s="6">
        <v>4</v>
      </c>
      <c r="Q1095" s="4" t="s">
        <v>26</v>
      </c>
      <c r="R1095" s="4">
        <v>0</v>
      </c>
      <c r="S1095" s="6">
        <v>0</v>
      </c>
      <c r="T1095" s="6">
        <v>44</v>
      </c>
      <c r="U1095" s="6">
        <v>81</v>
      </c>
      <c r="V1095" s="6">
        <f>IF(ISERROR(VLOOKUP($S$1095,'TAR FIN'!$A$1:$O$85,15,0)),0,VLOOKUP($S$1095,'TAR FIN'!$A$1:$O$85,15,0))</f>
        <v>0</v>
      </c>
      <c r="W1095" s="6">
        <f>IF(ISERROR(VLOOKUP($T$1095,'TAR FIN'!$A$1:$O$85,15,0)),0,VLOOKUP($T$1095,'TAR FIN'!$A$1:$O$85,15,0))</f>
        <v>324.88</v>
      </c>
      <c r="X1095" s="6">
        <f>IF(ISERROR(VLOOKUP($U$1095,'TAR FIN'!$A$1:$O$85,15,0)),0,VLOOKUP($U$1095,'TAR FIN'!$A$1:$O$85,15,0))</f>
        <v>322.54000000000002</v>
      </c>
      <c r="Y1095" s="6"/>
      <c r="Z1095" s="6">
        <f ca="1">('TUSD BE'!$AM$48+'TUSD BF'!$AM$48+'TUSD CVA'!$AM$48)*1</f>
        <v>434.80310925202969</v>
      </c>
      <c r="AA1095" s="6">
        <f>('TE BE'!$AB$38+'TE BF'!$AB$38+'TE CVA'!$AB$38)*1</f>
        <v>319.954086693367</v>
      </c>
      <c r="AB1095" s="6">
        <f>$K$1095*$V$1095</f>
        <v>0</v>
      </c>
      <c r="AC1095" s="6">
        <f>$M$1095*$W$1095</f>
        <v>129.952</v>
      </c>
      <c r="AD1095" s="6">
        <f>$O$1095*$X$1095</f>
        <v>129.01600000000002</v>
      </c>
      <c r="AE1095" s="6">
        <f>$K$1095*$Y$1095</f>
        <v>0</v>
      </c>
      <c r="AF1095" s="6">
        <f ca="1">$M$1095*$Z$1095</f>
        <v>173.92124370081189</v>
      </c>
      <c r="AG1095" s="6">
        <f>$O$1095*$AA$1095</f>
        <v>127.9816346773468</v>
      </c>
    </row>
    <row r="1096" spans="1:33" ht="11.25" customHeight="1" x14ac:dyDescent="0.25">
      <c r="A1096" s="4" t="s">
        <v>28</v>
      </c>
      <c r="B1096" s="4" t="s">
        <v>37</v>
      </c>
      <c r="C1096" s="4" t="s">
        <v>33</v>
      </c>
      <c r="D1096" s="4" t="s">
        <v>38</v>
      </c>
      <c r="E1096" s="4" t="s">
        <v>25</v>
      </c>
      <c r="F1096" s="4" t="s">
        <v>25</v>
      </c>
      <c r="G1096" s="4" t="s">
        <v>25</v>
      </c>
      <c r="H1096" s="4" t="s">
        <v>25</v>
      </c>
      <c r="I1096" s="5">
        <v>44621</v>
      </c>
      <c r="J1096" s="6">
        <v>0</v>
      </c>
      <c r="K1096" s="6">
        <v>0</v>
      </c>
      <c r="L1096" s="6">
        <v>0.6</v>
      </c>
      <c r="M1096" s="6">
        <v>0.6</v>
      </c>
      <c r="N1096" s="6">
        <v>0.6</v>
      </c>
      <c r="O1096" s="6">
        <v>0.6</v>
      </c>
      <c r="P1096" s="6">
        <v>0</v>
      </c>
      <c r="Q1096" s="4" t="s">
        <v>26</v>
      </c>
      <c r="R1096" s="4">
        <v>0</v>
      </c>
      <c r="S1096" s="6">
        <v>0</v>
      </c>
      <c r="T1096" s="6">
        <v>44</v>
      </c>
      <c r="U1096" s="6">
        <v>81</v>
      </c>
      <c r="V1096" s="6">
        <f>IF(ISERROR(VLOOKUP($S$1096,'TAR FIN'!$A$1:$O$85,15,0)),0,VLOOKUP($S$1096,'TAR FIN'!$A$1:$O$85,15,0))</f>
        <v>0</v>
      </c>
      <c r="W1096" s="6">
        <f>IF(ISERROR(VLOOKUP($T$1096,'TAR FIN'!$A$1:$O$85,15,0)),0,VLOOKUP($T$1096,'TAR FIN'!$A$1:$O$85,15,0))</f>
        <v>324.88</v>
      </c>
      <c r="X1096" s="6">
        <f>IF(ISERROR(VLOOKUP($U$1096,'TAR FIN'!$A$1:$O$85,15,0)),0,VLOOKUP($U$1096,'TAR FIN'!$A$1:$O$85,15,0))</f>
        <v>322.54000000000002</v>
      </c>
      <c r="Y1096" s="6"/>
      <c r="Z1096" s="6">
        <f ca="1">('TUSD BE'!$AM$48+'TUSD BF'!$AM$48+'TUSD CVA'!$AM$48)*1</f>
        <v>434.80310925202969</v>
      </c>
      <c r="AA1096" s="6">
        <f>('TE BE'!$AB$38+'TE BF'!$AB$38+'TE CVA'!$AB$38)*1</f>
        <v>319.954086693367</v>
      </c>
      <c r="AB1096" s="6">
        <f>$K$1096*$V$1096</f>
        <v>0</v>
      </c>
      <c r="AC1096" s="6">
        <f>$M$1096*$W$1096</f>
        <v>194.928</v>
      </c>
      <c r="AD1096" s="6">
        <f>$O$1096*$X$1096</f>
        <v>193.524</v>
      </c>
      <c r="AE1096" s="6">
        <f>$K$1096*$Y$1096</f>
        <v>0</v>
      </c>
      <c r="AF1096" s="6">
        <f ca="1">$M$1096*$Z$1096</f>
        <v>260.8818655512178</v>
      </c>
      <c r="AG1096" s="6">
        <f>$O$1096*$AA$1096</f>
        <v>191.97245201602018</v>
      </c>
    </row>
    <row r="1097" spans="1:33" ht="11.25" customHeight="1" x14ac:dyDescent="0.25">
      <c r="A1097" s="4" t="s">
        <v>28</v>
      </c>
      <c r="B1097" s="4" t="s">
        <v>37</v>
      </c>
      <c r="C1097" s="4" t="s">
        <v>33</v>
      </c>
      <c r="D1097" s="4" t="s">
        <v>38</v>
      </c>
      <c r="E1097" s="4" t="s">
        <v>25</v>
      </c>
      <c r="F1097" s="4" t="s">
        <v>25</v>
      </c>
      <c r="G1097" s="4" t="s">
        <v>25</v>
      </c>
      <c r="H1097" s="4" t="s">
        <v>25</v>
      </c>
      <c r="I1097" s="5">
        <v>44652</v>
      </c>
      <c r="J1097" s="6">
        <v>0</v>
      </c>
      <c r="K1097" s="6">
        <v>0</v>
      </c>
      <c r="L1097" s="6">
        <v>0.4</v>
      </c>
      <c r="M1097" s="6">
        <v>0.4</v>
      </c>
      <c r="N1097" s="6">
        <v>0.4</v>
      </c>
      <c r="O1097" s="6">
        <v>0.4</v>
      </c>
      <c r="P1097" s="6">
        <v>4</v>
      </c>
      <c r="Q1097" s="4" t="s">
        <v>26</v>
      </c>
      <c r="R1097" s="4">
        <v>0</v>
      </c>
      <c r="S1097" s="6">
        <v>0</v>
      </c>
      <c r="T1097" s="6">
        <v>44</v>
      </c>
      <c r="U1097" s="6">
        <v>81</v>
      </c>
      <c r="V1097" s="6">
        <f>IF(ISERROR(VLOOKUP($S$1097,'TAR FIN'!$A$1:$O$85,15,0)),0,VLOOKUP($S$1097,'TAR FIN'!$A$1:$O$85,15,0))</f>
        <v>0</v>
      </c>
      <c r="W1097" s="6">
        <f>IF(ISERROR(VLOOKUP($T$1097,'TAR FIN'!$A$1:$O$85,15,0)),0,VLOOKUP($T$1097,'TAR FIN'!$A$1:$O$85,15,0))</f>
        <v>324.88</v>
      </c>
      <c r="X1097" s="6">
        <f>IF(ISERROR(VLOOKUP($U$1097,'TAR FIN'!$A$1:$O$85,15,0)),0,VLOOKUP($U$1097,'TAR FIN'!$A$1:$O$85,15,0))</f>
        <v>322.54000000000002</v>
      </c>
      <c r="Y1097" s="6"/>
      <c r="Z1097" s="6">
        <f ca="1">('TUSD BE'!$AM$48+'TUSD BF'!$AM$48+'TUSD CVA'!$AM$48)*1</f>
        <v>434.80310925202969</v>
      </c>
      <c r="AA1097" s="6">
        <f>('TE BE'!$AB$38+'TE BF'!$AB$38+'TE CVA'!$AB$38)*1</f>
        <v>319.954086693367</v>
      </c>
      <c r="AB1097" s="6">
        <f>$K$1097*$V$1097</f>
        <v>0</v>
      </c>
      <c r="AC1097" s="6">
        <f>$M$1097*$W$1097</f>
        <v>129.952</v>
      </c>
      <c r="AD1097" s="6">
        <f>$O$1097*$X$1097</f>
        <v>129.01600000000002</v>
      </c>
      <c r="AE1097" s="6">
        <f>$K$1097*$Y$1097</f>
        <v>0</v>
      </c>
      <c r="AF1097" s="6">
        <f ca="1">$M$1097*$Z$1097</f>
        <v>173.92124370081189</v>
      </c>
      <c r="AG1097" s="6">
        <f>$O$1097*$AA$1097</f>
        <v>127.9816346773468</v>
      </c>
    </row>
    <row r="1098" spans="1:33" ht="11.25" customHeight="1" x14ac:dyDescent="0.25">
      <c r="A1098" s="4" t="s">
        <v>28</v>
      </c>
      <c r="B1098" s="4" t="s">
        <v>37</v>
      </c>
      <c r="C1098" s="4" t="s">
        <v>33</v>
      </c>
      <c r="D1098" s="4" t="s">
        <v>38</v>
      </c>
      <c r="E1098" s="4" t="s">
        <v>25</v>
      </c>
      <c r="F1098" s="4" t="s">
        <v>25</v>
      </c>
      <c r="G1098" s="4" t="s">
        <v>25</v>
      </c>
      <c r="H1098" s="4" t="s">
        <v>25</v>
      </c>
      <c r="I1098" s="5">
        <v>44682</v>
      </c>
      <c r="J1098" s="6">
        <v>0</v>
      </c>
      <c r="K1098" s="6">
        <v>0</v>
      </c>
      <c r="L1098" s="6">
        <v>0.4</v>
      </c>
      <c r="M1098" s="6">
        <v>0.4</v>
      </c>
      <c r="N1098" s="6">
        <v>0.4</v>
      </c>
      <c r="O1098" s="6">
        <v>0.4</v>
      </c>
      <c r="P1098" s="6">
        <v>4</v>
      </c>
      <c r="Q1098" s="4" t="s">
        <v>26</v>
      </c>
      <c r="R1098" s="4">
        <v>0</v>
      </c>
      <c r="S1098" s="6">
        <v>0</v>
      </c>
      <c r="T1098" s="6">
        <v>44</v>
      </c>
      <c r="U1098" s="6">
        <v>81</v>
      </c>
      <c r="V1098" s="6">
        <f>IF(ISERROR(VLOOKUP($S$1098,'TAR FIN'!$A$1:$O$85,15,0)),0,VLOOKUP($S$1098,'TAR FIN'!$A$1:$O$85,15,0))</f>
        <v>0</v>
      </c>
      <c r="W1098" s="6">
        <f>IF(ISERROR(VLOOKUP($T$1098,'TAR FIN'!$A$1:$O$85,15,0)),0,VLOOKUP($T$1098,'TAR FIN'!$A$1:$O$85,15,0))</f>
        <v>324.88</v>
      </c>
      <c r="X1098" s="6">
        <f>IF(ISERROR(VLOOKUP($U$1098,'TAR FIN'!$A$1:$O$85,15,0)),0,VLOOKUP($U$1098,'TAR FIN'!$A$1:$O$85,15,0))</f>
        <v>322.54000000000002</v>
      </c>
      <c r="Y1098" s="6"/>
      <c r="Z1098" s="6">
        <f ca="1">('TUSD BE'!$AM$48+'TUSD BF'!$AM$48+'TUSD CVA'!$AM$48)*1</f>
        <v>434.80310925202969</v>
      </c>
      <c r="AA1098" s="6">
        <f>('TE BE'!$AB$38+'TE BF'!$AB$38+'TE CVA'!$AB$38)*1</f>
        <v>319.954086693367</v>
      </c>
      <c r="AB1098" s="6">
        <f>$K$1098*$V$1098</f>
        <v>0</v>
      </c>
      <c r="AC1098" s="6">
        <f>$M$1098*$W$1098</f>
        <v>129.952</v>
      </c>
      <c r="AD1098" s="6">
        <f>$O$1098*$X$1098</f>
        <v>129.01600000000002</v>
      </c>
      <c r="AE1098" s="6">
        <f>$K$1098*$Y$1098</f>
        <v>0</v>
      </c>
      <c r="AF1098" s="6">
        <f ca="1">$M$1098*$Z$1098</f>
        <v>173.92124370081189</v>
      </c>
      <c r="AG1098" s="6">
        <f>$O$1098*$AA$1098</f>
        <v>127.9816346773468</v>
      </c>
    </row>
    <row r="1099" spans="1:33" ht="11.25" customHeight="1" x14ac:dyDescent="0.25">
      <c r="A1099" s="4" t="s">
        <v>28</v>
      </c>
      <c r="B1099" s="4" t="s">
        <v>37</v>
      </c>
      <c r="C1099" s="4" t="s">
        <v>33</v>
      </c>
      <c r="D1099" s="4" t="s">
        <v>38</v>
      </c>
      <c r="E1099" s="4" t="s">
        <v>25</v>
      </c>
      <c r="F1099" s="4" t="s">
        <v>25</v>
      </c>
      <c r="G1099" s="4" t="s">
        <v>25</v>
      </c>
      <c r="H1099" s="4" t="s">
        <v>25</v>
      </c>
      <c r="I1099" s="5">
        <v>44713</v>
      </c>
      <c r="J1099" s="6">
        <v>0</v>
      </c>
      <c r="K1099" s="6">
        <v>0</v>
      </c>
      <c r="L1099" s="6">
        <v>0.3</v>
      </c>
      <c r="M1099" s="6">
        <v>0.3</v>
      </c>
      <c r="N1099" s="6">
        <v>0.3</v>
      </c>
      <c r="O1099" s="6">
        <v>0.3</v>
      </c>
      <c r="P1099" s="6">
        <v>4</v>
      </c>
      <c r="Q1099" s="4" t="s">
        <v>26</v>
      </c>
      <c r="R1099" s="4">
        <v>0</v>
      </c>
      <c r="S1099" s="6">
        <v>0</v>
      </c>
      <c r="T1099" s="6">
        <v>44</v>
      </c>
      <c r="U1099" s="6">
        <v>81</v>
      </c>
      <c r="V1099" s="6">
        <f>IF(ISERROR(VLOOKUP($S$1099,'TAR FIN'!$A$1:$O$85,15,0)),0,VLOOKUP($S$1099,'TAR FIN'!$A$1:$O$85,15,0))</f>
        <v>0</v>
      </c>
      <c r="W1099" s="6">
        <f>IF(ISERROR(VLOOKUP($T$1099,'TAR FIN'!$A$1:$O$85,15,0)),0,VLOOKUP($T$1099,'TAR FIN'!$A$1:$O$85,15,0))</f>
        <v>324.88</v>
      </c>
      <c r="X1099" s="6">
        <f>IF(ISERROR(VLOOKUP($U$1099,'TAR FIN'!$A$1:$O$85,15,0)),0,VLOOKUP($U$1099,'TAR FIN'!$A$1:$O$85,15,0))</f>
        <v>322.54000000000002</v>
      </c>
      <c r="Y1099" s="6"/>
      <c r="Z1099" s="6">
        <f ca="1">('TUSD BE'!$AM$48+'TUSD BF'!$AM$48+'TUSD CVA'!$AM$48)*1</f>
        <v>434.80310925202969</v>
      </c>
      <c r="AA1099" s="6">
        <f>('TE BE'!$AB$38+'TE BF'!$AB$38+'TE CVA'!$AB$38)*1</f>
        <v>319.954086693367</v>
      </c>
      <c r="AB1099" s="6">
        <f>$K$1099*$V$1099</f>
        <v>0</v>
      </c>
      <c r="AC1099" s="6">
        <f>$M$1099*$W$1099</f>
        <v>97.463999999999999</v>
      </c>
      <c r="AD1099" s="6">
        <f>$O$1099*$X$1099</f>
        <v>96.762</v>
      </c>
      <c r="AE1099" s="6">
        <f>$K$1099*$Y$1099</f>
        <v>0</v>
      </c>
      <c r="AF1099" s="6">
        <f ca="1">$M$1099*$Z$1099</f>
        <v>130.4409327756089</v>
      </c>
      <c r="AG1099" s="6">
        <f>$O$1099*$AA$1099</f>
        <v>95.986226008010092</v>
      </c>
    </row>
    <row r="1100" spans="1:33" ht="11.25" customHeight="1" x14ac:dyDescent="0.25">
      <c r="A1100" s="4" t="s">
        <v>28</v>
      </c>
      <c r="B1100" s="4" t="s">
        <v>37</v>
      </c>
      <c r="C1100" s="4" t="s">
        <v>33</v>
      </c>
      <c r="D1100" s="4" t="s">
        <v>38</v>
      </c>
      <c r="E1100" s="4" t="s">
        <v>25</v>
      </c>
      <c r="F1100" s="4" t="s">
        <v>25</v>
      </c>
      <c r="G1100" s="4" t="s">
        <v>25</v>
      </c>
      <c r="H1100" s="4" t="s">
        <v>25</v>
      </c>
      <c r="I1100" s="5">
        <v>44743</v>
      </c>
      <c r="J1100" s="6">
        <v>0</v>
      </c>
      <c r="K1100" s="6">
        <v>0</v>
      </c>
      <c r="L1100" s="6">
        <v>0.1</v>
      </c>
      <c r="M1100" s="6">
        <v>0.1</v>
      </c>
      <c r="N1100" s="6">
        <v>0.1</v>
      </c>
      <c r="O1100" s="6">
        <v>0.1</v>
      </c>
      <c r="P1100" s="6">
        <v>4</v>
      </c>
      <c r="Q1100" s="4" t="s">
        <v>26</v>
      </c>
      <c r="R1100" s="4">
        <v>0</v>
      </c>
      <c r="S1100" s="6">
        <v>0</v>
      </c>
      <c r="T1100" s="6">
        <v>44</v>
      </c>
      <c r="U1100" s="6">
        <v>81</v>
      </c>
      <c r="V1100" s="6">
        <f>IF(ISERROR(VLOOKUP($S$1100,'TAR FIN'!$A$1:$O$85,15,0)),0,VLOOKUP($S$1100,'TAR FIN'!$A$1:$O$85,15,0))</f>
        <v>0</v>
      </c>
      <c r="W1100" s="6">
        <f>IF(ISERROR(VLOOKUP($T$1100,'TAR FIN'!$A$1:$O$85,15,0)),0,VLOOKUP($T$1100,'TAR FIN'!$A$1:$O$85,15,0))</f>
        <v>324.88</v>
      </c>
      <c r="X1100" s="6">
        <f>IF(ISERROR(VLOOKUP($U$1100,'TAR FIN'!$A$1:$O$85,15,0)),0,VLOOKUP($U$1100,'TAR FIN'!$A$1:$O$85,15,0))</f>
        <v>322.54000000000002</v>
      </c>
      <c r="Y1100" s="6"/>
      <c r="Z1100" s="6">
        <f ca="1">('TUSD BE'!$AM$48+'TUSD BF'!$AM$48+'TUSD CVA'!$AM$48)*1</f>
        <v>434.80310925202969</v>
      </c>
      <c r="AA1100" s="6">
        <f>('TE BE'!$AB$38+'TE BF'!$AB$38+'TE CVA'!$AB$38)*1</f>
        <v>319.954086693367</v>
      </c>
      <c r="AB1100" s="6">
        <f>$K$1100*$V$1100</f>
        <v>0</v>
      </c>
      <c r="AC1100" s="6">
        <f>$M$1100*$W$1100</f>
        <v>32.488</v>
      </c>
      <c r="AD1100" s="6">
        <f>$O$1100*$X$1100</f>
        <v>32.254000000000005</v>
      </c>
      <c r="AE1100" s="6">
        <f>$K$1100*$Y$1100</f>
        <v>0</v>
      </c>
      <c r="AF1100" s="6">
        <f ca="1">$M$1100*$Z$1100</f>
        <v>43.480310925202971</v>
      </c>
      <c r="AG1100" s="6">
        <f>$O$1100*$AA$1100</f>
        <v>31.995408669336701</v>
      </c>
    </row>
    <row r="1101" spans="1:33" ht="11.25" customHeight="1" x14ac:dyDescent="0.25">
      <c r="A1101" s="4" t="s">
        <v>56</v>
      </c>
      <c r="B1101" s="4" t="s">
        <v>37</v>
      </c>
      <c r="C1101" s="4" t="s">
        <v>33</v>
      </c>
      <c r="D1101" s="4" t="s">
        <v>38</v>
      </c>
      <c r="E1101" s="4" t="s">
        <v>25</v>
      </c>
      <c r="F1101" s="4" t="s">
        <v>25</v>
      </c>
      <c r="G1101" s="4" t="s">
        <v>25</v>
      </c>
      <c r="H1101" s="4" t="s">
        <v>25</v>
      </c>
      <c r="I1101" s="5">
        <v>44774</v>
      </c>
      <c r="J1101" s="6">
        <v>0</v>
      </c>
      <c r="K1101" s="6">
        <v>0</v>
      </c>
      <c r="L1101" s="6">
        <v>0.1</v>
      </c>
      <c r="M1101" s="6">
        <v>0.1</v>
      </c>
      <c r="N1101" s="6">
        <v>0.1</v>
      </c>
      <c r="O1101" s="6">
        <v>0.1</v>
      </c>
      <c r="P1101" s="6">
        <v>4</v>
      </c>
      <c r="Q1101" s="4" t="s">
        <v>26</v>
      </c>
      <c r="R1101" s="4">
        <v>0</v>
      </c>
      <c r="S1101" s="6">
        <v>0</v>
      </c>
      <c r="T1101" s="6">
        <v>44</v>
      </c>
      <c r="U1101" s="6">
        <v>81</v>
      </c>
      <c r="V1101" s="6">
        <f>IF(ISERROR(VLOOKUP($S$1101,'TAR FIN'!$A$1:$O$85,15,0)),0,VLOOKUP($S$1101,'TAR FIN'!$A$1:$O$85,15,0))</f>
        <v>0</v>
      </c>
      <c r="W1101" s="6">
        <f>IF(ISERROR(VLOOKUP($T$1101,'TAR FIN'!$A$1:$O$85,15,0)),0,VLOOKUP($T$1101,'TAR FIN'!$A$1:$O$85,15,0))</f>
        <v>324.88</v>
      </c>
      <c r="X1101" s="6">
        <f>IF(ISERROR(VLOOKUP($U$1101,'TAR FIN'!$A$1:$O$85,15,0)),0,VLOOKUP($U$1101,'TAR FIN'!$A$1:$O$85,15,0))</f>
        <v>322.54000000000002</v>
      </c>
      <c r="Y1101" s="6"/>
      <c r="Z1101" s="6">
        <f ca="1">('TUSD BE'!$AM$48+'TUSD BF'!$AM$48+'TUSD CVA'!$AM$48)*1</f>
        <v>434.80310925202969</v>
      </c>
      <c r="AA1101" s="6">
        <f>('TE BE'!$AB$38+'TE BF'!$AB$38+'TE CVA'!$AB$38)*1</f>
        <v>319.954086693367</v>
      </c>
      <c r="AB1101" s="6">
        <f>$K$1101*$V$1101</f>
        <v>0</v>
      </c>
      <c r="AC1101" s="6">
        <f>$M$1101*$W$1101</f>
        <v>32.488</v>
      </c>
      <c r="AD1101" s="6">
        <f>$O$1101*$X$1101</f>
        <v>32.254000000000005</v>
      </c>
      <c r="AE1101" s="6">
        <f>$K$1101*$Y$1101</f>
        <v>0</v>
      </c>
      <c r="AF1101" s="6">
        <f ca="1">$M$1101*$Z$1101</f>
        <v>43.480310925202971</v>
      </c>
      <c r="AG1101" s="6">
        <f>$O$1101*$AA$1101</f>
        <v>31.995408669336701</v>
      </c>
    </row>
    <row r="1102" spans="1:33" ht="11.25" customHeight="1" x14ac:dyDescent="0.25">
      <c r="A1102" s="4" t="s">
        <v>21</v>
      </c>
      <c r="B1102" s="4" t="s">
        <v>37</v>
      </c>
      <c r="C1102" s="4" t="s">
        <v>33</v>
      </c>
      <c r="D1102" s="4" t="s">
        <v>38</v>
      </c>
      <c r="E1102" s="4" t="s">
        <v>25</v>
      </c>
      <c r="F1102" s="4" t="s">
        <v>25</v>
      </c>
      <c r="G1102" s="4" t="s">
        <v>25</v>
      </c>
      <c r="H1102" s="4" t="s">
        <v>34</v>
      </c>
      <c r="I1102" s="5">
        <v>44440</v>
      </c>
      <c r="J1102" s="6">
        <v>0</v>
      </c>
      <c r="K1102" s="6">
        <v>0</v>
      </c>
      <c r="L1102" s="6">
        <v>0.38600000000000001</v>
      </c>
      <c r="M1102" s="6">
        <v>0.38600000000000001</v>
      </c>
      <c r="N1102" s="6">
        <v>0.38600000000000001</v>
      </c>
      <c r="O1102" s="6">
        <v>0.38600000000000001</v>
      </c>
      <c r="P1102" s="6">
        <v>0</v>
      </c>
      <c r="Q1102" s="4" t="s">
        <v>26</v>
      </c>
      <c r="R1102" s="4">
        <v>0</v>
      </c>
      <c r="S1102" s="6">
        <v>0</v>
      </c>
      <c r="T1102" s="6">
        <v>41</v>
      </c>
      <c r="U1102" s="6">
        <v>78</v>
      </c>
      <c r="V1102" s="6">
        <f>IF(ISERROR(VLOOKUP($S$1102,'TAR FIN'!$A$1:$O$85,15,0)),0,VLOOKUP($S$1102,'TAR FIN'!$A$1:$O$85,15,0))</f>
        <v>0</v>
      </c>
      <c r="W1102" s="6">
        <f>IF(ISERROR(VLOOKUP($T$1102,'TAR FIN'!$A$1:$O$85,15,0)),0,VLOOKUP($T$1102,'TAR FIN'!$A$1:$O$85,15,0))</f>
        <v>902.29</v>
      </c>
      <c r="X1102" s="6">
        <f>IF(ISERROR(VLOOKUP($U$1102,'TAR FIN'!$A$1:$O$85,15,0)),0,VLOOKUP($U$1102,'TAR FIN'!$A$1:$O$85,15,0))</f>
        <v>492.64</v>
      </c>
      <c r="Y1102" s="6"/>
      <c r="Z1102" s="6">
        <f ca="1">('TUSD BE'!$AM$45+'TUSD BF'!$AM$45+'TUSD CVA'!$AM$45)*1</f>
        <v>1070.1218426910054</v>
      </c>
      <c r="AA1102" s="6">
        <f>('TE BE'!$AB$35+'TE BF'!$AB$35+'TE CVA'!$AB$35)*1</f>
        <v>485.87597641853409</v>
      </c>
      <c r="AB1102" s="6">
        <f>$K$1102*$V$1102</f>
        <v>0</v>
      </c>
      <c r="AC1102" s="6">
        <f>$M$1102*$W$1102</f>
        <v>348.28393999999997</v>
      </c>
      <c r="AD1102" s="6">
        <f>$O$1102*$X$1102</f>
        <v>190.15904</v>
      </c>
      <c r="AE1102" s="6">
        <f>$K$1102*$Y$1102</f>
        <v>0</v>
      </c>
      <c r="AF1102" s="6">
        <f ca="1">$M$1102*$Z$1102</f>
        <v>413.06703127872811</v>
      </c>
      <c r="AG1102" s="6">
        <f>$O$1102*$AA$1102</f>
        <v>187.54812689755417</v>
      </c>
    </row>
    <row r="1103" spans="1:33" ht="11.25" customHeight="1" x14ac:dyDescent="0.25">
      <c r="A1103" s="4" t="s">
        <v>28</v>
      </c>
      <c r="B1103" s="4" t="s">
        <v>37</v>
      </c>
      <c r="C1103" s="4" t="s">
        <v>33</v>
      </c>
      <c r="D1103" s="4" t="s">
        <v>38</v>
      </c>
      <c r="E1103" s="4" t="s">
        <v>25</v>
      </c>
      <c r="F1103" s="4" t="s">
        <v>25</v>
      </c>
      <c r="G1103" s="4" t="s">
        <v>25</v>
      </c>
      <c r="H1103" s="4" t="s">
        <v>34</v>
      </c>
      <c r="I1103" s="5">
        <v>44440</v>
      </c>
      <c r="J1103" s="6">
        <v>0</v>
      </c>
      <c r="K1103" s="6">
        <v>0</v>
      </c>
      <c r="L1103" s="6">
        <v>0.06</v>
      </c>
      <c r="M1103" s="6">
        <v>0.06</v>
      </c>
      <c r="N1103" s="6">
        <v>0.06</v>
      </c>
      <c r="O1103" s="6">
        <v>0.06</v>
      </c>
      <c r="P1103" s="6">
        <v>0</v>
      </c>
      <c r="Q1103" s="4" t="s">
        <v>26</v>
      </c>
      <c r="R1103" s="4">
        <v>0</v>
      </c>
      <c r="S1103" s="6">
        <v>0</v>
      </c>
      <c r="T1103" s="6">
        <v>41</v>
      </c>
      <c r="U1103" s="6">
        <v>78</v>
      </c>
      <c r="V1103" s="6">
        <f>IF(ISERROR(VLOOKUP($S$1103,'TAR FIN'!$A$1:$O$85,15,0)),0,VLOOKUP($S$1103,'TAR FIN'!$A$1:$O$85,15,0))</f>
        <v>0</v>
      </c>
      <c r="W1103" s="6">
        <f>IF(ISERROR(VLOOKUP($T$1103,'TAR FIN'!$A$1:$O$85,15,0)),0,VLOOKUP($T$1103,'TAR FIN'!$A$1:$O$85,15,0))</f>
        <v>902.29</v>
      </c>
      <c r="X1103" s="6">
        <f>IF(ISERROR(VLOOKUP($U$1103,'TAR FIN'!$A$1:$O$85,15,0)),0,VLOOKUP($U$1103,'TAR FIN'!$A$1:$O$85,15,0))</f>
        <v>492.64</v>
      </c>
      <c r="Y1103" s="6"/>
      <c r="Z1103" s="6">
        <f ca="1">('TUSD BE'!$AM$45+'TUSD BF'!$AM$45+'TUSD CVA'!$AM$45)*1</f>
        <v>1070.1218426910054</v>
      </c>
      <c r="AA1103" s="6">
        <f>('TE BE'!$AB$35+'TE BF'!$AB$35+'TE CVA'!$AB$35)*1</f>
        <v>485.87597641853409</v>
      </c>
      <c r="AB1103" s="6">
        <f>$K$1103*$V$1103</f>
        <v>0</v>
      </c>
      <c r="AC1103" s="6">
        <f>$M$1103*$W$1103</f>
        <v>54.137399999999992</v>
      </c>
      <c r="AD1103" s="6">
        <f>$O$1103*$X$1103</f>
        <v>29.558399999999999</v>
      </c>
      <c r="AE1103" s="6">
        <f>$K$1103*$Y$1103</f>
        <v>0</v>
      </c>
      <c r="AF1103" s="6">
        <f ca="1">$M$1103*$Z$1103</f>
        <v>64.207310561460318</v>
      </c>
      <c r="AG1103" s="6">
        <f>$O$1103*$AA$1103</f>
        <v>29.152558585112043</v>
      </c>
    </row>
    <row r="1104" spans="1:33" ht="11.25" customHeight="1" x14ac:dyDescent="0.25">
      <c r="A1104" s="4" t="s">
        <v>21</v>
      </c>
      <c r="B1104" s="4" t="s">
        <v>37</v>
      </c>
      <c r="C1104" s="4" t="s">
        <v>33</v>
      </c>
      <c r="D1104" s="4" t="s">
        <v>38</v>
      </c>
      <c r="E1104" s="4" t="s">
        <v>25</v>
      </c>
      <c r="F1104" s="4" t="s">
        <v>25</v>
      </c>
      <c r="G1104" s="4" t="s">
        <v>25</v>
      </c>
      <c r="H1104" s="4" t="s">
        <v>34</v>
      </c>
      <c r="I1104" s="5">
        <v>44470</v>
      </c>
      <c r="J1104" s="6">
        <v>0</v>
      </c>
      <c r="K1104" s="6">
        <v>0</v>
      </c>
      <c r="L1104" s="6">
        <v>0.48499999999999999</v>
      </c>
      <c r="M1104" s="6">
        <v>0.48499999999999999</v>
      </c>
      <c r="N1104" s="6">
        <v>0.48499999999999999</v>
      </c>
      <c r="O1104" s="6">
        <v>0.48499999999999999</v>
      </c>
      <c r="P1104" s="6">
        <v>0</v>
      </c>
      <c r="Q1104" s="4" t="s">
        <v>26</v>
      </c>
      <c r="R1104" s="4">
        <v>0</v>
      </c>
      <c r="S1104" s="6">
        <v>0</v>
      </c>
      <c r="T1104" s="6">
        <v>41</v>
      </c>
      <c r="U1104" s="6">
        <v>78</v>
      </c>
      <c r="V1104" s="6">
        <f>IF(ISERROR(VLOOKUP($S$1104,'TAR FIN'!$A$1:$O$85,15,0)),0,VLOOKUP($S$1104,'TAR FIN'!$A$1:$O$85,15,0))</f>
        <v>0</v>
      </c>
      <c r="W1104" s="6">
        <f>IF(ISERROR(VLOOKUP($T$1104,'TAR FIN'!$A$1:$O$85,15,0)),0,VLOOKUP($T$1104,'TAR FIN'!$A$1:$O$85,15,0))</f>
        <v>902.29</v>
      </c>
      <c r="X1104" s="6">
        <f>IF(ISERROR(VLOOKUP($U$1104,'TAR FIN'!$A$1:$O$85,15,0)),0,VLOOKUP($U$1104,'TAR FIN'!$A$1:$O$85,15,0))</f>
        <v>492.64</v>
      </c>
      <c r="Y1104" s="6"/>
      <c r="Z1104" s="6">
        <f ca="1">('TUSD BE'!$AM$45+'TUSD BF'!$AM$45+'TUSD CVA'!$AM$45)*1</f>
        <v>1070.1218426910054</v>
      </c>
      <c r="AA1104" s="6">
        <f>('TE BE'!$AB$35+'TE BF'!$AB$35+'TE CVA'!$AB$35)*1</f>
        <v>485.87597641853409</v>
      </c>
      <c r="AB1104" s="6">
        <f>$K$1104*$V$1104</f>
        <v>0</v>
      </c>
      <c r="AC1104" s="6">
        <f>$M$1104*$W$1104</f>
        <v>437.61064999999996</v>
      </c>
      <c r="AD1104" s="6">
        <f>$O$1104*$X$1104</f>
        <v>238.93039999999999</v>
      </c>
      <c r="AE1104" s="6">
        <f>$K$1104*$Y$1104</f>
        <v>0</v>
      </c>
      <c r="AF1104" s="6">
        <f ca="1">$M$1104*$Z$1104</f>
        <v>519.00909370513762</v>
      </c>
      <c r="AG1104" s="6">
        <f>$O$1104*$AA$1104</f>
        <v>235.64984856298904</v>
      </c>
    </row>
    <row r="1105" spans="1:33" ht="11.25" customHeight="1" x14ac:dyDescent="0.25">
      <c r="A1105" s="4" t="s">
        <v>21</v>
      </c>
      <c r="B1105" s="4" t="s">
        <v>37</v>
      </c>
      <c r="C1105" s="4" t="s">
        <v>33</v>
      </c>
      <c r="D1105" s="4" t="s">
        <v>38</v>
      </c>
      <c r="E1105" s="4" t="s">
        <v>25</v>
      </c>
      <c r="F1105" s="4" t="s">
        <v>25</v>
      </c>
      <c r="G1105" s="4" t="s">
        <v>25</v>
      </c>
      <c r="H1105" s="4" t="s">
        <v>34</v>
      </c>
      <c r="I1105" s="5">
        <v>44501</v>
      </c>
      <c r="J1105" s="6">
        <v>0</v>
      </c>
      <c r="K1105" s="6">
        <v>0</v>
      </c>
      <c r="L1105" s="6">
        <v>0.26200000000000001</v>
      </c>
      <c r="M1105" s="6">
        <v>0.26200000000000001</v>
      </c>
      <c r="N1105" s="6">
        <v>0.26200000000000001</v>
      </c>
      <c r="O1105" s="6">
        <v>0.26200000000000001</v>
      </c>
      <c r="P1105" s="6">
        <v>0</v>
      </c>
      <c r="Q1105" s="4" t="s">
        <v>26</v>
      </c>
      <c r="R1105" s="4">
        <v>0</v>
      </c>
      <c r="S1105" s="6">
        <v>0</v>
      </c>
      <c r="T1105" s="6">
        <v>41</v>
      </c>
      <c r="U1105" s="6">
        <v>78</v>
      </c>
      <c r="V1105" s="6">
        <f>IF(ISERROR(VLOOKUP($S$1105,'TAR FIN'!$A$1:$O$85,15,0)),0,VLOOKUP($S$1105,'TAR FIN'!$A$1:$O$85,15,0))</f>
        <v>0</v>
      </c>
      <c r="W1105" s="6">
        <f>IF(ISERROR(VLOOKUP($T$1105,'TAR FIN'!$A$1:$O$85,15,0)),0,VLOOKUP($T$1105,'TAR FIN'!$A$1:$O$85,15,0))</f>
        <v>902.29</v>
      </c>
      <c r="X1105" s="6">
        <f>IF(ISERROR(VLOOKUP($U$1105,'TAR FIN'!$A$1:$O$85,15,0)),0,VLOOKUP($U$1105,'TAR FIN'!$A$1:$O$85,15,0))</f>
        <v>492.64</v>
      </c>
      <c r="Y1105" s="6"/>
      <c r="Z1105" s="6">
        <f ca="1">('TUSD BE'!$AM$45+'TUSD BF'!$AM$45+'TUSD CVA'!$AM$45)*1</f>
        <v>1070.1218426910054</v>
      </c>
      <c r="AA1105" s="6">
        <f>('TE BE'!$AB$35+'TE BF'!$AB$35+'TE CVA'!$AB$35)*1</f>
        <v>485.87597641853409</v>
      </c>
      <c r="AB1105" s="6">
        <f>$K$1105*$V$1105</f>
        <v>0</v>
      </c>
      <c r="AC1105" s="6">
        <f>$M$1105*$W$1105</f>
        <v>236.39998</v>
      </c>
      <c r="AD1105" s="6">
        <f>$O$1105*$X$1105</f>
        <v>129.07168000000001</v>
      </c>
      <c r="AE1105" s="6">
        <f>$K$1105*$Y$1105</f>
        <v>0</v>
      </c>
      <c r="AF1105" s="6">
        <f ca="1">$M$1105*$Z$1105</f>
        <v>280.37192278504341</v>
      </c>
      <c r="AG1105" s="6">
        <f>$O$1105*$AA$1105</f>
        <v>127.29950582165594</v>
      </c>
    </row>
    <row r="1106" spans="1:33" ht="11.25" customHeight="1" x14ac:dyDescent="0.25">
      <c r="A1106" s="4" t="s">
        <v>28</v>
      </c>
      <c r="B1106" s="4" t="s">
        <v>37</v>
      </c>
      <c r="C1106" s="4" t="s">
        <v>33</v>
      </c>
      <c r="D1106" s="4" t="s">
        <v>38</v>
      </c>
      <c r="E1106" s="4" t="s">
        <v>25</v>
      </c>
      <c r="F1106" s="4" t="s">
        <v>25</v>
      </c>
      <c r="G1106" s="4" t="s">
        <v>25</v>
      </c>
      <c r="H1106" s="4" t="s">
        <v>34</v>
      </c>
      <c r="I1106" s="5">
        <v>44501</v>
      </c>
      <c r="J1106" s="6">
        <v>0</v>
      </c>
      <c r="K1106" s="6">
        <v>0</v>
      </c>
      <c r="L1106" s="6">
        <v>0.42</v>
      </c>
      <c r="M1106" s="6">
        <v>0.42</v>
      </c>
      <c r="N1106" s="6">
        <v>0.42</v>
      </c>
      <c r="O1106" s="6">
        <v>0.42</v>
      </c>
      <c r="P1106" s="6">
        <v>0</v>
      </c>
      <c r="Q1106" s="4" t="s">
        <v>26</v>
      </c>
      <c r="R1106" s="4">
        <v>0</v>
      </c>
      <c r="S1106" s="6">
        <v>0</v>
      </c>
      <c r="T1106" s="6">
        <v>41</v>
      </c>
      <c r="U1106" s="6">
        <v>78</v>
      </c>
      <c r="V1106" s="6">
        <f>IF(ISERROR(VLOOKUP($S$1106,'TAR FIN'!$A$1:$O$85,15,0)),0,VLOOKUP($S$1106,'TAR FIN'!$A$1:$O$85,15,0))</f>
        <v>0</v>
      </c>
      <c r="W1106" s="6">
        <f>IF(ISERROR(VLOOKUP($T$1106,'TAR FIN'!$A$1:$O$85,15,0)),0,VLOOKUP($T$1106,'TAR FIN'!$A$1:$O$85,15,0))</f>
        <v>902.29</v>
      </c>
      <c r="X1106" s="6">
        <f>IF(ISERROR(VLOOKUP($U$1106,'TAR FIN'!$A$1:$O$85,15,0)),0,VLOOKUP($U$1106,'TAR FIN'!$A$1:$O$85,15,0))</f>
        <v>492.64</v>
      </c>
      <c r="Y1106" s="6"/>
      <c r="Z1106" s="6">
        <f ca="1">('TUSD BE'!$AM$45+'TUSD BF'!$AM$45+'TUSD CVA'!$AM$45)*1</f>
        <v>1070.1218426910054</v>
      </c>
      <c r="AA1106" s="6">
        <f>('TE BE'!$AB$35+'TE BF'!$AB$35+'TE CVA'!$AB$35)*1</f>
        <v>485.87597641853409</v>
      </c>
      <c r="AB1106" s="6">
        <f>$K$1106*$V$1106</f>
        <v>0</v>
      </c>
      <c r="AC1106" s="6">
        <f>$M$1106*$W$1106</f>
        <v>378.96179999999998</v>
      </c>
      <c r="AD1106" s="6">
        <f>$O$1106*$X$1106</f>
        <v>206.90879999999999</v>
      </c>
      <c r="AE1106" s="6">
        <f>$K$1106*$Y$1106</f>
        <v>0</v>
      </c>
      <c r="AF1106" s="6">
        <f ca="1">$M$1106*$Z$1106</f>
        <v>449.4511739302223</v>
      </c>
      <c r="AG1106" s="6">
        <f>$O$1106*$AA$1106</f>
        <v>204.0679100957843</v>
      </c>
    </row>
    <row r="1107" spans="1:33" ht="11.25" customHeight="1" x14ac:dyDescent="0.25">
      <c r="A1107" s="4" t="s">
        <v>21</v>
      </c>
      <c r="B1107" s="4" t="s">
        <v>37</v>
      </c>
      <c r="C1107" s="4" t="s">
        <v>33</v>
      </c>
      <c r="D1107" s="4" t="s">
        <v>38</v>
      </c>
      <c r="E1107" s="4" t="s">
        <v>25</v>
      </c>
      <c r="F1107" s="4" t="s">
        <v>25</v>
      </c>
      <c r="G1107" s="4" t="s">
        <v>25</v>
      </c>
      <c r="H1107" s="4" t="s">
        <v>34</v>
      </c>
      <c r="I1107" s="5">
        <v>44531</v>
      </c>
      <c r="J1107" s="6">
        <v>0</v>
      </c>
      <c r="K1107" s="6">
        <v>0</v>
      </c>
      <c r="L1107" s="6">
        <v>0.27900000000000003</v>
      </c>
      <c r="M1107" s="6">
        <v>0.27900000000000003</v>
      </c>
      <c r="N1107" s="6">
        <v>0.27900000000000003</v>
      </c>
      <c r="O1107" s="6">
        <v>0.27900000000000003</v>
      </c>
      <c r="P1107" s="6">
        <v>0</v>
      </c>
      <c r="Q1107" s="4" t="s">
        <v>26</v>
      </c>
      <c r="R1107" s="4">
        <v>0</v>
      </c>
      <c r="S1107" s="6">
        <v>0</v>
      </c>
      <c r="T1107" s="6">
        <v>41</v>
      </c>
      <c r="U1107" s="6">
        <v>78</v>
      </c>
      <c r="V1107" s="6">
        <f>IF(ISERROR(VLOOKUP($S$1107,'TAR FIN'!$A$1:$O$85,15,0)),0,VLOOKUP($S$1107,'TAR FIN'!$A$1:$O$85,15,0))</f>
        <v>0</v>
      </c>
      <c r="W1107" s="6">
        <f>IF(ISERROR(VLOOKUP($T$1107,'TAR FIN'!$A$1:$O$85,15,0)),0,VLOOKUP($T$1107,'TAR FIN'!$A$1:$O$85,15,0))</f>
        <v>902.29</v>
      </c>
      <c r="X1107" s="6">
        <f>IF(ISERROR(VLOOKUP($U$1107,'TAR FIN'!$A$1:$O$85,15,0)),0,VLOOKUP($U$1107,'TAR FIN'!$A$1:$O$85,15,0))</f>
        <v>492.64</v>
      </c>
      <c r="Y1107" s="6"/>
      <c r="Z1107" s="6">
        <f ca="1">('TUSD BE'!$AM$45+'TUSD BF'!$AM$45+'TUSD CVA'!$AM$45)*1</f>
        <v>1070.1218426910054</v>
      </c>
      <c r="AA1107" s="6">
        <f>('TE BE'!$AB$35+'TE BF'!$AB$35+'TE CVA'!$AB$35)*1</f>
        <v>485.87597641853409</v>
      </c>
      <c r="AB1107" s="6">
        <f>$K$1107*$V$1107</f>
        <v>0</v>
      </c>
      <c r="AC1107" s="6">
        <f>$M$1107*$W$1107</f>
        <v>251.73891</v>
      </c>
      <c r="AD1107" s="6">
        <f>$O$1107*$X$1107</f>
        <v>137.44656000000001</v>
      </c>
      <c r="AE1107" s="6">
        <f>$K$1107*$Y$1107</f>
        <v>0</v>
      </c>
      <c r="AF1107" s="6">
        <f ca="1">$M$1107*$Z$1107</f>
        <v>298.56399411079053</v>
      </c>
      <c r="AG1107" s="6">
        <f>$O$1107*$AA$1107</f>
        <v>135.55939742077103</v>
      </c>
    </row>
    <row r="1108" spans="1:33" ht="11.25" customHeight="1" x14ac:dyDescent="0.25">
      <c r="A1108" s="4" t="s">
        <v>28</v>
      </c>
      <c r="B1108" s="4" t="s">
        <v>37</v>
      </c>
      <c r="C1108" s="4" t="s">
        <v>33</v>
      </c>
      <c r="D1108" s="4" t="s">
        <v>38</v>
      </c>
      <c r="E1108" s="4" t="s">
        <v>25</v>
      </c>
      <c r="F1108" s="4" t="s">
        <v>25</v>
      </c>
      <c r="G1108" s="4" t="s">
        <v>25</v>
      </c>
      <c r="H1108" s="4" t="s">
        <v>34</v>
      </c>
      <c r="I1108" s="5">
        <v>44531</v>
      </c>
      <c r="J1108" s="6">
        <v>0</v>
      </c>
      <c r="K1108" s="6">
        <v>0</v>
      </c>
      <c r="L1108" s="6">
        <v>0.18</v>
      </c>
      <c r="M1108" s="6">
        <v>0.18</v>
      </c>
      <c r="N1108" s="6">
        <v>0.18</v>
      </c>
      <c r="O1108" s="6">
        <v>0.18</v>
      </c>
      <c r="P1108" s="6">
        <v>0</v>
      </c>
      <c r="Q1108" s="4" t="s">
        <v>26</v>
      </c>
      <c r="R1108" s="4">
        <v>0</v>
      </c>
      <c r="S1108" s="6">
        <v>0</v>
      </c>
      <c r="T1108" s="6">
        <v>41</v>
      </c>
      <c r="U1108" s="6">
        <v>78</v>
      </c>
      <c r="V1108" s="6">
        <f>IF(ISERROR(VLOOKUP($S$1108,'TAR FIN'!$A$1:$O$85,15,0)),0,VLOOKUP($S$1108,'TAR FIN'!$A$1:$O$85,15,0))</f>
        <v>0</v>
      </c>
      <c r="W1108" s="6">
        <f>IF(ISERROR(VLOOKUP($T$1108,'TAR FIN'!$A$1:$O$85,15,0)),0,VLOOKUP($T$1108,'TAR FIN'!$A$1:$O$85,15,0))</f>
        <v>902.29</v>
      </c>
      <c r="X1108" s="6">
        <f>IF(ISERROR(VLOOKUP($U$1108,'TAR FIN'!$A$1:$O$85,15,0)),0,VLOOKUP($U$1108,'TAR FIN'!$A$1:$O$85,15,0))</f>
        <v>492.64</v>
      </c>
      <c r="Y1108" s="6"/>
      <c r="Z1108" s="6">
        <f ca="1">('TUSD BE'!$AM$45+'TUSD BF'!$AM$45+'TUSD CVA'!$AM$45)*1</f>
        <v>1070.1218426910054</v>
      </c>
      <c r="AA1108" s="6">
        <f>('TE BE'!$AB$35+'TE BF'!$AB$35+'TE CVA'!$AB$35)*1</f>
        <v>485.87597641853409</v>
      </c>
      <c r="AB1108" s="6">
        <f>$K$1108*$V$1108</f>
        <v>0</v>
      </c>
      <c r="AC1108" s="6">
        <f>$M$1108*$W$1108</f>
        <v>162.41219999999998</v>
      </c>
      <c r="AD1108" s="6">
        <f>$O$1108*$X$1108</f>
        <v>88.67519999999999</v>
      </c>
      <c r="AE1108" s="6">
        <f>$K$1108*$Y$1108</f>
        <v>0</v>
      </c>
      <c r="AF1108" s="6">
        <f ca="1">$M$1108*$Z$1108</f>
        <v>192.62193168438097</v>
      </c>
      <c r="AG1108" s="6">
        <f>$O$1108*$AA$1108</f>
        <v>87.45767575533614</v>
      </c>
    </row>
    <row r="1109" spans="1:33" ht="11.25" customHeight="1" x14ac:dyDescent="0.25">
      <c r="A1109" s="4" t="s">
        <v>21</v>
      </c>
      <c r="B1109" s="4" t="s">
        <v>37</v>
      </c>
      <c r="C1109" s="4" t="s">
        <v>33</v>
      </c>
      <c r="D1109" s="4" t="s">
        <v>38</v>
      </c>
      <c r="E1109" s="4" t="s">
        <v>25</v>
      </c>
      <c r="F1109" s="4" t="s">
        <v>25</v>
      </c>
      <c r="G1109" s="4" t="s">
        <v>25</v>
      </c>
      <c r="H1109" s="4" t="s">
        <v>34</v>
      </c>
      <c r="I1109" s="5">
        <v>44562</v>
      </c>
      <c r="J1109" s="6">
        <v>0</v>
      </c>
      <c r="K1109" s="6">
        <v>0</v>
      </c>
      <c r="L1109" s="6">
        <v>0.22500000000000001</v>
      </c>
      <c r="M1109" s="6">
        <v>0.22500000000000001</v>
      </c>
      <c r="N1109" s="6">
        <v>0.22500000000000001</v>
      </c>
      <c r="O1109" s="6">
        <v>0.22500000000000001</v>
      </c>
      <c r="P1109" s="6">
        <v>0</v>
      </c>
      <c r="Q1109" s="4" t="s">
        <v>26</v>
      </c>
      <c r="R1109" s="4">
        <v>0</v>
      </c>
      <c r="S1109" s="6">
        <v>0</v>
      </c>
      <c r="T1109" s="6">
        <v>41</v>
      </c>
      <c r="U1109" s="6">
        <v>78</v>
      </c>
      <c r="V1109" s="6">
        <f>IF(ISERROR(VLOOKUP($S$1109,'TAR FIN'!$A$1:$O$85,15,0)),0,VLOOKUP($S$1109,'TAR FIN'!$A$1:$O$85,15,0))</f>
        <v>0</v>
      </c>
      <c r="W1109" s="6">
        <f>IF(ISERROR(VLOOKUP($T$1109,'TAR FIN'!$A$1:$O$85,15,0)),0,VLOOKUP($T$1109,'TAR FIN'!$A$1:$O$85,15,0))</f>
        <v>902.29</v>
      </c>
      <c r="X1109" s="6">
        <f>IF(ISERROR(VLOOKUP($U$1109,'TAR FIN'!$A$1:$O$85,15,0)),0,VLOOKUP($U$1109,'TAR FIN'!$A$1:$O$85,15,0))</f>
        <v>492.64</v>
      </c>
      <c r="Y1109" s="6"/>
      <c r="Z1109" s="6">
        <f ca="1">('TUSD BE'!$AM$45+'TUSD BF'!$AM$45+'TUSD CVA'!$AM$45)*1</f>
        <v>1070.1218426910054</v>
      </c>
      <c r="AA1109" s="6">
        <f>('TE BE'!$AB$35+'TE BF'!$AB$35+'TE CVA'!$AB$35)*1</f>
        <v>485.87597641853409</v>
      </c>
      <c r="AB1109" s="6">
        <f>$K$1109*$V$1109</f>
        <v>0</v>
      </c>
      <c r="AC1109" s="6">
        <f>$M$1109*$W$1109</f>
        <v>203.01525000000001</v>
      </c>
      <c r="AD1109" s="6">
        <f>$O$1109*$X$1109</f>
        <v>110.84399999999999</v>
      </c>
      <c r="AE1109" s="6">
        <f>$K$1109*$Y$1109</f>
        <v>0</v>
      </c>
      <c r="AF1109" s="6">
        <f ca="1">$M$1109*$Z$1109</f>
        <v>240.77741460547622</v>
      </c>
      <c r="AG1109" s="6">
        <f>$O$1109*$AA$1109</f>
        <v>109.32209469417018</v>
      </c>
    </row>
    <row r="1110" spans="1:33" ht="11.25" customHeight="1" x14ac:dyDescent="0.25">
      <c r="A1110" s="4" t="s">
        <v>21</v>
      </c>
      <c r="B1110" s="4" t="s">
        <v>37</v>
      </c>
      <c r="C1110" s="4" t="s">
        <v>33</v>
      </c>
      <c r="D1110" s="4" t="s">
        <v>38</v>
      </c>
      <c r="E1110" s="4" t="s">
        <v>25</v>
      </c>
      <c r="F1110" s="4" t="s">
        <v>25</v>
      </c>
      <c r="G1110" s="4" t="s">
        <v>25</v>
      </c>
      <c r="H1110" s="4" t="s">
        <v>34</v>
      </c>
      <c r="I1110" s="5">
        <v>44593</v>
      </c>
      <c r="J1110" s="6">
        <v>0</v>
      </c>
      <c r="K1110" s="6">
        <v>0</v>
      </c>
      <c r="L1110" s="6">
        <v>0.223</v>
      </c>
      <c r="M1110" s="6">
        <v>0.223</v>
      </c>
      <c r="N1110" s="6">
        <v>0.223</v>
      </c>
      <c r="O1110" s="6">
        <v>0.223</v>
      </c>
      <c r="P1110" s="6">
        <v>0</v>
      </c>
      <c r="Q1110" s="4" t="s">
        <v>26</v>
      </c>
      <c r="R1110" s="4">
        <v>0</v>
      </c>
      <c r="S1110" s="6">
        <v>0</v>
      </c>
      <c r="T1110" s="6">
        <v>41</v>
      </c>
      <c r="U1110" s="6">
        <v>78</v>
      </c>
      <c r="V1110" s="6">
        <f>IF(ISERROR(VLOOKUP($S$1110,'TAR FIN'!$A$1:$O$85,15,0)),0,VLOOKUP($S$1110,'TAR FIN'!$A$1:$O$85,15,0))</f>
        <v>0</v>
      </c>
      <c r="W1110" s="6">
        <f>IF(ISERROR(VLOOKUP($T$1110,'TAR FIN'!$A$1:$O$85,15,0)),0,VLOOKUP($T$1110,'TAR FIN'!$A$1:$O$85,15,0))</f>
        <v>902.29</v>
      </c>
      <c r="X1110" s="6">
        <f>IF(ISERROR(VLOOKUP($U$1110,'TAR FIN'!$A$1:$O$85,15,0)),0,VLOOKUP($U$1110,'TAR FIN'!$A$1:$O$85,15,0))</f>
        <v>492.64</v>
      </c>
      <c r="Y1110" s="6"/>
      <c r="Z1110" s="6">
        <f ca="1">('TUSD BE'!$AM$45+'TUSD BF'!$AM$45+'TUSD CVA'!$AM$45)*1</f>
        <v>1070.1218426910054</v>
      </c>
      <c r="AA1110" s="6">
        <f>('TE BE'!$AB$35+'TE BF'!$AB$35+'TE CVA'!$AB$35)*1</f>
        <v>485.87597641853409</v>
      </c>
      <c r="AB1110" s="6">
        <f>$K$1110*$V$1110</f>
        <v>0</v>
      </c>
      <c r="AC1110" s="6">
        <f>$M$1110*$W$1110</f>
        <v>201.21066999999999</v>
      </c>
      <c r="AD1110" s="6">
        <f>$O$1110*$X$1110</f>
        <v>109.85872000000001</v>
      </c>
      <c r="AE1110" s="6">
        <f>$K$1110*$Y$1110</f>
        <v>0</v>
      </c>
      <c r="AF1110" s="6">
        <f ca="1">$M$1110*$Z$1110</f>
        <v>238.63717092009421</v>
      </c>
      <c r="AG1110" s="6">
        <f>$O$1110*$AA$1110</f>
        <v>108.35034274133311</v>
      </c>
    </row>
    <row r="1111" spans="1:33" ht="11.25" customHeight="1" x14ac:dyDescent="0.25">
      <c r="A1111" s="4" t="s">
        <v>28</v>
      </c>
      <c r="B1111" s="4" t="s">
        <v>37</v>
      </c>
      <c r="C1111" s="4" t="s">
        <v>33</v>
      </c>
      <c r="D1111" s="4" t="s">
        <v>38</v>
      </c>
      <c r="E1111" s="4" t="s">
        <v>25</v>
      </c>
      <c r="F1111" s="4" t="s">
        <v>25</v>
      </c>
      <c r="G1111" s="4" t="s">
        <v>25</v>
      </c>
      <c r="H1111" s="4" t="s">
        <v>34</v>
      </c>
      <c r="I1111" s="5">
        <v>44593</v>
      </c>
      <c r="J1111" s="6">
        <v>0</v>
      </c>
      <c r="K1111" s="6">
        <v>0</v>
      </c>
      <c r="L1111" s="6">
        <v>0.09</v>
      </c>
      <c r="M1111" s="6">
        <v>0.09</v>
      </c>
      <c r="N1111" s="6">
        <v>0.09</v>
      </c>
      <c r="O1111" s="6">
        <v>0.09</v>
      </c>
      <c r="P1111" s="6">
        <v>0</v>
      </c>
      <c r="Q1111" s="4" t="s">
        <v>26</v>
      </c>
      <c r="R1111" s="4">
        <v>0</v>
      </c>
      <c r="S1111" s="6">
        <v>0</v>
      </c>
      <c r="T1111" s="6">
        <v>41</v>
      </c>
      <c r="U1111" s="6">
        <v>78</v>
      </c>
      <c r="V1111" s="6">
        <f>IF(ISERROR(VLOOKUP($S$1111,'TAR FIN'!$A$1:$O$85,15,0)),0,VLOOKUP($S$1111,'TAR FIN'!$A$1:$O$85,15,0))</f>
        <v>0</v>
      </c>
      <c r="W1111" s="6">
        <f>IF(ISERROR(VLOOKUP($T$1111,'TAR FIN'!$A$1:$O$85,15,0)),0,VLOOKUP($T$1111,'TAR FIN'!$A$1:$O$85,15,0))</f>
        <v>902.29</v>
      </c>
      <c r="X1111" s="6">
        <f>IF(ISERROR(VLOOKUP($U$1111,'TAR FIN'!$A$1:$O$85,15,0)),0,VLOOKUP($U$1111,'TAR FIN'!$A$1:$O$85,15,0))</f>
        <v>492.64</v>
      </c>
      <c r="Y1111" s="6"/>
      <c r="Z1111" s="6">
        <f ca="1">('TUSD BE'!$AM$45+'TUSD BF'!$AM$45+'TUSD CVA'!$AM$45)*1</f>
        <v>1070.1218426910054</v>
      </c>
      <c r="AA1111" s="6">
        <f>('TE BE'!$AB$35+'TE BF'!$AB$35+'TE CVA'!$AB$35)*1</f>
        <v>485.87597641853409</v>
      </c>
      <c r="AB1111" s="6">
        <f>$K$1111*$V$1111</f>
        <v>0</v>
      </c>
      <c r="AC1111" s="6">
        <f>$M$1111*$W$1111</f>
        <v>81.206099999999992</v>
      </c>
      <c r="AD1111" s="6">
        <f>$O$1111*$X$1111</f>
        <v>44.337599999999995</v>
      </c>
      <c r="AE1111" s="6">
        <f>$K$1111*$Y$1111</f>
        <v>0</v>
      </c>
      <c r="AF1111" s="6">
        <f ca="1">$M$1111*$Z$1111</f>
        <v>96.310965842190484</v>
      </c>
      <c r="AG1111" s="6">
        <f>$O$1111*$AA$1111</f>
        <v>43.72883787766807</v>
      </c>
    </row>
    <row r="1112" spans="1:33" ht="11.25" customHeight="1" x14ac:dyDescent="0.25">
      <c r="A1112" s="4" t="s">
        <v>21</v>
      </c>
      <c r="B1112" s="4" t="s">
        <v>37</v>
      </c>
      <c r="C1112" s="4" t="s">
        <v>33</v>
      </c>
      <c r="D1112" s="4" t="s">
        <v>38</v>
      </c>
      <c r="E1112" s="4" t="s">
        <v>25</v>
      </c>
      <c r="F1112" s="4" t="s">
        <v>25</v>
      </c>
      <c r="G1112" s="4" t="s">
        <v>25</v>
      </c>
      <c r="H1112" s="4" t="s">
        <v>34</v>
      </c>
      <c r="I1112" s="5">
        <v>44621</v>
      </c>
      <c r="J1112" s="6">
        <v>0</v>
      </c>
      <c r="K1112" s="6">
        <v>0</v>
      </c>
      <c r="L1112" s="6">
        <v>0.26900000000000002</v>
      </c>
      <c r="M1112" s="6">
        <v>0.26900000000000002</v>
      </c>
      <c r="N1112" s="6">
        <v>0.26900000000000002</v>
      </c>
      <c r="O1112" s="6">
        <v>0.26900000000000002</v>
      </c>
      <c r="P1112" s="6">
        <v>0</v>
      </c>
      <c r="Q1112" s="4" t="s">
        <v>26</v>
      </c>
      <c r="R1112" s="4">
        <v>0</v>
      </c>
      <c r="S1112" s="6">
        <v>0</v>
      </c>
      <c r="T1112" s="6">
        <v>41</v>
      </c>
      <c r="U1112" s="6">
        <v>78</v>
      </c>
      <c r="V1112" s="6">
        <f>IF(ISERROR(VLOOKUP($S$1112,'TAR FIN'!$A$1:$O$85,15,0)),0,VLOOKUP($S$1112,'TAR FIN'!$A$1:$O$85,15,0))</f>
        <v>0</v>
      </c>
      <c r="W1112" s="6">
        <f>IF(ISERROR(VLOOKUP($T$1112,'TAR FIN'!$A$1:$O$85,15,0)),0,VLOOKUP($T$1112,'TAR FIN'!$A$1:$O$85,15,0))</f>
        <v>902.29</v>
      </c>
      <c r="X1112" s="6">
        <f>IF(ISERROR(VLOOKUP($U$1112,'TAR FIN'!$A$1:$O$85,15,0)),0,VLOOKUP($U$1112,'TAR FIN'!$A$1:$O$85,15,0))</f>
        <v>492.64</v>
      </c>
      <c r="Y1112" s="6"/>
      <c r="Z1112" s="6">
        <f ca="1">('TUSD BE'!$AM$45+'TUSD BF'!$AM$45+'TUSD CVA'!$AM$45)*1</f>
        <v>1070.1218426910054</v>
      </c>
      <c r="AA1112" s="6">
        <f>('TE BE'!$AB$35+'TE BF'!$AB$35+'TE CVA'!$AB$35)*1</f>
        <v>485.87597641853409</v>
      </c>
      <c r="AB1112" s="6">
        <f>$K$1112*$V$1112</f>
        <v>0</v>
      </c>
      <c r="AC1112" s="6">
        <f>$M$1112*$W$1112</f>
        <v>242.71601000000001</v>
      </c>
      <c r="AD1112" s="6">
        <f>$O$1112*$X$1112</f>
        <v>132.52016</v>
      </c>
      <c r="AE1112" s="6">
        <f>$K$1112*$Y$1112</f>
        <v>0</v>
      </c>
      <c r="AF1112" s="6">
        <f ca="1">$M$1112*$Z$1112</f>
        <v>287.8627756838805</v>
      </c>
      <c r="AG1112" s="6">
        <f>$O$1112*$AA$1112</f>
        <v>130.70063765658568</v>
      </c>
    </row>
    <row r="1113" spans="1:33" ht="11.25" customHeight="1" x14ac:dyDescent="0.25">
      <c r="A1113" s="4" t="s">
        <v>28</v>
      </c>
      <c r="B1113" s="4" t="s">
        <v>37</v>
      </c>
      <c r="C1113" s="4" t="s">
        <v>33</v>
      </c>
      <c r="D1113" s="4" t="s">
        <v>38</v>
      </c>
      <c r="E1113" s="4" t="s">
        <v>25</v>
      </c>
      <c r="F1113" s="4" t="s">
        <v>25</v>
      </c>
      <c r="G1113" s="4" t="s">
        <v>25</v>
      </c>
      <c r="H1113" s="4" t="s">
        <v>34</v>
      </c>
      <c r="I1113" s="5">
        <v>44621</v>
      </c>
      <c r="J1113" s="6">
        <v>0</v>
      </c>
      <c r="K1113" s="6">
        <v>0</v>
      </c>
      <c r="L1113" s="6">
        <v>0.09</v>
      </c>
      <c r="M1113" s="6">
        <v>0.09</v>
      </c>
      <c r="N1113" s="6">
        <v>0.09</v>
      </c>
      <c r="O1113" s="6">
        <v>0.09</v>
      </c>
      <c r="P1113" s="6">
        <v>0</v>
      </c>
      <c r="Q1113" s="4" t="s">
        <v>26</v>
      </c>
      <c r="R1113" s="4">
        <v>0</v>
      </c>
      <c r="S1113" s="6">
        <v>0</v>
      </c>
      <c r="T1113" s="6">
        <v>41</v>
      </c>
      <c r="U1113" s="6">
        <v>78</v>
      </c>
      <c r="V1113" s="6">
        <f>IF(ISERROR(VLOOKUP($S$1113,'TAR FIN'!$A$1:$O$85,15,0)),0,VLOOKUP($S$1113,'TAR FIN'!$A$1:$O$85,15,0))</f>
        <v>0</v>
      </c>
      <c r="W1113" s="6">
        <f>IF(ISERROR(VLOOKUP($T$1113,'TAR FIN'!$A$1:$O$85,15,0)),0,VLOOKUP($T$1113,'TAR FIN'!$A$1:$O$85,15,0))</f>
        <v>902.29</v>
      </c>
      <c r="X1113" s="6">
        <f>IF(ISERROR(VLOOKUP($U$1113,'TAR FIN'!$A$1:$O$85,15,0)),0,VLOOKUP($U$1113,'TAR FIN'!$A$1:$O$85,15,0))</f>
        <v>492.64</v>
      </c>
      <c r="Y1113" s="6"/>
      <c r="Z1113" s="6">
        <f ca="1">('TUSD BE'!$AM$45+'TUSD BF'!$AM$45+'TUSD CVA'!$AM$45)*1</f>
        <v>1070.1218426910054</v>
      </c>
      <c r="AA1113" s="6">
        <f>('TE BE'!$AB$35+'TE BF'!$AB$35+'TE CVA'!$AB$35)*1</f>
        <v>485.87597641853409</v>
      </c>
      <c r="AB1113" s="6">
        <f>$K$1113*$V$1113</f>
        <v>0</v>
      </c>
      <c r="AC1113" s="6">
        <f>$M$1113*$W$1113</f>
        <v>81.206099999999992</v>
      </c>
      <c r="AD1113" s="6">
        <f>$O$1113*$X$1113</f>
        <v>44.337599999999995</v>
      </c>
      <c r="AE1113" s="6">
        <f>$K$1113*$Y$1113</f>
        <v>0</v>
      </c>
      <c r="AF1113" s="6">
        <f ca="1">$M$1113*$Z$1113</f>
        <v>96.310965842190484</v>
      </c>
      <c r="AG1113" s="6">
        <f>$O$1113*$AA$1113</f>
        <v>43.72883787766807</v>
      </c>
    </row>
    <row r="1114" spans="1:33" ht="11.25" customHeight="1" x14ac:dyDescent="0.25">
      <c r="A1114" s="4" t="s">
        <v>21</v>
      </c>
      <c r="B1114" s="4" t="s">
        <v>37</v>
      </c>
      <c r="C1114" s="4" t="s">
        <v>33</v>
      </c>
      <c r="D1114" s="4" t="s">
        <v>38</v>
      </c>
      <c r="E1114" s="4" t="s">
        <v>25</v>
      </c>
      <c r="F1114" s="4" t="s">
        <v>25</v>
      </c>
      <c r="G1114" s="4" t="s">
        <v>25</v>
      </c>
      <c r="H1114" s="4" t="s">
        <v>34</v>
      </c>
      <c r="I1114" s="5">
        <v>44652</v>
      </c>
      <c r="J1114" s="6">
        <v>0</v>
      </c>
      <c r="K1114" s="6">
        <v>0</v>
      </c>
      <c r="L1114" s="6">
        <v>0.24399999999999999</v>
      </c>
      <c r="M1114" s="6">
        <v>0.24399999999999999</v>
      </c>
      <c r="N1114" s="6">
        <v>0.24399999999999999</v>
      </c>
      <c r="O1114" s="6">
        <v>0.24399999999999999</v>
      </c>
      <c r="P1114" s="6">
        <v>0</v>
      </c>
      <c r="Q1114" s="4" t="s">
        <v>26</v>
      </c>
      <c r="R1114" s="4">
        <v>0</v>
      </c>
      <c r="S1114" s="6">
        <v>0</v>
      </c>
      <c r="T1114" s="6">
        <v>41</v>
      </c>
      <c r="U1114" s="6">
        <v>78</v>
      </c>
      <c r="V1114" s="6">
        <f>IF(ISERROR(VLOOKUP($S$1114,'TAR FIN'!$A$1:$O$85,15,0)),0,VLOOKUP($S$1114,'TAR FIN'!$A$1:$O$85,15,0))</f>
        <v>0</v>
      </c>
      <c r="W1114" s="6">
        <f>IF(ISERROR(VLOOKUP($T$1114,'TAR FIN'!$A$1:$O$85,15,0)),0,VLOOKUP($T$1114,'TAR FIN'!$A$1:$O$85,15,0))</f>
        <v>902.29</v>
      </c>
      <c r="X1114" s="6">
        <f>IF(ISERROR(VLOOKUP($U$1114,'TAR FIN'!$A$1:$O$85,15,0)),0,VLOOKUP($U$1114,'TAR FIN'!$A$1:$O$85,15,0))</f>
        <v>492.64</v>
      </c>
      <c r="Y1114" s="6"/>
      <c r="Z1114" s="6">
        <f ca="1">('TUSD BE'!$AM$45+'TUSD BF'!$AM$45+'TUSD CVA'!$AM$45)*1</f>
        <v>1070.1218426910054</v>
      </c>
      <c r="AA1114" s="6">
        <f>('TE BE'!$AB$35+'TE BF'!$AB$35+'TE CVA'!$AB$35)*1</f>
        <v>485.87597641853409</v>
      </c>
      <c r="AB1114" s="6">
        <f>$K$1114*$V$1114</f>
        <v>0</v>
      </c>
      <c r="AC1114" s="6">
        <f>$M$1114*$W$1114</f>
        <v>220.15875999999997</v>
      </c>
      <c r="AD1114" s="6">
        <f>$O$1114*$X$1114</f>
        <v>120.20415999999999</v>
      </c>
      <c r="AE1114" s="6">
        <f>$K$1114*$Y$1114</f>
        <v>0</v>
      </c>
      <c r="AF1114" s="6">
        <f ca="1">$M$1114*$Z$1114</f>
        <v>261.10972961660531</v>
      </c>
      <c r="AG1114" s="6">
        <f>$O$1114*$AA$1114</f>
        <v>118.55373824612232</v>
      </c>
    </row>
    <row r="1115" spans="1:33" ht="11.25" customHeight="1" x14ac:dyDescent="0.25">
      <c r="A1115" s="4" t="s">
        <v>21</v>
      </c>
      <c r="B1115" s="4" t="s">
        <v>37</v>
      </c>
      <c r="C1115" s="4" t="s">
        <v>33</v>
      </c>
      <c r="D1115" s="4" t="s">
        <v>38</v>
      </c>
      <c r="E1115" s="4" t="s">
        <v>25</v>
      </c>
      <c r="F1115" s="4" t="s">
        <v>25</v>
      </c>
      <c r="G1115" s="4" t="s">
        <v>25</v>
      </c>
      <c r="H1115" s="4" t="s">
        <v>34</v>
      </c>
      <c r="I1115" s="5">
        <v>44682</v>
      </c>
      <c r="J1115" s="6">
        <v>0</v>
      </c>
      <c r="K1115" s="6">
        <v>0</v>
      </c>
      <c r="L1115" s="6">
        <v>0.33500000000000002</v>
      </c>
      <c r="M1115" s="6">
        <v>0.33500000000000002</v>
      </c>
      <c r="N1115" s="6">
        <v>0.33500000000000002</v>
      </c>
      <c r="O1115" s="6">
        <v>0.33500000000000002</v>
      </c>
      <c r="P1115" s="6">
        <v>0</v>
      </c>
      <c r="Q1115" s="4" t="s">
        <v>26</v>
      </c>
      <c r="R1115" s="4">
        <v>0</v>
      </c>
      <c r="S1115" s="6">
        <v>0</v>
      </c>
      <c r="T1115" s="6">
        <v>41</v>
      </c>
      <c r="U1115" s="6">
        <v>78</v>
      </c>
      <c r="V1115" s="6">
        <f>IF(ISERROR(VLOOKUP($S$1115,'TAR FIN'!$A$1:$O$85,15,0)),0,VLOOKUP($S$1115,'TAR FIN'!$A$1:$O$85,15,0))</f>
        <v>0</v>
      </c>
      <c r="W1115" s="6">
        <f>IF(ISERROR(VLOOKUP($T$1115,'TAR FIN'!$A$1:$O$85,15,0)),0,VLOOKUP($T$1115,'TAR FIN'!$A$1:$O$85,15,0))</f>
        <v>902.29</v>
      </c>
      <c r="X1115" s="6">
        <f>IF(ISERROR(VLOOKUP($U$1115,'TAR FIN'!$A$1:$O$85,15,0)),0,VLOOKUP($U$1115,'TAR FIN'!$A$1:$O$85,15,0))</f>
        <v>492.64</v>
      </c>
      <c r="Y1115" s="6"/>
      <c r="Z1115" s="6">
        <f ca="1">('TUSD BE'!$AM$45+'TUSD BF'!$AM$45+'TUSD CVA'!$AM$45)*1</f>
        <v>1070.1218426910054</v>
      </c>
      <c r="AA1115" s="6">
        <f>('TE BE'!$AB$35+'TE BF'!$AB$35+'TE CVA'!$AB$35)*1</f>
        <v>485.87597641853409</v>
      </c>
      <c r="AB1115" s="6">
        <f>$K$1115*$V$1115</f>
        <v>0</v>
      </c>
      <c r="AC1115" s="6">
        <f>$M$1115*$W$1115</f>
        <v>302.26715000000002</v>
      </c>
      <c r="AD1115" s="6">
        <f>$O$1115*$X$1115</f>
        <v>165.03440000000001</v>
      </c>
      <c r="AE1115" s="6">
        <f>$K$1115*$Y$1115</f>
        <v>0</v>
      </c>
      <c r="AF1115" s="6">
        <f ca="1">$M$1115*$Z$1115</f>
        <v>358.49081730148686</v>
      </c>
      <c r="AG1115" s="6">
        <f>$O$1115*$AA$1115</f>
        <v>162.76845210020892</v>
      </c>
    </row>
    <row r="1116" spans="1:33" ht="11.25" customHeight="1" x14ac:dyDescent="0.25">
      <c r="A1116" s="4" t="s">
        <v>28</v>
      </c>
      <c r="B1116" s="4" t="s">
        <v>37</v>
      </c>
      <c r="C1116" s="4" t="s">
        <v>33</v>
      </c>
      <c r="D1116" s="4" t="s">
        <v>38</v>
      </c>
      <c r="E1116" s="4" t="s">
        <v>25</v>
      </c>
      <c r="F1116" s="4" t="s">
        <v>25</v>
      </c>
      <c r="G1116" s="4" t="s">
        <v>25</v>
      </c>
      <c r="H1116" s="4" t="s">
        <v>34</v>
      </c>
      <c r="I1116" s="5">
        <v>44682</v>
      </c>
      <c r="J1116" s="6">
        <v>0</v>
      </c>
      <c r="K1116" s="6">
        <v>0</v>
      </c>
      <c r="L1116" s="6">
        <v>0.06</v>
      </c>
      <c r="M1116" s="6">
        <v>0.06</v>
      </c>
      <c r="N1116" s="6">
        <v>0.06</v>
      </c>
      <c r="O1116" s="6">
        <v>0.06</v>
      </c>
      <c r="P1116" s="6">
        <v>0</v>
      </c>
      <c r="Q1116" s="4" t="s">
        <v>26</v>
      </c>
      <c r="R1116" s="4">
        <v>0</v>
      </c>
      <c r="S1116" s="6">
        <v>0</v>
      </c>
      <c r="T1116" s="6">
        <v>41</v>
      </c>
      <c r="U1116" s="6">
        <v>78</v>
      </c>
      <c r="V1116" s="6">
        <f>IF(ISERROR(VLOOKUP($S$1116,'TAR FIN'!$A$1:$O$85,15,0)),0,VLOOKUP($S$1116,'TAR FIN'!$A$1:$O$85,15,0))</f>
        <v>0</v>
      </c>
      <c r="W1116" s="6">
        <f>IF(ISERROR(VLOOKUP($T$1116,'TAR FIN'!$A$1:$O$85,15,0)),0,VLOOKUP($T$1116,'TAR FIN'!$A$1:$O$85,15,0))</f>
        <v>902.29</v>
      </c>
      <c r="X1116" s="6">
        <f>IF(ISERROR(VLOOKUP($U$1116,'TAR FIN'!$A$1:$O$85,15,0)),0,VLOOKUP($U$1116,'TAR FIN'!$A$1:$O$85,15,0))</f>
        <v>492.64</v>
      </c>
      <c r="Y1116" s="6"/>
      <c r="Z1116" s="6">
        <f ca="1">('TUSD BE'!$AM$45+'TUSD BF'!$AM$45+'TUSD CVA'!$AM$45)*1</f>
        <v>1070.1218426910054</v>
      </c>
      <c r="AA1116" s="6">
        <f>('TE BE'!$AB$35+'TE BF'!$AB$35+'TE CVA'!$AB$35)*1</f>
        <v>485.87597641853409</v>
      </c>
      <c r="AB1116" s="6">
        <f>$K$1116*$V$1116</f>
        <v>0</v>
      </c>
      <c r="AC1116" s="6">
        <f>$M$1116*$W$1116</f>
        <v>54.137399999999992</v>
      </c>
      <c r="AD1116" s="6">
        <f>$O$1116*$X$1116</f>
        <v>29.558399999999999</v>
      </c>
      <c r="AE1116" s="6">
        <f>$K$1116*$Y$1116</f>
        <v>0</v>
      </c>
      <c r="AF1116" s="6">
        <f ca="1">$M$1116*$Z$1116</f>
        <v>64.207310561460318</v>
      </c>
      <c r="AG1116" s="6">
        <f>$O$1116*$AA$1116</f>
        <v>29.152558585112043</v>
      </c>
    </row>
    <row r="1117" spans="1:33" ht="11.25" customHeight="1" x14ac:dyDescent="0.25">
      <c r="A1117" s="4" t="s">
        <v>21</v>
      </c>
      <c r="B1117" s="4" t="s">
        <v>37</v>
      </c>
      <c r="C1117" s="4" t="s">
        <v>33</v>
      </c>
      <c r="D1117" s="4" t="s">
        <v>38</v>
      </c>
      <c r="E1117" s="4" t="s">
        <v>25</v>
      </c>
      <c r="F1117" s="4" t="s">
        <v>25</v>
      </c>
      <c r="G1117" s="4" t="s">
        <v>25</v>
      </c>
      <c r="H1117" s="4" t="s">
        <v>34</v>
      </c>
      <c r="I1117" s="5">
        <v>44713</v>
      </c>
      <c r="J1117" s="6">
        <v>0</v>
      </c>
      <c r="K1117" s="6">
        <v>0</v>
      </c>
      <c r="L1117" s="6">
        <v>0.20799999999999999</v>
      </c>
      <c r="M1117" s="6">
        <v>0.20799999999999999</v>
      </c>
      <c r="N1117" s="6">
        <v>0.20799999999999999</v>
      </c>
      <c r="O1117" s="6">
        <v>0.20799999999999999</v>
      </c>
      <c r="P1117" s="6">
        <v>0</v>
      </c>
      <c r="Q1117" s="4" t="s">
        <v>26</v>
      </c>
      <c r="R1117" s="4">
        <v>0</v>
      </c>
      <c r="S1117" s="6">
        <v>0</v>
      </c>
      <c r="T1117" s="6">
        <v>41</v>
      </c>
      <c r="U1117" s="6">
        <v>78</v>
      </c>
      <c r="V1117" s="6">
        <f>IF(ISERROR(VLOOKUP($S$1117,'TAR FIN'!$A$1:$O$85,15,0)),0,VLOOKUP($S$1117,'TAR FIN'!$A$1:$O$85,15,0))</f>
        <v>0</v>
      </c>
      <c r="W1117" s="6">
        <f>IF(ISERROR(VLOOKUP($T$1117,'TAR FIN'!$A$1:$O$85,15,0)),0,VLOOKUP($T$1117,'TAR FIN'!$A$1:$O$85,15,0))</f>
        <v>902.29</v>
      </c>
      <c r="X1117" s="6">
        <f>IF(ISERROR(VLOOKUP($U$1117,'TAR FIN'!$A$1:$O$85,15,0)),0,VLOOKUP($U$1117,'TAR FIN'!$A$1:$O$85,15,0))</f>
        <v>492.64</v>
      </c>
      <c r="Y1117" s="6"/>
      <c r="Z1117" s="6">
        <f ca="1">('TUSD BE'!$AM$45+'TUSD BF'!$AM$45+'TUSD CVA'!$AM$45)*1</f>
        <v>1070.1218426910054</v>
      </c>
      <c r="AA1117" s="6">
        <f>('TE BE'!$AB$35+'TE BF'!$AB$35+'TE CVA'!$AB$35)*1</f>
        <v>485.87597641853409</v>
      </c>
      <c r="AB1117" s="6">
        <f>$K$1117*$V$1117</f>
        <v>0</v>
      </c>
      <c r="AC1117" s="6">
        <f>$M$1117*$W$1117</f>
        <v>187.67631999999998</v>
      </c>
      <c r="AD1117" s="6">
        <f>$O$1117*$X$1117</f>
        <v>102.46911999999999</v>
      </c>
      <c r="AE1117" s="6">
        <f>$K$1117*$Y$1117</f>
        <v>0</v>
      </c>
      <c r="AF1117" s="6">
        <f ca="1">$M$1117*$Z$1117</f>
        <v>222.58534327972913</v>
      </c>
      <c r="AG1117" s="6">
        <f>$O$1117*$AA$1117</f>
        <v>101.06220309505508</v>
      </c>
    </row>
    <row r="1118" spans="1:33" ht="11.25" customHeight="1" x14ac:dyDescent="0.25">
      <c r="A1118" s="4" t="s">
        <v>28</v>
      </c>
      <c r="B1118" s="4" t="s">
        <v>37</v>
      </c>
      <c r="C1118" s="4" t="s">
        <v>33</v>
      </c>
      <c r="D1118" s="4" t="s">
        <v>38</v>
      </c>
      <c r="E1118" s="4" t="s">
        <v>25</v>
      </c>
      <c r="F1118" s="4" t="s">
        <v>25</v>
      </c>
      <c r="G1118" s="4" t="s">
        <v>25</v>
      </c>
      <c r="H1118" s="4" t="s">
        <v>34</v>
      </c>
      <c r="I1118" s="5">
        <v>44713</v>
      </c>
      <c r="J1118" s="6">
        <v>0</v>
      </c>
      <c r="K1118" s="6">
        <v>0</v>
      </c>
      <c r="L1118" s="6">
        <v>0.06</v>
      </c>
      <c r="M1118" s="6">
        <v>0.06</v>
      </c>
      <c r="N1118" s="6">
        <v>0.06</v>
      </c>
      <c r="O1118" s="6">
        <v>0.06</v>
      </c>
      <c r="P1118" s="6">
        <v>0</v>
      </c>
      <c r="Q1118" s="4" t="s">
        <v>26</v>
      </c>
      <c r="R1118" s="4">
        <v>0</v>
      </c>
      <c r="S1118" s="6">
        <v>0</v>
      </c>
      <c r="T1118" s="6">
        <v>41</v>
      </c>
      <c r="U1118" s="6">
        <v>78</v>
      </c>
      <c r="V1118" s="6">
        <f>IF(ISERROR(VLOOKUP($S$1118,'TAR FIN'!$A$1:$O$85,15,0)),0,VLOOKUP($S$1118,'TAR FIN'!$A$1:$O$85,15,0))</f>
        <v>0</v>
      </c>
      <c r="W1118" s="6">
        <f>IF(ISERROR(VLOOKUP($T$1118,'TAR FIN'!$A$1:$O$85,15,0)),0,VLOOKUP($T$1118,'TAR FIN'!$A$1:$O$85,15,0))</f>
        <v>902.29</v>
      </c>
      <c r="X1118" s="6">
        <f>IF(ISERROR(VLOOKUP($U$1118,'TAR FIN'!$A$1:$O$85,15,0)),0,VLOOKUP($U$1118,'TAR FIN'!$A$1:$O$85,15,0))</f>
        <v>492.64</v>
      </c>
      <c r="Y1118" s="6"/>
      <c r="Z1118" s="6">
        <f ca="1">('TUSD BE'!$AM$45+'TUSD BF'!$AM$45+'TUSD CVA'!$AM$45)*1</f>
        <v>1070.1218426910054</v>
      </c>
      <c r="AA1118" s="6">
        <f>('TE BE'!$AB$35+'TE BF'!$AB$35+'TE CVA'!$AB$35)*1</f>
        <v>485.87597641853409</v>
      </c>
      <c r="AB1118" s="6">
        <f>$K$1118*$V$1118</f>
        <v>0</v>
      </c>
      <c r="AC1118" s="6">
        <f>$M$1118*$W$1118</f>
        <v>54.137399999999992</v>
      </c>
      <c r="AD1118" s="6">
        <f>$O$1118*$X$1118</f>
        <v>29.558399999999999</v>
      </c>
      <c r="AE1118" s="6">
        <f>$K$1118*$Y$1118</f>
        <v>0</v>
      </c>
      <c r="AF1118" s="6">
        <f ca="1">$M$1118*$Z$1118</f>
        <v>64.207310561460318</v>
      </c>
      <c r="AG1118" s="6">
        <f>$O$1118*$AA$1118</f>
        <v>29.152558585112043</v>
      </c>
    </row>
    <row r="1119" spans="1:33" ht="11.25" customHeight="1" x14ac:dyDescent="0.25">
      <c r="A1119" s="4" t="s">
        <v>21</v>
      </c>
      <c r="B1119" s="4" t="s">
        <v>37</v>
      </c>
      <c r="C1119" s="4" t="s">
        <v>33</v>
      </c>
      <c r="D1119" s="4" t="s">
        <v>38</v>
      </c>
      <c r="E1119" s="4" t="s">
        <v>25</v>
      </c>
      <c r="F1119" s="4" t="s">
        <v>25</v>
      </c>
      <c r="G1119" s="4" t="s">
        <v>25</v>
      </c>
      <c r="H1119" s="4" t="s">
        <v>34</v>
      </c>
      <c r="I1119" s="5">
        <v>44743</v>
      </c>
      <c r="J1119" s="6">
        <v>0</v>
      </c>
      <c r="K1119" s="6">
        <v>0</v>
      </c>
      <c r="L1119" s="6">
        <v>0.45200000000000001</v>
      </c>
      <c r="M1119" s="6">
        <v>0.45200000000000001</v>
      </c>
      <c r="N1119" s="6">
        <v>0.45200000000000001</v>
      </c>
      <c r="O1119" s="6">
        <v>0.45200000000000001</v>
      </c>
      <c r="P1119" s="6">
        <v>0</v>
      </c>
      <c r="Q1119" s="4" t="s">
        <v>26</v>
      </c>
      <c r="R1119" s="4">
        <v>0</v>
      </c>
      <c r="S1119" s="6">
        <v>0</v>
      </c>
      <c r="T1119" s="6">
        <v>41</v>
      </c>
      <c r="U1119" s="6">
        <v>78</v>
      </c>
      <c r="V1119" s="6">
        <f>IF(ISERROR(VLOOKUP($S$1119,'TAR FIN'!$A$1:$O$85,15,0)),0,VLOOKUP($S$1119,'TAR FIN'!$A$1:$O$85,15,0))</f>
        <v>0</v>
      </c>
      <c r="W1119" s="6">
        <f>IF(ISERROR(VLOOKUP($T$1119,'TAR FIN'!$A$1:$O$85,15,0)),0,VLOOKUP($T$1119,'TAR FIN'!$A$1:$O$85,15,0))</f>
        <v>902.29</v>
      </c>
      <c r="X1119" s="6">
        <f>IF(ISERROR(VLOOKUP($U$1119,'TAR FIN'!$A$1:$O$85,15,0)),0,VLOOKUP($U$1119,'TAR FIN'!$A$1:$O$85,15,0))</f>
        <v>492.64</v>
      </c>
      <c r="Y1119" s="6"/>
      <c r="Z1119" s="6">
        <f ca="1">('TUSD BE'!$AM$45+'TUSD BF'!$AM$45+'TUSD CVA'!$AM$45)*1</f>
        <v>1070.1218426910054</v>
      </c>
      <c r="AA1119" s="6">
        <f>('TE BE'!$AB$35+'TE BF'!$AB$35+'TE CVA'!$AB$35)*1</f>
        <v>485.87597641853409</v>
      </c>
      <c r="AB1119" s="6">
        <f>$K$1119*$V$1119</f>
        <v>0</v>
      </c>
      <c r="AC1119" s="6">
        <f>$M$1119*$W$1119</f>
        <v>407.83508</v>
      </c>
      <c r="AD1119" s="6">
        <f>$O$1119*$X$1119</f>
        <v>222.67328000000001</v>
      </c>
      <c r="AE1119" s="6">
        <f>$K$1119*$Y$1119</f>
        <v>0</v>
      </c>
      <c r="AF1119" s="6">
        <f ca="1">$M$1119*$Z$1119</f>
        <v>483.69507289633447</v>
      </c>
      <c r="AG1119" s="6">
        <f>$O$1119*$AA$1119</f>
        <v>219.6159413411774</v>
      </c>
    </row>
    <row r="1120" spans="1:33" ht="11.25" customHeight="1" x14ac:dyDescent="0.25">
      <c r="A1120" s="4" t="s">
        <v>28</v>
      </c>
      <c r="B1120" s="4" t="s">
        <v>37</v>
      </c>
      <c r="C1120" s="4" t="s">
        <v>33</v>
      </c>
      <c r="D1120" s="4" t="s">
        <v>38</v>
      </c>
      <c r="E1120" s="4" t="s">
        <v>25</v>
      </c>
      <c r="F1120" s="4" t="s">
        <v>25</v>
      </c>
      <c r="G1120" s="4" t="s">
        <v>25</v>
      </c>
      <c r="H1120" s="4" t="s">
        <v>34</v>
      </c>
      <c r="I1120" s="5">
        <v>44743</v>
      </c>
      <c r="J1120" s="6">
        <v>0</v>
      </c>
      <c r="K1120" s="6">
        <v>0</v>
      </c>
      <c r="L1120" s="6">
        <v>0.33</v>
      </c>
      <c r="M1120" s="6">
        <v>0.33</v>
      </c>
      <c r="N1120" s="6">
        <v>0.33</v>
      </c>
      <c r="O1120" s="6">
        <v>0.33</v>
      </c>
      <c r="P1120" s="6">
        <v>0</v>
      </c>
      <c r="Q1120" s="4" t="s">
        <v>26</v>
      </c>
      <c r="R1120" s="4">
        <v>0</v>
      </c>
      <c r="S1120" s="6">
        <v>0</v>
      </c>
      <c r="T1120" s="6">
        <v>41</v>
      </c>
      <c r="U1120" s="6">
        <v>78</v>
      </c>
      <c r="V1120" s="6">
        <f>IF(ISERROR(VLOOKUP($S$1120,'TAR FIN'!$A$1:$O$85,15,0)),0,VLOOKUP($S$1120,'TAR FIN'!$A$1:$O$85,15,0))</f>
        <v>0</v>
      </c>
      <c r="W1120" s="6">
        <f>IF(ISERROR(VLOOKUP($T$1120,'TAR FIN'!$A$1:$O$85,15,0)),0,VLOOKUP($T$1120,'TAR FIN'!$A$1:$O$85,15,0))</f>
        <v>902.29</v>
      </c>
      <c r="X1120" s="6">
        <f>IF(ISERROR(VLOOKUP($U$1120,'TAR FIN'!$A$1:$O$85,15,0)),0,VLOOKUP($U$1120,'TAR FIN'!$A$1:$O$85,15,0))</f>
        <v>492.64</v>
      </c>
      <c r="Y1120" s="6"/>
      <c r="Z1120" s="6">
        <f ca="1">('TUSD BE'!$AM$45+'TUSD BF'!$AM$45+'TUSD CVA'!$AM$45)*1</f>
        <v>1070.1218426910054</v>
      </c>
      <c r="AA1120" s="6">
        <f>('TE BE'!$AB$35+'TE BF'!$AB$35+'TE CVA'!$AB$35)*1</f>
        <v>485.87597641853409</v>
      </c>
      <c r="AB1120" s="6">
        <f>$K$1120*$V$1120</f>
        <v>0</v>
      </c>
      <c r="AC1120" s="6">
        <f>$M$1120*$W$1120</f>
        <v>297.75569999999999</v>
      </c>
      <c r="AD1120" s="6">
        <f>$O$1120*$X$1120</f>
        <v>162.5712</v>
      </c>
      <c r="AE1120" s="6">
        <f>$K$1120*$Y$1120</f>
        <v>0</v>
      </c>
      <c r="AF1120" s="6">
        <f ca="1">$M$1120*$Z$1120</f>
        <v>353.14020808803178</v>
      </c>
      <c r="AG1120" s="6">
        <f>$O$1120*$AA$1120</f>
        <v>160.33907221811626</v>
      </c>
    </row>
    <row r="1121" spans="1:33" ht="11.25" customHeight="1" x14ac:dyDescent="0.25">
      <c r="A1121" s="4" t="s">
        <v>56</v>
      </c>
      <c r="B1121" s="4" t="s">
        <v>37</v>
      </c>
      <c r="C1121" s="4" t="s">
        <v>33</v>
      </c>
      <c r="D1121" s="4" t="s">
        <v>38</v>
      </c>
      <c r="E1121" s="4" t="s">
        <v>25</v>
      </c>
      <c r="F1121" s="4" t="s">
        <v>25</v>
      </c>
      <c r="G1121" s="4" t="s">
        <v>25</v>
      </c>
      <c r="H1121" s="4" t="s">
        <v>34</v>
      </c>
      <c r="I1121" s="5">
        <v>44774</v>
      </c>
      <c r="J1121" s="6">
        <v>0</v>
      </c>
      <c r="K1121" s="6">
        <v>0</v>
      </c>
      <c r="L1121" s="6">
        <v>0.45200000000000001</v>
      </c>
      <c r="M1121" s="6">
        <v>0.45200000000000001</v>
      </c>
      <c r="N1121" s="6">
        <v>0.45200000000000001</v>
      </c>
      <c r="O1121" s="6">
        <v>0.45200000000000001</v>
      </c>
      <c r="P1121" s="6">
        <v>0</v>
      </c>
      <c r="Q1121" s="4" t="s">
        <v>26</v>
      </c>
      <c r="R1121" s="4">
        <v>0</v>
      </c>
      <c r="S1121" s="6">
        <v>0</v>
      </c>
      <c r="T1121" s="6">
        <v>41</v>
      </c>
      <c r="U1121" s="6">
        <v>78</v>
      </c>
      <c r="V1121" s="6">
        <f>IF(ISERROR(VLOOKUP($S$1121,'TAR FIN'!$A$1:$O$85,15,0)),0,VLOOKUP($S$1121,'TAR FIN'!$A$1:$O$85,15,0))</f>
        <v>0</v>
      </c>
      <c r="W1121" s="6">
        <f>IF(ISERROR(VLOOKUP($T$1121,'TAR FIN'!$A$1:$O$85,15,0)),0,VLOOKUP($T$1121,'TAR FIN'!$A$1:$O$85,15,0))</f>
        <v>902.29</v>
      </c>
      <c r="X1121" s="6">
        <f>IF(ISERROR(VLOOKUP($U$1121,'TAR FIN'!$A$1:$O$85,15,0)),0,VLOOKUP($U$1121,'TAR FIN'!$A$1:$O$85,15,0))</f>
        <v>492.64</v>
      </c>
      <c r="Y1121" s="6"/>
      <c r="Z1121" s="6">
        <f ca="1">('TUSD BE'!$AM$45+'TUSD BF'!$AM$45+'TUSD CVA'!$AM$45)*1</f>
        <v>1070.1218426910054</v>
      </c>
      <c r="AA1121" s="6">
        <f>('TE BE'!$AB$35+'TE BF'!$AB$35+'TE CVA'!$AB$35)*1</f>
        <v>485.87597641853409</v>
      </c>
      <c r="AB1121" s="6">
        <f>$K$1121*$V$1121</f>
        <v>0</v>
      </c>
      <c r="AC1121" s="6">
        <f>$M$1121*$W$1121</f>
        <v>407.83508</v>
      </c>
      <c r="AD1121" s="6">
        <f>$O$1121*$X$1121</f>
        <v>222.67328000000001</v>
      </c>
      <c r="AE1121" s="6">
        <f>$K$1121*$Y$1121</f>
        <v>0</v>
      </c>
      <c r="AF1121" s="6">
        <f ca="1">$M$1121*$Z$1121</f>
        <v>483.69507289633447</v>
      </c>
      <c r="AG1121" s="6">
        <f>$O$1121*$AA$1121</f>
        <v>219.6159413411774</v>
      </c>
    </row>
    <row r="1122" spans="1:33" ht="11.25" customHeight="1" x14ac:dyDescent="0.25">
      <c r="A1122" s="4" t="s">
        <v>56</v>
      </c>
      <c r="B1122" s="4" t="s">
        <v>37</v>
      </c>
      <c r="C1122" s="4" t="s">
        <v>33</v>
      </c>
      <c r="D1122" s="4" t="s">
        <v>38</v>
      </c>
      <c r="E1122" s="4" t="s">
        <v>25</v>
      </c>
      <c r="F1122" s="4" t="s">
        <v>25</v>
      </c>
      <c r="G1122" s="4" t="s">
        <v>25</v>
      </c>
      <c r="H1122" s="4" t="s">
        <v>34</v>
      </c>
      <c r="I1122" s="5">
        <v>44774</v>
      </c>
      <c r="J1122" s="6">
        <v>0</v>
      </c>
      <c r="K1122" s="6">
        <v>0</v>
      </c>
      <c r="L1122" s="6">
        <v>0.33</v>
      </c>
      <c r="M1122" s="6">
        <v>0.33</v>
      </c>
      <c r="N1122" s="6">
        <v>0.33</v>
      </c>
      <c r="O1122" s="6">
        <v>0.33</v>
      </c>
      <c r="P1122" s="6">
        <v>0</v>
      </c>
      <c r="Q1122" s="4" t="s">
        <v>26</v>
      </c>
      <c r="R1122" s="4">
        <v>0</v>
      </c>
      <c r="S1122" s="6">
        <v>0</v>
      </c>
      <c r="T1122" s="6">
        <v>41</v>
      </c>
      <c r="U1122" s="6">
        <v>78</v>
      </c>
      <c r="V1122" s="6">
        <f>IF(ISERROR(VLOOKUP($S$1122,'TAR FIN'!$A$1:$O$85,15,0)),0,VLOOKUP($S$1122,'TAR FIN'!$A$1:$O$85,15,0))</f>
        <v>0</v>
      </c>
      <c r="W1122" s="6">
        <f>IF(ISERROR(VLOOKUP($T$1122,'TAR FIN'!$A$1:$O$85,15,0)),0,VLOOKUP($T$1122,'TAR FIN'!$A$1:$O$85,15,0))</f>
        <v>902.29</v>
      </c>
      <c r="X1122" s="6">
        <f>IF(ISERROR(VLOOKUP($U$1122,'TAR FIN'!$A$1:$O$85,15,0)),0,VLOOKUP($U$1122,'TAR FIN'!$A$1:$O$85,15,0))</f>
        <v>492.64</v>
      </c>
      <c r="Y1122" s="6"/>
      <c r="Z1122" s="6">
        <f ca="1">('TUSD BE'!$AM$45+'TUSD BF'!$AM$45+'TUSD CVA'!$AM$45)*1</f>
        <v>1070.1218426910054</v>
      </c>
      <c r="AA1122" s="6">
        <f>('TE BE'!$AB$35+'TE BF'!$AB$35+'TE CVA'!$AB$35)*1</f>
        <v>485.87597641853409</v>
      </c>
      <c r="AB1122" s="6">
        <f>$K$1122*$V$1122</f>
        <v>0</v>
      </c>
      <c r="AC1122" s="6">
        <f>$M$1122*$W$1122</f>
        <v>297.75569999999999</v>
      </c>
      <c r="AD1122" s="6">
        <f>$O$1122*$X$1122</f>
        <v>162.5712</v>
      </c>
      <c r="AE1122" s="6">
        <f>$K$1122*$Y$1122</f>
        <v>0</v>
      </c>
      <c r="AF1122" s="6">
        <f ca="1">$M$1122*$Z$1122</f>
        <v>353.14020808803178</v>
      </c>
      <c r="AG1122" s="6">
        <f>$O$1122*$AA$1122</f>
        <v>160.33907221811626</v>
      </c>
    </row>
    <row r="1123" spans="1:33" ht="11.25" customHeight="1" x14ac:dyDescent="0.25">
      <c r="A1123" s="4" t="s">
        <v>21</v>
      </c>
      <c r="B1123" s="4" t="s">
        <v>37</v>
      </c>
      <c r="C1123" s="4" t="s">
        <v>23</v>
      </c>
      <c r="D1123" s="4" t="s">
        <v>41</v>
      </c>
      <c r="E1123" s="4" t="s">
        <v>25</v>
      </c>
      <c r="F1123" s="4" t="s">
        <v>25</v>
      </c>
      <c r="G1123" s="4" t="s">
        <v>25</v>
      </c>
      <c r="H1123" s="4" t="s">
        <v>25</v>
      </c>
      <c r="I1123" s="5">
        <v>44440</v>
      </c>
      <c r="J1123" s="6">
        <v>0</v>
      </c>
      <c r="K1123" s="6">
        <v>0</v>
      </c>
      <c r="L1123" s="6">
        <v>4812.7089999999998</v>
      </c>
      <c r="M1123" s="6">
        <v>4812.7089999999998</v>
      </c>
      <c r="N1123" s="6">
        <v>4812.7089999999998</v>
      </c>
      <c r="O1123" s="6">
        <v>4812.7089999999998</v>
      </c>
      <c r="P1123" s="6">
        <v>9157</v>
      </c>
      <c r="Q1123" s="4" t="s">
        <v>26</v>
      </c>
      <c r="R1123" s="4">
        <v>0</v>
      </c>
      <c r="S1123" s="6">
        <v>0</v>
      </c>
      <c r="T1123" s="6">
        <v>44</v>
      </c>
      <c r="U1123" s="6">
        <v>81</v>
      </c>
      <c r="V1123" s="6">
        <f>IF(ISERROR(VLOOKUP($S$1123,'TAR FIN'!$A$1:$O$85,15,0)),0,VLOOKUP($S$1123,'TAR FIN'!$A$1:$O$85,15,0))</f>
        <v>0</v>
      </c>
      <c r="W1123" s="6">
        <f>IF(ISERROR(VLOOKUP($T$1123,'TAR FIN'!$A$1:$O$85,15,0)),0,VLOOKUP($T$1123,'TAR FIN'!$A$1:$O$85,15,0))</f>
        <v>324.88</v>
      </c>
      <c r="X1123" s="6">
        <f>IF(ISERROR(VLOOKUP($U$1123,'TAR FIN'!$A$1:$O$85,15,0)),0,VLOOKUP($U$1123,'TAR FIN'!$A$1:$O$85,15,0))</f>
        <v>322.54000000000002</v>
      </c>
      <c r="Y1123" s="6"/>
      <c r="Z1123" s="6">
        <f ca="1">('TUSD BE'!$AM$48+'TUSD BF'!$AM$48+'TUSD CVA'!$AM$48)*1</f>
        <v>434.80310925202969</v>
      </c>
      <c r="AA1123" s="6">
        <f>('TE BE'!$AB$38+'TE BF'!$AB$38+'TE CVA'!$AB$38)*1</f>
        <v>319.954086693367</v>
      </c>
      <c r="AB1123" s="6">
        <f>$K$1123*$V$1123</f>
        <v>0</v>
      </c>
      <c r="AC1123" s="6">
        <f>$M$1123*$W$1123</f>
        <v>1563552.89992</v>
      </c>
      <c r="AD1123" s="6">
        <f>$O$1123*$X$1123</f>
        <v>1552291.1608599999</v>
      </c>
      <c r="AE1123" s="6">
        <f>$K$1123*$Y$1123</f>
        <v>0</v>
      </c>
      <c r="AF1123" s="6">
        <f ca="1">$M$1123*$Z$1123</f>
        <v>2092580.8371252264</v>
      </c>
      <c r="AG1123" s="6">
        <f>$O$1123*$AA$1123</f>
        <v>1539845.9126159477</v>
      </c>
    </row>
    <row r="1124" spans="1:33" ht="11.25" customHeight="1" x14ac:dyDescent="0.25">
      <c r="A1124" s="4" t="s">
        <v>27</v>
      </c>
      <c r="B1124" s="4" t="s">
        <v>37</v>
      </c>
      <c r="C1124" s="4" t="s">
        <v>23</v>
      </c>
      <c r="D1124" s="4" t="s">
        <v>41</v>
      </c>
      <c r="E1124" s="4" t="s">
        <v>25</v>
      </c>
      <c r="F1124" s="4" t="s">
        <v>25</v>
      </c>
      <c r="G1124" s="4" t="s">
        <v>25</v>
      </c>
      <c r="H1124" s="4" t="s">
        <v>25</v>
      </c>
      <c r="I1124" s="5">
        <v>44440</v>
      </c>
      <c r="J1124" s="6">
        <v>0</v>
      </c>
      <c r="K1124" s="6">
        <v>0</v>
      </c>
      <c r="L1124" s="6">
        <v>-0.25</v>
      </c>
      <c r="M1124" s="6">
        <v>-0.25</v>
      </c>
      <c r="N1124" s="6">
        <v>-0.25</v>
      </c>
      <c r="O1124" s="6">
        <v>-0.25</v>
      </c>
      <c r="P1124" s="6">
        <v>-2</v>
      </c>
      <c r="Q1124" s="4" t="s">
        <v>26</v>
      </c>
      <c r="R1124" s="4">
        <v>0</v>
      </c>
      <c r="S1124" s="6">
        <v>0</v>
      </c>
      <c r="T1124" s="6">
        <v>44</v>
      </c>
      <c r="U1124" s="6">
        <v>81</v>
      </c>
      <c r="V1124" s="6">
        <f>IF(ISERROR(VLOOKUP($S$1124,'TAR FIN'!$A$1:$O$85,15,0)),0,VLOOKUP($S$1124,'TAR FIN'!$A$1:$O$85,15,0))</f>
        <v>0</v>
      </c>
      <c r="W1124" s="6">
        <f>IF(ISERROR(VLOOKUP($T$1124,'TAR FIN'!$A$1:$O$85,15,0)),0,VLOOKUP($T$1124,'TAR FIN'!$A$1:$O$85,15,0))</f>
        <v>324.88</v>
      </c>
      <c r="X1124" s="6">
        <f>IF(ISERROR(VLOOKUP($U$1124,'TAR FIN'!$A$1:$O$85,15,0)),0,VLOOKUP($U$1124,'TAR FIN'!$A$1:$O$85,15,0))</f>
        <v>322.54000000000002</v>
      </c>
      <c r="Y1124" s="6"/>
      <c r="Z1124" s="6">
        <f ca="1">('TUSD BE'!$AM$48+'TUSD BF'!$AM$48+'TUSD CVA'!$AM$48)*1</f>
        <v>434.80310925202969</v>
      </c>
      <c r="AA1124" s="6">
        <f>('TE BE'!$AB$38+'TE BF'!$AB$38+'TE CVA'!$AB$38)*1</f>
        <v>319.954086693367</v>
      </c>
      <c r="AB1124" s="6">
        <f>$K$1124*$V$1124</f>
        <v>0</v>
      </c>
      <c r="AC1124" s="6">
        <f>$M$1124*$W$1124</f>
        <v>-81.22</v>
      </c>
      <c r="AD1124" s="6">
        <f>$O$1124*$X$1124</f>
        <v>-80.635000000000005</v>
      </c>
      <c r="AE1124" s="6">
        <f>$K$1124*$Y$1124</f>
        <v>0</v>
      </c>
      <c r="AF1124" s="6">
        <f ca="1">$M$1124*$Z$1124</f>
        <v>-108.70077731300742</v>
      </c>
      <c r="AG1124" s="6">
        <f>$O$1124*$AA$1124</f>
        <v>-79.988521673341751</v>
      </c>
    </row>
    <row r="1125" spans="1:33" ht="11.25" customHeight="1" x14ac:dyDescent="0.25">
      <c r="A1125" s="4" t="s">
        <v>28</v>
      </c>
      <c r="B1125" s="4" t="s">
        <v>37</v>
      </c>
      <c r="C1125" s="4" t="s">
        <v>23</v>
      </c>
      <c r="D1125" s="4" t="s">
        <v>41</v>
      </c>
      <c r="E1125" s="4" t="s">
        <v>25</v>
      </c>
      <c r="F1125" s="4" t="s">
        <v>25</v>
      </c>
      <c r="G1125" s="4" t="s">
        <v>25</v>
      </c>
      <c r="H1125" s="4" t="s">
        <v>25</v>
      </c>
      <c r="I1125" s="5">
        <v>44440</v>
      </c>
      <c r="J1125" s="6">
        <v>0</v>
      </c>
      <c r="K1125" s="6">
        <v>0</v>
      </c>
      <c r="L1125" s="6">
        <v>150.995</v>
      </c>
      <c r="M1125" s="6">
        <v>150.995</v>
      </c>
      <c r="N1125" s="6">
        <v>150.995</v>
      </c>
      <c r="O1125" s="6">
        <v>150.995</v>
      </c>
      <c r="P1125" s="6">
        <v>303</v>
      </c>
      <c r="Q1125" s="4" t="s">
        <v>26</v>
      </c>
      <c r="R1125" s="4">
        <v>0</v>
      </c>
      <c r="S1125" s="6">
        <v>0</v>
      </c>
      <c r="T1125" s="6">
        <v>44</v>
      </c>
      <c r="U1125" s="6">
        <v>81</v>
      </c>
      <c r="V1125" s="6">
        <f>IF(ISERROR(VLOOKUP($S$1125,'TAR FIN'!$A$1:$O$85,15,0)),0,VLOOKUP($S$1125,'TAR FIN'!$A$1:$O$85,15,0))</f>
        <v>0</v>
      </c>
      <c r="W1125" s="6">
        <f>IF(ISERROR(VLOOKUP($T$1125,'TAR FIN'!$A$1:$O$85,15,0)),0,VLOOKUP($T$1125,'TAR FIN'!$A$1:$O$85,15,0))</f>
        <v>324.88</v>
      </c>
      <c r="X1125" s="6">
        <f>IF(ISERROR(VLOOKUP($U$1125,'TAR FIN'!$A$1:$O$85,15,0)),0,VLOOKUP($U$1125,'TAR FIN'!$A$1:$O$85,15,0))</f>
        <v>322.54000000000002</v>
      </c>
      <c r="Y1125" s="6"/>
      <c r="Z1125" s="6">
        <f ca="1">('TUSD BE'!$AM$48+'TUSD BF'!$AM$48+'TUSD CVA'!$AM$48)*1</f>
        <v>434.80310925202969</v>
      </c>
      <c r="AA1125" s="6">
        <f>('TE BE'!$AB$38+'TE BF'!$AB$38+'TE CVA'!$AB$38)*1</f>
        <v>319.954086693367</v>
      </c>
      <c r="AB1125" s="6">
        <f>$K$1125*$V$1125</f>
        <v>0</v>
      </c>
      <c r="AC1125" s="6">
        <f>$M$1125*$W$1125</f>
        <v>49055.255600000004</v>
      </c>
      <c r="AD1125" s="6">
        <f>$O$1125*$X$1125</f>
        <v>48701.927300000003</v>
      </c>
      <c r="AE1125" s="6">
        <f>$K$1125*$Y$1125</f>
        <v>0</v>
      </c>
      <c r="AF1125" s="6">
        <f ca="1">$M$1125*$Z$1125</f>
        <v>65653.09548151023</v>
      </c>
      <c r="AG1125" s="6">
        <f>$O$1125*$AA$1125</f>
        <v>48311.46732026495</v>
      </c>
    </row>
    <row r="1126" spans="1:33" ht="11.25" customHeight="1" x14ac:dyDescent="0.25">
      <c r="A1126" s="4" t="s">
        <v>21</v>
      </c>
      <c r="B1126" s="4" t="s">
        <v>37</v>
      </c>
      <c r="C1126" s="4" t="s">
        <v>23</v>
      </c>
      <c r="D1126" s="4" t="s">
        <v>41</v>
      </c>
      <c r="E1126" s="4" t="s">
        <v>25</v>
      </c>
      <c r="F1126" s="4" t="s">
        <v>25</v>
      </c>
      <c r="G1126" s="4" t="s">
        <v>25</v>
      </c>
      <c r="H1126" s="4" t="s">
        <v>25</v>
      </c>
      <c r="I1126" s="5">
        <v>44470</v>
      </c>
      <c r="J1126" s="6">
        <v>0</v>
      </c>
      <c r="K1126" s="6">
        <v>0</v>
      </c>
      <c r="L1126" s="6">
        <v>5188.4679999999998</v>
      </c>
      <c r="M1126" s="6">
        <v>5188.4679999999998</v>
      </c>
      <c r="N1126" s="6">
        <v>5188.4679999999998</v>
      </c>
      <c r="O1126" s="6">
        <v>5188.4679999999998</v>
      </c>
      <c r="P1126" s="6">
        <v>9188</v>
      </c>
      <c r="Q1126" s="4" t="s">
        <v>26</v>
      </c>
      <c r="R1126" s="4">
        <v>0</v>
      </c>
      <c r="S1126" s="6">
        <v>0</v>
      </c>
      <c r="T1126" s="6">
        <v>44</v>
      </c>
      <c r="U1126" s="6">
        <v>81</v>
      </c>
      <c r="V1126" s="6">
        <f>IF(ISERROR(VLOOKUP($S$1126,'TAR FIN'!$A$1:$O$85,15,0)),0,VLOOKUP($S$1126,'TAR FIN'!$A$1:$O$85,15,0))</f>
        <v>0</v>
      </c>
      <c r="W1126" s="6">
        <f>IF(ISERROR(VLOOKUP($T$1126,'TAR FIN'!$A$1:$O$85,15,0)),0,VLOOKUP($T$1126,'TAR FIN'!$A$1:$O$85,15,0))</f>
        <v>324.88</v>
      </c>
      <c r="X1126" s="6">
        <f>IF(ISERROR(VLOOKUP($U$1126,'TAR FIN'!$A$1:$O$85,15,0)),0,VLOOKUP($U$1126,'TAR FIN'!$A$1:$O$85,15,0))</f>
        <v>322.54000000000002</v>
      </c>
      <c r="Y1126" s="6"/>
      <c r="Z1126" s="6">
        <f ca="1">('TUSD BE'!$AM$48+'TUSD BF'!$AM$48+'TUSD CVA'!$AM$48)*1</f>
        <v>434.80310925202969</v>
      </c>
      <c r="AA1126" s="6">
        <f>('TE BE'!$AB$38+'TE BF'!$AB$38+'TE CVA'!$AB$38)*1</f>
        <v>319.954086693367</v>
      </c>
      <c r="AB1126" s="6">
        <f>$K$1126*$V$1126</f>
        <v>0</v>
      </c>
      <c r="AC1126" s="6">
        <f>$M$1126*$W$1126</f>
        <v>1685629.4838399999</v>
      </c>
      <c r="AD1126" s="6">
        <f>$O$1126*$X$1126</f>
        <v>1673488.46872</v>
      </c>
      <c r="AE1126" s="6">
        <f>$K$1126*$Y$1126</f>
        <v>0</v>
      </c>
      <c r="AF1126" s="6">
        <f ca="1">$M$1126*$Z$1126</f>
        <v>2255962.0186546599</v>
      </c>
      <c r="AG1126" s="6">
        <f>$O$1126*$AA$1126</f>
        <v>1660071.5402777605</v>
      </c>
    </row>
    <row r="1127" spans="1:33" ht="11.25" customHeight="1" x14ac:dyDescent="0.25">
      <c r="A1127" s="4" t="s">
        <v>27</v>
      </c>
      <c r="B1127" s="4" t="s">
        <v>37</v>
      </c>
      <c r="C1127" s="4" t="s">
        <v>23</v>
      </c>
      <c r="D1127" s="4" t="s">
        <v>41</v>
      </c>
      <c r="E1127" s="4" t="s">
        <v>25</v>
      </c>
      <c r="F1127" s="4" t="s">
        <v>25</v>
      </c>
      <c r="G1127" s="4" t="s">
        <v>25</v>
      </c>
      <c r="H1127" s="4" t="s">
        <v>25</v>
      </c>
      <c r="I1127" s="5">
        <v>44470</v>
      </c>
      <c r="J1127" s="6">
        <v>0</v>
      </c>
      <c r="K1127" s="6">
        <v>0</v>
      </c>
      <c r="L1127" s="6">
        <v>0.44400000000000001</v>
      </c>
      <c r="M1127" s="6">
        <v>0.44400000000000001</v>
      </c>
      <c r="N1127" s="6">
        <v>0.44400000000000001</v>
      </c>
      <c r="O1127" s="6">
        <v>0.44400000000000001</v>
      </c>
      <c r="P1127" s="6">
        <v>2</v>
      </c>
      <c r="Q1127" s="4" t="s">
        <v>26</v>
      </c>
      <c r="R1127" s="4">
        <v>0</v>
      </c>
      <c r="S1127" s="6">
        <v>0</v>
      </c>
      <c r="T1127" s="6">
        <v>44</v>
      </c>
      <c r="U1127" s="6">
        <v>81</v>
      </c>
      <c r="V1127" s="6">
        <f>IF(ISERROR(VLOOKUP($S$1127,'TAR FIN'!$A$1:$O$85,15,0)),0,VLOOKUP($S$1127,'TAR FIN'!$A$1:$O$85,15,0))</f>
        <v>0</v>
      </c>
      <c r="W1127" s="6">
        <f>IF(ISERROR(VLOOKUP($T$1127,'TAR FIN'!$A$1:$O$85,15,0)),0,VLOOKUP($T$1127,'TAR FIN'!$A$1:$O$85,15,0))</f>
        <v>324.88</v>
      </c>
      <c r="X1127" s="6">
        <f>IF(ISERROR(VLOOKUP($U$1127,'TAR FIN'!$A$1:$O$85,15,0)),0,VLOOKUP($U$1127,'TAR FIN'!$A$1:$O$85,15,0))</f>
        <v>322.54000000000002</v>
      </c>
      <c r="Y1127" s="6"/>
      <c r="Z1127" s="6">
        <f ca="1">('TUSD BE'!$AM$48+'TUSD BF'!$AM$48+'TUSD CVA'!$AM$48)*1</f>
        <v>434.80310925202969</v>
      </c>
      <c r="AA1127" s="6">
        <f>('TE BE'!$AB$38+'TE BF'!$AB$38+'TE CVA'!$AB$38)*1</f>
        <v>319.954086693367</v>
      </c>
      <c r="AB1127" s="6">
        <f>$K$1127*$V$1127</f>
        <v>0</v>
      </c>
      <c r="AC1127" s="6">
        <f>$M$1127*$W$1127</f>
        <v>144.24672000000001</v>
      </c>
      <c r="AD1127" s="6">
        <f>$O$1127*$X$1127</f>
        <v>143.20776000000001</v>
      </c>
      <c r="AE1127" s="6">
        <f>$K$1127*$Y$1127</f>
        <v>0</v>
      </c>
      <c r="AF1127" s="6">
        <f ca="1">$M$1127*$Z$1127</f>
        <v>193.05258050790118</v>
      </c>
      <c r="AG1127" s="6">
        <f>$O$1127*$AA$1127</f>
        <v>142.05961449185494</v>
      </c>
    </row>
    <row r="1128" spans="1:33" ht="11.25" customHeight="1" x14ac:dyDescent="0.25">
      <c r="A1128" s="4" t="s">
        <v>28</v>
      </c>
      <c r="B1128" s="4" t="s">
        <v>37</v>
      </c>
      <c r="C1128" s="4" t="s">
        <v>23</v>
      </c>
      <c r="D1128" s="4" t="s">
        <v>41</v>
      </c>
      <c r="E1128" s="4" t="s">
        <v>25</v>
      </c>
      <c r="F1128" s="4" t="s">
        <v>25</v>
      </c>
      <c r="G1128" s="4" t="s">
        <v>25</v>
      </c>
      <c r="H1128" s="4" t="s">
        <v>25</v>
      </c>
      <c r="I1128" s="5">
        <v>44470</v>
      </c>
      <c r="J1128" s="6">
        <v>0</v>
      </c>
      <c r="K1128" s="6">
        <v>0</v>
      </c>
      <c r="L1128" s="6">
        <v>194.78</v>
      </c>
      <c r="M1128" s="6">
        <v>194.78</v>
      </c>
      <c r="N1128" s="6">
        <v>194.78</v>
      </c>
      <c r="O1128" s="6">
        <v>194.78</v>
      </c>
      <c r="P1128" s="6">
        <v>327</v>
      </c>
      <c r="Q1128" s="4" t="s">
        <v>26</v>
      </c>
      <c r="R1128" s="4">
        <v>0</v>
      </c>
      <c r="S1128" s="6">
        <v>0</v>
      </c>
      <c r="T1128" s="6">
        <v>44</v>
      </c>
      <c r="U1128" s="6">
        <v>81</v>
      </c>
      <c r="V1128" s="6">
        <f>IF(ISERROR(VLOOKUP($S$1128,'TAR FIN'!$A$1:$O$85,15,0)),0,VLOOKUP($S$1128,'TAR FIN'!$A$1:$O$85,15,0))</f>
        <v>0</v>
      </c>
      <c r="W1128" s="6">
        <f>IF(ISERROR(VLOOKUP($T$1128,'TAR FIN'!$A$1:$O$85,15,0)),0,VLOOKUP($T$1128,'TAR FIN'!$A$1:$O$85,15,0))</f>
        <v>324.88</v>
      </c>
      <c r="X1128" s="6">
        <f>IF(ISERROR(VLOOKUP($U$1128,'TAR FIN'!$A$1:$O$85,15,0)),0,VLOOKUP($U$1128,'TAR FIN'!$A$1:$O$85,15,0))</f>
        <v>322.54000000000002</v>
      </c>
      <c r="Y1128" s="6"/>
      <c r="Z1128" s="6">
        <f ca="1">('TUSD BE'!$AM$48+'TUSD BF'!$AM$48+'TUSD CVA'!$AM$48)*1</f>
        <v>434.80310925202969</v>
      </c>
      <c r="AA1128" s="6">
        <f>('TE BE'!$AB$38+'TE BF'!$AB$38+'TE CVA'!$AB$38)*1</f>
        <v>319.954086693367</v>
      </c>
      <c r="AB1128" s="6">
        <f>$K$1128*$V$1128</f>
        <v>0</v>
      </c>
      <c r="AC1128" s="6">
        <f>$M$1128*$W$1128</f>
        <v>63280.126400000001</v>
      </c>
      <c r="AD1128" s="6">
        <f>$O$1128*$X$1128</f>
        <v>62824.341200000003</v>
      </c>
      <c r="AE1128" s="6">
        <f>$K$1128*$Y$1128</f>
        <v>0</v>
      </c>
      <c r="AF1128" s="6">
        <f ca="1">$M$1128*$Z$1128</f>
        <v>84690.949620110347</v>
      </c>
      <c r="AG1128" s="6">
        <f>$O$1128*$AA$1128</f>
        <v>62320.657006134024</v>
      </c>
    </row>
    <row r="1129" spans="1:33" ht="11.25" customHeight="1" x14ac:dyDescent="0.25">
      <c r="A1129" s="4" t="s">
        <v>21</v>
      </c>
      <c r="B1129" s="4" t="s">
        <v>37</v>
      </c>
      <c r="C1129" s="4" t="s">
        <v>23</v>
      </c>
      <c r="D1129" s="4" t="s">
        <v>41</v>
      </c>
      <c r="E1129" s="4" t="s">
        <v>25</v>
      </c>
      <c r="F1129" s="4" t="s">
        <v>25</v>
      </c>
      <c r="G1129" s="4" t="s">
        <v>25</v>
      </c>
      <c r="H1129" s="4" t="s">
        <v>25</v>
      </c>
      <c r="I1129" s="5">
        <v>44501</v>
      </c>
      <c r="J1129" s="6">
        <v>0</v>
      </c>
      <c r="K1129" s="6">
        <v>0</v>
      </c>
      <c r="L1129" s="6">
        <v>4992.2439999999997</v>
      </c>
      <c r="M1129" s="6">
        <v>4992.2439999999997</v>
      </c>
      <c r="N1129" s="6">
        <v>4992.2439999999997</v>
      </c>
      <c r="O1129" s="6">
        <v>4992.2439999999997</v>
      </c>
      <c r="P1129" s="6">
        <v>9213</v>
      </c>
      <c r="Q1129" s="4" t="s">
        <v>26</v>
      </c>
      <c r="R1129" s="4">
        <v>0</v>
      </c>
      <c r="S1129" s="6">
        <v>0</v>
      </c>
      <c r="T1129" s="6">
        <v>44</v>
      </c>
      <c r="U1129" s="6">
        <v>81</v>
      </c>
      <c r="V1129" s="6">
        <f>IF(ISERROR(VLOOKUP($S$1129,'TAR FIN'!$A$1:$O$85,15,0)),0,VLOOKUP($S$1129,'TAR FIN'!$A$1:$O$85,15,0))</f>
        <v>0</v>
      </c>
      <c r="W1129" s="6">
        <f>IF(ISERROR(VLOOKUP($T$1129,'TAR FIN'!$A$1:$O$85,15,0)),0,VLOOKUP($T$1129,'TAR FIN'!$A$1:$O$85,15,0))</f>
        <v>324.88</v>
      </c>
      <c r="X1129" s="6">
        <f>IF(ISERROR(VLOOKUP($U$1129,'TAR FIN'!$A$1:$O$85,15,0)),0,VLOOKUP($U$1129,'TAR FIN'!$A$1:$O$85,15,0))</f>
        <v>322.54000000000002</v>
      </c>
      <c r="Y1129" s="6"/>
      <c r="Z1129" s="6">
        <f ca="1">('TUSD BE'!$AM$48+'TUSD BF'!$AM$48+'TUSD CVA'!$AM$48)*1</f>
        <v>434.80310925202969</v>
      </c>
      <c r="AA1129" s="6">
        <f>('TE BE'!$AB$38+'TE BF'!$AB$38+'TE CVA'!$AB$38)*1</f>
        <v>319.954086693367</v>
      </c>
      <c r="AB1129" s="6">
        <f>$K$1129*$V$1129</f>
        <v>0</v>
      </c>
      <c r="AC1129" s="6">
        <f>$M$1129*$W$1129</f>
        <v>1621880.2307199999</v>
      </c>
      <c r="AD1129" s="6">
        <f>$O$1129*$X$1129</f>
        <v>1610198.3797599999</v>
      </c>
      <c r="AE1129" s="6">
        <f>$K$1129*$Y$1129</f>
        <v>0</v>
      </c>
      <c r="AF1129" s="6">
        <f ca="1">$M$1129*$Z$1129</f>
        <v>2170643.2133447896</v>
      </c>
      <c r="AG1129" s="6">
        <f>$O$1129*$AA$1129</f>
        <v>1597288.8695704411</v>
      </c>
    </row>
    <row r="1130" spans="1:33" ht="11.25" customHeight="1" x14ac:dyDescent="0.25">
      <c r="A1130" s="4" t="s">
        <v>27</v>
      </c>
      <c r="B1130" s="4" t="s">
        <v>37</v>
      </c>
      <c r="C1130" s="4" t="s">
        <v>23</v>
      </c>
      <c r="D1130" s="4" t="s">
        <v>41</v>
      </c>
      <c r="E1130" s="4" t="s">
        <v>25</v>
      </c>
      <c r="F1130" s="4" t="s">
        <v>25</v>
      </c>
      <c r="G1130" s="4" t="s">
        <v>25</v>
      </c>
      <c r="H1130" s="4" t="s">
        <v>25</v>
      </c>
      <c r="I1130" s="5">
        <v>44501</v>
      </c>
      <c r="J1130" s="6">
        <v>0</v>
      </c>
      <c r="K1130" s="6">
        <v>0</v>
      </c>
      <c r="L1130" s="6">
        <v>1.9E-2</v>
      </c>
      <c r="M1130" s="6">
        <v>1.9E-2</v>
      </c>
      <c r="N1130" s="6">
        <v>1.9E-2</v>
      </c>
      <c r="O1130" s="6">
        <v>1.9E-2</v>
      </c>
      <c r="P1130" s="6">
        <v>1</v>
      </c>
      <c r="Q1130" s="4" t="s">
        <v>26</v>
      </c>
      <c r="R1130" s="4">
        <v>0</v>
      </c>
      <c r="S1130" s="6">
        <v>0</v>
      </c>
      <c r="T1130" s="6">
        <v>44</v>
      </c>
      <c r="U1130" s="6">
        <v>81</v>
      </c>
      <c r="V1130" s="6">
        <f>IF(ISERROR(VLOOKUP($S$1130,'TAR FIN'!$A$1:$O$85,15,0)),0,VLOOKUP($S$1130,'TAR FIN'!$A$1:$O$85,15,0))</f>
        <v>0</v>
      </c>
      <c r="W1130" s="6">
        <f>IF(ISERROR(VLOOKUP($T$1130,'TAR FIN'!$A$1:$O$85,15,0)),0,VLOOKUP($T$1130,'TAR FIN'!$A$1:$O$85,15,0))</f>
        <v>324.88</v>
      </c>
      <c r="X1130" s="6">
        <f>IF(ISERROR(VLOOKUP($U$1130,'TAR FIN'!$A$1:$O$85,15,0)),0,VLOOKUP($U$1130,'TAR FIN'!$A$1:$O$85,15,0))</f>
        <v>322.54000000000002</v>
      </c>
      <c r="Y1130" s="6"/>
      <c r="Z1130" s="6">
        <f ca="1">('TUSD BE'!$AM$48+'TUSD BF'!$AM$48+'TUSD CVA'!$AM$48)*1</f>
        <v>434.80310925202969</v>
      </c>
      <c r="AA1130" s="6">
        <f>('TE BE'!$AB$38+'TE BF'!$AB$38+'TE CVA'!$AB$38)*1</f>
        <v>319.954086693367</v>
      </c>
      <c r="AB1130" s="6">
        <f>$K$1130*$V$1130</f>
        <v>0</v>
      </c>
      <c r="AC1130" s="6">
        <f>$M$1130*$W$1130</f>
        <v>6.17272</v>
      </c>
      <c r="AD1130" s="6">
        <f>$O$1130*$X$1130</f>
        <v>6.12826</v>
      </c>
      <c r="AE1130" s="6">
        <f>$K$1130*$Y$1130</f>
        <v>0</v>
      </c>
      <c r="AF1130" s="6">
        <f ca="1">$M$1130*$Z$1130</f>
        <v>8.2612590757885638</v>
      </c>
      <c r="AG1130" s="6">
        <f>$O$1130*$AA$1130</f>
        <v>6.0791276471739728</v>
      </c>
    </row>
    <row r="1131" spans="1:33" ht="11.25" customHeight="1" x14ac:dyDescent="0.25">
      <c r="A1131" s="4" t="s">
        <v>28</v>
      </c>
      <c r="B1131" s="4" t="s">
        <v>37</v>
      </c>
      <c r="C1131" s="4" t="s">
        <v>23</v>
      </c>
      <c r="D1131" s="4" t="s">
        <v>41</v>
      </c>
      <c r="E1131" s="4" t="s">
        <v>25</v>
      </c>
      <c r="F1131" s="4" t="s">
        <v>25</v>
      </c>
      <c r="G1131" s="4" t="s">
        <v>25</v>
      </c>
      <c r="H1131" s="4" t="s">
        <v>25</v>
      </c>
      <c r="I1131" s="5">
        <v>44501</v>
      </c>
      <c r="J1131" s="6">
        <v>0</v>
      </c>
      <c r="K1131" s="6">
        <v>0</v>
      </c>
      <c r="L1131" s="6">
        <v>161.953</v>
      </c>
      <c r="M1131" s="6">
        <v>161.953</v>
      </c>
      <c r="N1131" s="6">
        <v>161.953</v>
      </c>
      <c r="O1131" s="6">
        <v>161.953</v>
      </c>
      <c r="P1131" s="6">
        <v>328</v>
      </c>
      <c r="Q1131" s="4" t="s">
        <v>26</v>
      </c>
      <c r="R1131" s="4">
        <v>0</v>
      </c>
      <c r="S1131" s="6">
        <v>0</v>
      </c>
      <c r="T1131" s="6">
        <v>44</v>
      </c>
      <c r="U1131" s="6">
        <v>81</v>
      </c>
      <c r="V1131" s="6">
        <f>IF(ISERROR(VLOOKUP($S$1131,'TAR FIN'!$A$1:$O$85,15,0)),0,VLOOKUP($S$1131,'TAR FIN'!$A$1:$O$85,15,0))</f>
        <v>0</v>
      </c>
      <c r="W1131" s="6">
        <f>IF(ISERROR(VLOOKUP($T$1131,'TAR FIN'!$A$1:$O$85,15,0)),0,VLOOKUP($T$1131,'TAR FIN'!$A$1:$O$85,15,0))</f>
        <v>324.88</v>
      </c>
      <c r="X1131" s="6">
        <f>IF(ISERROR(VLOOKUP($U$1131,'TAR FIN'!$A$1:$O$85,15,0)),0,VLOOKUP($U$1131,'TAR FIN'!$A$1:$O$85,15,0))</f>
        <v>322.54000000000002</v>
      </c>
      <c r="Y1131" s="6"/>
      <c r="Z1131" s="6">
        <f ca="1">('TUSD BE'!$AM$48+'TUSD BF'!$AM$48+'TUSD CVA'!$AM$48)*1</f>
        <v>434.80310925202969</v>
      </c>
      <c r="AA1131" s="6">
        <f>('TE BE'!$AB$38+'TE BF'!$AB$38+'TE CVA'!$AB$38)*1</f>
        <v>319.954086693367</v>
      </c>
      <c r="AB1131" s="6">
        <f>$K$1131*$V$1131</f>
        <v>0</v>
      </c>
      <c r="AC1131" s="6">
        <f>$M$1131*$W$1131</f>
        <v>52615.290639999999</v>
      </c>
      <c r="AD1131" s="6">
        <f>$O$1131*$X$1131</f>
        <v>52236.320620000006</v>
      </c>
      <c r="AE1131" s="6">
        <f>$K$1131*$Y$1131</f>
        <v>0</v>
      </c>
      <c r="AF1131" s="6">
        <f ca="1">$M$1131*$Z$1131</f>
        <v>70417.66795269397</v>
      </c>
      <c r="AG1131" s="6">
        <f>$O$1131*$AA$1131</f>
        <v>51817.524202250868</v>
      </c>
    </row>
    <row r="1132" spans="1:33" ht="11.25" customHeight="1" x14ac:dyDescent="0.25">
      <c r="A1132" s="4" t="s">
        <v>21</v>
      </c>
      <c r="B1132" s="4" t="s">
        <v>37</v>
      </c>
      <c r="C1132" s="4" t="s">
        <v>23</v>
      </c>
      <c r="D1132" s="4" t="s">
        <v>41</v>
      </c>
      <c r="E1132" s="4" t="s">
        <v>25</v>
      </c>
      <c r="F1132" s="4" t="s">
        <v>25</v>
      </c>
      <c r="G1132" s="4" t="s">
        <v>25</v>
      </c>
      <c r="H1132" s="4" t="s">
        <v>25</v>
      </c>
      <c r="I1132" s="5">
        <v>44531</v>
      </c>
      <c r="J1132" s="6">
        <v>0</v>
      </c>
      <c r="K1132" s="6">
        <v>0</v>
      </c>
      <c r="L1132" s="6">
        <v>5335.2610000000004</v>
      </c>
      <c r="M1132" s="6">
        <v>5335.2610000000004</v>
      </c>
      <c r="N1132" s="6">
        <v>5335.2610000000004</v>
      </c>
      <c r="O1132" s="6">
        <v>5335.2610000000004</v>
      </c>
      <c r="P1132" s="6">
        <v>9230</v>
      </c>
      <c r="Q1132" s="4" t="s">
        <v>26</v>
      </c>
      <c r="R1132" s="4">
        <v>0</v>
      </c>
      <c r="S1132" s="6">
        <v>0</v>
      </c>
      <c r="T1132" s="6">
        <v>44</v>
      </c>
      <c r="U1132" s="6">
        <v>81</v>
      </c>
      <c r="V1132" s="6">
        <f>IF(ISERROR(VLOOKUP($S$1132,'TAR FIN'!$A$1:$O$85,15,0)),0,VLOOKUP($S$1132,'TAR FIN'!$A$1:$O$85,15,0))</f>
        <v>0</v>
      </c>
      <c r="W1132" s="6">
        <f>IF(ISERROR(VLOOKUP($T$1132,'TAR FIN'!$A$1:$O$85,15,0)),0,VLOOKUP($T$1132,'TAR FIN'!$A$1:$O$85,15,0))</f>
        <v>324.88</v>
      </c>
      <c r="X1132" s="6">
        <f>IF(ISERROR(VLOOKUP($U$1132,'TAR FIN'!$A$1:$O$85,15,0)),0,VLOOKUP($U$1132,'TAR FIN'!$A$1:$O$85,15,0))</f>
        <v>322.54000000000002</v>
      </c>
      <c r="Y1132" s="6"/>
      <c r="Z1132" s="6">
        <f ca="1">('TUSD BE'!$AM$48+'TUSD BF'!$AM$48+'TUSD CVA'!$AM$48)*1</f>
        <v>434.80310925202969</v>
      </c>
      <c r="AA1132" s="6">
        <f>('TE BE'!$AB$38+'TE BF'!$AB$38+'TE CVA'!$AB$38)*1</f>
        <v>319.954086693367</v>
      </c>
      <c r="AB1132" s="6">
        <f>$K$1132*$V$1132</f>
        <v>0</v>
      </c>
      <c r="AC1132" s="6">
        <f>$M$1132*$W$1132</f>
        <v>1733319.5936800002</v>
      </c>
      <c r="AD1132" s="6">
        <f>$O$1132*$X$1132</f>
        <v>1720835.0829400003</v>
      </c>
      <c r="AE1132" s="6">
        <f>$K$1132*$Y$1132</f>
        <v>0</v>
      </c>
      <c r="AF1132" s="6">
        <f ca="1">$M$1132*$Z$1132</f>
        <v>2319788.0714710932</v>
      </c>
      <c r="AG1132" s="6">
        <f>$O$1132*$AA$1132</f>
        <v>1707038.56052574</v>
      </c>
    </row>
    <row r="1133" spans="1:33" ht="11.25" customHeight="1" x14ac:dyDescent="0.25">
      <c r="A1133" s="4" t="s">
        <v>27</v>
      </c>
      <c r="B1133" s="4" t="s">
        <v>37</v>
      </c>
      <c r="C1133" s="4" t="s">
        <v>23</v>
      </c>
      <c r="D1133" s="4" t="s">
        <v>41</v>
      </c>
      <c r="E1133" s="4" t="s">
        <v>25</v>
      </c>
      <c r="F1133" s="4" t="s">
        <v>25</v>
      </c>
      <c r="G1133" s="4" t="s">
        <v>25</v>
      </c>
      <c r="H1133" s="4" t="s">
        <v>25</v>
      </c>
      <c r="I1133" s="5">
        <v>44531</v>
      </c>
      <c r="J1133" s="6">
        <v>0</v>
      </c>
      <c r="K1133" s="6">
        <v>0</v>
      </c>
      <c r="L1133" s="6">
        <v>-0.60699999999999998</v>
      </c>
      <c r="M1133" s="6">
        <v>-0.60699999999999998</v>
      </c>
      <c r="N1133" s="6">
        <v>-0.60699999999999998</v>
      </c>
      <c r="O1133" s="6">
        <v>-0.60699999999999998</v>
      </c>
      <c r="P1133" s="6">
        <v>-1</v>
      </c>
      <c r="Q1133" s="4" t="s">
        <v>26</v>
      </c>
      <c r="R1133" s="4">
        <v>0</v>
      </c>
      <c r="S1133" s="6">
        <v>0</v>
      </c>
      <c r="T1133" s="6">
        <v>44</v>
      </c>
      <c r="U1133" s="6">
        <v>81</v>
      </c>
      <c r="V1133" s="6">
        <f>IF(ISERROR(VLOOKUP($S$1133,'TAR FIN'!$A$1:$O$85,15,0)),0,VLOOKUP($S$1133,'TAR FIN'!$A$1:$O$85,15,0))</f>
        <v>0</v>
      </c>
      <c r="W1133" s="6">
        <f>IF(ISERROR(VLOOKUP($T$1133,'TAR FIN'!$A$1:$O$85,15,0)),0,VLOOKUP($T$1133,'TAR FIN'!$A$1:$O$85,15,0))</f>
        <v>324.88</v>
      </c>
      <c r="X1133" s="6">
        <f>IF(ISERROR(VLOOKUP($U$1133,'TAR FIN'!$A$1:$O$85,15,0)),0,VLOOKUP($U$1133,'TAR FIN'!$A$1:$O$85,15,0))</f>
        <v>322.54000000000002</v>
      </c>
      <c r="Y1133" s="6"/>
      <c r="Z1133" s="6">
        <f ca="1">('TUSD BE'!$AM$48+'TUSD BF'!$AM$48+'TUSD CVA'!$AM$48)*1</f>
        <v>434.80310925202969</v>
      </c>
      <c r="AA1133" s="6">
        <f>('TE BE'!$AB$38+'TE BF'!$AB$38+'TE CVA'!$AB$38)*1</f>
        <v>319.954086693367</v>
      </c>
      <c r="AB1133" s="6">
        <f>$K$1133*$V$1133</f>
        <v>0</v>
      </c>
      <c r="AC1133" s="6">
        <f>$M$1133*$W$1133</f>
        <v>-197.20215999999999</v>
      </c>
      <c r="AD1133" s="6">
        <f>$O$1133*$X$1133</f>
        <v>-195.78178</v>
      </c>
      <c r="AE1133" s="6">
        <f>$K$1133*$Y$1133</f>
        <v>0</v>
      </c>
      <c r="AF1133" s="6">
        <f ca="1">$M$1133*$Z$1133</f>
        <v>-263.92548731598202</v>
      </c>
      <c r="AG1133" s="6">
        <f>$O$1133*$AA$1133</f>
        <v>-194.21213062287376</v>
      </c>
    </row>
    <row r="1134" spans="1:33" ht="11.25" customHeight="1" x14ac:dyDescent="0.25">
      <c r="A1134" s="4" t="s">
        <v>28</v>
      </c>
      <c r="B1134" s="4" t="s">
        <v>37</v>
      </c>
      <c r="C1134" s="4" t="s">
        <v>23</v>
      </c>
      <c r="D1134" s="4" t="s">
        <v>41</v>
      </c>
      <c r="E1134" s="4" t="s">
        <v>25</v>
      </c>
      <c r="F1134" s="4" t="s">
        <v>25</v>
      </c>
      <c r="G1134" s="4" t="s">
        <v>25</v>
      </c>
      <c r="H1134" s="4" t="s">
        <v>25</v>
      </c>
      <c r="I1134" s="5">
        <v>44531</v>
      </c>
      <c r="J1134" s="6">
        <v>0</v>
      </c>
      <c r="K1134" s="6">
        <v>0</v>
      </c>
      <c r="L1134" s="6">
        <v>180.45</v>
      </c>
      <c r="M1134" s="6">
        <v>180.45</v>
      </c>
      <c r="N1134" s="6">
        <v>180.45</v>
      </c>
      <c r="O1134" s="6">
        <v>180.45</v>
      </c>
      <c r="P1134" s="6">
        <v>345</v>
      </c>
      <c r="Q1134" s="4" t="s">
        <v>26</v>
      </c>
      <c r="R1134" s="4">
        <v>0</v>
      </c>
      <c r="S1134" s="6">
        <v>0</v>
      </c>
      <c r="T1134" s="6">
        <v>44</v>
      </c>
      <c r="U1134" s="6">
        <v>81</v>
      </c>
      <c r="V1134" s="6">
        <f>IF(ISERROR(VLOOKUP($S$1134,'TAR FIN'!$A$1:$O$85,15,0)),0,VLOOKUP($S$1134,'TAR FIN'!$A$1:$O$85,15,0))</f>
        <v>0</v>
      </c>
      <c r="W1134" s="6">
        <f>IF(ISERROR(VLOOKUP($T$1134,'TAR FIN'!$A$1:$O$85,15,0)),0,VLOOKUP($T$1134,'TAR FIN'!$A$1:$O$85,15,0))</f>
        <v>324.88</v>
      </c>
      <c r="X1134" s="6">
        <f>IF(ISERROR(VLOOKUP($U$1134,'TAR FIN'!$A$1:$O$85,15,0)),0,VLOOKUP($U$1134,'TAR FIN'!$A$1:$O$85,15,0))</f>
        <v>322.54000000000002</v>
      </c>
      <c r="Y1134" s="6"/>
      <c r="Z1134" s="6">
        <f ca="1">('TUSD BE'!$AM$48+'TUSD BF'!$AM$48+'TUSD CVA'!$AM$48)*1</f>
        <v>434.80310925202969</v>
      </c>
      <c r="AA1134" s="6">
        <f>('TE BE'!$AB$38+'TE BF'!$AB$38+'TE CVA'!$AB$38)*1</f>
        <v>319.954086693367</v>
      </c>
      <c r="AB1134" s="6">
        <f>$K$1134*$V$1134</f>
        <v>0</v>
      </c>
      <c r="AC1134" s="6">
        <f>$M$1134*$W$1134</f>
        <v>58624.595999999998</v>
      </c>
      <c r="AD1134" s="6">
        <f>$O$1134*$X$1134</f>
        <v>58202.343000000001</v>
      </c>
      <c r="AE1134" s="6">
        <f>$K$1134*$Y$1134</f>
        <v>0</v>
      </c>
      <c r="AF1134" s="6">
        <f ca="1">$M$1134*$Z$1134</f>
        <v>78460.221064528756</v>
      </c>
      <c r="AG1134" s="6">
        <f>$O$1134*$AA$1134</f>
        <v>57735.714943818071</v>
      </c>
    </row>
    <row r="1135" spans="1:33" ht="11.25" customHeight="1" x14ac:dyDescent="0.25">
      <c r="A1135" s="4" t="s">
        <v>28</v>
      </c>
      <c r="B1135" s="4" t="s">
        <v>37</v>
      </c>
      <c r="C1135" s="4" t="s">
        <v>23</v>
      </c>
      <c r="D1135" s="4" t="s">
        <v>41</v>
      </c>
      <c r="E1135" s="4" t="s">
        <v>25</v>
      </c>
      <c r="F1135" s="4" t="s">
        <v>25</v>
      </c>
      <c r="G1135" s="4" t="s">
        <v>25</v>
      </c>
      <c r="H1135" s="4" t="s">
        <v>25</v>
      </c>
      <c r="I1135" s="5">
        <v>44531</v>
      </c>
      <c r="J1135" s="6">
        <v>0</v>
      </c>
      <c r="K1135" s="6">
        <v>0</v>
      </c>
      <c r="L1135" s="6">
        <v>11.87</v>
      </c>
      <c r="M1135" s="6">
        <v>11.87</v>
      </c>
      <c r="N1135" s="6">
        <v>11.87</v>
      </c>
      <c r="O1135" s="6">
        <v>11.87</v>
      </c>
      <c r="P1135" s="6">
        <v>1</v>
      </c>
      <c r="Q1135" s="4" t="s">
        <v>26</v>
      </c>
      <c r="R1135" s="4">
        <v>0</v>
      </c>
      <c r="S1135" s="6">
        <v>0</v>
      </c>
      <c r="T1135" s="6">
        <v>44</v>
      </c>
      <c r="U1135" s="6">
        <v>81</v>
      </c>
      <c r="V1135" s="6">
        <f>IF(ISERROR(VLOOKUP($S$1135,'TAR FIN'!$A$1:$O$85,15,0)),0,VLOOKUP($S$1135,'TAR FIN'!$A$1:$O$85,15,0))</f>
        <v>0</v>
      </c>
      <c r="W1135" s="6">
        <f>IF(ISERROR(VLOOKUP($T$1135,'TAR FIN'!$A$1:$O$85,15,0)),0,VLOOKUP($T$1135,'TAR FIN'!$A$1:$O$85,15,0))</f>
        <v>324.88</v>
      </c>
      <c r="X1135" s="6">
        <f>IF(ISERROR(VLOOKUP($U$1135,'TAR FIN'!$A$1:$O$85,15,0)),0,VLOOKUP($U$1135,'TAR FIN'!$A$1:$O$85,15,0))</f>
        <v>322.54000000000002</v>
      </c>
      <c r="Y1135" s="6"/>
      <c r="Z1135" s="6">
        <f ca="1">('TUSD BE'!$AM$48+'TUSD BF'!$AM$48+'TUSD CVA'!$AM$48)*1</f>
        <v>434.80310925202969</v>
      </c>
      <c r="AA1135" s="6">
        <f>('TE BE'!$AB$38+'TE BF'!$AB$38+'TE CVA'!$AB$38)*1</f>
        <v>319.954086693367</v>
      </c>
      <c r="AB1135" s="6">
        <f>$K$1135*$V$1135</f>
        <v>0</v>
      </c>
      <c r="AC1135" s="6">
        <f>$M$1135*$W$1135</f>
        <v>3856.3255999999997</v>
      </c>
      <c r="AD1135" s="6">
        <f>$O$1135*$X$1135</f>
        <v>3828.5497999999998</v>
      </c>
      <c r="AE1135" s="6">
        <f>$K$1135*$Y$1135</f>
        <v>0</v>
      </c>
      <c r="AF1135" s="6">
        <f ca="1">$M$1135*$Z$1135</f>
        <v>5161.1129068215923</v>
      </c>
      <c r="AG1135" s="6">
        <f>$O$1135*$AA$1135</f>
        <v>3797.8550090502663</v>
      </c>
    </row>
    <row r="1136" spans="1:33" ht="11.25" customHeight="1" x14ac:dyDescent="0.25">
      <c r="A1136" s="4" t="s">
        <v>21</v>
      </c>
      <c r="B1136" s="4" t="s">
        <v>37</v>
      </c>
      <c r="C1136" s="4" t="s">
        <v>23</v>
      </c>
      <c r="D1136" s="4" t="s">
        <v>41</v>
      </c>
      <c r="E1136" s="4" t="s">
        <v>25</v>
      </c>
      <c r="F1136" s="4" t="s">
        <v>25</v>
      </c>
      <c r="G1136" s="4" t="s">
        <v>25</v>
      </c>
      <c r="H1136" s="4" t="s">
        <v>25</v>
      </c>
      <c r="I1136" s="5">
        <v>44562</v>
      </c>
      <c r="J1136" s="6">
        <v>0</v>
      </c>
      <c r="K1136" s="6">
        <v>0</v>
      </c>
      <c r="L1136" s="6">
        <v>5231.3559999999998</v>
      </c>
      <c r="M1136" s="6">
        <v>5231.3559999999998</v>
      </c>
      <c r="N1136" s="6">
        <v>5231.3559999999998</v>
      </c>
      <c r="O1136" s="6">
        <v>5231.3559999999998</v>
      </c>
      <c r="P1136" s="6">
        <v>9197</v>
      </c>
      <c r="Q1136" s="4" t="s">
        <v>26</v>
      </c>
      <c r="R1136" s="4">
        <v>0</v>
      </c>
      <c r="S1136" s="6">
        <v>0</v>
      </c>
      <c r="T1136" s="6">
        <v>44</v>
      </c>
      <c r="U1136" s="6">
        <v>81</v>
      </c>
      <c r="V1136" s="6">
        <f>IF(ISERROR(VLOOKUP($S$1136,'TAR FIN'!$A$1:$O$85,15,0)),0,VLOOKUP($S$1136,'TAR FIN'!$A$1:$O$85,15,0))</f>
        <v>0</v>
      </c>
      <c r="W1136" s="6">
        <f>IF(ISERROR(VLOOKUP($T$1136,'TAR FIN'!$A$1:$O$85,15,0)),0,VLOOKUP($T$1136,'TAR FIN'!$A$1:$O$85,15,0))</f>
        <v>324.88</v>
      </c>
      <c r="X1136" s="6">
        <f>IF(ISERROR(VLOOKUP($U$1136,'TAR FIN'!$A$1:$O$85,15,0)),0,VLOOKUP($U$1136,'TAR FIN'!$A$1:$O$85,15,0))</f>
        <v>322.54000000000002</v>
      </c>
      <c r="Y1136" s="6"/>
      <c r="Z1136" s="6">
        <f ca="1">('TUSD BE'!$AM$48+'TUSD BF'!$AM$48+'TUSD CVA'!$AM$48)*1</f>
        <v>434.80310925202969</v>
      </c>
      <c r="AA1136" s="6">
        <f>('TE BE'!$AB$38+'TE BF'!$AB$38+'TE CVA'!$AB$38)*1</f>
        <v>319.954086693367</v>
      </c>
      <c r="AB1136" s="6">
        <f>$K$1136*$V$1136</f>
        <v>0</v>
      </c>
      <c r="AC1136" s="6">
        <f>$M$1136*$W$1136</f>
        <v>1699562.93728</v>
      </c>
      <c r="AD1136" s="6">
        <f>$O$1136*$X$1136</f>
        <v>1687321.56424</v>
      </c>
      <c r="AE1136" s="6">
        <f>$K$1136*$Y$1136</f>
        <v>0</v>
      </c>
      <c r="AF1136" s="6">
        <f ca="1">$M$1136*$Z$1136</f>
        <v>2274609.8544042609</v>
      </c>
      <c r="AG1136" s="6">
        <f>$O$1136*$AA$1136</f>
        <v>1673793.7311478655</v>
      </c>
    </row>
    <row r="1137" spans="1:33" ht="11.25" customHeight="1" x14ac:dyDescent="0.25">
      <c r="A1137" s="4" t="s">
        <v>27</v>
      </c>
      <c r="B1137" s="4" t="s">
        <v>37</v>
      </c>
      <c r="C1137" s="4" t="s">
        <v>23</v>
      </c>
      <c r="D1137" s="4" t="s">
        <v>41</v>
      </c>
      <c r="E1137" s="4" t="s">
        <v>25</v>
      </c>
      <c r="F1137" s="4" t="s">
        <v>25</v>
      </c>
      <c r="G1137" s="4" t="s">
        <v>25</v>
      </c>
      <c r="H1137" s="4" t="s">
        <v>25</v>
      </c>
      <c r="I1137" s="5">
        <v>44562</v>
      </c>
      <c r="J1137" s="6">
        <v>0</v>
      </c>
      <c r="K1137" s="6">
        <v>0</v>
      </c>
      <c r="L1137" s="6">
        <v>-9.4320000000000004</v>
      </c>
      <c r="M1137" s="6">
        <v>-9.4320000000000004</v>
      </c>
      <c r="N1137" s="6">
        <v>-9.4320000000000004</v>
      </c>
      <c r="O1137" s="6">
        <v>-9.4320000000000004</v>
      </c>
      <c r="P1137" s="6">
        <v>5</v>
      </c>
      <c r="Q1137" s="4" t="s">
        <v>26</v>
      </c>
      <c r="R1137" s="4">
        <v>0</v>
      </c>
      <c r="S1137" s="6">
        <v>0</v>
      </c>
      <c r="T1137" s="6">
        <v>44</v>
      </c>
      <c r="U1137" s="6">
        <v>81</v>
      </c>
      <c r="V1137" s="6">
        <f>IF(ISERROR(VLOOKUP($S$1137,'TAR FIN'!$A$1:$O$85,15,0)),0,VLOOKUP($S$1137,'TAR FIN'!$A$1:$O$85,15,0))</f>
        <v>0</v>
      </c>
      <c r="W1137" s="6">
        <f>IF(ISERROR(VLOOKUP($T$1137,'TAR FIN'!$A$1:$O$85,15,0)),0,VLOOKUP($T$1137,'TAR FIN'!$A$1:$O$85,15,0))</f>
        <v>324.88</v>
      </c>
      <c r="X1137" s="6">
        <f>IF(ISERROR(VLOOKUP($U$1137,'TAR FIN'!$A$1:$O$85,15,0)),0,VLOOKUP($U$1137,'TAR FIN'!$A$1:$O$85,15,0))</f>
        <v>322.54000000000002</v>
      </c>
      <c r="Y1137" s="6"/>
      <c r="Z1137" s="6">
        <f ca="1">('TUSD BE'!$AM$48+'TUSD BF'!$AM$48+'TUSD CVA'!$AM$48)*1</f>
        <v>434.80310925202969</v>
      </c>
      <c r="AA1137" s="6">
        <f>('TE BE'!$AB$38+'TE BF'!$AB$38+'TE CVA'!$AB$38)*1</f>
        <v>319.954086693367</v>
      </c>
      <c r="AB1137" s="6">
        <f>$K$1137*$V$1137</f>
        <v>0</v>
      </c>
      <c r="AC1137" s="6">
        <f>$M$1137*$W$1137</f>
        <v>-3064.2681600000001</v>
      </c>
      <c r="AD1137" s="6">
        <f>$O$1137*$X$1137</f>
        <v>-3042.1972800000003</v>
      </c>
      <c r="AE1137" s="6">
        <f>$K$1137*$Y$1137</f>
        <v>0</v>
      </c>
      <c r="AF1137" s="6">
        <f ca="1">$M$1137*$Z$1137</f>
        <v>-4101.0629264651443</v>
      </c>
      <c r="AG1137" s="6">
        <f>$O$1137*$AA$1137</f>
        <v>-3017.8069456918379</v>
      </c>
    </row>
    <row r="1138" spans="1:33" ht="11.25" customHeight="1" x14ac:dyDescent="0.25">
      <c r="A1138" s="4" t="s">
        <v>28</v>
      </c>
      <c r="B1138" s="4" t="s">
        <v>37</v>
      </c>
      <c r="C1138" s="4" t="s">
        <v>23</v>
      </c>
      <c r="D1138" s="4" t="s">
        <v>41</v>
      </c>
      <c r="E1138" s="4" t="s">
        <v>25</v>
      </c>
      <c r="F1138" s="4" t="s">
        <v>25</v>
      </c>
      <c r="G1138" s="4" t="s">
        <v>25</v>
      </c>
      <c r="H1138" s="4" t="s">
        <v>25</v>
      </c>
      <c r="I1138" s="5">
        <v>44562</v>
      </c>
      <c r="J1138" s="6">
        <v>0</v>
      </c>
      <c r="K1138" s="6">
        <v>0</v>
      </c>
      <c r="L1138" s="6">
        <v>161.423</v>
      </c>
      <c r="M1138" s="6">
        <v>161.423</v>
      </c>
      <c r="N1138" s="6">
        <v>161.423</v>
      </c>
      <c r="O1138" s="6">
        <v>161.423</v>
      </c>
      <c r="P1138" s="6">
        <v>359</v>
      </c>
      <c r="Q1138" s="4" t="s">
        <v>26</v>
      </c>
      <c r="R1138" s="4">
        <v>0</v>
      </c>
      <c r="S1138" s="6">
        <v>0</v>
      </c>
      <c r="T1138" s="6">
        <v>44</v>
      </c>
      <c r="U1138" s="6">
        <v>81</v>
      </c>
      <c r="V1138" s="6">
        <f>IF(ISERROR(VLOOKUP($S$1138,'TAR FIN'!$A$1:$O$85,15,0)),0,VLOOKUP($S$1138,'TAR FIN'!$A$1:$O$85,15,0))</f>
        <v>0</v>
      </c>
      <c r="W1138" s="6">
        <f>IF(ISERROR(VLOOKUP($T$1138,'TAR FIN'!$A$1:$O$85,15,0)),0,VLOOKUP($T$1138,'TAR FIN'!$A$1:$O$85,15,0))</f>
        <v>324.88</v>
      </c>
      <c r="X1138" s="6">
        <f>IF(ISERROR(VLOOKUP($U$1138,'TAR FIN'!$A$1:$O$85,15,0)),0,VLOOKUP($U$1138,'TAR FIN'!$A$1:$O$85,15,0))</f>
        <v>322.54000000000002</v>
      </c>
      <c r="Y1138" s="6"/>
      <c r="Z1138" s="6">
        <f ca="1">('TUSD BE'!$AM$48+'TUSD BF'!$AM$48+'TUSD CVA'!$AM$48)*1</f>
        <v>434.80310925202969</v>
      </c>
      <c r="AA1138" s="6">
        <f>('TE BE'!$AB$38+'TE BF'!$AB$38+'TE CVA'!$AB$38)*1</f>
        <v>319.954086693367</v>
      </c>
      <c r="AB1138" s="6">
        <f>$K$1138*$V$1138</f>
        <v>0</v>
      </c>
      <c r="AC1138" s="6">
        <f>$M$1138*$W$1138</f>
        <v>52443.104240000001</v>
      </c>
      <c r="AD1138" s="6">
        <f>$O$1138*$X$1138</f>
        <v>52065.374420000007</v>
      </c>
      <c r="AE1138" s="6">
        <f>$K$1138*$Y$1138</f>
        <v>0</v>
      </c>
      <c r="AF1138" s="6">
        <f ca="1">$M$1138*$Z$1138</f>
        <v>70187.222304790383</v>
      </c>
      <c r="AG1138" s="6">
        <f>$O$1138*$AA$1138</f>
        <v>51647.948536303382</v>
      </c>
    </row>
    <row r="1139" spans="1:33" ht="11.25" customHeight="1" x14ac:dyDescent="0.25">
      <c r="A1139" s="4" t="s">
        <v>21</v>
      </c>
      <c r="B1139" s="4" t="s">
        <v>37</v>
      </c>
      <c r="C1139" s="4" t="s">
        <v>23</v>
      </c>
      <c r="D1139" s="4" t="s">
        <v>41</v>
      </c>
      <c r="E1139" s="4" t="s">
        <v>25</v>
      </c>
      <c r="F1139" s="4" t="s">
        <v>25</v>
      </c>
      <c r="G1139" s="4" t="s">
        <v>25</v>
      </c>
      <c r="H1139" s="4" t="s">
        <v>25</v>
      </c>
      <c r="I1139" s="5">
        <v>44593</v>
      </c>
      <c r="J1139" s="6">
        <v>0</v>
      </c>
      <c r="K1139" s="6">
        <v>0</v>
      </c>
      <c r="L1139" s="6">
        <v>5784.1170000000002</v>
      </c>
      <c r="M1139" s="6">
        <v>5784.1170000000002</v>
      </c>
      <c r="N1139" s="6">
        <v>5784.1170000000002</v>
      </c>
      <c r="O1139" s="6">
        <v>5784.1170000000002</v>
      </c>
      <c r="P1139" s="6">
        <v>9178</v>
      </c>
      <c r="Q1139" s="4" t="s">
        <v>26</v>
      </c>
      <c r="R1139" s="4">
        <v>0</v>
      </c>
      <c r="S1139" s="6">
        <v>0</v>
      </c>
      <c r="T1139" s="6">
        <v>44</v>
      </c>
      <c r="U1139" s="6">
        <v>81</v>
      </c>
      <c r="V1139" s="6">
        <f>IF(ISERROR(VLOOKUP($S$1139,'TAR FIN'!$A$1:$O$85,15,0)),0,VLOOKUP($S$1139,'TAR FIN'!$A$1:$O$85,15,0))</f>
        <v>0</v>
      </c>
      <c r="W1139" s="6">
        <f>IF(ISERROR(VLOOKUP($T$1139,'TAR FIN'!$A$1:$O$85,15,0)),0,VLOOKUP($T$1139,'TAR FIN'!$A$1:$O$85,15,0))</f>
        <v>324.88</v>
      </c>
      <c r="X1139" s="6">
        <f>IF(ISERROR(VLOOKUP($U$1139,'TAR FIN'!$A$1:$O$85,15,0)),0,VLOOKUP($U$1139,'TAR FIN'!$A$1:$O$85,15,0))</f>
        <v>322.54000000000002</v>
      </c>
      <c r="Y1139" s="6"/>
      <c r="Z1139" s="6">
        <f ca="1">('TUSD BE'!$AM$48+'TUSD BF'!$AM$48+'TUSD CVA'!$AM$48)*1</f>
        <v>434.80310925202969</v>
      </c>
      <c r="AA1139" s="6">
        <f>('TE BE'!$AB$38+'TE BF'!$AB$38+'TE CVA'!$AB$38)*1</f>
        <v>319.954086693367</v>
      </c>
      <c r="AB1139" s="6">
        <f>$K$1139*$V$1139</f>
        <v>0</v>
      </c>
      <c r="AC1139" s="6">
        <f>$M$1139*$W$1139</f>
        <v>1879143.93096</v>
      </c>
      <c r="AD1139" s="6">
        <f>$O$1139*$X$1139</f>
        <v>1865609.0971800003</v>
      </c>
      <c r="AE1139" s="6">
        <f>$K$1139*$Y$1139</f>
        <v>0</v>
      </c>
      <c r="AF1139" s="6">
        <f ca="1">$M$1139*$Z$1139</f>
        <v>2514952.0558775221</v>
      </c>
      <c r="AG1139" s="6">
        <f>$O$1139*$AA$1139</f>
        <v>1850651.8720625779</v>
      </c>
    </row>
    <row r="1140" spans="1:33" ht="11.25" customHeight="1" x14ac:dyDescent="0.25">
      <c r="A1140" s="4" t="s">
        <v>27</v>
      </c>
      <c r="B1140" s="4" t="s">
        <v>37</v>
      </c>
      <c r="C1140" s="4" t="s">
        <v>23</v>
      </c>
      <c r="D1140" s="4" t="s">
        <v>41</v>
      </c>
      <c r="E1140" s="4" t="s">
        <v>25</v>
      </c>
      <c r="F1140" s="4" t="s">
        <v>25</v>
      </c>
      <c r="G1140" s="4" t="s">
        <v>25</v>
      </c>
      <c r="H1140" s="4" t="s">
        <v>25</v>
      </c>
      <c r="I1140" s="5">
        <v>44593</v>
      </c>
      <c r="J1140" s="6">
        <v>0</v>
      </c>
      <c r="K1140" s="6">
        <v>0</v>
      </c>
      <c r="L1140" s="6">
        <v>-0.4</v>
      </c>
      <c r="M1140" s="6">
        <v>-0.4</v>
      </c>
      <c r="N1140" s="6">
        <v>-0.4</v>
      </c>
      <c r="O1140" s="6">
        <v>-0.4</v>
      </c>
      <c r="P1140" s="6">
        <v>1</v>
      </c>
      <c r="Q1140" s="4" t="s">
        <v>26</v>
      </c>
      <c r="R1140" s="4">
        <v>0</v>
      </c>
      <c r="S1140" s="6">
        <v>0</v>
      </c>
      <c r="T1140" s="6">
        <v>44</v>
      </c>
      <c r="U1140" s="6">
        <v>81</v>
      </c>
      <c r="V1140" s="6">
        <f>IF(ISERROR(VLOOKUP($S$1140,'TAR FIN'!$A$1:$O$85,15,0)),0,VLOOKUP($S$1140,'TAR FIN'!$A$1:$O$85,15,0))</f>
        <v>0</v>
      </c>
      <c r="W1140" s="6">
        <f>IF(ISERROR(VLOOKUP($T$1140,'TAR FIN'!$A$1:$O$85,15,0)),0,VLOOKUP($T$1140,'TAR FIN'!$A$1:$O$85,15,0))</f>
        <v>324.88</v>
      </c>
      <c r="X1140" s="6">
        <f>IF(ISERROR(VLOOKUP($U$1140,'TAR FIN'!$A$1:$O$85,15,0)),0,VLOOKUP($U$1140,'TAR FIN'!$A$1:$O$85,15,0))</f>
        <v>322.54000000000002</v>
      </c>
      <c r="Y1140" s="6"/>
      <c r="Z1140" s="6">
        <f ca="1">('TUSD BE'!$AM$48+'TUSD BF'!$AM$48+'TUSD CVA'!$AM$48)*1</f>
        <v>434.80310925202969</v>
      </c>
      <c r="AA1140" s="6">
        <f>('TE BE'!$AB$38+'TE BF'!$AB$38+'TE CVA'!$AB$38)*1</f>
        <v>319.954086693367</v>
      </c>
      <c r="AB1140" s="6">
        <f>$K$1140*$V$1140</f>
        <v>0</v>
      </c>
      <c r="AC1140" s="6">
        <f>$M$1140*$W$1140</f>
        <v>-129.952</v>
      </c>
      <c r="AD1140" s="6">
        <f>$O$1140*$X$1140</f>
        <v>-129.01600000000002</v>
      </c>
      <c r="AE1140" s="6">
        <f>$K$1140*$Y$1140</f>
        <v>0</v>
      </c>
      <c r="AF1140" s="6">
        <f ca="1">$M$1140*$Z$1140</f>
        <v>-173.92124370081189</v>
      </c>
      <c r="AG1140" s="6">
        <f>$O$1140*$AA$1140</f>
        <v>-127.9816346773468</v>
      </c>
    </row>
    <row r="1141" spans="1:33" ht="11.25" customHeight="1" x14ac:dyDescent="0.25">
      <c r="A1141" s="4" t="s">
        <v>28</v>
      </c>
      <c r="B1141" s="4" t="s">
        <v>37</v>
      </c>
      <c r="C1141" s="4" t="s">
        <v>23</v>
      </c>
      <c r="D1141" s="4" t="s">
        <v>41</v>
      </c>
      <c r="E1141" s="4" t="s">
        <v>25</v>
      </c>
      <c r="F1141" s="4" t="s">
        <v>25</v>
      </c>
      <c r="G1141" s="4" t="s">
        <v>25</v>
      </c>
      <c r="H1141" s="4" t="s">
        <v>25</v>
      </c>
      <c r="I1141" s="5">
        <v>44593</v>
      </c>
      <c r="J1141" s="6">
        <v>0</v>
      </c>
      <c r="K1141" s="6">
        <v>0</v>
      </c>
      <c r="L1141" s="6">
        <v>169.631</v>
      </c>
      <c r="M1141" s="6">
        <v>169.631</v>
      </c>
      <c r="N1141" s="6">
        <v>169.631</v>
      </c>
      <c r="O1141" s="6">
        <v>169.631</v>
      </c>
      <c r="P1141" s="6">
        <v>382</v>
      </c>
      <c r="Q1141" s="4" t="s">
        <v>26</v>
      </c>
      <c r="R1141" s="4">
        <v>0</v>
      </c>
      <c r="S1141" s="6">
        <v>0</v>
      </c>
      <c r="T1141" s="6">
        <v>44</v>
      </c>
      <c r="U1141" s="6">
        <v>81</v>
      </c>
      <c r="V1141" s="6">
        <f>IF(ISERROR(VLOOKUP($S$1141,'TAR FIN'!$A$1:$O$85,15,0)),0,VLOOKUP($S$1141,'TAR FIN'!$A$1:$O$85,15,0))</f>
        <v>0</v>
      </c>
      <c r="W1141" s="6">
        <f>IF(ISERROR(VLOOKUP($T$1141,'TAR FIN'!$A$1:$O$85,15,0)),0,VLOOKUP($T$1141,'TAR FIN'!$A$1:$O$85,15,0))</f>
        <v>324.88</v>
      </c>
      <c r="X1141" s="6">
        <f>IF(ISERROR(VLOOKUP($U$1141,'TAR FIN'!$A$1:$O$85,15,0)),0,VLOOKUP($U$1141,'TAR FIN'!$A$1:$O$85,15,0))</f>
        <v>322.54000000000002</v>
      </c>
      <c r="Y1141" s="6"/>
      <c r="Z1141" s="6">
        <f ca="1">('TUSD BE'!$AM$48+'TUSD BF'!$AM$48+'TUSD CVA'!$AM$48)*1</f>
        <v>434.80310925202969</v>
      </c>
      <c r="AA1141" s="6">
        <f>('TE BE'!$AB$38+'TE BF'!$AB$38+'TE CVA'!$AB$38)*1</f>
        <v>319.954086693367</v>
      </c>
      <c r="AB1141" s="6">
        <f>$K$1141*$V$1141</f>
        <v>0</v>
      </c>
      <c r="AC1141" s="6">
        <f>$M$1141*$W$1141</f>
        <v>55109.719279999998</v>
      </c>
      <c r="AD1141" s="6">
        <f>$O$1141*$X$1141</f>
        <v>54712.782740000002</v>
      </c>
      <c r="AE1141" s="6">
        <f>$K$1141*$Y$1141</f>
        <v>0</v>
      </c>
      <c r="AF1141" s="6">
        <f ca="1">$M$1141*$Z$1141</f>
        <v>73756.086225531049</v>
      </c>
      <c r="AG1141" s="6">
        <f>$O$1141*$AA$1141</f>
        <v>54274.131679882536</v>
      </c>
    </row>
    <row r="1142" spans="1:33" ht="11.25" customHeight="1" x14ac:dyDescent="0.25">
      <c r="A1142" s="4" t="s">
        <v>21</v>
      </c>
      <c r="B1142" s="4" t="s">
        <v>37</v>
      </c>
      <c r="C1142" s="4" t="s">
        <v>23</v>
      </c>
      <c r="D1142" s="4" t="s">
        <v>41</v>
      </c>
      <c r="E1142" s="4" t="s">
        <v>25</v>
      </c>
      <c r="F1142" s="4" t="s">
        <v>25</v>
      </c>
      <c r="G1142" s="4" t="s">
        <v>25</v>
      </c>
      <c r="H1142" s="4" t="s">
        <v>25</v>
      </c>
      <c r="I1142" s="5">
        <v>44621</v>
      </c>
      <c r="J1142" s="6">
        <v>0</v>
      </c>
      <c r="K1142" s="6">
        <v>0</v>
      </c>
      <c r="L1142" s="6">
        <v>5647.1559999999999</v>
      </c>
      <c r="M1142" s="6">
        <v>5647.1559999999999</v>
      </c>
      <c r="N1142" s="6">
        <v>5647.1559999999999</v>
      </c>
      <c r="O1142" s="6">
        <v>5647.1559999999999</v>
      </c>
      <c r="P1142" s="6">
        <v>9173</v>
      </c>
      <c r="Q1142" s="4" t="s">
        <v>26</v>
      </c>
      <c r="R1142" s="4">
        <v>0</v>
      </c>
      <c r="S1142" s="6">
        <v>0</v>
      </c>
      <c r="T1142" s="6">
        <v>44</v>
      </c>
      <c r="U1142" s="6">
        <v>81</v>
      </c>
      <c r="V1142" s="6">
        <f>IF(ISERROR(VLOOKUP($S$1142,'TAR FIN'!$A$1:$O$85,15,0)),0,VLOOKUP($S$1142,'TAR FIN'!$A$1:$O$85,15,0))</f>
        <v>0</v>
      </c>
      <c r="W1142" s="6">
        <f>IF(ISERROR(VLOOKUP($T$1142,'TAR FIN'!$A$1:$O$85,15,0)),0,VLOOKUP($T$1142,'TAR FIN'!$A$1:$O$85,15,0))</f>
        <v>324.88</v>
      </c>
      <c r="X1142" s="6">
        <f>IF(ISERROR(VLOOKUP($U$1142,'TAR FIN'!$A$1:$O$85,15,0)),0,VLOOKUP($U$1142,'TAR FIN'!$A$1:$O$85,15,0))</f>
        <v>322.54000000000002</v>
      </c>
      <c r="Y1142" s="6"/>
      <c r="Z1142" s="6">
        <f ca="1">('TUSD BE'!$AM$48+'TUSD BF'!$AM$48+'TUSD CVA'!$AM$48)*1</f>
        <v>434.80310925202969</v>
      </c>
      <c r="AA1142" s="6">
        <f>('TE BE'!$AB$38+'TE BF'!$AB$38+'TE CVA'!$AB$38)*1</f>
        <v>319.954086693367</v>
      </c>
      <c r="AB1142" s="6">
        <f>$K$1142*$V$1142</f>
        <v>0</v>
      </c>
      <c r="AC1142" s="6">
        <f>$M$1142*$W$1142</f>
        <v>1834648.04128</v>
      </c>
      <c r="AD1142" s="6">
        <f>$O$1142*$X$1142</f>
        <v>1821433.6962400002</v>
      </c>
      <c r="AE1142" s="6">
        <f>$K$1142*$Y$1142</f>
        <v>0</v>
      </c>
      <c r="AF1142" s="6">
        <f ca="1">$M$1142*$Z$1142</f>
        <v>2455400.987231255</v>
      </c>
      <c r="AG1142" s="6">
        <f>$O$1142*$AA$1142</f>
        <v>1806830.6403949675</v>
      </c>
    </row>
    <row r="1143" spans="1:33" ht="11.25" customHeight="1" x14ac:dyDescent="0.25">
      <c r="A1143" s="4" t="s">
        <v>27</v>
      </c>
      <c r="B1143" s="4" t="s">
        <v>37</v>
      </c>
      <c r="C1143" s="4" t="s">
        <v>23</v>
      </c>
      <c r="D1143" s="4" t="s">
        <v>41</v>
      </c>
      <c r="E1143" s="4" t="s">
        <v>25</v>
      </c>
      <c r="F1143" s="4" t="s">
        <v>25</v>
      </c>
      <c r="G1143" s="4" t="s">
        <v>25</v>
      </c>
      <c r="H1143" s="4" t="s">
        <v>25</v>
      </c>
      <c r="I1143" s="5">
        <v>44621</v>
      </c>
      <c r="J1143" s="6">
        <v>0</v>
      </c>
      <c r="K1143" s="6">
        <v>0</v>
      </c>
      <c r="L1143" s="6">
        <v>-2.4409999999999998</v>
      </c>
      <c r="M1143" s="6">
        <v>-2.4409999999999998</v>
      </c>
      <c r="N1143" s="6">
        <v>-2.4409999999999998</v>
      </c>
      <c r="O1143" s="6">
        <v>-2.4409999999999998</v>
      </c>
      <c r="P1143" s="6">
        <v>-4</v>
      </c>
      <c r="Q1143" s="4" t="s">
        <v>26</v>
      </c>
      <c r="R1143" s="4">
        <v>0</v>
      </c>
      <c r="S1143" s="6">
        <v>0</v>
      </c>
      <c r="T1143" s="6">
        <v>44</v>
      </c>
      <c r="U1143" s="6">
        <v>81</v>
      </c>
      <c r="V1143" s="6">
        <f>IF(ISERROR(VLOOKUP($S$1143,'TAR FIN'!$A$1:$O$85,15,0)),0,VLOOKUP($S$1143,'TAR FIN'!$A$1:$O$85,15,0))</f>
        <v>0</v>
      </c>
      <c r="W1143" s="6">
        <f>IF(ISERROR(VLOOKUP($T$1143,'TAR FIN'!$A$1:$O$85,15,0)),0,VLOOKUP($T$1143,'TAR FIN'!$A$1:$O$85,15,0))</f>
        <v>324.88</v>
      </c>
      <c r="X1143" s="6">
        <f>IF(ISERROR(VLOOKUP($U$1143,'TAR FIN'!$A$1:$O$85,15,0)),0,VLOOKUP($U$1143,'TAR FIN'!$A$1:$O$85,15,0))</f>
        <v>322.54000000000002</v>
      </c>
      <c r="Y1143" s="6"/>
      <c r="Z1143" s="6">
        <f ca="1">('TUSD BE'!$AM$48+'TUSD BF'!$AM$48+'TUSD CVA'!$AM$48)*1</f>
        <v>434.80310925202969</v>
      </c>
      <c r="AA1143" s="6">
        <f>('TE BE'!$AB$38+'TE BF'!$AB$38+'TE CVA'!$AB$38)*1</f>
        <v>319.954086693367</v>
      </c>
      <c r="AB1143" s="6">
        <f>$K$1143*$V$1143</f>
        <v>0</v>
      </c>
      <c r="AC1143" s="6">
        <f>$M$1143*$W$1143</f>
        <v>-793.03207999999995</v>
      </c>
      <c r="AD1143" s="6">
        <f>$O$1143*$X$1143</f>
        <v>-787.32014000000004</v>
      </c>
      <c r="AE1143" s="6">
        <f>$K$1143*$Y$1143</f>
        <v>0</v>
      </c>
      <c r="AF1143" s="6">
        <f ca="1">$M$1143*$Z$1143</f>
        <v>-1061.3543896842043</v>
      </c>
      <c r="AG1143" s="6">
        <f>$O$1143*$AA$1143</f>
        <v>-781.00792561850881</v>
      </c>
    </row>
    <row r="1144" spans="1:33" ht="11.25" customHeight="1" x14ac:dyDescent="0.25">
      <c r="A1144" s="4" t="s">
        <v>28</v>
      </c>
      <c r="B1144" s="4" t="s">
        <v>37</v>
      </c>
      <c r="C1144" s="4" t="s">
        <v>23</v>
      </c>
      <c r="D1144" s="4" t="s">
        <v>41</v>
      </c>
      <c r="E1144" s="4" t="s">
        <v>25</v>
      </c>
      <c r="F1144" s="4" t="s">
        <v>25</v>
      </c>
      <c r="G1144" s="4" t="s">
        <v>25</v>
      </c>
      <c r="H1144" s="4" t="s">
        <v>25</v>
      </c>
      <c r="I1144" s="5">
        <v>44621</v>
      </c>
      <c r="J1144" s="6">
        <v>0</v>
      </c>
      <c r="K1144" s="6">
        <v>0</v>
      </c>
      <c r="L1144" s="6">
        <v>186.65</v>
      </c>
      <c r="M1144" s="6">
        <v>186.65</v>
      </c>
      <c r="N1144" s="6">
        <v>186.65</v>
      </c>
      <c r="O1144" s="6">
        <v>186.65</v>
      </c>
      <c r="P1144" s="6">
        <v>407</v>
      </c>
      <c r="Q1144" s="4" t="s">
        <v>26</v>
      </c>
      <c r="R1144" s="4">
        <v>0</v>
      </c>
      <c r="S1144" s="6">
        <v>0</v>
      </c>
      <c r="T1144" s="6">
        <v>44</v>
      </c>
      <c r="U1144" s="6">
        <v>81</v>
      </c>
      <c r="V1144" s="6">
        <f>IF(ISERROR(VLOOKUP($S$1144,'TAR FIN'!$A$1:$O$85,15,0)),0,VLOOKUP($S$1144,'TAR FIN'!$A$1:$O$85,15,0))</f>
        <v>0</v>
      </c>
      <c r="W1144" s="6">
        <f>IF(ISERROR(VLOOKUP($T$1144,'TAR FIN'!$A$1:$O$85,15,0)),0,VLOOKUP($T$1144,'TAR FIN'!$A$1:$O$85,15,0))</f>
        <v>324.88</v>
      </c>
      <c r="X1144" s="6">
        <f>IF(ISERROR(VLOOKUP($U$1144,'TAR FIN'!$A$1:$O$85,15,0)),0,VLOOKUP($U$1144,'TAR FIN'!$A$1:$O$85,15,0))</f>
        <v>322.54000000000002</v>
      </c>
      <c r="Y1144" s="6"/>
      <c r="Z1144" s="6">
        <f ca="1">('TUSD BE'!$AM$48+'TUSD BF'!$AM$48+'TUSD CVA'!$AM$48)*1</f>
        <v>434.80310925202969</v>
      </c>
      <c r="AA1144" s="6">
        <f>('TE BE'!$AB$38+'TE BF'!$AB$38+'TE CVA'!$AB$38)*1</f>
        <v>319.954086693367</v>
      </c>
      <c r="AB1144" s="6">
        <f>$K$1144*$V$1144</f>
        <v>0</v>
      </c>
      <c r="AC1144" s="6">
        <f>$M$1144*$W$1144</f>
        <v>60638.851999999999</v>
      </c>
      <c r="AD1144" s="6">
        <f>$O$1144*$X$1144</f>
        <v>60202.091000000008</v>
      </c>
      <c r="AE1144" s="6">
        <f>$K$1144*$Y$1144</f>
        <v>0</v>
      </c>
      <c r="AF1144" s="6">
        <f ca="1">$M$1144*$Z$1144</f>
        <v>81156.00034189134</v>
      </c>
      <c r="AG1144" s="6">
        <f>$O$1144*$AA$1144</f>
        <v>59719.430281316956</v>
      </c>
    </row>
    <row r="1145" spans="1:33" ht="11.25" customHeight="1" x14ac:dyDescent="0.25">
      <c r="A1145" s="4" t="s">
        <v>28</v>
      </c>
      <c r="B1145" s="4" t="s">
        <v>37</v>
      </c>
      <c r="C1145" s="4" t="s">
        <v>23</v>
      </c>
      <c r="D1145" s="4" t="s">
        <v>41</v>
      </c>
      <c r="E1145" s="4" t="s">
        <v>25</v>
      </c>
      <c r="F1145" s="4" t="s">
        <v>25</v>
      </c>
      <c r="G1145" s="4" t="s">
        <v>25</v>
      </c>
      <c r="H1145" s="4" t="s">
        <v>25</v>
      </c>
      <c r="I1145" s="5">
        <v>44621</v>
      </c>
      <c r="J1145" s="6">
        <v>0</v>
      </c>
      <c r="K1145" s="6">
        <v>0</v>
      </c>
      <c r="L1145" s="6">
        <v>0.27300000000000002</v>
      </c>
      <c r="M1145" s="6">
        <v>0.27300000000000002</v>
      </c>
      <c r="N1145" s="6">
        <v>0.27300000000000002</v>
      </c>
      <c r="O1145" s="6">
        <v>0.27300000000000002</v>
      </c>
      <c r="P1145" s="6">
        <v>1</v>
      </c>
      <c r="Q1145" s="4" t="s">
        <v>26</v>
      </c>
      <c r="R1145" s="4">
        <v>0</v>
      </c>
      <c r="S1145" s="6">
        <v>0</v>
      </c>
      <c r="T1145" s="6">
        <v>44</v>
      </c>
      <c r="U1145" s="6">
        <v>81</v>
      </c>
      <c r="V1145" s="6">
        <f>IF(ISERROR(VLOOKUP($S$1145,'TAR FIN'!$A$1:$O$85,15,0)),0,VLOOKUP($S$1145,'TAR FIN'!$A$1:$O$85,15,0))</f>
        <v>0</v>
      </c>
      <c r="W1145" s="6">
        <f>IF(ISERROR(VLOOKUP($T$1145,'TAR FIN'!$A$1:$O$85,15,0)),0,VLOOKUP($T$1145,'TAR FIN'!$A$1:$O$85,15,0))</f>
        <v>324.88</v>
      </c>
      <c r="X1145" s="6">
        <f>IF(ISERROR(VLOOKUP($U$1145,'TAR FIN'!$A$1:$O$85,15,0)),0,VLOOKUP($U$1145,'TAR FIN'!$A$1:$O$85,15,0))</f>
        <v>322.54000000000002</v>
      </c>
      <c r="Y1145" s="6"/>
      <c r="Z1145" s="6">
        <f ca="1">('TUSD BE'!$AM$48+'TUSD BF'!$AM$48+'TUSD CVA'!$AM$48)*1</f>
        <v>434.80310925202969</v>
      </c>
      <c r="AA1145" s="6">
        <f>('TE BE'!$AB$38+'TE BF'!$AB$38+'TE CVA'!$AB$38)*1</f>
        <v>319.954086693367</v>
      </c>
      <c r="AB1145" s="6">
        <f>$K$1145*$V$1145</f>
        <v>0</v>
      </c>
      <c r="AC1145" s="6">
        <f>$M$1145*$W$1145</f>
        <v>88.692240000000012</v>
      </c>
      <c r="AD1145" s="6">
        <f>$O$1145*$X$1145</f>
        <v>88.053420000000017</v>
      </c>
      <c r="AE1145" s="6">
        <f>$K$1145*$Y$1145</f>
        <v>0</v>
      </c>
      <c r="AF1145" s="6">
        <f ca="1">$M$1145*$Z$1145</f>
        <v>118.70124882580411</v>
      </c>
      <c r="AG1145" s="6">
        <f>$O$1145*$AA$1145</f>
        <v>87.3474656672892</v>
      </c>
    </row>
    <row r="1146" spans="1:33" ht="11.25" customHeight="1" x14ac:dyDescent="0.25">
      <c r="A1146" s="4" t="s">
        <v>21</v>
      </c>
      <c r="B1146" s="4" t="s">
        <v>37</v>
      </c>
      <c r="C1146" s="4" t="s">
        <v>23</v>
      </c>
      <c r="D1146" s="4" t="s">
        <v>41</v>
      </c>
      <c r="E1146" s="4" t="s">
        <v>25</v>
      </c>
      <c r="F1146" s="4" t="s">
        <v>25</v>
      </c>
      <c r="G1146" s="4" t="s">
        <v>25</v>
      </c>
      <c r="H1146" s="4" t="s">
        <v>25</v>
      </c>
      <c r="I1146" s="5">
        <v>44652</v>
      </c>
      <c r="J1146" s="6">
        <v>0</v>
      </c>
      <c r="K1146" s="6">
        <v>0</v>
      </c>
      <c r="L1146" s="6">
        <v>5801.5450000000001</v>
      </c>
      <c r="M1146" s="6">
        <v>5801.5450000000001</v>
      </c>
      <c r="N1146" s="6">
        <v>5801.5450000000001</v>
      </c>
      <c r="O1146" s="6">
        <v>5801.5450000000001</v>
      </c>
      <c r="P1146" s="6">
        <v>9162</v>
      </c>
      <c r="Q1146" s="4" t="s">
        <v>26</v>
      </c>
      <c r="R1146" s="4">
        <v>0</v>
      </c>
      <c r="S1146" s="6">
        <v>0</v>
      </c>
      <c r="T1146" s="6">
        <v>44</v>
      </c>
      <c r="U1146" s="6">
        <v>81</v>
      </c>
      <c r="V1146" s="6">
        <f>IF(ISERROR(VLOOKUP($S$1146,'TAR FIN'!$A$1:$O$85,15,0)),0,VLOOKUP($S$1146,'TAR FIN'!$A$1:$O$85,15,0))</f>
        <v>0</v>
      </c>
      <c r="W1146" s="6">
        <f>IF(ISERROR(VLOOKUP($T$1146,'TAR FIN'!$A$1:$O$85,15,0)),0,VLOOKUP($T$1146,'TAR FIN'!$A$1:$O$85,15,0))</f>
        <v>324.88</v>
      </c>
      <c r="X1146" s="6">
        <f>IF(ISERROR(VLOOKUP($U$1146,'TAR FIN'!$A$1:$O$85,15,0)),0,VLOOKUP($U$1146,'TAR FIN'!$A$1:$O$85,15,0))</f>
        <v>322.54000000000002</v>
      </c>
      <c r="Y1146" s="6"/>
      <c r="Z1146" s="6">
        <f ca="1">('TUSD BE'!$AM$48+'TUSD BF'!$AM$48+'TUSD CVA'!$AM$48)*1</f>
        <v>434.80310925202969</v>
      </c>
      <c r="AA1146" s="6">
        <f>('TE BE'!$AB$38+'TE BF'!$AB$38+'TE CVA'!$AB$38)*1</f>
        <v>319.954086693367</v>
      </c>
      <c r="AB1146" s="6">
        <f>$K$1146*$V$1146</f>
        <v>0</v>
      </c>
      <c r="AC1146" s="6">
        <f>$M$1146*$W$1146</f>
        <v>1884805.9395999999</v>
      </c>
      <c r="AD1146" s="6">
        <f>$O$1146*$X$1146</f>
        <v>1871230.3243000002</v>
      </c>
      <c r="AE1146" s="6">
        <f>$K$1146*$Y$1146</f>
        <v>0</v>
      </c>
      <c r="AF1146" s="6">
        <f ca="1">$M$1146*$Z$1146</f>
        <v>2522529.8044655668</v>
      </c>
      <c r="AG1146" s="6">
        <f>$O$1146*$AA$1146</f>
        <v>1856228.0318854698</v>
      </c>
    </row>
    <row r="1147" spans="1:33" ht="11.25" customHeight="1" x14ac:dyDescent="0.25">
      <c r="A1147" s="4" t="s">
        <v>27</v>
      </c>
      <c r="B1147" s="4" t="s">
        <v>37</v>
      </c>
      <c r="C1147" s="4" t="s">
        <v>23</v>
      </c>
      <c r="D1147" s="4" t="s">
        <v>41</v>
      </c>
      <c r="E1147" s="4" t="s">
        <v>25</v>
      </c>
      <c r="F1147" s="4" t="s">
        <v>25</v>
      </c>
      <c r="G1147" s="4" t="s">
        <v>25</v>
      </c>
      <c r="H1147" s="4" t="s">
        <v>25</v>
      </c>
      <c r="I1147" s="5">
        <v>44652</v>
      </c>
      <c r="J1147" s="6">
        <v>0</v>
      </c>
      <c r="K1147" s="6">
        <v>0</v>
      </c>
      <c r="L1147" s="6">
        <v>89.816999999999993</v>
      </c>
      <c r="M1147" s="6">
        <v>89.816999999999993</v>
      </c>
      <c r="N1147" s="6">
        <v>89.816999999999993</v>
      </c>
      <c r="O1147" s="6">
        <v>89.816999999999993</v>
      </c>
      <c r="P1147" s="6">
        <v>4</v>
      </c>
      <c r="Q1147" s="4" t="s">
        <v>26</v>
      </c>
      <c r="R1147" s="4">
        <v>0</v>
      </c>
      <c r="S1147" s="6">
        <v>0</v>
      </c>
      <c r="T1147" s="6">
        <v>44</v>
      </c>
      <c r="U1147" s="6">
        <v>81</v>
      </c>
      <c r="V1147" s="6">
        <f>IF(ISERROR(VLOOKUP($S$1147,'TAR FIN'!$A$1:$O$85,15,0)),0,VLOOKUP($S$1147,'TAR FIN'!$A$1:$O$85,15,0))</f>
        <v>0</v>
      </c>
      <c r="W1147" s="6">
        <f>IF(ISERROR(VLOOKUP($T$1147,'TAR FIN'!$A$1:$O$85,15,0)),0,VLOOKUP($T$1147,'TAR FIN'!$A$1:$O$85,15,0))</f>
        <v>324.88</v>
      </c>
      <c r="X1147" s="6">
        <f>IF(ISERROR(VLOOKUP($U$1147,'TAR FIN'!$A$1:$O$85,15,0)),0,VLOOKUP($U$1147,'TAR FIN'!$A$1:$O$85,15,0))</f>
        <v>322.54000000000002</v>
      </c>
      <c r="Y1147" s="6"/>
      <c r="Z1147" s="6">
        <f ca="1">('TUSD BE'!$AM$48+'TUSD BF'!$AM$48+'TUSD CVA'!$AM$48)*1</f>
        <v>434.80310925202969</v>
      </c>
      <c r="AA1147" s="6">
        <f>('TE BE'!$AB$38+'TE BF'!$AB$38+'TE CVA'!$AB$38)*1</f>
        <v>319.954086693367</v>
      </c>
      <c r="AB1147" s="6">
        <f>$K$1147*$V$1147</f>
        <v>0</v>
      </c>
      <c r="AC1147" s="6">
        <f>$M$1147*$W$1147</f>
        <v>29179.746959999997</v>
      </c>
      <c r="AD1147" s="6">
        <f>$O$1147*$X$1147</f>
        <v>28969.57518</v>
      </c>
      <c r="AE1147" s="6">
        <f>$K$1147*$Y$1147</f>
        <v>0</v>
      </c>
      <c r="AF1147" s="6">
        <f ca="1">$M$1147*$Z$1147</f>
        <v>39052.71086368955</v>
      </c>
      <c r="AG1147" s="6">
        <f>$O$1147*$AA$1147</f>
        <v>28737.316204538143</v>
      </c>
    </row>
    <row r="1148" spans="1:33" ht="11.25" customHeight="1" x14ac:dyDescent="0.25">
      <c r="A1148" s="4" t="s">
        <v>28</v>
      </c>
      <c r="B1148" s="4" t="s">
        <v>37</v>
      </c>
      <c r="C1148" s="4" t="s">
        <v>23</v>
      </c>
      <c r="D1148" s="4" t="s">
        <v>41</v>
      </c>
      <c r="E1148" s="4" t="s">
        <v>25</v>
      </c>
      <c r="F1148" s="4" t="s">
        <v>25</v>
      </c>
      <c r="G1148" s="4" t="s">
        <v>25</v>
      </c>
      <c r="H1148" s="4" t="s">
        <v>25</v>
      </c>
      <c r="I1148" s="5">
        <v>44652</v>
      </c>
      <c r="J1148" s="6">
        <v>0</v>
      </c>
      <c r="K1148" s="6">
        <v>0</v>
      </c>
      <c r="L1148" s="6">
        <v>229.56200000000001</v>
      </c>
      <c r="M1148" s="6">
        <v>229.56200000000001</v>
      </c>
      <c r="N1148" s="6">
        <v>229.56200000000001</v>
      </c>
      <c r="O1148" s="6">
        <v>229.56200000000001</v>
      </c>
      <c r="P1148" s="6">
        <v>434</v>
      </c>
      <c r="Q1148" s="4" t="s">
        <v>26</v>
      </c>
      <c r="R1148" s="4">
        <v>0</v>
      </c>
      <c r="S1148" s="6">
        <v>0</v>
      </c>
      <c r="T1148" s="6">
        <v>44</v>
      </c>
      <c r="U1148" s="6">
        <v>81</v>
      </c>
      <c r="V1148" s="6">
        <f>IF(ISERROR(VLOOKUP($S$1148,'TAR FIN'!$A$1:$O$85,15,0)),0,VLOOKUP($S$1148,'TAR FIN'!$A$1:$O$85,15,0))</f>
        <v>0</v>
      </c>
      <c r="W1148" s="6">
        <f>IF(ISERROR(VLOOKUP($T$1148,'TAR FIN'!$A$1:$O$85,15,0)),0,VLOOKUP($T$1148,'TAR FIN'!$A$1:$O$85,15,0))</f>
        <v>324.88</v>
      </c>
      <c r="X1148" s="6">
        <f>IF(ISERROR(VLOOKUP($U$1148,'TAR FIN'!$A$1:$O$85,15,0)),0,VLOOKUP($U$1148,'TAR FIN'!$A$1:$O$85,15,0))</f>
        <v>322.54000000000002</v>
      </c>
      <c r="Y1148" s="6"/>
      <c r="Z1148" s="6">
        <f ca="1">('TUSD BE'!$AM$48+'TUSD BF'!$AM$48+'TUSD CVA'!$AM$48)*1</f>
        <v>434.80310925202969</v>
      </c>
      <c r="AA1148" s="6">
        <f>('TE BE'!$AB$38+'TE BF'!$AB$38+'TE CVA'!$AB$38)*1</f>
        <v>319.954086693367</v>
      </c>
      <c r="AB1148" s="6">
        <f>$K$1148*$V$1148</f>
        <v>0</v>
      </c>
      <c r="AC1148" s="6">
        <f>$M$1148*$W$1148</f>
        <v>74580.102559999999</v>
      </c>
      <c r="AD1148" s="6">
        <f>$O$1148*$X$1148</f>
        <v>74042.927480000013</v>
      </c>
      <c r="AE1148" s="6">
        <f>$K$1148*$Y$1148</f>
        <v>0</v>
      </c>
      <c r="AF1148" s="6">
        <f ca="1">$M$1148*$Z$1148</f>
        <v>99814.271366114437</v>
      </c>
      <c r="AG1148" s="6">
        <f>$O$1148*$AA$1148</f>
        <v>73449.300049502723</v>
      </c>
    </row>
    <row r="1149" spans="1:33" ht="11.25" customHeight="1" x14ac:dyDescent="0.25">
      <c r="A1149" s="4" t="s">
        <v>21</v>
      </c>
      <c r="B1149" s="4" t="s">
        <v>37</v>
      </c>
      <c r="C1149" s="4" t="s">
        <v>23</v>
      </c>
      <c r="D1149" s="4" t="s">
        <v>41</v>
      </c>
      <c r="E1149" s="4" t="s">
        <v>25</v>
      </c>
      <c r="F1149" s="4" t="s">
        <v>25</v>
      </c>
      <c r="G1149" s="4" t="s">
        <v>25</v>
      </c>
      <c r="H1149" s="4" t="s">
        <v>25</v>
      </c>
      <c r="I1149" s="5">
        <v>44682</v>
      </c>
      <c r="J1149" s="6">
        <v>0</v>
      </c>
      <c r="K1149" s="6">
        <v>0</v>
      </c>
      <c r="L1149" s="6">
        <v>5092.4769999999999</v>
      </c>
      <c r="M1149" s="6">
        <v>5092.4769999999999</v>
      </c>
      <c r="N1149" s="6">
        <v>5092.4769999999999</v>
      </c>
      <c r="O1149" s="6">
        <v>5092.4769999999999</v>
      </c>
      <c r="P1149" s="6">
        <v>9155</v>
      </c>
      <c r="Q1149" s="4" t="s">
        <v>26</v>
      </c>
      <c r="R1149" s="4">
        <v>0</v>
      </c>
      <c r="S1149" s="6">
        <v>0</v>
      </c>
      <c r="T1149" s="6">
        <v>44</v>
      </c>
      <c r="U1149" s="6">
        <v>81</v>
      </c>
      <c r="V1149" s="6">
        <f>IF(ISERROR(VLOOKUP($S$1149,'TAR FIN'!$A$1:$O$85,15,0)),0,VLOOKUP($S$1149,'TAR FIN'!$A$1:$O$85,15,0))</f>
        <v>0</v>
      </c>
      <c r="W1149" s="6">
        <f>IF(ISERROR(VLOOKUP($T$1149,'TAR FIN'!$A$1:$O$85,15,0)),0,VLOOKUP($T$1149,'TAR FIN'!$A$1:$O$85,15,0))</f>
        <v>324.88</v>
      </c>
      <c r="X1149" s="6">
        <f>IF(ISERROR(VLOOKUP($U$1149,'TAR FIN'!$A$1:$O$85,15,0)),0,VLOOKUP($U$1149,'TAR FIN'!$A$1:$O$85,15,0))</f>
        <v>322.54000000000002</v>
      </c>
      <c r="Y1149" s="6"/>
      <c r="Z1149" s="6">
        <f ca="1">('TUSD BE'!$AM$48+'TUSD BF'!$AM$48+'TUSD CVA'!$AM$48)*1</f>
        <v>434.80310925202969</v>
      </c>
      <c r="AA1149" s="6">
        <f>('TE BE'!$AB$38+'TE BF'!$AB$38+'TE CVA'!$AB$38)*1</f>
        <v>319.954086693367</v>
      </c>
      <c r="AB1149" s="6">
        <f>$K$1149*$V$1149</f>
        <v>0</v>
      </c>
      <c r="AC1149" s="6">
        <f>$M$1149*$W$1149</f>
        <v>1654443.9277599999</v>
      </c>
      <c r="AD1149" s="6">
        <f>$O$1149*$X$1149</f>
        <v>1642527.53158</v>
      </c>
      <c r="AE1149" s="6">
        <f>$K$1149*$Y$1149</f>
        <v>0</v>
      </c>
      <c r="AF1149" s="6">
        <f ca="1">$M$1149*$Z$1149</f>
        <v>2214224.8333944483</v>
      </c>
      <c r="AG1149" s="6">
        <f>$O$1149*$AA$1149</f>
        <v>1629358.8275419774</v>
      </c>
    </row>
    <row r="1150" spans="1:33" ht="11.25" customHeight="1" x14ac:dyDescent="0.25">
      <c r="A1150" s="4" t="s">
        <v>27</v>
      </c>
      <c r="B1150" s="4" t="s">
        <v>37</v>
      </c>
      <c r="C1150" s="4" t="s">
        <v>23</v>
      </c>
      <c r="D1150" s="4" t="s">
        <v>41</v>
      </c>
      <c r="E1150" s="4" t="s">
        <v>25</v>
      </c>
      <c r="F1150" s="4" t="s">
        <v>25</v>
      </c>
      <c r="G1150" s="4" t="s">
        <v>25</v>
      </c>
      <c r="H1150" s="4" t="s">
        <v>25</v>
      </c>
      <c r="I1150" s="5">
        <v>44682</v>
      </c>
      <c r="J1150" s="6">
        <v>0</v>
      </c>
      <c r="K1150" s="6">
        <v>0</v>
      </c>
      <c r="L1150" s="6">
        <v>3.82</v>
      </c>
      <c r="M1150" s="6">
        <v>3.82</v>
      </c>
      <c r="N1150" s="6">
        <v>3.82</v>
      </c>
      <c r="O1150" s="6">
        <v>3.82</v>
      </c>
      <c r="P1150" s="6">
        <v>10</v>
      </c>
      <c r="Q1150" s="4" t="s">
        <v>26</v>
      </c>
      <c r="R1150" s="4">
        <v>0</v>
      </c>
      <c r="S1150" s="6">
        <v>0</v>
      </c>
      <c r="T1150" s="6">
        <v>44</v>
      </c>
      <c r="U1150" s="6">
        <v>81</v>
      </c>
      <c r="V1150" s="6">
        <f>IF(ISERROR(VLOOKUP($S$1150,'TAR FIN'!$A$1:$O$85,15,0)),0,VLOOKUP($S$1150,'TAR FIN'!$A$1:$O$85,15,0))</f>
        <v>0</v>
      </c>
      <c r="W1150" s="6">
        <f>IF(ISERROR(VLOOKUP($T$1150,'TAR FIN'!$A$1:$O$85,15,0)),0,VLOOKUP($T$1150,'TAR FIN'!$A$1:$O$85,15,0))</f>
        <v>324.88</v>
      </c>
      <c r="X1150" s="6">
        <f>IF(ISERROR(VLOOKUP($U$1150,'TAR FIN'!$A$1:$O$85,15,0)),0,VLOOKUP($U$1150,'TAR FIN'!$A$1:$O$85,15,0))</f>
        <v>322.54000000000002</v>
      </c>
      <c r="Y1150" s="6"/>
      <c r="Z1150" s="6">
        <f ca="1">('TUSD BE'!$AM$48+'TUSD BF'!$AM$48+'TUSD CVA'!$AM$48)*1</f>
        <v>434.80310925202969</v>
      </c>
      <c r="AA1150" s="6">
        <f>('TE BE'!$AB$38+'TE BF'!$AB$38+'TE CVA'!$AB$38)*1</f>
        <v>319.954086693367</v>
      </c>
      <c r="AB1150" s="6">
        <f>$K$1150*$V$1150</f>
        <v>0</v>
      </c>
      <c r="AC1150" s="6">
        <f>$M$1150*$W$1150</f>
        <v>1241.0416</v>
      </c>
      <c r="AD1150" s="6">
        <f>$O$1150*$X$1150</f>
        <v>1232.1028000000001</v>
      </c>
      <c r="AE1150" s="6">
        <f>$K$1150*$Y$1150</f>
        <v>0</v>
      </c>
      <c r="AF1150" s="6">
        <f ca="1">$M$1150*$Z$1150</f>
        <v>1660.9478773427534</v>
      </c>
      <c r="AG1150" s="6">
        <f>$O$1150*$AA$1150</f>
        <v>1222.2246111686618</v>
      </c>
    </row>
    <row r="1151" spans="1:33" ht="11.25" customHeight="1" x14ac:dyDescent="0.25">
      <c r="A1151" s="4" t="s">
        <v>28</v>
      </c>
      <c r="B1151" s="4" t="s">
        <v>37</v>
      </c>
      <c r="C1151" s="4" t="s">
        <v>23</v>
      </c>
      <c r="D1151" s="4" t="s">
        <v>41</v>
      </c>
      <c r="E1151" s="4" t="s">
        <v>25</v>
      </c>
      <c r="F1151" s="4" t="s">
        <v>25</v>
      </c>
      <c r="G1151" s="4" t="s">
        <v>25</v>
      </c>
      <c r="H1151" s="4" t="s">
        <v>25</v>
      </c>
      <c r="I1151" s="5">
        <v>44682</v>
      </c>
      <c r="J1151" s="6">
        <v>0</v>
      </c>
      <c r="K1151" s="6">
        <v>0</v>
      </c>
      <c r="L1151" s="6">
        <v>221.97</v>
      </c>
      <c r="M1151" s="6">
        <v>221.97</v>
      </c>
      <c r="N1151" s="6">
        <v>221.97</v>
      </c>
      <c r="O1151" s="6">
        <v>221.97</v>
      </c>
      <c r="P1151" s="6">
        <v>452</v>
      </c>
      <c r="Q1151" s="4" t="s">
        <v>26</v>
      </c>
      <c r="R1151" s="4">
        <v>0</v>
      </c>
      <c r="S1151" s="6">
        <v>0</v>
      </c>
      <c r="T1151" s="6">
        <v>44</v>
      </c>
      <c r="U1151" s="6">
        <v>81</v>
      </c>
      <c r="V1151" s="6">
        <f>IF(ISERROR(VLOOKUP($S$1151,'TAR FIN'!$A$1:$O$85,15,0)),0,VLOOKUP($S$1151,'TAR FIN'!$A$1:$O$85,15,0))</f>
        <v>0</v>
      </c>
      <c r="W1151" s="6">
        <f>IF(ISERROR(VLOOKUP($T$1151,'TAR FIN'!$A$1:$O$85,15,0)),0,VLOOKUP($T$1151,'TAR FIN'!$A$1:$O$85,15,0))</f>
        <v>324.88</v>
      </c>
      <c r="X1151" s="6">
        <f>IF(ISERROR(VLOOKUP($U$1151,'TAR FIN'!$A$1:$O$85,15,0)),0,VLOOKUP($U$1151,'TAR FIN'!$A$1:$O$85,15,0))</f>
        <v>322.54000000000002</v>
      </c>
      <c r="Y1151" s="6"/>
      <c r="Z1151" s="6">
        <f ca="1">('TUSD BE'!$AM$48+'TUSD BF'!$AM$48+'TUSD CVA'!$AM$48)*1</f>
        <v>434.80310925202969</v>
      </c>
      <c r="AA1151" s="6">
        <f>('TE BE'!$AB$38+'TE BF'!$AB$38+'TE CVA'!$AB$38)*1</f>
        <v>319.954086693367</v>
      </c>
      <c r="AB1151" s="6">
        <f>$K$1151*$V$1151</f>
        <v>0</v>
      </c>
      <c r="AC1151" s="6">
        <f>$M$1151*$W$1151</f>
        <v>72113.613599999997</v>
      </c>
      <c r="AD1151" s="6">
        <f>$O$1151*$X$1151</f>
        <v>71594.203800000003</v>
      </c>
      <c r="AE1151" s="6">
        <f>$K$1151*$Y$1151</f>
        <v>0</v>
      </c>
      <c r="AF1151" s="6">
        <f ca="1">$M$1151*$Z$1151</f>
        <v>96513.246160673036</v>
      </c>
      <c r="AG1151" s="6">
        <f>$O$1151*$AA$1151</f>
        <v>71020.208623326675</v>
      </c>
    </row>
    <row r="1152" spans="1:33" ht="11.25" customHeight="1" x14ac:dyDescent="0.25">
      <c r="A1152" s="4" t="s">
        <v>28</v>
      </c>
      <c r="B1152" s="4" t="s">
        <v>37</v>
      </c>
      <c r="C1152" s="4" t="s">
        <v>23</v>
      </c>
      <c r="D1152" s="4" t="s">
        <v>41</v>
      </c>
      <c r="E1152" s="4" t="s">
        <v>25</v>
      </c>
      <c r="F1152" s="4" t="s">
        <v>25</v>
      </c>
      <c r="G1152" s="4" t="s">
        <v>25</v>
      </c>
      <c r="H1152" s="4" t="s">
        <v>25</v>
      </c>
      <c r="I1152" s="5">
        <v>44682</v>
      </c>
      <c r="J1152" s="6">
        <v>0</v>
      </c>
      <c r="K1152" s="6">
        <v>0</v>
      </c>
      <c r="L1152" s="6">
        <v>3.2170000000000001</v>
      </c>
      <c r="M1152" s="6">
        <v>3.2170000000000001</v>
      </c>
      <c r="N1152" s="6">
        <v>3.2170000000000001</v>
      </c>
      <c r="O1152" s="6">
        <v>3.2170000000000001</v>
      </c>
      <c r="P1152" s="6">
        <v>-1</v>
      </c>
      <c r="Q1152" s="4" t="s">
        <v>26</v>
      </c>
      <c r="R1152" s="4">
        <v>0</v>
      </c>
      <c r="S1152" s="6">
        <v>0</v>
      </c>
      <c r="T1152" s="6">
        <v>44</v>
      </c>
      <c r="U1152" s="6">
        <v>81</v>
      </c>
      <c r="V1152" s="6">
        <f>IF(ISERROR(VLOOKUP($S$1152,'TAR FIN'!$A$1:$O$85,15,0)),0,VLOOKUP($S$1152,'TAR FIN'!$A$1:$O$85,15,0))</f>
        <v>0</v>
      </c>
      <c r="W1152" s="6">
        <f>IF(ISERROR(VLOOKUP($T$1152,'TAR FIN'!$A$1:$O$85,15,0)),0,VLOOKUP($T$1152,'TAR FIN'!$A$1:$O$85,15,0))</f>
        <v>324.88</v>
      </c>
      <c r="X1152" s="6">
        <f>IF(ISERROR(VLOOKUP($U$1152,'TAR FIN'!$A$1:$O$85,15,0)),0,VLOOKUP($U$1152,'TAR FIN'!$A$1:$O$85,15,0))</f>
        <v>322.54000000000002</v>
      </c>
      <c r="Y1152" s="6"/>
      <c r="Z1152" s="6">
        <f ca="1">('TUSD BE'!$AM$48+'TUSD BF'!$AM$48+'TUSD CVA'!$AM$48)*1</f>
        <v>434.80310925202969</v>
      </c>
      <c r="AA1152" s="6">
        <f>('TE BE'!$AB$38+'TE BF'!$AB$38+'TE CVA'!$AB$38)*1</f>
        <v>319.954086693367</v>
      </c>
      <c r="AB1152" s="6">
        <f>$K$1152*$V$1152</f>
        <v>0</v>
      </c>
      <c r="AC1152" s="6">
        <f>$M$1152*$W$1152</f>
        <v>1045.13896</v>
      </c>
      <c r="AD1152" s="6">
        <f>$O$1152*$X$1152</f>
        <v>1037.6111800000001</v>
      </c>
      <c r="AE1152" s="6">
        <f>$K$1152*$Y$1152</f>
        <v>0</v>
      </c>
      <c r="AF1152" s="6">
        <f ca="1">$M$1152*$Z$1152</f>
        <v>1398.7616024637796</v>
      </c>
      <c r="AG1152" s="6">
        <f>$O$1152*$AA$1152</f>
        <v>1029.2922968925616</v>
      </c>
    </row>
    <row r="1153" spans="1:33" ht="11.25" customHeight="1" x14ac:dyDescent="0.25">
      <c r="A1153" s="4" t="s">
        <v>21</v>
      </c>
      <c r="B1153" s="4" t="s">
        <v>37</v>
      </c>
      <c r="C1153" s="4" t="s">
        <v>23</v>
      </c>
      <c r="D1153" s="4" t="s">
        <v>41</v>
      </c>
      <c r="E1153" s="4" t="s">
        <v>25</v>
      </c>
      <c r="F1153" s="4" t="s">
        <v>25</v>
      </c>
      <c r="G1153" s="4" t="s">
        <v>25</v>
      </c>
      <c r="H1153" s="4" t="s">
        <v>25</v>
      </c>
      <c r="I1153" s="5">
        <v>44713</v>
      </c>
      <c r="J1153" s="6">
        <v>0</v>
      </c>
      <c r="K1153" s="6">
        <v>0</v>
      </c>
      <c r="L1153" s="6">
        <v>4442.8969999999999</v>
      </c>
      <c r="M1153" s="6">
        <v>4442.8969999999999</v>
      </c>
      <c r="N1153" s="6">
        <v>4442.8969999999999</v>
      </c>
      <c r="O1153" s="6">
        <v>4442.8969999999999</v>
      </c>
      <c r="P1153" s="6">
        <v>9135</v>
      </c>
      <c r="Q1153" s="4" t="s">
        <v>26</v>
      </c>
      <c r="R1153" s="4">
        <v>0</v>
      </c>
      <c r="S1153" s="6">
        <v>0</v>
      </c>
      <c r="T1153" s="6">
        <v>44</v>
      </c>
      <c r="U1153" s="6">
        <v>81</v>
      </c>
      <c r="V1153" s="6">
        <f>IF(ISERROR(VLOOKUP($S$1153,'TAR FIN'!$A$1:$O$85,15,0)),0,VLOOKUP($S$1153,'TAR FIN'!$A$1:$O$85,15,0))</f>
        <v>0</v>
      </c>
      <c r="W1153" s="6">
        <f>IF(ISERROR(VLOOKUP($T$1153,'TAR FIN'!$A$1:$O$85,15,0)),0,VLOOKUP($T$1153,'TAR FIN'!$A$1:$O$85,15,0))</f>
        <v>324.88</v>
      </c>
      <c r="X1153" s="6">
        <f>IF(ISERROR(VLOOKUP($U$1153,'TAR FIN'!$A$1:$O$85,15,0)),0,VLOOKUP($U$1153,'TAR FIN'!$A$1:$O$85,15,0))</f>
        <v>322.54000000000002</v>
      </c>
      <c r="Y1153" s="6"/>
      <c r="Z1153" s="6">
        <f ca="1">('TUSD BE'!$AM$48+'TUSD BF'!$AM$48+'TUSD CVA'!$AM$48)*1</f>
        <v>434.80310925202969</v>
      </c>
      <c r="AA1153" s="6">
        <f>('TE BE'!$AB$38+'TE BF'!$AB$38+'TE CVA'!$AB$38)*1</f>
        <v>319.954086693367</v>
      </c>
      <c r="AB1153" s="6">
        <f>$K$1153*$V$1153</f>
        <v>0</v>
      </c>
      <c r="AC1153" s="6">
        <f>$M$1153*$W$1153</f>
        <v>1443408.37736</v>
      </c>
      <c r="AD1153" s="6">
        <f>$O$1153*$X$1153</f>
        <v>1433011.99838</v>
      </c>
      <c r="AE1153" s="6">
        <f>$K$1153*$Y$1153</f>
        <v>0</v>
      </c>
      <c r="AF1153" s="6">
        <f ca="1">$M$1153*$Z$1153</f>
        <v>1931785.4296865149</v>
      </c>
      <c r="AG1153" s="6">
        <f>$O$1153*$AA$1153</f>
        <v>1421523.0519077003</v>
      </c>
    </row>
    <row r="1154" spans="1:33" ht="11.25" customHeight="1" x14ac:dyDescent="0.25">
      <c r="A1154" s="4" t="s">
        <v>27</v>
      </c>
      <c r="B1154" s="4" t="s">
        <v>37</v>
      </c>
      <c r="C1154" s="4" t="s">
        <v>23</v>
      </c>
      <c r="D1154" s="4" t="s">
        <v>41</v>
      </c>
      <c r="E1154" s="4" t="s">
        <v>25</v>
      </c>
      <c r="F1154" s="4" t="s">
        <v>25</v>
      </c>
      <c r="G1154" s="4" t="s">
        <v>25</v>
      </c>
      <c r="H1154" s="4" t="s">
        <v>25</v>
      </c>
      <c r="I1154" s="5">
        <v>44713</v>
      </c>
      <c r="J1154" s="6">
        <v>0</v>
      </c>
      <c r="K1154" s="6">
        <v>0</v>
      </c>
      <c r="L1154" s="6">
        <v>1.2090000000000001</v>
      </c>
      <c r="M1154" s="6">
        <v>1.2090000000000001</v>
      </c>
      <c r="N1154" s="6">
        <v>1.2090000000000001</v>
      </c>
      <c r="O1154" s="6">
        <v>1.2090000000000001</v>
      </c>
      <c r="P1154" s="6">
        <v>8</v>
      </c>
      <c r="Q1154" s="4" t="s">
        <v>26</v>
      </c>
      <c r="R1154" s="4">
        <v>0</v>
      </c>
      <c r="S1154" s="6">
        <v>0</v>
      </c>
      <c r="T1154" s="6">
        <v>44</v>
      </c>
      <c r="U1154" s="6">
        <v>81</v>
      </c>
      <c r="V1154" s="6">
        <f>IF(ISERROR(VLOOKUP($S$1154,'TAR FIN'!$A$1:$O$85,15,0)),0,VLOOKUP($S$1154,'TAR FIN'!$A$1:$O$85,15,0))</f>
        <v>0</v>
      </c>
      <c r="W1154" s="6">
        <f>IF(ISERROR(VLOOKUP($T$1154,'TAR FIN'!$A$1:$O$85,15,0)),0,VLOOKUP($T$1154,'TAR FIN'!$A$1:$O$85,15,0))</f>
        <v>324.88</v>
      </c>
      <c r="X1154" s="6">
        <f>IF(ISERROR(VLOOKUP($U$1154,'TAR FIN'!$A$1:$O$85,15,0)),0,VLOOKUP($U$1154,'TAR FIN'!$A$1:$O$85,15,0))</f>
        <v>322.54000000000002</v>
      </c>
      <c r="Y1154" s="6"/>
      <c r="Z1154" s="6">
        <f ca="1">('TUSD BE'!$AM$48+'TUSD BF'!$AM$48+'TUSD CVA'!$AM$48)*1</f>
        <v>434.80310925202969</v>
      </c>
      <c r="AA1154" s="6">
        <f>('TE BE'!$AB$38+'TE BF'!$AB$38+'TE CVA'!$AB$38)*1</f>
        <v>319.954086693367</v>
      </c>
      <c r="AB1154" s="6">
        <f>$K$1154*$V$1154</f>
        <v>0</v>
      </c>
      <c r="AC1154" s="6">
        <f>$M$1154*$W$1154</f>
        <v>392.77992</v>
      </c>
      <c r="AD1154" s="6">
        <f>$O$1154*$X$1154</f>
        <v>389.95086000000003</v>
      </c>
      <c r="AE1154" s="6">
        <f>$K$1154*$Y$1154</f>
        <v>0</v>
      </c>
      <c r="AF1154" s="6">
        <f ca="1">$M$1154*$Z$1154</f>
        <v>525.67695908570397</v>
      </c>
      <c r="AG1154" s="6">
        <f>$O$1154*$AA$1154</f>
        <v>386.82449081228071</v>
      </c>
    </row>
    <row r="1155" spans="1:33" ht="11.25" customHeight="1" x14ac:dyDescent="0.25">
      <c r="A1155" s="4" t="s">
        <v>28</v>
      </c>
      <c r="B1155" s="4" t="s">
        <v>37</v>
      </c>
      <c r="C1155" s="4" t="s">
        <v>23</v>
      </c>
      <c r="D1155" s="4" t="s">
        <v>41</v>
      </c>
      <c r="E1155" s="4" t="s">
        <v>25</v>
      </c>
      <c r="F1155" s="4" t="s">
        <v>25</v>
      </c>
      <c r="G1155" s="4" t="s">
        <v>25</v>
      </c>
      <c r="H1155" s="4" t="s">
        <v>25</v>
      </c>
      <c r="I1155" s="5">
        <v>44713</v>
      </c>
      <c r="J1155" s="6">
        <v>0</v>
      </c>
      <c r="K1155" s="6">
        <v>0</v>
      </c>
      <c r="L1155" s="6">
        <v>204.15100000000001</v>
      </c>
      <c r="M1155" s="6">
        <v>204.15100000000001</v>
      </c>
      <c r="N1155" s="6">
        <v>204.15100000000001</v>
      </c>
      <c r="O1155" s="6">
        <v>204.15100000000001</v>
      </c>
      <c r="P1155" s="6">
        <v>488</v>
      </c>
      <c r="Q1155" s="4" t="s">
        <v>26</v>
      </c>
      <c r="R1155" s="4">
        <v>0</v>
      </c>
      <c r="S1155" s="6">
        <v>0</v>
      </c>
      <c r="T1155" s="6">
        <v>44</v>
      </c>
      <c r="U1155" s="6">
        <v>81</v>
      </c>
      <c r="V1155" s="6">
        <f>IF(ISERROR(VLOOKUP($S$1155,'TAR FIN'!$A$1:$O$85,15,0)),0,VLOOKUP($S$1155,'TAR FIN'!$A$1:$O$85,15,0))</f>
        <v>0</v>
      </c>
      <c r="W1155" s="6">
        <f>IF(ISERROR(VLOOKUP($T$1155,'TAR FIN'!$A$1:$O$85,15,0)),0,VLOOKUP($T$1155,'TAR FIN'!$A$1:$O$85,15,0))</f>
        <v>324.88</v>
      </c>
      <c r="X1155" s="6">
        <f>IF(ISERROR(VLOOKUP($U$1155,'TAR FIN'!$A$1:$O$85,15,0)),0,VLOOKUP($U$1155,'TAR FIN'!$A$1:$O$85,15,0))</f>
        <v>322.54000000000002</v>
      </c>
      <c r="Y1155" s="6"/>
      <c r="Z1155" s="6">
        <f ca="1">('TUSD BE'!$AM$48+'TUSD BF'!$AM$48+'TUSD CVA'!$AM$48)*1</f>
        <v>434.80310925202969</v>
      </c>
      <c r="AA1155" s="6">
        <f>('TE BE'!$AB$38+'TE BF'!$AB$38+'TE CVA'!$AB$38)*1</f>
        <v>319.954086693367</v>
      </c>
      <c r="AB1155" s="6">
        <f>$K$1155*$V$1155</f>
        <v>0</v>
      </c>
      <c r="AC1155" s="6">
        <f>$M$1155*$W$1155</f>
        <v>66324.576880000008</v>
      </c>
      <c r="AD1155" s="6">
        <f>$O$1155*$X$1155</f>
        <v>65846.863540000006</v>
      </c>
      <c r="AE1155" s="6">
        <f>$K$1155*$Y$1155</f>
        <v>0</v>
      </c>
      <c r="AF1155" s="6">
        <f ca="1">$M$1155*$Z$1155</f>
        <v>88765.48955691111</v>
      </c>
      <c r="AG1155" s="6">
        <f>$O$1155*$AA$1155</f>
        <v>65318.946752537573</v>
      </c>
    </row>
    <row r="1156" spans="1:33" ht="11.25" customHeight="1" x14ac:dyDescent="0.25">
      <c r="A1156" s="4" t="s">
        <v>21</v>
      </c>
      <c r="B1156" s="4" t="s">
        <v>37</v>
      </c>
      <c r="C1156" s="4" t="s">
        <v>23</v>
      </c>
      <c r="D1156" s="4" t="s">
        <v>41</v>
      </c>
      <c r="E1156" s="4" t="s">
        <v>25</v>
      </c>
      <c r="F1156" s="4" t="s">
        <v>25</v>
      </c>
      <c r="G1156" s="4" t="s">
        <v>25</v>
      </c>
      <c r="H1156" s="4" t="s">
        <v>25</v>
      </c>
      <c r="I1156" s="5">
        <v>44743</v>
      </c>
      <c r="J1156" s="6">
        <v>0</v>
      </c>
      <c r="K1156" s="6">
        <v>0</v>
      </c>
      <c r="L1156" s="6">
        <v>3945.2559999999999</v>
      </c>
      <c r="M1156" s="6">
        <v>3945.2559999999999</v>
      </c>
      <c r="N1156" s="6">
        <v>3945.2559999999999</v>
      </c>
      <c r="O1156" s="6">
        <v>3945.2559999999999</v>
      </c>
      <c r="P1156" s="6">
        <v>9134</v>
      </c>
      <c r="Q1156" s="4" t="s">
        <v>26</v>
      </c>
      <c r="R1156" s="4">
        <v>0</v>
      </c>
      <c r="S1156" s="6">
        <v>0</v>
      </c>
      <c r="T1156" s="6">
        <v>44</v>
      </c>
      <c r="U1156" s="6">
        <v>81</v>
      </c>
      <c r="V1156" s="6">
        <f>IF(ISERROR(VLOOKUP($S$1156,'TAR FIN'!$A$1:$O$85,15,0)),0,VLOOKUP($S$1156,'TAR FIN'!$A$1:$O$85,15,0))</f>
        <v>0</v>
      </c>
      <c r="W1156" s="6">
        <f>IF(ISERROR(VLOOKUP($T$1156,'TAR FIN'!$A$1:$O$85,15,0)),0,VLOOKUP($T$1156,'TAR FIN'!$A$1:$O$85,15,0))</f>
        <v>324.88</v>
      </c>
      <c r="X1156" s="6">
        <f>IF(ISERROR(VLOOKUP($U$1156,'TAR FIN'!$A$1:$O$85,15,0)),0,VLOOKUP($U$1156,'TAR FIN'!$A$1:$O$85,15,0))</f>
        <v>322.54000000000002</v>
      </c>
      <c r="Y1156" s="6"/>
      <c r="Z1156" s="6">
        <f ca="1">('TUSD BE'!$AM$48+'TUSD BF'!$AM$48+'TUSD CVA'!$AM$48)*1</f>
        <v>434.80310925202969</v>
      </c>
      <c r="AA1156" s="6">
        <f>('TE BE'!$AB$38+'TE BF'!$AB$38+'TE CVA'!$AB$38)*1</f>
        <v>319.954086693367</v>
      </c>
      <c r="AB1156" s="6">
        <f>$K$1156*$V$1156</f>
        <v>0</v>
      </c>
      <c r="AC1156" s="6">
        <f>$M$1156*$W$1156</f>
        <v>1281734.7692799999</v>
      </c>
      <c r="AD1156" s="6">
        <f>$O$1156*$X$1156</f>
        <v>1272502.8702400001</v>
      </c>
      <c r="AE1156" s="6">
        <f>$K$1156*$Y$1156</f>
        <v>0</v>
      </c>
      <c r="AF1156" s="6">
        <f ca="1">$M$1156*$Z$1156</f>
        <v>1715409.5755952257</v>
      </c>
      <c r="AG1156" s="6">
        <f>$O$1156*$AA$1156</f>
        <v>1262300.7802515263</v>
      </c>
    </row>
    <row r="1157" spans="1:33" ht="11.25" customHeight="1" x14ac:dyDescent="0.25">
      <c r="A1157" s="4" t="s">
        <v>27</v>
      </c>
      <c r="B1157" s="4" t="s">
        <v>37</v>
      </c>
      <c r="C1157" s="4" t="s">
        <v>23</v>
      </c>
      <c r="D1157" s="4" t="s">
        <v>41</v>
      </c>
      <c r="E1157" s="4" t="s">
        <v>25</v>
      </c>
      <c r="F1157" s="4" t="s">
        <v>25</v>
      </c>
      <c r="G1157" s="4" t="s">
        <v>25</v>
      </c>
      <c r="H1157" s="4" t="s">
        <v>25</v>
      </c>
      <c r="I1157" s="5">
        <v>44743</v>
      </c>
      <c r="J1157" s="6">
        <v>0</v>
      </c>
      <c r="K1157" s="6">
        <v>0</v>
      </c>
      <c r="L1157" s="6">
        <v>4.633</v>
      </c>
      <c r="M1157" s="6">
        <v>4.633</v>
      </c>
      <c r="N1157" s="6">
        <v>4.633</v>
      </c>
      <c r="O1157" s="6">
        <v>4.633</v>
      </c>
      <c r="P1157" s="6">
        <v>9</v>
      </c>
      <c r="Q1157" s="4" t="s">
        <v>26</v>
      </c>
      <c r="R1157" s="4">
        <v>0</v>
      </c>
      <c r="S1157" s="6">
        <v>0</v>
      </c>
      <c r="T1157" s="6">
        <v>44</v>
      </c>
      <c r="U1157" s="6">
        <v>81</v>
      </c>
      <c r="V1157" s="6">
        <f>IF(ISERROR(VLOOKUP($S$1157,'TAR FIN'!$A$1:$O$85,15,0)),0,VLOOKUP($S$1157,'TAR FIN'!$A$1:$O$85,15,0))</f>
        <v>0</v>
      </c>
      <c r="W1157" s="6">
        <f>IF(ISERROR(VLOOKUP($T$1157,'TAR FIN'!$A$1:$O$85,15,0)),0,VLOOKUP($T$1157,'TAR FIN'!$A$1:$O$85,15,0))</f>
        <v>324.88</v>
      </c>
      <c r="X1157" s="6">
        <f>IF(ISERROR(VLOOKUP($U$1157,'TAR FIN'!$A$1:$O$85,15,0)),0,VLOOKUP($U$1157,'TAR FIN'!$A$1:$O$85,15,0))</f>
        <v>322.54000000000002</v>
      </c>
      <c r="Y1157" s="6"/>
      <c r="Z1157" s="6">
        <f ca="1">('TUSD BE'!$AM$48+'TUSD BF'!$AM$48+'TUSD CVA'!$AM$48)*1</f>
        <v>434.80310925202969</v>
      </c>
      <c r="AA1157" s="6">
        <f>('TE BE'!$AB$38+'TE BF'!$AB$38+'TE CVA'!$AB$38)*1</f>
        <v>319.954086693367</v>
      </c>
      <c r="AB1157" s="6">
        <f>$K$1157*$V$1157</f>
        <v>0</v>
      </c>
      <c r="AC1157" s="6">
        <f>$M$1157*$W$1157</f>
        <v>1505.16904</v>
      </c>
      <c r="AD1157" s="6">
        <f>$O$1157*$X$1157</f>
        <v>1494.3278200000002</v>
      </c>
      <c r="AE1157" s="6">
        <f>$K$1157*$Y$1157</f>
        <v>0</v>
      </c>
      <c r="AF1157" s="6">
        <f ca="1">$M$1157*$Z$1157</f>
        <v>2014.4428051646535</v>
      </c>
      <c r="AG1157" s="6">
        <f>$O$1157*$AA$1157</f>
        <v>1482.3472836503693</v>
      </c>
    </row>
    <row r="1158" spans="1:33" ht="11.25" customHeight="1" x14ac:dyDescent="0.25">
      <c r="A1158" s="4" t="s">
        <v>28</v>
      </c>
      <c r="B1158" s="4" t="s">
        <v>37</v>
      </c>
      <c r="C1158" s="4" t="s">
        <v>23</v>
      </c>
      <c r="D1158" s="4" t="s">
        <v>41</v>
      </c>
      <c r="E1158" s="4" t="s">
        <v>25</v>
      </c>
      <c r="F1158" s="4" t="s">
        <v>25</v>
      </c>
      <c r="G1158" s="4" t="s">
        <v>25</v>
      </c>
      <c r="H1158" s="4" t="s">
        <v>25</v>
      </c>
      <c r="I1158" s="5">
        <v>44743</v>
      </c>
      <c r="J1158" s="6">
        <v>0</v>
      </c>
      <c r="K1158" s="6">
        <v>0</v>
      </c>
      <c r="L1158" s="6">
        <v>227.71199999999999</v>
      </c>
      <c r="M1158" s="6">
        <v>227.71199999999999</v>
      </c>
      <c r="N1158" s="6">
        <v>227.71199999999999</v>
      </c>
      <c r="O1158" s="6">
        <v>227.71199999999999</v>
      </c>
      <c r="P1158" s="6">
        <v>502</v>
      </c>
      <c r="Q1158" s="4" t="s">
        <v>26</v>
      </c>
      <c r="R1158" s="4">
        <v>0</v>
      </c>
      <c r="S1158" s="6">
        <v>0</v>
      </c>
      <c r="T1158" s="6">
        <v>44</v>
      </c>
      <c r="U1158" s="6">
        <v>81</v>
      </c>
      <c r="V1158" s="6">
        <f>IF(ISERROR(VLOOKUP($S$1158,'TAR FIN'!$A$1:$O$85,15,0)),0,VLOOKUP($S$1158,'TAR FIN'!$A$1:$O$85,15,0))</f>
        <v>0</v>
      </c>
      <c r="W1158" s="6">
        <f>IF(ISERROR(VLOOKUP($T$1158,'TAR FIN'!$A$1:$O$85,15,0)),0,VLOOKUP($T$1158,'TAR FIN'!$A$1:$O$85,15,0))</f>
        <v>324.88</v>
      </c>
      <c r="X1158" s="6">
        <f>IF(ISERROR(VLOOKUP($U$1158,'TAR FIN'!$A$1:$O$85,15,0)),0,VLOOKUP($U$1158,'TAR FIN'!$A$1:$O$85,15,0))</f>
        <v>322.54000000000002</v>
      </c>
      <c r="Y1158" s="6"/>
      <c r="Z1158" s="6">
        <f ca="1">('TUSD BE'!$AM$48+'TUSD BF'!$AM$48+'TUSD CVA'!$AM$48)*1</f>
        <v>434.80310925202969</v>
      </c>
      <c r="AA1158" s="6">
        <f>('TE BE'!$AB$38+'TE BF'!$AB$38+'TE CVA'!$AB$38)*1</f>
        <v>319.954086693367</v>
      </c>
      <c r="AB1158" s="6">
        <f>$K$1158*$V$1158</f>
        <v>0</v>
      </c>
      <c r="AC1158" s="6">
        <f>$M$1158*$W$1158</f>
        <v>73979.074559999994</v>
      </c>
      <c r="AD1158" s="6">
        <f>$O$1158*$X$1158</f>
        <v>73446.228480000005</v>
      </c>
      <c r="AE1158" s="6">
        <f>$K$1158*$Y$1158</f>
        <v>0</v>
      </c>
      <c r="AF1158" s="6">
        <f ca="1">$M$1158*$Z$1158</f>
        <v>99009.88561399818</v>
      </c>
      <c r="AG1158" s="6">
        <f>$O$1158*$AA$1158</f>
        <v>72857.384989119979</v>
      </c>
    </row>
    <row r="1159" spans="1:33" ht="11.25" customHeight="1" x14ac:dyDescent="0.25">
      <c r="A1159" s="4" t="s">
        <v>56</v>
      </c>
      <c r="B1159" s="4" t="s">
        <v>37</v>
      </c>
      <c r="C1159" s="4" t="s">
        <v>23</v>
      </c>
      <c r="D1159" s="4" t="s">
        <v>41</v>
      </c>
      <c r="E1159" s="4" t="s">
        <v>25</v>
      </c>
      <c r="F1159" s="4" t="s">
        <v>25</v>
      </c>
      <c r="G1159" s="4" t="s">
        <v>25</v>
      </c>
      <c r="H1159" s="4" t="s">
        <v>25</v>
      </c>
      <c r="I1159" s="5">
        <v>44774</v>
      </c>
      <c r="J1159" s="6">
        <v>0</v>
      </c>
      <c r="K1159" s="6">
        <v>0</v>
      </c>
      <c r="L1159" s="6">
        <v>3945.2559999999999</v>
      </c>
      <c r="M1159" s="6">
        <v>3945.2559999999999</v>
      </c>
      <c r="N1159" s="6">
        <v>3945.2559999999999</v>
      </c>
      <c r="O1159" s="6">
        <v>3945.2559999999999</v>
      </c>
      <c r="P1159" s="6">
        <v>9134</v>
      </c>
      <c r="Q1159" s="4" t="s">
        <v>26</v>
      </c>
      <c r="R1159" s="4">
        <v>0</v>
      </c>
      <c r="S1159" s="6">
        <v>0</v>
      </c>
      <c r="T1159" s="6">
        <v>44</v>
      </c>
      <c r="U1159" s="6">
        <v>81</v>
      </c>
      <c r="V1159" s="6">
        <f>IF(ISERROR(VLOOKUP($S$1159,'TAR FIN'!$A$1:$O$85,15,0)),0,VLOOKUP($S$1159,'TAR FIN'!$A$1:$O$85,15,0))</f>
        <v>0</v>
      </c>
      <c r="W1159" s="6">
        <f>IF(ISERROR(VLOOKUP($T$1159,'TAR FIN'!$A$1:$O$85,15,0)),0,VLOOKUP($T$1159,'TAR FIN'!$A$1:$O$85,15,0))</f>
        <v>324.88</v>
      </c>
      <c r="X1159" s="6">
        <f>IF(ISERROR(VLOOKUP($U$1159,'TAR FIN'!$A$1:$O$85,15,0)),0,VLOOKUP($U$1159,'TAR FIN'!$A$1:$O$85,15,0))</f>
        <v>322.54000000000002</v>
      </c>
      <c r="Y1159" s="6"/>
      <c r="Z1159" s="6">
        <f ca="1">('TUSD BE'!$AM$48+'TUSD BF'!$AM$48+'TUSD CVA'!$AM$48)*1</f>
        <v>434.80310925202969</v>
      </c>
      <c r="AA1159" s="6">
        <f>('TE BE'!$AB$38+'TE BF'!$AB$38+'TE CVA'!$AB$38)*1</f>
        <v>319.954086693367</v>
      </c>
      <c r="AB1159" s="6">
        <f>$K$1159*$V$1159</f>
        <v>0</v>
      </c>
      <c r="AC1159" s="6">
        <f>$M$1159*$W$1159</f>
        <v>1281734.7692799999</v>
      </c>
      <c r="AD1159" s="6">
        <f>$O$1159*$X$1159</f>
        <v>1272502.8702400001</v>
      </c>
      <c r="AE1159" s="6">
        <f>$K$1159*$Y$1159</f>
        <v>0</v>
      </c>
      <c r="AF1159" s="6">
        <f ca="1">$M$1159*$Z$1159</f>
        <v>1715409.5755952257</v>
      </c>
      <c r="AG1159" s="6">
        <f>$O$1159*$AA$1159</f>
        <v>1262300.7802515263</v>
      </c>
    </row>
    <row r="1160" spans="1:33" ht="11.25" customHeight="1" x14ac:dyDescent="0.25">
      <c r="A1160" s="4" t="s">
        <v>56</v>
      </c>
      <c r="B1160" s="4" t="s">
        <v>37</v>
      </c>
      <c r="C1160" s="4" t="s">
        <v>23</v>
      </c>
      <c r="D1160" s="4" t="s">
        <v>41</v>
      </c>
      <c r="E1160" s="4" t="s">
        <v>25</v>
      </c>
      <c r="F1160" s="4" t="s">
        <v>25</v>
      </c>
      <c r="G1160" s="4" t="s">
        <v>25</v>
      </c>
      <c r="H1160" s="4" t="s">
        <v>25</v>
      </c>
      <c r="I1160" s="5">
        <v>44774</v>
      </c>
      <c r="J1160" s="6">
        <v>0</v>
      </c>
      <c r="K1160" s="6">
        <v>0</v>
      </c>
      <c r="L1160" s="6">
        <v>4.633</v>
      </c>
      <c r="M1160" s="6">
        <v>4.633</v>
      </c>
      <c r="N1160" s="6">
        <v>4.633</v>
      </c>
      <c r="O1160" s="6">
        <v>4.633</v>
      </c>
      <c r="P1160" s="6">
        <v>9</v>
      </c>
      <c r="Q1160" s="4" t="s">
        <v>26</v>
      </c>
      <c r="R1160" s="4">
        <v>0</v>
      </c>
      <c r="S1160" s="6">
        <v>0</v>
      </c>
      <c r="T1160" s="6">
        <v>44</v>
      </c>
      <c r="U1160" s="6">
        <v>81</v>
      </c>
      <c r="V1160" s="6">
        <f>IF(ISERROR(VLOOKUP($S$1160,'TAR FIN'!$A$1:$O$85,15,0)),0,VLOOKUP($S$1160,'TAR FIN'!$A$1:$O$85,15,0))</f>
        <v>0</v>
      </c>
      <c r="W1160" s="6">
        <f>IF(ISERROR(VLOOKUP($T$1160,'TAR FIN'!$A$1:$O$85,15,0)),0,VLOOKUP($T$1160,'TAR FIN'!$A$1:$O$85,15,0))</f>
        <v>324.88</v>
      </c>
      <c r="X1160" s="6">
        <f>IF(ISERROR(VLOOKUP($U$1160,'TAR FIN'!$A$1:$O$85,15,0)),0,VLOOKUP($U$1160,'TAR FIN'!$A$1:$O$85,15,0))</f>
        <v>322.54000000000002</v>
      </c>
      <c r="Y1160" s="6"/>
      <c r="Z1160" s="6">
        <f ca="1">('TUSD BE'!$AM$48+'TUSD BF'!$AM$48+'TUSD CVA'!$AM$48)*1</f>
        <v>434.80310925202969</v>
      </c>
      <c r="AA1160" s="6">
        <f>('TE BE'!$AB$38+'TE BF'!$AB$38+'TE CVA'!$AB$38)*1</f>
        <v>319.954086693367</v>
      </c>
      <c r="AB1160" s="6">
        <f>$K$1160*$V$1160</f>
        <v>0</v>
      </c>
      <c r="AC1160" s="6">
        <f>$M$1160*$W$1160</f>
        <v>1505.16904</v>
      </c>
      <c r="AD1160" s="6">
        <f>$O$1160*$X$1160</f>
        <v>1494.3278200000002</v>
      </c>
      <c r="AE1160" s="6">
        <f>$K$1160*$Y$1160</f>
        <v>0</v>
      </c>
      <c r="AF1160" s="6">
        <f ca="1">$M$1160*$Z$1160</f>
        <v>2014.4428051646535</v>
      </c>
      <c r="AG1160" s="6">
        <f>$O$1160*$AA$1160</f>
        <v>1482.3472836503693</v>
      </c>
    </row>
    <row r="1161" spans="1:33" ht="11.25" customHeight="1" x14ac:dyDescent="0.25">
      <c r="A1161" s="4" t="s">
        <v>56</v>
      </c>
      <c r="B1161" s="4" t="s">
        <v>37</v>
      </c>
      <c r="C1161" s="4" t="s">
        <v>23</v>
      </c>
      <c r="D1161" s="4" t="s">
        <v>41</v>
      </c>
      <c r="E1161" s="4" t="s">
        <v>25</v>
      </c>
      <c r="F1161" s="4" t="s">
        <v>25</v>
      </c>
      <c r="G1161" s="4" t="s">
        <v>25</v>
      </c>
      <c r="H1161" s="4" t="s">
        <v>25</v>
      </c>
      <c r="I1161" s="5">
        <v>44774</v>
      </c>
      <c r="J1161" s="6">
        <v>0</v>
      </c>
      <c r="K1161" s="6">
        <v>0</v>
      </c>
      <c r="L1161" s="6">
        <v>227.71199999999999</v>
      </c>
      <c r="M1161" s="6">
        <v>227.71199999999999</v>
      </c>
      <c r="N1161" s="6">
        <v>227.71199999999999</v>
      </c>
      <c r="O1161" s="6">
        <v>227.71199999999999</v>
      </c>
      <c r="P1161" s="6">
        <v>502</v>
      </c>
      <c r="Q1161" s="4" t="s">
        <v>26</v>
      </c>
      <c r="R1161" s="4">
        <v>0</v>
      </c>
      <c r="S1161" s="6">
        <v>0</v>
      </c>
      <c r="T1161" s="6">
        <v>44</v>
      </c>
      <c r="U1161" s="6">
        <v>81</v>
      </c>
      <c r="V1161" s="6">
        <f>IF(ISERROR(VLOOKUP($S$1161,'TAR FIN'!$A$1:$O$85,15,0)),0,VLOOKUP($S$1161,'TAR FIN'!$A$1:$O$85,15,0))</f>
        <v>0</v>
      </c>
      <c r="W1161" s="6">
        <f>IF(ISERROR(VLOOKUP($T$1161,'TAR FIN'!$A$1:$O$85,15,0)),0,VLOOKUP($T$1161,'TAR FIN'!$A$1:$O$85,15,0))</f>
        <v>324.88</v>
      </c>
      <c r="X1161" s="6">
        <f>IF(ISERROR(VLOOKUP($U$1161,'TAR FIN'!$A$1:$O$85,15,0)),0,VLOOKUP($U$1161,'TAR FIN'!$A$1:$O$85,15,0))</f>
        <v>322.54000000000002</v>
      </c>
      <c r="Y1161" s="6"/>
      <c r="Z1161" s="6">
        <f ca="1">('TUSD BE'!$AM$48+'TUSD BF'!$AM$48+'TUSD CVA'!$AM$48)*1</f>
        <v>434.80310925202969</v>
      </c>
      <c r="AA1161" s="6">
        <f>('TE BE'!$AB$38+'TE BF'!$AB$38+'TE CVA'!$AB$38)*1</f>
        <v>319.954086693367</v>
      </c>
      <c r="AB1161" s="6">
        <f>$K$1161*$V$1161</f>
        <v>0</v>
      </c>
      <c r="AC1161" s="6">
        <f>$M$1161*$W$1161</f>
        <v>73979.074559999994</v>
      </c>
      <c r="AD1161" s="6">
        <f>$O$1161*$X$1161</f>
        <v>73446.228480000005</v>
      </c>
      <c r="AE1161" s="6">
        <f>$K$1161*$Y$1161</f>
        <v>0</v>
      </c>
      <c r="AF1161" s="6">
        <f ca="1">$M$1161*$Z$1161</f>
        <v>99009.88561399818</v>
      </c>
      <c r="AG1161" s="6">
        <f>$O$1161*$AA$1161</f>
        <v>72857.384989119979</v>
      </c>
    </row>
    <row r="1162" spans="1:33" ht="11.25" customHeight="1" x14ac:dyDescent="0.25">
      <c r="A1162" s="4" t="s">
        <v>21</v>
      </c>
      <c r="B1162" s="4" t="s">
        <v>37</v>
      </c>
      <c r="C1162" s="4" t="s">
        <v>23</v>
      </c>
      <c r="D1162" s="4" t="s">
        <v>51</v>
      </c>
      <c r="E1162" s="4" t="s">
        <v>25</v>
      </c>
      <c r="F1162" s="4" t="s">
        <v>25</v>
      </c>
      <c r="G1162" s="4" t="s">
        <v>25</v>
      </c>
      <c r="H1162" s="4" t="s">
        <v>25</v>
      </c>
      <c r="I1162" s="5">
        <v>44440</v>
      </c>
      <c r="J1162" s="6">
        <v>0</v>
      </c>
      <c r="K1162" s="6">
        <v>0</v>
      </c>
      <c r="L1162" s="6">
        <v>36.548000000000002</v>
      </c>
      <c r="M1162" s="6">
        <v>36.548000000000002</v>
      </c>
      <c r="N1162" s="6">
        <v>36.548000000000002</v>
      </c>
      <c r="O1162" s="6">
        <v>36.548000000000002</v>
      </c>
      <c r="P1162" s="6">
        <v>29</v>
      </c>
      <c r="Q1162" s="4" t="s">
        <v>26</v>
      </c>
      <c r="R1162" s="4">
        <v>0</v>
      </c>
      <c r="S1162" s="6">
        <v>0</v>
      </c>
      <c r="T1162" s="6">
        <v>44</v>
      </c>
      <c r="U1162" s="6">
        <v>81</v>
      </c>
      <c r="V1162" s="6">
        <f>IF(ISERROR(VLOOKUP($S$1162,'TAR FIN'!$A$1:$O$85,15,0)),0,VLOOKUP($S$1162,'TAR FIN'!$A$1:$O$85,15,0))</f>
        <v>0</v>
      </c>
      <c r="W1162" s="6">
        <f>IF(ISERROR(VLOOKUP($T$1162,'TAR FIN'!$A$1:$O$85,15,0)),0,VLOOKUP($T$1162,'TAR FIN'!$A$1:$O$85,15,0))</f>
        <v>324.88</v>
      </c>
      <c r="X1162" s="6">
        <f>IF(ISERROR(VLOOKUP($U$1162,'TAR FIN'!$A$1:$O$85,15,0)),0,VLOOKUP($U$1162,'TAR FIN'!$A$1:$O$85,15,0))</f>
        <v>322.54000000000002</v>
      </c>
      <c r="Y1162" s="6"/>
      <c r="Z1162" s="6">
        <f ca="1">('TUSD BE'!$AM$48+'TUSD BF'!$AM$48+'TUSD CVA'!$AM$48)*1</f>
        <v>434.80310925202969</v>
      </c>
      <c r="AA1162" s="6">
        <f>('TE BE'!$AB$38+'TE BF'!$AB$38+'TE CVA'!$AB$38)*1</f>
        <v>319.954086693367</v>
      </c>
      <c r="AB1162" s="6">
        <f>$K$1162*$V$1162</f>
        <v>0</v>
      </c>
      <c r="AC1162" s="6">
        <f>$M$1162*$W$1162</f>
        <v>11873.714240000001</v>
      </c>
      <c r="AD1162" s="6">
        <f>$O$1162*$X$1162</f>
        <v>11788.191920000001</v>
      </c>
      <c r="AE1162" s="6">
        <f>$K$1162*$Y$1162</f>
        <v>0</v>
      </c>
      <c r="AF1162" s="6">
        <f ca="1">$M$1162*$Z$1162</f>
        <v>15891.184036943181</v>
      </c>
      <c r="AG1162" s="6">
        <f>$O$1162*$AA$1162</f>
        <v>11693.681960469177</v>
      </c>
    </row>
    <row r="1163" spans="1:33" ht="11.25" customHeight="1" x14ac:dyDescent="0.25">
      <c r="A1163" s="4" t="s">
        <v>21</v>
      </c>
      <c r="B1163" s="4" t="s">
        <v>37</v>
      </c>
      <c r="C1163" s="4" t="s">
        <v>23</v>
      </c>
      <c r="D1163" s="4" t="s">
        <v>51</v>
      </c>
      <c r="E1163" s="4" t="s">
        <v>25</v>
      </c>
      <c r="F1163" s="4" t="s">
        <v>25</v>
      </c>
      <c r="G1163" s="4" t="s">
        <v>25</v>
      </c>
      <c r="H1163" s="4" t="s">
        <v>25</v>
      </c>
      <c r="I1163" s="5">
        <v>44470</v>
      </c>
      <c r="J1163" s="6">
        <v>0</v>
      </c>
      <c r="K1163" s="6">
        <v>0</v>
      </c>
      <c r="L1163" s="6">
        <v>34.777000000000001</v>
      </c>
      <c r="M1163" s="6">
        <v>34.777000000000001</v>
      </c>
      <c r="N1163" s="6">
        <v>34.777000000000001</v>
      </c>
      <c r="O1163" s="6">
        <v>34.777000000000001</v>
      </c>
      <c r="P1163" s="6">
        <v>28</v>
      </c>
      <c r="Q1163" s="4" t="s">
        <v>26</v>
      </c>
      <c r="R1163" s="4">
        <v>0</v>
      </c>
      <c r="S1163" s="6">
        <v>0</v>
      </c>
      <c r="T1163" s="6">
        <v>44</v>
      </c>
      <c r="U1163" s="6">
        <v>81</v>
      </c>
      <c r="V1163" s="6">
        <f>IF(ISERROR(VLOOKUP($S$1163,'TAR FIN'!$A$1:$O$85,15,0)),0,VLOOKUP($S$1163,'TAR FIN'!$A$1:$O$85,15,0))</f>
        <v>0</v>
      </c>
      <c r="W1163" s="6">
        <f>IF(ISERROR(VLOOKUP($T$1163,'TAR FIN'!$A$1:$O$85,15,0)),0,VLOOKUP($T$1163,'TAR FIN'!$A$1:$O$85,15,0))</f>
        <v>324.88</v>
      </c>
      <c r="X1163" s="6">
        <f>IF(ISERROR(VLOOKUP($U$1163,'TAR FIN'!$A$1:$O$85,15,0)),0,VLOOKUP($U$1163,'TAR FIN'!$A$1:$O$85,15,0))</f>
        <v>322.54000000000002</v>
      </c>
      <c r="Y1163" s="6"/>
      <c r="Z1163" s="6">
        <f ca="1">('TUSD BE'!$AM$48+'TUSD BF'!$AM$48+'TUSD CVA'!$AM$48)*1</f>
        <v>434.80310925202969</v>
      </c>
      <c r="AA1163" s="6">
        <f>('TE BE'!$AB$38+'TE BF'!$AB$38+'TE CVA'!$AB$38)*1</f>
        <v>319.954086693367</v>
      </c>
      <c r="AB1163" s="6">
        <f>$K$1163*$V$1163</f>
        <v>0</v>
      </c>
      <c r="AC1163" s="6">
        <f>$M$1163*$W$1163</f>
        <v>11298.35176</v>
      </c>
      <c r="AD1163" s="6">
        <f>$O$1163*$X$1163</f>
        <v>11216.973580000002</v>
      </c>
      <c r="AE1163" s="6">
        <f>$K$1163*$Y$1163</f>
        <v>0</v>
      </c>
      <c r="AF1163" s="6">
        <f ca="1">$M$1163*$Z$1163</f>
        <v>15121.147730457837</v>
      </c>
      <c r="AG1163" s="6">
        <f>$O$1163*$AA$1163</f>
        <v>11127.043272935225</v>
      </c>
    </row>
    <row r="1164" spans="1:33" ht="11.25" customHeight="1" x14ac:dyDescent="0.25">
      <c r="A1164" s="4" t="s">
        <v>21</v>
      </c>
      <c r="B1164" s="4" t="s">
        <v>37</v>
      </c>
      <c r="C1164" s="4" t="s">
        <v>23</v>
      </c>
      <c r="D1164" s="4" t="s">
        <v>51</v>
      </c>
      <c r="E1164" s="4" t="s">
        <v>25</v>
      </c>
      <c r="F1164" s="4" t="s">
        <v>25</v>
      </c>
      <c r="G1164" s="4" t="s">
        <v>25</v>
      </c>
      <c r="H1164" s="4" t="s">
        <v>25</v>
      </c>
      <c r="I1164" s="5">
        <v>44501</v>
      </c>
      <c r="J1164" s="6">
        <v>0</v>
      </c>
      <c r="K1164" s="6">
        <v>0</v>
      </c>
      <c r="L1164" s="6">
        <v>45.545000000000002</v>
      </c>
      <c r="M1164" s="6">
        <v>45.545000000000002</v>
      </c>
      <c r="N1164" s="6">
        <v>45.545000000000002</v>
      </c>
      <c r="O1164" s="6">
        <v>45.545000000000002</v>
      </c>
      <c r="P1164" s="6">
        <v>29</v>
      </c>
      <c r="Q1164" s="4" t="s">
        <v>26</v>
      </c>
      <c r="R1164" s="4">
        <v>0</v>
      </c>
      <c r="S1164" s="6">
        <v>0</v>
      </c>
      <c r="T1164" s="6">
        <v>44</v>
      </c>
      <c r="U1164" s="6">
        <v>81</v>
      </c>
      <c r="V1164" s="6">
        <f>IF(ISERROR(VLOOKUP($S$1164,'TAR FIN'!$A$1:$O$85,15,0)),0,VLOOKUP($S$1164,'TAR FIN'!$A$1:$O$85,15,0))</f>
        <v>0</v>
      </c>
      <c r="W1164" s="6">
        <f>IF(ISERROR(VLOOKUP($T$1164,'TAR FIN'!$A$1:$O$85,15,0)),0,VLOOKUP($T$1164,'TAR FIN'!$A$1:$O$85,15,0))</f>
        <v>324.88</v>
      </c>
      <c r="X1164" s="6">
        <f>IF(ISERROR(VLOOKUP($U$1164,'TAR FIN'!$A$1:$O$85,15,0)),0,VLOOKUP($U$1164,'TAR FIN'!$A$1:$O$85,15,0))</f>
        <v>322.54000000000002</v>
      </c>
      <c r="Y1164" s="6"/>
      <c r="Z1164" s="6">
        <f ca="1">('TUSD BE'!$AM$48+'TUSD BF'!$AM$48+'TUSD CVA'!$AM$48)*1</f>
        <v>434.80310925202969</v>
      </c>
      <c r="AA1164" s="6">
        <f>('TE BE'!$AB$38+'TE BF'!$AB$38+'TE CVA'!$AB$38)*1</f>
        <v>319.954086693367</v>
      </c>
      <c r="AB1164" s="6">
        <f>$K$1164*$V$1164</f>
        <v>0</v>
      </c>
      <c r="AC1164" s="6">
        <f>$M$1164*$W$1164</f>
        <v>14796.659600000001</v>
      </c>
      <c r="AD1164" s="6">
        <f>$O$1164*$X$1164</f>
        <v>14690.084300000002</v>
      </c>
      <c r="AE1164" s="6">
        <f>$K$1164*$Y$1164</f>
        <v>0</v>
      </c>
      <c r="AF1164" s="6">
        <f ca="1">$M$1164*$Z$1164</f>
        <v>19803.107610883693</v>
      </c>
      <c r="AG1164" s="6">
        <f>$O$1164*$AA$1164</f>
        <v>14572.308878449401</v>
      </c>
    </row>
    <row r="1165" spans="1:33" ht="11.25" customHeight="1" x14ac:dyDescent="0.25">
      <c r="A1165" s="4" t="s">
        <v>27</v>
      </c>
      <c r="B1165" s="4" t="s">
        <v>37</v>
      </c>
      <c r="C1165" s="4" t="s">
        <v>23</v>
      </c>
      <c r="D1165" s="4" t="s">
        <v>51</v>
      </c>
      <c r="E1165" s="4" t="s">
        <v>25</v>
      </c>
      <c r="F1165" s="4" t="s">
        <v>25</v>
      </c>
      <c r="G1165" s="4" t="s">
        <v>25</v>
      </c>
      <c r="H1165" s="4" t="s">
        <v>25</v>
      </c>
      <c r="I1165" s="5">
        <v>44501</v>
      </c>
      <c r="J1165" s="6">
        <v>0</v>
      </c>
      <c r="K1165" s="6">
        <v>0</v>
      </c>
      <c r="L1165" s="6">
        <v>2.036</v>
      </c>
      <c r="M1165" s="6">
        <v>2.036</v>
      </c>
      <c r="N1165" s="6">
        <v>2.036</v>
      </c>
      <c r="O1165" s="6">
        <v>2.036</v>
      </c>
      <c r="P1165" s="6">
        <v>1</v>
      </c>
      <c r="Q1165" s="4" t="s">
        <v>26</v>
      </c>
      <c r="R1165" s="4">
        <v>0</v>
      </c>
      <c r="S1165" s="6">
        <v>0</v>
      </c>
      <c r="T1165" s="6">
        <v>44</v>
      </c>
      <c r="U1165" s="6">
        <v>81</v>
      </c>
      <c r="V1165" s="6">
        <f>IF(ISERROR(VLOOKUP($S$1165,'TAR FIN'!$A$1:$O$85,15,0)),0,VLOOKUP($S$1165,'TAR FIN'!$A$1:$O$85,15,0))</f>
        <v>0</v>
      </c>
      <c r="W1165" s="6">
        <f>IF(ISERROR(VLOOKUP($T$1165,'TAR FIN'!$A$1:$O$85,15,0)),0,VLOOKUP($T$1165,'TAR FIN'!$A$1:$O$85,15,0))</f>
        <v>324.88</v>
      </c>
      <c r="X1165" s="6">
        <f>IF(ISERROR(VLOOKUP($U$1165,'TAR FIN'!$A$1:$O$85,15,0)),0,VLOOKUP($U$1165,'TAR FIN'!$A$1:$O$85,15,0))</f>
        <v>322.54000000000002</v>
      </c>
      <c r="Y1165" s="6"/>
      <c r="Z1165" s="6">
        <f ca="1">('TUSD BE'!$AM$48+'TUSD BF'!$AM$48+'TUSD CVA'!$AM$48)*1</f>
        <v>434.80310925202969</v>
      </c>
      <c r="AA1165" s="6">
        <f>('TE BE'!$AB$38+'TE BF'!$AB$38+'TE CVA'!$AB$38)*1</f>
        <v>319.954086693367</v>
      </c>
      <c r="AB1165" s="6">
        <f>$K$1165*$V$1165</f>
        <v>0</v>
      </c>
      <c r="AC1165" s="6">
        <f>$M$1165*$W$1165</f>
        <v>661.45568000000003</v>
      </c>
      <c r="AD1165" s="6">
        <f>$O$1165*$X$1165</f>
        <v>656.69144000000006</v>
      </c>
      <c r="AE1165" s="6">
        <f>$K$1165*$Y$1165</f>
        <v>0</v>
      </c>
      <c r="AF1165" s="6">
        <f ca="1">$M$1165*$Z$1165</f>
        <v>885.2591304371324</v>
      </c>
      <c r="AG1165" s="6">
        <f>$O$1165*$AA$1165</f>
        <v>651.42652050769527</v>
      </c>
    </row>
    <row r="1166" spans="1:33" ht="11.25" customHeight="1" x14ac:dyDescent="0.25">
      <c r="A1166" s="4" t="s">
        <v>21</v>
      </c>
      <c r="B1166" s="4" t="s">
        <v>37</v>
      </c>
      <c r="C1166" s="4" t="s">
        <v>23</v>
      </c>
      <c r="D1166" s="4" t="s">
        <v>51</v>
      </c>
      <c r="E1166" s="4" t="s">
        <v>25</v>
      </c>
      <c r="F1166" s="4" t="s">
        <v>25</v>
      </c>
      <c r="G1166" s="4" t="s">
        <v>25</v>
      </c>
      <c r="H1166" s="4" t="s">
        <v>25</v>
      </c>
      <c r="I1166" s="5">
        <v>44531</v>
      </c>
      <c r="J1166" s="6">
        <v>0</v>
      </c>
      <c r="K1166" s="6">
        <v>0</v>
      </c>
      <c r="L1166" s="6">
        <v>42.582999999999998</v>
      </c>
      <c r="M1166" s="6">
        <v>42.582999999999998</v>
      </c>
      <c r="N1166" s="6">
        <v>42.582999999999998</v>
      </c>
      <c r="O1166" s="6">
        <v>42.582999999999998</v>
      </c>
      <c r="P1166" s="6">
        <v>30</v>
      </c>
      <c r="Q1166" s="4" t="s">
        <v>26</v>
      </c>
      <c r="R1166" s="4">
        <v>0</v>
      </c>
      <c r="S1166" s="6">
        <v>0</v>
      </c>
      <c r="T1166" s="6">
        <v>44</v>
      </c>
      <c r="U1166" s="6">
        <v>81</v>
      </c>
      <c r="V1166" s="6">
        <f>IF(ISERROR(VLOOKUP($S$1166,'TAR FIN'!$A$1:$O$85,15,0)),0,VLOOKUP($S$1166,'TAR FIN'!$A$1:$O$85,15,0))</f>
        <v>0</v>
      </c>
      <c r="W1166" s="6">
        <f>IF(ISERROR(VLOOKUP($T$1166,'TAR FIN'!$A$1:$O$85,15,0)),0,VLOOKUP($T$1166,'TAR FIN'!$A$1:$O$85,15,0))</f>
        <v>324.88</v>
      </c>
      <c r="X1166" s="6">
        <f>IF(ISERROR(VLOOKUP($U$1166,'TAR FIN'!$A$1:$O$85,15,0)),0,VLOOKUP($U$1166,'TAR FIN'!$A$1:$O$85,15,0))</f>
        <v>322.54000000000002</v>
      </c>
      <c r="Y1166" s="6"/>
      <c r="Z1166" s="6">
        <f ca="1">('TUSD BE'!$AM$48+'TUSD BF'!$AM$48+'TUSD CVA'!$AM$48)*1</f>
        <v>434.80310925202969</v>
      </c>
      <c r="AA1166" s="6">
        <f>('TE BE'!$AB$38+'TE BF'!$AB$38+'TE CVA'!$AB$38)*1</f>
        <v>319.954086693367</v>
      </c>
      <c r="AB1166" s="6">
        <f>$K$1166*$V$1166</f>
        <v>0</v>
      </c>
      <c r="AC1166" s="6">
        <f>$M$1166*$W$1166</f>
        <v>13834.365039999999</v>
      </c>
      <c r="AD1166" s="6">
        <f>$O$1166*$X$1166</f>
        <v>13734.72082</v>
      </c>
      <c r="AE1166" s="6">
        <f>$K$1166*$Y$1166</f>
        <v>0</v>
      </c>
      <c r="AF1166" s="6">
        <f ca="1">$M$1166*$Z$1166</f>
        <v>18515.220801279178</v>
      </c>
      <c r="AG1166" s="6">
        <f>$O$1166*$AA$1166</f>
        <v>13624.604873663646</v>
      </c>
    </row>
    <row r="1167" spans="1:33" ht="11.25" customHeight="1" x14ac:dyDescent="0.25">
      <c r="A1167" s="4" t="s">
        <v>21</v>
      </c>
      <c r="B1167" s="4" t="s">
        <v>37</v>
      </c>
      <c r="C1167" s="4" t="s">
        <v>23</v>
      </c>
      <c r="D1167" s="4" t="s">
        <v>51</v>
      </c>
      <c r="E1167" s="4" t="s">
        <v>25</v>
      </c>
      <c r="F1167" s="4" t="s">
        <v>25</v>
      </c>
      <c r="G1167" s="4" t="s">
        <v>25</v>
      </c>
      <c r="H1167" s="4" t="s">
        <v>25</v>
      </c>
      <c r="I1167" s="5">
        <v>44562</v>
      </c>
      <c r="J1167" s="6">
        <v>0</v>
      </c>
      <c r="K1167" s="6">
        <v>0</v>
      </c>
      <c r="L1167" s="6">
        <v>51.683999999999997</v>
      </c>
      <c r="M1167" s="6">
        <v>51.683999999999997</v>
      </c>
      <c r="N1167" s="6">
        <v>51.683999999999997</v>
      </c>
      <c r="O1167" s="6">
        <v>51.683999999999997</v>
      </c>
      <c r="P1167" s="6">
        <v>29</v>
      </c>
      <c r="Q1167" s="4" t="s">
        <v>26</v>
      </c>
      <c r="R1167" s="4">
        <v>0</v>
      </c>
      <c r="S1167" s="6">
        <v>0</v>
      </c>
      <c r="T1167" s="6">
        <v>44</v>
      </c>
      <c r="U1167" s="6">
        <v>81</v>
      </c>
      <c r="V1167" s="6">
        <f>IF(ISERROR(VLOOKUP($S$1167,'TAR FIN'!$A$1:$O$85,15,0)),0,VLOOKUP($S$1167,'TAR FIN'!$A$1:$O$85,15,0))</f>
        <v>0</v>
      </c>
      <c r="W1167" s="6">
        <f>IF(ISERROR(VLOOKUP($T$1167,'TAR FIN'!$A$1:$O$85,15,0)),0,VLOOKUP($T$1167,'TAR FIN'!$A$1:$O$85,15,0))</f>
        <v>324.88</v>
      </c>
      <c r="X1167" s="6">
        <f>IF(ISERROR(VLOOKUP($U$1167,'TAR FIN'!$A$1:$O$85,15,0)),0,VLOOKUP($U$1167,'TAR FIN'!$A$1:$O$85,15,0))</f>
        <v>322.54000000000002</v>
      </c>
      <c r="Y1167" s="6"/>
      <c r="Z1167" s="6">
        <f ca="1">('TUSD BE'!$AM$48+'TUSD BF'!$AM$48+'TUSD CVA'!$AM$48)*1</f>
        <v>434.80310925202969</v>
      </c>
      <c r="AA1167" s="6">
        <f>('TE BE'!$AB$38+'TE BF'!$AB$38+'TE CVA'!$AB$38)*1</f>
        <v>319.954086693367</v>
      </c>
      <c r="AB1167" s="6">
        <f>$K$1167*$V$1167</f>
        <v>0</v>
      </c>
      <c r="AC1167" s="6">
        <f>$M$1167*$W$1167</f>
        <v>16791.09792</v>
      </c>
      <c r="AD1167" s="6">
        <f>$O$1167*$X$1167</f>
        <v>16670.157360000001</v>
      </c>
      <c r="AE1167" s="6">
        <f>$K$1167*$Y$1167</f>
        <v>0</v>
      </c>
      <c r="AF1167" s="6">
        <f ca="1">$M$1167*$Z$1167</f>
        <v>22472.363898581902</v>
      </c>
      <c r="AG1167" s="6">
        <f>$O$1167*$AA$1167</f>
        <v>16536.50701665998</v>
      </c>
    </row>
    <row r="1168" spans="1:33" ht="11.25" customHeight="1" x14ac:dyDescent="0.25">
      <c r="A1168" s="4" t="s">
        <v>27</v>
      </c>
      <c r="B1168" s="4" t="s">
        <v>37</v>
      </c>
      <c r="C1168" s="4" t="s">
        <v>23</v>
      </c>
      <c r="D1168" s="4" t="s">
        <v>51</v>
      </c>
      <c r="E1168" s="4" t="s">
        <v>25</v>
      </c>
      <c r="F1168" s="4" t="s">
        <v>25</v>
      </c>
      <c r="G1168" s="4" t="s">
        <v>25</v>
      </c>
      <c r="H1168" s="4" t="s">
        <v>25</v>
      </c>
      <c r="I1168" s="5">
        <v>44562</v>
      </c>
      <c r="J1168" s="6">
        <v>0</v>
      </c>
      <c r="K1168" s="6">
        <v>0</v>
      </c>
      <c r="L1168" s="6">
        <v>-0.03</v>
      </c>
      <c r="M1168" s="6">
        <v>-0.03</v>
      </c>
      <c r="N1168" s="6">
        <v>-0.03</v>
      </c>
      <c r="O1168" s="6">
        <v>-0.03</v>
      </c>
      <c r="P1168" s="6">
        <v>-1</v>
      </c>
      <c r="Q1168" s="4" t="s">
        <v>26</v>
      </c>
      <c r="R1168" s="4">
        <v>0</v>
      </c>
      <c r="S1168" s="6">
        <v>0</v>
      </c>
      <c r="T1168" s="6">
        <v>44</v>
      </c>
      <c r="U1168" s="6">
        <v>81</v>
      </c>
      <c r="V1168" s="6">
        <f>IF(ISERROR(VLOOKUP($S$1168,'TAR FIN'!$A$1:$O$85,15,0)),0,VLOOKUP($S$1168,'TAR FIN'!$A$1:$O$85,15,0))</f>
        <v>0</v>
      </c>
      <c r="W1168" s="6">
        <f>IF(ISERROR(VLOOKUP($T$1168,'TAR FIN'!$A$1:$O$85,15,0)),0,VLOOKUP($T$1168,'TAR FIN'!$A$1:$O$85,15,0))</f>
        <v>324.88</v>
      </c>
      <c r="X1168" s="6">
        <f>IF(ISERROR(VLOOKUP($U$1168,'TAR FIN'!$A$1:$O$85,15,0)),0,VLOOKUP($U$1168,'TAR FIN'!$A$1:$O$85,15,0))</f>
        <v>322.54000000000002</v>
      </c>
      <c r="Y1168" s="6"/>
      <c r="Z1168" s="6">
        <f ca="1">('TUSD BE'!$AM$48+'TUSD BF'!$AM$48+'TUSD CVA'!$AM$48)*1</f>
        <v>434.80310925202969</v>
      </c>
      <c r="AA1168" s="6">
        <f>('TE BE'!$AB$38+'TE BF'!$AB$38+'TE CVA'!$AB$38)*1</f>
        <v>319.954086693367</v>
      </c>
      <c r="AB1168" s="6">
        <f>$K$1168*$V$1168</f>
        <v>0</v>
      </c>
      <c r="AC1168" s="6">
        <f>$M$1168*$W$1168</f>
        <v>-9.7463999999999995</v>
      </c>
      <c r="AD1168" s="6">
        <f>$O$1168*$X$1168</f>
        <v>-9.6761999999999997</v>
      </c>
      <c r="AE1168" s="6">
        <f>$K$1168*$Y$1168</f>
        <v>0</v>
      </c>
      <c r="AF1168" s="6">
        <f ca="1">$M$1168*$Z$1168</f>
        <v>-13.04409327756089</v>
      </c>
      <c r="AG1168" s="6">
        <f>$O$1168*$AA$1168</f>
        <v>-9.5986226008010096</v>
      </c>
    </row>
    <row r="1169" spans="1:33" ht="11.25" customHeight="1" x14ac:dyDescent="0.25">
      <c r="A1169" s="4" t="s">
        <v>21</v>
      </c>
      <c r="B1169" s="4" t="s">
        <v>37</v>
      </c>
      <c r="C1169" s="4" t="s">
        <v>23</v>
      </c>
      <c r="D1169" s="4" t="s">
        <v>51</v>
      </c>
      <c r="E1169" s="4" t="s">
        <v>25</v>
      </c>
      <c r="F1169" s="4" t="s">
        <v>25</v>
      </c>
      <c r="G1169" s="4" t="s">
        <v>25</v>
      </c>
      <c r="H1169" s="4" t="s">
        <v>25</v>
      </c>
      <c r="I1169" s="5">
        <v>44593</v>
      </c>
      <c r="J1169" s="6">
        <v>0</v>
      </c>
      <c r="K1169" s="6">
        <v>0</v>
      </c>
      <c r="L1169" s="6">
        <v>43.677999999999997</v>
      </c>
      <c r="M1169" s="6">
        <v>43.677999999999997</v>
      </c>
      <c r="N1169" s="6">
        <v>43.677999999999997</v>
      </c>
      <c r="O1169" s="6">
        <v>43.677999999999997</v>
      </c>
      <c r="P1169" s="6">
        <v>29</v>
      </c>
      <c r="Q1169" s="4" t="s">
        <v>26</v>
      </c>
      <c r="R1169" s="4">
        <v>0</v>
      </c>
      <c r="S1169" s="6">
        <v>0</v>
      </c>
      <c r="T1169" s="6">
        <v>44</v>
      </c>
      <c r="U1169" s="6">
        <v>81</v>
      </c>
      <c r="V1169" s="6">
        <f>IF(ISERROR(VLOOKUP($S$1169,'TAR FIN'!$A$1:$O$85,15,0)),0,VLOOKUP($S$1169,'TAR FIN'!$A$1:$O$85,15,0))</f>
        <v>0</v>
      </c>
      <c r="W1169" s="6">
        <f>IF(ISERROR(VLOOKUP($T$1169,'TAR FIN'!$A$1:$O$85,15,0)),0,VLOOKUP($T$1169,'TAR FIN'!$A$1:$O$85,15,0))</f>
        <v>324.88</v>
      </c>
      <c r="X1169" s="6">
        <f>IF(ISERROR(VLOOKUP($U$1169,'TAR FIN'!$A$1:$O$85,15,0)),0,VLOOKUP($U$1169,'TAR FIN'!$A$1:$O$85,15,0))</f>
        <v>322.54000000000002</v>
      </c>
      <c r="Y1169" s="6"/>
      <c r="Z1169" s="6">
        <f ca="1">('TUSD BE'!$AM$48+'TUSD BF'!$AM$48+'TUSD CVA'!$AM$48)*1</f>
        <v>434.80310925202969</v>
      </c>
      <c r="AA1169" s="6">
        <f>('TE BE'!$AB$38+'TE BF'!$AB$38+'TE CVA'!$AB$38)*1</f>
        <v>319.954086693367</v>
      </c>
      <c r="AB1169" s="6">
        <f>$K$1169*$V$1169</f>
        <v>0</v>
      </c>
      <c r="AC1169" s="6">
        <f>$M$1169*$W$1169</f>
        <v>14190.108639999999</v>
      </c>
      <c r="AD1169" s="6">
        <f>$O$1169*$X$1169</f>
        <v>14087.902120000001</v>
      </c>
      <c r="AE1169" s="6">
        <f>$K$1169*$Y$1169</f>
        <v>0</v>
      </c>
      <c r="AF1169" s="6">
        <f ca="1">$M$1169*$Z$1169</f>
        <v>18991.330205910152</v>
      </c>
      <c r="AG1169" s="6">
        <f>$O$1169*$AA$1169</f>
        <v>13974.954598592883</v>
      </c>
    </row>
    <row r="1170" spans="1:33" ht="11.25" customHeight="1" x14ac:dyDescent="0.25">
      <c r="A1170" s="4" t="s">
        <v>21</v>
      </c>
      <c r="B1170" s="4" t="s">
        <v>37</v>
      </c>
      <c r="C1170" s="4" t="s">
        <v>23</v>
      </c>
      <c r="D1170" s="4" t="s">
        <v>51</v>
      </c>
      <c r="E1170" s="4" t="s">
        <v>25</v>
      </c>
      <c r="F1170" s="4" t="s">
        <v>25</v>
      </c>
      <c r="G1170" s="4" t="s">
        <v>25</v>
      </c>
      <c r="H1170" s="4" t="s">
        <v>25</v>
      </c>
      <c r="I1170" s="5">
        <v>44621</v>
      </c>
      <c r="J1170" s="6">
        <v>0</v>
      </c>
      <c r="K1170" s="6">
        <v>0</v>
      </c>
      <c r="L1170" s="6">
        <v>57.445</v>
      </c>
      <c r="M1170" s="6">
        <v>57.445</v>
      </c>
      <c r="N1170" s="6">
        <v>57.445</v>
      </c>
      <c r="O1170" s="6">
        <v>57.445</v>
      </c>
      <c r="P1170" s="6">
        <v>29</v>
      </c>
      <c r="Q1170" s="4" t="s">
        <v>26</v>
      </c>
      <c r="R1170" s="4">
        <v>0</v>
      </c>
      <c r="S1170" s="6">
        <v>0</v>
      </c>
      <c r="T1170" s="6">
        <v>44</v>
      </c>
      <c r="U1170" s="6">
        <v>81</v>
      </c>
      <c r="V1170" s="6">
        <f>IF(ISERROR(VLOOKUP($S$1170,'TAR FIN'!$A$1:$O$85,15,0)),0,VLOOKUP($S$1170,'TAR FIN'!$A$1:$O$85,15,0))</f>
        <v>0</v>
      </c>
      <c r="W1170" s="6">
        <f>IF(ISERROR(VLOOKUP($T$1170,'TAR FIN'!$A$1:$O$85,15,0)),0,VLOOKUP($T$1170,'TAR FIN'!$A$1:$O$85,15,0))</f>
        <v>324.88</v>
      </c>
      <c r="X1170" s="6">
        <f>IF(ISERROR(VLOOKUP($U$1170,'TAR FIN'!$A$1:$O$85,15,0)),0,VLOOKUP($U$1170,'TAR FIN'!$A$1:$O$85,15,0))</f>
        <v>322.54000000000002</v>
      </c>
      <c r="Y1170" s="6"/>
      <c r="Z1170" s="6">
        <f ca="1">('TUSD BE'!$AM$48+'TUSD BF'!$AM$48+'TUSD CVA'!$AM$48)*1</f>
        <v>434.80310925202969</v>
      </c>
      <c r="AA1170" s="6">
        <f>('TE BE'!$AB$38+'TE BF'!$AB$38+'TE CVA'!$AB$38)*1</f>
        <v>319.954086693367</v>
      </c>
      <c r="AB1170" s="6">
        <f>$K$1170*$V$1170</f>
        <v>0</v>
      </c>
      <c r="AC1170" s="6">
        <f>$M$1170*$W$1170</f>
        <v>18662.731599999999</v>
      </c>
      <c r="AD1170" s="6">
        <f>$O$1170*$X$1170</f>
        <v>18528.310300000001</v>
      </c>
      <c r="AE1170" s="6">
        <f>$K$1170*$Y$1170</f>
        <v>0</v>
      </c>
      <c r="AF1170" s="6">
        <f ca="1">$M$1170*$Z$1170</f>
        <v>24977.264610982846</v>
      </c>
      <c r="AG1170" s="6">
        <f>$O$1170*$AA$1170</f>
        <v>18379.762510100467</v>
      </c>
    </row>
    <row r="1171" spans="1:33" ht="11.25" customHeight="1" x14ac:dyDescent="0.25">
      <c r="A1171" s="4" t="s">
        <v>21</v>
      </c>
      <c r="B1171" s="4" t="s">
        <v>37</v>
      </c>
      <c r="C1171" s="4" t="s">
        <v>23</v>
      </c>
      <c r="D1171" s="4" t="s">
        <v>51</v>
      </c>
      <c r="E1171" s="4" t="s">
        <v>25</v>
      </c>
      <c r="F1171" s="4" t="s">
        <v>25</v>
      </c>
      <c r="G1171" s="4" t="s">
        <v>25</v>
      </c>
      <c r="H1171" s="4" t="s">
        <v>25</v>
      </c>
      <c r="I1171" s="5">
        <v>44652</v>
      </c>
      <c r="J1171" s="6">
        <v>0</v>
      </c>
      <c r="K1171" s="6">
        <v>0</v>
      </c>
      <c r="L1171" s="6">
        <v>45.786999999999999</v>
      </c>
      <c r="M1171" s="6">
        <v>45.786999999999999</v>
      </c>
      <c r="N1171" s="6">
        <v>45.786999999999999</v>
      </c>
      <c r="O1171" s="6">
        <v>45.786999999999999</v>
      </c>
      <c r="P1171" s="6">
        <v>29</v>
      </c>
      <c r="Q1171" s="4" t="s">
        <v>26</v>
      </c>
      <c r="R1171" s="4">
        <v>0</v>
      </c>
      <c r="S1171" s="6">
        <v>0</v>
      </c>
      <c r="T1171" s="6">
        <v>44</v>
      </c>
      <c r="U1171" s="6">
        <v>81</v>
      </c>
      <c r="V1171" s="6">
        <f>IF(ISERROR(VLOOKUP($S$1171,'TAR FIN'!$A$1:$O$85,15,0)),0,VLOOKUP($S$1171,'TAR FIN'!$A$1:$O$85,15,0))</f>
        <v>0</v>
      </c>
      <c r="W1171" s="6">
        <f>IF(ISERROR(VLOOKUP($T$1171,'TAR FIN'!$A$1:$O$85,15,0)),0,VLOOKUP($T$1171,'TAR FIN'!$A$1:$O$85,15,0))</f>
        <v>324.88</v>
      </c>
      <c r="X1171" s="6">
        <f>IF(ISERROR(VLOOKUP($U$1171,'TAR FIN'!$A$1:$O$85,15,0)),0,VLOOKUP($U$1171,'TAR FIN'!$A$1:$O$85,15,0))</f>
        <v>322.54000000000002</v>
      </c>
      <c r="Y1171" s="6"/>
      <c r="Z1171" s="6">
        <f ca="1">('TUSD BE'!$AM$48+'TUSD BF'!$AM$48+'TUSD CVA'!$AM$48)*1</f>
        <v>434.80310925202969</v>
      </c>
      <c r="AA1171" s="6">
        <f>('TE BE'!$AB$38+'TE BF'!$AB$38+'TE CVA'!$AB$38)*1</f>
        <v>319.954086693367</v>
      </c>
      <c r="AB1171" s="6">
        <f>$K$1171*$V$1171</f>
        <v>0</v>
      </c>
      <c r="AC1171" s="6">
        <f>$M$1171*$W$1171</f>
        <v>14875.280559999999</v>
      </c>
      <c r="AD1171" s="6">
        <f>$O$1171*$X$1171</f>
        <v>14768.13898</v>
      </c>
      <c r="AE1171" s="6">
        <f>$K$1171*$Y$1171</f>
        <v>0</v>
      </c>
      <c r="AF1171" s="6">
        <f ca="1">$M$1171*$Z$1171</f>
        <v>19908.329963322682</v>
      </c>
      <c r="AG1171" s="6">
        <f>$O$1171*$AA$1171</f>
        <v>14649.737767429195</v>
      </c>
    </row>
    <row r="1172" spans="1:33" ht="11.25" customHeight="1" x14ac:dyDescent="0.25">
      <c r="A1172" s="4" t="s">
        <v>21</v>
      </c>
      <c r="B1172" s="4" t="s">
        <v>37</v>
      </c>
      <c r="C1172" s="4" t="s">
        <v>23</v>
      </c>
      <c r="D1172" s="4" t="s">
        <v>51</v>
      </c>
      <c r="E1172" s="4" t="s">
        <v>25</v>
      </c>
      <c r="F1172" s="4" t="s">
        <v>25</v>
      </c>
      <c r="G1172" s="4" t="s">
        <v>25</v>
      </c>
      <c r="H1172" s="4" t="s">
        <v>25</v>
      </c>
      <c r="I1172" s="5">
        <v>44682</v>
      </c>
      <c r="J1172" s="6">
        <v>0</v>
      </c>
      <c r="K1172" s="6">
        <v>0</v>
      </c>
      <c r="L1172" s="6">
        <v>40.225000000000001</v>
      </c>
      <c r="M1172" s="6">
        <v>40.225000000000001</v>
      </c>
      <c r="N1172" s="6">
        <v>40.225000000000001</v>
      </c>
      <c r="O1172" s="6">
        <v>40.225000000000001</v>
      </c>
      <c r="P1172" s="6">
        <v>29</v>
      </c>
      <c r="Q1172" s="4" t="s">
        <v>26</v>
      </c>
      <c r="R1172" s="4">
        <v>0</v>
      </c>
      <c r="S1172" s="6">
        <v>0</v>
      </c>
      <c r="T1172" s="6">
        <v>44</v>
      </c>
      <c r="U1172" s="6">
        <v>81</v>
      </c>
      <c r="V1172" s="6">
        <f>IF(ISERROR(VLOOKUP($S$1172,'TAR FIN'!$A$1:$O$85,15,0)),0,VLOOKUP($S$1172,'TAR FIN'!$A$1:$O$85,15,0))</f>
        <v>0</v>
      </c>
      <c r="W1172" s="6">
        <f>IF(ISERROR(VLOOKUP($T$1172,'TAR FIN'!$A$1:$O$85,15,0)),0,VLOOKUP($T$1172,'TAR FIN'!$A$1:$O$85,15,0))</f>
        <v>324.88</v>
      </c>
      <c r="X1172" s="6">
        <f>IF(ISERROR(VLOOKUP($U$1172,'TAR FIN'!$A$1:$O$85,15,0)),0,VLOOKUP($U$1172,'TAR FIN'!$A$1:$O$85,15,0))</f>
        <v>322.54000000000002</v>
      </c>
      <c r="Y1172" s="6"/>
      <c r="Z1172" s="6">
        <f ca="1">('TUSD BE'!$AM$48+'TUSD BF'!$AM$48+'TUSD CVA'!$AM$48)*1</f>
        <v>434.80310925202969</v>
      </c>
      <c r="AA1172" s="6">
        <f>('TE BE'!$AB$38+'TE BF'!$AB$38+'TE CVA'!$AB$38)*1</f>
        <v>319.954086693367</v>
      </c>
      <c r="AB1172" s="6">
        <f>$K$1172*$V$1172</f>
        <v>0</v>
      </c>
      <c r="AC1172" s="6">
        <f>$M$1172*$W$1172</f>
        <v>13068.298000000001</v>
      </c>
      <c r="AD1172" s="6">
        <f>$O$1172*$X$1172</f>
        <v>12974.1715</v>
      </c>
      <c r="AE1172" s="6">
        <f>$K$1172*$Y$1172</f>
        <v>0</v>
      </c>
      <c r="AF1172" s="6">
        <f ca="1">$M$1172*$Z$1172</f>
        <v>17489.955069662894</v>
      </c>
      <c r="AG1172" s="6">
        <f>$O$1172*$AA$1172</f>
        <v>12870.153137240688</v>
      </c>
    </row>
    <row r="1173" spans="1:33" ht="11.25" customHeight="1" x14ac:dyDescent="0.25">
      <c r="A1173" s="4" t="s">
        <v>21</v>
      </c>
      <c r="B1173" s="4" t="s">
        <v>37</v>
      </c>
      <c r="C1173" s="4" t="s">
        <v>23</v>
      </c>
      <c r="D1173" s="4" t="s">
        <v>51</v>
      </c>
      <c r="E1173" s="4" t="s">
        <v>25</v>
      </c>
      <c r="F1173" s="4" t="s">
        <v>25</v>
      </c>
      <c r="G1173" s="4" t="s">
        <v>25</v>
      </c>
      <c r="H1173" s="4" t="s">
        <v>25</v>
      </c>
      <c r="I1173" s="5">
        <v>44713</v>
      </c>
      <c r="J1173" s="6">
        <v>0</v>
      </c>
      <c r="K1173" s="6">
        <v>0</v>
      </c>
      <c r="L1173" s="6">
        <v>34.320999999999998</v>
      </c>
      <c r="M1173" s="6">
        <v>34.320999999999998</v>
      </c>
      <c r="N1173" s="6">
        <v>34.320999999999998</v>
      </c>
      <c r="O1173" s="6">
        <v>34.320999999999998</v>
      </c>
      <c r="P1173" s="6">
        <v>29</v>
      </c>
      <c r="Q1173" s="4" t="s">
        <v>26</v>
      </c>
      <c r="R1173" s="4">
        <v>0</v>
      </c>
      <c r="S1173" s="6">
        <v>0</v>
      </c>
      <c r="T1173" s="6">
        <v>44</v>
      </c>
      <c r="U1173" s="6">
        <v>81</v>
      </c>
      <c r="V1173" s="6">
        <f>IF(ISERROR(VLOOKUP($S$1173,'TAR FIN'!$A$1:$O$85,15,0)),0,VLOOKUP($S$1173,'TAR FIN'!$A$1:$O$85,15,0))</f>
        <v>0</v>
      </c>
      <c r="W1173" s="6">
        <f>IF(ISERROR(VLOOKUP($T$1173,'TAR FIN'!$A$1:$O$85,15,0)),0,VLOOKUP($T$1173,'TAR FIN'!$A$1:$O$85,15,0))</f>
        <v>324.88</v>
      </c>
      <c r="X1173" s="6">
        <f>IF(ISERROR(VLOOKUP($U$1173,'TAR FIN'!$A$1:$O$85,15,0)),0,VLOOKUP($U$1173,'TAR FIN'!$A$1:$O$85,15,0))</f>
        <v>322.54000000000002</v>
      </c>
      <c r="Y1173" s="6"/>
      <c r="Z1173" s="6">
        <f ca="1">('TUSD BE'!$AM$48+'TUSD BF'!$AM$48+'TUSD CVA'!$AM$48)*1</f>
        <v>434.80310925202969</v>
      </c>
      <c r="AA1173" s="6">
        <f>('TE BE'!$AB$38+'TE BF'!$AB$38+'TE CVA'!$AB$38)*1</f>
        <v>319.954086693367</v>
      </c>
      <c r="AB1173" s="6">
        <f>$K$1173*$V$1173</f>
        <v>0</v>
      </c>
      <c r="AC1173" s="6">
        <f>$M$1173*$W$1173</f>
        <v>11150.206479999999</v>
      </c>
      <c r="AD1173" s="6">
        <f>$O$1173*$X$1173</f>
        <v>11069.895340000001</v>
      </c>
      <c r="AE1173" s="6">
        <f>$K$1173*$Y$1173</f>
        <v>0</v>
      </c>
      <c r="AF1173" s="6">
        <f ca="1">$M$1173*$Z$1173</f>
        <v>14922.87751263891</v>
      </c>
      <c r="AG1173" s="6">
        <f>$O$1173*$AA$1173</f>
        <v>10981.144209403048</v>
      </c>
    </row>
    <row r="1174" spans="1:33" ht="11.25" customHeight="1" x14ac:dyDescent="0.25">
      <c r="A1174" s="4" t="s">
        <v>21</v>
      </c>
      <c r="B1174" s="4" t="s">
        <v>37</v>
      </c>
      <c r="C1174" s="4" t="s">
        <v>23</v>
      </c>
      <c r="D1174" s="4" t="s">
        <v>51</v>
      </c>
      <c r="E1174" s="4" t="s">
        <v>25</v>
      </c>
      <c r="F1174" s="4" t="s">
        <v>25</v>
      </c>
      <c r="G1174" s="4" t="s">
        <v>25</v>
      </c>
      <c r="H1174" s="4" t="s">
        <v>25</v>
      </c>
      <c r="I1174" s="5">
        <v>44743</v>
      </c>
      <c r="J1174" s="6">
        <v>0</v>
      </c>
      <c r="K1174" s="6">
        <v>0</v>
      </c>
      <c r="L1174" s="6">
        <v>36.06</v>
      </c>
      <c r="M1174" s="6">
        <v>36.06</v>
      </c>
      <c r="N1174" s="6">
        <v>36.06</v>
      </c>
      <c r="O1174" s="6">
        <v>36.06</v>
      </c>
      <c r="P1174" s="6">
        <v>31</v>
      </c>
      <c r="Q1174" s="4" t="s">
        <v>26</v>
      </c>
      <c r="R1174" s="4">
        <v>0</v>
      </c>
      <c r="S1174" s="6">
        <v>0</v>
      </c>
      <c r="T1174" s="6">
        <v>44</v>
      </c>
      <c r="U1174" s="6">
        <v>81</v>
      </c>
      <c r="V1174" s="6">
        <f>IF(ISERROR(VLOOKUP($S$1174,'TAR FIN'!$A$1:$O$85,15,0)),0,VLOOKUP($S$1174,'TAR FIN'!$A$1:$O$85,15,0))</f>
        <v>0</v>
      </c>
      <c r="W1174" s="6">
        <f>IF(ISERROR(VLOOKUP($T$1174,'TAR FIN'!$A$1:$O$85,15,0)),0,VLOOKUP($T$1174,'TAR FIN'!$A$1:$O$85,15,0))</f>
        <v>324.88</v>
      </c>
      <c r="X1174" s="6">
        <f>IF(ISERROR(VLOOKUP($U$1174,'TAR FIN'!$A$1:$O$85,15,0)),0,VLOOKUP($U$1174,'TAR FIN'!$A$1:$O$85,15,0))</f>
        <v>322.54000000000002</v>
      </c>
      <c r="Y1174" s="6"/>
      <c r="Z1174" s="6">
        <f ca="1">('TUSD BE'!$AM$48+'TUSD BF'!$AM$48+'TUSD CVA'!$AM$48)*1</f>
        <v>434.80310925202969</v>
      </c>
      <c r="AA1174" s="6">
        <f>('TE BE'!$AB$38+'TE BF'!$AB$38+'TE CVA'!$AB$38)*1</f>
        <v>319.954086693367</v>
      </c>
      <c r="AB1174" s="6">
        <f>$K$1174*$V$1174</f>
        <v>0</v>
      </c>
      <c r="AC1174" s="6">
        <f>$M$1174*$W$1174</f>
        <v>11715.1728</v>
      </c>
      <c r="AD1174" s="6">
        <f>$O$1174*$X$1174</f>
        <v>11630.792400000002</v>
      </c>
      <c r="AE1174" s="6">
        <f>$K$1174*$Y$1174</f>
        <v>0</v>
      </c>
      <c r="AF1174" s="6">
        <f ca="1">$M$1174*$Z$1174</f>
        <v>15679.000119628192</v>
      </c>
      <c r="AG1174" s="6">
        <f>$O$1174*$AA$1174</f>
        <v>11537.544366162814</v>
      </c>
    </row>
    <row r="1175" spans="1:33" ht="11.25" customHeight="1" x14ac:dyDescent="0.25">
      <c r="A1175" s="4" t="s">
        <v>56</v>
      </c>
      <c r="B1175" s="4" t="s">
        <v>37</v>
      </c>
      <c r="C1175" s="4" t="s">
        <v>23</v>
      </c>
      <c r="D1175" s="4" t="s">
        <v>51</v>
      </c>
      <c r="E1175" s="4" t="s">
        <v>25</v>
      </c>
      <c r="F1175" s="4" t="s">
        <v>25</v>
      </c>
      <c r="G1175" s="4" t="s">
        <v>25</v>
      </c>
      <c r="H1175" s="4" t="s">
        <v>25</v>
      </c>
      <c r="I1175" s="5">
        <v>44774</v>
      </c>
      <c r="J1175" s="6">
        <v>0</v>
      </c>
      <c r="K1175" s="6">
        <v>0</v>
      </c>
      <c r="L1175" s="6">
        <v>36.06</v>
      </c>
      <c r="M1175" s="6">
        <v>36.06</v>
      </c>
      <c r="N1175" s="6">
        <v>36.06</v>
      </c>
      <c r="O1175" s="6">
        <v>36.06</v>
      </c>
      <c r="P1175" s="6">
        <v>31</v>
      </c>
      <c r="Q1175" s="4" t="s">
        <v>26</v>
      </c>
      <c r="R1175" s="4">
        <v>0</v>
      </c>
      <c r="S1175" s="6">
        <v>0</v>
      </c>
      <c r="T1175" s="6">
        <v>44</v>
      </c>
      <c r="U1175" s="6">
        <v>81</v>
      </c>
      <c r="V1175" s="6">
        <f>IF(ISERROR(VLOOKUP($S$1175,'TAR FIN'!$A$1:$O$85,15,0)),0,VLOOKUP($S$1175,'TAR FIN'!$A$1:$O$85,15,0))</f>
        <v>0</v>
      </c>
      <c r="W1175" s="6">
        <f>IF(ISERROR(VLOOKUP($T$1175,'TAR FIN'!$A$1:$O$85,15,0)),0,VLOOKUP($T$1175,'TAR FIN'!$A$1:$O$85,15,0))</f>
        <v>324.88</v>
      </c>
      <c r="X1175" s="6">
        <f>IF(ISERROR(VLOOKUP($U$1175,'TAR FIN'!$A$1:$O$85,15,0)),0,VLOOKUP($U$1175,'TAR FIN'!$A$1:$O$85,15,0))</f>
        <v>322.54000000000002</v>
      </c>
      <c r="Y1175" s="6"/>
      <c r="Z1175" s="6">
        <f ca="1">('TUSD BE'!$AM$48+'TUSD BF'!$AM$48+'TUSD CVA'!$AM$48)*1</f>
        <v>434.80310925202969</v>
      </c>
      <c r="AA1175" s="6">
        <f>('TE BE'!$AB$38+'TE BF'!$AB$38+'TE CVA'!$AB$38)*1</f>
        <v>319.954086693367</v>
      </c>
      <c r="AB1175" s="6">
        <f>$K$1175*$V$1175</f>
        <v>0</v>
      </c>
      <c r="AC1175" s="6">
        <f>$M$1175*$W$1175</f>
        <v>11715.1728</v>
      </c>
      <c r="AD1175" s="6">
        <f>$O$1175*$X$1175</f>
        <v>11630.792400000002</v>
      </c>
      <c r="AE1175" s="6">
        <f>$K$1175*$Y$1175</f>
        <v>0</v>
      </c>
      <c r="AF1175" s="6">
        <f ca="1">$M$1175*$Z$1175</f>
        <v>15679.000119628192</v>
      </c>
      <c r="AG1175" s="6">
        <f>$O$1175*$AA$1175</f>
        <v>11537.544366162814</v>
      </c>
    </row>
    <row r="1176" spans="1:33" ht="11.25" customHeight="1" x14ac:dyDescent="0.25">
      <c r="A1176" s="4" t="s">
        <v>21</v>
      </c>
      <c r="B1176" s="4" t="s">
        <v>37</v>
      </c>
      <c r="C1176" s="4" t="s">
        <v>23</v>
      </c>
      <c r="D1176" s="4" t="s">
        <v>38</v>
      </c>
      <c r="E1176" s="4" t="s">
        <v>25</v>
      </c>
      <c r="F1176" s="4" t="s">
        <v>25</v>
      </c>
      <c r="G1176" s="4" t="s">
        <v>25</v>
      </c>
      <c r="H1176" s="4" t="s">
        <v>25</v>
      </c>
      <c r="I1176" s="5">
        <v>44440</v>
      </c>
      <c r="J1176" s="6">
        <v>0</v>
      </c>
      <c r="K1176" s="6">
        <v>0</v>
      </c>
      <c r="L1176" s="6">
        <v>731.47</v>
      </c>
      <c r="M1176" s="6">
        <v>731.47</v>
      </c>
      <c r="N1176" s="6">
        <v>731.47</v>
      </c>
      <c r="O1176" s="6">
        <v>731.47</v>
      </c>
      <c r="P1176" s="6">
        <v>1394</v>
      </c>
      <c r="Q1176" s="4" t="s">
        <v>26</v>
      </c>
      <c r="R1176" s="4">
        <v>0</v>
      </c>
      <c r="S1176" s="6">
        <v>0</v>
      </c>
      <c r="T1176" s="6">
        <v>44</v>
      </c>
      <c r="U1176" s="6">
        <v>81</v>
      </c>
      <c r="V1176" s="6">
        <f>IF(ISERROR(VLOOKUP($S$1176,'TAR FIN'!$A$1:$O$85,15,0)),0,VLOOKUP($S$1176,'TAR FIN'!$A$1:$O$85,15,0))</f>
        <v>0</v>
      </c>
      <c r="W1176" s="6">
        <f>IF(ISERROR(VLOOKUP($T$1176,'TAR FIN'!$A$1:$O$85,15,0)),0,VLOOKUP($T$1176,'TAR FIN'!$A$1:$O$85,15,0))</f>
        <v>324.88</v>
      </c>
      <c r="X1176" s="6">
        <f>IF(ISERROR(VLOOKUP($U$1176,'TAR FIN'!$A$1:$O$85,15,0)),0,VLOOKUP($U$1176,'TAR FIN'!$A$1:$O$85,15,0))</f>
        <v>322.54000000000002</v>
      </c>
      <c r="Y1176" s="6"/>
      <c r="Z1176" s="6">
        <f ca="1">('TUSD BE'!$AM$48+'TUSD BF'!$AM$48+'TUSD CVA'!$AM$48)*1</f>
        <v>434.80310925202969</v>
      </c>
      <c r="AA1176" s="6">
        <f>('TE BE'!$AB$38+'TE BF'!$AB$38+'TE CVA'!$AB$38)*1</f>
        <v>319.954086693367</v>
      </c>
      <c r="AB1176" s="6">
        <f>$K$1176*$V$1176</f>
        <v>0</v>
      </c>
      <c r="AC1176" s="6">
        <f>$M$1176*$W$1176</f>
        <v>237639.9736</v>
      </c>
      <c r="AD1176" s="6">
        <f>$O$1176*$X$1176</f>
        <v>235928.33380000002</v>
      </c>
      <c r="AE1176" s="6">
        <f>$K$1176*$Y$1176</f>
        <v>0</v>
      </c>
      <c r="AF1176" s="6">
        <f ca="1">$M$1176*$Z$1176</f>
        <v>318045.43032458215</v>
      </c>
      <c r="AG1176" s="6">
        <f>$O$1176*$AA$1176</f>
        <v>234036.81579359717</v>
      </c>
    </row>
    <row r="1177" spans="1:33" ht="11.25" customHeight="1" x14ac:dyDescent="0.25">
      <c r="A1177" s="4" t="s">
        <v>28</v>
      </c>
      <c r="B1177" s="4" t="s">
        <v>37</v>
      </c>
      <c r="C1177" s="4" t="s">
        <v>23</v>
      </c>
      <c r="D1177" s="4" t="s">
        <v>38</v>
      </c>
      <c r="E1177" s="4" t="s">
        <v>25</v>
      </c>
      <c r="F1177" s="4" t="s">
        <v>25</v>
      </c>
      <c r="G1177" s="4" t="s">
        <v>25</v>
      </c>
      <c r="H1177" s="4" t="s">
        <v>25</v>
      </c>
      <c r="I1177" s="5">
        <v>44440</v>
      </c>
      <c r="J1177" s="6">
        <v>0</v>
      </c>
      <c r="K1177" s="6">
        <v>0</v>
      </c>
      <c r="L1177" s="6">
        <v>39.854999999999997</v>
      </c>
      <c r="M1177" s="6">
        <v>39.854999999999997</v>
      </c>
      <c r="N1177" s="6">
        <v>39.854999999999997</v>
      </c>
      <c r="O1177" s="6">
        <v>39.854999999999997</v>
      </c>
      <c r="P1177" s="6">
        <v>73</v>
      </c>
      <c r="Q1177" s="4" t="s">
        <v>26</v>
      </c>
      <c r="R1177" s="4">
        <v>0</v>
      </c>
      <c r="S1177" s="6">
        <v>0</v>
      </c>
      <c r="T1177" s="6">
        <v>44</v>
      </c>
      <c r="U1177" s="6">
        <v>81</v>
      </c>
      <c r="V1177" s="6">
        <f>IF(ISERROR(VLOOKUP($S$1177,'TAR FIN'!$A$1:$O$85,15,0)),0,VLOOKUP($S$1177,'TAR FIN'!$A$1:$O$85,15,0))</f>
        <v>0</v>
      </c>
      <c r="W1177" s="6">
        <f>IF(ISERROR(VLOOKUP($T$1177,'TAR FIN'!$A$1:$O$85,15,0)),0,VLOOKUP($T$1177,'TAR FIN'!$A$1:$O$85,15,0))</f>
        <v>324.88</v>
      </c>
      <c r="X1177" s="6">
        <f>IF(ISERROR(VLOOKUP($U$1177,'TAR FIN'!$A$1:$O$85,15,0)),0,VLOOKUP($U$1177,'TAR FIN'!$A$1:$O$85,15,0))</f>
        <v>322.54000000000002</v>
      </c>
      <c r="Y1177" s="6"/>
      <c r="Z1177" s="6">
        <f ca="1">('TUSD BE'!$AM$48+'TUSD BF'!$AM$48+'TUSD CVA'!$AM$48)*1</f>
        <v>434.80310925202969</v>
      </c>
      <c r="AA1177" s="6">
        <f>('TE BE'!$AB$38+'TE BF'!$AB$38+'TE CVA'!$AB$38)*1</f>
        <v>319.954086693367</v>
      </c>
      <c r="AB1177" s="6">
        <f>$K$1177*$V$1177</f>
        <v>0</v>
      </c>
      <c r="AC1177" s="6">
        <f>$M$1177*$W$1177</f>
        <v>12948.0924</v>
      </c>
      <c r="AD1177" s="6">
        <f>$O$1177*$X$1177</f>
        <v>12854.831700000001</v>
      </c>
      <c r="AE1177" s="6">
        <f>$K$1177*$Y$1177</f>
        <v>0</v>
      </c>
      <c r="AF1177" s="6">
        <f ca="1">$M$1177*$Z$1177</f>
        <v>17329.07791923964</v>
      </c>
      <c r="AG1177" s="6">
        <f>$O$1177*$AA$1177</f>
        <v>12751.770125164141</v>
      </c>
    </row>
    <row r="1178" spans="1:33" ht="11.25" customHeight="1" x14ac:dyDescent="0.25">
      <c r="A1178" s="4" t="s">
        <v>21</v>
      </c>
      <c r="B1178" s="4" t="s">
        <v>37</v>
      </c>
      <c r="C1178" s="4" t="s">
        <v>23</v>
      </c>
      <c r="D1178" s="4" t="s">
        <v>38</v>
      </c>
      <c r="E1178" s="4" t="s">
        <v>25</v>
      </c>
      <c r="F1178" s="4" t="s">
        <v>25</v>
      </c>
      <c r="G1178" s="4" t="s">
        <v>25</v>
      </c>
      <c r="H1178" s="4" t="s">
        <v>25</v>
      </c>
      <c r="I1178" s="5">
        <v>44470</v>
      </c>
      <c r="J1178" s="6">
        <v>0</v>
      </c>
      <c r="K1178" s="6">
        <v>0</v>
      </c>
      <c r="L1178" s="6">
        <v>746.83100000000002</v>
      </c>
      <c r="M1178" s="6">
        <v>746.83100000000002</v>
      </c>
      <c r="N1178" s="6">
        <v>746.83100000000002</v>
      </c>
      <c r="O1178" s="6">
        <v>746.83100000000002</v>
      </c>
      <c r="P1178" s="6">
        <v>1395</v>
      </c>
      <c r="Q1178" s="4" t="s">
        <v>26</v>
      </c>
      <c r="R1178" s="4">
        <v>0</v>
      </c>
      <c r="S1178" s="6">
        <v>0</v>
      </c>
      <c r="T1178" s="6">
        <v>44</v>
      </c>
      <c r="U1178" s="6">
        <v>81</v>
      </c>
      <c r="V1178" s="6">
        <f>IF(ISERROR(VLOOKUP($S$1178,'TAR FIN'!$A$1:$O$85,15,0)),0,VLOOKUP($S$1178,'TAR FIN'!$A$1:$O$85,15,0))</f>
        <v>0</v>
      </c>
      <c r="W1178" s="6">
        <f>IF(ISERROR(VLOOKUP($T$1178,'TAR FIN'!$A$1:$O$85,15,0)),0,VLOOKUP($T$1178,'TAR FIN'!$A$1:$O$85,15,0))</f>
        <v>324.88</v>
      </c>
      <c r="X1178" s="6">
        <f>IF(ISERROR(VLOOKUP($U$1178,'TAR FIN'!$A$1:$O$85,15,0)),0,VLOOKUP($U$1178,'TAR FIN'!$A$1:$O$85,15,0))</f>
        <v>322.54000000000002</v>
      </c>
      <c r="Y1178" s="6"/>
      <c r="Z1178" s="6">
        <f ca="1">('TUSD BE'!$AM$48+'TUSD BF'!$AM$48+'TUSD CVA'!$AM$48)*1</f>
        <v>434.80310925202969</v>
      </c>
      <c r="AA1178" s="6">
        <f>('TE BE'!$AB$38+'TE BF'!$AB$38+'TE CVA'!$AB$38)*1</f>
        <v>319.954086693367</v>
      </c>
      <c r="AB1178" s="6">
        <f>$K$1178*$V$1178</f>
        <v>0</v>
      </c>
      <c r="AC1178" s="6">
        <f>$M$1178*$W$1178</f>
        <v>242630.45527999999</v>
      </c>
      <c r="AD1178" s="6">
        <f>$O$1178*$X$1178</f>
        <v>240882.87074000001</v>
      </c>
      <c r="AE1178" s="6">
        <f>$K$1178*$Y$1178</f>
        <v>0</v>
      </c>
      <c r="AF1178" s="6">
        <f ca="1">$M$1178*$Z$1178</f>
        <v>324724.44088580261</v>
      </c>
      <c r="AG1178" s="6">
        <f>$O$1178*$AA$1178</f>
        <v>238951.63051929398</v>
      </c>
    </row>
    <row r="1179" spans="1:33" ht="11.25" customHeight="1" x14ac:dyDescent="0.25">
      <c r="A1179" s="4" t="s">
        <v>27</v>
      </c>
      <c r="B1179" s="4" t="s">
        <v>37</v>
      </c>
      <c r="C1179" s="4" t="s">
        <v>23</v>
      </c>
      <c r="D1179" s="4" t="s">
        <v>38</v>
      </c>
      <c r="E1179" s="4" t="s">
        <v>25</v>
      </c>
      <c r="F1179" s="4" t="s">
        <v>25</v>
      </c>
      <c r="G1179" s="4" t="s">
        <v>25</v>
      </c>
      <c r="H1179" s="4" t="s">
        <v>25</v>
      </c>
      <c r="I1179" s="5">
        <v>44470</v>
      </c>
      <c r="J1179" s="6">
        <v>0</v>
      </c>
      <c r="K1179" s="6">
        <v>0</v>
      </c>
      <c r="L1179" s="6">
        <v>-7.0129999999999999</v>
      </c>
      <c r="M1179" s="6">
        <v>-7.0129999999999999</v>
      </c>
      <c r="N1179" s="6">
        <v>-7.0129999999999999</v>
      </c>
      <c r="O1179" s="6">
        <v>-7.0129999999999999</v>
      </c>
      <c r="P1179" s="6">
        <v>0</v>
      </c>
      <c r="Q1179" s="4" t="s">
        <v>26</v>
      </c>
      <c r="R1179" s="4">
        <v>0</v>
      </c>
      <c r="S1179" s="6">
        <v>0</v>
      </c>
      <c r="T1179" s="6">
        <v>44</v>
      </c>
      <c r="U1179" s="6">
        <v>81</v>
      </c>
      <c r="V1179" s="6">
        <f>IF(ISERROR(VLOOKUP($S$1179,'TAR FIN'!$A$1:$O$85,15,0)),0,VLOOKUP($S$1179,'TAR FIN'!$A$1:$O$85,15,0))</f>
        <v>0</v>
      </c>
      <c r="W1179" s="6">
        <f>IF(ISERROR(VLOOKUP($T$1179,'TAR FIN'!$A$1:$O$85,15,0)),0,VLOOKUP($T$1179,'TAR FIN'!$A$1:$O$85,15,0))</f>
        <v>324.88</v>
      </c>
      <c r="X1179" s="6">
        <f>IF(ISERROR(VLOOKUP($U$1179,'TAR FIN'!$A$1:$O$85,15,0)),0,VLOOKUP($U$1179,'TAR FIN'!$A$1:$O$85,15,0))</f>
        <v>322.54000000000002</v>
      </c>
      <c r="Y1179" s="6"/>
      <c r="Z1179" s="6">
        <f ca="1">('TUSD BE'!$AM$48+'TUSD BF'!$AM$48+'TUSD CVA'!$AM$48)*1</f>
        <v>434.80310925202969</v>
      </c>
      <c r="AA1179" s="6">
        <f>('TE BE'!$AB$38+'TE BF'!$AB$38+'TE CVA'!$AB$38)*1</f>
        <v>319.954086693367</v>
      </c>
      <c r="AB1179" s="6">
        <f>$K$1179*$V$1179</f>
        <v>0</v>
      </c>
      <c r="AC1179" s="6">
        <f>$M$1179*$W$1179</f>
        <v>-2278.3834400000001</v>
      </c>
      <c r="AD1179" s="6">
        <f>$O$1179*$X$1179</f>
        <v>-2261.9730199999999</v>
      </c>
      <c r="AE1179" s="6">
        <f>$K$1179*$Y$1179</f>
        <v>0</v>
      </c>
      <c r="AF1179" s="6">
        <f ca="1">$M$1179*$Z$1179</f>
        <v>-3049.2742051844843</v>
      </c>
      <c r="AG1179" s="6">
        <f>$O$1179*$AA$1179</f>
        <v>-2243.8380099805827</v>
      </c>
    </row>
    <row r="1180" spans="1:33" ht="11.25" customHeight="1" x14ac:dyDescent="0.25">
      <c r="A1180" s="4" t="s">
        <v>28</v>
      </c>
      <c r="B1180" s="4" t="s">
        <v>37</v>
      </c>
      <c r="C1180" s="4" t="s">
        <v>23</v>
      </c>
      <c r="D1180" s="4" t="s">
        <v>38</v>
      </c>
      <c r="E1180" s="4" t="s">
        <v>25</v>
      </c>
      <c r="F1180" s="4" t="s">
        <v>25</v>
      </c>
      <c r="G1180" s="4" t="s">
        <v>25</v>
      </c>
      <c r="H1180" s="4" t="s">
        <v>25</v>
      </c>
      <c r="I1180" s="5">
        <v>44470</v>
      </c>
      <c r="J1180" s="6">
        <v>0</v>
      </c>
      <c r="K1180" s="6">
        <v>0</v>
      </c>
      <c r="L1180" s="6">
        <v>53.616999999999997</v>
      </c>
      <c r="M1180" s="6">
        <v>53.616999999999997</v>
      </c>
      <c r="N1180" s="6">
        <v>53.616999999999997</v>
      </c>
      <c r="O1180" s="6">
        <v>53.616999999999997</v>
      </c>
      <c r="P1180" s="6">
        <v>76</v>
      </c>
      <c r="Q1180" s="4" t="s">
        <v>26</v>
      </c>
      <c r="R1180" s="4">
        <v>0</v>
      </c>
      <c r="S1180" s="6">
        <v>0</v>
      </c>
      <c r="T1180" s="6">
        <v>44</v>
      </c>
      <c r="U1180" s="6">
        <v>81</v>
      </c>
      <c r="V1180" s="6">
        <f>IF(ISERROR(VLOOKUP($S$1180,'TAR FIN'!$A$1:$O$85,15,0)),0,VLOOKUP($S$1180,'TAR FIN'!$A$1:$O$85,15,0))</f>
        <v>0</v>
      </c>
      <c r="W1180" s="6">
        <f>IF(ISERROR(VLOOKUP($T$1180,'TAR FIN'!$A$1:$O$85,15,0)),0,VLOOKUP($T$1180,'TAR FIN'!$A$1:$O$85,15,0))</f>
        <v>324.88</v>
      </c>
      <c r="X1180" s="6">
        <f>IF(ISERROR(VLOOKUP($U$1180,'TAR FIN'!$A$1:$O$85,15,0)),0,VLOOKUP($U$1180,'TAR FIN'!$A$1:$O$85,15,0))</f>
        <v>322.54000000000002</v>
      </c>
      <c r="Y1180" s="6"/>
      <c r="Z1180" s="6">
        <f ca="1">('TUSD BE'!$AM$48+'TUSD BF'!$AM$48+'TUSD CVA'!$AM$48)*1</f>
        <v>434.80310925202969</v>
      </c>
      <c r="AA1180" s="6">
        <f>('TE BE'!$AB$38+'TE BF'!$AB$38+'TE CVA'!$AB$38)*1</f>
        <v>319.954086693367</v>
      </c>
      <c r="AB1180" s="6">
        <f>$K$1180*$V$1180</f>
        <v>0</v>
      </c>
      <c r="AC1180" s="6">
        <f>$M$1180*$W$1180</f>
        <v>17419.090959999998</v>
      </c>
      <c r="AD1180" s="6">
        <f>$O$1180*$X$1180</f>
        <v>17293.627179999999</v>
      </c>
      <c r="AE1180" s="6">
        <f>$K$1180*$Y$1180</f>
        <v>0</v>
      </c>
      <c r="AF1180" s="6">
        <f ca="1">$M$1180*$Z$1180</f>
        <v>23312.838308766073</v>
      </c>
      <c r="AG1180" s="6">
        <f>$O$1180*$AA$1180</f>
        <v>17154.978266238257</v>
      </c>
    </row>
    <row r="1181" spans="1:33" ht="11.25" customHeight="1" x14ac:dyDescent="0.25">
      <c r="A1181" s="4" t="s">
        <v>28</v>
      </c>
      <c r="B1181" s="4" t="s">
        <v>37</v>
      </c>
      <c r="C1181" s="4" t="s">
        <v>23</v>
      </c>
      <c r="D1181" s="4" t="s">
        <v>38</v>
      </c>
      <c r="E1181" s="4" t="s">
        <v>25</v>
      </c>
      <c r="F1181" s="4" t="s">
        <v>25</v>
      </c>
      <c r="G1181" s="4" t="s">
        <v>25</v>
      </c>
      <c r="H1181" s="4" t="s">
        <v>25</v>
      </c>
      <c r="I1181" s="5">
        <v>44470</v>
      </c>
      <c r="J1181" s="6">
        <v>0</v>
      </c>
      <c r="K1181" s="6">
        <v>0</v>
      </c>
      <c r="L1181" s="6">
        <v>5.0999999999999996</v>
      </c>
      <c r="M1181" s="6">
        <v>5.0999999999999996</v>
      </c>
      <c r="N1181" s="6">
        <v>5.0999999999999996</v>
      </c>
      <c r="O1181" s="6">
        <v>5.0999999999999996</v>
      </c>
      <c r="P1181" s="6">
        <v>1</v>
      </c>
      <c r="Q1181" s="4" t="s">
        <v>26</v>
      </c>
      <c r="R1181" s="4">
        <v>0</v>
      </c>
      <c r="S1181" s="6">
        <v>0</v>
      </c>
      <c r="T1181" s="6">
        <v>44</v>
      </c>
      <c r="U1181" s="6">
        <v>81</v>
      </c>
      <c r="V1181" s="6">
        <f>IF(ISERROR(VLOOKUP($S$1181,'TAR FIN'!$A$1:$O$85,15,0)),0,VLOOKUP($S$1181,'TAR FIN'!$A$1:$O$85,15,0))</f>
        <v>0</v>
      </c>
      <c r="W1181" s="6">
        <f>IF(ISERROR(VLOOKUP($T$1181,'TAR FIN'!$A$1:$O$85,15,0)),0,VLOOKUP($T$1181,'TAR FIN'!$A$1:$O$85,15,0))</f>
        <v>324.88</v>
      </c>
      <c r="X1181" s="6">
        <f>IF(ISERROR(VLOOKUP($U$1181,'TAR FIN'!$A$1:$O$85,15,0)),0,VLOOKUP($U$1181,'TAR FIN'!$A$1:$O$85,15,0))</f>
        <v>322.54000000000002</v>
      </c>
      <c r="Y1181" s="6"/>
      <c r="Z1181" s="6">
        <f ca="1">('TUSD BE'!$AM$48+'TUSD BF'!$AM$48+'TUSD CVA'!$AM$48)*1</f>
        <v>434.80310925202969</v>
      </c>
      <c r="AA1181" s="6">
        <f>('TE BE'!$AB$38+'TE BF'!$AB$38+'TE CVA'!$AB$38)*1</f>
        <v>319.954086693367</v>
      </c>
      <c r="AB1181" s="6">
        <f>$K$1181*$V$1181</f>
        <v>0</v>
      </c>
      <c r="AC1181" s="6">
        <f>$M$1181*$W$1181</f>
        <v>1656.8879999999999</v>
      </c>
      <c r="AD1181" s="6">
        <f>$O$1181*$X$1181</f>
        <v>1644.954</v>
      </c>
      <c r="AE1181" s="6">
        <f>$K$1181*$Y$1181</f>
        <v>0</v>
      </c>
      <c r="AF1181" s="6">
        <f ca="1">$M$1181*$Z$1181</f>
        <v>2217.4958571853513</v>
      </c>
      <c r="AG1181" s="6">
        <f>$O$1181*$AA$1181</f>
        <v>1631.7658421361716</v>
      </c>
    </row>
    <row r="1182" spans="1:33" ht="11.25" customHeight="1" x14ac:dyDescent="0.25">
      <c r="A1182" s="4" t="s">
        <v>21</v>
      </c>
      <c r="B1182" s="4" t="s">
        <v>37</v>
      </c>
      <c r="C1182" s="4" t="s">
        <v>23</v>
      </c>
      <c r="D1182" s="4" t="s">
        <v>38</v>
      </c>
      <c r="E1182" s="4" t="s">
        <v>25</v>
      </c>
      <c r="F1182" s="4" t="s">
        <v>25</v>
      </c>
      <c r="G1182" s="4" t="s">
        <v>25</v>
      </c>
      <c r="H1182" s="4" t="s">
        <v>25</v>
      </c>
      <c r="I1182" s="5">
        <v>44501</v>
      </c>
      <c r="J1182" s="6">
        <v>0</v>
      </c>
      <c r="K1182" s="6">
        <v>0</v>
      </c>
      <c r="L1182" s="6">
        <v>714.52</v>
      </c>
      <c r="M1182" s="6">
        <v>714.52</v>
      </c>
      <c r="N1182" s="6">
        <v>714.52</v>
      </c>
      <c r="O1182" s="6">
        <v>714.52</v>
      </c>
      <c r="P1182" s="6">
        <v>1395</v>
      </c>
      <c r="Q1182" s="4" t="s">
        <v>26</v>
      </c>
      <c r="R1182" s="4">
        <v>0</v>
      </c>
      <c r="S1182" s="6">
        <v>0</v>
      </c>
      <c r="T1182" s="6">
        <v>44</v>
      </c>
      <c r="U1182" s="6">
        <v>81</v>
      </c>
      <c r="V1182" s="6">
        <f>IF(ISERROR(VLOOKUP($S$1182,'TAR FIN'!$A$1:$O$85,15,0)),0,VLOOKUP($S$1182,'TAR FIN'!$A$1:$O$85,15,0))</f>
        <v>0</v>
      </c>
      <c r="W1182" s="6">
        <f>IF(ISERROR(VLOOKUP($T$1182,'TAR FIN'!$A$1:$O$85,15,0)),0,VLOOKUP($T$1182,'TAR FIN'!$A$1:$O$85,15,0))</f>
        <v>324.88</v>
      </c>
      <c r="X1182" s="6">
        <f>IF(ISERROR(VLOOKUP($U$1182,'TAR FIN'!$A$1:$O$85,15,0)),0,VLOOKUP($U$1182,'TAR FIN'!$A$1:$O$85,15,0))</f>
        <v>322.54000000000002</v>
      </c>
      <c r="Y1182" s="6"/>
      <c r="Z1182" s="6">
        <f ca="1">('TUSD BE'!$AM$48+'TUSD BF'!$AM$48+'TUSD CVA'!$AM$48)*1</f>
        <v>434.80310925202969</v>
      </c>
      <c r="AA1182" s="6">
        <f>('TE BE'!$AB$38+'TE BF'!$AB$38+'TE CVA'!$AB$38)*1</f>
        <v>319.954086693367</v>
      </c>
      <c r="AB1182" s="6">
        <f>$K$1182*$V$1182</f>
        <v>0</v>
      </c>
      <c r="AC1182" s="6">
        <f>$M$1182*$W$1182</f>
        <v>232133.25759999998</v>
      </c>
      <c r="AD1182" s="6">
        <f>$O$1182*$X$1182</f>
        <v>230461.28080000001</v>
      </c>
      <c r="AE1182" s="6">
        <f>$K$1182*$Y$1182</f>
        <v>0</v>
      </c>
      <c r="AF1182" s="6">
        <f ca="1">$M$1182*$Z$1182</f>
        <v>310675.51762276026</v>
      </c>
      <c r="AG1182" s="6">
        <f>$O$1182*$AA$1182</f>
        <v>228613.59402414458</v>
      </c>
    </row>
    <row r="1183" spans="1:33" ht="11.25" customHeight="1" x14ac:dyDescent="0.25">
      <c r="A1183" s="4" t="s">
        <v>27</v>
      </c>
      <c r="B1183" s="4" t="s">
        <v>37</v>
      </c>
      <c r="C1183" s="4" t="s">
        <v>23</v>
      </c>
      <c r="D1183" s="4" t="s">
        <v>38</v>
      </c>
      <c r="E1183" s="4" t="s">
        <v>25</v>
      </c>
      <c r="F1183" s="4" t="s">
        <v>25</v>
      </c>
      <c r="G1183" s="4" t="s">
        <v>25</v>
      </c>
      <c r="H1183" s="4" t="s">
        <v>25</v>
      </c>
      <c r="I1183" s="5">
        <v>44501</v>
      </c>
      <c r="J1183" s="6">
        <v>0</v>
      </c>
      <c r="K1183" s="6">
        <v>0</v>
      </c>
      <c r="L1183" s="6">
        <v>4.3999999999999997E-2</v>
      </c>
      <c r="M1183" s="6">
        <v>4.3999999999999997E-2</v>
      </c>
      <c r="N1183" s="6">
        <v>4.3999999999999997E-2</v>
      </c>
      <c r="O1183" s="6">
        <v>4.3999999999999997E-2</v>
      </c>
      <c r="P1183" s="6">
        <v>1</v>
      </c>
      <c r="Q1183" s="4" t="s">
        <v>26</v>
      </c>
      <c r="R1183" s="4">
        <v>0</v>
      </c>
      <c r="S1183" s="6">
        <v>0</v>
      </c>
      <c r="T1183" s="6">
        <v>44</v>
      </c>
      <c r="U1183" s="6">
        <v>81</v>
      </c>
      <c r="V1183" s="6">
        <f>IF(ISERROR(VLOOKUP($S$1183,'TAR FIN'!$A$1:$O$85,15,0)),0,VLOOKUP($S$1183,'TAR FIN'!$A$1:$O$85,15,0))</f>
        <v>0</v>
      </c>
      <c r="W1183" s="6">
        <f>IF(ISERROR(VLOOKUP($T$1183,'TAR FIN'!$A$1:$O$85,15,0)),0,VLOOKUP($T$1183,'TAR FIN'!$A$1:$O$85,15,0))</f>
        <v>324.88</v>
      </c>
      <c r="X1183" s="6">
        <f>IF(ISERROR(VLOOKUP($U$1183,'TAR FIN'!$A$1:$O$85,15,0)),0,VLOOKUP($U$1183,'TAR FIN'!$A$1:$O$85,15,0))</f>
        <v>322.54000000000002</v>
      </c>
      <c r="Y1183" s="6"/>
      <c r="Z1183" s="6">
        <f ca="1">('TUSD BE'!$AM$48+'TUSD BF'!$AM$48+'TUSD CVA'!$AM$48)*1</f>
        <v>434.80310925202969</v>
      </c>
      <c r="AA1183" s="6">
        <f>('TE BE'!$AB$38+'TE BF'!$AB$38+'TE CVA'!$AB$38)*1</f>
        <v>319.954086693367</v>
      </c>
      <c r="AB1183" s="6">
        <f>$K$1183*$V$1183</f>
        <v>0</v>
      </c>
      <c r="AC1183" s="6">
        <f>$M$1183*$W$1183</f>
        <v>14.294719999999998</v>
      </c>
      <c r="AD1183" s="6">
        <f>$O$1183*$X$1183</f>
        <v>14.19176</v>
      </c>
      <c r="AE1183" s="6">
        <f>$K$1183*$Y$1183</f>
        <v>0</v>
      </c>
      <c r="AF1183" s="6">
        <f ca="1">$M$1183*$Z$1183</f>
        <v>19.131336807089305</v>
      </c>
      <c r="AG1183" s="6">
        <f>$O$1183*$AA$1183</f>
        <v>14.077979814508147</v>
      </c>
    </row>
    <row r="1184" spans="1:33" ht="11.25" customHeight="1" x14ac:dyDescent="0.25">
      <c r="A1184" s="4" t="s">
        <v>28</v>
      </c>
      <c r="B1184" s="4" t="s">
        <v>37</v>
      </c>
      <c r="C1184" s="4" t="s">
        <v>23</v>
      </c>
      <c r="D1184" s="4" t="s">
        <v>38</v>
      </c>
      <c r="E1184" s="4" t="s">
        <v>25</v>
      </c>
      <c r="F1184" s="4" t="s">
        <v>25</v>
      </c>
      <c r="G1184" s="4" t="s">
        <v>25</v>
      </c>
      <c r="H1184" s="4" t="s">
        <v>25</v>
      </c>
      <c r="I1184" s="5">
        <v>44501</v>
      </c>
      <c r="J1184" s="6">
        <v>0</v>
      </c>
      <c r="K1184" s="6">
        <v>0</v>
      </c>
      <c r="L1184" s="6">
        <v>50.514000000000003</v>
      </c>
      <c r="M1184" s="6">
        <v>50.514000000000003</v>
      </c>
      <c r="N1184" s="6">
        <v>50.514000000000003</v>
      </c>
      <c r="O1184" s="6">
        <v>50.514000000000003</v>
      </c>
      <c r="P1184" s="6">
        <v>83</v>
      </c>
      <c r="Q1184" s="4" t="s">
        <v>26</v>
      </c>
      <c r="R1184" s="4">
        <v>0</v>
      </c>
      <c r="S1184" s="6">
        <v>0</v>
      </c>
      <c r="T1184" s="6">
        <v>44</v>
      </c>
      <c r="U1184" s="6">
        <v>81</v>
      </c>
      <c r="V1184" s="6">
        <f>IF(ISERROR(VLOOKUP($S$1184,'TAR FIN'!$A$1:$O$85,15,0)),0,VLOOKUP($S$1184,'TAR FIN'!$A$1:$O$85,15,0))</f>
        <v>0</v>
      </c>
      <c r="W1184" s="6">
        <f>IF(ISERROR(VLOOKUP($T$1184,'TAR FIN'!$A$1:$O$85,15,0)),0,VLOOKUP($T$1184,'TAR FIN'!$A$1:$O$85,15,0))</f>
        <v>324.88</v>
      </c>
      <c r="X1184" s="6">
        <f>IF(ISERROR(VLOOKUP($U$1184,'TAR FIN'!$A$1:$O$85,15,0)),0,VLOOKUP($U$1184,'TAR FIN'!$A$1:$O$85,15,0))</f>
        <v>322.54000000000002</v>
      </c>
      <c r="Y1184" s="6"/>
      <c r="Z1184" s="6">
        <f ca="1">('TUSD BE'!$AM$48+'TUSD BF'!$AM$48+'TUSD CVA'!$AM$48)*1</f>
        <v>434.80310925202969</v>
      </c>
      <c r="AA1184" s="6">
        <f>('TE BE'!$AB$38+'TE BF'!$AB$38+'TE CVA'!$AB$38)*1</f>
        <v>319.954086693367</v>
      </c>
      <c r="AB1184" s="6">
        <f>$K$1184*$V$1184</f>
        <v>0</v>
      </c>
      <c r="AC1184" s="6">
        <f>$M$1184*$W$1184</f>
        <v>16410.98832</v>
      </c>
      <c r="AD1184" s="6">
        <f>$O$1184*$X$1184</f>
        <v>16292.785560000002</v>
      </c>
      <c r="AE1184" s="6">
        <f>$K$1184*$Y$1184</f>
        <v>0</v>
      </c>
      <c r="AF1184" s="6">
        <f ca="1">$M$1184*$Z$1184</f>
        <v>21963.644260757028</v>
      </c>
      <c r="AG1184" s="6">
        <f>$O$1184*$AA$1184</f>
        <v>16162.160735228741</v>
      </c>
    </row>
    <row r="1185" spans="1:33" ht="11.25" customHeight="1" x14ac:dyDescent="0.25">
      <c r="A1185" s="4" t="s">
        <v>28</v>
      </c>
      <c r="B1185" s="4" t="s">
        <v>37</v>
      </c>
      <c r="C1185" s="4" t="s">
        <v>23</v>
      </c>
      <c r="D1185" s="4" t="s">
        <v>38</v>
      </c>
      <c r="E1185" s="4" t="s">
        <v>25</v>
      </c>
      <c r="F1185" s="4" t="s">
        <v>25</v>
      </c>
      <c r="G1185" s="4" t="s">
        <v>25</v>
      </c>
      <c r="H1185" s="4" t="s">
        <v>25</v>
      </c>
      <c r="I1185" s="5">
        <v>44501</v>
      </c>
      <c r="J1185" s="6">
        <v>0</v>
      </c>
      <c r="K1185" s="6">
        <v>0</v>
      </c>
      <c r="L1185" s="6">
        <v>1.26</v>
      </c>
      <c r="M1185" s="6">
        <v>1.26</v>
      </c>
      <c r="N1185" s="6">
        <v>1.26</v>
      </c>
      <c r="O1185" s="6">
        <v>1.26</v>
      </c>
      <c r="P1185" s="6">
        <v>1</v>
      </c>
      <c r="Q1185" s="4" t="s">
        <v>26</v>
      </c>
      <c r="R1185" s="4">
        <v>0</v>
      </c>
      <c r="S1185" s="6">
        <v>0</v>
      </c>
      <c r="T1185" s="6">
        <v>44</v>
      </c>
      <c r="U1185" s="6">
        <v>81</v>
      </c>
      <c r="V1185" s="6">
        <f>IF(ISERROR(VLOOKUP($S$1185,'TAR FIN'!$A$1:$O$85,15,0)),0,VLOOKUP($S$1185,'TAR FIN'!$A$1:$O$85,15,0))</f>
        <v>0</v>
      </c>
      <c r="W1185" s="6">
        <f>IF(ISERROR(VLOOKUP($T$1185,'TAR FIN'!$A$1:$O$85,15,0)),0,VLOOKUP($T$1185,'TAR FIN'!$A$1:$O$85,15,0))</f>
        <v>324.88</v>
      </c>
      <c r="X1185" s="6">
        <f>IF(ISERROR(VLOOKUP($U$1185,'TAR FIN'!$A$1:$O$85,15,0)),0,VLOOKUP($U$1185,'TAR FIN'!$A$1:$O$85,15,0))</f>
        <v>322.54000000000002</v>
      </c>
      <c r="Y1185" s="6"/>
      <c r="Z1185" s="6">
        <f ca="1">('TUSD BE'!$AM$48+'TUSD BF'!$AM$48+'TUSD CVA'!$AM$48)*1</f>
        <v>434.80310925202969</v>
      </c>
      <c r="AA1185" s="6">
        <f>('TE BE'!$AB$38+'TE BF'!$AB$38+'TE CVA'!$AB$38)*1</f>
        <v>319.954086693367</v>
      </c>
      <c r="AB1185" s="6">
        <f>$K$1185*$V$1185</f>
        <v>0</v>
      </c>
      <c r="AC1185" s="6">
        <f>$M$1185*$W$1185</f>
        <v>409.34879999999998</v>
      </c>
      <c r="AD1185" s="6">
        <f>$O$1185*$X$1185</f>
        <v>406.40040000000005</v>
      </c>
      <c r="AE1185" s="6">
        <f>$K$1185*$Y$1185</f>
        <v>0</v>
      </c>
      <c r="AF1185" s="6">
        <f ca="1">$M$1185*$Z$1185</f>
        <v>547.85191765755735</v>
      </c>
      <c r="AG1185" s="6">
        <f>$O$1185*$AA$1185</f>
        <v>403.14214923364244</v>
      </c>
    </row>
    <row r="1186" spans="1:33" ht="11.25" customHeight="1" x14ac:dyDescent="0.25">
      <c r="A1186" s="4" t="s">
        <v>21</v>
      </c>
      <c r="B1186" s="4" t="s">
        <v>37</v>
      </c>
      <c r="C1186" s="4" t="s">
        <v>23</v>
      </c>
      <c r="D1186" s="4" t="s">
        <v>38</v>
      </c>
      <c r="E1186" s="4" t="s">
        <v>25</v>
      </c>
      <c r="F1186" s="4" t="s">
        <v>25</v>
      </c>
      <c r="G1186" s="4" t="s">
        <v>25</v>
      </c>
      <c r="H1186" s="4" t="s">
        <v>25</v>
      </c>
      <c r="I1186" s="5">
        <v>44531</v>
      </c>
      <c r="J1186" s="6">
        <v>0</v>
      </c>
      <c r="K1186" s="6">
        <v>0</v>
      </c>
      <c r="L1186" s="6">
        <v>744.52499999999998</v>
      </c>
      <c r="M1186" s="6">
        <v>744.52499999999998</v>
      </c>
      <c r="N1186" s="6">
        <v>744.52499999999998</v>
      </c>
      <c r="O1186" s="6">
        <v>744.52499999999998</v>
      </c>
      <c r="P1186" s="6">
        <v>1413</v>
      </c>
      <c r="Q1186" s="4" t="s">
        <v>26</v>
      </c>
      <c r="R1186" s="4">
        <v>0</v>
      </c>
      <c r="S1186" s="6">
        <v>0</v>
      </c>
      <c r="T1186" s="6">
        <v>44</v>
      </c>
      <c r="U1186" s="6">
        <v>81</v>
      </c>
      <c r="V1186" s="6">
        <f>IF(ISERROR(VLOOKUP($S$1186,'TAR FIN'!$A$1:$O$85,15,0)),0,VLOOKUP($S$1186,'TAR FIN'!$A$1:$O$85,15,0))</f>
        <v>0</v>
      </c>
      <c r="W1186" s="6">
        <f>IF(ISERROR(VLOOKUP($T$1186,'TAR FIN'!$A$1:$O$85,15,0)),0,VLOOKUP($T$1186,'TAR FIN'!$A$1:$O$85,15,0))</f>
        <v>324.88</v>
      </c>
      <c r="X1186" s="6">
        <f>IF(ISERROR(VLOOKUP($U$1186,'TAR FIN'!$A$1:$O$85,15,0)),0,VLOOKUP($U$1186,'TAR FIN'!$A$1:$O$85,15,0))</f>
        <v>322.54000000000002</v>
      </c>
      <c r="Y1186" s="6"/>
      <c r="Z1186" s="6">
        <f ca="1">('TUSD BE'!$AM$48+'TUSD BF'!$AM$48+'TUSD CVA'!$AM$48)*1</f>
        <v>434.80310925202969</v>
      </c>
      <c r="AA1186" s="6">
        <f>('TE BE'!$AB$38+'TE BF'!$AB$38+'TE CVA'!$AB$38)*1</f>
        <v>319.954086693367</v>
      </c>
      <c r="AB1186" s="6">
        <f>$K$1186*$V$1186</f>
        <v>0</v>
      </c>
      <c r="AC1186" s="6">
        <f>$M$1186*$W$1186</f>
        <v>241881.28199999998</v>
      </c>
      <c r="AD1186" s="6">
        <f>$O$1186*$X$1186</f>
        <v>240139.09350000002</v>
      </c>
      <c r="AE1186" s="6">
        <f>$K$1186*$Y$1186</f>
        <v>0</v>
      </c>
      <c r="AF1186" s="6">
        <f ca="1">$M$1186*$Z$1186</f>
        <v>323721.78491586738</v>
      </c>
      <c r="AG1186" s="6">
        <f>$O$1186*$AA$1186</f>
        <v>238213.81639537905</v>
      </c>
    </row>
    <row r="1187" spans="1:33" ht="11.25" customHeight="1" x14ac:dyDescent="0.25">
      <c r="A1187" s="4" t="s">
        <v>27</v>
      </c>
      <c r="B1187" s="4" t="s">
        <v>37</v>
      </c>
      <c r="C1187" s="4" t="s">
        <v>23</v>
      </c>
      <c r="D1187" s="4" t="s">
        <v>38</v>
      </c>
      <c r="E1187" s="4" t="s">
        <v>25</v>
      </c>
      <c r="F1187" s="4" t="s">
        <v>25</v>
      </c>
      <c r="G1187" s="4" t="s">
        <v>25</v>
      </c>
      <c r="H1187" s="4" t="s">
        <v>25</v>
      </c>
      <c r="I1187" s="5">
        <v>44531</v>
      </c>
      <c r="J1187" s="6">
        <v>0</v>
      </c>
      <c r="K1187" s="6">
        <v>0</v>
      </c>
      <c r="L1187" s="6">
        <v>0.36099999999999999</v>
      </c>
      <c r="M1187" s="6">
        <v>0.36099999999999999</v>
      </c>
      <c r="N1187" s="6">
        <v>0.36099999999999999</v>
      </c>
      <c r="O1187" s="6">
        <v>0.36099999999999999</v>
      </c>
      <c r="P1187" s="6">
        <v>3</v>
      </c>
      <c r="Q1187" s="4" t="s">
        <v>26</v>
      </c>
      <c r="R1187" s="4">
        <v>0</v>
      </c>
      <c r="S1187" s="6">
        <v>0</v>
      </c>
      <c r="T1187" s="6">
        <v>44</v>
      </c>
      <c r="U1187" s="6">
        <v>81</v>
      </c>
      <c r="V1187" s="6">
        <f>IF(ISERROR(VLOOKUP($S$1187,'TAR FIN'!$A$1:$O$85,15,0)),0,VLOOKUP($S$1187,'TAR FIN'!$A$1:$O$85,15,0))</f>
        <v>0</v>
      </c>
      <c r="W1187" s="6">
        <f>IF(ISERROR(VLOOKUP($T$1187,'TAR FIN'!$A$1:$O$85,15,0)),0,VLOOKUP($T$1187,'TAR FIN'!$A$1:$O$85,15,0))</f>
        <v>324.88</v>
      </c>
      <c r="X1187" s="6">
        <f>IF(ISERROR(VLOOKUP($U$1187,'TAR FIN'!$A$1:$O$85,15,0)),0,VLOOKUP($U$1187,'TAR FIN'!$A$1:$O$85,15,0))</f>
        <v>322.54000000000002</v>
      </c>
      <c r="Y1187" s="6"/>
      <c r="Z1187" s="6">
        <f ca="1">('TUSD BE'!$AM$48+'TUSD BF'!$AM$48+'TUSD CVA'!$AM$48)*1</f>
        <v>434.80310925202969</v>
      </c>
      <c r="AA1187" s="6">
        <f>('TE BE'!$AB$38+'TE BF'!$AB$38+'TE CVA'!$AB$38)*1</f>
        <v>319.954086693367</v>
      </c>
      <c r="AB1187" s="6">
        <f>$K$1187*$V$1187</f>
        <v>0</v>
      </c>
      <c r="AC1187" s="6">
        <f>$M$1187*$W$1187</f>
        <v>117.28167999999999</v>
      </c>
      <c r="AD1187" s="6">
        <f>$O$1187*$X$1187</f>
        <v>116.43694000000001</v>
      </c>
      <c r="AE1187" s="6">
        <f>$K$1187*$Y$1187</f>
        <v>0</v>
      </c>
      <c r="AF1187" s="6">
        <f ca="1">$M$1187*$Z$1187</f>
        <v>156.96392243998272</v>
      </c>
      <c r="AG1187" s="6">
        <f>$O$1187*$AA$1187</f>
        <v>115.50342529630548</v>
      </c>
    </row>
    <row r="1188" spans="1:33" ht="11.25" customHeight="1" x14ac:dyDescent="0.25">
      <c r="A1188" s="4" t="s">
        <v>28</v>
      </c>
      <c r="B1188" s="4" t="s">
        <v>37</v>
      </c>
      <c r="C1188" s="4" t="s">
        <v>23</v>
      </c>
      <c r="D1188" s="4" t="s">
        <v>38</v>
      </c>
      <c r="E1188" s="4" t="s">
        <v>25</v>
      </c>
      <c r="F1188" s="4" t="s">
        <v>25</v>
      </c>
      <c r="G1188" s="4" t="s">
        <v>25</v>
      </c>
      <c r="H1188" s="4" t="s">
        <v>25</v>
      </c>
      <c r="I1188" s="5">
        <v>44531</v>
      </c>
      <c r="J1188" s="6">
        <v>0</v>
      </c>
      <c r="K1188" s="6">
        <v>0</v>
      </c>
      <c r="L1188" s="6">
        <v>49.884</v>
      </c>
      <c r="M1188" s="6">
        <v>49.884</v>
      </c>
      <c r="N1188" s="6">
        <v>49.884</v>
      </c>
      <c r="O1188" s="6">
        <v>49.884</v>
      </c>
      <c r="P1188" s="6">
        <v>86</v>
      </c>
      <c r="Q1188" s="4" t="s">
        <v>26</v>
      </c>
      <c r="R1188" s="4">
        <v>0</v>
      </c>
      <c r="S1188" s="6">
        <v>0</v>
      </c>
      <c r="T1188" s="6">
        <v>44</v>
      </c>
      <c r="U1188" s="6">
        <v>81</v>
      </c>
      <c r="V1188" s="6">
        <f>IF(ISERROR(VLOOKUP($S$1188,'TAR FIN'!$A$1:$O$85,15,0)),0,VLOOKUP($S$1188,'TAR FIN'!$A$1:$O$85,15,0))</f>
        <v>0</v>
      </c>
      <c r="W1188" s="6">
        <f>IF(ISERROR(VLOOKUP($T$1188,'TAR FIN'!$A$1:$O$85,15,0)),0,VLOOKUP($T$1188,'TAR FIN'!$A$1:$O$85,15,0))</f>
        <v>324.88</v>
      </c>
      <c r="X1188" s="6">
        <f>IF(ISERROR(VLOOKUP($U$1188,'TAR FIN'!$A$1:$O$85,15,0)),0,VLOOKUP($U$1188,'TAR FIN'!$A$1:$O$85,15,0))</f>
        <v>322.54000000000002</v>
      </c>
      <c r="Y1188" s="6"/>
      <c r="Z1188" s="6">
        <f ca="1">('TUSD BE'!$AM$48+'TUSD BF'!$AM$48+'TUSD CVA'!$AM$48)*1</f>
        <v>434.80310925202969</v>
      </c>
      <c r="AA1188" s="6">
        <f>('TE BE'!$AB$38+'TE BF'!$AB$38+'TE CVA'!$AB$38)*1</f>
        <v>319.954086693367</v>
      </c>
      <c r="AB1188" s="6">
        <f>$K$1188*$V$1188</f>
        <v>0</v>
      </c>
      <c r="AC1188" s="6">
        <f>$M$1188*$W$1188</f>
        <v>16206.313920000001</v>
      </c>
      <c r="AD1188" s="6">
        <f>$O$1188*$X$1188</f>
        <v>16089.585360000001</v>
      </c>
      <c r="AE1188" s="6">
        <f>$K$1188*$Y$1188</f>
        <v>0</v>
      </c>
      <c r="AF1188" s="6">
        <f ca="1">$M$1188*$Z$1188</f>
        <v>21689.718301928249</v>
      </c>
      <c r="AG1188" s="6">
        <f>$O$1188*$AA$1188</f>
        <v>15960.58966061192</v>
      </c>
    </row>
    <row r="1189" spans="1:33" ht="11.25" customHeight="1" x14ac:dyDescent="0.25">
      <c r="A1189" s="4" t="s">
        <v>21</v>
      </c>
      <c r="B1189" s="4" t="s">
        <v>37</v>
      </c>
      <c r="C1189" s="4" t="s">
        <v>23</v>
      </c>
      <c r="D1189" s="4" t="s">
        <v>38</v>
      </c>
      <c r="E1189" s="4" t="s">
        <v>25</v>
      </c>
      <c r="F1189" s="4" t="s">
        <v>25</v>
      </c>
      <c r="G1189" s="4" t="s">
        <v>25</v>
      </c>
      <c r="H1189" s="4" t="s">
        <v>25</v>
      </c>
      <c r="I1189" s="5">
        <v>44562</v>
      </c>
      <c r="J1189" s="6">
        <v>0</v>
      </c>
      <c r="K1189" s="6">
        <v>0</v>
      </c>
      <c r="L1189" s="6">
        <v>667.91600000000005</v>
      </c>
      <c r="M1189" s="6">
        <v>667.91600000000005</v>
      </c>
      <c r="N1189" s="6">
        <v>667.91600000000005</v>
      </c>
      <c r="O1189" s="6">
        <v>667.91600000000005</v>
      </c>
      <c r="P1189" s="6">
        <v>1429</v>
      </c>
      <c r="Q1189" s="4" t="s">
        <v>26</v>
      </c>
      <c r="R1189" s="4">
        <v>0</v>
      </c>
      <c r="S1189" s="6">
        <v>0</v>
      </c>
      <c r="T1189" s="6">
        <v>44</v>
      </c>
      <c r="U1189" s="6">
        <v>81</v>
      </c>
      <c r="V1189" s="6">
        <f>IF(ISERROR(VLOOKUP($S$1189,'TAR FIN'!$A$1:$O$85,15,0)),0,VLOOKUP($S$1189,'TAR FIN'!$A$1:$O$85,15,0))</f>
        <v>0</v>
      </c>
      <c r="W1189" s="6">
        <f>IF(ISERROR(VLOOKUP($T$1189,'TAR FIN'!$A$1:$O$85,15,0)),0,VLOOKUP($T$1189,'TAR FIN'!$A$1:$O$85,15,0))</f>
        <v>324.88</v>
      </c>
      <c r="X1189" s="6">
        <f>IF(ISERROR(VLOOKUP($U$1189,'TAR FIN'!$A$1:$O$85,15,0)),0,VLOOKUP($U$1189,'TAR FIN'!$A$1:$O$85,15,0))</f>
        <v>322.54000000000002</v>
      </c>
      <c r="Y1189" s="6"/>
      <c r="Z1189" s="6">
        <f ca="1">('TUSD BE'!$AM$48+'TUSD BF'!$AM$48+'TUSD CVA'!$AM$48)*1</f>
        <v>434.80310925202969</v>
      </c>
      <c r="AA1189" s="6">
        <f>('TE BE'!$AB$38+'TE BF'!$AB$38+'TE CVA'!$AB$38)*1</f>
        <v>319.954086693367</v>
      </c>
      <c r="AB1189" s="6">
        <f>$K$1189*$V$1189</f>
        <v>0</v>
      </c>
      <c r="AC1189" s="6">
        <f>$M$1189*$W$1189</f>
        <v>216992.55008000002</v>
      </c>
      <c r="AD1189" s="6">
        <f>$O$1189*$X$1189</f>
        <v>215429.62664000003</v>
      </c>
      <c r="AE1189" s="6">
        <f>$K$1189*$Y$1189</f>
        <v>0</v>
      </c>
      <c r="AF1189" s="6">
        <f ca="1">$M$1189*$Z$1189</f>
        <v>290411.95351917867</v>
      </c>
      <c r="AG1189" s="6">
        <f>$O$1189*$AA$1189</f>
        <v>213702.45376788694</v>
      </c>
    </row>
    <row r="1190" spans="1:33" ht="11.25" customHeight="1" x14ac:dyDescent="0.25">
      <c r="A1190" s="4" t="s">
        <v>28</v>
      </c>
      <c r="B1190" s="4" t="s">
        <v>37</v>
      </c>
      <c r="C1190" s="4" t="s">
        <v>23</v>
      </c>
      <c r="D1190" s="4" t="s">
        <v>38</v>
      </c>
      <c r="E1190" s="4" t="s">
        <v>25</v>
      </c>
      <c r="F1190" s="4" t="s">
        <v>25</v>
      </c>
      <c r="G1190" s="4" t="s">
        <v>25</v>
      </c>
      <c r="H1190" s="4" t="s">
        <v>25</v>
      </c>
      <c r="I1190" s="5">
        <v>44562</v>
      </c>
      <c r="J1190" s="6">
        <v>0</v>
      </c>
      <c r="K1190" s="6">
        <v>0</v>
      </c>
      <c r="L1190" s="6">
        <v>40.204000000000001</v>
      </c>
      <c r="M1190" s="6">
        <v>40.204000000000001</v>
      </c>
      <c r="N1190" s="6">
        <v>40.204000000000001</v>
      </c>
      <c r="O1190" s="6">
        <v>40.204000000000001</v>
      </c>
      <c r="P1190" s="6">
        <v>89</v>
      </c>
      <c r="Q1190" s="4" t="s">
        <v>26</v>
      </c>
      <c r="R1190" s="4">
        <v>0</v>
      </c>
      <c r="S1190" s="6">
        <v>0</v>
      </c>
      <c r="T1190" s="6">
        <v>44</v>
      </c>
      <c r="U1190" s="6">
        <v>81</v>
      </c>
      <c r="V1190" s="6">
        <f>IF(ISERROR(VLOOKUP($S$1190,'TAR FIN'!$A$1:$O$85,15,0)),0,VLOOKUP($S$1190,'TAR FIN'!$A$1:$O$85,15,0))</f>
        <v>0</v>
      </c>
      <c r="W1190" s="6">
        <f>IF(ISERROR(VLOOKUP($T$1190,'TAR FIN'!$A$1:$O$85,15,0)),0,VLOOKUP($T$1190,'TAR FIN'!$A$1:$O$85,15,0))</f>
        <v>324.88</v>
      </c>
      <c r="X1190" s="6">
        <f>IF(ISERROR(VLOOKUP($U$1190,'TAR FIN'!$A$1:$O$85,15,0)),0,VLOOKUP($U$1190,'TAR FIN'!$A$1:$O$85,15,0))</f>
        <v>322.54000000000002</v>
      </c>
      <c r="Y1190" s="6"/>
      <c r="Z1190" s="6">
        <f ca="1">('TUSD BE'!$AM$48+'TUSD BF'!$AM$48+'TUSD CVA'!$AM$48)*1</f>
        <v>434.80310925202969</v>
      </c>
      <c r="AA1190" s="6">
        <f>('TE BE'!$AB$38+'TE BF'!$AB$38+'TE CVA'!$AB$38)*1</f>
        <v>319.954086693367</v>
      </c>
      <c r="AB1190" s="6">
        <f>$K$1190*$V$1190</f>
        <v>0</v>
      </c>
      <c r="AC1190" s="6">
        <f>$M$1190*$W$1190</f>
        <v>13061.47552</v>
      </c>
      <c r="AD1190" s="6">
        <f>$O$1190*$X$1190</f>
        <v>12967.398160000001</v>
      </c>
      <c r="AE1190" s="6">
        <f>$K$1190*$Y$1190</f>
        <v>0</v>
      </c>
      <c r="AF1190" s="6">
        <f ca="1">$M$1190*$Z$1190</f>
        <v>17480.8242043686</v>
      </c>
      <c r="AG1190" s="6">
        <f>$O$1190*$AA$1190</f>
        <v>12863.434101420127</v>
      </c>
    </row>
    <row r="1191" spans="1:33" ht="11.25" customHeight="1" x14ac:dyDescent="0.25">
      <c r="A1191" s="4" t="s">
        <v>21</v>
      </c>
      <c r="B1191" s="4" t="s">
        <v>37</v>
      </c>
      <c r="C1191" s="4" t="s">
        <v>23</v>
      </c>
      <c r="D1191" s="4" t="s">
        <v>38</v>
      </c>
      <c r="E1191" s="4" t="s">
        <v>25</v>
      </c>
      <c r="F1191" s="4" t="s">
        <v>25</v>
      </c>
      <c r="G1191" s="4" t="s">
        <v>25</v>
      </c>
      <c r="H1191" s="4" t="s">
        <v>25</v>
      </c>
      <c r="I1191" s="5">
        <v>44593</v>
      </c>
      <c r="J1191" s="6">
        <v>0</v>
      </c>
      <c r="K1191" s="6">
        <v>0</v>
      </c>
      <c r="L1191" s="6">
        <v>837.01</v>
      </c>
      <c r="M1191" s="6">
        <v>837.01</v>
      </c>
      <c r="N1191" s="6">
        <v>837.01</v>
      </c>
      <c r="O1191" s="6">
        <v>837.01</v>
      </c>
      <c r="P1191" s="6">
        <v>1438</v>
      </c>
      <c r="Q1191" s="4" t="s">
        <v>26</v>
      </c>
      <c r="R1191" s="4">
        <v>0</v>
      </c>
      <c r="S1191" s="6">
        <v>0</v>
      </c>
      <c r="T1191" s="6">
        <v>44</v>
      </c>
      <c r="U1191" s="6">
        <v>81</v>
      </c>
      <c r="V1191" s="6">
        <f>IF(ISERROR(VLOOKUP($S$1191,'TAR FIN'!$A$1:$O$85,15,0)),0,VLOOKUP($S$1191,'TAR FIN'!$A$1:$O$85,15,0))</f>
        <v>0</v>
      </c>
      <c r="W1191" s="6">
        <f>IF(ISERROR(VLOOKUP($T$1191,'TAR FIN'!$A$1:$O$85,15,0)),0,VLOOKUP($T$1191,'TAR FIN'!$A$1:$O$85,15,0))</f>
        <v>324.88</v>
      </c>
      <c r="X1191" s="6">
        <f>IF(ISERROR(VLOOKUP($U$1191,'TAR FIN'!$A$1:$O$85,15,0)),0,VLOOKUP($U$1191,'TAR FIN'!$A$1:$O$85,15,0))</f>
        <v>322.54000000000002</v>
      </c>
      <c r="Y1191" s="6"/>
      <c r="Z1191" s="6">
        <f ca="1">('TUSD BE'!$AM$48+'TUSD BF'!$AM$48+'TUSD CVA'!$AM$48)*1</f>
        <v>434.80310925202969</v>
      </c>
      <c r="AA1191" s="6">
        <f>('TE BE'!$AB$38+'TE BF'!$AB$38+'TE CVA'!$AB$38)*1</f>
        <v>319.954086693367</v>
      </c>
      <c r="AB1191" s="6">
        <f>$K$1191*$V$1191</f>
        <v>0</v>
      </c>
      <c r="AC1191" s="6">
        <f>$M$1191*$W$1191</f>
        <v>271927.8088</v>
      </c>
      <c r="AD1191" s="6">
        <f>$O$1191*$X$1191</f>
        <v>269969.20540000004</v>
      </c>
      <c r="AE1191" s="6">
        <f>$K$1191*$Y$1191</f>
        <v>0</v>
      </c>
      <c r="AF1191" s="6">
        <f ca="1">$M$1191*$Z$1191</f>
        <v>363934.55047504138</v>
      </c>
      <c r="AG1191" s="6">
        <f>$O$1191*$AA$1191</f>
        <v>267804.77010321512</v>
      </c>
    </row>
    <row r="1192" spans="1:33" ht="11.25" customHeight="1" x14ac:dyDescent="0.25">
      <c r="A1192" s="4" t="s">
        <v>27</v>
      </c>
      <c r="B1192" s="4" t="s">
        <v>37</v>
      </c>
      <c r="C1192" s="4" t="s">
        <v>23</v>
      </c>
      <c r="D1192" s="4" t="s">
        <v>38</v>
      </c>
      <c r="E1192" s="4" t="s">
        <v>25</v>
      </c>
      <c r="F1192" s="4" t="s">
        <v>25</v>
      </c>
      <c r="G1192" s="4" t="s">
        <v>25</v>
      </c>
      <c r="H1192" s="4" t="s">
        <v>25</v>
      </c>
      <c r="I1192" s="5">
        <v>44593</v>
      </c>
      <c r="J1192" s="6">
        <v>0</v>
      </c>
      <c r="K1192" s="6">
        <v>0</v>
      </c>
      <c r="L1192" s="6">
        <v>0.51700000000000002</v>
      </c>
      <c r="M1192" s="6">
        <v>0.51700000000000002</v>
      </c>
      <c r="N1192" s="6">
        <v>0.51700000000000002</v>
      </c>
      <c r="O1192" s="6">
        <v>0.51700000000000002</v>
      </c>
      <c r="P1192" s="6">
        <v>2</v>
      </c>
      <c r="Q1192" s="4" t="s">
        <v>26</v>
      </c>
      <c r="R1192" s="4">
        <v>0</v>
      </c>
      <c r="S1192" s="6">
        <v>0</v>
      </c>
      <c r="T1192" s="6">
        <v>44</v>
      </c>
      <c r="U1192" s="6">
        <v>81</v>
      </c>
      <c r="V1192" s="6">
        <f>IF(ISERROR(VLOOKUP($S$1192,'TAR FIN'!$A$1:$O$85,15,0)),0,VLOOKUP($S$1192,'TAR FIN'!$A$1:$O$85,15,0))</f>
        <v>0</v>
      </c>
      <c r="W1192" s="6">
        <f>IF(ISERROR(VLOOKUP($T$1192,'TAR FIN'!$A$1:$O$85,15,0)),0,VLOOKUP($T$1192,'TAR FIN'!$A$1:$O$85,15,0))</f>
        <v>324.88</v>
      </c>
      <c r="X1192" s="6">
        <f>IF(ISERROR(VLOOKUP($U$1192,'TAR FIN'!$A$1:$O$85,15,0)),0,VLOOKUP($U$1192,'TAR FIN'!$A$1:$O$85,15,0))</f>
        <v>322.54000000000002</v>
      </c>
      <c r="Y1192" s="6"/>
      <c r="Z1192" s="6">
        <f ca="1">('TUSD BE'!$AM$48+'TUSD BF'!$AM$48+'TUSD CVA'!$AM$48)*1</f>
        <v>434.80310925202969</v>
      </c>
      <c r="AA1192" s="6">
        <f>('TE BE'!$AB$38+'TE BF'!$AB$38+'TE CVA'!$AB$38)*1</f>
        <v>319.954086693367</v>
      </c>
      <c r="AB1192" s="6">
        <f>$K$1192*$V$1192</f>
        <v>0</v>
      </c>
      <c r="AC1192" s="6">
        <f>$M$1192*$W$1192</f>
        <v>167.96296000000001</v>
      </c>
      <c r="AD1192" s="6">
        <f>$O$1192*$X$1192</f>
        <v>166.75318000000001</v>
      </c>
      <c r="AE1192" s="6">
        <f>$K$1192*$Y$1192</f>
        <v>0</v>
      </c>
      <c r="AF1192" s="6">
        <f ca="1">$M$1192*$Z$1192</f>
        <v>224.79320748329934</v>
      </c>
      <c r="AG1192" s="6">
        <f>$O$1192*$AA$1192</f>
        <v>165.41626282047073</v>
      </c>
    </row>
    <row r="1193" spans="1:33" ht="11.25" customHeight="1" x14ac:dyDescent="0.25">
      <c r="A1193" s="4" t="s">
        <v>28</v>
      </c>
      <c r="B1193" s="4" t="s">
        <v>37</v>
      </c>
      <c r="C1193" s="4" t="s">
        <v>23</v>
      </c>
      <c r="D1193" s="4" t="s">
        <v>38</v>
      </c>
      <c r="E1193" s="4" t="s">
        <v>25</v>
      </c>
      <c r="F1193" s="4" t="s">
        <v>25</v>
      </c>
      <c r="G1193" s="4" t="s">
        <v>25</v>
      </c>
      <c r="H1193" s="4" t="s">
        <v>25</v>
      </c>
      <c r="I1193" s="5">
        <v>44593</v>
      </c>
      <c r="J1193" s="6">
        <v>0</v>
      </c>
      <c r="K1193" s="6">
        <v>0</v>
      </c>
      <c r="L1193" s="6">
        <v>54.731000000000002</v>
      </c>
      <c r="M1193" s="6">
        <v>54.731000000000002</v>
      </c>
      <c r="N1193" s="6">
        <v>54.731000000000002</v>
      </c>
      <c r="O1193" s="6">
        <v>54.731000000000002</v>
      </c>
      <c r="P1193" s="6">
        <v>94</v>
      </c>
      <c r="Q1193" s="4" t="s">
        <v>26</v>
      </c>
      <c r="R1193" s="4">
        <v>0</v>
      </c>
      <c r="S1193" s="6">
        <v>0</v>
      </c>
      <c r="T1193" s="6">
        <v>44</v>
      </c>
      <c r="U1193" s="6">
        <v>81</v>
      </c>
      <c r="V1193" s="6">
        <f>IF(ISERROR(VLOOKUP($S$1193,'TAR FIN'!$A$1:$O$85,15,0)),0,VLOOKUP($S$1193,'TAR FIN'!$A$1:$O$85,15,0))</f>
        <v>0</v>
      </c>
      <c r="W1193" s="6">
        <f>IF(ISERROR(VLOOKUP($T$1193,'TAR FIN'!$A$1:$O$85,15,0)),0,VLOOKUP($T$1193,'TAR FIN'!$A$1:$O$85,15,0))</f>
        <v>324.88</v>
      </c>
      <c r="X1193" s="6">
        <f>IF(ISERROR(VLOOKUP($U$1193,'TAR FIN'!$A$1:$O$85,15,0)),0,VLOOKUP($U$1193,'TAR FIN'!$A$1:$O$85,15,0))</f>
        <v>322.54000000000002</v>
      </c>
      <c r="Y1193" s="6"/>
      <c r="Z1193" s="6">
        <f ca="1">('TUSD BE'!$AM$48+'TUSD BF'!$AM$48+'TUSD CVA'!$AM$48)*1</f>
        <v>434.80310925202969</v>
      </c>
      <c r="AA1193" s="6">
        <f>('TE BE'!$AB$38+'TE BF'!$AB$38+'TE CVA'!$AB$38)*1</f>
        <v>319.954086693367</v>
      </c>
      <c r="AB1193" s="6">
        <f>$K$1193*$V$1193</f>
        <v>0</v>
      </c>
      <c r="AC1193" s="6">
        <f>$M$1193*$W$1193</f>
        <v>17781.007280000002</v>
      </c>
      <c r="AD1193" s="6">
        <f>$O$1193*$X$1193</f>
        <v>17652.936740000001</v>
      </c>
      <c r="AE1193" s="6">
        <f>$K$1193*$Y$1193</f>
        <v>0</v>
      </c>
      <c r="AF1193" s="6">
        <f ca="1">$M$1193*$Z$1193</f>
        <v>23797.208972472836</v>
      </c>
      <c r="AG1193" s="6">
        <f>$O$1193*$AA$1193</f>
        <v>17511.40711881467</v>
      </c>
    </row>
    <row r="1194" spans="1:33" ht="11.25" customHeight="1" x14ac:dyDescent="0.25">
      <c r="A1194" s="4" t="s">
        <v>21</v>
      </c>
      <c r="B1194" s="4" t="s">
        <v>37</v>
      </c>
      <c r="C1194" s="4" t="s">
        <v>23</v>
      </c>
      <c r="D1194" s="4" t="s">
        <v>38</v>
      </c>
      <c r="E1194" s="4" t="s">
        <v>25</v>
      </c>
      <c r="F1194" s="4" t="s">
        <v>25</v>
      </c>
      <c r="G1194" s="4" t="s">
        <v>25</v>
      </c>
      <c r="H1194" s="4" t="s">
        <v>25</v>
      </c>
      <c r="I1194" s="5">
        <v>44621</v>
      </c>
      <c r="J1194" s="6">
        <v>0</v>
      </c>
      <c r="K1194" s="6">
        <v>0</v>
      </c>
      <c r="L1194" s="6">
        <v>803.125</v>
      </c>
      <c r="M1194" s="6">
        <v>803.125</v>
      </c>
      <c r="N1194" s="6">
        <v>803.125</v>
      </c>
      <c r="O1194" s="6">
        <v>803.125</v>
      </c>
      <c r="P1194" s="6">
        <v>1456</v>
      </c>
      <c r="Q1194" s="4" t="s">
        <v>26</v>
      </c>
      <c r="R1194" s="4">
        <v>0</v>
      </c>
      <c r="S1194" s="6">
        <v>0</v>
      </c>
      <c r="T1194" s="6">
        <v>44</v>
      </c>
      <c r="U1194" s="6">
        <v>81</v>
      </c>
      <c r="V1194" s="6">
        <f>IF(ISERROR(VLOOKUP($S$1194,'TAR FIN'!$A$1:$O$85,15,0)),0,VLOOKUP($S$1194,'TAR FIN'!$A$1:$O$85,15,0))</f>
        <v>0</v>
      </c>
      <c r="W1194" s="6">
        <f>IF(ISERROR(VLOOKUP($T$1194,'TAR FIN'!$A$1:$O$85,15,0)),0,VLOOKUP($T$1194,'TAR FIN'!$A$1:$O$85,15,0))</f>
        <v>324.88</v>
      </c>
      <c r="X1194" s="6">
        <f>IF(ISERROR(VLOOKUP($U$1194,'TAR FIN'!$A$1:$O$85,15,0)),0,VLOOKUP($U$1194,'TAR FIN'!$A$1:$O$85,15,0))</f>
        <v>322.54000000000002</v>
      </c>
      <c r="Y1194" s="6"/>
      <c r="Z1194" s="6">
        <f ca="1">('TUSD BE'!$AM$48+'TUSD BF'!$AM$48+'TUSD CVA'!$AM$48)*1</f>
        <v>434.80310925202969</v>
      </c>
      <c r="AA1194" s="6">
        <f>('TE BE'!$AB$38+'TE BF'!$AB$38+'TE CVA'!$AB$38)*1</f>
        <v>319.954086693367</v>
      </c>
      <c r="AB1194" s="6">
        <f>$K$1194*$V$1194</f>
        <v>0</v>
      </c>
      <c r="AC1194" s="6">
        <f>$M$1194*$W$1194</f>
        <v>260919.25</v>
      </c>
      <c r="AD1194" s="6">
        <f>$O$1194*$X$1194</f>
        <v>259039.93750000003</v>
      </c>
      <c r="AE1194" s="6">
        <f>$K$1194*$Y$1194</f>
        <v>0</v>
      </c>
      <c r="AF1194" s="6">
        <f ca="1">$M$1194*$Z$1194</f>
        <v>349201.24711803632</v>
      </c>
      <c r="AG1194" s="6">
        <f>$O$1194*$AA$1194</f>
        <v>256963.12587561036</v>
      </c>
    </row>
    <row r="1195" spans="1:33" ht="11.25" customHeight="1" x14ac:dyDescent="0.25">
      <c r="A1195" s="4" t="s">
        <v>28</v>
      </c>
      <c r="B1195" s="4" t="s">
        <v>37</v>
      </c>
      <c r="C1195" s="4" t="s">
        <v>23</v>
      </c>
      <c r="D1195" s="4" t="s">
        <v>38</v>
      </c>
      <c r="E1195" s="4" t="s">
        <v>25</v>
      </c>
      <c r="F1195" s="4" t="s">
        <v>25</v>
      </c>
      <c r="G1195" s="4" t="s">
        <v>25</v>
      </c>
      <c r="H1195" s="4" t="s">
        <v>25</v>
      </c>
      <c r="I1195" s="5">
        <v>44621</v>
      </c>
      <c r="J1195" s="6">
        <v>0</v>
      </c>
      <c r="K1195" s="6">
        <v>0</v>
      </c>
      <c r="L1195" s="6">
        <v>53.128999999999998</v>
      </c>
      <c r="M1195" s="6">
        <v>53.128999999999998</v>
      </c>
      <c r="N1195" s="6">
        <v>53.128999999999998</v>
      </c>
      <c r="O1195" s="6">
        <v>53.128999999999998</v>
      </c>
      <c r="P1195" s="6">
        <v>100</v>
      </c>
      <c r="Q1195" s="4" t="s">
        <v>26</v>
      </c>
      <c r="R1195" s="4">
        <v>0</v>
      </c>
      <c r="S1195" s="6">
        <v>0</v>
      </c>
      <c r="T1195" s="6">
        <v>44</v>
      </c>
      <c r="U1195" s="6">
        <v>81</v>
      </c>
      <c r="V1195" s="6">
        <f>IF(ISERROR(VLOOKUP($S$1195,'TAR FIN'!$A$1:$O$85,15,0)),0,VLOOKUP($S$1195,'TAR FIN'!$A$1:$O$85,15,0))</f>
        <v>0</v>
      </c>
      <c r="W1195" s="6">
        <f>IF(ISERROR(VLOOKUP($T$1195,'TAR FIN'!$A$1:$O$85,15,0)),0,VLOOKUP($T$1195,'TAR FIN'!$A$1:$O$85,15,0))</f>
        <v>324.88</v>
      </c>
      <c r="X1195" s="6">
        <f>IF(ISERROR(VLOOKUP($U$1195,'TAR FIN'!$A$1:$O$85,15,0)),0,VLOOKUP($U$1195,'TAR FIN'!$A$1:$O$85,15,0))</f>
        <v>322.54000000000002</v>
      </c>
      <c r="Y1195" s="6"/>
      <c r="Z1195" s="6">
        <f ca="1">('TUSD BE'!$AM$48+'TUSD BF'!$AM$48+'TUSD CVA'!$AM$48)*1</f>
        <v>434.80310925202969</v>
      </c>
      <c r="AA1195" s="6">
        <f>('TE BE'!$AB$38+'TE BF'!$AB$38+'TE CVA'!$AB$38)*1</f>
        <v>319.954086693367</v>
      </c>
      <c r="AB1195" s="6">
        <f>$K$1195*$V$1195</f>
        <v>0</v>
      </c>
      <c r="AC1195" s="6">
        <f>$M$1195*$W$1195</f>
        <v>17260.54952</v>
      </c>
      <c r="AD1195" s="6">
        <f>$O$1195*$X$1195</f>
        <v>17136.22766</v>
      </c>
      <c r="AE1195" s="6">
        <f>$K$1195*$Y$1195</f>
        <v>0</v>
      </c>
      <c r="AF1195" s="6">
        <f ca="1">$M$1195*$Z$1195</f>
        <v>23100.654391451084</v>
      </c>
      <c r="AG1195" s="6">
        <f>$O$1195*$AA$1195</f>
        <v>16998.840671931895</v>
      </c>
    </row>
    <row r="1196" spans="1:33" ht="11.25" customHeight="1" x14ac:dyDescent="0.25">
      <c r="A1196" s="4" t="s">
        <v>21</v>
      </c>
      <c r="B1196" s="4" t="s">
        <v>37</v>
      </c>
      <c r="C1196" s="4" t="s">
        <v>23</v>
      </c>
      <c r="D1196" s="4" t="s">
        <v>38</v>
      </c>
      <c r="E1196" s="4" t="s">
        <v>25</v>
      </c>
      <c r="F1196" s="4" t="s">
        <v>25</v>
      </c>
      <c r="G1196" s="4" t="s">
        <v>25</v>
      </c>
      <c r="H1196" s="4" t="s">
        <v>25</v>
      </c>
      <c r="I1196" s="5">
        <v>44652</v>
      </c>
      <c r="J1196" s="6">
        <v>0</v>
      </c>
      <c r="K1196" s="6">
        <v>0</v>
      </c>
      <c r="L1196" s="6">
        <v>828.76300000000003</v>
      </c>
      <c r="M1196" s="6">
        <v>828.76300000000003</v>
      </c>
      <c r="N1196" s="6">
        <v>828.76300000000003</v>
      </c>
      <c r="O1196" s="6">
        <v>828.76300000000003</v>
      </c>
      <c r="P1196" s="6">
        <v>1471</v>
      </c>
      <c r="Q1196" s="4" t="s">
        <v>26</v>
      </c>
      <c r="R1196" s="4">
        <v>0</v>
      </c>
      <c r="S1196" s="6">
        <v>0</v>
      </c>
      <c r="T1196" s="6">
        <v>44</v>
      </c>
      <c r="U1196" s="6">
        <v>81</v>
      </c>
      <c r="V1196" s="6">
        <f>IF(ISERROR(VLOOKUP($S$1196,'TAR FIN'!$A$1:$O$85,15,0)),0,VLOOKUP($S$1196,'TAR FIN'!$A$1:$O$85,15,0))</f>
        <v>0</v>
      </c>
      <c r="W1196" s="6">
        <f>IF(ISERROR(VLOOKUP($T$1196,'TAR FIN'!$A$1:$O$85,15,0)),0,VLOOKUP($T$1196,'TAR FIN'!$A$1:$O$85,15,0))</f>
        <v>324.88</v>
      </c>
      <c r="X1196" s="6">
        <f>IF(ISERROR(VLOOKUP($U$1196,'TAR FIN'!$A$1:$O$85,15,0)),0,VLOOKUP($U$1196,'TAR FIN'!$A$1:$O$85,15,0))</f>
        <v>322.54000000000002</v>
      </c>
      <c r="Y1196" s="6"/>
      <c r="Z1196" s="6">
        <f ca="1">('TUSD BE'!$AM$48+'TUSD BF'!$AM$48+'TUSD CVA'!$AM$48)*1</f>
        <v>434.80310925202969</v>
      </c>
      <c r="AA1196" s="6">
        <f>('TE BE'!$AB$38+'TE BF'!$AB$38+'TE CVA'!$AB$38)*1</f>
        <v>319.954086693367</v>
      </c>
      <c r="AB1196" s="6">
        <f>$K$1196*$V$1196</f>
        <v>0</v>
      </c>
      <c r="AC1196" s="6">
        <f>$M$1196*$W$1196</f>
        <v>269248.52344000002</v>
      </c>
      <c r="AD1196" s="6">
        <f>$O$1196*$X$1196</f>
        <v>267309.21802000003</v>
      </c>
      <c r="AE1196" s="6">
        <f>$K$1196*$Y$1196</f>
        <v>0</v>
      </c>
      <c r="AF1196" s="6">
        <f ca="1">$M$1196*$Z$1196</f>
        <v>360348.72923303989</v>
      </c>
      <c r="AG1196" s="6">
        <f>$O$1196*$AA$1196</f>
        <v>265166.10875025491</v>
      </c>
    </row>
    <row r="1197" spans="1:33" ht="11.25" customHeight="1" x14ac:dyDescent="0.25">
      <c r="A1197" s="4" t="s">
        <v>27</v>
      </c>
      <c r="B1197" s="4" t="s">
        <v>37</v>
      </c>
      <c r="C1197" s="4" t="s">
        <v>23</v>
      </c>
      <c r="D1197" s="4" t="s">
        <v>38</v>
      </c>
      <c r="E1197" s="4" t="s">
        <v>25</v>
      </c>
      <c r="F1197" s="4" t="s">
        <v>25</v>
      </c>
      <c r="G1197" s="4" t="s">
        <v>25</v>
      </c>
      <c r="H1197" s="4" t="s">
        <v>25</v>
      </c>
      <c r="I1197" s="5">
        <v>44652</v>
      </c>
      <c r="J1197" s="6">
        <v>0</v>
      </c>
      <c r="K1197" s="6">
        <v>0</v>
      </c>
      <c r="L1197" s="6">
        <v>7.2999999999999995E-2</v>
      </c>
      <c r="M1197" s="6">
        <v>7.2999999999999995E-2</v>
      </c>
      <c r="N1197" s="6">
        <v>7.2999999999999995E-2</v>
      </c>
      <c r="O1197" s="6">
        <v>7.2999999999999995E-2</v>
      </c>
      <c r="P1197" s="6">
        <v>1</v>
      </c>
      <c r="Q1197" s="4" t="s">
        <v>26</v>
      </c>
      <c r="R1197" s="4">
        <v>0</v>
      </c>
      <c r="S1197" s="6">
        <v>0</v>
      </c>
      <c r="T1197" s="6">
        <v>44</v>
      </c>
      <c r="U1197" s="6">
        <v>81</v>
      </c>
      <c r="V1197" s="6">
        <f>IF(ISERROR(VLOOKUP($S$1197,'TAR FIN'!$A$1:$O$85,15,0)),0,VLOOKUP($S$1197,'TAR FIN'!$A$1:$O$85,15,0))</f>
        <v>0</v>
      </c>
      <c r="W1197" s="6">
        <f>IF(ISERROR(VLOOKUP($T$1197,'TAR FIN'!$A$1:$O$85,15,0)),0,VLOOKUP($T$1197,'TAR FIN'!$A$1:$O$85,15,0))</f>
        <v>324.88</v>
      </c>
      <c r="X1197" s="6">
        <f>IF(ISERROR(VLOOKUP($U$1197,'TAR FIN'!$A$1:$O$85,15,0)),0,VLOOKUP($U$1197,'TAR FIN'!$A$1:$O$85,15,0))</f>
        <v>322.54000000000002</v>
      </c>
      <c r="Y1197" s="6"/>
      <c r="Z1197" s="6">
        <f ca="1">('TUSD BE'!$AM$48+'TUSD BF'!$AM$48+'TUSD CVA'!$AM$48)*1</f>
        <v>434.80310925202969</v>
      </c>
      <c r="AA1197" s="6">
        <f>('TE BE'!$AB$38+'TE BF'!$AB$38+'TE CVA'!$AB$38)*1</f>
        <v>319.954086693367</v>
      </c>
      <c r="AB1197" s="6">
        <f>$K$1197*$V$1197</f>
        <v>0</v>
      </c>
      <c r="AC1197" s="6">
        <f>$M$1197*$W$1197</f>
        <v>23.716239999999999</v>
      </c>
      <c r="AD1197" s="6">
        <f>$O$1197*$X$1197</f>
        <v>23.54542</v>
      </c>
      <c r="AE1197" s="6">
        <f>$K$1197*$Y$1197</f>
        <v>0</v>
      </c>
      <c r="AF1197" s="6">
        <f ca="1">$M$1197*$Z$1197</f>
        <v>31.740626975398165</v>
      </c>
      <c r="AG1197" s="6">
        <f>$O$1197*$AA$1197</f>
        <v>23.35664832861579</v>
      </c>
    </row>
    <row r="1198" spans="1:33" ht="11.25" customHeight="1" x14ac:dyDescent="0.25">
      <c r="A1198" s="4" t="s">
        <v>28</v>
      </c>
      <c r="B1198" s="4" t="s">
        <v>37</v>
      </c>
      <c r="C1198" s="4" t="s">
        <v>23</v>
      </c>
      <c r="D1198" s="4" t="s">
        <v>38</v>
      </c>
      <c r="E1198" s="4" t="s">
        <v>25</v>
      </c>
      <c r="F1198" s="4" t="s">
        <v>25</v>
      </c>
      <c r="G1198" s="4" t="s">
        <v>25</v>
      </c>
      <c r="H1198" s="4" t="s">
        <v>25</v>
      </c>
      <c r="I1198" s="5">
        <v>44652</v>
      </c>
      <c r="J1198" s="6">
        <v>0</v>
      </c>
      <c r="K1198" s="6">
        <v>0</v>
      </c>
      <c r="L1198" s="6">
        <v>72.489000000000004</v>
      </c>
      <c r="M1198" s="6">
        <v>72.489000000000004</v>
      </c>
      <c r="N1198" s="6">
        <v>72.489000000000004</v>
      </c>
      <c r="O1198" s="6">
        <v>72.489000000000004</v>
      </c>
      <c r="P1198" s="6">
        <v>110</v>
      </c>
      <c r="Q1198" s="4" t="s">
        <v>26</v>
      </c>
      <c r="R1198" s="4">
        <v>0</v>
      </c>
      <c r="S1198" s="6">
        <v>0</v>
      </c>
      <c r="T1198" s="6">
        <v>44</v>
      </c>
      <c r="U1198" s="6">
        <v>81</v>
      </c>
      <c r="V1198" s="6">
        <f>IF(ISERROR(VLOOKUP($S$1198,'TAR FIN'!$A$1:$O$85,15,0)),0,VLOOKUP($S$1198,'TAR FIN'!$A$1:$O$85,15,0))</f>
        <v>0</v>
      </c>
      <c r="W1198" s="6">
        <f>IF(ISERROR(VLOOKUP($T$1198,'TAR FIN'!$A$1:$O$85,15,0)),0,VLOOKUP($T$1198,'TAR FIN'!$A$1:$O$85,15,0))</f>
        <v>324.88</v>
      </c>
      <c r="X1198" s="6">
        <f>IF(ISERROR(VLOOKUP($U$1198,'TAR FIN'!$A$1:$O$85,15,0)),0,VLOOKUP($U$1198,'TAR FIN'!$A$1:$O$85,15,0))</f>
        <v>322.54000000000002</v>
      </c>
      <c r="Y1198" s="6"/>
      <c r="Z1198" s="6">
        <f ca="1">('TUSD BE'!$AM$48+'TUSD BF'!$AM$48+'TUSD CVA'!$AM$48)*1</f>
        <v>434.80310925202969</v>
      </c>
      <c r="AA1198" s="6">
        <f>('TE BE'!$AB$38+'TE BF'!$AB$38+'TE CVA'!$AB$38)*1</f>
        <v>319.954086693367</v>
      </c>
      <c r="AB1198" s="6">
        <f>$K$1198*$V$1198</f>
        <v>0</v>
      </c>
      <c r="AC1198" s="6">
        <f>$M$1198*$W$1198</f>
        <v>23550.226320000002</v>
      </c>
      <c r="AD1198" s="6">
        <f>$O$1198*$X$1198</f>
        <v>23380.602060000001</v>
      </c>
      <c r="AE1198" s="6">
        <f>$K$1198*$Y$1198</f>
        <v>0</v>
      </c>
      <c r="AF1198" s="6">
        <f ca="1">$M$1198*$Z$1198</f>
        <v>31518.442586570382</v>
      </c>
      <c r="AG1198" s="6">
        <f>$O$1198*$AA$1198</f>
        <v>23193.151790315482</v>
      </c>
    </row>
    <row r="1199" spans="1:33" ht="11.25" customHeight="1" x14ac:dyDescent="0.25">
      <c r="A1199" s="4" t="s">
        <v>21</v>
      </c>
      <c r="B1199" s="4" t="s">
        <v>37</v>
      </c>
      <c r="C1199" s="4" t="s">
        <v>23</v>
      </c>
      <c r="D1199" s="4" t="s">
        <v>38</v>
      </c>
      <c r="E1199" s="4" t="s">
        <v>25</v>
      </c>
      <c r="F1199" s="4" t="s">
        <v>25</v>
      </c>
      <c r="G1199" s="4" t="s">
        <v>25</v>
      </c>
      <c r="H1199" s="4" t="s">
        <v>25</v>
      </c>
      <c r="I1199" s="5">
        <v>44682</v>
      </c>
      <c r="J1199" s="6">
        <v>0</v>
      </c>
      <c r="K1199" s="6">
        <v>0</v>
      </c>
      <c r="L1199" s="6">
        <v>742.68299999999999</v>
      </c>
      <c r="M1199" s="6">
        <v>742.68299999999999</v>
      </c>
      <c r="N1199" s="6">
        <v>742.68299999999999</v>
      </c>
      <c r="O1199" s="6">
        <v>742.68299999999999</v>
      </c>
      <c r="P1199" s="6">
        <v>1473</v>
      </c>
      <c r="Q1199" s="4" t="s">
        <v>26</v>
      </c>
      <c r="R1199" s="4">
        <v>0</v>
      </c>
      <c r="S1199" s="6">
        <v>0</v>
      </c>
      <c r="T1199" s="6">
        <v>44</v>
      </c>
      <c r="U1199" s="6">
        <v>81</v>
      </c>
      <c r="V1199" s="6">
        <f>IF(ISERROR(VLOOKUP($S$1199,'TAR FIN'!$A$1:$O$85,15,0)),0,VLOOKUP($S$1199,'TAR FIN'!$A$1:$O$85,15,0))</f>
        <v>0</v>
      </c>
      <c r="W1199" s="6">
        <f>IF(ISERROR(VLOOKUP($T$1199,'TAR FIN'!$A$1:$O$85,15,0)),0,VLOOKUP($T$1199,'TAR FIN'!$A$1:$O$85,15,0))</f>
        <v>324.88</v>
      </c>
      <c r="X1199" s="6">
        <f>IF(ISERROR(VLOOKUP($U$1199,'TAR FIN'!$A$1:$O$85,15,0)),0,VLOOKUP($U$1199,'TAR FIN'!$A$1:$O$85,15,0))</f>
        <v>322.54000000000002</v>
      </c>
      <c r="Y1199" s="6"/>
      <c r="Z1199" s="6">
        <f ca="1">('TUSD BE'!$AM$48+'TUSD BF'!$AM$48+'TUSD CVA'!$AM$48)*1</f>
        <v>434.80310925202969</v>
      </c>
      <c r="AA1199" s="6">
        <f>('TE BE'!$AB$38+'TE BF'!$AB$38+'TE CVA'!$AB$38)*1</f>
        <v>319.954086693367</v>
      </c>
      <c r="AB1199" s="6">
        <f>$K$1199*$V$1199</f>
        <v>0</v>
      </c>
      <c r="AC1199" s="6">
        <f>$M$1199*$W$1199</f>
        <v>241282.85303999999</v>
      </c>
      <c r="AD1199" s="6">
        <f>$O$1199*$X$1199</f>
        <v>239544.97482</v>
      </c>
      <c r="AE1199" s="6">
        <f>$K$1199*$Y$1199</f>
        <v>0</v>
      </c>
      <c r="AF1199" s="6">
        <f ca="1">$M$1199*$Z$1199</f>
        <v>322920.87758862518</v>
      </c>
      <c r="AG1199" s="6">
        <f>$O$1199*$AA$1199</f>
        <v>237624.4609676899</v>
      </c>
    </row>
    <row r="1200" spans="1:33" ht="11.25" customHeight="1" x14ac:dyDescent="0.25">
      <c r="A1200" s="4" t="s">
        <v>27</v>
      </c>
      <c r="B1200" s="4" t="s">
        <v>37</v>
      </c>
      <c r="C1200" s="4" t="s">
        <v>23</v>
      </c>
      <c r="D1200" s="4" t="s">
        <v>38</v>
      </c>
      <c r="E1200" s="4" t="s">
        <v>25</v>
      </c>
      <c r="F1200" s="4" t="s">
        <v>25</v>
      </c>
      <c r="G1200" s="4" t="s">
        <v>25</v>
      </c>
      <c r="H1200" s="4" t="s">
        <v>25</v>
      </c>
      <c r="I1200" s="5">
        <v>44682</v>
      </c>
      <c r="J1200" s="6">
        <v>0</v>
      </c>
      <c r="K1200" s="6">
        <v>0</v>
      </c>
      <c r="L1200" s="6">
        <v>2.544</v>
      </c>
      <c r="M1200" s="6">
        <v>2.544</v>
      </c>
      <c r="N1200" s="6">
        <v>2.544</v>
      </c>
      <c r="O1200" s="6">
        <v>2.544</v>
      </c>
      <c r="P1200" s="6">
        <v>4</v>
      </c>
      <c r="Q1200" s="4" t="s">
        <v>26</v>
      </c>
      <c r="R1200" s="4">
        <v>0</v>
      </c>
      <c r="S1200" s="6">
        <v>0</v>
      </c>
      <c r="T1200" s="6">
        <v>44</v>
      </c>
      <c r="U1200" s="6">
        <v>81</v>
      </c>
      <c r="V1200" s="6">
        <f>IF(ISERROR(VLOOKUP($S$1200,'TAR FIN'!$A$1:$O$85,15,0)),0,VLOOKUP($S$1200,'TAR FIN'!$A$1:$O$85,15,0))</f>
        <v>0</v>
      </c>
      <c r="W1200" s="6">
        <f>IF(ISERROR(VLOOKUP($T$1200,'TAR FIN'!$A$1:$O$85,15,0)),0,VLOOKUP($T$1200,'TAR FIN'!$A$1:$O$85,15,0))</f>
        <v>324.88</v>
      </c>
      <c r="X1200" s="6">
        <f>IF(ISERROR(VLOOKUP($U$1200,'TAR FIN'!$A$1:$O$85,15,0)),0,VLOOKUP($U$1200,'TAR FIN'!$A$1:$O$85,15,0))</f>
        <v>322.54000000000002</v>
      </c>
      <c r="Y1200" s="6"/>
      <c r="Z1200" s="6">
        <f ca="1">('TUSD BE'!$AM$48+'TUSD BF'!$AM$48+'TUSD CVA'!$AM$48)*1</f>
        <v>434.80310925202969</v>
      </c>
      <c r="AA1200" s="6">
        <f>('TE BE'!$AB$38+'TE BF'!$AB$38+'TE CVA'!$AB$38)*1</f>
        <v>319.954086693367</v>
      </c>
      <c r="AB1200" s="6">
        <f>$K$1200*$V$1200</f>
        <v>0</v>
      </c>
      <c r="AC1200" s="6">
        <f>$M$1200*$W$1200</f>
        <v>826.49472000000003</v>
      </c>
      <c r="AD1200" s="6">
        <f>$O$1200*$X$1200</f>
        <v>820.54176000000007</v>
      </c>
      <c r="AE1200" s="6">
        <f>$K$1200*$Y$1200</f>
        <v>0</v>
      </c>
      <c r="AF1200" s="6">
        <f ca="1">$M$1200*$Z$1200</f>
        <v>1106.1391099371635</v>
      </c>
      <c r="AG1200" s="6">
        <f>$O$1200*$AA$1200</f>
        <v>813.96319654792569</v>
      </c>
    </row>
    <row r="1201" spans="1:33" ht="11.25" customHeight="1" x14ac:dyDescent="0.25">
      <c r="A1201" s="4" t="s">
        <v>28</v>
      </c>
      <c r="B1201" s="4" t="s">
        <v>37</v>
      </c>
      <c r="C1201" s="4" t="s">
        <v>23</v>
      </c>
      <c r="D1201" s="4" t="s">
        <v>38</v>
      </c>
      <c r="E1201" s="4" t="s">
        <v>25</v>
      </c>
      <c r="F1201" s="4" t="s">
        <v>25</v>
      </c>
      <c r="G1201" s="4" t="s">
        <v>25</v>
      </c>
      <c r="H1201" s="4" t="s">
        <v>25</v>
      </c>
      <c r="I1201" s="5">
        <v>44682</v>
      </c>
      <c r="J1201" s="6">
        <v>0</v>
      </c>
      <c r="K1201" s="6">
        <v>0</v>
      </c>
      <c r="L1201" s="6">
        <v>72.144999999999996</v>
      </c>
      <c r="M1201" s="6">
        <v>72.144999999999996</v>
      </c>
      <c r="N1201" s="6">
        <v>72.144999999999996</v>
      </c>
      <c r="O1201" s="6">
        <v>72.144999999999996</v>
      </c>
      <c r="P1201" s="6">
        <v>123</v>
      </c>
      <c r="Q1201" s="4" t="s">
        <v>26</v>
      </c>
      <c r="R1201" s="4">
        <v>0</v>
      </c>
      <c r="S1201" s="6">
        <v>0</v>
      </c>
      <c r="T1201" s="6">
        <v>44</v>
      </c>
      <c r="U1201" s="6">
        <v>81</v>
      </c>
      <c r="V1201" s="6">
        <f>IF(ISERROR(VLOOKUP($S$1201,'TAR FIN'!$A$1:$O$85,15,0)),0,VLOOKUP($S$1201,'TAR FIN'!$A$1:$O$85,15,0))</f>
        <v>0</v>
      </c>
      <c r="W1201" s="6">
        <f>IF(ISERROR(VLOOKUP($T$1201,'TAR FIN'!$A$1:$O$85,15,0)),0,VLOOKUP($T$1201,'TAR FIN'!$A$1:$O$85,15,0))</f>
        <v>324.88</v>
      </c>
      <c r="X1201" s="6">
        <f>IF(ISERROR(VLOOKUP($U$1201,'TAR FIN'!$A$1:$O$85,15,0)),0,VLOOKUP($U$1201,'TAR FIN'!$A$1:$O$85,15,0))</f>
        <v>322.54000000000002</v>
      </c>
      <c r="Y1201" s="6"/>
      <c r="Z1201" s="6">
        <f ca="1">('TUSD BE'!$AM$48+'TUSD BF'!$AM$48+'TUSD CVA'!$AM$48)*1</f>
        <v>434.80310925202969</v>
      </c>
      <c r="AA1201" s="6">
        <f>('TE BE'!$AB$38+'TE BF'!$AB$38+'TE CVA'!$AB$38)*1</f>
        <v>319.954086693367</v>
      </c>
      <c r="AB1201" s="6">
        <f>$K$1201*$V$1201</f>
        <v>0</v>
      </c>
      <c r="AC1201" s="6">
        <f>$M$1201*$W$1201</f>
        <v>23438.4676</v>
      </c>
      <c r="AD1201" s="6">
        <f>$O$1201*$X$1201</f>
        <v>23269.648300000001</v>
      </c>
      <c r="AE1201" s="6">
        <f>$K$1201*$Y$1201</f>
        <v>0</v>
      </c>
      <c r="AF1201" s="6">
        <f ca="1">$M$1201*$Z$1201</f>
        <v>31368.870316987679</v>
      </c>
      <c r="AG1201" s="6">
        <f>$O$1201*$AA$1201</f>
        <v>23083.087584492961</v>
      </c>
    </row>
    <row r="1202" spans="1:33" ht="11.25" customHeight="1" x14ac:dyDescent="0.25">
      <c r="A1202" s="4" t="s">
        <v>21</v>
      </c>
      <c r="B1202" s="4" t="s">
        <v>37</v>
      </c>
      <c r="C1202" s="4" t="s">
        <v>23</v>
      </c>
      <c r="D1202" s="4" t="s">
        <v>38</v>
      </c>
      <c r="E1202" s="4" t="s">
        <v>25</v>
      </c>
      <c r="F1202" s="4" t="s">
        <v>25</v>
      </c>
      <c r="G1202" s="4" t="s">
        <v>25</v>
      </c>
      <c r="H1202" s="4" t="s">
        <v>25</v>
      </c>
      <c r="I1202" s="5">
        <v>44713</v>
      </c>
      <c r="J1202" s="6">
        <v>0</v>
      </c>
      <c r="K1202" s="6">
        <v>0</v>
      </c>
      <c r="L1202" s="6">
        <v>699.21600000000001</v>
      </c>
      <c r="M1202" s="6">
        <v>699.21600000000001</v>
      </c>
      <c r="N1202" s="6">
        <v>699.21600000000001</v>
      </c>
      <c r="O1202" s="6">
        <v>699.21600000000001</v>
      </c>
      <c r="P1202" s="6">
        <v>1479</v>
      </c>
      <c r="Q1202" s="4" t="s">
        <v>26</v>
      </c>
      <c r="R1202" s="4">
        <v>0</v>
      </c>
      <c r="S1202" s="6">
        <v>0</v>
      </c>
      <c r="T1202" s="6">
        <v>44</v>
      </c>
      <c r="U1202" s="6">
        <v>81</v>
      </c>
      <c r="V1202" s="6">
        <f>IF(ISERROR(VLOOKUP($S$1202,'TAR FIN'!$A$1:$O$85,15,0)),0,VLOOKUP($S$1202,'TAR FIN'!$A$1:$O$85,15,0))</f>
        <v>0</v>
      </c>
      <c r="W1202" s="6">
        <f>IF(ISERROR(VLOOKUP($T$1202,'TAR FIN'!$A$1:$O$85,15,0)),0,VLOOKUP($T$1202,'TAR FIN'!$A$1:$O$85,15,0))</f>
        <v>324.88</v>
      </c>
      <c r="X1202" s="6">
        <f>IF(ISERROR(VLOOKUP($U$1202,'TAR FIN'!$A$1:$O$85,15,0)),0,VLOOKUP($U$1202,'TAR FIN'!$A$1:$O$85,15,0))</f>
        <v>322.54000000000002</v>
      </c>
      <c r="Y1202" s="6"/>
      <c r="Z1202" s="6">
        <f ca="1">('TUSD BE'!$AM$48+'TUSD BF'!$AM$48+'TUSD CVA'!$AM$48)*1</f>
        <v>434.80310925202969</v>
      </c>
      <c r="AA1202" s="6">
        <f>('TE BE'!$AB$38+'TE BF'!$AB$38+'TE CVA'!$AB$38)*1</f>
        <v>319.954086693367</v>
      </c>
      <c r="AB1202" s="6">
        <f>$K$1202*$V$1202</f>
        <v>0</v>
      </c>
      <c r="AC1202" s="6">
        <f>$M$1202*$W$1202</f>
        <v>227161.29407999999</v>
      </c>
      <c r="AD1202" s="6">
        <f>$O$1202*$X$1202</f>
        <v>225525.12864000001</v>
      </c>
      <c r="AE1202" s="6">
        <f>$K$1202*$Y$1202</f>
        <v>0</v>
      </c>
      <c r="AF1202" s="6">
        <f ca="1">$M$1202*$Z$1202</f>
        <v>304021.29083876719</v>
      </c>
      <c r="AG1202" s="6">
        <f>$O$1202*$AA$1202</f>
        <v>223717.0166813893</v>
      </c>
    </row>
    <row r="1203" spans="1:33" ht="11.25" customHeight="1" x14ac:dyDescent="0.25">
      <c r="A1203" s="4" t="s">
        <v>27</v>
      </c>
      <c r="B1203" s="4" t="s">
        <v>37</v>
      </c>
      <c r="C1203" s="4" t="s">
        <v>23</v>
      </c>
      <c r="D1203" s="4" t="s">
        <v>38</v>
      </c>
      <c r="E1203" s="4" t="s">
        <v>25</v>
      </c>
      <c r="F1203" s="4" t="s">
        <v>25</v>
      </c>
      <c r="G1203" s="4" t="s">
        <v>25</v>
      </c>
      <c r="H1203" s="4" t="s">
        <v>25</v>
      </c>
      <c r="I1203" s="5">
        <v>44713</v>
      </c>
      <c r="J1203" s="6">
        <v>0</v>
      </c>
      <c r="K1203" s="6">
        <v>0</v>
      </c>
      <c r="L1203" s="6">
        <v>0.2</v>
      </c>
      <c r="M1203" s="6">
        <v>0.2</v>
      </c>
      <c r="N1203" s="6">
        <v>0.2</v>
      </c>
      <c r="O1203" s="6">
        <v>0.2</v>
      </c>
      <c r="P1203" s="6">
        <v>2</v>
      </c>
      <c r="Q1203" s="4" t="s">
        <v>26</v>
      </c>
      <c r="R1203" s="4">
        <v>0</v>
      </c>
      <c r="S1203" s="6">
        <v>0</v>
      </c>
      <c r="T1203" s="6">
        <v>44</v>
      </c>
      <c r="U1203" s="6">
        <v>81</v>
      </c>
      <c r="V1203" s="6">
        <f>IF(ISERROR(VLOOKUP($S$1203,'TAR FIN'!$A$1:$O$85,15,0)),0,VLOOKUP($S$1203,'TAR FIN'!$A$1:$O$85,15,0))</f>
        <v>0</v>
      </c>
      <c r="W1203" s="6">
        <f>IF(ISERROR(VLOOKUP($T$1203,'TAR FIN'!$A$1:$O$85,15,0)),0,VLOOKUP($T$1203,'TAR FIN'!$A$1:$O$85,15,0))</f>
        <v>324.88</v>
      </c>
      <c r="X1203" s="6">
        <f>IF(ISERROR(VLOOKUP($U$1203,'TAR FIN'!$A$1:$O$85,15,0)),0,VLOOKUP($U$1203,'TAR FIN'!$A$1:$O$85,15,0))</f>
        <v>322.54000000000002</v>
      </c>
      <c r="Y1203" s="6"/>
      <c r="Z1203" s="6">
        <f ca="1">('TUSD BE'!$AM$48+'TUSD BF'!$AM$48+'TUSD CVA'!$AM$48)*1</f>
        <v>434.80310925202969</v>
      </c>
      <c r="AA1203" s="6">
        <f>('TE BE'!$AB$38+'TE BF'!$AB$38+'TE CVA'!$AB$38)*1</f>
        <v>319.954086693367</v>
      </c>
      <c r="AB1203" s="6">
        <f>$K$1203*$V$1203</f>
        <v>0</v>
      </c>
      <c r="AC1203" s="6">
        <f>$M$1203*$W$1203</f>
        <v>64.975999999999999</v>
      </c>
      <c r="AD1203" s="6">
        <f>$O$1203*$X$1203</f>
        <v>64.50800000000001</v>
      </c>
      <c r="AE1203" s="6">
        <f>$K$1203*$Y$1203</f>
        <v>0</v>
      </c>
      <c r="AF1203" s="6">
        <f ca="1">$M$1203*$Z$1203</f>
        <v>86.960621850405943</v>
      </c>
      <c r="AG1203" s="6">
        <f>$O$1203*$AA$1203</f>
        <v>63.990817338673402</v>
      </c>
    </row>
    <row r="1204" spans="1:33" ht="11.25" customHeight="1" x14ac:dyDescent="0.25">
      <c r="A1204" s="4" t="s">
        <v>28</v>
      </c>
      <c r="B1204" s="4" t="s">
        <v>37</v>
      </c>
      <c r="C1204" s="4" t="s">
        <v>23</v>
      </c>
      <c r="D1204" s="4" t="s">
        <v>38</v>
      </c>
      <c r="E1204" s="4" t="s">
        <v>25</v>
      </c>
      <c r="F1204" s="4" t="s">
        <v>25</v>
      </c>
      <c r="G1204" s="4" t="s">
        <v>25</v>
      </c>
      <c r="H1204" s="4" t="s">
        <v>25</v>
      </c>
      <c r="I1204" s="5">
        <v>44713</v>
      </c>
      <c r="J1204" s="6">
        <v>0</v>
      </c>
      <c r="K1204" s="6">
        <v>0</v>
      </c>
      <c r="L1204" s="6">
        <v>73.763999999999996</v>
      </c>
      <c r="M1204" s="6">
        <v>73.763999999999996</v>
      </c>
      <c r="N1204" s="6">
        <v>73.763999999999996</v>
      </c>
      <c r="O1204" s="6">
        <v>73.763999999999996</v>
      </c>
      <c r="P1204" s="6">
        <v>139</v>
      </c>
      <c r="Q1204" s="4" t="s">
        <v>26</v>
      </c>
      <c r="R1204" s="4">
        <v>0</v>
      </c>
      <c r="S1204" s="6">
        <v>0</v>
      </c>
      <c r="T1204" s="6">
        <v>44</v>
      </c>
      <c r="U1204" s="6">
        <v>81</v>
      </c>
      <c r="V1204" s="6">
        <f>IF(ISERROR(VLOOKUP($S$1204,'TAR FIN'!$A$1:$O$85,15,0)),0,VLOOKUP($S$1204,'TAR FIN'!$A$1:$O$85,15,0))</f>
        <v>0</v>
      </c>
      <c r="W1204" s="6">
        <f>IF(ISERROR(VLOOKUP($T$1204,'TAR FIN'!$A$1:$O$85,15,0)),0,VLOOKUP($T$1204,'TAR FIN'!$A$1:$O$85,15,0))</f>
        <v>324.88</v>
      </c>
      <c r="X1204" s="6">
        <f>IF(ISERROR(VLOOKUP($U$1204,'TAR FIN'!$A$1:$O$85,15,0)),0,VLOOKUP($U$1204,'TAR FIN'!$A$1:$O$85,15,0))</f>
        <v>322.54000000000002</v>
      </c>
      <c r="Y1204" s="6"/>
      <c r="Z1204" s="6">
        <f ca="1">('TUSD BE'!$AM$48+'TUSD BF'!$AM$48+'TUSD CVA'!$AM$48)*1</f>
        <v>434.80310925202969</v>
      </c>
      <c r="AA1204" s="6">
        <f>('TE BE'!$AB$38+'TE BF'!$AB$38+'TE CVA'!$AB$38)*1</f>
        <v>319.954086693367</v>
      </c>
      <c r="AB1204" s="6">
        <f>$K$1204*$V$1204</f>
        <v>0</v>
      </c>
      <c r="AC1204" s="6">
        <f>$M$1204*$W$1204</f>
        <v>23964.44832</v>
      </c>
      <c r="AD1204" s="6">
        <f>$O$1204*$X$1204</f>
        <v>23791.840560000001</v>
      </c>
      <c r="AE1204" s="6">
        <f>$K$1204*$Y$1204</f>
        <v>0</v>
      </c>
      <c r="AF1204" s="6">
        <f ca="1">$M$1204*$Z$1204</f>
        <v>32072.816550866715</v>
      </c>
      <c r="AG1204" s="6">
        <f>$O$1204*$AA$1204</f>
        <v>23601.093250849521</v>
      </c>
    </row>
    <row r="1205" spans="1:33" ht="11.25" customHeight="1" x14ac:dyDescent="0.25">
      <c r="A1205" s="4" t="s">
        <v>21</v>
      </c>
      <c r="B1205" s="4" t="s">
        <v>37</v>
      </c>
      <c r="C1205" s="4" t="s">
        <v>23</v>
      </c>
      <c r="D1205" s="4" t="s">
        <v>38</v>
      </c>
      <c r="E1205" s="4" t="s">
        <v>25</v>
      </c>
      <c r="F1205" s="4" t="s">
        <v>25</v>
      </c>
      <c r="G1205" s="4" t="s">
        <v>25</v>
      </c>
      <c r="H1205" s="4" t="s">
        <v>25</v>
      </c>
      <c r="I1205" s="5">
        <v>44743</v>
      </c>
      <c r="J1205" s="6">
        <v>0</v>
      </c>
      <c r="K1205" s="6">
        <v>0</v>
      </c>
      <c r="L1205" s="6">
        <v>653.83799999999997</v>
      </c>
      <c r="M1205" s="6">
        <v>653.83799999999997</v>
      </c>
      <c r="N1205" s="6">
        <v>653.83799999999997</v>
      </c>
      <c r="O1205" s="6">
        <v>653.83799999999997</v>
      </c>
      <c r="P1205" s="6">
        <v>1486</v>
      </c>
      <c r="Q1205" s="4" t="s">
        <v>26</v>
      </c>
      <c r="R1205" s="4">
        <v>0</v>
      </c>
      <c r="S1205" s="6">
        <v>0</v>
      </c>
      <c r="T1205" s="6">
        <v>44</v>
      </c>
      <c r="U1205" s="6">
        <v>81</v>
      </c>
      <c r="V1205" s="6">
        <f>IF(ISERROR(VLOOKUP($S$1205,'TAR FIN'!$A$1:$O$85,15,0)),0,VLOOKUP($S$1205,'TAR FIN'!$A$1:$O$85,15,0))</f>
        <v>0</v>
      </c>
      <c r="W1205" s="6">
        <f>IF(ISERROR(VLOOKUP($T$1205,'TAR FIN'!$A$1:$O$85,15,0)),0,VLOOKUP($T$1205,'TAR FIN'!$A$1:$O$85,15,0))</f>
        <v>324.88</v>
      </c>
      <c r="X1205" s="6">
        <f>IF(ISERROR(VLOOKUP($U$1205,'TAR FIN'!$A$1:$O$85,15,0)),0,VLOOKUP($U$1205,'TAR FIN'!$A$1:$O$85,15,0))</f>
        <v>322.54000000000002</v>
      </c>
      <c r="Y1205" s="6"/>
      <c r="Z1205" s="6">
        <f ca="1">('TUSD BE'!$AM$48+'TUSD BF'!$AM$48+'TUSD CVA'!$AM$48)*1</f>
        <v>434.80310925202969</v>
      </c>
      <c r="AA1205" s="6">
        <f>('TE BE'!$AB$38+'TE BF'!$AB$38+'TE CVA'!$AB$38)*1</f>
        <v>319.954086693367</v>
      </c>
      <c r="AB1205" s="6">
        <f>$K$1205*$V$1205</f>
        <v>0</v>
      </c>
      <c r="AC1205" s="6">
        <f>$M$1205*$W$1205</f>
        <v>212418.88944</v>
      </c>
      <c r="AD1205" s="6">
        <f>$O$1205*$X$1205</f>
        <v>210888.90852</v>
      </c>
      <c r="AE1205" s="6">
        <f>$K$1205*$Y$1205</f>
        <v>0</v>
      </c>
      <c r="AF1205" s="6">
        <f ca="1">$M$1205*$Z$1205</f>
        <v>284290.79534712859</v>
      </c>
      <c r="AG1205" s="6">
        <f>$O$1205*$AA$1205</f>
        <v>209198.14013541769</v>
      </c>
    </row>
    <row r="1206" spans="1:33" ht="11.25" customHeight="1" x14ac:dyDescent="0.25">
      <c r="A1206" s="4" t="s">
        <v>27</v>
      </c>
      <c r="B1206" s="4" t="s">
        <v>37</v>
      </c>
      <c r="C1206" s="4" t="s">
        <v>23</v>
      </c>
      <c r="D1206" s="4" t="s">
        <v>38</v>
      </c>
      <c r="E1206" s="4" t="s">
        <v>25</v>
      </c>
      <c r="F1206" s="4" t="s">
        <v>25</v>
      </c>
      <c r="G1206" s="4" t="s">
        <v>25</v>
      </c>
      <c r="H1206" s="4" t="s">
        <v>25</v>
      </c>
      <c r="I1206" s="5">
        <v>44743</v>
      </c>
      <c r="J1206" s="6">
        <v>0</v>
      </c>
      <c r="K1206" s="6">
        <v>0</v>
      </c>
      <c r="L1206" s="6">
        <v>5.0030000000000001</v>
      </c>
      <c r="M1206" s="6">
        <v>5.0030000000000001</v>
      </c>
      <c r="N1206" s="6">
        <v>5.0030000000000001</v>
      </c>
      <c r="O1206" s="6">
        <v>5.0030000000000001</v>
      </c>
      <c r="P1206" s="6">
        <v>1</v>
      </c>
      <c r="Q1206" s="4" t="s">
        <v>26</v>
      </c>
      <c r="R1206" s="4">
        <v>0</v>
      </c>
      <c r="S1206" s="6">
        <v>0</v>
      </c>
      <c r="T1206" s="6">
        <v>44</v>
      </c>
      <c r="U1206" s="6">
        <v>81</v>
      </c>
      <c r="V1206" s="6">
        <f>IF(ISERROR(VLOOKUP($S$1206,'TAR FIN'!$A$1:$O$85,15,0)),0,VLOOKUP($S$1206,'TAR FIN'!$A$1:$O$85,15,0))</f>
        <v>0</v>
      </c>
      <c r="W1206" s="6">
        <f>IF(ISERROR(VLOOKUP($T$1206,'TAR FIN'!$A$1:$O$85,15,0)),0,VLOOKUP($T$1206,'TAR FIN'!$A$1:$O$85,15,0))</f>
        <v>324.88</v>
      </c>
      <c r="X1206" s="6">
        <f>IF(ISERROR(VLOOKUP($U$1206,'TAR FIN'!$A$1:$O$85,15,0)),0,VLOOKUP($U$1206,'TAR FIN'!$A$1:$O$85,15,0))</f>
        <v>322.54000000000002</v>
      </c>
      <c r="Y1206" s="6"/>
      <c r="Z1206" s="6">
        <f ca="1">('TUSD BE'!$AM$48+'TUSD BF'!$AM$48+'TUSD CVA'!$AM$48)*1</f>
        <v>434.80310925202969</v>
      </c>
      <c r="AA1206" s="6">
        <f>('TE BE'!$AB$38+'TE BF'!$AB$38+'TE CVA'!$AB$38)*1</f>
        <v>319.954086693367</v>
      </c>
      <c r="AB1206" s="6">
        <f>$K$1206*$V$1206</f>
        <v>0</v>
      </c>
      <c r="AC1206" s="6">
        <f>$M$1206*$W$1206</f>
        <v>1625.37464</v>
      </c>
      <c r="AD1206" s="6">
        <f>$O$1206*$X$1206</f>
        <v>1613.6676200000002</v>
      </c>
      <c r="AE1206" s="6">
        <f>$K$1206*$Y$1206</f>
        <v>0</v>
      </c>
      <c r="AF1206" s="6">
        <f ca="1">$M$1206*$Z$1206</f>
        <v>2175.3199555879046</v>
      </c>
      <c r="AG1206" s="6">
        <f>$O$1206*$AA$1206</f>
        <v>1600.7302957269151</v>
      </c>
    </row>
    <row r="1207" spans="1:33" ht="11.25" customHeight="1" x14ac:dyDescent="0.25">
      <c r="A1207" s="4" t="s">
        <v>28</v>
      </c>
      <c r="B1207" s="4" t="s">
        <v>37</v>
      </c>
      <c r="C1207" s="4" t="s">
        <v>23</v>
      </c>
      <c r="D1207" s="4" t="s">
        <v>38</v>
      </c>
      <c r="E1207" s="4" t="s">
        <v>25</v>
      </c>
      <c r="F1207" s="4" t="s">
        <v>25</v>
      </c>
      <c r="G1207" s="4" t="s">
        <v>25</v>
      </c>
      <c r="H1207" s="4" t="s">
        <v>25</v>
      </c>
      <c r="I1207" s="5">
        <v>44743</v>
      </c>
      <c r="J1207" s="6">
        <v>0</v>
      </c>
      <c r="K1207" s="6">
        <v>0</v>
      </c>
      <c r="L1207" s="6">
        <v>79.153000000000006</v>
      </c>
      <c r="M1207" s="6">
        <v>79.153000000000006</v>
      </c>
      <c r="N1207" s="6">
        <v>79.153000000000006</v>
      </c>
      <c r="O1207" s="6">
        <v>79.153000000000006</v>
      </c>
      <c r="P1207" s="6">
        <v>141</v>
      </c>
      <c r="Q1207" s="4" t="s">
        <v>26</v>
      </c>
      <c r="R1207" s="4">
        <v>0</v>
      </c>
      <c r="S1207" s="6">
        <v>0</v>
      </c>
      <c r="T1207" s="6">
        <v>44</v>
      </c>
      <c r="U1207" s="6">
        <v>81</v>
      </c>
      <c r="V1207" s="6">
        <f>IF(ISERROR(VLOOKUP($S$1207,'TAR FIN'!$A$1:$O$85,15,0)),0,VLOOKUP($S$1207,'TAR FIN'!$A$1:$O$85,15,0))</f>
        <v>0</v>
      </c>
      <c r="W1207" s="6">
        <f>IF(ISERROR(VLOOKUP($T$1207,'TAR FIN'!$A$1:$O$85,15,0)),0,VLOOKUP($T$1207,'TAR FIN'!$A$1:$O$85,15,0))</f>
        <v>324.88</v>
      </c>
      <c r="X1207" s="6">
        <f>IF(ISERROR(VLOOKUP($U$1207,'TAR FIN'!$A$1:$O$85,15,0)),0,VLOOKUP($U$1207,'TAR FIN'!$A$1:$O$85,15,0))</f>
        <v>322.54000000000002</v>
      </c>
      <c r="Y1207" s="6"/>
      <c r="Z1207" s="6">
        <f ca="1">('TUSD BE'!$AM$48+'TUSD BF'!$AM$48+'TUSD CVA'!$AM$48)*1</f>
        <v>434.80310925202969</v>
      </c>
      <c r="AA1207" s="6">
        <f>('TE BE'!$AB$38+'TE BF'!$AB$38+'TE CVA'!$AB$38)*1</f>
        <v>319.954086693367</v>
      </c>
      <c r="AB1207" s="6">
        <f>$K$1207*$V$1207</f>
        <v>0</v>
      </c>
      <c r="AC1207" s="6">
        <f>$M$1207*$W$1207</f>
        <v>25715.226640000001</v>
      </c>
      <c r="AD1207" s="6">
        <f>$O$1207*$X$1207</f>
        <v>25530.008620000004</v>
      </c>
      <c r="AE1207" s="6">
        <f>$K$1207*$Y$1207</f>
        <v>0</v>
      </c>
      <c r="AF1207" s="6">
        <f ca="1">$M$1207*$Z$1207</f>
        <v>34415.970506625905</v>
      </c>
      <c r="AG1207" s="6">
        <f>$O$1207*$AA$1207</f>
        <v>25325.325824040079</v>
      </c>
    </row>
    <row r="1208" spans="1:33" ht="11.25" customHeight="1" x14ac:dyDescent="0.25">
      <c r="A1208" s="4" t="s">
        <v>56</v>
      </c>
      <c r="B1208" s="4" t="s">
        <v>37</v>
      </c>
      <c r="C1208" s="4" t="s">
        <v>23</v>
      </c>
      <c r="D1208" s="4" t="s">
        <v>38</v>
      </c>
      <c r="E1208" s="4" t="s">
        <v>25</v>
      </c>
      <c r="F1208" s="4" t="s">
        <v>25</v>
      </c>
      <c r="G1208" s="4" t="s">
        <v>25</v>
      </c>
      <c r="H1208" s="4" t="s">
        <v>25</v>
      </c>
      <c r="I1208" s="5">
        <v>44774</v>
      </c>
      <c r="J1208" s="6">
        <v>0</v>
      </c>
      <c r="K1208" s="6">
        <v>0</v>
      </c>
      <c r="L1208" s="6">
        <v>653.83799999999997</v>
      </c>
      <c r="M1208" s="6">
        <v>653.83799999999997</v>
      </c>
      <c r="N1208" s="6">
        <v>653.83799999999997</v>
      </c>
      <c r="O1208" s="6">
        <v>653.83799999999997</v>
      </c>
      <c r="P1208" s="6">
        <v>1486</v>
      </c>
      <c r="Q1208" s="4" t="s">
        <v>26</v>
      </c>
      <c r="R1208" s="4">
        <v>0</v>
      </c>
      <c r="S1208" s="6">
        <v>0</v>
      </c>
      <c r="T1208" s="6">
        <v>44</v>
      </c>
      <c r="U1208" s="6">
        <v>81</v>
      </c>
      <c r="V1208" s="6">
        <f>IF(ISERROR(VLOOKUP($S$1208,'TAR FIN'!$A$1:$O$85,15,0)),0,VLOOKUP($S$1208,'TAR FIN'!$A$1:$O$85,15,0))</f>
        <v>0</v>
      </c>
      <c r="W1208" s="6">
        <f>IF(ISERROR(VLOOKUP($T$1208,'TAR FIN'!$A$1:$O$85,15,0)),0,VLOOKUP($T$1208,'TAR FIN'!$A$1:$O$85,15,0))</f>
        <v>324.88</v>
      </c>
      <c r="X1208" s="6">
        <f>IF(ISERROR(VLOOKUP($U$1208,'TAR FIN'!$A$1:$O$85,15,0)),0,VLOOKUP($U$1208,'TAR FIN'!$A$1:$O$85,15,0))</f>
        <v>322.54000000000002</v>
      </c>
      <c r="Y1208" s="6"/>
      <c r="Z1208" s="6">
        <f ca="1">('TUSD BE'!$AM$48+'TUSD BF'!$AM$48+'TUSD CVA'!$AM$48)*1</f>
        <v>434.80310925202969</v>
      </c>
      <c r="AA1208" s="6">
        <f>('TE BE'!$AB$38+'TE BF'!$AB$38+'TE CVA'!$AB$38)*1</f>
        <v>319.954086693367</v>
      </c>
      <c r="AB1208" s="6">
        <f>$K$1208*$V$1208</f>
        <v>0</v>
      </c>
      <c r="AC1208" s="6">
        <f>$M$1208*$W$1208</f>
        <v>212418.88944</v>
      </c>
      <c r="AD1208" s="6">
        <f>$O$1208*$X$1208</f>
        <v>210888.90852</v>
      </c>
      <c r="AE1208" s="6">
        <f>$K$1208*$Y$1208</f>
        <v>0</v>
      </c>
      <c r="AF1208" s="6">
        <f ca="1">$M$1208*$Z$1208</f>
        <v>284290.79534712859</v>
      </c>
      <c r="AG1208" s="6">
        <f>$O$1208*$AA$1208</f>
        <v>209198.14013541769</v>
      </c>
    </row>
    <row r="1209" spans="1:33" ht="11.25" customHeight="1" x14ac:dyDescent="0.25">
      <c r="A1209" s="4" t="s">
        <v>56</v>
      </c>
      <c r="B1209" s="4" t="s">
        <v>37</v>
      </c>
      <c r="C1209" s="4" t="s">
        <v>23</v>
      </c>
      <c r="D1209" s="4" t="s">
        <v>38</v>
      </c>
      <c r="E1209" s="4" t="s">
        <v>25</v>
      </c>
      <c r="F1209" s="4" t="s">
        <v>25</v>
      </c>
      <c r="G1209" s="4" t="s">
        <v>25</v>
      </c>
      <c r="H1209" s="4" t="s">
        <v>25</v>
      </c>
      <c r="I1209" s="5">
        <v>44774</v>
      </c>
      <c r="J1209" s="6">
        <v>0</v>
      </c>
      <c r="K1209" s="6">
        <v>0</v>
      </c>
      <c r="L1209" s="6">
        <v>5.0030000000000001</v>
      </c>
      <c r="M1209" s="6">
        <v>5.0030000000000001</v>
      </c>
      <c r="N1209" s="6">
        <v>5.0030000000000001</v>
      </c>
      <c r="O1209" s="6">
        <v>5.0030000000000001</v>
      </c>
      <c r="P1209" s="6">
        <v>1</v>
      </c>
      <c r="Q1209" s="4" t="s">
        <v>26</v>
      </c>
      <c r="R1209" s="4">
        <v>0</v>
      </c>
      <c r="S1209" s="6">
        <v>0</v>
      </c>
      <c r="T1209" s="6">
        <v>44</v>
      </c>
      <c r="U1209" s="6">
        <v>81</v>
      </c>
      <c r="V1209" s="6">
        <f>IF(ISERROR(VLOOKUP($S$1209,'TAR FIN'!$A$1:$O$85,15,0)),0,VLOOKUP($S$1209,'TAR FIN'!$A$1:$O$85,15,0))</f>
        <v>0</v>
      </c>
      <c r="W1209" s="6">
        <f>IF(ISERROR(VLOOKUP($T$1209,'TAR FIN'!$A$1:$O$85,15,0)),0,VLOOKUP($T$1209,'TAR FIN'!$A$1:$O$85,15,0))</f>
        <v>324.88</v>
      </c>
      <c r="X1209" s="6">
        <f>IF(ISERROR(VLOOKUP($U$1209,'TAR FIN'!$A$1:$O$85,15,0)),0,VLOOKUP($U$1209,'TAR FIN'!$A$1:$O$85,15,0))</f>
        <v>322.54000000000002</v>
      </c>
      <c r="Y1209" s="6"/>
      <c r="Z1209" s="6">
        <f ca="1">('TUSD BE'!$AM$48+'TUSD BF'!$AM$48+'TUSD CVA'!$AM$48)*1</f>
        <v>434.80310925202969</v>
      </c>
      <c r="AA1209" s="6">
        <f>('TE BE'!$AB$38+'TE BF'!$AB$38+'TE CVA'!$AB$38)*1</f>
        <v>319.954086693367</v>
      </c>
      <c r="AB1209" s="6">
        <f>$K$1209*$V$1209</f>
        <v>0</v>
      </c>
      <c r="AC1209" s="6">
        <f>$M$1209*$W$1209</f>
        <v>1625.37464</v>
      </c>
      <c r="AD1209" s="6">
        <f>$O$1209*$X$1209</f>
        <v>1613.6676200000002</v>
      </c>
      <c r="AE1209" s="6">
        <f>$K$1209*$Y$1209</f>
        <v>0</v>
      </c>
      <c r="AF1209" s="6">
        <f ca="1">$M$1209*$Z$1209</f>
        <v>2175.3199555879046</v>
      </c>
      <c r="AG1209" s="6">
        <f>$O$1209*$AA$1209</f>
        <v>1600.7302957269151</v>
      </c>
    </row>
    <row r="1210" spans="1:33" ht="11.25" customHeight="1" x14ac:dyDescent="0.25">
      <c r="A1210" s="4" t="s">
        <v>56</v>
      </c>
      <c r="B1210" s="4" t="s">
        <v>37</v>
      </c>
      <c r="C1210" s="4" t="s">
        <v>23</v>
      </c>
      <c r="D1210" s="4" t="s">
        <v>38</v>
      </c>
      <c r="E1210" s="4" t="s">
        <v>25</v>
      </c>
      <c r="F1210" s="4" t="s">
        <v>25</v>
      </c>
      <c r="G1210" s="4" t="s">
        <v>25</v>
      </c>
      <c r="H1210" s="4" t="s">
        <v>25</v>
      </c>
      <c r="I1210" s="5">
        <v>44774</v>
      </c>
      <c r="J1210" s="6">
        <v>0</v>
      </c>
      <c r="K1210" s="6">
        <v>0</v>
      </c>
      <c r="L1210" s="6">
        <v>79.153000000000006</v>
      </c>
      <c r="M1210" s="6">
        <v>79.153000000000006</v>
      </c>
      <c r="N1210" s="6">
        <v>79.153000000000006</v>
      </c>
      <c r="O1210" s="6">
        <v>79.153000000000006</v>
      </c>
      <c r="P1210" s="6">
        <v>141</v>
      </c>
      <c r="Q1210" s="4" t="s">
        <v>26</v>
      </c>
      <c r="R1210" s="4">
        <v>0</v>
      </c>
      <c r="S1210" s="6">
        <v>0</v>
      </c>
      <c r="T1210" s="6">
        <v>44</v>
      </c>
      <c r="U1210" s="6">
        <v>81</v>
      </c>
      <c r="V1210" s="6">
        <f>IF(ISERROR(VLOOKUP($S$1210,'TAR FIN'!$A$1:$O$85,15,0)),0,VLOOKUP($S$1210,'TAR FIN'!$A$1:$O$85,15,0))</f>
        <v>0</v>
      </c>
      <c r="W1210" s="6">
        <f>IF(ISERROR(VLOOKUP($T$1210,'TAR FIN'!$A$1:$O$85,15,0)),0,VLOOKUP($T$1210,'TAR FIN'!$A$1:$O$85,15,0))</f>
        <v>324.88</v>
      </c>
      <c r="X1210" s="6">
        <f>IF(ISERROR(VLOOKUP($U$1210,'TAR FIN'!$A$1:$O$85,15,0)),0,VLOOKUP($U$1210,'TAR FIN'!$A$1:$O$85,15,0))</f>
        <v>322.54000000000002</v>
      </c>
      <c r="Y1210" s="6"/>
      <c r="Z1210" s="6">
        <f ca="1">('TUSD BE'!$AM$48+'TUSD BF'!$AM$48+'TUSD CVA'!$AM$48)*1</f>
        <v>434.80310925202969</v>
      </c>
      <c r="AA1210" s="6">
        <f>('TE BE'!$AB$38+'TE BF'!$AB$38+'TE CVA'!$AB$38)*1</f>
        <v>319.954086693367</v>
      </c>
      <c r="AB1210" s="6">
        <f>$K$1210*$V$1210</f>
        <v>0</v>
      </c>
      <c r="AC1210" s="6">
        <f>$M$1210*$W$1210</f>
        <v>25715.226640000001</v>
      </c>
      <c r="AD1210" s="6">
        <f>$O$1210*$X$1210</f>
        <v>25530.008620000004</v>
      </c>
      <c r="AE1210" s="6">
        <f>$K$1210*$Y$1210</f>
        <v>0</v>
      </c>
      <c r="AF1210" s="6">
        <f ca="1">$M$1210*$Z$1210</f>
        <v>34415.970506625905</v>
      </c>
      <c r="AG1210" s="6">
        <f>$O$1210*$AA$1210</f>
        <v>25325.325824040079</v>
      </c>
    </row>
    <row r="1211" spans="1:33" ht="11.25" customHeight="1" x14ac:dyDescent="0.25">
      <c r="A1211" s="4" t="s">
        <v>21</v>
      </c>
      <c r="B1211" s="4" t="s">
        <v>37</v>
      </c>
      <c r="C1211" s="4" t="s">
        <v>23</v>
      </c>
      <c r="D1211" s="4" t="s">
        <v>45</v>
      </c>
      <c r="E1211" s="4" t="s">
        <v>25</v>
      </c>
      <c r="F1211" s="4" t="s">
        <v>25</v>
      </c>
      <c r="G1211" s="4" t="s">
        <v>25</v>
      </c>
      <c r="H1211" s="4" t="s">
        <v>25</v>
      </c>
      <c r="I1211" s="5">
        <v>44440</v>
      </c>
      <c r="J1211" s="6">
        <v>0</v>
      </c>
      <c r="K1211" s="6">
        <v>0</v>
      </c>
      <c r="L1211" s="6">
        <v>798.976</v>
      </c>
      <c r="M1211" s="6">
        <v>798.976</v>
      </c>
      <c r="N1211" s="6">
        <v>798.976</v>
      </c>
      <c r="O1211" s="6">
        <v>798.976</v>
      </c>
      <c r="P1211" s="6">
        <v>989</v>
      </c>
      <c r="Q1211" s="4" t="s">
        <v>26</v>
      </c>
      <c r="R1211" s="4">
        <v>0</v>
      </c>
      <c r="S1211" s="6">
        <v>0</v>
      </c>
      <c r="T1211" s="6">
        <v>44</v>
      </c>
      <c r="U1211" s="6">
        <v>81</v>
      </c>
      <c r="V1211" s="6">
        <f>IF(ISERROR(VLOOKUP($S$1211,'TAR FIN'!$A$1:$O$85,15,0)),0,VLOOKUP($S$1211,'TAR FIN'!$A$1:$O$85,15,0))</f>
        <v>0</v>
      </c>
      <c r="W1211" s="6">
        <f>IF(ISERROR(VLOOKUP($T$1211,'TAR FIN'!$A$1:$O$85,15,0)),0,VLOOKUP($T$1211,'TAR FIN'!$A$1:$O$85,15,0))</f>
        <v>324.88</v>
      </c>
      <c r="X1211" s="6">
        <f>IF(ISERROR(VLOOKUP($U$1211,'TAR FIN'!$A$1:$O$85,15,0)),0,VLOOKUP($U$1211,'TAR FIN'!$A$1:$O$85,15,0))</f>
        <v>322.54000000000002</v>
      </c>
      <c r="Y1211" s="6"/>
      <c r="Z1211" s="6">
        <f ca="1">('TUSD BE'!$AM$48+'TUSD BF'!$AM$48+'TUSD CVA'!$AM$48)*1</f>
        <v>434.80310925202969</v>
      </c>
      <c r="AA1211" s="6">
        <f>('TE BE'!$AB$38+'TE BF'!$AB$38+'TE CVA'!$AB$38)*1</f>
        <v>319.954086693367</v>
      </c>
      <c r="AB1211" s="6">
        <f>$K$1211*$V$1211</f>
        <v>0</v>
      </c>
      <c r="AC1211" s="6">
        <f>$M$1211*$W$1211</f>
        <v>259571.32287999999</v>
      </c>
      <c r="AD1211" s="6">
        <f>$O$1211*$X$1211</f>
        <v>257701.71904000003</v>
      </c>
      <c r="AE1211" s="6">
        <f>$K$1211*$Y$1211</f>
        <v>0</v>
      </c>
      <c r="AF1211" s="6">
        <f ca="1">$M$1211*$Z$1211</f>
        <v>347397.24901774968</v>
      </c>
      <c r="AG1211" s="6">
        <f>$O$1211*$AA$1211</f>
        <v>255635.63636991961</v>
      </c>
    </row>
    <row r="1212" spans="1:33" ht="11.25" customHeight="1" x14ac:dyDescent="0.25">
      <c r="A1212" s="4" t="s">
        <v>21</v>
      </c>
      <c r="B1212" s="4" t="s">
        <v>37</v>
      </c>
      <c r="C1212" s="4" t="s">
        <v>23</v>
      </c>
      <c r="D1212" s="4" t="s">
        <v>45</v>
      </c>
      <c r="E1212" s="4" t="s">
        <v>25</v>
      </c>
      <c r="F1212" s="4" t="s">
        <v>25</v>
      </c>
      <c r="G1212" s="4" t="s">
        <v>25</v>
      </c>
      <c r="H1212" s="4" t="s">
        <v>25</v>
      </c>
      <c r="I1212" s="5">
        <v>44470</v>
      </c>
      <c r="J1212" s="6">
        <v>0</v>
      </c>
      <c r="K1212" s="6">
        <v>0</v>
      </c>
      <c r="L1212" s="6">
        <v>906.45600000000002</v>
      </c>
      <c r="M1212" s="6">
        <v>906.45600000000002</v>
      </c>
      <c r="N1212" s="6">
        <v>906.45600000000002</v>
      </c>
      <c r="O1212" s="6">
        <v>906.45600000000002</v>
      </c>
      <c r="P1212" s="6">
        <v>989</v>
      </c>
      <c r="Q1212" s="4" t="s">
        <v>26</v>
      </c>
      <c r="R1212" s="4">
        <v>0</v>
      </c>
      <c r="S1212" s="6">
        <v>0</v>
      </c>
      <c r="T1212" s="6">
        <v>44</v>
      </c>
      <c r="U1212" s="6">
        <v>81</v>
      </c>
      <c r="V1212" s="6">
        <f>IF(ISERROR(VLOOKUP($S$1212,'TAR FIN'!$A$1:$O$85,15,0)),0,VLOOKUP($S$1212,'TAR FIN'!$A$1:$O$85,15,0))</f>
        <v>0</v>
      </c>
      <c r="W1212" s="6">
        <f>IF(ISERROR(VLOOKUP($T$1212,'TAR FIN'!$A$1:$O$85,15,0)),0,VLOOKUP($T$1212,'TAR FIN'!$A$1:$O$85,15,0))</f>
        <v>324.88</v>
      </c>
      <c r="X1212" s="6">
        <f>IF(ISERROR(VLOOKUP($U$1212,'TAR FIN'!$A$1:$O$85,15,0)),0,VLOOKUP($U$1212,'TAR FIN'!$A$1:$O$85,15,0))</f>
        <v>322.54000000000002</v>
      </c>
      <c r="Y1212" s="6"/>
      <c r="Z1212" s="6">
        <f ca="1">('TUSD BE'!$AM$48+'TUSD BF'!$AM$48+'TUSD CVA'!$AM$48)*1</f>
        <v>434.80310925202969</v>
      </c>
      <c r="AA1212" s="6">
        <f>('TE BE'!$AB$38+'TE BF'!$AB$38+'TE CVA'!$AB$38)*1</f>
        <v>319.954086693367</v>
      </c>
      <c r="AB1212" s="6">
        <f>$K$1212*$V$1212</f>
        <v>0</v>
      </c>
      <c r="AC1212" s="6">
        <f>$M$1212*$W$1212</f>
        <v>294489.42528000002</v>
      </c>
      <c r="AD1212" s="6">
        <f>$O$1212*$X$1212</f>
        <v>292368.31824000005</v>
      </c>
      <c r="AE1212" s="6">
        <f>$K$1212*$Y$1212</f>
        <v>0</v>
      </c>
      <c r="AF1212" s="6">
        <f ca="1">$M$1212*$Z$1212</f>
        <v>394129.88720015786</v>
      </c>
      <c r="AG1212" s="6">
        <f>$O$1212*$AA$1212</f>
        <v>290024.30160772271</v>
      </c>
    </row>
    <row r="1213" spans="1:33" ht="11.25" customHeight="1" x14ac:dyDescent="0.25">
      <c r="A1213" s="4" t="s">
        <v>21</v>
      </c>
      <c r="B1213" s="4" t="s">
        <v>37</v>
      </c>
      <c r="C1213" s="4" t="s">
        <v>23</v>
      </c>
      <c r="D1213" s="4" t="s">
        <v>45</v>
      </c>
      <c r="E1213" s="4" t="s">
        <v>25</v>
      </c>
      <c r="F1213" s="4" t="s">
        <v>25</v>
      </c>
      <c r="G1213" s="4" t="s">
        <v>25</v>
      </c>
      <c r="H1213" s="4" t="s">
        <v>25</v>
      </c>
      <c r="I1213" s="5">
        <v>44501</v>
      </c>
      <c r="J1213" s="6">
        <v>0</v>
      </c>
      <c r="K1213" s="6">
        <v>0</v>
      </c>
      <c r="L1213" s="6">
        <v>866.60699999999997</v>
      </c>
      <c r="M1213" s="6">
        <v>866.60699999999997</v>
      </c>
      <c r="N1213" s="6">
        <v>866.60699999999997</v>
      </c>
      <c r="O1213" s="6">
        <v>866.60699999999997</v>
      </c>
      <c r="P1213" s="6">
        <v>989</v>
      </c>
      <c r="Q1213" s="4" t="s">
        <v>26</v>
      </c>
      <c r="R1213" s="4">
        <v>0</v>
      </c>
      <c r="S1213" s="6">
        <v>0</v>
      </c>
      <c r="T1213" s="6">
        <v>44</v>
      </c>
      <c r="U1213" s="6">
        <v>81</v>
      </c>
      <c r="V1213" s="6">
        <f>IF(ISERROR(VLOOKUP($S$1213,'TAR FIN'!$A$1:$O$85,15,0)),0,VLOOKUP($S$1213,'TAR FIN'!$A$1:$O$85,15,0))</f>
        <v>0</v>
      </c>
      <c r="W1213" s="6">
        <f>IF(ISERROR(VLOOKUP($T$1213,'TAR FIN'!$A$1:$O$85,15,0)),0,VLOOKUP($T$1213,'TAR FIN'!$A$1:$O$85,15,0))</f>
        <v>324.88</v>
      </c>
      <c r="X1213" s="6">
        <f>IF(ISERROR(VLOOKUP($U$1213,'TAR FIN'!$A$1:$O$85,15,0)),0,VLOOKUP($U$1213,'TAR FIN'!$A$1:$O$85,15,0))</f>
        <v>322.54000000000002</v>
      </c>
      <c r="Y1213" s="6"/>
      <c r="Z1213" s="6">
        <f ca="1">('TUSD BE'!$AM$48+'TUSD BF'!$AM$48+'TUSD CVA'!$AM$48)*1</f>
        <v>434.80310925202969</v>
      </c>
      <c r="AA1213" s="6">
        <f>('TE BE'!$AB$38+'TE BF'!$AB$38+'TE CVA'!$AB$38)*1</f>
        <v>319.954086693367</v>
      </c>
      <c r="AB1213" s="6">
        <f>$K$1213*$V$1213</f>
        <v>0</v>
      </c>
      <c r="AC1213" s="6">
        <f>$M$1213*$W$1213</f>
        <v>281543.28216</v>
      </c>
      <c r="AD1213" s="6">
        <f>$O$1213*$X$1213</f>
        <v>279515.42178000003</v>
      </c>
      <c r="AE1213" s="6">
        <f>$K$1213*$Y$1213</f>
        <v>0</v>
      </c>
      <c r="AF1213" s="6">
        <f ca="1">$M$1213*$Z$1213</f>
        <v>376803.4180995737</v>
      </c>
      <c r="AG1213" s="6">
        <f>$O$1213*$AA$1213</f>
        <v>277274.4512070787</v>
      </c>
    </row>
    <row r="1214" spans="1:33" ht="11.25" customHeight="1" x14ac:dyDescent="0.25">
      <c r="A1214" s="4" t="s">
        <v>21</v>
      </c>
      <c r="B1214" s="4" t="s">
        <v>37</v>
      </c>
      <c r="C1214" s="4" t="s">
        <v>23</v>
      </c>
      <c r="D1214" s="4" t="s">
        <v>45</v>
      </c>
      <c r="E1214" s="4" t="s">
        <v>25</v>
      </c>
      <c r="F1214" s="4" t="s">
        <v>25</v>
      </c>
      <c r="G1214" s="4" t="s">
        <v>25</v>
      </c>
      <c r="H1214" s="4" t="s">
        <v>25</v>
      </c>
      <c r="I1214" s="5">
        <v>44531</v>
      </c>
      <c r="J1214" s="6">
        <v>0</v>
      </c>
      <c r="K1214" s="6">
        <v>0</v>
      </c>
      <c r="L1214" s="6">
        <v>944.62</v>
      </c>
      <c r="M1214" s="6">
        <v>944.62</v>
      </c>
      <c r="N1214" s="6">
        <v>944.62</v>
      </c>
      <c r="O1214" s="6">
        <v>944.62</v>
      </c>
      <c r="P1214" s="6">
        <v>964</v>
      </c>
      <c r="Q1214" s="4" t="s">
        <v>26</v>
      </c>
      <c r="R1214" s="4">
        <v>0</v>
      </c>
      <c r="S1214" s="6">
        <v>0</v>
      </c>
      <c r="T1214" s="6">
        <v>44</v>
      </c>
      <c r="U1214" s="6">
        <v>81</v>
      </c>
      <c r="V1214" s="6">
        <f>IF(ISERROR(VLOOKUP($S$1214,'TAR FIN'!$A$1:$O$85,15,0)),0,VLOOKUP($S$1214,'TAR FIN'!$A$1:$O$85,15,0))</f>
        <v>0</v>
      </c>
      <c r="W1214" s="6">
        <f>IF(ISERROR(VLOOKUP($T$1214,'TAR FIN'!$A$1:$O$85,15,0)),0,VLOOKUP($T$1214,'TAR FIN'!$A$1:$O$85,15,0))</f>
        <v>324.88</v>
      </c>
      <c r="X1214" s="6">
        <f>IF(ISERROR(VLOOKUP($U$1214,'TAR FIN'!$A$1:$O$85,15,0)),0,VLOOKUP($U$1214,'TAR FIN'!$A$1:$O$85,15,0))</f>
        <v>322.54000000000002</v>
      </c>
      <c r="Y1214" s="6"/>
      <c r="Z1214" s="6">
        <f ca="1">('TUSD BE'!$AM$48+'TUSD BF'!$AM$48+'TUSD CVA'!$AM$48)*1</f>
        <v>434.80310925202969</v>
      </c>
      <c r="AA1214" s="6">
        <f>('TE BE'!$AB$38+'TE BF'!$AB$38+'TE CVA'!$AB$38)*1</f>
        <v>319.954086693367</v>
      </c>
      <c r="AB1214" s="6">
        <f>$K$1214*$V$1214</f>
        <v>0</v>
      </c>
      <c r="AC1214" s="6">
        <f>$M$1214*$W$1214</f>
        <v>306888.14559999999</v>
      </c>
      <c r="AD1214" s="6">
        <f>$O$1214*$X$1214</f>
        <v>304677.73480000003</v>
      </c>
      <c r="AE1214" s="6">
        <f>$K$1214*$Y$1214</f>
        <v>0</v>
      </c>
      <c r="AF1214" s="6">
        <f ca="1">$M$1214*$Z$1214</f>
        <v>410723.71306165226</v>
      </c>
      <c r="AG1214" s="6">
        <f>$O$1214*$AA$1214</f>
        <v>302235.02937228832</v>
      </c>
    </row>
    <row r="1215" spans="1:33" ht="11.25" customHeight="1" x14ac:dyDescent="0.25">
      <c r="A1215" s="4" t="s">
        <v>21</v>
      </c>
      <c r="B1215" s="4" t="s">
        <v>37</v>
      </c>
      <c r="C1215" s="4" t="s">
        <v>23</v>
      </c>
      <c r="D1215" s="4" t="s">
        <v>45</v>
      </c>
      <c r="E1215" s="4" t="s">
        <v>25</v>
      </c>
      <c r="F1215" s="4" t="s">
        <v>25</v>
      </c>
      <c r="G1215" s="4" t="s">
        <v>25</v>
      </c>
      <c r="H1215" s="4" t="s">
        <v>25</v>
      </c>
      <c r="I1215" s="5">
        <v>44562</v>
      </c>
      <c r="J1215" s="6">
        <v>0</v>
      </c>
      <c r="K1215" s="6">
        <v>0</v>
      </c>
      <c r="L1215" s="6">
        <v>799.40200000000004</v>
      </c>
      <c r="M1215" s="6">
        <v>799.40200000000004</v>
      </c>
      <c r="N1215" s="6">
        <v>799.40200000000004</v>
      </c>
      <c r="O1215" s="6">
        <v>799.40200000000004</v>
      </c>
      <c r="P1215" s="6">
        <v>962</v>
      </c>
      <c r="Q1215" s="4" t="s">
        <v>26</v>
      </c>
      <c r="R1215" s="4">
        <v>0</v>
      </c>
      <c r="S1215" s="6">
        <v>0</v>
      </c>
      <c r="T1215" s="6">
        <v>44</v>
      </c>
      <c r="U1215" s="6">
        <v>81</v>
      </c>
      <c r="V1215" s="6">
        <f>IF(ISERROR(VLOOKUP($S$1215,'TAR FIN'!$A$1:$O$85,15,0)),0,VLOOKUP($S$1215,'TAR FIN'!$A$1:$O$85,15,0))</f>
        <v>0</v>
      </c>
      <c r="W1215" s="6">
        <f>IF(ISERROR(VLOOKUP($T$1215,'TAR FIN'!$A$1:$O$85,15,0)),0,VLOOKUP($T$1215,'TAR FIN'!$A$1:$O$85,15,0))</f>
        <v>324.88</v>
      </c>
      <c r="X1215" s="6">
        <f>IF(ISERROR(VLOOKUP($U$1215,'TAR FIN'!$A$1:$O$85,15,0)),0,VLOOKUP($U$1215,'TAR FIN'!$A$1:$O$85,15,0))</f>
        <v>322.54000000000002</v>
      </c>
      <c r="Y1215" s="6"/>
      <c r="Z1215" s="6">
        <f ca="1">('TUSD BE'!$AM$48+'TUSD BF'!$AM$48+'TUSD CVA'!$AM$48)*1</f>
        <v>434.80310925202969</v>
      </c>
      <c r="AA1215" s="6">
        <f>('TE BE'!$AB$38+'TE BF'!$AB$38+'TE CVA'!$AB$38)*1</f>
        <v>319.954086693367</v>
      </c>
      <c r="AB1215" s="6">
        <f>$K$1215*$V$1215</f>
        <v>0</v>
      </c>
      <c r="AC1215" s="6">
        <f>$M$1215*$W$1215</f>
        <v>259709.72176000001</v>
      </c>
      <c r="AD1215" s="6">
        <f>$O$1215*$X$1215</f>
        <v>257839.12108000004</v>
      </c>
      <c r="AE1215" s="6">
        <f>$K$1215*$Y$1215</f>
        <v>0</v>
      </c>
      <c r="AF1215" s="6">
        <f ca="1">$M$1215*$Z$1215</f>
        <v>347582.47514229105</v>
      </c>
      <c r="AG1215" s="6">
        <f>$O$1215*$AA$1215</f>
        <v>255771.93681085098</v>
      </c>
    </row>
    <row r="1216" spans="1:33" ht="11.25" customHeight="1" x14ac:dyDescent="0.25">
      <c r="A1216" s="4" t="s">
        <v>21</v>
      </c>
      <c r="B1216" s="4" t="s">
        <v>37</v>
      </c>
      <c r="C1216" s="4" t="s">
        <v>23</v>
      </c>
      <c r="D1216" s="4" t="s">
        <v>45</v>
      </c>
      <c r="E1216" s="4" t="s">
        <v>25</v>
      </c>
      <c r="F1216" s="4" t="s">
        <v>25</v>
      </c>
      <c r="G1216" s="4" t="s">
        <v>25</v>
      </c>
      <c r="H1216" s="4" t="s">
        <v>25</v>
      </c>
      <c r="I1216" s="5">
        <v>44593</v>
      </c>
      <c r="J1216" s="6">
        <v>0</v>
      </c>
      <c r="K1216" s="6">
        <v>0</v>
      </c>
      <c r="L1216" s="6">
        <v>999.95500000000004</v>
      </c>
      <c r="M1216" s="6">
        <v>999.95500000000004</v>
      </c>
      <c r="N1216" s="6">
        <v>999.95500000000004</v>
      </c>
      <c r="O1216" s="6">
        <v>999.95500000000004</v>
      </c>
      <c r="P1216" s="6">
        <v>962</v>
      </c>
      <c r="Q1216" s="4" t="s">
        <v>26</v>
      </c>
      <c r="R1216" s="4">
        <v>0</v>
      </c>
      <c r="S1216" s="6">
        <v>0</v>
      </c>
      <c r="T1216" s="6">
        <v>44</v>
      </c>
      <c r="U1216" s="6">
        <v>81</v>
      </c>
      <c r="V1216" s="6">
        <f>IF(ISERROR(VLOOKUP($S$1216,'TAR FIN'!$A$1:$O$85,15,0)),0,VLOOKUP($S$1216,'TAR FIN'!$A$1:$O$85,15,0))</f>
        <v>0</v>
      </c>
      <c r="W1216" s="6">
        <f>IF(ISERROR(VLOOKUP($T$1216,'TAR FIN'!$A$1:$O$85,15,0)),0,VLOOKUP($T$1216,'TAR FIN'!$A$1:$O$85,15,0))</f>
        <v>324.88</v>
      </c>
      <c r="X1216" s="6">
        <f>IF(ISERROR(VLOOKUP($U$1216,'TAR FIN'!$A$1:$O$85,15,0)),0,VLOOKUP($U$1216,'TAR FIN'!$A$1:$O$85,15,0))</f>
        <v>322.54000000000002</v>
      </c>
      <c r="Y1216" s="6"/>
      <c r="Z1216" s="6">
        <f ca="1">('TUSD BE'!$AM$48+'TUSD BF'!$AM$48+'TUSD CVA'!$AM$48)*1</f>
        <v>434.80310925202969</v>
      </c>
      <c r="AA1216" s="6">
        <f>('TE BE'!$AB$38+'TE BF'!$AB$38+'TE CVA'!$AB$38)*1</f>
        <v>319.954086693367</v>
      </c>
      <c r="AB1216" s="6">
        <f>$K$1216*$V$1216</f>
        <v>0</v>
      </c>
      <c r="AC1216" s="6">
        <f>$M$1216*$W$1216</f>
        <v>324865.38040000002</v>
      </c>
      <c r="AD1216" s="6">
        <f>$O$1216*$X$1216</f>
        <v>322525.48570000002</v>
      </c>
      <c r="AE1216" s="6">
        <f>$K$1216*$Y$1216</f>
        <v>0</v>
      </c>
      <c r="AF1216" s="6">
        <f ca="1">$M$1216*$Z$1216</f>
        <v>434783.54311211337</v>
      </c>
      <c r="AG1216" s="6">
        <f>$O$1216*$AA$1216</f>
        <v>319939.68875946582</v>
      </c>
    </row>
    <row r="1217" spans="1:33" ht="11.25" customHeight="1" x14ac:dyDescent="0.25">
      <c r="A1217" s="4" t="s">
        <v>21</v>
      </c>
      <c r="B1217" s="4" t="s">
        <v>37</v>
      </c>
      <c r="C1217" s="4" t="s">
        <v>23</v>
      </c>
      <c r="D1217" s="4" t="s">
        <v>45</v>
      </c>
      <c r="E1217" s="4" t="s">
        <v>25</v>
      </c>
      <c r="F1217" s="4" t="s">
        <v>25</v>
      </c>
      <c r="G1217" s="4" t="s">
        <v>25</v>
      </c>
      <c r="H1217" s="4" t="s">
        <v>25</v>
      </c>
      <c r="I1217" s="5">
        <v>44621</v>
      </c>
      <c r="J1217" s="6">
        <v>0</v>
      </c>
      <c r="K1217" s="6">
        <v>0</v>
      </c>
      <c r="L1217" s="6">
        <v>1139.653</v>
      </c>
      <c r="M1217" s="6">
        <v>1139.653</v>
      </c>
      <c r="N1217" s="6">
        <v>1139.653</v>
      </c>
      <c r="O1217" s="6">
        <v>1139.653</v>
      </c>
      <c r="P1217" s="6">
        <v>965</v>
      </c>
      <c r="Q1217" s="4" t="s">
        <v>26</v>
      </c>
      <c r="R1217" s="4">
        <v>0</v>
      </c>
      <c r="S1217" s="6">
        <v>0</v>
      </c>
      <c r="T1217" s="6">
        <v>44</v>
      </c>
      <c r="U1217" s="6">
        <v>81</v>
      </c>
      <c r="V1217" s="6">
        <f>IF(ISERROR(VLOOKUP($S$1217,'TAR FIN'!$A$1:$O$85,15,0)),0,VLOOKUP($S$1217,'TAR FIN'!$A$1:$O$85,15,0))</f>
        <v>0</v>
      </c>
      <c r="W1217" s="6">
        <f>IF(ISERROR(VLOOKUP($T$1217,'TAR FIN'!$A$1:$O$85,15,0)),0,VLOOKUP($T$1217,'TAR FIN'!$A$1:$O$85,15,0))</f>
        <v>324.88</v>
      </c>
      <c r="X1217" s="6">
        <f>IF(ISERROR(VLOOKUP($U$1217,'TAR FIN'!$A$1:$O$85,15,0)),0,VLOOKUP($U$1217,'TAR FIN'!$A$1:$O$85,15,0))</f>
        <v>322.54000000000002</v>
      </c>
      <c r="Y1217" s="6"/>
      <c r="Z1217" s="6">
        <f ca="1">('TUSD BE'!$AM$48+'TUSD BF'!$AM$48+'TUSD CVA'!$AM$48)*1</f>
        <v>434.80310925202969</v>
      </c>
      <c r="AA1217" s="6">
        <f>('TE BE'!$AB$38+'TE BF'!$AB$38+'TE CVA'!$AB$38)*1</f>
        <v>319.954086693367</v>
      </c>
      <c r="AB1217" s="6">
        <f>$K$1217*$V$1217</f>
        <v>0</v>
      </c>
      <c r="AC1217" s="6">
        <f>$M$1217*$W$1217</f>
        <v>370250.46664</v>
      </c>
      <c r="AD1217" s="6">
        <f>$O$1217*$X$1217</f>
        <v>367583.67862000002</v>
      </c>
      <c r="AE1217" s="6">
        <f>$K$1217*$Y$1217</f>
        <v>0</v>
      </c>
      <c r="AF1217" s="6">
        <f ca="1">$M$1217*$Z$1217</f>
        <v>495524.66786840337</v>
      </c>
      <c r="AG1217" s="6">
        <f>$O$1217*$AA$1217</f>
        <v>364636.63476235577</v>
      </c>
    </row>
    <row r="1218" spans="1:33" ht="11.25" customHeight="1" x14ac:dyDescent="0.25">
      <c r="A1218" s="4" t="s">
        <v>27</v>
      </c>
      <c r="B1218" s="4" t="s">
        <v>37</v>
      </c>
      <c r="C1218" s="4" t="s">
        <v>23</v>
      </c>
      <c r="D1218" s="4" t="s">
        <v>45</v>
      </c>
      <c r="E1218" s="4" t="s">
        <v>25</v>
      </c>
      <c r="F1218" s="4" t="s">
        <v>25</v>
      </c>
      <c r="G1218" s="4" t="s">
        <v>25</v>
      </c>
      <c r="H1218" s="4" t="s">
        <v>25</v>
      </c>
      <c r="I1218" s="5">
        <v>44621</v>
      </c>
      <c r="J1218" s="6">
        <v>0</v>
      </c>
      <c r="K1218" s="6">
        <v>0</v>
      </c>
      <c r="L1218" s="6">
        <v>0.53</v>
      </c>
      <c r="M1218" s="6">
        <v>0.53</v>
      </c>
      <c r="N1218" s="6">
        <v>0.53</v>
      </c>
      <c r="O1218" s="6">
        <v>0.53</v>
      </c>
      <c r="P1218" s="6">
        <v>1</v>
      </c>
      <c r="Q1218" s="4" t="s">
        <v>26</v>
      </c>
      <c r="R1218" s="4">
        <v>0</v>
      </c>
      <c r="S1218" s="6">
        <v>0</v>
      </c>
      <c r="T1218" s="6">
        <v>44</v>
      </c>
      <c r="U1218" s="6">
        <v>81</v>
      </c>
      <c r="V1218" s="6">
        <f>IF(ISERROR(VLOOKUP($S$1218,'TAR FIN'!$A$1:$O$85,15,0)),0,VLOOKUP($S$1218,'TAR FIN'!$A$1:$O$85,15,0))</f>
        <v>0</v>
      </c>
      <c r="W1218" s="6">
        <f>IF(ISERROR(VLOOKUP($T$1218,'TAR FIN'!$A$1:$O$85,15,0)),0,VLOOKUP($T$1218,'TAR FIN'!$A$1:$O$85,15,0))</f>
        <v>324.88</v>
      </c>
      <c r="X1218" s="6">
        <f>IF(ISERROR(VLOOKUP($U$1218,'TAR FIN'!$A$1:$O$85,15,0)),0,VLOOKUP($U$1218,'TAR FIN'!$A$1:$O$85,15,0))</f>
        <v>322.54000000000002</v>
      </c>
      <c r="Y1218" s="6"/>
      <c r="Z1218" s="6">
        <f ca="1">('TUSD BE'!$AM$48+'TUSD BF'!$AM$48+'TUSD CVA'!$AM$48)*1</f>
        <v>434.80310925202969</v>
      </c>
      <c r="AA1218" s="6">
        <f>('TE BE'!$AB$38+'TE BF'!$AB$38+'TE CVA'!$AB$38)*1</f>
        <v>319.954086693367</v>
      </c>
      <c r="AB1218" s="6">
        <f>$K$1218*$V$1218</f>
        <v>0</v>
      </c>
      <c r="AC1218" s="6">
        <f>$M$1218*$W$1218</f>
        <v>172.18640000000002</v>
      </c>
      <c r="AD1218" s="6">
        <f>$O$1218*$X$1218</f>
        <v>170.94620000000003</v>
      </c>
      <c r="AE1218" s="6">
        <f>$K$1218*$Y$1218</f>
        <v>0</v>
      </c>
      <c r="AF1218" s="6">
        <f ca="1">$M$1218*$Z$1218</f>
        <v>230.44564790357575</v>
      </c>
      <c r="AG1218" s="6">
        <f>$O$1218*$AA$1218</f>
        <v>169.57566594748451</v>
      </c>
    </row>
    <row r="1219" spans="1:33" ht="11.25" customHeight="1" x14ac:dyDescent="0.25">
      <c r="A1219" s="4" t="s">
        <v>28</v>
      </c>
      <c r="B1219" s="4" t="s">
        <v>37</v>
      </c>
      <c r="C1219" s="4" t="s">
        <v>23</v>
      </c>
      <c r="D1219" s="4" t="s">
        <v>45</v>
      </c>
      <c r="E1219" s="4" t="s">
        <v>25</v>
      </c>
      <c r="F1219" s="4" t="s">
        <v>25</v>
      </c>
      <c r="G1219" s="4" t="s">
        <v>25</v>
      </c>
      <c r="H1219" s="4" t="s">
        <v>25</v>
      </c>
      <c r="I1219" s="5">
        <v>44621</v>
      </c>
      <c r="J1219" s="6">
        <v>0</v>
      </c>
      <c r="K1219" s="6">
        <v>0</v>
      </c>
      <c r="L1219" s="6">
        <v>1.29</v>
      </c>
      <c r="M1219" s="6">
        <v>1.29</v>
      </c>
      <c r="N1219" s="6">
        <v>1.29</v>
      </c>
      <c r="O1219" s="6">
        <v>1.29</v>
      </c>
      <c r="P1219" s="6">
        <v>1</v>
      </c>
      <c r="Q1219" s="4" t="s">
        <v>26</v>
      </c>
      <c r="R1219" s="4">
        <v>0</v>
      </c>
      <c r="S1219" s="6">
        <v>0</v>
      </c>
      <c r="T1219" s="6">
        <v>44</v>
      </c>
      <c r="U1219" s="6">
        <v>81</v>
      </c>
      <c r="V1219" s="6">
        <f>IF(ISERROR(VLOOKUP($S$1219,'TAR FIN'!$A$1:$O$85,15,0)),0,VLOOKUP($S$1219,'TAR FIN'!$A$1:$O$85,15,0))</f>
        <v>0</v>
      </c>
      <c r="W1219" s="6">
        <f>IF(ISERROR(VLOOKUP($T$1219,'TAR FIN'!$A$1:$O$85,15,0)),0,VLOOKUP($T$1219,'TAR FIN'!$A$1:$O$85,15,0))</f>
        <v>324.88</v>
      </c>
      <c r="X1219" s="6">
        <f>IF(ISERROR(VLOOKUP($U$1219,'TAR FIN'!$A$1:$O$85,15,0)),0,VLOOKUP($U$1219,'TAR FIN'!$A$1:$O$85,15,0))</f>
        <v>322.54000000000002</v>
      </c>
      <c r="Y1219" s="6"/>
      <c r="Z1219" s="6">
        <f ca="1">('TUSD BE'!$AM$48+'TUSD BF'!$AM$48+'TUSD CVA'!$AM$48)*1</f>
        <v>434.80310925202969</v>
      </c>
      <c r="AA1219" s="6">
        <f>('TE BE'!$AB$38+'TE BF'!$AB$38+'TE CVA'!$AB$38)*1</f>
        <v>319.954086693367</v>
      </c>
      <c r="AB1219" s="6">
        <f>$K$1219*$V$1219</f>
        <v>0</v>
      </c>
      <c r="AC1219" s="6">
        <f>$M$1219*$W$1219</f>
        <v>419.09520000000003</v>
      </c>
      <c r="AD1219" s="6">
        <f>$O$1219*$X$1219</f>
        <v>416.07660000000004</v>
      </c>
      <c r="AE1219" s="6">
        <f>$K$1219*$Y$1219</f>
        <v>0</v>
      </c>
      <c r="AF1219" s="6">
        <f ca="1">$M$1219*$Z$1219</f>
        <v>560.89601093511828</v>
      </c>
      <c r="AG1219" s="6">
        <f>$O$1219*$AA$1219</f>
        <v>412.74077183444342</v>
      </c>
    </row>
    <row r="1220" spans="1:33" ht="11.25" customHeight="1" x14ac:dyDescent="0.25">
      <c r="A1220" s="4" t="s">
        <v>21</v>
      </c>
      <c r="B1220" s="4" t="s">
        <v>37</v>
      </c>
      <c r="C1220" s="4" t="s">
        <v>23</v>
      </c>
      <c r="D1220" s="4" t="s">
        <v>45</v>
      </c>
      <c r="E1220" s="4" t="s">
        <v>25</v>
      </c>
      <c r="F1220" s="4" t="s">
        <v>25</v>
      </c>
      <c r="G1220" s="4" t="s">
        <v>25</v>
      </c>
      <c r="H1220" s="4" t="s">
        <v>25</v>
      </c>
      <c r="I1220" s="5">
        <v>44652</v>
      </c>
      <c r="J1220" s="6">
        <v>0</v>
      </c>
      <c r="K1220" s="6">
        <v>0</v>
      </c>
      <c r="L1220" s="6">
        <v>1188.491</v>
      </c>
      <c r="M1220" s="6">
        <v>1188.491</v>
      </c>
      <c r="N1220" s="6">
        <v>1188.491</v>
      </c>
      <c r="O1220" s="6">
        <v>1188.491</v>
      </c>
      <c r="P1220" s="6">
        <v>964</v>
      </c>
      <c r="Q1220" s="4" t="s">
        <v>26</v>
      </c>
      <c r="R1220" s="4">
        <v>0</v>
      </c>
      <c r="S1220" s="6">
        <v>0</v>
      </c>
      <c r="T1220" s="6">
        <v>44</v>
      </c>
      <c r="U1220" s="6">
        <v>81</v>
      </c>
      <c r="V1220" s="6">
        <f>IF(ISERROR(VLOOKUP($S$1220,'TAR FIN'!$A$1:$O$85,15,0)),0,VLOOKUP($S$1220,'TAR FIN'!$A$1:$O$85,15,0))</f>
        <v>0</v>
      </c>
      <c r="W1220" s="6">
        <f>IF(ISERROR(VLOOKUP($T$1220,'TAR FIN'!$A$1:$O$85,15,0)),0,VLOOKUP($T$1220,'TAR FIN'!$A$1:$O$85,15,0))</f>
        <v>324.88</v>
      </c>
      <c r="X1220" s="6">
        <f>IF(ISERROR(VLOOKUP($U$1220,'TAR FIN'!$A$1:$O$85,15,0)),0,VLOOKUP($U$1220,'TAR FIN'!$A$1:$O$85,15,0))</f>
        <v>322.54000000000002</v>
      </c>
      <c r="Y1220" s="6"/>
      <c r="Z1220" s="6">
        <f ca="1">('TUSD BE'!$AM$48+'TUSD BF'!$AM$48+'TUSD CVA'!$AM$48)*1</f>
        <v>434.80310925202969</v>
      </c>
      <c r="AA1220" s="6">
        <f>('TE BE'!$AB$38+'TE BF'!$AB$38+'TE CVA'!$AB$38)*1</f>
        <v>319.954086693367</v>
      </c>
      <c r="AB1220" s="6">
        <f>$K$1220*$V$1220</f>
        <v>0</v>
      </c>
      <c r="AC1220" s="6">
        <f>$M$1220*$W$1220</f>
        <v>386116.95607999997</v>
      </c>
      <c r="AD1220" s="6">
        <f>$O$1220*$X$1220</f>
        <v>383335.88714000001</v>
      </c>
      <c r="AE1220" s="6">
        <f>$K$1220*$Y$1220</f>
        <v>0</v>
      </c>
      <c r="AF1220" s="6">
        <f ca="1">$M$1220*$Z$1220</f>
        <v>516759.58211805398</v>
      </c>
      <c r="AG1220" s="6">
        <f>$O$1220*$AA$1220</f>
        <v>380262.55244828644</v>
      </c>
    </row>
    <row r="1221" spans="1:33" ht="11.25" customHeight="1" x14ac:dyDescent="0.25">
      <c r="A1221" s="4" t="s">
        <v>28</v>
      </c>
      <c r="B1221" s="4" t="s">
        <v>37</v>
      </c>
      <c r="C1221" s="4" t="s">
        <v>23</v>
      </c>
      <c r="D1221" s="4" t="s">
        <v>45</v>
      </c>
      <c r="E1221" s="4" t="s">
        <v>25</v>
      </c>
      <c r="F1221" s="4" t="s">
        <v>25</v>
      </c>
      <c r="G1221" s="4" t="s">
        <v>25</v>
      </c>
      <c r="H1221" s="4" t="s">
        <v>25</v>
      </c>
      <c r="I1221" s="5">
        <v>44652</v>
      </c>
      <c r="J1221" s="6">
        <v>0</v>
      </c>
      <c r="K1221" s="6">
        <v>0</v>
      </c>
      <c r="L1221" s="6">
        <v>0.1</v>
      </c>
      <c r="M1221" s="6">
        <v>0.1</v>
      </c>
      <c r="N1221" s="6">
        <v>0.1</v>
      </c>
      <c r="O1221" s="6">
        <v>0.1</v>
      </c>
      <c r="P1221" s="6">
        <v>1</v>
      </c>
      <c r="Q1221" s="4" t="s">
        <v>26</v>
      </c>
      <c r="R1221" s="4">
        <v>0</v>
      </c>
      <c r="S1221" s="6">
        <v>0</v>
      </c>
      <c r="T1221" s="6">
        <v>44</v>
      </c>
      <c r="U1221" s="6">
        <v>81</v>
      </c>
      <c r="V1221" s="6">
        <f>IF(ISERROR(VLOOKUP($S$1221,'TAR FIN'!$A$1:$O$85,15,0)),0,VLOOKUP($S$1221,'TAR FIN'!$A$1:$O$85,15,0))</f>
        <v>0</v>
      </c>
      <c r="W1221" s="6">
        <f>IF(ISERROR(VLOOKUP($T$1221,'TAR FIN'!$A$1:$O$85,15,0)),0,VLOOKUP($T$1221,'TAR FIN'!$A$1:$O$85,15,0))</f>
        <v>324.88</v>
      </c>
      <c r="X1221" s="6">
        <f>IF(ISERROR(VLOOKUP($U$1221,'TAR FIN'!$A$1:$O$85,15,0)),0,VLOOKUP($U$1221,'TAR FIN'!$A$1:$O$85,15,0))</f>
        <v>322.54000000000002</v>
      </c>
      <c r="Y1221" s="6"/>
      <c r="Z1221" s="6">
        <f ca="1">('TUSD BE'!$AM$48+'TUSD BF'!$AM$48+'TUSD CVA'!$AM$48)*1</f>
        <v>434.80310925202969</v>
      </c>
      <c r="AA1221" s="6">
        <f>('TE BE'!$AB$38+'TE BF'!$AB$38+'TE CVA'!$AB$38)*1</f>
        <v>319.954086693367</v>
      </c>
      <c r="AB1221" s="6">
        <f>$K$1221*$V$1221</f>
        <v>0</v>
      </c>
      <c r="AC1221" s="6">
        <f>$M$1221*$W$1221</f>
        <v>32.488</v>
      </c>
      <c r="AD1221" s="6">
        <f>$O$1221*$X$1221</f>
        <v>32.254000000000005</v>
      </c>
      <c r="AE1221" s="6">
        <f>$K$1221*$Y$1221</f>
        <v>0</v>
      </c>
      <c r="AF1221" s="6">
        <f ca="1">$M$1221*$Z$1221</f>
        <v>43.480310925202971</v>
      </c>
      <c r="AG1221" s="6">
        <f>$O$1221*$AA$1221</f>
        <v>31.995408669336701</v>
      </c>
    </row>
    <row r="1222" spans="1:33" ht="11.25" customHeight="1" x14ac:dyDescent="0.25">
      <c r="A1222" s="4" t="s">
        <v>21</v>
      </c>
      <c r="B1222" s="4" t="s">
        <v>37</v>
      </c>
      <c r="C1222" s="4" t="s">
        <v>23</v>
      </c>
      <c r="D1222" s="4" t="s">
        <v>45</v>
      </c>
      <c r="E1222" s="4" t="s">
        <v>25</v>
      </c>
      <c r="F1222" s="4" t="s">
        <v>25</v>
      </c>
      <c r="G1222" s="4" t="s">
        <v>25</v>
      </c>
      <c r="H1222" s="4" t="s">
        <v>25</v>
      </c>
      <c r="I1222" s="5">
        <v>44682</v>
      </c>
      <c r="J1222" s="6">
        <v>0</v>
      </c>
      <c r="K1222" s="6">
        <v>0</v>
      </c>
      <c r="L1222" s="6">
        <v>967.17200000000003</v>
      </c>
      <c r="M1222" s="6">
        <v>967.17200000000003</v>
      </c>
      <c r="N1222" s="6">
        <v>967.17200000000003</v>
      </c>
      <c r="O1222" s="6">
        <v>967.17200000000003</v>
      </c>
      <c r="P1222" s="6">
        <v>964</v>
      </c>
      <c r="Q1222" s="4" t="s">
        <v>26</v>
      </c>
      <c r="R1222" s="4">
        <v>0</v>
      </c>
      <c r="S1222" s="6">
        <v>0</v>
      </c>
      <c r="T1222" s="6">
        <v>44</v>
      </c>
      <c r="U1222" s="6">
        <v>81</v>
      </c>
      <c r="V1222" s="6">
        <f>IF(ISERROR(VLOOKUP($S$1222,'TAR FIN'!$A$1:$O$85,15,0)),0,VLOOKUP($S$1222,'TAR FIN'!$A$1:$O$85,15,0))</f>
        <v>0</v>
      </c>
      <c r="W1222" s="6">
        <f>IF(ISERROR(VLOOKUP($T$1222,'TAR FIN'!$A$1:$O$85,15,0)),0,VLOOKUP($T$1222,'TAR FIN'!$A$1:$O$85,15,0))</f>
        <v>324.88</v>
      </c>
      <c r="X1222" s="6">
        <f>IF(ISERROR(VLOOKUP($U$1222,'TAR FIN'!$A$1:$O$85,15,0)),0,VLOOKUP($U$1222,'TAR FIN'!$A$1:$O$85,15,0))</f>
        <v>322.54000000000002</v>
      </c>
      <c r="Y1222" s="6"/>
      <c r="Z1222" s="6">
        <f ca="1">('TUSD BE'!$AM$48+'TUSD BF'!$AM$48+'TUSD CVA'!$AM$48)*1</f>
        <v>434.80310925202969</v>
      </c>
      <c r="AA1222" s="6">
        <f>('TE BE'!$AB$38+'TE BF'!$AB$38+'TE CVA'!$AB$38)*1</f>
        <v>319.954086693367</v>
      </c>
      <c r="AB1222" s="6">
        <f>$K$1222*$V$1222</f>
        <v>0</v>
      </c>
      <c r="AC1222" s="6">
        <f>$M$1222*$W$1222</f>
        <v>314214.83935999998</v>
      </c>
      <c r="AD1222" s="6">
        <f>$O$1222*$X$1222</f>
        <v>311951.65688000002</v>
      </c>
      <c r="AE1222" s="6">
        <f>$K$1222*$Y$1222</f>
        <v>0</v>
      </c>
      <c r="AF1222" s="6">
        <f ca="1">$M$1222*$Z$1222</f>
        <v>420529.39278150408</v>
      </c>
      <c r="AG1222" s="6">
        <f>$O$1222*$AA$1222</f>
        <v>309450.63393539714</v>
      </c>
    </row>
    <row r="1223" spans="1:33" ht="11.25" customHeight="1" x14ac:dyDescent="0.25">
      <c r="A1223" s="4" t="s">
        <v>27</v>
      </c>
      <c r="B1223" s="4" t="s">
        <v>37</v>
      </c>
      <c r="C1223" s="4" t="s">
        <v>23</v>
      </c>
      <c r="D1223" s="4" t="s">
        <v>45</v>
      </c>
      <c r="E1223" s="4" t="s">
        <v>25</v>
      </c>
      <c r="F1223" s="4" t="s">
        <v>25</v>
      </c>
      <c r="G1223" s="4" t="s">
        <v>25</v>
      </c>
      <c r="H1223" s="4" t="s">
        <v>25</v>
      </c>
      <c r="I1223" s="5">
        <v>44682</v>
      </c>
      <c r="J1223" s="6">
        <v>0</v>
      </c>
      <c r="K1223" s="6">
        <v>0</v>
      </c>
      <c r="L1223" s="6">
        <v>0.152</v>
      </c>
      <c r="M1223" s="6">
        <v>0.152</v>
      </c>
      <c r="N1223" s="6">
        <v>0.152</v>
      </c>
      <c r="O1223" s="6">
        <v>0.152</v>
      </c>
      <c r="P1223" s="6">
        <v>1</v>
      </c>
      <c r="Q1223" s="4" t="s">
        <v>26</v>
      </c>
      <c r="R1223" s="4">
        <v>0</v>
      </c>
      <c r="S1223" s="6">
        <v>0</v>
      </c>
      <c r="T1223" s="6">
        <v>44</v>
      </c>
      <c r="U1223" s="6">
        <v>81</v>
      </c>
      <c r="V1223" s="6">
        <f>IF(ISERROR(VLOOKUP($S$1223,'TAR FIN'!$A$1:$O$85,15,0)),0,VLOOKUP($S$1223,'TAR FIN'!$A$1:$O$85,15,0))</f>
        <v>0</v>
      </c>
      <c r="W1223" s="6">
        <f>IF(ISERROR(VLOOKUP($T$1223,'TAR FIN'!$A$1:$O$85,15,0)),0,VLOOKUP($T$1223,'TAR FIN'!$A$1:$O$85,15,0))</f>
        <v>324.88</v>
      </c>
      <c r="X1223" s="6">
        <f>IF(ISERROR(VLOOKUP($U$1223,'TAR FIN'!$A$1:$O$85,15,0)),0,VLOOKUP($U$1223,'TAR FIN'!$A$1:$O$85,15,0))</f>
        <v>322.54000000000002</v>
      </c>
      <c r="Y1223" s="6"/>
      <c r="Z1223" s="6">
        <f ca="1">('TUSD BE'!$AM$48+'TUSD BF'!$AM$48+'TUSD CVA'!$AM$48)*1</f>
        <v>434.80310925202969</v>
      </c>
      <c r="AA1223" s="6">
        <f>('TE BE'!$AB$38+'TE BF'!$AB$38+'TE CVA'!$AB$38)*1</f>
        <v>319.954086693367</v>
      </c>
      <c r="AB1223" s="6">
        <f>$K$1223*$V$1223</f>
        <v>0</v>
      </c>
      <c r="AC1223" s="6">
        <f>$M$1223*$W$1223</f>
        <v>49.38176</v>
      </c>
      <c r="AD1223" s="6">
        <f>$O$1223*$X$1223</f>
        <v>49.02608</v>
      </c>
      <c r="AE1223" s="6">
        <f>$K$1223*$Y$1223</f>
        <v>0</v>
      </c>
      <c r="AF1223" s="6">
        <f ca="1">$M$1223*$Z$1223</f>
        <v>66.09007260630851</v>
      </c>
      <c r="AG1223" s="6">
        <f>$O$1223*$AA$1223</f>
        <v>48.633021177391782</v>
      </c>
    </row>
    <row r="1224" spans="1:33" ht="11.25" customHeight="1" x14ac:dyDescent="0.25">
      <c r="A1224" s="4" t="s">
        <v>28</v>
      </c>
      <c r="B1224" s="4" t="s">
        <v>37</v>
      </c>
      <c r="C1224" s="4" t="s">
        <v>23</v>
      </c>
      <c r="D1224" s="4" t="s">
        <v>45</v>
      </c>
      <c r="E1224" s="4" t="s">
        <v>25</v>
      </c>
      <c r="F1224" s="4" t="s">
        <v>25</v>
      </c>
      <c r="G1224" s="4" t="s">
        <v>25</v>
      </c>
      <c r="H1224" s="4" t="s">
        <v>25</v>
      </c>
      <c r="I1224" s="5">
        <v>44682</v>
      </c>
      <c r="J1224" s="6">
        <v>0</v>
      </c>
      <c r="K1224" s="6">
        <v>0</v>
      </c>
      <c r="L1224" s="6">
        <v>1.9450000000000001</v>
      </c>
      <c r="M1224" s="6">
        <v>1.9450000000000001</v>
      </c>
      <c r="N1224" s="6">
        <v>1.9450000000000001</v>
      </c>
      <c r="O1224" s="6">
        <v>1.9450000000000001</v>
      </c>
      <c r="P1224" s="6">
        <v>3</v>
      </c>
      <c r="Q1224" s="4" t="s">
        <v>26</v>
      </c>
      <c r="R1224" s="4">
        <v>0</v>
      </c>
      <c r="S1224" s="6">
        <v>0</v>
      </c>
      <c r="T1224" s="6">
        <v>44</v>
      </c>
      <c r="U1224" s="6">
        <v>81</v>
      </c>
      <c r="V1224" s="6">
        <f>IF(ISERROR(VLOOKUP($S$1224,'TAR FIN'!$A$1:$O$85,15,0)),0,VLOOKUP($S$1224,'TAR FIN'!$A$1:$O$85,15,0))</f>
        <v>0</v>
      </c>
      <c r="W1224" s="6">
        <f>IF(ISERROR(VLOOKUP($T$1224,'TAR FIN'!$A$1:$O$85,15,0)),0,VLOOKUP($T$1224,'TAR FIN'!$A$1:$O$85,15,0))</f>
        <v>324.88</v>
      </c>
      <c r="X1224" s="6">
        <f>IF(ISERROR(VLOOKUP($U$1224,'TAR FIN'!$A$1:$O$85,15,0)),0,VLOOKUP($U$1224,'TAR FIN'!$A$1:$O$85,15,0))</f>
        <v>322.54000000000002</v>
      </c>
      <c r="Y1224" s="6"/>
      <c r="Z1224" s="6">
        <f ca="1">('TUSD BE'!$AM$48+'TUSD BF'!$AM$48+'TUSD CVA'!$AM$48)*1</f>
        <v>434.80310925202969</v>
      </c>
      <c r="AA1224" s="6">
        <f>('TE BE'!$AB$38+'TE BF'!$AB$38+'TE CVA'!$AB$38)*1</f>
        <v>319.954086693367</v>
      </c>
      <c r="AB1224" s="6">
        <f>$K$1224*$V$1224</f>
        <v>0</v>
      </c>
      <c r="AC1224" s="6">
        <f>$M$1224*$W$1224</f>
        <v>631.89160000000004</v>
      </c>
      <c r="AD1224" s="6">
        <f>$O$1224*$X$1224</f>
        <v>627.34030000000007</v>
      </c>
      <c r="AE1224" s="6">
        <f>$K$1224*$Y$1224</f>
        <v>0</v>
      </c>
      <c r="AF1224" s="6">
        <f ca="1">$M$1224*$Z$1224</f>
        <v>845.69204749519781</v>
      </c>
      <c r="AG1224" s="6">
        <f>$O$1224*$AA$1224</f>
        <v>622.31069861859885</v>
      </c>
    </row>
    <row r="1225" spans="1:33" ht="11.25" customHeight="1" x14ac:dyDescent="0.25">
      <c r="A1225" s="4" t="s">
        <v>21</v>
      </c>
      <c r="B1225" s="4" t="s">
        <v>37</v>
      </c>
      <c r="C1225" s="4" t="s">
        <v>23</v>
      </c>
      <c r="D1225" s="4" t="s">
        <v>45</v>
      </c>
      <c r="E1225" s="4" t="s">
        <v>25</v>
      </c>
      <c r="F1225" s="4" t="s">
        <v>25</v>
      </c>
      <c r="G1225" s="4" t="s">
        <v>25</v>
      </c>
      <c r="H1225" s="4" t="s">
        <v>25</v>
      </c>
      <c r="I1225" s="5">
        <v>44713</v>
      </c>
      <c r="J1225" s="6">
        <v>0</v>
      </c>
      <c r="K1225" s="6">
        <v>0</v>
      </c>
      <c r="L1225" s="6">
        <v>817.61500000000001</v>
      </c>
      <c r="M1225" s="6">
        <v>817.61500000000001</v>
      </c>
      <c r="N1225" s="6">
        <v>817.61500000000001</v>
      </c>
      <c r="O1225" s="6">
        <v>817.61500000000001</v>
      </c>
      <c r="P1225" s="6">
        <v>965</v>
      </c>
      <c r="Q1225" s="4" t="s">
        <v>26</v>
      </c>
      <c r="R1225" s="4">
        <v>0</v>
      </c>
      <c r="S1225" s="6">
        <v>0</v>
      </c>
      <c r="T1225" s="6">
        <v>44</v>
      </c>
      <c r="U1225" s="6">
        <v>81</v>
      </c>
      <c r="V1225" s="6">
        <f>IF(ISERROR(VLOOKUP($S$1225,'TAR FIN'!$A$1:$O$85,15,0)),0,VLOOKUP($S$1225,'TAR FIN'!$A$1:$O$85,15,0))</f>
        <v>0</v>
      </c>
      <c r="W1225" s="6">
        <f>IF(ISERROR(VLOOKUP($T$1225,'TAR FIN'!$A$1:$O$85,15,0)),0,VLOOKUP($T$1225,'TAR FIN'!$A$1:$O$85,15,0))</f>
        <v>324.88</v>
      </c>
      <c r="X1225" s="6">
        <f>IF(ISERROR(VLOOKUP($U$1225,'TAR FIN'!$A$1:$O$85,15,0)),0,VLOOKUP($U$1225,'TAR FIN'!$A$1:$O$85,15,0))</f>
        <v>322.54000000000002</v>
      </c>
      <c r="Y1225" s="6"/>
      <c r="Z1225" s="6">
        <f ca="1">('TUSD BE'!$AM$48+'TUSD BF'!$AM$48+'TUSD CVA'!$AM$48)*1</f>
        <v>434.80310925202969</v>
      </c>
      <c r="AA1225" s="6">
        <f>('TE BE'!$AB$38+'TE BF'!$AB$38+'TE CVA'!$AB$38)*1</f>
        <v>319.954086693367</v>
      </c>
      <c r="AB1225" s="6">
        <f>$K$1225*$V$1225</f>
        <v>0</v>
      </c>
      <c r="AC1225" s="6">
        <f>$M$1225*$W$1225</f>
        <v>265626.76120000001</v>
      </c>
      <c r="AD1225" s="6">
        <f>$O$1225*$X$1225</f>
        <v>263713.54210000002</v>
      </c>
      <c r="AE1225" s="6">
        <f>$K$1225*$Y$1225</f>
        <v>0</v>
      </c>
      <c r="AF1225" s="6">
        <f ca="1">$M$1225*$Z$1225</f>
        <v>355501.54417109827</v>
      </c>
      <c r="AG1225" s="6">
        <f>$O$1225*$AA$1225</f>
        <v>261599.26059179727</v>
      </c>
    </row>
    <row r="1226" spans="1:33" ht="11.25" customHeight="1" x14ac:dyDescent="0.25">
      <c r="A1226" s="4" t="s">
        <v>28</v>
      </c>
      <c r="B1226" s="4" t="s">
        <v>37</v>
      </c>
      <c r="C1226" s="4" t="s">
        <v>23</v>
      </c>
      <c r="D1226" s="4" t="s">
        <v>45</v>
      </c>
      <c r="E1226" s="4" t="s">
        <v>25</v>
      </c>
      <c r="F1226" s="4" t="s">
        <v>25</v>
      </c>
      <c r="G1226" s="4" t="s">
        <v>25</v>
      </c>
      <c r="H1226" s="4" t="s">
        <v>25</v>
      </c>
      <c r="I1226" s="5">
        <v>44713</v>
      </c>
      <c r="J1226" s="6">
        <v>0</v>
      </c>
      <c r="K1226" s="6">
        <v>0</v>
      </c>
      <c r="L1226" s="6">
        <v>0.3</v>
      </c>
      <c r="M1226" s="6">
        <v>0.3</v>
      </c>
      <c r="N1226" s="6">
        <v>0.3</v>
      </c>
      <c r="O1226" s="6">
        <v>0.3</v>
      </c>
      <c r="P1226" s="6">
        <v>3</v>
      </c>
      <c r="Q1226" s="4" t="s">
        <v>26</v>
      </c>
      <c r="R1226" s="4">
        <v>0</v>
      </c>
      <c r="S1226" s="6">
        <v>0</v>
      </c>
      <c r="T1226" s="6">
        <v>44</v>
      </c>
      <c r="U1226" s="6">
        <v>81</v>
      </c>
      <c r="V1226" s="6">
        <f>IF(ISERROR(VLOOKUP($S$1226,'TAR FIN'!$A$1:$O$85,15,0)),0,VLOOKUP($S$1226,'TAR FIN'!$A$1:$O$85,15,0))</f>
        <v>0</v>
      </c>
      <c r="W1226" s="6">
        <f>IF(ISERROR(VLOOKUP($T$1226,'TAR FIN'!$A$1:$O$85,15,0)),0,VLOOKUP($T$1226,'TAR FIN'!$A$1:$O$85,15,0))</f>
        <v>324.88</v>
      </c>
      <c r="X1226" s="6">
        <f>IF(ISERROR(VLOOKUP($U$1226,'TAR FIN'!$A$1:$O$85,15,0)),0,VLOOKUP($U$1226,'TAR FIN'!$A$1:$O$85,15,0))</f>
        <v>322.54000000000002</v>
      </c>
      <c r="Y1226" s="6"/>
      <c r="Z1226" s="6">
        <f ca="1">('TUSD BE'!$AM$48+'TUSD BF'!$AM$48+'TUSD CVA'!$AM$48)*1</f>
        <v>434.80310925202969</v>
      </c>
      <c r="AA1226" s="6">
        <f>('TE BE'!$AB$38+'TE BF'!$AB$38+'TE CVA'!$AB$38)*1</f>
        <v>319.954086693367</v>
      </c>
      <c r="AB1226" s="6">
        <f>$K$1226*$V$1226</f>
        <v>0</v>
      </c>
      <c r="AC1226" s="6">
        <f>$M$1226*$W$1226</f>
        <v>97.463999999999999</v>
      </c>
      <c r="AD1226" s="6">
        <f>$O$1226*$X$1226</f>
        <v>96.762</v>
      </c>
      <c r="AE1226" s="6">
        <f>$K$1226*$Y$1226</f>
        <v>0</v>
      </c>
      <c r="AF1226" s="6">
        <f ca="1">$M$1226*$Z$1226</f>
        <v>130.4409327756089</v>
      </c>
      <c r="AG1226" s="6">
        <f>$O$1226*$AA$1226</f>
        <v>95.986226008010092</v>
      </c>
    </row>
    <row r="1227" spans="1:33" ht="11.25" customHeight="1" x14ac:dyDescent="0.25">
      <c r="A1227" s="4" t="s">
        <v>21</v>
      </c>
      <c r="B1227" s="4" t="s">
        <v>37</v>
      </c>
      <c r="C1227" s="4" t="s">
        <v>23</v>
      </c>
      <c r="D1227" s="4" t="s">
        <v>45</v>
      </c>
      <c r="E1227" s="4" t="s">
        <v>25</v>
      </c>
      <c r="F1227" s="4" t="s">
        <v>25</v>
      </c>
      <c r="G1227" s="4" t="s">
        <v>25</v>
      </c>
      <c r="H1227" s="4" t="s">
        <v>25</v>
      </c>
      <c r="I1227" s="5">
        <v>44743</v>
      </c>
      <c r="J1227" s="6">
        <v>0</v>
      </c>
      <c r="K1227" s="6">
        <v>0</v>
      </c>
      <c r="L1227" s="6">
        <v>664.048</v>
      </c>
      <c r="M1227" s="6">
        <v>664.048</v>
      </c>
      <c r="N1227" s="6">
        <v>664.048</v>
      </c>
      <c r="O1227" s="6">
        <v>664.048</v>
      </c>
      <c r="P1227" s="6">
        <v>968</v>
      </c>
      <c r="Q1227" s="4" t="s">
        <v>26</v>
      </c>
      <c r="R1227" s="4">
        <v>0</v>
      </c>
      <c r="S1227" s="6">
        <v>0</v>
      </c>
      <c r="T1227" s="6">
        <v>44</v>
      </c>
      <c r="U1227" s="6">
        <v>81</v>
      </c>
      <c r="V1227" s="6">
        <f>IF(ISERROR(VLOOKUP($S$1227,'TAR FIN'!$A$1:$O$85,15,0)),0,VLOOKUP($S$1227,'TAR FIN'!$A$1:$O$85,15,0))</f>
        <v>0</v>
      </c>
      <c r="W1227" s="6">
        <f>IF(ISERROR(VLOOKUP($T$1227,'TAR FIN'!$A$1:$O$85,15,0)),0,VLOOKUP($T$1227,'TAR FIN'!$A$1:$O$85,15,0))</f>
        <v>324.88</v>
      </c>
      <c r="X1227" s="6">
        <f>IF(ISERROR(VLOOKUP($U$1227,'TAR FIN'!$A$1:$O$85,15,0)),0,VLOOKUP($U$1227,'TAR FIN'!$A$1:$O$85,15,0))</f>
        <v>322.54000000000002</v>
      </c>
      <c r="Y1227" s="6"/>
      <c r="Z1227" s="6">
        <f ca="1">('TUSD BE'!$AM$48+'TUSD BF'!$AM$48+'TUSD CVA'!$AM$48)*1</f>
        <v>434.80310925202969</v>
      </c>
      <c r="AA1227" s="6">
        <f>('TE BE'!$AB$38+'TE BF'!$AB$38+'TE CVA'!$AB$38)*1</f>
        <v>319.954086693367</v>
      </c>
      <c r="AB1227" s="6">
        <f>$K$1227*$V$1227</f>
        <v>0</v>
      </c>
      <c r="AC1227" s="6">
        <f>$M$1227*$W$1227</f>
        <v>215735.91423999998</v>
      </c>
      <c r="AD1227" s="6">
        <f>$O$1227*$X$1227</f>
        <v>214182.04192000002</v>
      </c>
      <c r="AE1227" s="6">
        <f>$K$1227*$Y$1227</f>
        <v>0</v>
      </c>
      <c r="AF1227" s="6">
        <f ca="1">$M$1227*$Z$1227</f>
        <v>288730.13509259181</v>
      </c>
      <c r="AG1227" s="6">
        <f>$O$1227*$AA$1227</f>
        <v>212464.87136055698</v>
      </c>
    </row>
    <row r="1228" spans="1:33" ht="11.25" customHeight="1" x14ac:dyDescent="0.25">
      <c r="A1228" s="4" t="s">
        <v>27</v>
      </c>
      <c r="B1228" s="4" t="s">
        <v>37</v>
      </c>
      <c r="C1228" s="4" t="s">
        <v>23</v>
      </c>
      <c r="D1228" s="4" t="s">
        <v>45</v>
      </c>
      <c r="E1228" s="4" t="s">
        <v>25</v>
      </c>
      <c r="F1228" s="4" t="s">
        <v>25</v>
      </c>
      <c r="G1228" s="4" t="s">
        <v>25</v>
      </c>
      <c r="H1228" s="4" t="s">
        <v>25</v>
      </c>
      <c r="I1228" s="5">
        <v>44743</v>
      </c>
      <c r="J1228" s="6">
        <v>0</v>
      </c>
      <c r="K1228" s="6">
        <v>0</v>
      </c>
      <c r="L1228" s="6">
        <v>-69.605000000000004</v>
      </c>
      <c r="M1228" s="6">
        <v>-69.605000000000004</v>
      </c>
      <c r="N1228" s="6">
        <v>-69.605000000000004</v>
      </c>
      <c r="O1228" s="6">
        <v>-69.605000000000004</v>
      </c>
      <c r="P1228" s="6">
        <v>1</v>
      </c>
      <c r="Q1228" s="4" t="s">
        <v>26</v>
      </c>
      <c r="R1228" s="4">
        <v>0</v>
      </c>
      <c r="S1228" s="6">
        <v>0</v>
      </c>
      <c r="T1228" s="6">
        <v>44</v>
      </c>
      <c r="U1228" s="6">
        <v>81</v>
      </c>
      <c r="V1228" s="6">
        <f>IF(ISERROR(VLOOKUP($S$1228,'TAR FIN'!$A$1:$O$85,15,0)),0,VLOOKUP($S$1228,'TAR FIN'!$A$1:$O$85,15,0))</f>
        <v>0</v>
      </c>
      <c r="W1228" s="6">
        <f>IF(ISERROR(VLOOKUP($T$1228,'TAR FIN'!$A$1:$O$85,15,0)),0,VLOOKUP($T$1228,'TAR FIN'!$A$1:$O$85,15,0))</f>
        <v>324.88</v>
      </c>
      <c r="X1228" s="6">
        <f>IF(ISERROR(VLOOKUP($U$1228,'TAR FIN'!$A$1:$O$85,15,0)),0,VLOOKUP($U$1228,'TAR FIN'!$A$1:$O$85,15,0))</f>
        <v>322.54000000000002</v>
      </c>
      <c r="Y1228" s="6"/>
      <c r="Z1228" s="6">
        <f ca="1">('TUSD BE'!$AM$48+'TUSD BF'!$AM$48+'TUSD CVA'!$AM$48)*1</f>
        <v>434.80310925202969</v>
      </c>
      <c r="AA1228" s="6">
        <f>('TE BE'!$AB$38+'TE BF'!$AB$38+'TE CVA'!$AB$38)*1</f>
        <v>319.954086693367</v>
      </c>
      <c r="AB1228" s="6">
        <f>$K$1228*$V$1228</f>
        <v>0</v>
      </c>
      <c r="AC1228" s="6">
        <f>$M$1228*$W$1228</f>
        <v>-22613.272400000002</v>
      </c>
      <c r="AD1228" s="6">
        <f>$O$1228*$X$1228</f>
        <v>-22450.396700000001</v>
      </c>
      <c r="AE1228" s="6">
        <f>$K$1228*$Y$1228</f>
        <v>0</v>
      </c>
      <c r="AF1228" s="6">
        <f ca="1">$M$1228*$Z$1228</f>
        <v>-30264.470419487527</v>
      </c>
      <c r="AG1228" s="6">
        <f>$O$1228*$AA$1228</f>
        <v>-22270.404204291812</v>
      </c>
    </row>
    <row r="1229" spans="1:33" ht="11.25" customHeight="1" x14ac:dyDescent="0.25">
      <c r="A1229" s="4" t="s">
        <v>28</v>
      </c>
      <c r="B1229" s="4" t="s">
        <v>37</v>
      </c>
      <c r="C1229" s="4" t="s">
        <v>23</v>
      </c>
      <c r="D1229" s="4" t="s">
        <v>45</v>
      </c>
      <c r="E1229" s="4" t="s">
        <v>25</v>
      </c>
      <c r="F1229" s="4" t="s">
        <v>25</v>
      </c>
      <c r="G1229" s="4" t="s">
        <v>25</v>
      </c>
      <c r="H1229" s="4" t="s">
        <v>25</v>
      </c>
      <c r="I1229" s="5">
        <v>44743</v>
      </c>
      <c r="J1229" s="6">
        <v>0</v>
      </c>
      <c r="K1229" s="6">
        <v>0</v>
      </c>
      <c r="L1229" s="6">
        <v>0.4</v>
      </c>
      <c r="M1229" s="6">
        <v>0.4</v>
      </c>
      <c r="N1229" s="6">
        <v>0.4</v>
      </c>
      <c r="O1229" s="6">
        <v>0.4</v>
      </c>
      <c r="P1229" s="6">
        <v>4</v>
      </c>
      <c r="Q1229" s="4" t="s">
        <v>26</v>
      </c>
      <c r="R1229" s="4">
        <v>0</v>
      </c>
      <c r="S1229" s="6">
        <v>0</v>
      </c>
      <c r="T1229" s="6">
        <v>44</v>
      </c>
      <c r="U1229" s="6">
        <v>81</v>
      </c>
      <c r="V1229" s="6">
        <f>IF(ISERROR(VLOOKUP($S$1229,'TAR FIN'!$A$1:$O$85,15,0)),0,VLOOKUP($S$1229,'TAR FIN'!$A$1:$O$85,15,0))</f>
        <v>0</v>
      </c>
      <c r="W1229" s="6">
        <f>IF(ISERROR(VLOOKUP($T$1229,'TAR FIN'!$A$1:$O$85,15,0)),0,VLOOKUP($T$1229,'TAR FIN'!$A$1:$O$85,15,0))</f>
        <v>324.88</v>
      </c>
      <c r="X1229" s="6">
        <f>IF(ISERROR(VLOOKUP($U$1229,'TAR FIN'!$A$1:$O$85,15,0)),0,VLOOKUP($U$1229,'TAR FIN'!$A$1:$O$85,15,0))</f>
        <v>322.54000000000002</v>
      </c>
      <c r="Y1229" s="6"/>
      <c r="Z1229" s="6">
        <f ca="1">('TUSD BE'!$AM$48+'TUSD BF'!$AM$48+'TUSD CVA'!$AM$48)*1</f>
        <v>434.80310925202969</v>
      </c>
      <c r="AA1229" s="6">
        <f>('TE BE'!$AB$38+'TE BF'!$AB$38+'TE CVA'!$AB$38)*1</f>
        <v>319.954086693367</v>
      </c>
      <c r="AB1229" s="6">
        <f>$K$1229*$V$1229</f>
        <v>0</v>
      </c>
      <c r="AC1229" s="6">
        <f>$M$1229*$W$1229</f>
        <v>129.952</v>
      </c>
      <c r="AD1229" s="6">
        <f>$O$1229*$X$1229</f>
        <v>129.01600000000002</v>
      </c>
      <c r="AE1229" s="6">
        <f>$K$1229*$Y$1229</f>
        <v>0</v>
      </c>
      <c r="AF1229" s="6">
        <f ca="1">$M$1229*$Z$1229</f>
        <v>173.92124370081189</v>
      </c>
      <c r="AG1229" s="6">
        <f>$O$1229*$AA$1229</f>
        <v>127.9816346773468</v>
      </c>
    </row>
    <row r="1230" spans="1:33" ht="11.25" customHeight="1" x14ac:dyDescent="0.25">
      <c r="A1230" s="4" t="s">
        <v>56</v>
      </c>
      <c r="B1230" s="4" t="s">
        <v>37</v>
      </c>
      <c r="C1230" s="4" t="s">
        <v>23</v>
      </c>
      <c r="D1230" s="4" t="s">
        <v>45</v>
      </c>
      <c r="E1230" s="4" t="s">
        <v>25</v>
      </c>
      <c r="F1230" s="4" t="s">
        <v>25</v>
      </c>
      <c r="G1230" s="4" t="s">
        <v>25</v>
      </c>
      <c r="H1230" s="4" t="s">
        <v>25</v>
      </c>
      <c r="I1230" s="5">
        <v>44774</v>
      </c>
      <c r="J1230" s="6">
        <v>0</v>
      </c>
      <c r="K1230" s="6">
        <v>0</v>
      </c>
      <c r="L1230" s="6">
        <v>664.048</v>
      </c>
      <c r="M1230" s="6">
        <v>664.048</v>
      </c>
      <c r="N1230" s="6">
        <v>664.048</v>
      </c>
      <c r="O1230" s="6">
        <v>664.048</v>
      </c>
      <c r="P1230" s="6">
        <v>968</v>
      </c>
      <c r="Q1230" s="4" t="s">
        <v>26</v>
      </c>
      <c r="R1230" s="4">
        <v>0</v>
      </c>
      <c r="S1230" s="6">
        <v>0</v>
      </c>
      <c r="T1230" s="6">
        <v>44</v>
      </c>
      <c r="U1230" s="6">
        <v>81</v>
      </c>
      <c r="V1230" s="6">
        <f>IF(ISERROR(VLOOKUP($S$1230,'TAR FIN'!$A$1:$O$85,15,0)),0,VLOOKUP($S$1230,'TAR FIN'!$A$1:$O$85,15,0))</f>
        <v>0</v>
      </c>
      <c r="W1230" s="6">
        <f>IF(ISERROR(VLOOKUP($T$1230,'TAR FIN'!$A$1:$O$85,15,0)),0,VLOOKUP($T$1230,'TAR FIN'!$A$1:$O$85,15,0))</f>
        <v>324.88</v>
      </c>
      <c r="X1230" s="6">
        <f>IF(ISERROR(VLOOKUP($U$1230,'TAR FIN'!$A$1:$O$85,15,0)),0,VLOOKUP($U$1230,'TAR FIN'!$A$1:$O$85,15,0))</f>
        <v>322.54000000000002</v>
      </c>
      <c r="Y1230" s="6"/>
      <c r="Z1230" s="6">
        <f ca="1">('TUSD BE'!$AM$48+'TUSD BF'!$AM$48+'TUSD CVA'!$AM$48)*1</f>
        <v>434.80310925202969</v>
      </c>
      <c r="AA1230" s="6">
        <f>('TE BE'!$AB$38+'TE BF'!$AB$38+'TE CVA'!$AB$38)*1</f>
        <v>319.954086693367</v>
      </c>
      <c r="AB1230" s="6">
        <f>$K$1230*$V$1230</f>
        <v>0</v>
      </c>
      <c r="AC1230" s="6">
        <f>$M$1230*$W$1230</f>
        <v>215735.91423999998</v>
      </c>
      <c r="AD1230" s="6">
        <f>$O$1230*$X$1230</f>
        <v>214182.04192000002</v>
      </c>
      <c r="AE1230" s="6">
        <f>$K$1230*$Y$1230</f>
        <v>0</v>
      </c>
      <c r="AF1230" s="6">
        <f ca="1">$M$1230*$Z$1230</f>
        <v>288730.13509259181</v>
      </c>
      <c r="AG1230" s="6">
        <f>$O$1230*$AA$1230</f>
        <v>212464.87136055698</v>
      </c>
    </row>
    <row r="1231" spans="1:33" ht="11.25" customHeight="1" x14ac:dyDescent="0.25">
      <c r="A1231" s="4" t="s">
        <v>56</v>
      </c>
      <c r="B1231" s="4" t="s">
        <v>37</v>
      </c>
      <c r="C1231" s="4" t="s">
        <v>23</v>
      </c>
      <c r="D1231" s="4" t="s">
        <v>45</v>
      </c>
      <c r="E1231" s="4" t="s">
        <v>25</v>
      </c>
      <c r="F1231" s="4" t="s">
        <v>25</v>
      </c>
      <c r="G1231" s="4" t="s">
        <v>25</v>
      </c>
      <c r="H1231" s="4" t="s">
        <v>25</v>
      </c>
      <c r="I1231" s="5">
        <v>44774</v>
      </c>
      <c r="J1231" s="6">
        <v>0</v>
      </c>
      <c r="K1231" s="6">
        <v>0</v>
      </c>
      <c r="L1231" s="6">
        <v>-69.605000000000004</v>
      </c>
      <c r="M1231" s="6">
        <v>-69.605000000000004</v>
      </c>
      <c r="N1231" s="6">
        <v>-69.605000000000004</v>
      </c>
      <c r="O1231" s="6">
        <v>-69.605000000000004</v>
      </c>
      <c r="P1231" s="6">
        <v>1</v>
      </c>
      <c r="Q1231" s="4" t="s">
        <v>26</v>
      </c>
      <c r="R1231" s="4">
        <v>0</v>
      </c>
      <c r="S1231" s="6">
        <v>0</v>
      </c>
      <c r="T1231" s="6">
        <v>44</v>
      </c>
      <c r="U1231" s="6">
        <v>81</v>
      </c>
      <c r="V1231" s="6">
        <f>IF(ISERROR(VLOOKUP($S$1231,'TAR FIN'!$A$1:$O$85,15,0)),0,VLOOKUP($S$1231,'TAR FIN'!$A$1:$O$85,15,0))</f>
        <v>0</v>
      </c>
      <c r="W1231" s="6">
        <f>IF(ISERROR(VLOOKUP($T$1231,'TAR FIN'!$A$1:$O$85,15,0)),0,VLOOKUP($T$1231,'TAR FIN'!$A$1:$O$85,15,0))</f>
        <v>324.88</v>
      </c>
      <c r="X1231" s="6">
        <f>IF(ISERROR(VLOOKUP($U$1231,'TAR FIN'!$A$1:$O$85,15,0)),0,VLOOKUP($U$1231,'TAR FIN'!$A$1:$O$85,15,0))</f>
        <v>322.54000000000002</v>
      </c>
      <c r="Y1231" s="6"/>
      <c r="Z1231" s="6">
        <f ca="1">('TUSD BE'!$AM$48+'TUSD BF'!$AM$48+'TUSD CVA'!$AM$48)*1</f>
        <v>434.80310925202969</v>
      </c>
      <c r="AA1231" s="6">
        <f>('TE BE'!$AB$38+'TE BF'!$AB$38+'TE CVA'!$AB$38)*1</f>
        <v>319.954086693367</v>
      </c>
      <c r="AB1231" s="6">
        <f>$K$1231*$V$1231</f>
        <v>0</v>
      </c>
      <c r="AC1231" s="6">
        <f>$M$1231*$W$1231</f>
        <v>-22613.272400000002</v>
      </c>
      <c r="AD1231" s="6">
        <f>$O$1231*$X$1231</f>
        <v>-22450.396700000001</v>
      </c>
      <c r="AE1231" s="6">
        <f>$K$1231*$Y$1231</f>
        <v>0</v>
      </c>
      <c r="AF1231" s="6">
        <f ca="1">$M$1231*$Z$1231</f>
        <v>-30264.470419487527</v>
      </c>
      <c r="AG1231" s="6">
        <f>$O$1231*$AA$1231</f>
        <v>-22270.404204291812</v>
      </c>
    </row>
    <row r="1232" spans="1:33" ht="11.25" customHeight="1" x14ac:dyDescent="0.25">
      <c r="A1232" s="4" t="s">
        <v>56</v>
      </c>
      <c r="B1232" s="4" t="s">
        <v>37</v>
      </c>
      <c r="C1232" s="4" t="s">
        <v>23</v>
      </c>
      <c r="D1232" s="4" t="s">
        <v>45</v>
      </c>
      <c r="E1232" s="4" t="s">
        <v>25</v>
      </c>
      <c r="F1232" s="4" t="s">
        <v>25</v>
      </c>
      <c r="G1232" s="4" t="s">
        <v>25</v>
      </c>
      <c r="H1232" s="4" t="s">
        <v>25</v>
      </c>
      <c r="I1232" s="5">
        <v>44774</v>
      </c>
      <c r="J1232" s="6">
        <v>0</v>
      </c>
      <c r="K1232" s="6">
        <v>0</v>
      </c>
      <c r="L1232" s="6">
        <v>0.4</v>
      </c>
      <c r="M1232" s="6">
        <v>0.4</v>
      </c>
      <c r="N1232" s="6">
        <v>0.4</v>
      </c>
      <c r="O1232" s="6">
        <v>0.4</v>
      </c>
      <c r="P1232" s="6">
        <v>4</v>
      </c>
      <c r="Q1232" s="4" t="s">
        <v>26</v>
      </c>
      <c r="R1232" s="4">
        <v>0</v>
      </c>
      <c r="S1232" s="6">
        <v>0</v>
      </c>
      <c r="T1232" s="6">
        <v>44</v>
      </c>
      <c r="U1232" s="6">
        <v>81</v>
      </c>
      <c r="V1232" s="6">
        <f>IF(ISERROR(VLOOKUP($S$1232,'TAR FIN'!$A$1:$O$85,15,0)),0,VLOOKUP($S$1232,'TAR FIN'!$A$1:$O$85,15,0))</f>
        <v>0</v>
      </c>
      <c r="W1232" s="6">
        <f>IF(ISERROR(VLOOKUP($T$1232,'TAR FIN'!$A$1:$O$85,15,0)),0,VLOOKUP($T$1232,'TAR FIN'!$A$1:$O$85,15,0))</f>
        <v>324.88</v>
      </c>
      <c r="X1232" s="6">
        <f>IF(ISERROR(VLOOKUP($U$1232,'TAR FIN'!$A$1:$O$85,15,0)),0,VLOOKUP($U$1232,'TAR FIN'!$A$1:$O$85,15,0))</f>
        <v>322.54000000000002</v>
      </c>
      <c r="Y1232" s="6"/>
      <c r="Z1232" s="6">
        <f ca="1">('TUSD BE'!$AM$48+'TUSD BF'!$AM$48+'TUSD CVA'!$AM$48)*1</f>
        <v>434.80310925202969</v>
      </c>
      <c r="AA1232" s="6">
        <f>('TE BE'!$AB$38+'TE BF'!$AB$38+'TE CVA'!$AB$38)*1</f>
        <v>319.954086693367</v>
      </c>
      <c r="AB1232" s="6">
        <f>$K$1232*$V$1232</f>
        <v>0</v>
      </c>
      <c r="AC1232" s="6">
        <f>$M$1232*$W$1232</f>
        <v>129.952</v>
      </c>
      <c r="AD1232" s="6">
        <f>$O$1232*$X$1232</f>
        <v>129.01600000000002</v>
      </c>
      <c r="AE1232" s="6">
        <f>$K$1232*$Y$1232</f>
        <v>0</v>
      </c>
      <c r="AF1232" s="6">
        <f ca="1">$M$1232*$Z$1232</f>
        <v>173.92124370081189</v>
      </c>
      <c r="AG1232" s="6">
        <f>$O$1232*$AA$1232</f>
        <v>127.9816346773468</v>
      </c>
    </row>
    <row r="1233" spans="1:33" ht="11.25" customHeight="1" x14ac:dyDescent="0.25">
      <c r="A1233" s="4" t="s">
        <v>21</v>
      </c>
      <c r="B1233" s="4" t="s">
        <v>37</v>
      </c>
      <c r="C1233" s="4" t="s">
        <v>23</v>
      </c>
      <c r="D1233" s="4" t="s">
        <v>49</v>
      </c>
      <c r="E1233" s="4" t="s">
        <v>50</v>
      </c>
      <c r="F1233" s="4" t="s">
        <v>25</v>
      </c>
      <c r="G1233" s="4" t="s">
        <v>25</v>
      </c>
      <c r="H1233" s="4" t="s">
        <v>25</v>
      </c>
      <c r="I1233" s="5">
        <v>44440</v>
      </c>
      <c r="J1233" s="6">
        <v>0</v>
      </c>
      <c r="K1233" s="70">
        <v>0</v>
      </c>
      <c r="L1233" s="6">
        <v>284.67500000000001</v>
      </c>
      <c r="M1233" s="70">
        <v>284.67500000000001</v>
      </c>
      <c r="N1233" s="6">
        <v>284.67500000000001</v>
      </c>
      <c r="O1233" s="70">
        <v>284.67500000000001</v>
      </c>
      <c r="P1233" s="6">
        <v>154</v>
      </c>
      <c r="Q1233" s="4" t="s">
        <v>26</v>
      </c>
      <c r="R1233" s="4">
        <v>0</v>
      </c>
      <c r="S1233" s="6">
        <v>0</v>
      </c>
      <c r="T1233" s="6">
        <v>44</v>
      </c>
      <c r="U1233" s="6">
        <v>81</v>
      </c>
      <c r="V1233" s="70">
        <f>IF(ISERROR(VLOOKUP($S$1233,'TAR FIN'!$A$1:$O$85,15,0)),0,VLOOKUP($S$1233,'TAR FIN'!$A$1:$O$85,15,0))</f>
        <v>0</v>
      </c>
      <c r="W1233" s="70">
        <f>IF(ISERROR(VLOOKUP($T$1233,'TAR FIN'!$A$1:$O$85,15,0)),0,VLOOKUP($T$1233,'TAR FIN'!$A$1:$O$85,15,0))*(1-0.06)</f>
        <v>305.38719999999995</v>
      </c>
      <c r="X1233" s="70">
        <f>IF(ISERROR(VLOOKUP($U$1233,'TAR FIN'!$A$1:$O$85,15,0)),0,VLOOKUP($U$1233,'TAR FIN'!$A$1:$O$85,15,0))*(1-0.06)</f>
        <v>303.18759999999997</v>
      </c>
      <c r="Y1233" s="70"/>
      <c r="Z1233" s="70">
        <f ca="1">('TUSD BE'!$AM$48+'TUSD BF'!$AM$48+'TUSD CVA'!$AM$48)*1*(1-0.03)</f>
        <v>421.75901597446881</v>
      </c>
      <c r="AA1233" s="70">
        <f>('TE BE'!$AB$38+'TE BF'!$AB$38+'TE CVA'!$AB$38)*1*(1-0.03)</f>
        <v>310.35546409256597</v>
      </c>
      <c r="AB1233" s="6">
        <f>$K$1233*$V$1233</f>
        <v>0</v>
      </c>
      <c r="AC1233" s="6">
        <f>$M$1233*$W$1233</f>
        <v>86936.101159999991</v>
      </c>
      <c r="AD1233" s="6">
        <f>$O$1233*$X$1233</f>
        <v>86309.930030000003</v>
      </c>
      <c r="AE1233" s="6">
        <f>$K$1233*$Y$1233</f>
        <v>0</v>
      </c>
      <c r="AF1233" s="6">
        <f ca="1">$M$1233*$Z$1233</f>
        <v>120064.24787253191</v>
      </c>
      <c r="AG1233" s="6">
        <f>$O$1233*$AA$1233</f>
        <v>88350.441740551221</v>
      </c>
    </row>
    <row r="1234" spans="1:33" ht="11.25" customHeight="1" x14ac:dyDescent="0.25">
      <c r="A1234" s="4" t="s">
        <v>21</v>
      </c>
      <c r="B1234" s="4" t="s">
        <v>37</v>
      </c>
      <c r="C1234" s="4" t="s">
        <v>23</v>
      </c>
      <c r="D1234" s="4" t="s">
        <v>49</v>
      </c>
      <c r="E1234" s="4" t="s">
        <v>50</v>
      </c>
      <c r="F1234" s="4" t="s">
        <v>25</v>
      </c>
      <c r="G1234" s="4" t="s">
        <v>25</v>
      </c>
      <c r="H1234" s="4" t="s">
        <v>25</v>
      </c>
      <c r="I1234" s="5">
        <v>44470</v>
      </c>
      <c r="J1234" s="6">
        <v>0</v>
      </c>
      <c r="K1234" s="70">
        <v>0</v>
      </c>
      <c r="L1234" s="6">
        <v>304.09500000000003</v>
      </c>
      <c r="M1234" s="70">
        <v>304.09500000000003</v>
      </c>
      <c r="N1234" s="6">
        <v>304.09500000000003</v>
      </c>
      <c r="O1234" s="70">
        <v>304.09500000000003</v>
      </c>
      <c r="P1234" s="6">
        <v>156</v>
      </c>
      <c r="Q1234" s="4" t="s">
        <v>26</v>
      </c>
      <c r="R1234" s="4">
        <v>0</v>
      </c>
      <c r="S1234" s="6">
        <v>0</v>
      </c>
      <c r="T1234" s="6">
        <v>44</v>
      </c>
      <c r="U1234" s="6">
        <v>81</v>
      </c>
      <c r="V1234" s="70">
        <f>IF(ISERROR(VLOOKUP($S$1234,'TAR FIN'!$A$1:$O$85,15,0)),0,VLOOKUP($S$1234,'TAR FIN'!$A$1:$O$85,15,0))</f>
        <v>0</v>
      </c>
      <c r="W1234" s="70">
        <f>IF(ISERROR(VLOOKUP($T$1234,'TAR FIN'!$A$1:$O$85,15,0)),0,VLOOKUP($T$1234,'TAR FIN'!$A$1:$O$85,15,0))*(1-0.06)</f>
        <v>305.38719999999995</v>
      </c>
      <c r="X1234" s="70">
        <f>IF(ISERROR(VLOOKUP($U$1234,'TAR FIN'!$A$1:$O$85,15,0)),0,VLOOKUP($U$1234,'TAR FIN'!$A$1:$O$85,15,0))*(1-0.06)</f>
        <v>303.18759999999997</v>
      </c>
      <c r="Y1234" s="70"/>
      <c r="Z1234" s="70">
        <f ca="1">('TUSD BE'!$AM$48+'TUSD BF'!$AM$48+'TUSD CVA'!$AM$48)*1*(1-0.03)</f>
        <v>421.75901597446881</v>
      </c>
      <c r="AA1234" s="70">
        <f>('TE BE'!$AB$38+'TE BF'!$AB$38+'TE CVA'!$AB$38)*1*(1-0.03)</f>
        <v>310.35546409256597</v>
      </c>
      <c r="AB1234" s="6">
        <f>$K$1234*$V$1234</f>
        <v>0</v>
      </c>
      <c r="AC1234" s="6">
        <f>$M$1234*$W$1234</f>
        <v>92866.720583999995</v>
      </c>
      <c r="AD1234" s="6">
        <f>$O$1234*$X$1234</f>
        <v>92197.833222000001</v>
      </c>
      <c r="AE1234" s="6">
        <f>$K$1234*$Y$1234</f>
        <v>0</v>
      </c>
      <c r="AF1234" s="6">
        <f ca="1">$M$1234*$Z$1234</f>
        <v>128254.80796275611</v>
      </c>
      <c r="AG1234" s="6">
        <f>$O$1234*$AA$1234</f>
        <v>94377.544853228857</v>
      </c>
    </row>
    <row r="1235" spans="1:33" ht="11.25" customHeight="1" x14ac:dyDescent="0.25">
      <c r="A1235" s="4" t="s">
        <v>21</v>
      </c>
      <c r="B1235" s="4" t="s">
        <v>37</v>
      </c>
      <c r="C1235" s="4" t="s">
        <v>23</v>
      </c>
      <c r="D1235" s="4" t="s">
        <v>49</v>
      </c>
      <c r="E1235" s="4" t="s">
        <v>50</v>
      </c>
      <c r="F1235" s="4" t="s">
        <v>25</v>
      </c>
      <c r="G1235" s="4" t="s">
        <v>25</v>
      </c>
      <c r="H1235" s="4" t="s">
        <v>25</v>
      </c>
      <c r="I1235" s="5">
        <v>44501</v>
      </c>
      <c r="J1235" s="6">
        <v>0</v>
      </c>
      <c r="K1235" s="70">
        <v>0</v>
      </c>
      <c r="L1235" s="6">
        <v>272.60000000000002</v>
      </c>
      <c r="M1235" s="70">
        <v>272.60000000000002</v>
      </c>
      <c r="N1235" s="6">
        <v>272.60000000000002</v>
      </c>
      <c r="O1235" s="70">
        <v>272.60000000000002</v>
      </c>
      <c r="P1235" s="6">
        <v>156</v>
      </c>
      <c r="Q1235" s="4" t="s">
        <v>26</v>
      </c>
      <c r="R1235" s="4">
        <v>0</v>
      </c>
      <c r="S1235" s="6">
        <v>0</v>
      </c>
      <c r="T1235" s="6">
        <v>44</v>
      </c>
      <c r="U1235" s="6">
        <v>81</v>
      </c>
      <c r="V1235" s="70">
        <f>IF(ISERROR(VLOOKUP($S$1235,'TAR FIN'!$A$1:$O$85,15,0)),0,VLOOKUP($S$1235,'TAR FIN'!$A$1:$O$85,15,0))</f>
        <v>0</v>
      </c>
      <c r="W1235" s="70">
        <f>IF(ISERROR(VLOOKUP($T$1235,'TAR FIN'!$A$1:$O$85,15,0)),0,VLOOKUP($T$1235,'TAR FIN'!$A$1:$O$85,15,0))*(1-0.06)</f>
        <v>305.38719999999995</v>
      </c>
      <c r="X1235" s="70">
        <f>IF(ISERROR(VLOOKUP($U$1235,'TAR FIN'!$A$1:$O$85,15,0)),0,VLOOKUP($U$1235,'TAR FIN'!$A$1:$O$85,15,0))*(1-0.06)</f>
        <v>303.18759999999997</v>
      </c>
      <c r="Y1235" s="70"/>
      <c r="Z1235" s="70">
        <f ca="1">('TUSD BE'!$AM$48+'TUSD BF'!$AM$48+'TUSD CVA'!$AM$48)*1*(1-0.03)</f>
        <v>421.75901597446881</v>
      </c>
      <c r="AA1235" s="70">
        <f>('TE BE'!$AB$38+'TE BF'!$AB$38+'TE CVA'!$AB$38)*1*(1-0.03)</f>
        <v>310.35546409256597</v>
      </c>
      <c r="AB1235" s="6">
        <f>$K$1235*$V$1235</f>
        <v>0</v>
      </c>
      <c r="AC1235" s="6">
        <f>$M$1235*$W$1235</f>
        <v>83248.550719999999</v>
      </c>
      <c r="AD1235" s="6">
        <f>$O$1235*$X$1235</f>
        <v>82648.939759999994</v>
      </c>
      <c r="AE1235" s="6">
        <f>$K$1235*$Y$1235</f>
        <v>0</v>
      </c>
      <c r="AF1235" s="6">
        <f ca="1">$M$1235*$Z$1235</f>
        <v>114971.5077546402</v>
      </c>
      <c r="AG1235" s="6">
        <f>$O$1235*$AA$1235</f>
        <v>84602.899511633485</v>
      </c>
    </row>
    <row r="1236" spans="1:33" ht="11.25" customHeight="1" x14ac:dyDescent="0.25">
      <c r="A1236" s="4" t="s">
        <v>21</v>
      </c>
      <c r="B1236" s="4" t="s">
        <v>37</v>
      </c>
      <c r="C1236" s="4" t="s">
        <v>23</v>
      </c>
      <c r="D1236" s="4" t="s">
        <v>49</v>
      </c>
      <c r="E1236" s="4" t="s">
        <v>50</v>
      </c>
      <c r="F1236" s="4" t="s">
        <v>25</v>
      </c>
      <c r="G1236" s="4" t="s">
        <v>25</v>
      </c>
      <c r="H1236" s="4" t="s">
        <v>25</v>
      </c>
      <c r="I1236" s="5">
        <v>44531</v>
      </c>
      <c r="J1236" s="6">
        <v>0</v>
      </c>
      <c r="K1236" s="70">
        <v>0</v>
      </c>
      <c r="L1236" s="6">
        <v>264.46300000000002</v>
      </c>
      <c r="M1236" s="70">
        <v>264.46300000000002</v>
      </c>
      <c r="N1236" s="6">
        <v>264.46300000000002</v>
      </c>
      <c r="O1236" s="70">
        <v>264.46300000000002</v>
      </c>
      <c r="P1236" s="6">
        <v>158</v>
      </c>
      <c r="Q1236" s="4" t="s">
        <v>26</v>
      </c>
      <c r="R1236" s="4">
        <v>0</v>
      </c>
      <c r="S1236" s="6">
        <v>0</v>
      </c>
      <c r="T1236" s="6">
        <v>44</v>
      </c>
      <c r="U1236" s="6">
        <v>81</v>
      </c>
      <c r="V1236" s="70">
        <f>IF(ISERROR(VLOOKUP($S$1236,'TAR FIN'!$A$1:$O$85,15,0)),0,VLOOKUP($S$1236,'TAR FIN'!$A$1:$O$85,15,0))</f>
        <v>0</v>
      </c>
      <c r="W1236" s="70">
        <f>IF(ISERROR(VLOOKUP($T$1236,'TAR FIN'!$A$1:$O$85,15,0)),0,VLOOKUP($T$1236,'TAR FIN'!$A$1:$O$85,15,0))*(1-0.06)</f>
        <v>305.38719999999995</v>
      </c>
      <c r="X1236" s="70">
        <f>IF(ISERROR(VLOOKUP($U$1236,'TAR FIN'!$A$1:$O$85,15,0)),0,VLOOKUP($U$1236,'TAR FIN'!$A$1:$O$85,15,0))*(1-0.06)</f>
        <v>303.18759999999997</v>
      </c>
      <c r="Y1236" s="70"/>
      <c r="Z1236" s="70">
        <f ca="1">('TUSD BE'!$AM$48+'TUSD BF'!$AM$48+'TUSD CVA'!$AM$48)*1*(1-0.03)</f>
        <v>421.75901597446881</v>
      </c>
      <c r="AA1236" s="70">
        <f>('TE BE'!$AB$38+'TE BF'!$AB$38+'TE CVA'!$AB$38)*1*(1-0.03)</f>
        <v>310.35546409256597</v>
      </c>
      <c r="AB1236" s="6">
        <f>$K$1236*$V$1236</f>
        <v>0</v>
      </c>
      <c r="AC1236" s="6">
        <f>$M$1236*$W$1236</f>
        <v>80763.615073599998</v>
      </c>
      <c r="AD1236" s="6">
        <f>$O$1236*$X$1236</f>
        <v>80181.902258799993</v>
      </c>
      <c r="AE1236" s="6">
        <f>$K$1236*$Y$1236</f>
        <v>0</v>
      </c>
      <c r="AF1236" s="6">
        <f ca="1">$M$1236*$Z$1236</f>
        <v>111539.65464165596</v>
      </c>
      <c r="AG1236" s="6">
        <f>$O$1236*$AA$1236</f>
        <v>82077.537100312285</v>
      </c>
    </row>
    <row r="1237" spans="1:33" ht="11.25" customHeight="1" x14ac:dyDescent="0.25">
      <c r="A1237" s="4" t="s">
        <v>21</v>
      </c>
      <c r="B1237" s="4" t="s">
        <v>37</v>
      </c>
      <c r="C1237" s="4" t="s">
        <v>23</v>
      </c>
      <c r="D1237" s="4" t="s">
        <v>49</v>
      </c>
      <c r="E1237" s="4" t="s">
        <v>50</v>
      </c>
      <c r="F1237" s="4" t="s">
        <v>25</v>
      </c>
      <c r="G1237" s="4" t="s">
        <v>25</v>
      </c>
      <c r="H1237" s="4" t="s">
        <v>25</v>
      </c>
      <c r="I1237" s="5">
        <v>44562</v>
      </c>
      <c r="J1237" s="6">
        <v>0</v>
      </c>
      <c r="K1237" s="70">
        <v>0</v>
      </c>
      <c r="L1237" s="6">
        <v>266.50799999999998</v>
      </c>
      <c r="M1237" s="70">
        <v>266.50799999999998</v>
      </c>
      <c r="N1237" s="6">
        <v>266.50799999999998</v>
      </c>
      <c r="O1237" s="70">
        <v>266.50799999999998</v>
      </c>
      <c r="P1237" s="6">
        <v>158</v>
      </c>
      <c r="Q1237" s="4" t="s">
        <v>26</v>
      </c>
      <c r="R1237" s="4">
        <v>0</v>
      </c>
      <c r="S1237" s="6">
        <v>0</v>
      </c>
      <c r="T1237" s="6">
        <v>44</v>
      </c>
      <c r="U1237" s="6">
        <v>81</v>
      </c>
      <c r="V1237" s="70">
        <f>IF(ISERROR(VLOOKUP($S$1237,'TAR FIN'!$A$1:$O$85,15,0)),0,VLOOKUP($S$1237,'TAR FIN'!$A$1:$O$85,15,0))</f>
        <v>0</v>
      </c>
      <c r="W1237" s="70">
        <f>IF(ISERROR(VLOOKUP($T$1237,'TAR FIN'!$A$1:$O$85,15,0)),0,VLOOKUP($T$1237,'TAR FIN'!$A$1:$O$85,15,0))*(1-0.06)</f>
        <v>305.38719999999995</v>
      </c>
      <c r="X1237" s="70">
        <f>IF(ISERROR(VLOOKUP($U$1237,'TAR FIN'!$A$1:$O$85,15,0)),0,VLOOKUP($U$1237,'TAR FIN'!$A$1:$O$85,15,0))*(1-0.06)</f>
        <v>303.18759999999997</v>
      </c>
      <c r="Y1237" s="70"/>
      <c r="Z1237" s="70">
        <f ca="1">('TUSD BE'!$AM$48+'TUSD BF'!$AM$48+'TUSD CVA'!$AM$48)*1*(1-0.03)</f>
        <v>421.75901597446881</v>
      </c>
      <c r="AA1237" s="70">
        <f>('TE BE'!$AB$38+'TE BF'!$AB$38+'TE CVA'!$AB$38)*1*(1-0.03)</f>
        <v>310.35546409256597</v>
      </c>
      <c r="AB1237" s="6">
        <f>$K$1237*$V$1237</f>
        <v>0</v>
      </c>
      <c r="AC1237" s="6">
        <f>$M$1237*$W$1237</f>
        <v>81388.131897599975</v>
      </c>
      <c r="AD1237" s="6">
        <f>$O$1237*$X$1237</f>
        <v>80801.920900799989</v>
      </c>
      <c r="AE1237" s="6">
        <f>$K$1237*$Y$1237</f>
        <v>0</v>
      </c>
      <c r="AF1237" s="6">
        <f ca="1">$M$1237*$Z$1237</f>
        <v>112402.15182932373</v>
      </c>
      <c r="AG1237" s="6">
        <f>$O$1237*$AA$1237</f>
        <v>82712.214024381567</v>
      </c>
    </row>
    <row r="1238" spans="1:33" ht="11.25" customHeight="1" x14ac:dyDescent="0.25">
      <c r="A1238" s="4" t="s">
        <v>21</v>
      </c>
      <c r="B1238" s="4" t="s">
        <v>37</v>
      </c>
      <c r="C1238" s="4" t="s">
        <v>23</v>
      </c>
      <c r="D1238" s="4" t="s">
        <v>49</v>
      </c>
      <c r="E1238" s="4" t="s">
        <v>50</v>
      </c>
      <c r="F1238" s="4" t="s">
        <v>25</v>
      </c>
      <c r="G1238" s="4" t="s">
        <v>25</v>
      </c>
      <c r="H1238" s="4" t="s">
        <v>25</v>
      </c>
      <c r="I1238" s="5">
        <v>44593</v>
      </c>
      <c r="J1238" s="6">
        <v>0</v>
      </c>
      <c r="K1238" s="70">
        <v>0</v>
      </c>
      <c r="L1238" s="6">
        <v>276.43200000000002</v>
      </c>
      <c r="M1238" s="70">
        <v>276.43200000000002</v>
      </c>
      <c r="N1238" s="6">
        <v>276.43200000000002</v>
      </c>
      <c r="O1238" s="70">
        <v>276.43200000000002</v>
      </c>
      <c r="P1238" s="6">
        <v>158</v>
      </c>
      <c r="Q1238" s="4" t="s">
        <v>26</v>
      </c>
      <c r="R1238" s="4">
        <v>0</v>
      </c>
      <c r="S1238" s="6">
        <v>0</v>
      </c>
      <c r="T1238" s="6">
        <v>44</v>
      </c>
      <c r="U1238" s="6">
        <v>81</v>
      </c>
      <c r="V1238" s="70">
        <f>IF(ISERROR(VLOOKUP($S$1238,'TAR FIN'!$A$1:$O$85,15,0)),0,VLOOKUP($S$1238,'TAR FIN'!$A$1:$O$85,15,0))</f>
        <v>0</v>
      </c>
      <c r="W1238" s="70">
        <f>IF(ISERROR(VLOOKUP($T$1238,'TAR FIN'!$A$1:$O$85,15,0)),0,VLOOKUP($T$1238,'TAR FIN'!$A$1:$O$85,15,0))*(1-0.06)</f>
        <v>305.38719999999995</v>
      </c>
      <c r="X1238" s="70">
        <f>IF(ISERROR(VLOOKUP($U$1238,'TAR FIN'!$A$1:$O$85,15,0)),0,VLOOKUP($U$1238,'TAR FIN'!$A$1:$O$85,15,0))*(1-0.06)</f>
        <v>303.18759999999997</v>
      </c>
      <c r="Y1238" s="70"/>
      <c r="Z1238" s="70">
        <f ca="1">('TUSD BE'!$AM$48+'TUSD BF'!$AM$48+'TUSD CVA'!$AM$48)*1*(1-0.03)</f>
        <v>421.75901597446881</v>
      </c>
      <c r="AA1238" s="70">
        <f>('TE BE'!$AB$38+'TE BF'!$AB$38+'TE CVA'!$AB$38)*1*(1-0.03)</f>
        <v>310.35546409256597</v>
      </c>
      <c r="AB1238" s="6">
        <f>$K$1238*$V$1238</f>
        <v>0</v>
      </c>
      <c r="AC1238" s="6">
        <f>$M$1238*$W$1238</f>
        <v>84418.794470399996</v>
      </c>
      <c r="AD1238" s="6">
        <f>$O$1238*$X$1238</f>
        <v>83810.754643199994</v>
      </c>
      <c r="AE1238" s="6">
        <f>$K$1238*$Y$1238</f>
        <v>0</v>
      </c>
      <c r="AF1238" s="6">
        <f ca="1">$M$1238*$Z$1238</f>
        <v>116587.68830385437</v>
      </c>
      <c r="AG1238" s="6">
        <f>$O$1238*$AA$1238</f>
        <v>85792.181650036204</v>
      </c>
    </row>
    <row r="1239" spans="1:33" ht="11.25" customHeight="1" x14ac:dyDescent="0.25">
      <c r="A1239" s="4" t="s">
        <v>21</v>
      </c>
      <c r="B1239" s="4" t="s">
        <v>37</v>
      </c>
      <c r="C1239" s="4" t="s">
        <v>23</v>
      </c>
      <c r="D1239" s="4" t="s">
        <v>49</v>
      </c>
      <c r="E1239" s="4" t="s">
        <v>50</v>
      </c>
      <c r="F1239" s="4" t="s">
        <v>25</v>
      </c>
      <c r="G1239" s="4" t="s">
        <v>25</v>
      </c>
      <c r="H1239" s="4" t="s">
        <v>25</v>
      </c>
      <c r="I1239" s="5">
        <v>44621</v>
      </c>
      <c r="J1239" s="6">
        <v>0</v>
      </c>
      <c r="K1239" s="70">
        <v>0</v>
      </c>
      <c r="L1239" s="6">
        <v>284.267</v>
      </c>
      <c r="M1239" s="70">
        <v>284.267</v>
      </c>
      <c r="N1239" s="6">
        <v>284.267</v>
      </c>
      <c r="O1239" s="70">
        <v>284.267</v>
      </c>
      <c r="P1239" s="6">
        <v>158</v>
      </c>
      <c r="Q1239" s="4" t="s">
        <v>26</v>
      </c>
      <c r="R1239" s="4">
        <v>0</v>
      </c>
      <c r="S1239" s="6">
        <v>0</v>
      </c>
      <c r="T1239" s="6">
        <v>44</v>
      </c>
      <c r="U1239" s="6">
        <v>81</v>
      </c>
      <c r="V1239" s="70">
        <f>IF(ISERROR(VLOOKUP($S$1239,'TAR FIN'!$A$1:$O$85,15,0)),0,VLOOKUP($S$1239,'TAR FIN'!$A$1:$O$85,15,0))</f>
        <v>0</v>
      </c>
      <c r="W1239" s="70">
        <f>IF(ISERROR(VLOOKUP($T$1239,'TAR FIN'!$A$1:$O$85,15,0)),0,VLOOKUP($T$1239,'TAR FIN'!$A$1:$O$85,15,0))*(1-0.06)</f>
        <v>305.38719999999995</v>
      </c>
      <c r="X1239" s="70">
        <f>IF(ISERROR(VLOOKUP($U$1239,'TAR FIN'!$A$1:$O$85,15,0)),0,VLOOKUP($U$1239,'TAR FIN'!$A$1:$O$85,15,0))*(1-0.06)</f>
        <v>303.18759999999997</v>
      </c>
      <c r="Y1239" s="70"/>
      <c r="Z1239" s="70">
        <f ca="1">('TUSD BE'!$AM$48+'TUSD BF'!$AM$48+'TUSD CVA'!$AM$48)*1*(1-0.03)</f>
        <v>421.75901597446881</v>
      </c>
      <c r="AA1239" s="70">
        <f>('TE BE'!$AB$38+'TE BF'!$AB$38+'TE CVA'!$AB$38)*1*(1-0.03)</f>
        <v>310.35546409256597</v>
      </c>
      <c r="AB1239" s="6">
        <f>$K$1239*$V$1239</f>
        <v>0</v>
      </c>
      <c r="AC1239" s="6">
        <f>$M$1239*$W$1239</f>
        <v>86811.503182399989</v>
      </c>
      <c r="AD1239" s="6">
        <f>$O$1239*$X$1239</f>
        <v>86186.229489199992</v>
      </c>
      <c r="AE1239" s="6">
        <f>$K$1239*$Y$1239</f>
        <v>0</v>
      </c>
      <c r="AF1239" s="6">
        <f ca="1">$M$1239*$Z$1239</f>
        <v>119892.17019401432</v>
      </c>
      <c r="AG1239" s="6">
        <f>$O$1239*$AA$1239</f>
        <v>88223.816711201449</v>
      </c>
    </row>
    <row r="1240" spans="1:33" ht="11.25" customHeight="1" x14ac:dyDescent="0.25">
      <c r="A1240" s="4" t="s">
        <v>21</v>
      </c>
      <c r="B1240" s="4" t="s">
        <v>37</v>
      </c>
      <c r="C1240" s="4" t="s">
        <v>23</v>
      </c>
      <c r="D1240" s="4" t="s">
        <v>49</v>
      </c>
      <c r="E1240" s="4" t="s">
        <v>50</v>
      </c>
      <c r="F1240" s="4" t="s">
        <v>25</v>
      </c>
      <c r="G1240" s="4" t="s">
        <v>25</v>
      </c>
      <c r="H1240" s="4" t="s">
        <v>25</v>
      </c>
      <c r="I1240" s="5">
        <v>44652</v>
      </c>
      <c r="J1240" s="6">
        <v>0</v>
      </c>
      <c r="K1240" s="70">
        <v>0</v>
      </c>
      <c r="L1240" s="6">
        <v>286.23700000000002</v>
      </c>
      <c r="M1240" s="70">
        <v>286.23700000000002</v>
      </c>
      <c r="N1240" s="6">
        <v>286.23700000000002</v>
      </c>
      <c r="O1240" s="70">
        <v>286.23700000000002</v>
      </c>
      <c r="P1240" s="6">
        <v>158</v>
      </c>
      <c r="Q1240" s="4" t="s">
        <v>26</v>
      </c>
      <c r="R1240" s="4">
        <v>0</v>
      </c>
      <c r="S1240" s="6">
        <v>0</v>
      </c>
      <c r="T1240" s="6">
        <v>44</v>
      </c>
      <c r="U1240" s="6">
        <v>81</v>
      </c>
      <c r="V1240" s="70">
        <f>IF(ISERROR(VLOOKUP($S$1240,'TAR FIN'!$A$1:$O$85,15,0)),0,VLOOKUP($S$1240,'TAR FIN'!$A$1:$O$85,15,0))</f>
        <v>0</v>
      </c>
      <c r="W1240" s="70">
        <f>IF(ISERROR(VLOOKUP($T$1240,'TAR FIN'!$A$1:$O$85,15,0)),0,VLOOKUP($T$1240,'TAR FIN'!$A$1:$O$85,15,0))*(1-0.06)</f>
        <v>305.38719999999995</v>
      </c>
      <c r="X1240" s="70">
        <f>IF(ISERROR(VLOOKUP($U$1240,'TAR FIN'!$A$1:$O$85,15,0)),0,VLOOKUP($U$1240,'TAR FIN'!$A$1:$O$85,15,0))*(1-0.06)</f>
        <v>303.18759999999997</v>
      </c>
      <c r="Y1240" s="70"/>
      <c r="Z1240" s="70">
        <f ca="1">('TUSD BE'!$AM$48+'TUSD BF'!$AM$48+'TUSD CVA'!$AM$48)*1*(1-0.03)</f>
        <v>421.75901597446881</v>
      </c>
      <c r="AA1240" s="70">
        <f>('TE BE'!$AB$38+'TE BF'!$AB$38+'TE CVA'!$AB$38)*1*(1-0.03)</f>
        <v>310.35546409256597</v>
      </c>
      <c r="AB1240" s="6">
        <f>$K$1240*$V$1240</f>
        <v>0</v>
      </c>
      <c r="AC1240" s="6">
        <f>$M$1240*$W$1240</f>
        <v>87413.115966399986</v>
      </c>
      <c r="AD1240" s="6">
        <f>$O$1240*$X$1240</f>
        <v>86783.509061200006</v>
      </c>
      <c r="AE1240" s="6">
        <f>$K$1240*$Y$1240</f>
        <v>0</v>
      </c>
      <c r="AF1240" s="6">
        <f ca="1">$M$1240*$Z$1240</f>
        <v>120723.03545548405</v>
      </c>
      <c r="AG1240" s="6">
        <f>$O$1240*$AA$1240</f>
        <v>88835.216975463816</v>
      </c>
    </row>
    <row r="1241" spans="1:33" ht="11.25" customHeight="1" x14ac:dyDescent="0.25">
      <c r="A1241" s="4" t="s">
        <v>21</v>
      </c>
      <c r="B1241" s="4" t="s">
        <v>37</v>
      </c>
      <c r="C1241" s="4" t="s">
        <v>23</v>
      </c>
      <c r="D1241" s="4" t="s">
        <v>49</v>
      </c>
      <c r="E1241" s="4" t="s">
        <v>50</v>
      </c>
      <c r="F1241" s="4" t="s">
        <v>25</v>
      </c>
      <c r="G1241" s="4" t="s">
        <v>25</v>
      </c>
      <c r="H1241" s="4" t="s">
        <v>25</v>
      </c>
      <c r="I1241" s="5">
        <v>44682</v>
      </c>
      <c r="J1241" s="6">
        <v>0</v>
      </c>
      <c r="K1241" s="70">
        <v>0</v>
      </c>
      <c r="L1241" s="6">
        <v>278.096</v>
      </c>
      <c r="M1241" s="70">
        <v>278.096</v>
      </c>
      <c r="N1241" s="6">
        <v>278.096</v>
      </c>
      <c r="O1241" s="70">
        <v>278.096</v>
      </c>
      <c r="P1241" s="6">
        <v>158</v>
      </c>
      <c r="Q1241" s="4" t="s">
        <v>26</v>
      </c>
      <c r="R1241" s="4">
        <v>0</v>
      </c>
      <c r="S1241" s="6">
        <v>0</v>
      </c>
      <c r="T1241" s="6">
        <v>44</v>
      </c>
      <c r="U1241" s="6">
        <v>81</v>
      </c>
      <c r="V1241" s="70">
        <f>IF(ISERROR(VLOOKUP($S$1241,'TAR FIN'!$A$1:$O$85,15,0)),0,VLOOKUP($S$1241,'TAR FIN'!$A$1:$O$85,15,0))</f>
        <v>0</v>
      </c>
      <c r="W1241" s="70">
        <f>IF(ISERROR(VLOOKUP($T$1241,'TAR FIN'!$A$1:$O$85,15,0)),0,VLOOKUP($T$1241,'TAR FIN'!$A$1:$O$85,15,0))*(1-0.06)</f>
        <v>305.38719999999995</v>
      </c>
      <c r="X1241" s="70">
        <f>IF(ISERROR(VLOOKUP($U$1241,'TAR FIN'!$A$1:$O$85,15,0)),0,VLOOKUP($U$1241,'TAR FIN'!$A$1:$O$85,15,0))*(1-0.06)</f>
        <v>303.18759999999997</v>
      </c>
      <c r="Y1241" s="70"/>
      <c r="Z1241" s="70">
        <f ca="1">('TUSD BE'!$AM$48+'TUSD BF'!$AM$48+'TUSD CVA'!$AM$48)*1*(1-0.03)</f>
        <v>421.75901597446881</v>
      </c>
      <c r="AA1241" s="70">
        <f>('TE BE'!$AB$38+'TE BF'!$AB$38+'TE CVA'!$AB$38)*1*(1-0.03)</f>
        <v>310.35546409256597</v>
      </c>
      <c r="AB1241" s="6">
        <f>$K$1241*$V$1241</f>
        <v>0</v>
      </c>
      <c r="AC1241" s="6">
        <f>$M$1241*$W$1241</f>
        <v>84926.958771199992</v>
      </c>
      <c r="AD1241" s="6">
        <f>$O$1241*$X$1241</f>
        <v>84315.258809599996</v>
      </c>
      <c r="AE1241" s="6">
        <f>$K$1241*$Y$1241</f>
        <v>0</v>
      </c>
      <c r="AF1241" s="6">
        <f ca="1">$M$1241*$Z$1241</f>
        <v>117289.49530643589</v>
      </c>
      <c r="AG1241" s="6">
        <f>$O$1241*$AA$1241</f>
        <v>86308.613142286224</v>
      </c>
    </row>
    <row r="1242" spans="1:33" ht="11.25" customHeight="1" x14ac:dyDescent="0.25">
      <c r="A1242" s="4" t="s">
        <v>21</v>
      </c>
      <c r="B1242" s="4" t="s">
        <v>37</v>
      </c>
      <c r="C1242" s="4" t="s">
        <v>23</v>
      </c>
      <c r="D1242" s="4" t="s">
        <v>49</v>
      </c>
      <c r="E1242" s="4" t="s">
        <v>50</v>
      </c>
      <c r="F1242" s="4" t="s">
        <v>25</v>
      </c>
      <c r="G1242" s="4" t="s">
        <v>25</v>
      </c>
      <c r="H1242" s="4" t="s">
        <v>25</v>
      </c>
      <c r="I1242" s="5">
        <v>44713</v>
      </c>
      <c r="J1242" s="6">
        <v>0</v>
      </c>
      <c r="K1242" s="70">
        <v>0</v>
      </c>
      <c r="L1242" s="6">
        <v>285.26499999999999</v>
      </c>
      <c r="M1242" s="70">
        <v>285.26499999999999</v>
      </c>
      <c r="N1242" s="6">
        <v>285.26499999999999</v>
      </c>
      <c r="O1242" s="70">
        <v>285.26499999999999</v>
      </c>
      <c r="P1242" s="6">
        <v>159</v>
      </c>
      <c r="Q1242" s="4" t="s">
        <v>26</v>
      </c>
      <c r="R1242" s="4">
        <v>0</v>
      </c>
      <c r="S1242" s="6">
        <v>0</v>
      </c>
      <c r="T1242" s="6">
        <v>44</v>
      </c>
      <c r="U1242" s="6">
        <v>81</v>
      </c>
      <c r="V1242" s="70">
        <f>IF(ISERROR(VLOOKUP($S$1242,'TAR FIN'!$A$1:$O$85,15,0)),0,VLOOKUP($S$1242,'TAR FIN'!$A$1:$O$85,15,0))</f>
        <v>0</v>
      </c>
      <c r="W1242" s="70">
        <f>IF(ISERROR(VLOOKUP($T$1242,'TAR FIN'!$A$1:$O$85,15,0)),0,VLOOKUP($T$1242,'TAR FIN'!$A$1:$O$85,15,0))*(1-0.06)</f>
        <v>305.38719999999995</v>
      </c>
      <c r="X1242" s="70">
        <f>IF(ISERROR(VLOOKUP($U$1242,'TAR FIN'!$A$1:$O$85,15,0)),0,VLOOKUP($U$1242,'TAR FIN'!$A$1:$O$85,15,0))*(1-0.06)</f>
        <v>303.18759999999997</v>
      </c>
      <c r="Y1242" s="70"/>
      <c r="Z1242" s="70">
        <f ca="1">('TUSD BE'!$AM$48+'TUSD BF'!$AM$48+'TUSD CVA'!$AM$48)*1*(1-0.03)</f>
        <v>421.75901597446881</v>
      </c>
      <c r="AA1242" s="70">
        <f>('TE BE'!$AB$38+'TE BF'!$AB$38+'TE CVA'!$AB$38)*1*(1-0.03)</f>
        <v>310.35546409256597</v>
      </c>
      <c r="AB1242" s="6">
        <f>$K$1242*$V$1242</f>
        <v>0</v>
      </c>
      <c r="AC1242" s="6">
        <f>$M$1242*$W$1242</f>
        <v>87116.279607999983</v>
      </c>
      <c r="AD1242" s="6">
        <f>$O$1242*$X$1242</f>
        <v>86488.810713999992</v>
      </c>
      <c r="AE1242" s="6">
        <f>$K$1242*$Y$1242</f>
        <v>0</v>
      </c>
      <c r="AF1242" s="6">
        <f ca="1">$M$1242*$Z$1242</f>
        <v>120313.08569195683</v>
      </c>
      <c r="AG1242" s="6">
        <f>$O$1242*$AA$1242</f>
        <v>88533.551464365824</v>
      </c>
    </row>
    <row r="1243" spans="1:33" ht="11.25" customHeight="1" x14ac:dyDescent="0.25">
      <c r="A1243" s="4" t="s">
        <v>21</v>
      </c>
      <c r="B1243" s="4" t="s">
        <v>37</v>
      </c>
      <c r="C1243" s="4" t="s">
        <v>23</v>
      </c>
      <c r="D1243" s="4" t="s">
        <v>49</v>
      </c>
      <c r="E1243" s="4" t="s">
        <v>50</v>
      </c>
      <c r="F1243" s="4" t="s">
        <v>25</v>
      </c>
      <c r="G1243" s="4" t="s">
        <v>25</v>
      </c>
      <c r="H1243" s="4" t="s">
        <v>25</v>
      </c>
      <c r="I1243" s="5">
        <v>44743</v>
      </c>
      <c r="J1243" s="6">
        <v>0</v>
      </c>
      <c r="K1243" s="70">
        <v>0</v>
      </c>
      <c r="L1243" s="6">
        <v>276.90499999999997</v>
      </c>
      <c r="M1243" s="70">
        <v>276.90499999999997</v>
      </c>
      <c r="N1243" s="6">
        <v>276.90499999999997</v>
      </c>
      <c r="O1243" s="70">
        <v>276.90499999999997</v>
      </c>
      <c r="P1243" s="6">
        <v>159</v>
      </c>
      <c r="Q1243" s="4" t="s">
        <v>26</v>
      </c>
      <c r="R1243" s="4">
        <v>0</v>
      </c>
      <c r="S1243" s="6">
        <v>0</v>
      </c>
      <c r="T1243" s="6">
        <v>44</v>
      </c>
      <c r="U1243" s="6">
        <v>81</v>
      </c>
      <c r="V1243" s="70">
        <f>IF(ISERROR(VLOOKUP($S$1243,'TAR FIN'!$A$1:$O$85,15,0)),0,VLOOKUP($S$1243,'TAR FIN'!$A$1:$O$85,15,0))</f>
        <v>0</v>
      </c>
      <c r="W1243" s="70">
        <f>IF(ISERROR(VLOOKUP($T$1243,'TAR FIN'!$A$1:$O$85,15,0)),0,VLOOKUP($T$1243,'TAR FIN'!$A$1:$O$85,15,0))*(1-0.06)</f>
        <v>305.38719999999995</v>
      </c>
      <c r="X1243" s="70">
        <f>IF(ISERROR(VLOOKUP($U$1243,'TAR FIN'!$A$1:$O$85,15,0)),0,VLOOKUP($U$1243,'TAR FIN'!$A$1:$O$85,15,0))*(1-0.06)</f>
        <v>303.18759999999997</v>
      </c>
      <c r="Y1243" s="70"/>
      <c r="Z1243" s="70">
        <f ca="1">('TUSD BE'!$AM$48+'TUSD BF'!$AM$48+'TUSD CVA'!$AM$48)*1*(1-0.03)</f>
        <v>421.75901597446881</v>
      </c>
      <c r="AA1243" s="70">
        <f>('TE BE'!$AB$38+'TE BF'!$AB$38+'TE CVA'!$AB$38)*1*(1-0.03)</f>
        <v>310.35546409256597</v>
      </c>
      <c r="AB1243" s="6">
        <f>$K$1243*$V$1243</f>
        <v>0</v>
      </c>
      <c r="AC1243" s="6">
        <f>$M$1243*$W$1243</f>
        <v>84563.242615999974</v>
      </c>
      <c r="AD1243" s="6">
        <f>$O$1243*$X$1243</f>
        <v>83954.162377999979</v>
      </c>
      <c r="AE1243" s="6">
        <f>$K$1243*$Y$1243</f>
        <v>0</v>
      </c>
      <c r="AF1243" s="6">
        <f ca="1">$M$1243*$Z$1243</f>
        <v>116787.18031841028</v>
      </c>
      <c r="AG1243" s="6">
        <f>$O$1243*$AA$1243</f>
        <v>85938.979784551964</v>
      </c>
    </row>
    <row r="1244" spans="1:33" ht="11.25" customHeight="1" x14ac:dyDescent="0.25">
      <c r="A1244" s="4" t="s">
        <v>56</v>
      </c>
      <c r="B1244" s="4" t="s">
        <v>37</v>
      </c>
      <c r="C1244" s="4" t="s">
        <v>23</v>
      </c>
      <c r="D1244" s="4" t="s">
        <v>49</v>
      </c>
      <c r="E1244" s="4" t="s">
        <v>50</v>
      </c>
      <c r="F1244" s="4" t="s">
        <v>25</v>
      </c>
      <c r="G1244" s="4" t="s">
        <v>25</v>
      </c>
      <c r="H1244" s="4" t="s">
        <v>25</v>
      </c>
      <c r="I1244" s="5">
        <v>44774</v>
      </c>
      <c r="J1244" s="6">
        <v>0</v>
      </c>
      <c r="K1244" s="70">
        <v>0</v>
      </c>
      <c r="L1244" s="6">
        <v>276.90499999999997</v>
      </c>
      <c r="M1244" s="70">
        <v>276.90499999999997</v>
      </c>
      <c r="N1244" s="6">
        <v>276.90499999999997</v>
      </c>
      <c r="O1244" s="70">
        <v>276.90499999999997</v>
      </c>
      <c r="P1244" s="6">
        <v>159</v>
      </c>
      <c r="Q1244" s="4" t="s">
        <v>26</v>
      </c>
      <c r="R1244" s="4">
        <v>0</v>
      </c>
      <c r="S1244" s="6">
        <v>0</v>
      </c>
      <c r="T1244" s="6">
        <v>44</v>
      </c>
      <c r="U1244" s="6">
        <v>81</v>
      </c>
      <c r="V1244" s="70">
        <f>IF(ISERROR(VLOOKUP($S$1244,'TAR FIN'!$A$1:$O$85,15,0)),0,VLOOKUP($S$1244,'TAR FIN'!$A$1:$O$85,15,0))</f>
        <v>0</v>
      </c>
      <c r="W1244" s="70">
        <f>IF(ISERROR(VLOOKUP($T$1244,'TAR FIN'!$A$1:$O$85,15,0)),0,VLOOKUP($T$1244,'TAR FIN'!$A$1:$O$85,15,0))*(1-0.06)</f>
        <v>305.38719999999995</v>
      </c>
      <c r="X1244" s="70">
        <f>IF(ISERROR(VLOOKUP($U$1244,'TAR FIN'!$A$1:$O$85,15,0)),0,VLOOKUP($U$1244,'TAR FIN'!$A$1:$O$85,15,0))*(1-0.06)</f>
        <v>303.18759999999997</v>
      </c>
      <c r="Y1244" s="70"/>
      <c r="Z1244" s="70">
        <f ca="1">('TUSD BE'!$AM$48+'TUSD BF'!$AM$48+'TUSD CVA'!$AM$48)*1*(1-0.03)</f>
        <v>421.75901597446881</v>
      </c>
      <c r="AA1244" s="70">
        <f>('TE BE'!$AB$38+'TE BF'!$AB$38+'TE CVA'!$AB$38)*1*(1-0.03)</f>
        <v>310.35546409256597</v>
      </c>
      <c r="AB1244" s="6">
        <f>$K$1244*$V$1244</f>
        <v>0</v>
      </c>
      <c r="AC1244" s="6">
        <f>$M$1244*$W$1244</f>
        <v>84563.242615999974</v>
      </c>
      <c r="AD1244" s="6">
        <f>$O$1244*$X$1244</f>
        <v>83954.162377999979</v>
      </c>
      <c r="AE1244" s="6">
        <f>$K$1244*$Y$1244</f>
        <v>0</v>
      </c>
      <c r="AF1244" s="6">
        <f ca="1">$M$1244*$Z$1244</f>
        <v>116787.18031841028</v>
      </c>
      <c r="AG1244" s="6">
        <f>$O$1244*$AA$1244</f>
        <v>85938.979784551964</v>
      </c>
    </row>
    <row r="1245" spans="1:33" ht="11.25" customHeight="1" x14ac:dyDescent="0.25">
      <c r="A1245" s="4" t="s">
        <v>21</v>
      </c>
      <c r="B1245" s="4" t="s">
        <v>46</v>
      </c>
      <c r="C1245" s="4" t="s">
        <v>23</v>
      </c>
      <c r="D1245" s="4" t="s">
        <v>47</v>
      </c>
      <c r="E1245" s="4" t="s">
        <v>48</v>
      </c>
      <c r="F1245" s="4" t="s">
        <v>25</v>
      </c>
      <c r="G1245" s="4" t="s">
        <v>25</v>
      </c>
      <c r="H1245" s="4" t="s">
        <v>25</v>
      </c>
      <c r="I1245" s="5">
        <v>44440</v>
      </c>
      <c r="J1245" s="6">
        <v>0</v>
      </c>
      <c r="K1245" s="6">
        <v>0</v>
      </c>
      <c r="L1245" s="6">
        <v>1537.3230000000001</v>
      </c>
      <c r="M1245" s="6">
        <v>1537.3230000000001</v>
      </c>
      <c r="N1245" s="6">
        <v>1537.3230000000001</v>
      </c>
      <c r="O1245" s="6">
        <v>1537.3230000000001</v>
      </c>
      <c r="P1245" s="6">
        <v>45</v>
      </c>
      <c r="Q1245" s="4" t="s">
        <v>26</v>
      </c>
      <c r="R1245" s="4">
        <v>0</v>
      </c>
      <c r="S1245" s="6">
        <v>0</v>
      </c>
      <c r="T1245" s="6">
        <v>46</v>
      </c>
      <c r="U1245" s="6">
        <v>83</v>
      </c>
      <c r="V1245" s="6">
        <f>IF(ISERROR(VLOOKUP($S$1245,'TAR FIN'!$A$1:$O$85,15,0)),0,VLOOKUP($S$1245,'TAR FIN'!$A$1:$O$85,15,0))</f>
        <v>0</v>
      </c>
      <c r="W1245" s="6">
        <f>IF(ISERROR(VLOOKUP($T$1245,'TAR FIN'!$A$1:$O$85,15,0)),0,VLOOKUP($T$1245,'TAR FIN'!$A$1:$O$85,15,0))</f>
        <v>178.68</v>
      </c>
      <c r="X1245" s="6">
        <f>IF(ISERROR(VLOOKUP($U$1245,'TAR FIN'!$A$1:$O$85,15,0)),0,VLOOKUP($U$1245,'TAR FIN'!$A$1:$O$85,15,0))</f>
        <v>177.4</v>
      </c>
      <c r="Y1245" s="6"/>
      <c r="Z1245" s="6">
        <f ca="1">('TUSD BE'!$AM$50+'TUSD BF'!$AM$50+'TUSD CVA'!$AM$50)*1</f>
        <v>239.14171008861632</v>
      </c>
      <c r="AA1245" s="6">
        <f>('TE BE'!$AB$40+'TE BF'!$AB$40+'TE CVA'!$AB$40)*1</f>
        <v>175.9747476813518</v>
      </c>
      <c r="AB1245" s="6">
        <f>$K$1245*$V$1245</f>
        <v>0</v>
      </c>
      <c r="AC1245" s="6">
        <f>$M$1245*$W$1245</f>
        <v>274688.87364000001</v>
      </c>
      <c r="AD1245" s="6">
        <f>$O$1245*$X$1245</f>
        <v>272721.10020000004</v>
      </c>
      <c r="AE1245" s="6">
        <f>$K$1245*$Y$1245</f>
        <v>0</v>
      </c>
      <c r="AF1245" s="6">
        <f ca="1">$M$1245*$Z$1245</f>
        <v>367638.05117856193</v>
      </c>
      <c r="AG1245" s="6">
        <f>$O$1245*$AA$1245</f>
        <v>270530.02702973882</v>
      </c>
    </row>
    <row r="1246" spans="1:33" ht="11.25" customHeight="1" x14ac:dyDescent="0.25">
      <c r="A1246" s="4" t="s">
        <v>27</v>
      </c>
      <c r="B1246" s="4" t="s">
        <v>46</v>
      </c>
      <c r="C1246" s="4" t="s">
        <v>23</v>
      </c>
      <c r="D1246" s="4" t="s">
        <v>47</v>
      </c>
      <c r="E1246" s="4" t="s">
        <v>48</v>
      </c>
      <c r="F1246" s="4" t="s">
        <v>25</v>
      </c>
      <c r="G1246" s="4" t="s">
        <v>25</v>
      </c>
      <c r="H1246" s="4" t="s">
        <v>25</v>
      </c>
      <c r="I1246" s="5">
        <v>44440</v>
      </c>
      <c r="J1246" s="6">
        <v>0</v>
      </c>
      <c r="K1246" s="6">
        <v>0</v>
      </c>
      <c r="L1246" s="6">
        <v>-0.317</v>
      </c>
      <c r="M1246" s="6">
        <v>-0.317</v>
      </c>
      <c r="N1246" s="6">
        <v>-0.317</v>
      </c>
      <c r="O1246" s="6">
        <v>-0.317</v>
      </c>
      <c r="P1246" s="6">
        <v>-1</v>
      </c>
      <c r="Q1246" s="4" t="s">
        <v>26</v>
      </c>
      <c r="R1246" s="4">
        <v>0</v>
      </c>
      <c r="S1246" s="6">
        <v>0</v>
      </c>
      <c r="T1246" s="6">
        <v>46</v>
      </c>
      <c r="U1246" s="6">
        <v>83</v>
      </c>
      <c r="V1246" s="6">
        <f>IF(ISERROR(VLOOKUP($S$1246,'TAR FIN'!$A$1:$O$85,15,0)),0,VLOOKUP($S$1246,'TAR FIN'!$A$1:$O$85,15,0))</f>
        <v>0</v>
      </c>
      <c r="W1246" s="6">
        <f>IF(ISERROR(VLOOKUP($T$1246,'TAR FIN'!$A$1:$O$85,15,0)),0,VLOOKUP($T$1246,'TAR FIN'!$A$1:$O$85,15,0))</f>
        <v>178.68</v>
      </c>
      <c r="X1246" s="6">
        <f>IF(ISERROR(VLOOKUP($U$1246,'TAR FIN'!$A$1:$O$85,15,0)),0,VLOOKUP($U$1246,'TAR FIN'!$A$1:$O$85,15,0))</f>
        <v>177.4</v>
      </c>
      <c r="Y1246" s="6"/>
      <c r="Z1246" s="6">
        <f ca="1">('TUSD BE'!$AM$50+'TUSD BF'!$AM$50+'TUSD CVA'!$AM$50)*1</f>
        <v>239.14171008861632</v>
      </c>
      <c r="AA1246" s="6">
        <f>('TE BE'!$AB$40+'TE BF'!$AB$40+'TE CVA'!$AB$40)*1</f>
        <v>175.9747476813518</v>
      </c>
      <c r="AB1246" s="6">
        <f>$K$1246*$V$1246</f>
        <v>0</v>
      </c>
      <c r="AC1246" s="6">
        <f>$M$1246*$W$1246</f>
        <v>-56.641560000000005</v>
      </c>
      <c r="AD1246" s="6">
        <f>$O$1246*$X$1246</f>
        <v>-56.235800000000005</v>
      </c>
      <c r="AE1246" s="6">
        <f>$K$1246*$Y$1246</f>
        <v>0</v>
      </c>
      <c r="AF1246" s="6">
        <f ca="1">$M$1246*$Z$1246</f>
        <v>-75.807922098091382</v>
      </c>
      <c r="AG1246" s="6">
        <f>$O$1246*$AA$1246</f>
        <v>-55.78399501498852</v>
      </c>
    </row>
    <row r="1247" spans="1:33" ht="11.25" customHeight="1" x14ac:dyDescent="0.25">
      <c r="A1247" s="4" t="s">
        <v>21</v>
      </c>
      <c r="B1247" s="4" t="s">
        <v>46</v>
      </c>
      <c r="C1247" s="4" t="s">
        <v>23</v>
      </c>
      <c r="D1247" s="4" t="s">
        <v>47</v>
      </c>
      <c r="E1247" s="4" t="s">
        <v>48</v>
      </c>
      <c r="F1247" s="4" t="s">
        <v>25</v>
      </c>
      <c r="G1247" s="4" t="s">
        <v>25</v>
      </c>
      <c r="H1247" s="4" t="s">
        <v>25</v>
      </c>
      <c r="I1247" s="5">
        <v>44470</v>
      </c>
      <c r="J1247" s="6">
        <v>0</v>
      </c>
      <c r="K1247" s="6">
        <v>0</v>
      </c>
      <c r="L1247" s="6">
        <v>1614.039</v>
      </c>
      <c r="M1247" s="6">
        <v>1614.039</v>
      </c>
      <c r="N1247" s="6">
        <v>1614.039</v>
      </c>
      <c r="O1247" s="6">
        <v>1614.039</v>
      </c>
      <c r="P1247" s="6">
        <v>45</v>
      </c>
      <c r="Q1247" s="4" t="s">
        <v>26</v>
      </c>
      <c r="R1247" s="4">
        <v>0</v>
      </c>
      <c r="S1247" s="6">
        <v>0</v>
      </c>
      <c r="T1247" s="6">
        <v>46</v>
      </c>
      <c r="U1247" s="6">
        <v>83</v>
      </c>
      <c r="V1247" s="6">
        <f>IF(ISERROR(VLOOKUP($S$1247,'TAR FIN'!$A$1:$O$85,15,0)),0,VLOOKUP($S$1247,'TAR FIN'!$A$1:$O$85,15,0))</f>
        <v>0</v>
      </c>
      <c r="W1247" s="6">
        <f>IF(ISERROR(VLOOKUP($T$1247,'TAR FIN'!$A$1:$O$85,15,0)),0,VLOOKUP($T$1247,'TAR FIN'!$A$1:$O$85,15,0))</f>
        <v>178.68</v>
      </c>
      <c r="X1247" s="6">
        <f>IF(ISERROR(VLOOKUP($U$1247,'TAR FIN'!$A$1:$O$85,15,0)),0,VLOOKUP($U$1247,'TAR FIN'!$A$1:$O$85,15,0))</f>
        <v>177.4</v>
      </c>
      <c r="Y1247" s="6"/>
      <c r="Z1247" s="6">
        <f ca="1">('TUSD BE'!$AM$50+'TUSD BF'!$AM$50+'TUSD CVA'!$AM$50)*1</f>
        <v>239.14171008861632</v>
      </c>
      <c r="AA1247" s="6">
        <f>('TE BE'!$AB$40+'TE BF'!$AB$40+'TE CVA'!$AB$40)*1</f>
        <v>175.9747476813518</v>
      </c>
      <c r="AB1247" s="6">
        <f>$K$1247*$V$1247</f>
        <v>0</v>
      </c>
      <c r="AC1247" s="6">
        <f>$M$1247*$W$1247</f>
        <v>288396.48852000001</v>
      </c>
      <c r="AD1247" s="6">
        <f>$O$1247*$X$1247</f>
        <v>286330.51860000001</v>
      </c>
      <c r="AE1247" s="6">
        <f>$K$1247*$Y$1247</f>
        <v>0</v>
      </c>
      <c r="AF1247" s="6">
        <f ca="1">$M$1247*$Z$1247</f>
        <v>385984.04660972022</v>
      </c>
      <c r="AG1247" s="6">
        <f>$O$1247*$AA$1247</f>
        <v>284030.1057728614</v>
      </c>
    </row>
    <row r="1248" spans="1:33" ht="11.25" customHeight="1" x14ac:dyDescent="0.25">
      <c r="A1248" s="4" t="s">
        <v>21</v>
      </c>
      <c r="B1248" s="4" t="s">
        <v>46</v>
      </c>
      <c r="C1248" s="4" t="s">
        <v>23</v>
      </c>
      <c r="D1248" s="4" t="s">
        <v>47</v>
      </c>
      <c r="E1248" s="4" t="s">
        <v>48</v>
      </c>
      <c r="F1248" s="4" t="s">
        <v>25</v>
      </c>
      <c r="G1248" s="4" t="s">
        <v>25</v>
      </c>
      <c r="H1248" s="4" t="s">
        <v>25</v>
      </c>
      <c r="I1248" s="5">
        <v>44501</v>
      </c>
      <c r="J1248" s="6">
        <v>0</v>
      </c>
      <c r="K1248" s="6">
        <v>0</v>
      </c>
      <c r="L1248" s="6">
        <v>1634.374</v>
      </c>
      <c r="M1248" s="6">
        <v>1634.374</v>
      </c>
      <c r="N1248" s="6">
        <v>1634.374</v>
      </c>
      <c r="O1248" s="6">
        <v>1634.374</v>
      </c>
      <c r="P1248" s="6">
        <v>45</v>
      </c>
      <c r="Q1248" s="4" t="s">
        <v>26</v>
      </c>
      <c r="R1248" s="4">
        <v>0</v>
      </c>
      <c r="S1248" s="6">
        <v>0</v>
      </c>
      <c r="T1248" s="6">
        <v>46</v>
      </c>
      <c r="U1248" s="6">
        <v>83</v>
      </c>
      <c r="V1248" s="6">
        <f>IF(ISERROR(VLOOKUP($S$1248,'TAR FIN'!$A$1:$O$85,15,0)),0,VLOOKUP($S$1248,'TAR FIN'!$A$1:$O$85,15,0))</f>
        <v>0</v>
      </c>
      <c r="W1248" s="6">
        <f>IF(ISERROR(VLOOKUP($T$1248,'TAR FIN'!$A$1:$O$85,15,0)),0,VLOOKUP($T$1248,'TAR FIN'!$A$1:$O$85,15,0))</f>
        <v>178.68</v>
      </c>
      <c r="X1248" s="6">
        <f>IF(ISERROR(VLOOKUP($U$1248,'TAR FIN'!$A$1:$O$85,15,0)),0,VLOOKUP($U$1248,'TAR FIN'!$A$1:$O$85,15,0))</f>
        <v>177.4</v>
      </c>
      <c r="Y1248" s="6"/>
      <c r="Z1248" s="6">
        <f ca="1">('TUSD BE'!$AM$50+'TUSD BF'!$AM$50+'TUSD CVA'!$AM$50)*1</f>
        <v>239.14171008861632</v>
      </c>
      <c r="AA1248" s="6">
        <f>('TE BE'!$AB$40+'TE BF'!$AB$40+'TE CVA'!$AB$40)*1</f>
        <v>175.9747476813518</v>
      </c>
      <c r="AB1248" s="6">
        <f>$K$1248*$V$1248</f>
        <v>0</v>
      </c>
      <c r="AC1248" s="6">
        <f>$M$1248*$W$1248</f>
        <v>292029.94631999999</v>
      </c>
      <c r="AD1248" s="6">
        <f>$O$1248*$X$1248</f>
        <v>289937.94760000001</v>
      </c>
      <c r="AE1248" s="6">
        <f>$K$1248*$Y$1248</f>
        <v>0</v>
      </c>
      <c r="AF1248" s="6">
        <f ca="1">$M$1248*$Z$1248</f>
        <v>390846.99328437221</v>
      </c>
      <c r="AG1248" s="6">
        <f>$O$1248*$AA$1248</f>
        <v>287608.55226696166</v>
      </c>
    </row>
    <row r="1249" spans="1:33" ht="11.25" customHeight="1" x14ac:dyDescent="0.25">
      <c r="A1249" s="4" t="s">
        <v>21</v>
      </c>
      <c r="B1249" s="4" t="s">
        <v>46</v>
      </c>
      <c r="C1249" s="4" t="s">
        <v>23</v>
      </c>
      <c r="D1249" s="4" t="s">
        <v>47</v>
      </c>
      <c r="E1249" s="4" t="s">
        <v>48</v>
      </c>
      <c r="F1249" s="4" t="s">
        <v>25</v>
      </c>
      <c r="G1249" s="4" t="s">
        <v>25</v>
      </c>
      <c r="H1249" s="4" t="s">
        <v>25</v>
      </c>
      <c r="I1249" s="5">
        <v>44531</v>
      </c>
      <c r="J1249" s="6">
        <v>0</v>
      </c>
      <c r="K1249" s="6">
        <v>0</v>
      </c>
      <c r="L1249" s="6">
        <v>1610.021</v>
      </c>
      <c r="M1249" s="6">
        <v>1610.021</v>
      </c>
      <c r="N1249" s="6">
        <v>1610.021</v>
      </c>
      <c r="O1249" s="6">
        <v>1610.021</v>
      </c>
      <c r="P1249" s="6">
        <v>45</v>
      </c>
      <c r="Q1249" s="4" t="s">
        <v>26</v>
      </c>
      <c r="R1249" s="4">
        <v>0</v>
      </c>
      <c r="S1249" s="6">
        <v>0</v>
      </c>
      <c r="T1249" s="6">
        <v>46</v>
      </c>
      <c r="U1249" s="6">
        <v>83</v>
      </c>
      <c r="V1249" s="6">
        <f>IF(ISERROR(VLOOKUP($S$1249,'TAR FIN'!$A$1:$O$85,15,0)),0,VLOOKUP($S$1249,'TAR FIN'!$A$1:$O$85,15,0))</f>
        <v>0</v>
      </c>
      <c r="W1249" s="6">
        <f>IF(ISERROR(VLOOKUP($T$1249,'TAR FIN'!$A$1:$O$85,15,0)),0,VLOOKUP($T$1249,'TAR FIN'!$A$1:$O$85,15,0))</f>
        <v>178.68</v>
      </c>
      <c r="X1249" s="6">
        <f>IF(ISERROR(VLOOKUP($U$1249,'TAR FIN'!$A$1:$O$85,15,0)),0,VLOOKUP($U$1249,'TAR FIN'!$A$1:$O$85,15,0))</f>
        <v>177.4</v>
      </c>
      <c r="Y1249" s="6"/>
      <c r="Z1249" s="6">
        <f ca="1">('TUSD BE'!$AM$50+'TUSD BF'!$AM$50+'TUSD CVA'!$AM$50)*1</f>
        <v>239.14171008861632</v>
      </c>
      <c r="AA1249" s="6">
        <f>('TE BE'!$AB$40+'TE BF'!$AB$40+'TE CVA'!$AB$40)*1</f>
        <v>175.9747476813518</v>
      </c>
      <c r="AB1249" s="6">
        <f>$K$1249*$V$1249</f>
        <v>0</v>
      </c>
      <c r="AC1249" s="6">
        <f>$M$1249*$W$1249</f>
        <v>287678.55228</v>
      </c>
      <c r="AD1249" s="6">
        <f>$O$1249*$X$1249</f>
        <v>285617.7254</v>
      </c>
      <c r="AE1249" s="6">
        <f>$K$1249*$Y$1249</f>
        <v>0</v>
      </c>
      <c r="AF1249" s="6">
        <f ca="1">$M$1249*$Z$1249</f>
        <v>385023.17521858413</v>
      </c>
      <c r="AG1249" s="6">
        <f>$O$1249*$AA$1249</f>
        <v>283323.03923667769</v>
      </c>
    </row>
    <row r="1250" spans="1:33" ht="11.25" customHeight="1" x14ac:dyDescent="0.25">
      <c r="A1250" s="4" t="s">
        <v>21</v>
      </c>
      <c r="B1250" s="4" t="s">
        <v>46</v>
      </c>
      <c r="C1250" s="4" t="s">
        <v>23</v>
      </c>
      <c r="D1250" s="4" t="s">
        <v>47</v>
      </c>
      <c r="E1250" s="4" t="s">
        <v>48</v>
      </c>
      <c r="F1250" s="4" t="s">
        <v>25</v>
      </c>
      <c r="G1250" s="4" t="s">
        <v>25</v>
      </c>
      <c r="H1250" s="4" t="s">
        <v>25</v>
      </c>
      <c r="I1250" s="5">
        <v>44562</v>
      </c>
      <c r="J1250" s="6">
        <v>0</v>
      </c>
      <c r="K1250" s="6">
        <v>0</v>
      </c>
      <c r="L1250" s="6">
        <v>1589.424</v>
      </c>
      <c r="M1250" s="6">
        <v>1589.424</v>
      </c>
      <c r="N1250" s="6">
        <v>1589.424</v>
      </c>
      <c r="O1250" s="6">
        <v>1589.424</v>
      </c>
      <c r="P1250" s="6">
        <v>45</v>
      </c>
      <c r="Q1250" s="4" t="s">
        <v>26</v>
      </c>
      <c r="R1250" s="4">
        <v>0</v>
      </c>
      <c r="S1250" s="6">
        <v>0</v>
      </c>
      <c r="T1250" s="6">
        <v>46</v>
      </c>
      <c r="U1250" s="6">
        <v>83</v>
      </c>
      <c r="V1250" s="6">
        <f>IF(ISERROR(VLOOKUP($S$1250,'TAR FIN'!$A$1:$O$85,15,0)),0,VLOOKUP($S$1250,'TAR FIN'!$A$1:$O$85,15,0))</f>
        <v>0</v>
      </c>
      <c r="W1250" s="6">
        <f>IF(ISERROR(VLOOKUP($T$1250,'TAR FIN'!$A$1:$O$85,15,0)),0,VLOOKUP($T$1250,'TAR FIN'!$A$1:$O$85,15,0))</f>
        <v>178.68</v>
      </c>
      <c r="X1250" s="6">
        <f>IF(ISERROR(VLOOKUP($U$1250,'TAR FIN'!$A$1:$O$85,15,0)),0,VLOOKUP($U$1250,'TAR FIN'!$A$1:$O$85,15,0))</f>
        <v>177.4</v>
      </c>
      <c r="Y1250" s="6"/>
      <c r="Z1250" s="6">
        <f ca="1">('TUSD BE'!$AM$50+'TUSD BF'!$AM$50+'TUSD CVA'!$AM$50)*1</f>
        <v>239.14171008861632</v>
      </c>
      <c r="AA1250" s="6">
        <f>('TE BE'!$AB$40+'TE BF'!$AB$40+'TE CVA'!$AB$40)*1</f>
        <v>175.9747476813518</v>
      </c>
      <c r="AB1250" s="6">
        <f>$K$1250*$V$1250</f>
        <v>0</v>
      </c>
      <c r="AC1250" s="6">
        <f>$M$1250*$W$1250</f>
        <v>283998.28032000002</v>
      </c>
      <c r="AD1250" s="6">
        <f>$O$1250*$X$1250</f>
        <v>281963.81760000001</v>
      </c>
      <c r="AE1250" s="6">
        <f>$K$1250*$Y$1250</f>
        <v>0</v>
      </c>
      <c r="AF1250" s="6">
        <f ca="1">$M$1250*$Z$1250</f>
        <v>380097.57341588888</v>
      </c>
      <c r="AG1250" s="6">
        <f>$O$1250*$AA$1250</f>
        <v>279698.48735868488</v>
      </c>
    </row>
    <row r="1251" spans="1:33" ht="11.25" customHeight="1" x14ac:dyDescent="0.25">
      <c r="A1251" s="4" t="s">
        <v>21</v>
      </c>
      <c r="B1251" s="4" t="s">
        <v>46</v>
      </c>
      <c r="C1251" s="4" t="s">
        <v>23</v>
      </c>
      <c r="D1251" s="4" t="s">
        <v>47</v>
      </c>
      <c r="E1251" s="4" t="s">
        <v>48</v>
      </c>
      <c r="F1251" s="4" t="s">
        <v>25</v>
      </c>
      <c r="G1251" s="4" t="s">
        <v>25</v>
      </c>
      <c r="H1251" s="4" t="s">
        <v>25</v>
      </c>
      <c r="I1251" s="5">
        <v>44593</v>
      </c>
      <c r="J1251" s="6">
        <v>0</v>
      </c>
      <c r="K1251" s="6">
        <v>0</v>
      </c>
      <c r="L1251" s="6">
        <v>1460.8230000000001</v>
      </c>
      <c r="M1251" s="6">
        <v>1460.8230000000001</v>
      </c>
      <c r="N1251" s="6">
        <v>1460.8230000000001</v>
      </c>
      <c r="O1251" s="6">
        <v>1460.8230000000001</v>
      </c>
      <c r="P1251" s="6">
        <v>45</v>
      </c>
      <c r="Q1251" s="4" t="s">
        <v>26</v>
      </c>
      <c r="R1251" s="4">
        <v>0</v>
      </c>
      <c r="S1251" s="6">
        <v>0</v>
      </c>
      <c r="T1251" s="6">
        <v>46</v>
      </c>
      <c r="U1251" s="6">
        <v>83</v>
      </c>
      <c r="V1251" s="6">
        <f>IF(ISERROR(VLOOKUP($S$1251,'TAR FIN'!$A$1:$O$85,15,0)),0,VLOOKUP($S$1251,'TAR FIN'!$A$1:$O$85,15,0))</f>
        <v>0</v>
      </c>
      <c r="W1251" s="6">
        <f>IF(ISERROR(VLOOKUP($T$1251,'TAR FIN'!$A$1:$O$85,15,0)),0,VLOOKUP($T$1251,'TAR FIN'!$A$1:$O$85,15,0))</f>
        <v>178.68</v>
      </c>
      <c r="X1251" s="6">
        <f>IF(ISERROR(VLOOKUP($U$1251,'TAR FIN'!$A$1:$O$85,15,0)),0,VLOOKUP($U$1251,'TAR FIN'!$A$1:$O$85,15,0))</f>
        <v>177.4</v>
      </c>
      <c r="Y1251" s="6"/>
      <c r="Z1251" s="6">
        <f ca="1">('TUSD BE'!$AM$50+'TUSD BF'!$AM$50+'TUSD CVA'!$AM$50)*1</f>
        <v>239.14171008861632</v>
      </c>
      <c r="AA1251" s="6">
        <f>('TE BE'!$AB$40+'TE BF'!$AB$40+'TE CVA'!$AB$40)*1</f>
        <v>175.9747476813518</v>
      </c>
      <c r="AB1251" s="6">
        <f>$K$1251*$V$1251</f>
        <v>0</v>
      </c>
      <c r="AC1251" s="6">
        <f>$M$1251*$W$1251</f>
        <v>261019.85364000002</v>
      </c>
      <c r="AD1251" s="6">
        <f>$O$1251*$X$1251</f>
        <v>259150.00020000004</v>
      </c>
      <c r="AE1251" s="6">
        <f>$K$1251*$Y$1251</f>
        <v>0</v>
      </c>
      <c r="AF1251" s="6">
        <f ca="1">$M$1251*$Z$1251</f>
        <v>349343.71035678277</v>
      </c>
      <c r="AG1251" s="6">
        <f>$O$1251*$AA$1251</f>
        <v>257067.9588321154</v>
      </c>
    </row>
    <row r="1252" spans="1:33" ht="11.25" customHeight="1" x14ac:dyDescent="0.25">
      <c r="A1252" s="4" t="s">
        <v>21</v>
      </c>
      <c r="B1252" s="4" t="s">
        <v>46</v>
      </c>
      <c r="C1252" s="4" t="s">
        <v>23</v>
      </c>
      <c r="D1252" s="4" t="s">
        <v>47</v>
      </c>
      <c r="E1252" s="4" t="s">
        <v>48</v>
      </c>
      <c r="F1252" s="4" t="s">
        <v>25</v>
      </c>
      <c r="G1252" s="4" t="s">
        <v>25</v>
      </c>
      <c r="H1252" s="4" t="s">
        <v>25</v>
      </c>
      <c r="I1252" s="5">
        <v>44621</v>
      </c>
      <c r="J1252" s="6">
        <v>0</v>
      </c>
      <c r="K1252" s="6">
        <v>0</v>
      </c>
      <c r="L1252" s="6">
        <v>1607.24</v>
      </c>
      <c r="M1252" s="6">
        <v>1607.24</v>
      </c>
      <c r="N1252" s="6">
        <v>1607.24</v>
      </c>
      <c r="O1252" s="6">
        <v>1607.24</v>
      </c>
      <c r="P1252" s="6">
        <v>46</v>
      </c>
      <c r="Q1252" s="4" t="s">
        <v>26</v>
      </c>
      <c r="R1252" s="4">
        <v>0</v>
      </c>
      <c r="S1252" s="6">
        <v>0</v>
      </c>
      <c r="T1252" s="6">
        <v>46</v>
      </c>
      <c r="U1252" s="6">
        <v>83</v>
      </c>
      <c r="V1252" s="6">
        <f>IF(ISERROR(VLOOKUP($S$1252,'TAR FIN'!$A$1:$O$85,15,0)),0,VLOOKUP($S$1252,'TAR FIN'!$A$1:$O$85,15,0))</f>
        <v>0</v>
      </c>
      <c r="W1252" s="6">
        <f>IF(ISERROR(VLOOKUP($T$1252,'TAR FIN'!$A$1:$O$85,15,0)),0,VLOOKUP($T$1252,'TAR FIN'!$A$1:$O$85,15,0))</f>
        <v>178.68</v>
      </c>
      <c r="X1252" s="6">
        <f>IF(ISERROR(VLOOKUP($U$1252,'TAR FIN'!$A$1:$O$85,15,0)),0,VLOOKUP($U$1252,'TAR FIN'!$A$1:$O$85,15,0))</f>
        <v>177.4</v>
      </c>
      <c r="Y1252" s="6"/>
      <c r="Z1252" s="6">
        <f ca="1">('TUSD BE'!$AM$50+'TUSD BF'!$AM$50+'TUSD CVA'!$AM$50)*1</f>
        <v>239.14171008861632</v>
      </c>
      <c r="AA1252" s="6">
        <f>('TE BE'!$AB$40+'TE BF'!$AB$40+'TE CVA'!$AB$40)*1</f>
        <v>175.9747476813518</v>
      </c>
      <c r="AB1252" s="6">
        <f>$K$1252*$V$1252</f>
        <v>0</v>
      </c>
      <c r="AC1252" s="6">
        <f>$M$1252*$W$1252</f>
        <v>287181.64319999999</v>
      </c>
      <c r="AD1252" s="6">
        <f>$O$1252*$X$1252</f>
        <v>285124.37599999999</v>
      </c>
      <c r="AE1252" s="6">
        <f>$K$1252*$Y$1252</f>
        <v>0</v>
      </c>
      <c r="AF1252" s="6">
        <f ca="1">$M$1252*$Z$1252</f>
        <v>384358.12212282768</v>
      </c>
      <c r="AG1252" s="6">
        <f>$O$1252*$AA$1252</f>
        <v>282833.65346337587</v>
      </c>
    </row>
    <row r="1253" spans="1:33" ht="11.25" customHeight="1" x14ac:dyDescent="0.25">
      <c r="A1253" s="4" t="s">
        <v>27</v>
      </c>
      <c r="B1253" s="4" t="s">
        <v>46</v>
      </c>
      <c r="C1253" s="4" t="s">
        <v>23</v>
      </c>
      <c r="D1253" s="4" t="s">
        <v>47</v>
      </c>
      <c r="E1253" s="4" t="s">
        <v>48</v>
      </c>
      <c r="F1253" s="4" t="s">
        <v>25</v>
      </c>
      <c r="G1253" s="4" t="s">
        <v>25</v>
      </c>
      <c r="H1253" s="4" t="s">
        <v>25</v>
      </c>
      <c r="I1253" s="5">
        <v>44621</v>
      </c>
      <c r="J1253" s="6">
        <v>0</v>
      </c>
      <c r="K1253" s="6">
        <v>0</v>
      </c>
      <c r="L1253" s="6">
        <v>-12.583</v>
      </c>
      <c r="M1253" s="6">
        <v>-12.583</v>
      </c>
      <c r="N1253" s="6">
        <v>-12.583</v>
      </c>
      <c r="O1253" s="6">
        <v>-12.583</v>
      </c>
      <c r="P1253" s="6">
        <v>0</v>
      </c>
      <c r="Q1253" s="4" t="s">
        <v>26</v>
      </c>
      <c r="R1253" s="4">
        <v>0</v>
      </c>
      <c r="S1253" s="6">
        <v>0</v>
      </c>
      <c r="T1253" s="6">
        <v>46</v>
      </c>
      <c r="U1253" s="6">
        <v>83</v>
      </c>
      <c r="V1253" s="6">
        <f>IF(ISERROR(VLOOKUP($S$1253,'TAR FIN'!$A$1:$O$85,15,0)),0,VLOOKUP($S$1253,'TAR FIN'!$A$1:$O$85,15,0))</f>
        <v>0</v>
      </c>
      <c r="W1253" s="6">
        <f>IF(ISERROR(VLOOKUP($T$1253,'TAR FIN'!$A$1:$O$85,15,0)),0,VLOOKUP($T$1253,'TAR FIN'!$A$1:$O$85,15,0))</f>
        <v>178.68</v>
      </c>
      <c r="X1253" s="6">
        <f>IF(ISERROR(VLOOKUP($U$1253,'TAR FIN'!$A$1:$O$85,15,0)),0,VLOOKUP($U$1253,'TAR FIN'!$A$1:$O$85,15,0))</f>
        <v>177.4</v>
      </c>
      <c r="Y1253" s="6"/>
      <c r="Z1253" s="6">
        <f ca="1">('TUSD BE'!$AM$50+'TUSD BF'!$AM$50+'TUSD CVA'!$AM$50)*1</f>
        <v>239.14171008861632</v>
      </c>
      <c r="AA1253" s="6">
        <f>('TE BE'!$AB$40+'TE BF'!$AB$40+'TE CVA'!$AB$40)*1</f>
        <v>175.9747476813518</v>
      </c>
      <c r="AB1253" s="6">
        <f>$K$1253*$V$1253</f>
        <v>0</v>
      </c>
      <c r="AC1253" s="6">
        <f>$M$1253*$W$1253</f>
        <v>-2248.3304400000002</v>
      </c>
      <c r="AD1253" s="6">
        <f>$O$1253*$X$1253</f>
        <v>-2232.2242000000001</v>
      </c>
      <c r="AE1253" s="6">
        <f>$K$1253*$Y$1253</f>
        <v>0</v>
      </c>
      <c r="AF1253" s="6">
        <f ca="1">$M$1253*$Z$1253</f>
        <v>-3009.1201380450593</v>
      </c>
      <c r="AG1253" s="6">
        <f>$O$1253*$AA$1253</f>
        <v>-2214.2902500744499</v>
      </c>
    </row>
    <row r="1254" spans="1:33" ht="11.25" customHeight="1" x14ac:dyDescent="0.25">
      <c r="A1254" s="4" t="s">
        <v>21</v>
      </c>
      <c r="B1254" s="4" t="s">
        <v>46</v>
      </c>
      <c r="C1254" s="4" t="s">
        <v>23</v>
      </c>
      <c r="D1254" s="4" t="s">
        <v>47</v>
      </c>
      <c r="E1254" s="4" t="s">
        <v>48</v>
      </c>
      <c r="F1254" s="4" t="s">
        <v>25</v>
      </c>
      <c r="G1254" s="4" t="s">
        <v>25</v>
      </c>
      <c r="H1254" s="4" t="s">
        <v>25</v>
      </c>
      <c r="I1254" s="5">
        <v>44652</v>
      </c>
      <c r="J1254" s="6">
        <v>0</v>
      </c>
      <c r="K1254" s="6">
        <v>0</v>
      </c>
      <c r="L1254" s="6">
        <v>1552.9849999999999</v>
      </c>
      <c r="M1254" s="6">
        <v>1552.9849999999999</v>
      </c>
      <c r="N1254" s="6">
        <v>1552.9849999999999</v>
      </c>
      <c r="O1254" s="6">
        <v>1552.9849999999999</v>
      </c>
      <c r="P1254" s="6">
        <v>46</v>
      </c>
      <c r="Q1254" s="4" t="s">
        <v>26</v>
      </c>
      <c r="R1254" s="4">
        <v>0</v>
      </c>
      <c r="S1254" s="6">
        <v>0</v>
      </c>
      <c r="T1254" s="6">
        <v>46</v>
      </c>
      <c r="U1254" s="6">
        <v>83</v>
      </c>
      <c r="V1254" s="6">
        <f>IF(ISERROR(VLOOKUP($S$1254,'TAR FIN'!$A$1:$O$85,15,0)),0,VLOOKUP($S$1254,'TAR FIN'!$A$1:$O$85,15,0))</f>
        <v>0</v>
      </c>
      <c r="W1254" s="6">
        <f>IF(ISERROR(VLOOKUP($T$1254,'TAR FIN'!$A$1:$O$85,15,0)),0,VLOOKUP($T$1254,'TAR FIN'!$A$1:$O$85,15,0))</f>
        <v>178.68</v>
      </c>
      <c r="X1254" s="6">
        <f>IF(ISERROR(VLOOKUP($U$1254,'TAR FIN'!$A$1:$O$85,15,0)),0,VLOOKUP($U$1254,'TAR FIN'!$A$1:$O$85,15,0))</f>
        <v>177.4</v>
      </c>
      <c r="Y1254" s="6"/>
      <c r="Z1254" s="6">
        <f ca="1">('TUSD BE'!$AM$50+'TUSD BF'!$AM$50+'TUSD CVA'!$AM$50)*1</f>
        <v>239.14171008861632</v>
      </c>
      <c r="AA1254" s="6">
        <f>('TE BE'!$AB$40+'TE BF'!$AB$40+'TE CVA'!$AB$40)*1</f>
        <v>175.9747476813518</v>
      </c>
      <c r="AB1254" s="6">
        <f>$K$1254*$V$1254</f>
        <v>0</v>
      </c>
      <c r="AC1254" s="6">
        <f>$M$1254*$W$1254</f>
        <v>277487.35979999998</v>
      </c>
      <c r="AD1254" s="6">
        <f>$O$1254*$X$1254</f>
        <v>275499.53899999999</v>
      </c>
      <c r="AE1254" s="6">
        <f>$K$1254*$Y$1254</f>
        <v>0</v>
      </c>
      <c r="AF1254" s="6">
        <f ca="1">$M$1254*$Z$1254</f>
        <v>371383.4886419698</v>
      </c>
      <c r="AG1254" s="6">
        <f>$O$1254*$AA$1254</f>
        <v>273286.14352792408</v>
      </c>
    </row>
    <row r="1255" spans="1:33" ht="11.25" customHeight="1" x14ac:dyDescent="0.25">
      <c r="A1255" s="4" t="s">
        <v>21</v>
      </c>
      <c r="B1255" s="4" t="s">
        <v>46</v>
      </c>
      <c r="C1255" s="4" t="s">
        <v>23</v>
      </c>
      <c r="D1255" s="4" t="s">
        <v>47</v>
      </c>
      <c r="E1255" s="4" t="s">
        <v>48</v>
      </c>
      <c r="F1255" s="4" t="s">
        <v>25</v>
      </c>
      <c r="G1255" s="4" t="s">
        <v>25</v>
      </c>
      <c r="H1255" s="4" t="s">
        <v>25</v>
      </c>
      <c r="I1255" s="5">
        <v>44682</v>
      </c>
      <c r="J1255" s="6">
        <v>0</v>
      </c>
      <c r="K1255" s="6">
        <v>0</v>
      </c>
      <c r="L1255" s="6">
        <v>1606.31</v>
      </c>
      <c r="M1255" s="6">
        <v>1606.31</v>
      </c>
      <c r="N1255" s="6">
        <v>1606.31</v>
      </c>
      <c r="O1255" s="6">
        <v>1606.31</v>
      </c>
      <c r="P1255" s="6">
        <v>46</v>
      </c>
      <c r="Q1255" s="4" t="s">
        <v>26</v>
      </c>
      <c r="R1255" s="4">
        <v>0</v>
      </c>
      <c r="S1255" s="6">
        <v>0</v>
      </c>
      <c r="T1255" s="6">
        <v>46</v>
      </c>
      <c r="U1255" s="6">
        <v>83</v>
      </c>
      <c r="V1255" s="6">
        <f>IF(ISERROR(VLOOKUP($S$1255,'TAR FIN'!$A$1:$O$85,15,0)),0,VLOOKUP($S$1255,'TAR FIN'!$A$1:$O$85,15,0))</f>
        <v>0</v>
      </c>
      <c r="W1255" s="6">
        <f>IF(ISERROR(VLOOKUP($T$1255,'TAR FIN'!$A$1:$O$85,15,0)),0,VLOOKUP($T$1255,'TAR FIN'!$A$1:$O$85,15,0))</f>
        <v>178.68</v>
      </c>
      <c r="X1255" s="6">
        <f>IF(ISERROR(VLOOKUP($U$1255,'TAR FIN'!$A$1:$O$85,15,0)),0,VLOOKUP($U$1255,'TAR FIN'!$A$1:$O$85,15,0))</f>
        <v>177.4</v>
      </c>
      <c r="Y1255" s="6"/>
      <c r="Z1255" s="6">
        <f ca="1">('TUSD BE'!$AM$50+'TUSD BF'!$AM$50+'TUSD CVA'!$AM$50)*1</f>
        <v>239.14171008861632</v>
      </c>
      <c r="AA1255" s="6">
        <f>('TE BE'!$AB$40+'TE BF'!$AB$40+'TE CVA'!$AB$40)*1</f>
        <v>175.9747476813518</v>
      </c>
      <c r="AB1255" s="6">
        <f>$K$1255*$V$1255</f>
        <v>0</v>
      </c>
      <c r="AC1255" s="6">
        <f>$M$1255*$W$1255</f>
        <v>287015.47080000001</v>
      </c>
      <c r="AD1255" s="6">
        <f>$O$1255*$X$1255</f>
        <v>284959.39399999997</v>
      </c>
      <c r="AE1255" s="6">
        <f>$K$1255*$Y$1255</f>
        <v>0</v>
      </c>
      <c r="AF1255" s="6">
        <f ca="1">$M$1255*$Z$1255</f>
        <v>384135.72033244529</v>
      </c>
      <c r="AG1255" s="6">
        <f>$O$1255*$AA$1255</f>
        <v>282669.99694803217</v>
      </c>
    </row>
    <row r="1256" spans="1:33" ht="11.25" customHeight="1" x14ac:dyDescent="0.25">
      <c r="A1256" s="4" t="s">
        <v>27</v>
      </c>
      <c r="B1256" s="4" t="s">
        <v>46</v>
      </c>
      <c r="C1256" s="4" t="s">
        <v>23</v>
      </c>
      <c r="D1256" s="4" t="s">
        <v>47</v>
      </c>
      <c r="E1256" s="4" t="s">
        <v>48</v>
      </c>
      <c r="F1256" s="4" t="s">
        <v>25</v>
      </c>
      <c r="G1256" s="4" t="s">
        <v>25</v>
      </c>
      <c r="H1256" s="4" t="s">
        <v>25</v>
      </c>
      <c r="I1256" s="5">
        <v>44682</v>
      </c>
      <c r="J1256" s="6">
        <v>0</v>
      </c>
      <c r="K1256" s="6">
        <v>0</v>
      </c>
      <c r="L1256" s="6">
        <v>-0.91</v>
      </c>
      <c r="M1256" s="6">
        <v>-0.91</v>
      </c>
      <c r="N1256" s="6">
        <v>-0.91</v>
      </c>
      <c r="O1256" s="6">
        <v>-0.91</v>
      </c>
      <c r="P1256" s="6">
        <v>0</v>
      </c>
      <c r="Q1256" s="4" t="s">
        <v>26</v>
      </c>
      <c r="R1256" s="4">
        <v>0</v>
      </c>
      <c r="S1256" s="6">
        <v>0</v>
      </c>
      <c r="T1256" s="6">
        <v>46</v>
      </c>
      <c r="U1256" s="6">
        <v>83</v>
      </c>
      <c r="V1256" s="6">
        <f>IF(ISERROR(VLOOKUP($S$1256,'TAR FIN'!$A$1:$O$85,15,0)),0,VLOOKUP($S$1256,'TAR FIN'!$A$1:$O$85,15,0))</f>
        <v>0</v>
      </c>
      <c r="W1256" s="6">
        <f>IF(ISERROR(VLOOKUP($T$1256,'TAR FIN'!$A$1:$O$85,15,0)),0,VLOOKUP($T$1256,'TAR FIN'!$A$1:$O$85,15,0))</f>
        <v>178.68</v>
      </c>
      <c r="X1256" s="6">
        <f>IF(ISERROR(VLOOKUP($U$1256,'TAR FIN'!$A$1:$O$85,15,0)),0,VLOOKUP($U$1256,'TAR FIN'!$A$1:$O$85,15,0))</f>
        <v>177.4</v>
      </c>
      <c r="Y1256" s="6"/>
      <c r="Z1256" s="6">
        <f ca="1">('TUSD BE'!$AM$50+'TUSD BF'!$AM$50+'TUSD CVA'!$AM$50)*1</f>
        <v>239.14171008861632</v>
      </c>
      <c r="AA1256" s="6">
        <f>('TE BE'!$AB$40+'TE BF'!$AB$40+'TE CVA'!$AB$40)*1</f>
        <v>175.9747476813518</v>
      </c>
      <c r="AB1256" s="6">
        <f>$K$1256*$V$1256</f>
        <v>0</v>
      </c>
      <c r="AC1256" s="6">
        <f>$M$1256*$W$1256</f>
        <v>-162.59880000000001</v>
      </c>
      <c r="AD1256" s="6">
        <f>$O$1256*$X$1256</f>
        <v>-161.434</v>
      </c>
      <c r="AE1256" s="6">
        <f>$K$1256*$Y$1256</f>
        <v>0</v>
      </c>
      <c r="AF1256" s="6">
        <f ca="1">$M$1256*$Z$1256</f>
        <v>-217.61895618064085</v>
      </c>
      <c r="AG1256" s="6">
        <f>$O$1256*$AA$1256</f>
        <v>-160.13702039003013</v>
      </c>
    </row>
    <row r="1257" spans="1:33" ht="11.25" customHeight="1" x14ac:dyDescent="0.25">
      <c r="A1257" s="4" t="s">
        <v>21</v>
      </c>
      <c r="B1257" s="4" t="s">
        <v>46</v>
      </c>
      <c r="C1257" s="4" t="s">
        <v>23</v>
      </c>
      <c r="D1257" s="4" t="s">
        <v>47</v>
      </c>
      <c r="E1257" s="4" t="s">
        <v>48</v>
      </c>
      <c r="F1257" s="4" t="s">
        <v>25</v>
      </c>
      <c r="G1257" s="4" t="s">
        <v>25</v>
      </c>
      <c r="H1257" s="4" t="s">
        <v>25</v>
      </c>
      <c r="I1257" s="5">
        <v>44713</v>
      </c>
      <c r="J1257" s="6">
        <v>0</v>
      </c>
      <c r="K1257" s="6">
        <v>0</v>
      </c>
      <c r="L1257" s="6">
        <v>1564.44</v>
      </c>
      <c r="M1257" s="6">
        <v>1564.44</v>
      </c>
      <c r="N1257" s="6">
        <v>1564.44</v>
      </c>
      <c r="O1257" s="6">
        <v>1564.44</v>
      </c>
      <c r="P1257" s="6">
        <v>53</v>
      </c>
      <c r="Q1257" s="4" t="s">
        <v>26</v>
      </c>
      <c r="R1257" s="4">
        <v>0</v>
      </c>
      <c r="S1257" s="6">
        <v>0</v>
      </c>
      <c r="T1257" s="6">
        <v>46</v>
      </c>
      <c r="U1257" s="6">
        <v>83</v>
      </c>
      <c r="V1257" s="6">
        <f>IF(ISERROR(VLOOKUP($S$1257,'TAR FIN'!$A$1:$O$85,15,0)),0,VLOOKUP($S$1257,'TAR FIN'!$A$1:$O$85,15,0))</f>
        <v>0</v>
      </c>
      <c r="W1257" s="6">
        <f>IF(ISERROR(VLOOKUP($T$1257,'TAR FIN'!$A$1:$O$85,15,0)),0,VLOOKUP($T$1257,'TAR FIN'!$A$1:$O$85,15,0))</f>
        <v>178.68</v>
      </c>
      <c r="X1257" s="6">
        <f>IF(ISERROR(VLOOKUP($U$1257,'TAR FIN'!$A$1:$O$85,15,0)),0,VLOOKUP($U$1257,'TAR FIN'!$A$1:$O$85,15,0))</f>
        <v>177.4</v>
      </c>
      <c r="Y1257" s="6"/>
      <c r="Z1257" s="6">
        <f ca="1">('TUSD BE'!$AM$50+'TUSD BF'!$AM$50+'TUSD CVA'!$AM$50)*1</f>
        <v>239.14171008861632</v>
      </c>
      <c r="AA1257" s="6">
        <f>('TE BE'!$AB$40+'TE BF'!$AB$40+'TE CVA'!$AB$40)*1</f>
        <v>175.9747476813518</v>
      </c>
      <c r="AB1257" s="6">
        <f>$K$1257*$V$1257</f>
        <v>0</v>
      </c>
      <c r="AC1257" s="6">
        <f>$M$1257*$W$1257</f>
        <v>279534.13920000003</v>
      </c>
      <c r="AD1257" s="6">
        <f>$O$1257*$X$1257</f>
        <v>277531.65600000002</v>
      </c>
      <c r="AE1257" s="6">
        <f>$K$1257*$Y$1257</f>
        <v>0</v>
      </c>
      <c r="AF1257" s="6">
        <f ca="1">$M$1257*$Z$1257</f>
        <v>374122.85693103494</v>
      </c>
      <c r="AG1257" s="6">
        <f>$O$1257*$AA$1257</f>
        <v>275301.934262614</v>
      </c>
    </row>
    <row r="1258" spans="1:33" ht="11.25" customHeight="1" x14ac:dyDescent="0.25">
      <c r="A1258" s="4" t="s">
        <v>21</v>
      </c>
      <c r="B1258" s="4" t="s">
        <v>46</v>
      </c>
      <c r="C1258" s="4" t="s">
        <v>23</v>
      </c>
      <c r="D1258" s="4" t="s">
        <v>47</v>
      </c>
      <c r="E1258" s="4" t="s">
        <v>48</v>
      </c>
      <c r="F1258" s="4" t="s">
        <v>25</v>
      </c>
      <c r="G1258" s="4" t="s">
        <v>25</v>
      </c>
      <c r="H1258" s="4" t="s">
        <v>25</v>
      </c>
      <c r="I1258" s="5">
        <v>44743</v>
      </c>
      <c r="J1258" s="6">
        <v>0</v>
      </c>
      <c r="K1258" s="6">
        <v>0</v>
      </c>
      <c r="L1258" s="6">
        <v>1613.4590000000001</v>
      </c>
      <c r="M1258" s="6">
        <v>1613.4590000000001</v>
      </c>
      <c r="N1258" s="6">
        <v>1613.4590000000001</v>
      </c>
      <c r="O1258" s="6">
        <v>1613.4590000000001</v>
      </c>
      <c r="P1258" s="6">
        <v>55</v>
      </c>
      <c r="Q1258" s="4" t="s">
        <v>26</v>
      </c>
      <c r="R1258" s="4">
        <v>0</v>
      </c>
      <c r="S1258" s="6">
        <v>0</v>
      </c>
      <c r="T1258" s="6">
        <v>46</v>
      </c>
      <c r="U1258" s="6">
        <v>83</v>
      </c>
      <c r="V1258" s="6">
        <f>IF(ISERROR(VLOOKUP($S$1258,'TAR FIN'!$A$1:$O$85,15,0)),0,VLOOKUP($S$1258,'TAR FIN'!$A$1:$O$85,15,0))</f>
        <v>0</v>
      </c>
      <c r="W1258" s="6">
        <f>IF(ISERROR(VLOOKUP($T$1258,'TAR FIN'!$A$1:$O$85,15,0)),0,VLOOKUP($T$1258,'TAR FIN'!$A$1:$O$85,15,0))</f>
        <v>178.68</v>
      </c>
      <c r="X1258" s="6">
        <f>IF(ISERROR(VLOOKUP($U$1258,'TAR FIN'!$A$1:$O$85,15,0)),0,VLOOKUP($U$1258,'TAR FIN'!$A$1:$O$85,15,0))</f>
        <v>177.4</v>
      </c>
      <c r="Y1258" s="6"/>
      <c r="Z1258" s="6">
        <f ca="1">('TUSD BE'!$AM$50+'TUSD BF'!$AM$50+'TUSD CVA'!$AM$50)*1</f>
        <v>239.14171008861632</v>
      </c>
      <c r="AA1258" s="6">
        <f>('TE BE'!$AB$40+'TE BF'!$AB$40+'TE CVA'!$AB$40)*1</f>
        <v>175.9747476813518</v>
      </c>
      <c r="AB1258" s="6">
        <f>$K$1258*$V$1258</f>
        <v>0</v>
      </c>
      <c r="AC1258" s="6">
        <f>$M$1258*$W$1258</f>
        <v>288292.85412000003</v>
      </c>
      <c r="AD1258" s="6">
        <f>$O$1258*$X$1258</f>
        <v>286227.62660000002</v>
      </c>
      <c r="AE1258" s="6">
        <f>$K$1258*$Y$1258</f>
        <v>0</v>
      </c>
      <c r="AF1258" s="6">
        <f ca="1">$M$1258*$Z$1258</f>
        <v>385845.34441786882</v>
      </c>
      <c r="AG1258" s="6">
        <f>$O$1258*$AA$1258</f>
        <v>283928.0404192062</v>
      </c>
    </row>
    <row r="1259" spans="1:33" ht="11.25" customHeight="1" x14ac:dyDescent="0.25">
      <c r="A1259" s="4" t="s">
        <v>27</v>
      </c>
      <c r="B1259" s="4" t="s">
        <v>46</v>
      </c>
      <c r="C1259" s="4" t="s">
        <v>23</v>
      </c>
      <c r="D1259" s="4" t="s">
        <v>47</v>
      </c>
      <c r="E1259" s="4" t="s">
        <v>48</v>
      </c>
      <c r="F1259" s="4" t="s">
        <v>25</v>
      </c>
      <c r="G1259" s="4" t="s">
        <v>25</v>
      </c>
      <c r="H1259" s="4" t="s">
        <v>25</v>
      </c>
      <c r="I1259" s="5">
        <v>44743</v>
      </c>
      <c r="J1259" s="6">
        <v>0</v>
      </c>
      <c r="K1259" s="6">
        <v>0</v>
      </c>
      <c r="L1259" s="6">
        <v>-6.8760000000000003</v>
      </c>
      <c r="M1259" s="6">
        <v>-6.8760000000000003</v>
      </c>
      <c r="N1259" s="6">
        <v>-6.8760000000000003</v>
      </c>
      <c r="O1259" s="6">
        <v>-6.8760000000000003</v>
      </c>
      <c r="P1259" s="6">
        <v>0</v>
      </c>
      <c r="Q1259" s="4" t="s">
        <v>26</v>
      </c>
      <c r="R1259" s="4">
        <v>0</v>
      </c>
      <c r="S1259" s="6">
        <v>0</v>
      </c>
      <c r="T1259" s="6">
        <v>46</v>
      </c>
      <c r="U1259" s="6">
        <v>83</v>
      </c>
      <c r="V1259" s="6">
        <f>IF(ISERROR(VLOOKUP($S$1259,'TAR FIN'!$A$1:$O$85,15,0)),0,VLOOKUP($S$1259,'TAR FIN'!$A$1:$O$85,15,0))</f>
        <v>0</v>
      </c>
      <c r="W1259" s="6">
        <f>IF(ISERROR(VLOOKUP($T$1259,'TAR FIN'!$A$1:$O$85,15,0)),0,VLOOKUP($T$1259,'TAR FIN'!$A$1:$O$85,15,0))</f>
        <v>178.68</v>
      </c>
      <c r="X1259" s="6">
        <f>IF(ISERROR(VLOOKUP($U$1259,'TAR FIN'!$A$1:$O$85,15,0)),0,VLOOKUP($U$1259,'TAR FIN'!$A$1:$O$85,15,0))</f>
        <v>177.4</v>
      </c>
      <c r="Y1259" s="6"/>
      <c r="Z1259" s="6">
        <f ca="1">('TUSD BE'!$AM$50+'TUSD BF'!$AM$50+'TUSD CVA'!$AM$50)*1</f>
        <v>239.14171008861632</v>
      </c>
      <c r="AA1259" s="6">
        <f>('TE BE'!$AB$40+'TE BF'!$AB$40+'TE CVA'!$AB$40)*1</f>
        <v>175.9747476813518</v>
      </c>
      <c r="AB1259" s="6">
        <f>$K$1259*$V$1259</f>
        <v>0</v>
      </c>
      <c r="AC1259" s="6">
        <f>$M$1259*$W$1259</f>
        <v>-1228.6036800000002</v>
      </c>
      <c r="AD1259" s="6">
        <f>$O$1259*$X$1259</f>
        <v>-1219.8024</v>
      </c>
      <c r="AE1259" s="6">
        <f>$K$1259*$Y$1259</f>
        <v>0</v>
      </c>
      <c r="AF1259" s="6">
        <f ca="1">$M$1259*$Z$1259</f>
        <v>-1644.3383985693258</v>
      </c>
      <c r="AG1259" s="6">
        <f>$O$1259*$AA$1259</f>
        <v>-1210.0023650569751</v>
      </c>
    </row>
    <row r="1260" spans="1:33" ht="11.25" customHeight="1" x14ac:dyDescent="0.25">
      <c r="A1260" s="4" t="s">
        <v>56</v>
      </c>
      <c r="B1260" s="4" t="s">
        <v>46</v>
      </c>
      <c r="C1260" s="4" t="s">
        <v>23</v>
      </c>
      <c r="D1260" s="4" t="s">
        <v>47</v>
      </c>
      <c r="E1260" s="4" t="s">
        <v>48</v>
      </c>
      <c r="F1260" s="4" t="s">
        <v>25</v>
      </c>
      <c r="G1260" s="4" t="s">
        <v>25</v>
      </c>
      <c r="H1260" s="4" t="s">
        <v>25</v>
      </c>
      <c r="I1260" s="5">
        <v>44774</v>
      </c>
      <c r="J1260" s="6">
        <v>0</v>
      </c>
      <c r="K1260" s="6">
        <v>0</v>
      </c>
      <c r="L1260" s="6">
        <v>1613.4590000000001</v>
      </c>
      <c r="M1260" s="6">
        <v>1613.4590000000001</v>
      </c>
      <c r="N1260" s="6">
        <v>1613.4590000000001</v>
      </c>
      <c r="O1260" s="6">
        <v>1613.4590000000001</v>
      </c>
      <c r="P1260" s="6">
        <v>55</v>
      </c>
      <c r="Q1260" s="4" t="s">
        <v>26</v>
      </c>
      <c r="R1260" s="4">
        <v>0</v>
      </c>
      <c r="S1260" s="6">
        <v>0</v>
      </c>
      <c r="T1260" s="6">
        <v>46</v>
      </c>
      <c r="U1260" s="6">
        <v>83</v>
      </c>
      <c r="V1260" s="6">
        <f>IF(ISERROR(VLOOKUP($S$1260,'TAR FIN'!$A$1:$O$85,15,0)),0,VLOOKUP($S$1260,'TAR FIN'!$A$1:$O$85,15,0))</f>
        <v>0</v>
      </c>
      <c r="W1260" s="6">
        <f>IF(ISERROR(VLOOKUP($T$1260,'TAR FIN'!$A$1:$O$85,15,0)),0,VLOOKUP($T$1260,'TAR FIN'!$A$1:$O$85,15,0))</f>
        <v>178.68</v>
      </c>
      <c r="X1260" s="6">
        <f>IF(ISERROR(VLOOKUP($U$1260,'TAR FIN'!$A$1:$O$85,15,0)),0,VLOOKUP($U$1260,'TAR FIN'!$A$1:$O$85,15,0))</f>
        <v>177.4</v>
      </c>
      <c r="Y1260" s="6"/>
      <c r="Z1260" s="6">
        <f ca="1">('TUSD BE'!$AM$50+'TUSD BF'!$AM$50+'TUSD CVA'!$AM$50)*1</f>
        <v>239.14171008861632</v>
      </c>
      <c r="AA1260" s="6">
        <f>('TE BE'!$AB$40+'TE BF'!$AB$40+'TE CVA'!$AB$40)*1</f>
        <v>175.9747476813518</v>
      </c>
      <c r="AB1260" s="6">
        <f>$K$1260*$V$1260</f>
        <v>0</v>
      </c>
      <c r="AC1260" s="6">
        <f>$M$1260*$W$1260</f>
        <v>288292.85412000003</v>
      </c>
      <c r="AD1260" s="6">
        <f>$O$1260*$X$1260</f>
        <v>286227.62660000002</v>
      </c>
      <c r="AE1260" s="6">
        <f>$K$1260*$Y$1260</f>
        <v>0</v>
      </c>
      <c r="AF1260" s="6">
        <f ca="1">$M$1260*$Z$1260</f>
        <v>385845.34441786882</v>
      </c>
      <c r="AG1260" s="6">
        <f>$O$1260*$AA$1260</f>
        <v>283928.0404192062</v>
      </c>
    </row>
    <row r="1261" spans="1:33" ht="11.25" customHeight="1" x14ac:dyDescent="0.25">
      <c r="A1261" s="4" t="s">
        <v>56</v>
      </c>
      <c r="B1261" s="4" t="s">
        <v>46</v>
      </c>
      <c r="C1261" s="4" t="s">
        <v>23</v>
      </c>
      <c r="D1261" s="4" t="s">
        <v>47</v>
      </c>
      <c r="E1261" s="4" t="s">
        <v>48</v>
      </c>
      <c r="F1261" s="4" t="s">
        <v>25</v>
      </c>
      <c r="G1261" s="4" t="s">
        <v>25</v>
      </c>
      <c r="H1261" s="4" t="s">
        <v>25</v>
      </c>
      <c r="I1261" s="5">
        <v>44774</v>
      </c>
      <c r="J1261" s="6">
        <v>0</v>
      </c>
      <c r="K1261" s="6">
        <v>0</v>
      </c>
      <c r="L1261" s="6">
        <v>-6.8760000000000003</v>
      </c>
      <c r="M1261" s="6">
        <v>-6.8760000000000003</v>
      </c>
      <c r="N1261" s="6">
        <v>-6.8760000000000003</v>
      </c>
      <c r="O1261" s="6">
        <v>-6.8760000000000003</v>
      </c>
      <c r="P1261" s="6">
        <v>0</v>
      </c>
      <c r="Q1261" s="4" t="s">
        <v>26</v>
      </c>
      <c r="R1261" s="4">
        <v>0</v>
      </c>
      <c r="S1261" s="6">
        <v>0</v>
      </c>
      <c r="T1261" s="6">
        <v>46</v>
      </c>
      <c r="U1261" s="6">
        <v>83</v>
      </c>
      <c r="V1261" s="6">
        <f>IF(ISERROR(VLOOKUP($S$1261,'TAR FIN'!$A$1:$O$85,15,0)),0,VLOOKUP($S$1261,'TAR FIN'!$A$1:$O$85,15,0))</f>
        <v>0</v>
      </c>
      <c r="W1261" s="6">
        <f>IF(ISERROR(VLOOKUP($T$1261,'TAR FIN'!$A$1:$O$85,15,0)),0,VLOOKUP($T$1261,'TAR FIN'!$A$1:$O$85,15,0))</f>
        <v>178.68</v>
      </c>
      <c r="X1261" s="6">
        <f>IF(ISERROR(VLOOKUP($U$1261,'TAR FIN'!$A$1:$O$85,15,0)),0,VLOOKUP($U$1261,'TAR FIN'!$A$1:$O$85,15,0))</f>
        <v>177.4</v>
      </c>
      <c r="Y1261" s="6"/>
      <c r="Z1261" s="6">
        <f ca="1">('TUSD BE'!$AM$50+'TUSD BF'!$AM$50+'TUSD CVA'!$AM$50)*1</f>
        <v>239.14171008861632</v>
      </c>
      <c r="AA1261" s="6">
        <f>('TE BE'!$AB$40+'TE BF'!$AB$40+'TE CVA'!$AB$40)*1</f>
        <v>175.9747476813518</v>
      </c>
      <c r="AB1261" s="6">
        <f>$K$1261*$V$1261</f>
        <v>0</v>
      </c>
      <c r="AC1261" s="6">
        <f>$M$1261*$W$1261</f>
        <v>-1228.6036800000002</v>
      </c>
      <c r="AD1261" s="6">
        <f>$O$1261*$X$1261</f>
        <v>-1219.8024</v>
      </c>
      <c r="AE1261" s="6">
        <f>$K$1261*$Y$1261</f>
        <v>0</v>
      </c>
      <c r="AF1261" s="6">
        <f ca="1">$M$1261*$Z$1261</f>
        <v>-1644.3383985693258</v>
      </c>
      <c r="AG1261" s="6">
        <f>$O$1261*$AA$1261</f>
        <v>-1210.0023650569751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46F2E-20D5-4A11-8DEE-BDA6E7806E10}">
  <dimension ref="A1:AJ1262"/>
  <sheetViews>
    <sheetView showGridLines="0" topLeftCell="AH1" workbookViewId="0">
      <selection sqref="A1:AF510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27.8554687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.85546875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793</v>
      </c>
      <c r="W1" s="1" t="s">
        <v>794</v>
      </c>
      <c r="X1" s="1" t="s">
        <v>795</v>
      </c>
      <c r="Y1" s="1" t="s">
        <v>796</v>
      </c>
      <c r="Z1" s="1" t="s">
        <v>797</v>
      </c>
      <c r="AA1" s="1" t="s">
        <v>798</v>
      </c>
      <c r="AB1" s="1" t="s">
        <v>840</v>
      </c>
      <c r="AC1" s="1" t="s">
        <v>841</v>
      </c>
      <c r="AD1" s="1" t="s">
        <v>842</v>
      </c>
      <c r="AE1" s="1" t="s">
        <v>843</v>
      </c>
      <c r="AF1" s="1" t="s">
        <v>844</v>
      </c>
      <c r="AH1" s="52" t="s">
        <v>844</v>
      </c>
      <c r="AI1" s="52" t="s">
        <v>851</v>
      </c>
      <c r="AJ1" s="52" t="s">
        <v>852</v>
      </c>
    </row>
    <row r="2" spans="1:36" ht="11.25" customHeight="1" x14ac:dyDescent="0.25">
      <c r="A2" s="4" t="s">
        <v>21</v>
      </c>
      <c r="B2" s="4" t="s">
        <v>39</v>
      </c>
      <c r="C2" s="4" t="s">
        <v>42</v>
      </c>
      <c r="D2" s="4" t="s">
        <v>38</v>
      </c>
      <c r="E2" s="4" t="s">
        <v>25</v>
      </c>
      <c r="F2" s="4" t="s">
        <v>57</v>
      </c>
      <c r="G2" s="4" t="s">
        <v>25</v>
      </c>
      <c r="H2" s="4" t="s">
        <v>35</v>
      </c>
      <c r="I2" s="5">
        <v>44440</v>
      </c>
      <c r="J2" s="6">
        <v>3080</v>
      </c>
      <c r="K2" s="6">
        <v>1540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58</v>
      </c>
      <c r="R2" s="4">
        <v>0</v>
      </c>
      <c r="S2" s="4">
        <v>2</v>
      </c>
      <c r="T2" s="4">
        <v>0</v>
      </c>
      <c r="U2" s="4">
        <v>0</v>
      </c>
      <c r="V2" s="6">
        <f>IF(ISERROR(VLOOKUP($S$2,'TAR FIN'!$A$1:$O$85,15,0)),0,VLOOKUP($S$2,'TAR FIN'!$A$1:$O$85,15,0))</f>
        <v>16.64</v>
      </c>
      <c r="W2" s="6">
        <f>IF(ISERROR(VLOOKUP($T$2,'TAR FIN'!$A$1:$O$85,15,0)),0,VLOOKUP($T$2,'TAR FIN'!$A$1:$O$85,15,0))</f>
        <v>0</v>
      </c>
      <c r="X2" s="6">
        <f>IF(ISERROR(VLOOKUP($U$2,'TAR FIN'!$A$1:$O$85,15,0)),0,VLOOKUP($U$2,'TAR FIN'!$A$1:$O$85,15,0))</f>
        <v>0</v>
      </c>
      <c r="Y2" s="6">
        <f ca="1">('TUSD BE'!$AM$6+'TUSD BF'!$AM$6+'TUSD CVA'!$AM$6)*1</f>
        <v>18.371854423657158</v>
      </c>
      <c r="Z2" s="6">
        <f ca="1">('TUSD BE'!$AM$7+'TUSD BF'!$AM$7+'TUSD CVA'!$AM$7)*1</f>
        <v>147.99431148733765</v>
      </c>
      <c r="AA2" s="6"/>
      <c r="AB2" s="6">
        <f t="shared" ref="AB2:AB37" si="0">(J2-K2)*V2</f>
        <v>25625.600000000002</v>
      </c>
      <c r="AC2" s="6">
        <f t="shared" ref="AC2:AC33" si="1">(L2-M2)*W2+(N2-O2)*X2</f>
        <v>0</v>
      </c>
      <c r="AD2" s="6">
        <f t="shared" ref="AD2:AD37" ca="1" si="2">(J2-K2)*Y2</f>
        <v>28292.655812432022</v>
      </c>
      <c r="AE2" s="6">
        <f t="shared" ref="AE2:AE33" ca="1" si="3">(L2-M2)*Z2+(N2-O2)*AA2</f>
        <v>0</v>
      </c>
      <c r="AF2" s="4" t="s">
        <v>845</v>
      </c>
      <c r="AH2" s="53" t="s">
        <v>845</v>
      </c>
      <c r="AI2" s="54">
        <f t="shared" ref="AI2:AI9" si="4">SUMIF($AF$2:$AF$1262,AH2,$AB$2:$AB$1262)+SUMIF($AF$2:$AF$1262,AH2,$AC$2:$AC$1262)</f>
        <v>7689076.2945189252</v>
      </c>
      <c r="AJ2" s="54">
        <f t="shared" ref="AJ2:AJ9" ca="1" si="5">SUMIF($AF$2:$AF$1262,AH2,$AD$2:$AD$1262)+SUMIF($AF$2:$AF$1262,AH2,$AE$2:$AE$1262)</f>
        <v>8698812.9982325342</v>
      </c>
    </row>
    <row r="3" spans="1:36" ht="11.25" customHeight="1" x14ac:dyDescent="0.25">
      <c r="A3" s="4" t="s">
        <v>21</v>
      </c>
      <c r="B3" s="4" t="s">
        <v>39</v>
      </c>
      <c r="C3" s="4" t="s">
        <v>42</v>
      </c>
      <c r="D3" s="4" t="s">
        <v>38</v>
      </c>
      <c r="E3" s="4" t="s">
        <v>25</v>
      </c>
      <c r="F3" s="4" t="s">
        <v>57</v>
      </c>
      <c r="G3" s="4" t="s">
        <v>25</v>
      </c>
      <c r="H3" s="4" t="s">
        <v>35</v>
      </c>
      <c r="I3" s="5">
        <v>44470</v>
      </c>
      <c r="J3" s="6">
        <v>3080</v>
      </c>
      <c r="K3" s="6">
        <v>1544.62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58</v>
      </c>
      <c r="R3" s="4">
        <v>0</v>
      </c>
      <c r="S3" s="4">
        <v>2</v>
      </c>
      <c r="T3" s="4">
        <v>0</v>
      </c>
      <c r="U3" s="4">
        <v>0</v>
      </c>
      <c r="V3" s="6">
        <f>IF(ISERROR(VLOOKUP($S$3,'TAR FIN'!$A$1:$O$85,15,0)),0,VLOOKUP($S$3,'TAR FIN'!$A$1:$O$85,15,0))</f>
        <v>16.64</v>
      </c>
      <c r="W3" s="6">
        <f>IF(ISERROR(VLOOKUP($T$3,'TAR FIN'!$A$1:$O$85,15,0)),0,VLOOKUP($T$3,'TAR FIN'!$A$1:$O$85,15,0))</f>
        <v>0</v>
      </c>
      <c r="X3" s="6">
        <f>IF(ISERROR(VLOOKUP($U$3,'TAR FIN'!$A$1:$O$85,15,0)),0,VLOOKUP($U$3,'TAR FIN'!$A$1:$O$85,15,0))</f>
        <v>0</v>
      </c>
      <c r="Y3" s="6">
        <f ca="1">('TUSD BE'!$AM$6+'TUSD BF'!$AM$6+'TUSD CVA'!$AM$6)*1</f>
        <v>18.371854423657158</v>
      </c>
      <c r="Z3" s="6">
        <f ca="1">('TUSD BE'!$AM$7+'TUSD BF'!$AM$7+'TUSD CVA'!$AM$7)*1</f>
        <v>147.99431148733765</v>
      </c>
      <c r="AA3" s="6"/>
      <c r="AB3" s="6">
        <f t="shared" si="0"/>
        <v>25548.723200000004</v>
      </c>
      <c r="AC3" s="6">
        <f t="shared" si="1"/>
        <v>0</v>
      </c>
      <c r="AD3" s="6">
        <f t="shared" ca="1" si="2"/>
        <v>28207.777844994729</v>
      </c>
      <c r="AE3" s="6">
        <f t="shared" ca="1" si="3"/>
        <v>0</v>
      </c>
      <c r="AF3" s="4" t="s">
        <v>845</v>
      </c>
      <c r="AH3" s="53" t="s">
        <v>848</v>
      </c>
      <c r="AI3" s="54">
        <f t="shared" si="4"/>
        <v>89885.880000000019</v>
      </c>
      <c r="AJ3" s="54">
        <f t="shared" ca="1" si="5"/>
        <v>95301.999908025173</v>
      </c>
    </row>
    <row r="4" spans="1:36" ht="11.25" customHeight="1" x14ac:dyDescent="0.25">
      <c r="A4" s="4" t="s">
        <v>21</v>
      </c>
      <c r="B4" s="4" t="s">
        <v>39</v>
      </c>
      <c r="C4" s="4" t="s">
        <v>42</v>
      </c>
      <c r="D4" s="4" t="s">
        <v>38</v>
      </c>
      <c r="E4" s="4" t="s">
        <v>25</v>
      </c>
      <c r="F4" s="4" t="s">
        <v>57</v>
      </c>
      <c r="G4" s="4" t="s">
        <v>25</v>
      </c>
      <c r="H4" s="4" t="s">
        <v>35</v>
      </c>
      <c r="I4" s="5">
        <v>44501</v>
      </c>
      <c r="J4" s="6">
        <v>3232</v>
      </c>
      <c r="K4" s="6">
        <v>1618.9087999999999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58</v>
      </c>
      <c r="R4" s="4">
        <v>0</v>
      </c>
      <c r="S4" s="4">
        <v>2</v>
      </c>
      <c r="T4" s="4">
        <v>0</v>
      </c>
      <c r="U4" s="4">
        <v>0</v>
      </c>
      <c r="V4" s="6">
        <f>IF(ISERROR(VLOOKUP($S$4,'TAR FIN'!$A$1:$O$85,15,0)),0,VLOOKUP($S$4,'TAR FIN'!$A$1:$O$85,15,0))</f>
        <v>16.64</v>
      </c>
      <c r="W4" s="6">
        <f>IF(ISERROR(VLOOKUP($T$4,'TAR FIN'!$A$1:$O$85,15,0)),0,VLOOKUP($T$4,'TAR FIN'!$A$1:$O$85,15,0))</f>
        <v>0</v>
      </c>
      <c r="X4" s="6">
        <f>IF(ISERROR(VLOOKUP($U$4,'TAR FIN'!$A$1:$O$85,15,0)),0,VLOOKUP($U$4,'TAR FIN'!$A$1:$O$85,15,0))</f>
        <v>0</v>
      </c>
      <c r="Y4" s="6">
        <f ca="1">('TUSD BE'!$AM$6+'TUSD BF'!$AM$6+'TUSD CVA'!$AM$6)*1</f>
        <v>18.371854423657158</v>
      </c>
      <c r="Z4" s="6">
        <f ca="1">('TUSD BE'!$AM$7+'TUSD BF'!$AM$7+'TUSD CVA'!$AM$7)*1</f>
        <v>147.99431148733765</v>
      </c>
      <c r="AA4" s="6"/>
      <c r="AB4" s="6">
        <f t="shared" si="0"/>
        <v>26841.837568000003</v>
      </c>
      <c r="AC4" s="6">
        <f t="shared" si="1"/>
        <v>0</v>
      </c>
      <c r="AD4" s="6">
        <f t="shared" ca="1" si="2"/>
        <v>29635.476698482435</v>
      </c>
      <c r="AE4" s="6">
        <f t="shared" ca="1" si="3"/>
        <v>0</v>
      </c>
      <c r="AF4" s="4" t="s">
        <v>845</v>
      </c>
      <c r="AH4" s="53" t="s">
        <v>853</v>
      </c>
      <c r="AI4" s="54">
        <f t="shared" si="4"/>
        <v>0</v>
      </c>
      <c r="AJ4" s="54">
        <f t="shared" si="5"/>
        <v>0</v>
      </c>
    </row>
    <row r="5" spans="1:36" ht="11.25" customHeight="1" x14ac:dyDescent="0.25">
      <c r="A5" s="4" t="s">
        <v>21</v>
      </c>
      <c r="B5" s="4" t="s">
        <v>39</v>
      </c>
      <c r="C5" s="4" t="s">
        <v>42</v>
      </c>
      <c r="D5" s="4" t="s">
        <v>38</v>
      </c>
      <c r="E5" s="4" t="s">
        <v>25</v>
      </c>
      <c r="F5" s="4" t="s">
        <v>57</v>
      </c>
      <c r="G5" s="4" t="s">
        <v>25</v>
      </c>
      <c r="H5" s="4" t="s">
        <v>35</v>
      </c>
      <c r="I5" s="5">
        <v>44531</v>
      </c>
      <c r="J5" s="6">
        <v>3080</v>
      </c>
      <c r="K5" s="6">
        <v>1549.24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58</v>
      </c>
      <c r="R5" s="4">
        <v>0</v>
      </c>
      <c r="S5" s="4">
        <v>2</v>
      </c>
      <c r="T5" s="4">
        <v>0</v>
      </c>
      <c r="U5" s="4">
        <v>0</v>
      </c>
      <c r="V5" s="6">
        <f>IF(ISERROR(VLOOKUP($S$5,'TAR FIN'!$A$1:$O$85,15,0)),0,VLOOKUP($S$5,'TAR FIN'!$A$1:$O$85,15,0))</f>
        <v>16.64</v>
      </c>
      <c r="W5" s="6">
        <f>IF(ISERROR(VLOOKUP($T$5,'TAR FIN'!$A$1:$O$85,15,0)),0,VLOOKUP($T$5,'TAR FIN'!$A$1:$O$85,15,0))</f>
        <v>0</v>
      </c>
      <c r="X5" s="6">
        <f>IF(ISERROR(VLOOKUP($U$5,'TAR FIN'!$A$1:$O$85,15,0)),0,VLOOKUP($U$5,'TAR FIN'!$A$1:$O$85,15,0))</f>
        <v>0</v>
      </c>
      <c r="Y5" s="6">
        <f ca="1">('TUSD BE'!$AM$6+'TUSD BF'!$AM$6+'TUSD CVA'!$AM$6)*1</f>
        <v>18.371854423657158</v>
      </c>
      <c r="Z5" s="6">
        <f ca="1">('TUSD BE'!$AM$7+'TUSD BF'!$AM$7+'TUSD CVA'!$AM$7)*1</f>
        <v>147.99431148733765</v>
      </c>
      <c r="AA5" s="6"/>
      <c r="AB5" s="6">
        <f t="shared" si="0"/>
        <v>25471.846400000002</v>
      </c>
      <c r="AC5" s="6">
        <f t="shared" si="1"/>
        <v>0</v>
      </c>
      <c r="AD5" s="6">
        <f t="shared" ca="1" si="2"/>
        <v>28122.899877557433</v>
      </c>
      <c r="AE5" s="6">
        <f t="shared" ca="1" si="3"/>
        <v>0</v>
      </c>
      <c r="AF5" s="4" t="s">
        <v>845</v>
      </c>
      <c r="AH5" s="53" t="s">
        <v>847</v>
      </c>
      <c r="AI5" s="54">
        <f t="shared" si="4"/>
        <v>467854.27509240003</v>
      </c>
      <c r="AJ5" s="54">
        <f t="shared" ca="1" si="5"/>
        <v>270344.96276851656</v>
      </c>
    </row>
    <row r="6" spans="1:36" ht="11.25" customHeight="1" x14ac:dyDescent="0.25">
      <c r="A6" s="4" t="s">
        <v>21</v>
      </c>
      <c r="B6" s="4" t="s">
        <v>39</v>
      </c>
      <c r="C6" s="4" t="s">
        <v>42</v>
      </c>
      <c r="D6" s="4" t="s">
        <v>38</v>
      </c>
      <c r="E6" s="4" t="s">
        <v>25</v>
      </c>
      <c r="F6" s="4" t="s">
        <v>57</v>
      </c>
      <c r="G6" s="4" t="s">
        <v>25</v>
      </c>
      <c r="H6" s="4" t="s">
        <v>35</v>
      </c>
      <c r="I6" s="5">
        <v>44562</v>
      </c>
      <c r="J6" s="6">
        <v>3216</v>
      </c>
      <c r="K6" s="6">
        <v>1612.5024000000001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58</v>
      </c>
      <c r="R6" s="4">
        <v>0</v>
      </c>
      <c r="S6" s="4">
        <v>2</v>
      </c>
      <c r="T6" s="4">
        <v>0</v>
      </c>
      <c r="U6" s="4">
        <v>0</v>
      </c>
      <c r="V6" s="6">
        <f>IF(ISERROR(VLOOKUP($S$6,'TAR FIN'!$A$1:$O$85,15,0)),0,VLOOKUP($S$6,'TAR FIN'!$A$1:$O$85,15,0))</f>
        <v>16.64</v>
      </c>
      <c r="W6" s="6">
        <f>IF(ISERROR(VLOOKUP($T$6,'TAR FIN'!$A$1:$O$85,15,0)),0,VLOOKUP($T$6,'TAR FIN'!$A$1:$O$85,15,0))</f>
        <v>0</v>
      </c>
      <c r="X6" s="6">
        <f>IF(ISERROR(VLOOKUP($U$6,'TAR FIN'!$A$1:$O$85,15,0)),0,VLOOKUP($U$6,'TAR FIN'!$A$1:$O$85,15,0))</f>
        <v>0</v>
      </c>
      <c r="Y6" s="6">
        <f ca="1">('TUSD BE'!$AM$6+'TUSD BF'!$AM$6+'TUSD CVA'!$AM$6)*1</f>
        <v>18.371854423657158</v>
      </c>
      <c r="Z6" s="6">
        <f ca="1">('TUSD BE'!$AM$7+'TUSD BF'!$AM$7+'TUSD CVA'!$AM$7)*1</f>
        <v>147.99431148733765</v>
      </c>
      <c r="AA6" s="6"/>
      <c r="AB6" s="6">
        <f t="shared" si="0"/>
        <v>26682.200064000001</v>
      </c>
      <c r="AC6" s="6">
        <f t="shared" si="1"/>
        <v>0</v>
      </c>
      <c r="AD6" s="6">
        <f t="shared" ca="1" si="2"/>
        <v>29459.224475883635</v>
      </c>
      <c r="AE6" s="6">
        <f t="shared" ca="1" si="3"/>
        <v>0</v>
      </c>
      <c r="AF6" s="4" t="s">
        <v>845</v>
      </c>
      <c r="AH6" s="53" t="s">
        <v>846</v>
      </c>
      <c r="AI6" s="54">
        <f t="shared" si="4"/>
        <v>9316027.5094185732</v>
      </c>
      <c r="AJ6" s="54">
        <f t="shared" ca="1" si="5"/>
        <v>5430203.3113522064</v>
      </c>
    </row>
    <row r="7" spans="1:36" ht="11.25" customHeight="1" x14ac:dyDescent="0.25">
      <c r="A7" s="4" t="s">
        <v>21</v>
      </c>
      <c r="B7" s="4" t="s">
        <v>39</v>
      </c>
      <c r="C7" s="4" t="s">
        <v>42</v>
      </c>
      <c r="D7" s="4" t="s">
        <v>38</v>
      </c>
      <c r="E7" s="4" t="s">
        <v>25</v>
      </c>
      <c r="F7" s="4" t="s">
        <v>57</v>
      </c>
      <c r="G7" s="4" t="s">
        <v>25</v>
      </c>
      <c r="H7" s="4" t="s">
        <v>35</v>
      </c>
      <c r="I7" s="5">
        <v>44593</v>
      </c>
      <c r="J7" s="6">
        <v>3097</v>
      </c>
      <c r="K7" s="6">
        <v>1555.6231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58</v>
      </c>
      <c r="R7" s="4">
        <v>0</v>
      </c>
      <c r="S7" s="4">
        <v>2</v>
      </c>
      <c r="T7" s="4">
        <v>0</v>
      </c>
      <c r="U7" s="4">
        <v>0</v>
      </c>
      <c r="V7" s="6">
        <f>IF(ISERROR(VLOOKUP($S$7,'TAR FIN'!$A$1:$O$85,15,0)),0,VLOOKUP($S$7,'TAR FIN'!$A$1:$O$85,15,0))</f>
        <v>16.64</v>
      </c>
      <c r="W7" s="6">
        <f>IF(ISERROR(VLOOKUP($T$7,'TAR FIN'!$A$1:$O$85,15,0)),0,VLOOKUP($T$7,'TAR FIN'!$A$1:$O$85,15,0))</f>
        <v>0</v>
      </c>
      <c r="X7" s="6">
        <f>IF(ISERROR(VLOOKUP($U$7,'TAR FIN'!$A$1:$O$85,15,0)),0,VLOOKUP($U$7,'TAR FIN'!$A$1:$O$85,15,0))</f>
        <v>0</v>
      </c>
      <c r="Y7" s="6">
        <f ca="1">('TUSD BE'!$AM$6+'TUSD BF'!$AM$6+'TUSD CVA'!$AM$6)*1</f>
        <v>18.371854423657158</v>
      </c>
      <c r="Z7" s="6">
        <f ca="1">('TUSD BE'!$AM$7+'TUSD BF'!$AM$7+'TUSD CVA'!$AM$7)*1</f>
        <v>147.99431148733765</v>
      </c>
      <c r="AA7" s="6"/>
      <c r="AB7" s="6">
        <f t="shared" si="0"/>
        <v>25648.511616</v>
      </c>
      <c r="AC7" s="6">
        <f t="shared" si="1"/>
        <v>0</v>
      </c>
      <c r="AD7" s="6">
        <f t="shared" ca="1" si="2"/>
        <v>28317.952018787957</v>
      </c>
      <c r="AE7" s="6">
        <f t="shared" ca="1" si="3"/>
        <v>0</v>
      </c>
      <c r="AF7" s="4" t="s">
        <v>845</v>
      </c>
      <c r="AH7" s="53" t="s">
        <v>850</v>
      </c>
      <c r="AI7" s="54">
        <f t="shared" si="4"/>
        <v>28840133.298073415</v>
      </c>
      <c r="AJ7" s="54">
        <f t="shared" ca="1" si="5"/>
        <v>32621030.784902319</v>
      </c>
    </row>
    <row r="8" spans="1:36" ht="11.25" customHeight="1" x14ac:dyDescent="0.25">
      <c r="A8" s="4" t="s">
        <v>21</v>
      </c>
      <c r="B8" s="4" t="s">
        <v>39</v>
      </c>
      <c r="C8" s="4" t="s">
        <v>42</v>
      </c>
      <c r="D8" s="4" t="s">
        <v>38</v>
      </c>
      <c r="E8" s="4" t="s">
        <v>25</v>
      </c>
      <c r="F8" s="4" t="s">
        <v>57</v>
      </c>
      <c r="G8" s="4" t="s">
        <v>25</v>
      </c>
      <c r="H8" s="4" t="s">
        <v>35</v>
      </c>
      <c r="I8" s="5">
        <v>44621</v>
      </c>
      <c r="J8" s="6">
        <v>3232</v>
      </c>
      <c r="K8" s="6">
        <v>1619.5552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58</v>
      </c>
      <c r="R8" s="4">
        <v>0</v>
      </c>
      <c r="S8" s="4">
        <v>2</v>
      </c>
      <c r="T8" s="4">
        <v>0</v>
      </c>
      <c r="U8" s="4">
        <v>0</v>
      </c>
      <c r="V8" s="6">
        <f>IF(ISERROR(VLOOKUP($S$8,'TAR FIN'!$A$1:$O$85,15,0)),0,VLOOKUP($S$8,'TAR FIN'!$A$1:$O$85,15,0))</f>
        <v>16.64</v>
      </c>
      <c r="W8" s="6">
        <f>IF(ISERROR(VLOOKUP($T$8,'TAR FIN'!$A$1:$O$85,15,0)),0,VLOOKUP($T$8,'TAR FIN'!$A$1:$O$85,15,0))</f>
        <v>0</v>
      </c>
      <c r="X8" s="6">
        <f>IF(ISERROR(VLOOKUP($U$8,'TAR FIN'!$A$1:$O$85,15,0)),0,VLOOKUP($U$8,'TAR FIN'!$A$1:$O$85,15,0))</f>
        <v>0</v>
      </c>
      <c r="Y8" s="6">
        <f ca="1">('TUSD BE'!$AM$6+'TUSD BF'!$AM$6+'TUSD CVA'!$AM$6)*1</f>
        <v>18.371854423657158</v>
      </c>
      <c r="Z8" s="6">
        <f ca="1">('TUSD BE'!$AM$7+'TUSD BF'!$AM$7+'TUSD CVA'!$AM$7)*1</f>
        <v>147.99431148733765</v>
      </c>
      <c r="AA8" s="6"/>
      <c r="AB8" s="6">
        <f t="shared" si="0"/>
        <v>26831.081472000002</v>
      </c>
      <c r="AC8" s="6">
        <f t="shared" si="1"/>
        <v>0</v>
      </c>
      <c r="AD8" s="6">
        <f t="shared" ca="1" si="2"/>
        <v>29623.60113178298</v>
      </c>
      <c r="AE8" s="6">
        <f t="shared" ca="1" si="3"/>
        <v>0</v>
      </c>
      <c r="AF8" s="4" t="s">
        <v>845</v>
      </c>
      <c r="AH8" s="53" t="s">
        <v>849</v>
      </c>
      <c r="AI8" s="54">
        <f t="shared" si="4"/>
        <v>3922854.1359699992</v>
      </c>
      <c r="AJ8" s="54">
        <f t="shared" ca="1" si="5"/>
        <v>4094787.2321616481</v>
      </c>
    </row>
    <row r="9" spans="1:36" ht="11.25" customHeight="1" x14ac:dyDescent="0.25">
      <c r="A9" s="4" t="s">
        <v>21</v>
      </c>
      <c r="B9" s="4" t="s">
        <v>39</v>
      </c>
      <c r="C9" s="4" t="s">
        <v>42</v>
      </c>
      <c r="D9" s="4" t="s">
        <v>38</v>
      </c>
      <c r="E9" s="4" t="s">
        <v>25</v>
      </c>
      <c r="F9" s="4" t="s">
        <v>57</v>
      </c>
      <c r="G9" s="4" t="s">
        <v>25</v>
      </c>
      <c r="H9" s="4" t="s">
        <v>35</v>
      </c>
      <c r="I9" s="5">
        <v>44652</v>
      </c>
      <c r="J9" s="6">
        <v>3296</v>
      </c>
      <c r="K9" s="6">
        <v>1662.5024000000001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58</v>
      </c>
      <c r="R9" s="4">
        <v>0</v>
      </c>
      <c r="S9" s="4">
        <v>2</v>
      </c>
      <c r="T9" s="4">
        <v>0</v>
      </c>
      <c r="U9" s="4">
        <v>0</v>
      </c>
      <c r="V9" s="6">
        <f>IF(ISERROR(VLOOKUP($S$9,'TAR FIN'!$A$1:$O$85,15,0)),0,VLOOKUP($S$9,'TAR FIN'!$A$1:$O$85,15,0))</f>
        <v>16.64</v>
      </c>
      <c r="W9" s="6">
        <f>IF(ISERROR(VLOOKUP($T$9,'TAR FIN'!$A$1:$O$85,15,0)),0,VLOOKUP($T$9,'TAR FIN'!$A$1:$O$85,15,0))</f>
        <v>0</v>
      </c>
      <c r="X9" s="6">
        <f>IF(ISERROR(VLOOKUP($U$9,'TAR FIN'!$A$1:$O$85,15,0)),0,VLOOKUP($U$9,'TAR FIN'!$A$1:$O$85,15,0))</f>
        <v>0</v>
      </c>
      <c r="Y9" s="6">
        <f ca="1">('TUSD BE'!$AM$6+'TUSD BF'!$AM$6+'TUSD CVA'!$AM$6)*1</f>
        <v>18.371854423657158</v>
      </c>
      <c r="Z9" s="6">
        <f ca="1">('TUSD BE'!$AM$7+'TUSD BF'!$AM$7+'TUSD CVA'!$AM$7)*1</f>
        <v>147.99431148733765</v>
      </c>
      <c r="AA9" s="6"/>
      <c r="AB9" s="6">
        <f t="shared" si="0"/>
        <v>27181.400064000001</v>
      </c>
      <c r="AC9" s="6">
        <f t="shared" si="1"/>
        <v>0</v>
      </c>
      <c r="AD9" s="6">
        <f t="shared" ca="1" si="2"/>
        <v>30010.380108593348</v>
      </c>
      <c r="AE9" s="6">
        <f t="shared" ca="1" si="3"/>
        <v>0</v>
      </c>
      <c r="AF9" s="4" t="s">
        <v>845</v>
      </c>
      <c r="AH9" s="53" t="s">
        <v>854</v>
      </c>
      <c r="AI9" s="54">
        <f t="shared" si="4"/>
        <v>0</v>
      </c>
      <c r="AJ9" s="54">
        <f t="shared" si="5"/>
        <v>0</v>
      </c>
    </row>
    <row r="10" spans="1:36" ht="11.25" customHeight="1" x14ac:dyDescent="0.25">
      <c r="A10" s="4" t="s">
        <v>21</v>
      </c>
      <c r="B10" s="4" t="s">
        <v>39</v>
      </c>
      <c r="C10" s="4" t="s">
        <v>42</v>
      </c>
      <c r="D10" s="4" t="s">
        <v>38</v>
      </c>
      <c r="E10" s="4" t="s">
        <v>25</v>
      </c>
      <c r="F10" s="4" t="s">
        <v>57</v>
      </c>
      <c r="G10" s="4" t="s">
        <v>25</v>
      </c>
      <c r="H10" s="4" t="s">
        <v>35</v>
      </c>
      <c r="I10" s="5">
        <v>44682</v>
      </c>
      <c r="J10" s="6">
        <v>3378</v>
      </c>
      <c r="K10" s="6">
        <v>1695.4182000000001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58</v>
      </c>
      <c r="R10" s="4">
        <v>0</v>
      </c>
      <c r="S10" s="4">
        <v>2</v>
      </c>
      <c r="T10" s="4">
        <v>0</v>
      </c>
      <c r="U10" s="4">
        <v>0</v>
      </c>
      <c r="V10" s="6">
        <f>IF(ISERROR(VLOOKUP($S$10,'TAR FIN'!$A$1:$O$85,15,0)),0,VLOOKUP($S$10,'TAR FIN'!$A$1:$O$85,15,0))</f>
        <v>16.64</v>
      </c>
      <c r="W10" s="6">
        <f>IF(ISERROR(VLOOKUP($T$10,'TAR FIN'!$A$1:$O$85,15,0)),0,VLOOKUP($T$10,'TAR FIN'!$A$1:$O$85,15,0))</f>
        <v>0</v>
      </c>
      <c r="X10" s="6">
        <f>IF(ISERROR(VLOOKUP($U$10,'TAR FIN'!$A$1:$O$85,15,0)),0,VLOOKUP($U$10,'TAR FIN'!$A$1:$O$85,15,0))</f>
        <v>0</v>
      </c>
      <c r="Y10" s="6">
        <f ca="1">('TUSD BE'!$AM$6+'TUSD BF'!$AM$6+'TUSD CVA'!$AM$6)*1</f>
        <v>18.371854423657158</v>
      </c>
      <c r="Z10" s="6">
        <f ca="1">('TUSD BE'!$AM$7+'TUSD BF'!$AM$7+'TUSD CVA'!$AM$7)*1</f>
        <v>147.99431148733765</v>
      </c>
      <c r="AA10" s="6"/>
      <c r="AB10" s="6">
        <f t="shared" si="0"/>
        <v>27998.161152000001</v>
      </c>
      <c r="AC10" s="6">
        <f t="shared" si="1"/>
        <v>0</v>
      </c>
      <c r="AD10" s="6">
        <f t="shared" ca="1" si="2"/>
        <v>30912.147885495022</v>
      </c>
      <c r="AE10" s="6">
        <f t="shared" ca="1" si="3"/>
        <v>0</v>
      </c>
      <c r="AF10" s="4" t="s">
        <v>845</v>
      </c>
    </row>
    <row r="11" spans="1:36" ht="11.25" customHeight="1" x14ac:dyDescent="0.25">
      <c r="A11" s="4" t="s">
        <v>21</v>
      </c>
      <c r="B11" s="4" t="s">
        <v>39</v>
      </c>
      <c r="C11" s="4" t="s">
        <v>42</v>
      </c>
      <c r="D11" s="4" t="s">
        <v>38</v>
      </c>
      <c r="E11" s="4" t="s">
        <v>25</v>
      </c>
      <c r="F11" s="4" t="s">
        <v>57</v>
      </c>
      <c r="G11" s="4" t="s">
        <v>25</v>
      </c>
      <c r="H11" s="4" t="s">
        <v>35</v>
      </c>
      <c r="I11" s="5">
        <v>44713</v>
      </c>
      <c r="J11" s="6">
        <v>3302</v>
      </c>
      <c r="K11" s="6">
        <v>1653.9718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58</v>
      </c>
      <c r="R11" s="4">
        <v>0</v>
      </c>
      <c r="S11" s="4">
        <v>2</v>
      </c>
      <c r="T11" s="4">
        <v>0</v>
      </c>
      <c r="U11" s="4">
        <v>0</v>
      </c>
      <c r="V11" s="6">
        <f>IF(ISERROR(VLOOKUP($S$11,'TAR FIN'!$A$1:$O$85,15,0)),0,VLOOKUP($S$11,'TAR FIN'!$A$1:$O$85,15,0))</f>
        <v>16.64</v>
      </c>
      <c r="W11" s="6">
        <f>IF(ISERROR(VLOOKUP($T$11,'TAR FIN'!$A$1:$O$85,15,0)),0,VLOOKUP($T$11,'TAR FIN'!$A$1:$O$85,15,0))</f>
        <v>0</v>
      </c>
      <c r="X11" s="6">
        <f>IF(ISERROR(VLOOKUP($U$11,'TAR FIN'!$A$1:$O$85,15,0)),0,VLOOKUP($U$11,'TAR FIN'!$A$1:$O$85,15,0))</f>
        <v>0</v>
      </c>
      <c r="Y11" s="6">
        <f ca="1">('TUSD BE'!$AM$6+'TUSD BF'!$AM$6+'TUSD CVA'!$AM$6)*1</f>
        <v>18.371854423657158</v>
      </c>
      <c r="Z11" s="6">
        <f ca="1">('TUSD BE'!$AM$7+'TUSD BF'!$AM$7+'TUSD CVA'!$AM$7)*1</f>
        <v>147.99431148733765</v>
      </c>
      <c r="AA11" s="6"/>
      <c r="AB11" s="6">
        <f t="shared" si="0"/>
        <v>27423.189247999999</v>
      </c>
      <c r="AC11" s="6">
        <f t="shared" si="1"/>
        <v>0</v>
      </c>
      <c r="AD11" s="6">
        <f t="shared" ca="1" si="2"/>
        <v>30277.334176481741</v>
      </c>
      <c r="AE11" s="6">
        <f t="shared" ca="1" si="3"/>
        <v>0</v>
      </c>
      <c r="AF11" s="4" t="s">
        <v>845</v>
      </c>
    </row>
    <row r="12" spans="1:36" ht="11.25" customHeight="1" x14ac:dyDescent="0.25">
      <c r="A12" s="4" t="s">
        <v>21</v>
      </c>
      <c r="B12" s="4" t="s">
        <v>39</v>
      </c>
      <c r="C12" s="4" t="s">
        <v>42</v>
      </c>
      <c r="D12" s="4" t="s">
        <v>38</v>
      </c>
      <c r="E12" s="4" t="s">
        <v>25</v>
      </c>
      <c r="F12" s="4" t="s">
        <v>57</v>
      </c>
      <c r="G12" s="4" t="s">
        <v>25</v>
      </c>
      <c r="H12" s="4" t="s">
        <v>35</v>
      </c>
      <c r="I12" s="5">
        <v>44743</v>
      </c>
      <c r="J12" s="6">
        <v>3300</v>
      </c>
      <c r="K12" s="6">
        <v>1663.2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58</v>
      </c>
      <c r="R12" s="4">
        <v>0</v>
      </c>
      <c r="S12" s="4">
        <v>2</v>
      </c>
      <c r="T12" s="4">
        <v>0</v>
      </c>
      <c r="U12" s="4">
        <v>0</v>
      </c>
      <c r="V12" s="6">
        <f>IF(ISERROR(VLOOKUP($S$12,'TAR FIN'!$A$1:$O$85,15,0)),0,VLOOKUP($S$12,'TAR FIN'!$A$1:$O$85,15,0))</f>
        <v>16.64</v>
      </c>
      <c r="W12" s="6">
        <f>IF(ISERROR(VLOOKUP($T$12,'TAR FIN'!$A$1:$O$85,15,0)),0,VLOOKUP($T$12,'TAR FIN'!$A$1:$O$85,15,0))</f>
        <v>0</v>
      </c>
      <c r="X12" s="6">
        <f>IF(ISERROR(VLOOKUP($U$12,'TAR FIN'!$A$1:$O$85,15,0)),0,VLOOKUP($U$12,'TAR FIN'!$A$1:$O$85,15,0))</f>
        <v>0</v>
      </c>
      <c r="Y12" s="6">
        <f ca="1">('TUSD BE'!$AM$6+'TUSD BF'!$AM$6+'TUSD CVA'!$AM$6)*1</f>
        <v>18.371854423657158</v>
      </c>
      <c r="Z12" s="6">
        <f ca="1">('TUSD BE'!$AM$7+'TUSD BF'!$AM$7+'TUSD CVA'!$AM$7)*1</f>
        <v>147.99431148733765</v>
      </c>
      <c r="AA12" s="6"/>
      <c r="AB12" s="6">
        <f t="shared" si="0"/>
        <v>27236.351999999999</v>
      </c>
      <c r="AC12" s="6">
        <f t="shared" si="1"/>
        <v>0</v>
      </c>
      <c r="AD12" s="6">
        <f t="shared" ca="1" si="2"/>
        <v>30071.051320642036</v>
      </c>
      <c r="AE12" s="6">
        <f t="shared" ca="1" si="3"/>
        <v>0</v>
      </c>
      <c r="AF12" s="4" t="s">
        <v>845</v>
      </c>
    </row>
    <row r="13" spans="1:36" ht="11.25" customHeight="1" x14ac:dyDescent="0.25">
      <c r="A13" s="4" t="s">
        <v>56</v>
      </c>
      <c r="B13" s="4" t="s">
        <v>39</v>
      </c>
      <c r="C13" s="4" t="s">
        <v>42</v>
      </c>
      <c r="D13" s="4" t="s">
        <v>38</v>
      </c>
      <c r="E13" s="4" t="s">
        <v>25</v>
      </c>
      <c r="F13" s="4" t="s">
        <v>57</v>
      </c>
      <c r="G13" s="4" t="s">
        <v>25</v>
      </c>
      <c r="H13" s="4" t="s">
        <v>35</v>
      </c>
      <c r="I13" s="5">
        <v>44774</v>
      </c>
      <c r="J13" s="6">
        <v>3300</v>
      </c>
      <c r="K13" s="6">
        <v>1663.2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58</v>
      </c>
      <c r="R13" s="4">
        <v>0</v>
      </c>
      <c r="S13" s="4">
        <v>2</v>
      </c>
      <c r="T13" s="4">
        <v>0</v>
      </c>
      <c r="U13" s="4">
        <v>0</v>
      </c>
      <c r="V13" s="6">
        <f>IF(ISERROR(VLOOKUP($S$13,'TAR FIN'!$A$1:$O$85,15,0)),0,VLOOKUP($S$13,'TAR FIN'!$A$1:$O$85,15,0))</f>
        <v>16.64</v>
      </c>
      <c r="W13" s="6">
        <f>IF(ISERROR(VLOOKUP($T$13,'TAR FIN'!$A$1:$O$85,15,0)),0,VLOOKUP($T$13,'TAR FIN'!$A$1:$O$85,15,0))</f>
        <v>0</v>
      </c>
      <c r="X13" s="6">
        <f>IF(ISERROR(VLOOKUP($U$13,'TAR FIN'!$A$1:$O$85,15,0)),0,VLOOKUP($U$13,'TAR FIN'!$A$1:$O$85,15,0))</f>
        <v>0</v>
      </c>
      <c r="Y13" s="6">
        <f ca="1">('TUSD BE'!$AM$6+'TUSD BF'!$AM$6+'TUSD CVA'!$AM$6)*1</f>
        <v>18.371854423657158</v>
      </c>
      <c r="Z13" s="6">
        <f ca="1">('TUSD BE'!$AM$7+'TUSD BF'!$AM$7+'TUSD CVA'!$AM$7)*1</f>
        <v>147.99431148733765</v>
      </c>
      <c r="AA13" s="6"/>
      <c r="AB13" s="6">
        <f t="shared" si="0"/>
        <v>27236.351999999999</v>
      </c>
      <c r="AC13" s="6">
        <f t="shared" si="1"/>
        <v>0</v>
      </c>
      <c r="AD13" s="6">
        <f t="shared" ca="1" si="2"/>
        <v>30071.051320642036</v>
      </c>
      <c r="AE13" s="6">
        <f t="shared" ca="1" si="3"/>
        <v>0</v>
      </c>
      <c r="AF13" s="4" t="s">
        <v>845</v>
      </c>
    </row>
    <row r="14" spans="1:36" ht="11.25" customHeight="1" x14ac:dyDescent="0.25">
      <c r="A14" s="4" t="s">
        <v>21</v>
      </c>
      <c r="B14" s="4" t="s">
        <v>39</v>
      </c>
      <c r="C14" s="4" t="s">
        <v>42</v>
      </c>
      <c r="D14" s="4" t="s">
        <v>38</v>
      </c>
      <c r="E14" s="4" t="s">
        <v>25</v>
      </c>
      <c r="F14" s="4" t="s">
        <v>57</v>
      </c>
      <c r="G14" s="4" t="s">
        <v>25</v>
      </c>
      <c r="H14" s="4" t="s">
        <v>25</v>
      </c>
      <c r="I14" s="5">
        <v>44440</v>
      </c>
      <c r="J14" s="6">
        <v>0</v>
      </c>
      <c r="K14" s="6">
        <v>0</v>
      </c>
      <c r="L14" s="6">
        <v>1381.643</v>
      </c>
      <c r="M14" s="6">
        <v>1381.643</v>
      </c>
      <c r="N14" s="6">
        <v>0</v>
      </c>
      <c r="O14" s="6">
        <v>0</v>
      </c>
      <c r="P14" s="6">
        <v>1</v>
      </c>
      <c r="Q14" s="4" t="s">
        <v>58</v>
      </c>
      <c r="R14" s="4">
        <v>0</v>
      </c>
      <c r="S14" s="4">
        <v>0</v>
      </c>
      <c r="T14" s="4">
        <v>3</v>
      </c>
      <c r="U14" s="4">
        <v>0</v>
      </c>
      <c r="V14" s="6">
        <f>IF(ISERROR(VLOOKUP($S$14,'TAR FIN'!$A$1:$O$85,15,0)),0,VLOOKUP($S$14,'TAR FIN'!$A$1:$O$85,15,0))</f>
        <v>0</v>
      </c>
      <c r="W14" s="6">
        <f>IF(ISERROR(VLOOKUP($T$14,'TAR FIN'!$A$1:$O$85,15,0)),0,VLOOKUP($T$14,'TAR FIN'!$A$1:$O$85,15,0))</f>
        <v>76.75</v>
      </c>
      <c r="X14" s="6">
        <f>IF(ISERROR(VLOOKUP($U$14,'TAR FIN'!$A$1:$O$85,15,0)),0,VLOOKUP($U$14,'TAR FIN'!$A$1:$O$85,15,0))</f>
        <v>0</v>
      </c>
      <c r="Y14" s="6"/>
      <c r="Z14" s="6">
        <f ca="1">('TUSD BE'!$AM$7+'TUSD BF'!$AM$7+'TUSD CVA'!$AM$7)*1</f>
        <v>147.99431148733765</v>
      </c>
      <c r="AA14" s="6"/>
      <c r="AB14" s="6">
        <f t="shared" si="0"/>
        <v>0</v>
      </c>
      <c r="AC14" s="6">
        <f t="shared" si="1"/>
        <v>0</v>
      </c>
      <c r="AD14" s="6">
        <f t="shared" si="2"/>
        <v>0</v>
      </c>
      <c r="AE14" s="6">
        <f t="shared" ca="1" si="3"/>
        <v>0</v>
      </c>
      <c r="AF14" s="4" t="s">
        <v>845</v>
      </c>
    </row>
    <row r="15" spans="1:36" ht="11.25" customHeight="1" x14ac:dyDescent="0.25">
      <c r="A15" s="4" t="s">
        <v>21</v>
      </c>
      <c r="B15" s="4" t="s">
        <v>39</v>
      </c>
      <c r="C15" s="4" t="s">
        <v>42</v>
      </c>
      <c r="D15" s="4" t="s">
        <v>38</v>
      </c>
      <c r="E15" s="4" t="s">
        <v>25</v>
      </c>
      <c r="F15" s="4" t="s">
        <v>57</v>
      </c>
      <c r="G15" s="4" t="s">
        <v>25</v>
      </c>
      <c r="H15" s="4" t="s">
        <v>25</v>
      </c>
      <c r="I15" s="5">
        <v>44470</v>
      </c>
      <c r="J15" s="6">
        <v>0</v>
      </c>
      <c r="K15" s="6">
        <v>0</v>
      </c>
      <c r="L15" s="6">
        <v>1397.3150000000001</v>
      </c>
      <c r="M15" s="6">
        <v>1397.3150000000001</v>
      </c>
      <c r="N15" s="6">
        <v>0</v>
      </c>
      <c r="O15" s="6">
        <v>0</v>
      </c>
      <c r="P15" s="6">
        <v>1</v>
      </c>
      <c r="Q15" s="4" t="s">
        <v>58</v>
      </c>
      <c r="R15" s="4">
        <v>0</v>
      </c>
      <c r="S15" s="4">
        <v>0</v>
      </c>
      <c r="T15" s="4">
        <v>3</v>
      </c>
      <c r="U15" s="4">
        <v>0</v>
      </c>
      <c r="V15" s="6">
        <f>IF(ISERROR(VLOOKUP($S$15,'TAR FIN'!$A$1:$O$85,15,0)),0,VLOOKUP($S$15,'TAR FIN'!$A$1:$O$85,15,0))</f>
        <v>0</v>
      </c>
      <c r="W15" s="6">
        <f>IF(ISERROR(VLOOKUP($T$15,'TAR FIN'!$A$1:$O$85,15,0)),0,VLOOKUP($T$15,'TAR FIN'!$A$1:$O$85,15,0))</f>
        <v>76.75</v>
      </c>
      <c r="X15" s="6">
        <f>IF(ISERROR(VLOOKUP($U$15,'TAR FIN'!$A$1:$O$85,15,0)),0,VLOOKUP($U$15,'TAR FIN'!$A$1:$O$85,15,0))</f>
        <v>0</v>
      </c>
      <c r="Y15" s="6"/>
      <c r="Z15" s="6">
        <f ca="1">('TUSD BE'!$AM$7+'TUSD BF'!$AM$7+'TUSD CVA'!$AM$7)*1</f>
        <v>147.99431148733765</v>
      </c>
      <c r="AA15" s="6"/>
      <c r="AB15" s="6">
        <f t="shared" si="0"/>
        <v>0</v>
      </c>
      <c r="AC15" s="6">
        <f t="shared" si="1"/>
        <v>0</v>
      </c>
      <c r="AD15" s="6">
        <f t="shared" si="2"/>
        <v>0</v>
      </c>
      <c r="AE15" s="6">
        <f t="shared" ca="1" si="3"/>
        <v>0</v>
      </c>
      <c r="AF15" s="4" t="s">
        <v>845</v>
      </c>
    </row>
    <row r="16" spans="1:36" ht="11.25" customHeight="1" x14ac:dyDescent="0.25">
      <c r="A16" s="4" t="s">
        <v>21</v>
      </c>
      <c r="B16" s="4" t="s">
        <v>39</v>
      </c>
      <c r="C16" s="4" t="s">
        <v>42</v>
      </c>
      <c r="D16" s="4" t="s">
        <v>38</v>
      </c>
      <c r="E16" s="4" t="s">
        <v>25</v>
      </c>
      <c r="F16" s="4" t="s">
        <v>57</v>
      </c>
      <c r="G16" s="4" t="s">
        <v>25</v>
      </c>
      <c r="H16" s="4" t="s">
        <v>25</v>
      </c>
      <c r="I16" s="5">
        <v>44501</v>
      </c>
      <c r="J16" s="6">
        <v>0</v>
      </c>
      <c r="K16" s="6">
        <v>0</v>
      </c>
      <c r="L16" s="6">
        <v>1422.104</v>
      </c>
      <c r="M16" s="6">
        <v>1422.104</v>
      </c>
      <c r="N16" s="6">
        <v>0</v>
      </c>
      <c r="O16" s="6">
        <v>0</v>
      </c>
      <c r="P16" s="6">
        <v>1</v>
      </c>
      <c r="Q16" s="4" t="s">
        <v>58</v>
      </c>
      <c r="R16" s="4">
        <v>0</v>
      </c>
      <c r="S16" s="4">
        <v>0</v>
      </c>
      <c r="T16" s="4">
        <v>3</v>
      </c>
      <c r="U16" s="4">
        <v>0</v>
      </c>
      <c r="V16" s="6">
        <f>IF(ISERROR(VLOOKUP($S$16,'TAR FIN'!$A$1:$O$85,15,0)),0,VLOOKUP($S$16,'TAR FIN'!$A$1:$O$85,15,0))</f>
        <v>0</v>
      </c>
      <c r="W16" s="6">
        <f>IF(ISERROR(VLOOKUP($T$16,'TAR FIN'!$A$1:$O$85,15,0)),0,VLOOKUP($T$16,'TAR FIN'!$A$1:$O$85,15,0))</f>
        <v>76.75</v>
      </c>
      <c r="X16" s="6">
        <f>IF(ISERROR(VLOOKUP($U$16,'TAR FIN'!$A$1:$O$85,15,0)),0,VLOOKUP($U$16,'TAR FIN'!$A$1:$O$85,15,0))</f>
        <v>0</v>
      </c>
      <c r="Y16" s="6"/>
      <c r="Z16" s="6">
        <f ca="1">('TUSD BE'!$AM$7+'TUSD BF'!$AM$7+'TUSD CVA'!$AM$7)*1</f>
        <v>147.99431148733765</v>
      </c>
      <c r="AA16" s="6"/>
      <c r="AB16" s="6">
        <f t="shared" si="0"/>
        <v>0</v>
      </c>
      <c r="AC16" s="6">
        <f t="shared" si="1"/>
        <v>0</v>
      </c>
      <c r="AD16" s="6">
        <f t="shared" si="2"/>
        <v>0</v>
      </c>
      <c r="AE16" s="6">
        <f t="shared" ca="1" si="3"/>
        <v>0</v>
      </c>
      <c r="AF16" s="4" t="s">
        <v>845</v>
      </c>
    </row>
    <row r="17" spans="1:32" ht="11.25" customHeight="1" x14ac:dyDescent="0.25">
      <c r="A17" s="4" t="s">
        <v>21</v>
      </c>
      <c r="B17" s="4" t="s">
        <v>39</v>
      </c>
      <c r="C17" s="4" t="s">
        <v>42</v>
      </c>
      <c r="D17" s="4" t="s">
        <v>38</v>
      </c>
      <c r="E17" s="4" t="s">
        <v>25</v>
      </c>
      <c r="F17" s="4" t="s">
        <v>57</v>
      </c>
      <c r="G17" s="4" t="s">
        <v>25</v>
      </c>
      <c r="H17" s="4" t="s">
        <v>25</v>
      </c>
      <c r="I17" s="5">
        <v>44531</v>
      </c>
      <c r="J17" s="6">
        <v>0</v>
      </c>
      <c r="K17" s="6">
        <v>0</v>
      </c>
      <c r="L17" s="6">
        <v>1390.7560000000001</v>
      </c>
      <c r="M17" s="6">
        <v>1390.7560000000001</v>
      </c>
      <c r="N17" s="6">
        <v>0</v>
      </c>
      <c r="O17" s="6">
        <v>0</v>
      </c>
      <c r="P17" s="6">
        <v>1</v>
      </c>
      <c r="Q17" s="4" t="s">
        <v>58</v>
      </c>
      <c r="R17" s="4">
        <v>0</v>
      </c>
      <c r="S17" s="4">
        <v>0</v>
      </c>
      <c r="T17" s="4">
        <v>3</v>
      </c>
      <c r="U17" s="4">
        <v>0</v>
      </c>
      <c r="V17" s="6">
        <f>IF(ISERROR(VLOOKUP($S$17,'TAR FIN'!$A$1:$O$85,15,0)),0,VLOOKUP($S$17,'TAR FIN'!$A$1:$O$85,15,0))</f>
        <v>0</v>
      </c>
      <c r="W17" s="6">
        <f>IF(ISERROR(VLOOKUP($T$17,'TAR FIN'!$A$1:$O$85,15,0)),0,VLOOKUP($T$17,'TAR FIN'!$A$1:$O$85,15,0))</f>
        <v>76.75</v>
      </c>
      <c r="X17" s="6">
        <f>IF(ISERROR(VLOOKUP($U$17,'TAR FIN'!$A$1:$O$85,15,0)),0,VLOOKUP($U$17,'TAR FIN'!$A$1:$O$85,15,0))</f>
        <v>0</v>
      </c>
      <c r="Y17" s="6"/>
      <c r="Z17" s="6">
        <f ca="1">('TUSD BE'!$AM$7+'TUSD BF'!$AM$7+'TUSD CVA'!$AM$7)*1</f>
        <v>147.99431148733765</v>
      </c>
      <c r="AA17" s="6"/>
      <c r="AB17" s="6">
        <f t="shared" si="0"/>
        <v>0</v>
      </c>
      <c r="AC17" s="6">
        <f t="shared" si="1"/>
        <v>0</v>
      </c>
      <c r="AD17" s="6">
        <f t="shared" si="2"/>
        <v>0</v>
      </c>
      <c r="AE17" s="6">
        <f t="shared" ca="1" si="3"/>
        <v>0</v>
      </c>
      <c r="AF17" s="4" t="s">
        <v>845</v>
      </c>
    </row>
    <row r="18" spans="1:32" ht="11.25" customHeight="1" x14ac:dyDescent="0.25">
      <c r="A18" s="4" t="s">
        <v>21</v>
      </c>
      <c r="B18" s="4" t="s">
        <v>39</v>
      </c>
      <c r="C18" s="4" t="s">
        <v>42</v>
      </c>
      <c r="D18" s="4" t="s">
        <v>38</v>
      </c>
      <c r="E18" s="4" t="s">
        <v>25</v>
      </c>
      <c r="F18" s="4" t="s">
        <v>57</v>
      </c>
      <c r="G18" s="4" t="s">
        <v>25</v>
      </c>
      <c r="H18" s="4" t="s">
        <v>25</v>
      </c>
      <c r="I18" s="5">
        <v>44562</v>
      </c>
      <c r="J18" s="6">
        <v>0</v>
      </c>
      <c r="K18" s="6">
        <v>0</v>
      </c>
      <c r="L18" s="6">
        <v>1568.508</v>
      </c>
      <c r="M18" s="6">
        <v>1568.508</v>
      </c>
      <c r="N18" s="6">
        <v>0</v>
      </c>
      <c r="O18" s="6">
        <v>0</v>
      </c>
      <c r="P18" s="6">
        <v>1</v>
      </c>
      <c r="Q18" s="4" t="s">
        <v>58</v>
      </c>
      <c r="R18" s="4">
        <v>0</v>
      </c>
      <c r="S18" s="4">
        <v>0</v>
      </c>
      <c r="T18" s="4">
        <v>3</v>
      </c>
      <c r="U18" s="4">
        <v>0</v>
      </c>
      <c r="V18" s="6">
        <f>IF(ISERROR(VLOOKUP($S$18,'TAR FIN'!$A$1:$O$85,15,0)),0,VLOOKUP($S$18,'TAR FIN'!$A$1:$O$85,15,0))</f>
        <v>0</v>
      </c>
      <c r="W18" s="6">
        <f>IF(ISERROR(VLOOKUP($T$18,'TAR FIN'!$A$1:$O$85,15,0)),0,VLOOKUP($T$18,'TAR FIN'!$A$1:$O$85,15,0))</f>
        <v>76.75</v>
      </c>
      <c r="X18" s="6">
        <f>IF(ISERROR(VLOOKUP($U$18,'TAR FIN'!$A$1:$O$85,15,0)),0,VLOOKUP($U$18,'TAR FIN'!$A$1:$O$85,15,0))</f>
        <v>0</v>
      </c>
      <c r="Y18" s="6"/>
      <c r="Z18" s="6">
        <f ca="1">('TUSD BE'!$AM$7+'TUSD BF'!$AM$7+'TUSD CVA'!$AM$7)*1</f>
        <v>147.99431148733765</v>
      </c>
      <c r="AA18" s="6"/>
      <c r="AB18" s="6">
        <f t="shared" si="0"/>
        <v>0</v>
      </c>
      <c r="AC18" s="6">
        <f t="shared" si="1"/>
        <v>0</v>
      </c>
      <c r="AD18" s="6">
        <f t="shared" si="2"/>
        <v>0</v>
      </c>
      <c r="AE18" s="6">
        <f t="shared" ca="1" si="3"/>
        <v>0</v>
      </c>
      <c r="AF18" s="4" t="s">
        <v>845</v>
      </c>
    </row>
    <row r="19" spans="1:32" ht="11.25" customHeight="1" x14ac:dyDescent="0.25">
      <c r="A19" s="4" t="s">
        <v>21</v>
      </c>
      <c r="B19" s="4" t="s">
        <v>39</v>
      </c>
      <c r="C19" s="4" t="s">
        <v>42</v>
      </c>
      <c r="D19" s="4" t="s">
        <v>38</v>
      </c>
      <c r="E19" s="4" t="s">
        <v>25</v>
      </c>
      <c r="F19" s="4" t="s">
        <v>57</v>
      </c>
      <c r="G19" s="4" t="s">
        <v>25</v>
      </c>
      <c r="H19" s="4" t="s">
        <v>25</v>
      </c>
      <c r="I19" s="5">
        <v>44593</v>
      </c>
      <c r="J19" s="6">
        <v>0</v>
      </c>
      <c r="K19" s="6">
        <v>0</v>
      </c>
      <c r="L19" s="6">
        <v>1495.627</v>
      </c>
      <c r="M19" s="6">
        <v>1495.627</v>
      </c>
      <c r="N19" s="6">
        <v>0</v>
      </c>
      <c r="O19" s="6">
        <v>0</v>
      </c>
      <c r="P19" s="6">
        <v>1</v>
      </c>
      <c r="Q19" s="4" t="s">
        <v>58</v>
      </c>
      <c r="R19" s="4">
        <v>0</v>
      </c>
      <c r="S19" s="4">
        <v>0</v>
      </c>
      <c r="T19" s="4">
        <v>3</v>
      </c>
      <c r="U19" s="4">
        <v>0</v>
      </c>
      <c r="V19" s="6">
        <f>IF(ISERROR(VLOOKUP($S$19,'TAR FIN'!$A$1:$O$85,15,0)),0,VLOOKUP($S$19,'TAR FIN'!$A$1:$O$85,15,0))</f>
        <v>0</v>
      </c>
      <c r="W19" s="6">
        <f>IF(ISERROR(VLOOKUP($T$19,'TAR FIN'!$A$1:$O$85,15,0)),0,VLOOKUP($T$19,'TAR FIN'!$A$1:$O$85,15,0))</f>
        <v>76.75</v>
      </c>
      <c r="X19" s="6">
        <f>IF(ISERROR(VLOOKUP($U$19,'TAR FIN'!$A$1:$O$85,15,0)),0,VLOOKUP($U$19,'TAR FIN'!$A$1:$O$85,15,0))</f>
        <v>0</v>
      </c>
      <c r="Y19" s="6"/>
      <c r="Z19" s="6">
        <f ca="1">('TUSD BE'!$AM$7+'TUSD BF'!$AM$7+'TUSD CVA'!$AM$7)*1</f>
        <v>147.99431148733765</v>
      </c>
      <c r="AA19" s="6"/>
      <c r="AB19" s="6">
        <f t="shared" si="0"/>
        <v>0</v>
      </c>
      <c r="AC19" s="6">
        <f t="shared" si="1"/>
        <v>0</v>
      </c>
      <c r="AD19" s="6">
        <f t="shared" si="2"/>
        <v>0</v>
      </c>
      <c r="AE19" s="6">
        <f t="shared" ca="1" si="3"/>
        <v>0</v>
      </c>
      <c r="AF19" s="4" t="s">
        <v>845</v>
      </c>
    </row>
    <row r="20" spans="1:32" ht="11.25" customHeight="1" x14ac:dyDescent="0.25">
      <c r="A20" s="4" t="s">
        <v>21</v>
      </c>
      <c r="B20" s="4" t="s">
        <v>39</v>
      </c>
      <c r="C20" s="4" t="s">
        <v>42</v>
      </c>
      <c r="D20" s="4" t="s">
        <v>38</v>
      </c>
      <c r="E20" s="4" t="s">
        <v>25</v>
      </c>
      <c r="F20" s="4" t="s">
        <v>57</v>
      </c>
      <c r="G20" s="4" t="s">
        <v>25</v>
      </c>
      <c r="H20" s="4" t="s">
        <v>25</v>
      </c>
      <c r="I20" s="5">
        <v>44621</v>
      </c>
      <c r="J20" s="6">
        <v>0</v>
      </c>
      <c r="K20" s="6">
        <v>0</v>
      </c>
      <c r="L20" s="6">
        <v>1423.7270000000001</v>
      </c>
      <c r="M20" s="6">
        <v>1423.7270000000001</v>
      </c>
      <c r="N20" s="6">
        <v>0</v>
      </c>
      <c r="O20" s="6">
        <v>0</v>
      </c>
      <c r="P20" s="6">
        <v>1</v>
      </c>
      <c r="Q20" s="4" t="s">
        <v>58</v>
      </c>
      <c r="R20" s="4">
        <v>0</v>
      </c>
      <c r="S20" s="4">
        <v>0</v>
      </c>
      <c r="T20" s="4">
        <v>3</v>
      </c>
      <c r="U20" s="4">
        <v>0</v>
      </c>
      <c r="V20" s="6">
        <f>IF(ISERROR(VLOOKUP($S$20,'TAR FIN'!$A$1:$O$85,15,0)),0,VLOOKUP($S$20,'TAR FIN'!$A$1:$O$85,15,0))</f>
        <v>0</v>
      </c>
      <c r="W20" s="6">
        <f>IF(ISERROR(VLOOKUP($T$20,'TAR FIN'!$A$1:$O$85,15,0)),0,VLOOKUP($T$20,'TAR FIN'!$A$1:$O$85,15,0))</f>
        <v>76.75</v>
      </c>
      <c r="X20" s="6">
        <f>IF(ISERROR(VLOOKUP($U$20,'TAR FIN'!$A$1:$O$85,15,0)),0,VLOOKUP($U$20,'TAR FIN'!$A$1:$O$85,15,0))</f>
        <v>0</v>
      </c>
      <c r="Y20" s="6"/>
      <c r="Z20" s="6">
        <f ca="1">('TUSD BE'!$AM$7+'TUSD BF'!$AM$7+'TUSD CVA'!$AM$7)*1</f>
        <v>147.99431148733765</v>
      </c>
      <c r="AA20" s="6"/>
      <c r="AB20" s="6">
        <f t="shared" si="0"/>
        <v>0</v>
      </c>
      <c r="AC20" s="6">
        <f t="shared" si="1"/>
        <v>0</v>
      </c>
      <c r="AD20" s="6">
        <f t="shared" si="2"/>
        <v>0</v>
      </c>
      <c r="AE20" s="6">
        <f t="shared" ca="1" si="3"/>
        <v>0</v>
      </c>
      <c r="AF20" s="4" t="s">
        <v>845</v>
      </c>
    </row>
    <row r="21" spans="1:32" ht="11.25" customHeight="1" x14ac:dyDescent="0.25">
      <c r="A21" s="4" t="s">
        <v>21</v>
      </c>
      <c r="B21" s="4" t="s">
        <v>39</v>
      </c>
      <c r="C21" s="4" t="s">
        <v>42</v>
      </c>
      <c r="D21" s="4" t="s">
        <v>38</v>
      </c>
      <c r="E21" s="4" t="s">
        <v>25</v>
      </c>
      <c r="F21" s="4" t="s">
        <v>57</v>
      </c>
      <c r="G21" s="4" t="s">
        <v>25</v>
      </c>
      <c r="H21" s="4" t="s">
        <v>25</v>
      </c>
      <c r="I21" s="5">
        <v>44652</v>
      </c>
      <c r="J21" s="6">
        <v>0</v>
      </c>
      <c r="K21" s="6">
        <v>0</v>
      </c>
      <c r="L21" s="6">
        <v>1682.0219999999999</v>
      </c>
      <c r="M21" s="6">
        <v>1682.0219999999999</v>
      </c>
      <c r="N21" s="6">
        <v>0</v>
      </c>
      <c r="O21" s="6">
        <v>0</v>
      </c>
      <c r="P21" s="6">
        <v>1</v>
      </c>
      <c r="Q21" s="4" t="s">
        <v>58</v>
      </c>
      <c r="R21" s="4">
        <v>0</v>
      </c>
      <c r="S21" s="4">
        <v>0</v>
      </c>
      <c r="T21" s="4">
        <v>3</v>
      </c>
      <c r="U21" s="4">
        <v>0</v>
      </c>
      <c r="V21" s="6">
        <f>IF(ISERROR(VLOOKUP($S$21,'TAR FIN'!$A$1:$O$85,15,0)),0,VLOOKUP($S$21,'TAR FIN'!$A$1:$O$85,15,0))</f>
        <v>0</v>
      </c>
      <c r="W21" s="6">
        <f>IF(ISERROR(VLOOKUP($T$21,'TAR FIN'!$A$1:$O$85,15,0)),0,VLOOKUP($T$21,'TAR FIN'!$A$1:$O$85,15,0))</f>
        <v>76.75</v>
      </c>
      <c r="X21" s="6">
        <f>IF(ISERROR(VLOOKUP($U$21,'TAR FIN'!$A$1:$O$85,15,0)),0,VLOOKUP($U$21,'TAR FIN'!$A$1:$O$85,15,0))</f>
        <v>0</v>
      </c>
      <c r="Y21" s="6"/>
      <c r="Z21" s="6">
        <f ca="1">('TUSD BE'!$AM$7+'TUSD BF'!$AM$7+'TUSD CVA'!$AM$7)*1</f>
        <v>147.99431148733765</v>
      </c>
      <c r="AA21" s="6"/>
      <c r="AB21" s="6">
        <f t="shared" si="0"/>
        <v>0</v>
      </c>
      <c r="AC21" s="6">
        <f t="shared" si="1"/>
        <v>0</v>
      </c>
      <c r="AD21" s="6">
        <f t="shared" si="2"/>
        <v>0</v>
      </c>
      <c r="AE21" s="6">
        <f t="shared" ca="1" si="3"/>
        <v>0</v>
      </c>
      <c r="AF21" s="4" t="s">
        <v>845</v>
      </c>
    </row>
    <row r="22" spans="1:32" ht="11.25" customHeight="1" x14ac:dyDescent="0.25">
      <c r="A22" s="4" t="s">
        <v>21</v>
      </c>
      <c r="B22" s="4" t="s">
        <v>39</v>
      </c>
      <c r="C22" s="4" t="s">
        <v>42</v>
      </c>
      <c r="D22" s="4" t="s">
        <v>38</v>
      </c>
      <c r="E22" s="4" t="s">
        <v>25</v>
      </c>
      <c r="F22" s="4" t="s">
        <v>57</v>
      </c>
      <c r="G22" s="4" t="s">
        <v>25</v>
      </c>
      <c r="H22" s="4" t="s">
        <v>25</v>
      </c>
      <c r="I22" s="5">
        <v>44682</v>
      </c>
      <c r="J22" s="6">
        <v>0</v>
      </c>
      <c r="K22" s="6">
        <v>0</v>
      </c>
      <c r="L22" s="6">
        <v>1448.614</v>
      </c>
      <c r="M22" s="6">
        <v>1448.614</v>
      </c>
      <c r="N22" s="6">
        <v>0</v>
      </c>
      <c r="O22" s="6">
        <v>0</v>
      </c>
      <c r="P22" s="6">
        <v>1</v>
      </c>
      <c r="Q22" s="4" t="s">
        <v>58</v>
      </c>
      <c r="R22" s="4">
        <v>0</v>
      </c>
      <c r="S22" s="4">
        <v>0</v>
      </c>
      <c r="T22" s="4">
        <v>3</v>
      </c>
      <c r="U22" s="4">
        <v>0</v>
      </c>
      <c r="V22" s="6">
        <f>IF(ISERROR(VLOOKUP($S$22,'TAR FIN'!$A$1:$O$85,15,0)),0,VLOOKUP($S$22,'TAR FIN'!$A$1:$O$85,15,0))</f>
        <v>0</v>
      </c>
      <c r="W22" s="6">
        <f>IF(ISERROR(VLOOKUP($T$22,'TAR FIN'!$A$1:$O$85,15,0)),0,VLOOKUP($T$22,'TAR FIN'!$A$1:$O$85,15,0))</f>
        <v>76.75</v>
      </c>
      <c r="X22" s="6">
        <f>IF(ISERROR(VLOOKUP($U$22,'TAR FIN'!$A$1:$O$85,15,0)),0,VLOOKUP($U$22,'TAR FIN'!$A$1:$O$85,15,0))</f>
        <v>0</v>
      </c>
      <c r="Y22" s="6"/>
      <c r="Z22" s="6">
        <f ca="1">('TUSD BE'!$AM$7+'TUSD BF'!$AM$7+'TUSD CVA'!$AM$7)*1</f>
        <v>147.99431148733765</v>
      </c>
      <c r="AA22" s="6"/>
      <c r="AB22" s="6">
        <f t="shared" si="0"/>
        <v>0</v>
      </c>
      <c r="AC22" s="6">
        <f t="shared" si="1"/>
        <v>0</v>
      </c>
      <c r="AD22" s="6">
        <f t="shared" si="2"/>
        <v>0</v>
      </c>
      <c r="AE22" s="6">
        <f t="shared" ca="1" si="3"/>
        <v>0</v>
      </c>
      <c r="AF22" s="4" t="s">
        <v>845</v>
      </c>
    </row>
    <row r="23" spans="1:32" ht="11.25" customHeight="1" x14ac:dyDescent="0.25">
      <c r="A23" s="4" t="s">
        <v>21</v>
      </c>
      <c r="B23" s="4" t="s">
        <v>39</v>
      </c>
      <c r="C23" s="4" t="s">
        <v>42</v>
      </c>
      <c r="D23" s="4" t="s">
        <v>38</v>
      </c>
      <c r="E23" s="4" t="s">
        <v>25</v>
      </c>
      <c r="F23" s="4" t="s">
        <v>57</v>
      </c>
      <c r="G23" s="4" t="s">
        <v>25</v>
      </c>
      <c r="H23" s="4" t="s">
        <v>25</v>
      </c>
      <c r="I23" s="5">
        <v>44713</v>
      </c>
      <c r="J23" s="6">
        <v>0</v>
      </c>
      <c r="K23" s="6">
        <v>0</v>
      </c>
      <c r="L23" s="6">
        <v>1654.537</v>
      </c>
      <c r="M23" s="6">
        <v>1654.537</v>
      </c>
      <c r="N23" s="6">
        <v>0</v>
      </c>
      <c r="O23" s="6">
        <v>0</v>
      </c>
      <c r="P23" s="6">
        <v>1</v>
      </c>
      <c r="Q23" s="4" t="s">
        <v>58</v>
      </c>
      <c r="R23" s="4">
        <v>0</v>
      </c>
      <c r="S23" s="4">
        <v>0</v>
      </c>
      <c r="T23" s="4">
        <v>3</v>
      </c>
      <c r="U23" s="4">
        <v>0</v>
      </c>
      <c r="V23" s="6">
        <f>IF(ISERROR(VLOOKUP($S$23,'TAR FIN'!$A$1:$O$85,15,0)),0,VLOOKUP($S$23,'TAR FIN'!$A$1:$O$85,15,0))</f>
        <v>0</v>
      </c>
      <c r="W23" s="6">
        <f>IF(ISERROR(VLOOKUP($T$23,'TAR FIN'!$A$1:$O$85,15,0)),0,VLOOKUP($T$23,'TAR FIN'!$A$1:$O$85,15,0))</f>
        <v>76.75</v>
      </c>
      <c r="X23" s="6">
        <f>IF(ISERROR(VLOOKUP($U$23,'TAR FIN'!$A$1:$O$85,15,0)),0,VLOOKUP($U$23,'TAR FIN'!$A$1:$O$85,15,0))</f>
        <v>0</v>
      </c>
      <c r="Y23" s="6"/>
      <c r="Z23" s="6">
        <f ca="1">('TUSD BE'!$AM$7+'TUSD BF'!$AM$7+'TUSD CVA'!$AM$7)*1</f>
        <v>147.99431148733765</v>
      </c>
      <c r="AA23" s="6"/>
      <c r="AB23" s="6">
        <f t="shared" si="0"/>
        <v>0</v>
      </c>
      <c r="AC23" s="6">
        <f t="shared" si="1"/>
        <v>0</v>
      </c>
      <c r="AD23" s="6">
        <f t="shared" si="2"/>
        <v>0</v>
      </c>
      <c r="AE23" s="6">
        <f t="shared" ca="1" si="3"/>
        <v>0</v>
      </c>
      <c r="AF23" s="4" t="s">
        <v>845</v>
      </c>
    </row>
    <row r="24" spans="1:32" ht="11.25" customHeight="1" x14ac:dyDescent="0.25">
      <c r="A24" s="4" t="s">
        <v>21</v>
      </c>
      <c r="B24" s="4" t="s">
        <v>39</v>
      </c>
      <c r="C24" s="4" t="s">
        <v>42</v>
      </c>
      <c r="D24" s="4" t="s">
        <v>38</v>
      </c>
      <c r="E24" s="4" t="s">
        <v>25</v>
      </c>
      <c r="F24" s="4" t="s">
        <v>57</v>
      </c>
      <c r="G24" s="4" t="s">
        <v>25</v>
      </c>
      <c r="H24" s="4" t="s">
        <v>25</v>
      </c>
      <c r="I24" s="5">
        <v>44743</v>
      </c>
      <c r="J24" s="6">
        <v>0</v>
      </c>
      <c r="K24" s="6">
        <v>0</v>
      </c>
      <c r="L24" s="6">
        <v>1529.9929999999999</v>
      </c>
      <c r="M24" s="6">
        <v>1529.9929999999999</v>
      </c>
      <c r="N24" s="6">
        <v>0</v>
      </c>
      <c r="O24" s="6">
        <v>0</v>
      </c>
      <c r="P24" s="6">
        <v>1</v>
      </c>
      <c r="Q24" s="4" t="s">
        <v>58</v>
      </c>
      <c r="R24" s="4">
        <v>0</v>
      </c>
      <c r="S24" s="4">
        <v>0</v>
      </c>
      <c r="T24" s="4">
        <v>3</v>
      </c>
      <c r="U24" s="4">
        <v>0</v>
      </c>
      <c r="V24" s="6">
        <f>IF(ISERROR(VLOOKUP($S$24,'TAR FIN'!$A$1:$O$85,15,0)),0,VLOOKUP($S$24,'TAR FIN'!$A$1:$O$85,15,0))</f>
        <v>0</v>
      </c>
      <c r="W24" s="6">
        <f>IF(ISERROR(VLOOKUP($T$24,'TAR FIN'!$A$1:$O$85,15,0)),0,VLOOKUP($T$24,'TAR FIN'!$A$1:$O$85,15,0))</f>
        <v>76.75</v>
      </c>
      <c r="X24" s="6">
        <f>IF(ISERROR(VLOOKUP($U$24,'TAR FIN'!$A$1:$O$85,15,0)),0,VLOOKUP($U$24,'TAR FIN'!$A$1:$O$85,15,0))</f>
        <v>0</v>
      </c>
      <c r="Y24" s="6"/>
      <c r="Z24" s="6">
        <f ca="1">('TUSD BE'!$AM$7+'TUSD BF'!$AM$7+'TUSD CVA'!$AM$7)*1</f>
        <v>147.99431148733765</v>
      </c>
      <c r="AA24" s="6"/>
      <c r="AB24" s="6">
        <f t="shared" si="0"/>
        <v>0</v>
      </c>
      <c r="AC24" s="6">
        <f t="shared" si="1"/>
        <v>0</v>
      </c>
      <c r="AD24" s="6">
        <f t="shared" si="2"/>
        <v>0</v>
      </c>
      <c r="AE24" s="6">
        <f t="shared" ca="1" si="3"/>
        <v>0</v>
      </c>
      <c r="AF24" s="4" t="s">
        <v>845</v>
      </c>
    </row>
    <row r="25" spans="1:32" ht="11.25" customHeight="1" x14ac:dyDescent="0.25">
      <c r="A25" s="4" t="s">
        <v>56</v>
      </c>
      <c r="B25" s="4" t="s">
        <v>39</v>
      </c>
      <c r="C25" s="4" t="s">
        <v>42</v>
      </c>
      <c r="D25" s="4" t="s">
        <v>38</v>
      </c>
      <c r="E25" s="4" t="s">
        <v>25</v>
      </c>
      <c r="F25" s="4" t="s">
        <v>57</v>
      </c>
      <c r="G25" s="4" t="s">
        <v>25</v>
      </c>
      <c r="H25" s="4" t="s">
        <v>25</v>
      </c>
      <c r="I25" s="5">
        <v>44774</v>
      </c>
      <c r="J25" s="6">
        <v>0</v>
      </c>
      <c r="K25" s="6">
        <v>0</v>
      </c>
      <c r="L25" s="6">
        <v>1529.9929999999999</v>
      </c>
      <c r="M25" s="6">
        <v>1529.9929999999999</v>
      </c>
      <c r="N25" s="6">
        <v>0</v>
      </c>
      <c r="O25" s="6">
        <v>0</v>
      </c>
      <c r="P25" s="6">
        <v>1</v>
      </c>
      <c r="Q25" s="4" t="s">
        <v>58</v>
      </c>
      <c r="R25" s="4">
        <v>0</v>
      </c>
      <c r="S25" s="4">
        <v>0</v>
      </c>
      <c r="T25" s="4">
        <v>3</v>
      </c>
      <c r="U25" s="4">
        <v>0</v>
      </c>
      <c r="V25" s="6">
        <f>IF(ISERROR(VLOOKUP($S$25,'TAR FIN'!$A$1:$O$85,15,0)),0,VLOOKUP($S$25,'TAR FIN'!$A$1:$O$85,15,0))</f>
        <v>0</v>
      </c>
      <c r="W25" s="6">
        <f>IF(ISERROR(VLOOKUP($T$25,'TAR FIN'!$A$1:$O$85,15,0)),0,VLOOKUP($T$25,'TAR FIN'!$A$1:$O$85,15,0))</f>
        <v>76.75</v>
      </c>
      <c r="X25" s="6">
        <f>IF(ISERROR(VLOOKUP($U$25,'TAR FIN'!$A$1:$O$85,15,0)),0,VLOOKUP($U$25,'TAR FIN'!$A$1:$O$85,15,0))</f>
        <v>0</v>
      </c>
      <c r="Y25" s="6"/>
      <c r="Z25" s="6">
        <f ca="1">('TUSD BE'!$AM$7+'TUSD BF'!$AM$7+'TUSD CVA'!$AM$7)*1</f>
        <v>147.99431148733765</v>
      </c>
      <c r="AA25" s="6"/>
      <c r="AB25" s="6">
        <f t="shared" si="0"/>
        <v>0</v>
      </c>
      <c r="AC25" s="6">
        <f t="shared" si="1"/>
        <v>0</v>
      </c>
      <c r="AD25" s="6">
        <f t="shared" si="2"/>
        <v>0</v>
      </c>
      <c r="AE25" s="6">
        <f t="shared" ca="1" si="3"/>
        <v>0</v>
      </c>
      <c r="AF25" s="4" t="s">
        <v>845</v>
      </c>
    </row>
    <row r="26" spans="1:32" ht="11.25" customHeight="1" x14ac:dyDescent="0.25">
      <c r="A26" s="4" t="s">
        <v>21</v>
      </c>
      <c r="B26" s="4" t="s">
        <v>39</v>
      </c>
      <c r="C26" s="4" t="s">
        <v>42</v>
      </c>
      <c r="D26" s="4" t="s">
        <v>38</v>
      </c>
      <c r="E26" s="4" t="s">
        <v>25</v>
      </c>
      <c r="F26" s="4" t="s">
        <v>57</v>
      </c>
      <c r="G26" s="4" t="s">
        <v>25</v>
      </c>
      <c r="H26" s="4" t="s">
        <v>34</v>
      </c>
      <c r="I26" s="5">
        <v>44440</v>
      </c>
      <c r="J26" s="6">
        <v>2805</v>
      </c>
      <c r="K26" s="6">
        <v>1402.5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58</v>
      </c>
      <c r="R26" s="4">
        <v>0</v>
      </c>
      <c r="S26" s="4">
        <v>1</v>
      </c>
      <c r="T26" s="4">
        <v>0</v>
      </c>
      <c r="U26" s="4">
        <v>0</v>
      </c>
      <c r="V26" s="6">
        <f>IF(ISERROR(VLOOKUP($S$26,'TAR FIN'!$A$1:$O$85,15,0)),0,VLOOKUP($S$26,'TAR FIN'!$A$1:$O$85,15,0))</f>
        <v>51.93</v>
      </c>
      <c r="W26" s="6">
        <f>IF(ISERROR(VLOOKUP($T$26,'TAR FIN'!$A$1:$O$85,15,0)),0,VLOOKUP($T$26,'TAR FIN'!$A$1:$O$85,15,0))</f>
        <v>0</v>
      </c>
      <c r="X26" s="6">
        <f>IF(ISERROR(VLOOKUP($U$26,'TAR FIN'!$A$1:$O$85,15,0)),0,VLOOKUP($U$26,'TAR FIN'!$A$1:$O$85,15,0))</f>
        <v>0</v>
      </c>
      <c r="Y26" s="6">
        <f ca="1">('TUSD BE'!$AM$5+'TUSD BF'!$AM$5+'TUSD CVA'!$AM$5)*1</f>
        <v>57.5166740764178</v>
      </c>
      <c r="Z26" s="6">
        <f ca="1">('TUSD BE'!$AM$7+'TUSD BF'!$AM$7+'TUSD CVA'!$AM$7)*1</f>
        <v>147.99431148733765</v>
      </c>
      <c r="AA26" s="6"/>
      <c r="AB26" s="6">
        <f t="shared" si="0"/>
        <v>72831.824999999997</v>
      </c>
      <c r="AC26" s="6">
        <f t="shared" si="1"/>
        <v>0</v>
      </c>
      <c r="AD26" s="6">
        <f t="shared" ca="1" si="2"/>
        <v>80667.135392175958</v>
      </c>
      <c r="AE26" s="6">
        <f t="shared" ca="1" si="3"/>
        <v>0</v>
      </c>
      <c r="AF26" s="4" t="s">
        <v>845</v>
      </c>
    </row>
    <row r="27" spans="1:32" ht="11.25" customHeight="1" x14ac:dyDescent="0.25">
      <c r="A27" s="4" t="s">
        <v>21</v>
      </c>
      <c r="B27" s="4" t="s">
        <v>39</v>
      </c>
      <c r="C27" s="4" t="s">
        <v>42</v>
      </c>
      <c r="D27" s="4" t="s">
        <v>38</v>
      </c>
      <c r="E27" s="4" t="s">
        <v>25</v>
      </c>
      <c r="F27" s="4" t="s">
        <v>57</v>
      </c>
      <c r="G27" s="4" t="s">
        <v>25</v>
      </c>
      <c r="H27" s="4" t="s">
        <v>34</v>
      </c>
      <c r="I27" s="5">
        <v>44470</v>
      </c>
      <c r="J27" s="6">
        <v>2805</v>
      </c>
      <c r="K27" s="6">
        <v>1406.7075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58</v>
      </c>
      <c r="R27" s="4">
        <v>0</v>
      </c>
      <c r="S27" s="4">
        <v>1</v>
      </c>
      <c r="T27" s="4">
        <v>0</v>
      </c>
      <c r="U27" s="4">
        <v>0</v>
      </c>
      <c r="V27" s="6">
        <f>IF(ISERROR(VLOOKUP($S$27,'TAR FIN'!$A$1:$O$85,15,0)),0,VLOOKUP($S$27,'TAR FIN'!$A$1:$O$85,15,0))</f>
        <v>51.93</v>
      </c>
      <c r="W27" s="6">
        <f>IF(ISERROR(VLOOKUP($T$27,'TAR FIN'!$A$1:$O$85,15,0)),0,VLOOKUP($T$27,'TAR FIN'!$A$1:$O$85,15,0))</f>
        <v>0</v>
      </c>
      <c r="X27" s="6">
        <f>IF(ISERROR(VLOOKUP($U$27,'TAR FIN'!$A$1:$O$85,15,0)),0,VLOOKUP($U$27,'TAR FIN'!$A$1:$O$85,15,0))</f>
        <v>0</v>
      </c>
      <c r="Y27" s="6">
        <f ca="1">('TUSD BE'!$AM$5+'TUSD BF'!$AM$5+'TUSD CVA'!$AM$5)*1</f>
        <v>57.5166740764178</v>
      </c>
      <c r="Z27" s="6">
        <f ca="1">('TUSD BE'!$AM$7+'TUSD BF'!$AM$7+'TUSD CVA'!$AM$7)*1</f>
        <v>147.99431148733765</v>
      </c>
      <c r="AA27" s="6"/>
      <c r="AB27" s="6">
        <f t="shared" si="0"/>
        <v>72613.329524999994</v>
      </c>
      <c r="AC27" s="6">
        <f t="shared" si="1"/>
        <v>0</v>
      </c>
      <c r="AD27" s="6">
        <f t="shared" ca="1" si="2"/>
        <v>80425.133985999433</v>
      </c>
      <c r="AE27" s="6">
        <f t="shared" ca="1" si="3"/>
        <v>0</v>
      </c>
      <c r="AF27" s="4" t="s">
        <v>845</v>
      </c>
    </row>
    <row r="28" spans="1:32" ht="11.25" customHeight="1" x14ac:dyDescent="0.25">
      <c r="A28" s="4" t="s">
        <v>21</v>
      </c>
      <c r="B28" s="4" t="s">
        <v>39</v>
      </c>
      <c r="C28" s="4" t="s">
        <v>42</v>
      </c>
      <c r="D28" s="4" t="s">
        <v>38</v>
      </c>
      <c r="E28" s="4" t="s">
        <v>25</v>
      </c>
      <c r="F28" s="4" t="s">
        <v>57</v>
      </c>
      <c r="G28" s="4" t="s">
        <v>25</v>
      </c>
      <c r="H28" s="4" t="s">
        <v>34</v>
      </c>
      <c r="I28" s="5">
        <v>44501</v>
      </c>
      <c r="J28" s="6">
        <v>2805</v>
      </c>
      <c r="K28" s="6">
        <v>1405.0245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58</v>
      </c>
      <c r="R28" s="4">
        <v>0</v>
      </c>
      <c r="S28" s="4">
        <v>1</v>
      </c>
      <c r="T28" s="4">
        <v>0</v>
      </c>
      <c r="U28" s="4">
        <v>0</v>
      </c>
      <c r="V28" s="6">
        <f>IF(ISERROR(VLOOKUP($S$28,'TAR FIN'!$A$1:$O$85,15,0)),0,VLOOKUP($S$28,'TAR FIN'!$A$1:$O$85,15,0))</f>
        <v>51.93</v>
      </c>
      <c r="W28" s="6">
        <f>IF(ISERROR(VLOOKUP($T$28,'TAR FIN'!$A$1:$O$85,15,0)),0,VLOOKUP($T$28,'TAR FIN'!$A$1:$O$85,15,0))</f>
        <v>0</v>
      </c>
      <c r="X28" s="6">
        <f>IF(ISERROR(VLOOKUP($U$28,'TAR FIN'!$A$1:$O$85,15,0)),0,VLOOKUP($U$28,'TAR FIN'!$A$1:$O$85,15,0))</f>
        <v>0</v>
      </c>
      <c r="Y28" s="6">
        <f ca="1">('TUSD BE'!$AM$5+'TUSD BF'!$AM$5+'TUSD CVA'!$AM$5)*1</f>
        <v>57.5166740764178</v>
      </c>
      <c r="Z28" s="6">
        <f ca="1">('TUSD BE'!$AM$7+'TUSD BF'!$AM$7+'TUSD CVA'!$AM$7)*1</f>
        <v>147.99431148733765</v>
      </c>
      <c r="AA28" s="6"/>
      <c r="AB28" s="6">
        <f t="shared" si="0"/>
        <v>72700.727715000001</v>
      </c>
      <c r="AC28" s="6">
        <f t="shared" si="1"/>
        <v>0</v>
      </c>
      <c r="AD28" s="6">
        <f t="shared" ca="1" si="2"/>
        <v>80521.934548470046</v>
      </c>
      <c r="AE28" s="6">
        <f t="shared" ca="1" si="3"/>
        <v>0</v>
      </c>
      <c r="AF28" s="4" t="s">
        <v>845</v>
      </c>
    </row>
    <row r="29" spans="1:32" ht="11.25" customHeight="1" x14ac:dyDescent="0.25">
      <c r="A29" s="4" t="s">
        <v>21</v>
      </c>
      <c r="B29" s="4" t="s">
        <v>39</v>
      </c>
      <c r="C29" s="4" t="s">
        <v>42</v>
      </c>
      <c r="D29" s="4" t="s">
        <v>38</v>
      </c>
      <c r="E29" s="4" t="s">
        <v>25</v>
      </c>
      <c r="F29" s="4" t="s">
        <v>57</v>
      </c>
      <c r="G29" s="4" t="s">
        <v>25</v>
      </c>
      <c r="H29" s="4" t="s">
        <v>34</v>
      </c>
      <c r="I29" s="5">
        <v>44531</v>
      </c>
      <c r="J29" s="6">
        <v>2805</v>
      </c>
      <c r="K29" s="6">
        <v>1410.915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58</v>
      </c>
      <c r="R29" s="4">
        <v>0</v>
      </c>
      <c r="S29" s="4">
        <v>1</v>
      </c>
      <c r="T29" s="4">
        <v>0</v>
      </c>
      <c r="U29" s="4">
        <v>0</v>
      </c>
      <c r="V29" s="6">
        <f>IF(ISERROR(VLOOKUP($S$29,'TAR FIN'!$A$1:$O$85,15,0)),0,VLOOKUP($S$29,'TAR FIN'!$A$1:$O$85,15,0))</f>
        <v>51.93</v>
      </c>
      <c r="W29" s="6">
        <f>IF(ISERROR(VLOOKUP($T$29,'TAR FIN'!$A$1:$O$85,15,0)),0,VLOOKUP($T$29,'TAR FIN'!$A$1:$O$85,15,0))</f>
        <v>0</v>
      </c>
      <c r="X29" s="6">
        <f>IF(ISERROR(VLOOKUP($U$29,'TAR FIN'!$A$1:$O$85,15,0)),0,VLOOKUP($U$29,'TAR FIN'!$A$1:$O$85,15,0))</f>
        <v>0</v>
      </c>
      <c r="Y29" s="6">
        <f ca="1">('TUSD BE'!$AM$5+'TUSD BF'!$AM$5+'TUSD CVA'!$AM$5)*1</f>
        <v>57.5166740764178</v>
      </c>
      <c r="Z29" s="6">
        <f ca="1">('TUSD BE'!$AM$7+'TUSD BF'!$AM$7+'TUSD CVA'!$AM$7)*1</f>
        <v>147.99431148733765</v>
      </c>
      <c r="AA29" s="6"/>
      <c r="AB29" s="6">
        <f t="shared" si="0"/>
        <v>72394.834050000005</v>
      </c>
      <c r="AC29" s="6">
        <f t="shared" si="1"/>
        <v>0</v>
      </c>
      <c r="AD29" s="6">
        <f t="shared" ca="1" si="2"/>
        <v>80183.132579822908</v>
      </c>
      <c r="AE29" s="6">
        <f t="shared" ca="1" si="3"/>
        <v>0</v>
      </c>
      <c r="AF29" s="4" t="s">
        <v>845</v>
      </c>
    </row>
    <row r="30" spans="1:32" ht="11.25" customHeight="1" x14ac:dyDescent="0.25">
      <c r="A30" s="4" t="s">
        <v>21</v>
      </c>
      <c r="B30" s="4" t="s">
        <v>39</v>
      </c>
      <c r="C30" s="4" t="s">
        <v>42</v>
      </c>
      <c r="D30" s="4" t="s">
        <v>38</v>
      </c>
      <c r="E30" s="4" t="s">
        <v>25</v>
      </c>
      <c r="F30" s="4" t="s">
        <v>57</v>
      </c>
      <c r="G30" s="4" t="s">
        <v>25</v>
      </c>
      <c r="H30" s="4" t="s">
        <v>34</v>
      </c>
      <c r="I30" s="5">
        <v>44562</v>
      </c>
      <c r="J30" s="6">
        <v>2805</v>
      </c>
      <c r="K30" s="6">
        <v>1406.4269999999999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58</v>
      </c>
      <c r="R30" s="4">
        <v>0</v>
      </c>
      <c r="S30" s="4">
        <v>1</v>
      </c>
      <c r="T30" s="4">
        <v>0</v>
      </c>
      <c r="U30" s="4">
        <v>0</v>
      </c>
      <c r="V30" s="6">
        <f>IF(ISERROR(VLOOKUP($S$30,'TAR FIN'!$A$1:$O$85,15,0)),0,VLOOKUP($S$30,'TAR FIN'!$A$1:$O$85,15,0))</f>
        <v>51.93</v>
      </c>
      <c r="W30" s="6">
        <f>IF(ISERROR(VLOOKUP($T$30,'TAR FIN'!$A$1:$O$85,15,0)),0,VLOOKUP($T$30,'TAR FIN'!$A$1:$O$85,15,0))</f>
        <v>0</v>
      </c>
      <c r="X30" s="6">
        <f>IF(ISERROR(VLOOKUP($U$30,'TAR FIN'!$A$1:$O$85,15,0)),0,VLOOKUP($U$30,'TAR FIN'!$A$1:$O$85,15,0))</f>
        <v>0</v>
      </c>
      <c r="Y30" s="6">
        <f ca="1">('TUSD BE'!$AM$5+'TUSD BF'!$AM$5+'TUSD CVA'!$AM$5)*1</f>
        <v>57.5166740764178</v>
      </c>
      <c r="Z30" s="6">
        <f ca="1">('TUSD BE'!$AM$7+'TUSD BF'!$AM$7+'TUSD CVA'!$AM$7)*1</f>
        <v>147.99431148733765</v>
      </c>
      <c r="AA30" s="6"/>
      <c r="AB30" s="6">
        <f t="shared" si="0"/>
        <v>72627.89589</v>
      </c>
      <c r="AC30" s="6">
        <f t="shared" si="1"/>
        <v>0</v>
      </c>
      <c r="AD30" s="6">
        <f t="shared" ca="1" si="2"/>
        <v>80441.267413077876</v>
      </c>
      <c r="AE30" s="6">
        <f t="shared" ca="1" si="3"/>
        <v>0</v>
      </c>
      <c r="AF30" s="4" t="s">
        <v>845</v>
      </c>
    </row>
    <row r="31" spans="1:32" ht="11.25" customHeight="1" x14ac:dyDescent="0.25">
      <c r="A31" s="4" t="s">
        <v>21</v>
      </c>
      <c r="B31" s="4" t="s">
        <v>39</v>
      </c>
      <c r="C31" s="4" t="s">
        <v>42</v>
      </c>
      <c r="D31" s="4" t="s">
        <v>38</v>
      </c>
      <c r="E31" s="4" t="s">
        <v>25</v>
      </c>
      <c r="F31" s="4" t="s">
        <v>57</v>
      </c>
      <c r="G31" s="4" t="s">
        <v>25</v>
      </c>
      <c r="H31" s="4" t="s">
        <v>34</v>
      </c>
      <c r="I31" s="5">
        <v>44593</v>
      </c>
      <c r="J31" s="6">
        <v>2870</v>
      </c>
      <c r="K31" s="6">
        <v>1441.6010000000001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58</v>
      </c>
      <c r="R31" s="4">
        <v>0</v>
      </c>
      <c r="S31" s="4">
        <v>1</v>
      </c>
      <c r="T31" s="4">
        <v>0</v>
      </c>
      <c r="U31" s="4">
        <v>0</v>
      </c>
      <c r="V31" s="6">
        <f>IF(ISERROR(VLOOKUP($S$31,'TAR FIN'!$A$1:$O$85,15,0)),0,VLOOKUP($S$31,'TAR FIN'!$A$1:$O$85,15,0))</f>
        <v>51.93</v>
      </c>
      <c r="W31" s="6">
        <f>IF(ISERROR(VLOOKUP($T$31,'TAR FIN'!$A$1:$O$85,15,0)),0,VLOOKUP($T$31,'TAR FIN'!$A$1:$O$85,15,0))</f>
        <v>0</v>
      </c>
      <c r="X31" s="6">
        <f>IF(ISERROR(VLOOKUP($U$31,'TAR FIN'!$A$1:$O$85,15,0)),0,VLOOKUP($U$31,'TAR FIN'!$A$1:$O$85,15,0))</f>
        <v>0</v>
      </c>
      <c r="Y31" s="6">
        <f ca="1">('TUSD BE'!$AM$5+'TUSD BF'!$AM$5+'TUSD CVA'!$AM$5)*1</f>
        <v>57.5166740764178</v>
      </c>
      <c r="Z31" s="6">
        <f ca="1">('TUSD BE'!$AM$7+'TUSD BF'!$AM$7+'TUSD CVA'!$AM$7)*1</f>
        <v>147.99431148733765</v>
      </c>
      <c r="AA31" s="6"/>
      <c r="AB31" s="6">
        <f t="shared" si="0"/>
        <v>74176.760069999989</v>
      </c>
      <c r="AC31" s="6">
        <f t="shared" si="1"/>
        <v>0</v>
      </c>
      <c r="AD31" s="6">
        <f t="shared" ca="1" si="2"/>
        <v>82156.759734081104</v>
      </c>
      <c r="AE31" s="6">
        <f t="shared" ca="1" si="3"/>
        <v>0</v>
      </c>
      <c r="AF31" s="4" t="s">
        <v>845</v>
      </c>
    </row>
    <row r="32" spans="1:32" ht="11.25" customHeight="1" x14ac:dyDescent="0.25">
      <c r="A32" s="4" t="s">
        <v>21</v>
      </c>
      <c r="B32" s="4" t="s">
        <v>39</v>
      </c>
      <c r="C32" s="4" t="s">
        <v>42</v>
      </c>
      <c r="D32" s="4" t="s">
        <v>38</v>
      </c>
      <c r="E32" s="4" t="s">
        <v>25</v>
      </c>
      <c r="F32" s="4" t="s">
        <v>57</v>
      </c>
      <c r="G32" s="4" t="s">
        <v>25</v>
      </c>
      <c r="H32" s="4" t="s">
        <v>34</v>
      </c>
      <c r="I32" s="5">
        <v>44621</v>
      </c>
      <c r="J32" s="6">
        <v>2805</v>
      </c>
      <c r="K32" s="6">
        <v>1405.5854999999999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58</v>
      </c>
      <c r="R32" s="4">
        <v>0</v>
      </c>
      <c r="S32" s="4">
        <v>1</v>
      </c>
      <c r="T32" s="4">
        <v>0</v>
      </c>
      <c r="U32" s="4">
        <v>0</v>
      </c>
      <c r="V32" s="6">
        <f>IF(ISERROR(VLOOKUP($S$32,'TAR FIN'!$A$1:$O$85,15,0)),0,VLOOKUP($S$32,'TAR FIN'!$A$1:$O$85,15,0))</f>
        <v>51.93</v>
      </c>
      <c r="W32" s="6">
        <f>IF(ISERROR(VLOOKUP($T$32,'TAR FIN'!$A$1:$O$85,15,0)),0,VLOOKUP($T$32,'TAR FIN'!$A$1:$O$85,15,0))</f>
        <v>0</v>
      </c>
      <c r="X32" s="6">
        <f>IF(ISERROR(VLOOKUP($U$32,'TAR FIN'!$A$1:$O$85,15,0)),0,VLOOKUP($U$32,'TAR FIN'!$A$1:$O$85,15,0))</f>
        <v>0</v>
      </c>
      <c r="Y32" s="6">
        <f ca="1">('TUSD BE'!$AM$5+'TUSD BF'!$AM$5+'TUSD CVA'!$AM$5)*1</f>
        <v>57.5166740764178</v>
      </c>
      <c r="Z32" s="6">
        <f ca="1">('TUSD BE'!$AM$7+'TUSD BF'!$AM$7+'TUSD CVA'!$AM$7)*1</f>
        <v>147.99431148733765</v>
      </c>
      <c r="AA32" s="6"/>
      <c r="AB32" s="6">
        <f t="shared" si="0"/>
        <v>72671.594985000003</v>
      </c>
      <c r="AC32" s="6">
        <f t="shared" si="1"/>
        <v>0</v>
      </c>
      <c r="AD32" s="6">
        <f t="shared" ca="1" si="2"/>
        <v>80489.66769431319</v>
      </c>
      <c r="AE32" s="6">
        <f t="shared" ca="1" si="3"/>
        <v>0</v>
      </c>
      <c r="AF32" s="4" t="s">
        <v>845</v>
      </c>
    </row>
    <row r="33" spans="1:32" ht="11.25" customHeight="1" x14ac:dyDescent="0.25">
      <c r="A33" s="4" t="s">
        <v>21</v>
      </c>
      <c r="B33" s="4" t="s">
        <v>39</v>
      </c>
      <c r="C33" s="4" t="s">
        <v>42</v>
      </c>
      <c r="D33" s="4" t="s">
        <v>38</v>
      </c>
      <c r="E33" s="4" t="s">
        <v>25</v>
      </c>
      <c r="F33" s="4" t="s">
        <v>57</v>
      </c>
      <c r="G33" s="4" t="s">
        <v>25</v>
      </c>
      <c r="H33" s="4" t="s">
        <v>34</v>
      </c>
      <c r="I33" s="5">
        <v>44652</v>
      </c>
      <c r="J33" s="6">
        <v>2865</v>
      </c>
      <c r="K33" s="6">
        <v>1445.106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58</v>
      </c>
      <c r="R33" s="4">
        <v>0</v>
      </c>
      <c r="S33" s="4">
        <v>1</v>
      </c>
      <c r="T33" s="4">
        <v>0</v>
      </c>
      <c r="U33" s="4">
        <v>0</v>
      </c>
      <c r="V33" s="6">
        <f>IF(ISERROR(VLOOKUP($S$33,'TAR FIN'!$A$1:$O$85,15,0)),0,VLOOKUP($S$33,'TAR FIN'!$A$1:$O$85,15,0))</f>
        <v>51.93</v>
      </c>
      <c r="W33" s="6">
        <f>IF(ISERROR(VLOOKUP($T$33,'TAR FIN'!$A$1:$O$85,15,0)),0,VLOOKUP($T$33,'TAR FIN'!$A$1:$O$85,15,0))</f>
        <v>0</v>
      </c>
      <c r="X33" s="6">
        <f>IF(ISERROR(VLOOKUP($U$33,'TAR FIN'!$A$1:$O$85,15,0)),0,VLOOKUP($U$33,'TAR FIN'!$A$1:$O$85,15,0))</f>
        <v>0</v>
      </c>
      <c r="Y33" s="6">
        <f ca="1">('TUSD BE'!$AM$5+'TUSD BF'!$AM$5+'TUSD CVA'!$AM$5)*1</f>
        <v>57.5166740764178</v>
      </c>
      <c r="Z33" s="6">
        <f ca="1">('TUSD BE'!$AM$7+'TUSD BF'!$AM$7+'TUSD CVA'!$AM$7)*1</f>
        <v>147.99431148733765</v>
      </c>
      <c r="AA33" s="6"/>
      <c r="AB33" s="6">
        <f t="shared" si="0"/>
        <v>73735.095419999998</v>
      </c>
      <c r="AC33" s="6">
        <f t="shared" si="1"/>
        <v>0</v>
      </c>
      <c r="AD33" s="6">
        <f t="shared" ca="1" si="2"/>
        <v>81667.580421061182</v>
      </c>
      <c r="AE33" s="6">
        <f t="shared" ca="1" si="3"/>
        <v>0</v>
      </c>
      <c r="AF33" s="4" t="s">
        <v>845</v>
      </c>
    </row>
    <row r="34" spans="1:32" ht="11.25" customHeight="1" x14ac:dyDescent="0.25">
      <c r="A34" s="4" t="s">
        <v>21</v>
      </c>
      <c r="B34" s="4" t="s">
        <v>39</v>
      </c>
      <c r="C34" s="4" t="s">
        <v>42</v>
      </c>
      <c r="D34" s="4" t="s">
        <v>38</v>
      </c>
      <c r="E34" s="4" t="s">
        <v>25</v>
      </c>
      <c r="F34" s="4" t="s">
        <v>57</v>
      </c>
      <c r="G34" s="4" t="s">
        <v>25</v>
      </c>
      <c r="H34" s="4" t="s">
        <v>34</v>
      </c>
      <c r="I34" s="5">
        <v>44682</v>
      </c>
      <c r="J34" s="6">
        <v>2966</v>
      </c>
      <c r="K34" s="6">
        <v>1488.6353999999999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58</v>
      </c>
      <c r="R34" s="4">
        <v>0</v>
      </c>
      <c r="S34" s="4">
        <v>1</v>
      </c>
      <c r="T34" s="4">
        <v>0</v>
      </c>
      <c r="U34" s="4">
        <v>0</v>
      </c>
      <c r="V34" s="6">
        <f>IF(ISERROR(VLOOKUP($S$34,'TAR FIN'!$A$1:$O$85,15,0)),0,VLOOKUP($S$34,'TAR FIN'!$A$1:$O$85,15,0))</f>
        <v>51.93</v>
      </c>
      <c r="W34" s="6">
        <f>IF(ISERROR(VLOOKUP($T$34,'TAR FIN'!$A$1:$O$85,15,0)),0,VLOOKUP($T$34,'TAR FIN'!$A$1:$O$85,15,0))</f>
        <v>0</v>
      </c>
      <c r="X34" s="6">
        <f>IF(ISERROR(VLOOKUP($U$34,'TAR FIN'!$A$1:$O$85,15,0)),0,VLOOKUP($U$34,'TAR FIN'!$A$1:$O$85,15,0))</f>
        <v>0</v>
      </c>
      <c r="Y34" s="6">
        <f ca="1">('TUSD BE'!$AM$5+'TUSD BF'!$AM$5+'TUSD CVA'!$AM$5)*1</f>
        <v>57.5166740764178</v>
      </c>
      <c r="Z34" s="6">
        <f ca="1">('TUSD BE'!$AM$7+'TUSD BF'!$AM$7+'TUSD CVA'!$AM$7)*1</f>
        <v>147.99431148733765</v>
      </c>
      <c r="AA34" s="6"/>
      <c r="AB34" s="6">
        <f t="shared" si="0"/>
        <v>76719.543678000002</v>
      </c>
      <c r="AC34" s="6">
        <f t="shared" ref="AC34:AC37" si="6">(L34-M34)*W34+(N34-O34)*X34</f>
        <v>0</v>
      </c>
      <c r="AD34" s="6">
        <f t="shared" ca="1" si="2"/>
        <v>84973.098190237361</v>
      </c>
      <c r="AE34" s="6">
        <f t="shared" ref="AE34:AE37" ca="1" si="7">(L34-M34)*Z34+(N34-O34)*AA34</f>
        <v>0</v>
      </c>
      <c r="AF34" s="4" t="s">
        <v>845</v>
      </c>
    </row>
    <row r="35" spans="1:32" ht="11.25" customHeight="1" x14ac:dyDescent="0.25">
      <c r="A35" s="4" t="s">
        <v>21</v>
      </c>
      <c r="B35" s="4" t="s">
        <v>39</v>
      </c>
      <c r="C35" s="4" t="s">
        <v>42</v>
      </c>
      <c r="D35" s="4" t="s">
        <v>38</v>
      </c>
      <c r="E35" s="4" t="s">
        <v>25</v>
      </c>
      <c r="F35" s="4" t="s">
        <v>57</v>
      </c>
      <c r="G35" s="4" t="s">
        <v>25</v>
      </c>
      <c r="H35" s="4" t="s">
        <v>34</v>
      </c>
      <c r="I35" s="5">
        <v>44713</v>
      </c>
      <c r="J35" s="6">
        <v>2900</v>
      </c>
      <c r="K35" s="6">
        <v>1452.61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58</v>
      </c>
      <c r="R35" s="4">
        <v>0</v>
      </c>
      <c r="S35" s="4">
        <v>1</v>
      </c>
      <c r="T35" s="4">
        <v>0</v>
      </c>
      <c r="U35" s="4">
        <v>0</v>
      </c>
      <c r="V35" s="6">
        <f>IF(ISERROR(VLOOKUP($S$35,'TAR FIN'!$A$1:$O$85,15,0)),0,VLOOKUP($S$35,'TAR FIN'!$A$1:$O$85,15,0))</f>
        <v>51.93</v>
      </c>
      <c r="W35" s="6">
        <f>IF(ISERROR(VLOOKUP($T$35,'TAR FIN'!$A$1:$O$85,15,0)),0,VLOOKUP($T$35,'TAR FIN'!$A$1:$O$85,15,0))</f>
        <v>0</v>
      </c>
      <c r="X35" s="6">
        <f>IF(ISERROR(VLOOKUP($U$35,'TAR FIN'!$A$1:$O$85,15,0)),0,VLOOKUP($U$35,'TAR FIN'!$A$1:$O$85,15,0))</f>
        <v>0</v>
      </c>
      <c r="Y35" s="6">
        <f ca="1">('TUSD BE'!$AM$5+'TUSD BF'!$AM$5+'TUSD CVA'!$AM$5)*1</f>
        <v>57.5166740764178</v>
      </c>
      <c r="Z35" s="6">
        <f ca="1">('TUSD BE'!$AM$7+'TUSD BF'!$AM$7+'TUSD CVA'!$AM$7)*1</f>
        <v>147.99431148733765</v>
      </c>
      <c r="AA35" s="6"/>
      <c r="AB35" s="6">
        <f t="shared" si="0"/>
        <v>75162.962700000004</v>
      </c>
      <c r="AC35" s="6">
        <f t="shared" si="6"/>
        <v>0</v>
      </c>
      <c r="AD35" s="6">
        <f t="shared" ca="1" si="2"/>
        <v>83249.058891466368</v>
      </c>
      <c r="AE35" s="6">
        <f t="shared" ca="1" si="7"/>
        <v>0</v>
      </c>
      <c r="AF35" s="4" t="s">
        <v>845</v>
      </c>
    </row>
    <row r="36" spans="1:32" ht="11.25" customHeight="1" x14ac:dyDescent="0.25">
      <c r="A36" s="4" t="s">
        <v>21</v>
      </c>
      <c r="B36" s="4" t="s">
        <v>39</v>
      </c>
      <c r="C36" s="4" t="s">
        <v>42</v>
      </c>
      <c r="D36" s="4" t="s">
        <v>38</v>
      </c>
      <c r="E36" s="4" t="s">
        <v>25</v>
      </c>
      <c r="F36" s="4" t="s">
        <v>57</v>
      </c>
      <c r="G36" s="4" t="s">
        <v>25</v>
      </c>
      <c r="H36" s="4" t="s">
        <v>34</v>
      </c>
      <c r="I36" s="5">
        <v>44743</v>
      </c>
      <c r="J36" s="6">
        <v>2900</v>
      </c>
      <c r="K36" s="6">
        <v>1461.6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58</v>
      </c>
      <c r="R36" s="4">
        <v>0</v>
      </c>
      <c r="S36" s="4">
        <v>1</v>
      </c>
      <c r="T36" s="4">
        <v>0</v>
      </c>
      <c r="U36" s="4">
        <v>0</v>
      </c>
      <c r="V36" s="6">
        <f>IF(ISERROR(VLOOKUP($S$36,'TAR FIN'!$A$1:$O$85,15,0)),0,VLOOKUP($S$36,'TAR FIN'!$A$1:$O$85,15,0))</f>
        <v>51.93</v>
      </c>
      <c r="W36" s="6">
        <f>IF(ISERROR(VLOOKUP($T$36,'TAR FIN'!$A$1:$O$85,15,0)),0,VLOOKUP($T$36,'TAR FIN'!$A$1:$O$85,15,0))</f>
        <v>0</v>
      </c>
      <c r="X36" s="6">
        <f>IF(ISERROR(VLOOKUP($U$36,'TAR FIN'!$A$1:$O$85,15,0)),0,VLOOKUP($U$36,'TAR FIN'!$A$1:$O$85,15,0))</f>
        <v>0</v>
      </c>
      <c r="Y36" s="6">
        <f ca="1">('TUSD BE'!$AM$5+'TUSD BF'!$AM$5+'TUSD CVA'!$AM$5)*1</f>
        <v>57.5166740764178</v>
      </c>
      <c r="Z36" s="6">
        <f ca="1">('TUSD BE'!$AM$7+'TUSD BF'!$AM$7+'TUSD CVA'!$AM$7)*1</f>
        <v>147.99431148733765</v>
      </c>
      <c r="AA36" s="6"/>
      <c r="AB36" s="6">
        <f t="shared" si="0"/>
        <v>74696.112000000008</v>
      </c>
      <c r="AC36" s="6">
        <f t="shared" si="6"/>
        <v>0</v>
      </c>
      <c r="AD36" s="6">
        <f t="shared" ca="1" si="2"/>
        <v>82731.983991519373</v>
      </c>
      <c r="AE36" s="6">
        <f t="shared" ca="1" si="7"/>
        <v>0</v>
      </c>
      <c r="AF36" s="4" t="s">
        <v>845</v>
      </c>
    </row>
    <row r="37" spans="1:32" ht="11.25" customHeight="1" x14ac:dyDescent="0.25">
      <c r="A37" s="4" t="s">
        <v>56</v>
      </c>
      <c r="B37" s="4" t="s">
        <v>39</v>
      </c>
      <c r="C37" s="4" t="s">
        <v>42</v>
      </c>
      <c r="D37" s="4" t="s">
        <v>38</v>
      </c>
      <c r="E37" s="4" t="s">
        <v>25</v>
      </c>
      <c r="F37" s="4" t="s">
        <v>57</v>
      </c>
      <c r="G37" s="4" t="s">
        <v>25</v>
      </c>
      <c r="H37" s="4" t="s">
        <v>34</v>
      </c>
      <c r="I37" s="5">
        <v>44774</v>
      </c>
      <c r="J37" s="6">
        <v>2900</v>
      </c>
      <c r="K37" s="6">
        <v>1461.6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58</v>
      </c>
      <c r="R37" s="4">
        <v>0</v>
      </c>
      <c r="S37" s="4">
        <v>1</v>
      </c>
      <c r="T37" s="4">
        <v>0</v>
      </c>
      <c r="U37" s="4">
        <v>0</v>
      </c>
      <c r="V37" s="6">
        <f>IF(ISERROR(VLOOKUP($S$37,'TAR FIN'!$A$1:$O$85,15,0)),0,VLOOKUP($S$37,'TAR FIN'!$A$1:$O$85,15,0))</f>
        <v>51.93</v>
      </c>
      <c r="W37" s="6">
        <f>IF(ISERROR(VLOOKUP($T$37,'TAR FIN'!$A$1:$O$85,15,0)),0,VLOOKUP($T$37,'TAR FIN'!$A$1:$O$85,15,0))</f>
        <v>0</v>
      </c>
      <c r="X37" s="6">
        <f>IF(ISERROR(VLOOKUP($U$37,'TAR FIN'!$A$1:$O$85,15,0)),0,VLOOKUP($U$37,'TAR FIN'!$A$1:$O$85,15,0))</f>
        <v>0</v>
      </c>
      <c r="Y37" s="6">
        <f ca="1">('TUSD BE'!$AM$5+'TUSD BF'!$AM$5+'TUSD CVA'!$AM$5)*1</f>
        <v>57.5166740764178</v>
      </c>
      <c r="Z37" s="6">
        <f ca="1">('TUSD BE'!$AM$7+'TUSD BF'!$AM$7+'TUSD CVA'!$AM$7)*1</f>
        <v>147.99431148733765</v>
      </c>
      <c r="AA37" s="6"/>
      <c r="AB37" s="6">
        <f t="shared" si="0"/>
        <v>74696.112000000008</v>
      </c>
      <c r="AC37" s="6">
        <f t="shared" si="6"/>
        <v>0</v>
      </c>
      <c r="AD37" s="6">
        <f t="shared" ca="1" si="2"/>
        <v>82731.983991519373</v>
      </c>
      <c r="AE37" s="6">
        <f t="shared" ca="1" si="7"/>
        <v>0</v>
      </c>
      <c r="AF37" s="4" t="s">
        <v>845</v>
      </c>
    </row>
    <row r="38" spans="1:32" ht="11.25" customHeight="1" x14ac:dyDescent="0.25">
      <c r="A38" s="4" t="s">
        <v>21</v>
      </c>
      <c r="B38" s="4" t="s">
        <v>39</v>
      </c>
      <c r="C38" s="4" t="s">
        <v>42</v>
      </c>
      <c r="D38" s="4" t="s">
        <v>44</v>
      </c>
      <c r="E38" s="4" t="s">
        <v>25</v>
      </c>
      <c r="F38" s="4" t="s">
        <v>25</v>
      </c>
      <c r="G38" s="4" t="s">
        <v>25</v>
      </c>
      <c r="H38" s="4" t="s">
        <v>35</v>
      </c>
      <c r="I38" s="5">
        <v>44440</v>
      </c>
      <c r="J38" s="6">
        <v>243</v>
      </c>
      <c r="K38" s="70">
        <v>243</v>
      </c>
      <c r="L38" s="6">
        <v>77.897999999999996</v>
      </c>
      <c r="M38" s="70">
        <v>77.897999999999996</v>
      </c>
      <c r="N38" s="6">
        <v>77.897999999999996</v>
      </c>
      <c r="O38" s="70">
        <v>77.897999999999996</v>
      </c>
      <c r="P38" s="6">
        <v>0</v>
      </c>
      <c r="Q38" s="4" t="s">
        <v>26</v>
      </c>
      <c r="R38" s="4">
        <v>0</v>
      </c>
      <c r="S38" s="4">
        <v>2</v>
      </c>
      <c r="T38" s="4">
        <v>3</v>
      </c>
      <c r="U38" s="4">
        <v>49</v>
      </c>
      <c r="V38" s="70">
        <f>IF(ISERROR(VLOOKUP($S$38,'TAR FIN'!$A$1:$O$85,15,0)),0,VLOOKUP($S$38,'TAR FIN'!$A$1:$O$85,15,0))*(1-0.04)</f>
        <v>15.974399999999999</v>
      </c>
      <c r="W38" s="70">
        <f>IF(ISERROR(VLOOKUP($T$38,'TAR FIN'!$A$1:$O$85,15,0)),0,VLOOKUP($T$38,'TAR FIN'!$A$1:$O$85,15,0))*(1-0.04)</f>
        <v>73.679999999999993</v>
      </c>
      <c r="X38" s="70">
        <f>IF(ISERROR(VLOOKUP($U$38,'TAR FIN'!$A$1:$O$85,15,0)),0,VLOOKUP($U$38,'TAR FIN'!$A$1:$O$85,15,0))*(1-0.04)</f>
        <v>294.79679999999996</v>
      </c>
      <c r="Y38" s="70">
        <f ca="1">('TUSD BE'!$AM$6+'TUSD BF'!$AM$6+'TUSD CVA'!$AM$6)*1*(1-0.02)</f>
        <v>18.004417335184016</v>
      </c>
      <c r="Z38" s="70">
        <f ca="1">('TUSD BE'!$AM$7+'TUSD BF'!$AM$7+'TUSD CVA'!$AM$7)*1*(1-0.02)</f>
        <v>145.0344252575909</v>
      </c>
      <c r="AA38" s="70">
        <f>('TE BE'!$AB$6+'TE BF'!$AB$6+'TE CVA'!$AB$6)*1*(1-0.02)</f>
        <v>298.77287296580289</v>
      </c>
      <c r="AB38" s="70">
        <f>(SUBSIDIO!$J$38*SUBSIDIO!$V$38)*(0.04)/(1-0.04)</f>
        <v>161.74080000000001</v>
      </c>
      <c r="AC38" s="70">
        <f>((SUBSIDIO!$L$38*SUBSIDIO!$W$38)+(SUBSIDIO!$N$38*SUBSIDIO!$X$38))*(0.04)/(1-0.04)</f>
        <v>1195.9835736</v>
      </c>
      <c r="AD38" s="70">
        <f ca="1">(SUBSIDIO!$J$38*SUBSIDIO!$Y$38)*(0.02)/(1-0.02)</f>
        <v>89.287212498973787</v>
      </c>
      <c r="AE38" s="70">
        <f ca="1">((SUBSIDIO!$L$38*SUBSIDIO!$Z$38)+(SUBSIDIO!$N$38*SUBSIDIO!$AA$38))*(0.02)/(1-0.02)</f>
        <v>705.54491667359036</v>
      </c>
      <c r="AF38" s="4" t="s">
        <v>846</v>
      </c>
    </row>
    <row r="39" spans="1:32" ht="11.25" customHeight="1" x14ac:dyDescent="0.25">
      <c r="A39" s="4" t="s">
        <v>21</v>
      </c>
      <c r="B39" s="4" t="s">
        <v>39</v>
      </c>
      <c r="C39" s="4" t="s">
        <v>42</v>
      </c>
      <c r="D39" s="4" t="s">
        <v>44</v>
      </c>
      <c r="E39" s="4" t="s">
        <v>25</v>
      </c>
      <c r="F39" s="4" t="s">
        <v>25</v>
      </c>
      <c r="G39" s="4" t="s">
        <v>25</v>
      </c>
      <c r="H39" s="4" t="s">
        <v>35</v>
      </c>
      <c r="I39" s="5">
        <v>44470</v>
      </c>
      <c r="J39" s="6">
        <v>327</v>
      </c>
      <c r="K39" s="70">
        <v>327</v>
      </c>
      <c r="L39" s="6">
        <v>97.45</v>
      </c>
      <c r="M39" s="70">
        <v>97.45</v>
      </c>
      <c r="N39" s="6">
        <v>97.45</v>
      </c>
      <c r="O39" s="70">
        <v>97.45</v>
      </c>
      <c r="P39" s="6">
        <v>0</v>
      </c>
      <c r="Q39" s="4" t="s">
        <v>26</v>
      </c>
      <c r="R39" s="4">
        <v>0</v>
      </c>
      <c r="S39" s="4">
        <v>2</v>
      </c>
      <c r="T39" s="4">
        <v>3</v>
      </c>
      <c r="U39" s="4">
        <v>49</v>
      </c>
      <c r="V39" s="70">
        <f>IF(ISERROR(VLOOKUP($S$39,'TAR FIN'!$A$1:$O$85,15,0)),0,VLOOKUP($S$39,'TAR FIN'!$A$1:$O$85,15,0))*(1-0.04)</f>
        <v>15.974399999999999</v>
      </c>
      <c r="W39" s="70">
        <f>IF(ISERROR(VLOOKUP($T$39,'TAR FIN'!$A$1:$O$85,15,0)),0,VLOOKUP($T$39,'TAR FIN'!$A$1:$O$85,15,0))*(1-0.04)</f>
        <v>73.679999999999993</v>
      </c>
      <c r="X39" s="70">
        <f>IF(ISERROR(VLOOKUP($U$39,'TAR FIN'!$A$1:$O$85,15,0)),0,VLOOKUP($U$39,'TAR FIN'!$A$1:$O$85,15,0))*(1-0.04)</f>
        <v>294.79679999999996</v>
      </c>
      <c r="Y39" s="70">
        <f ca="1">('TUSD BE'!$AM$6+'TUSD BF'!$AM$6+'TUSD CVA'!$AM$6)*1*(1-0.02)</f>
        <v>18.004417335184016</v>
      </c>
      <c r="Z39" s="70">
        <f ca="1">('TUSD BE'!$AM$7+'TUSD BF'!$AM$7+'TUSD CVA'!$AM$7)*1*(1-0.02)</f>
        <v>145.0344252575909</v>
      </c>
      <c r="AA39" s="70">
        <f>('TE BE'!$AB$6+'TE BF'!$AB$6+'TE CVA'!$AB$6)*1*(1-0.02)</f>
        <v>298.77287296580289</v>
      </c>
      <c r="AB39" s="70">
        <f>(SUBSIDIO!$J$39*SUBSIDIO!$V$39)*(0.04)/(1-0.04)</f>
        <v>217.65119999999999</v>
      </c>
      <c r="AC39" s="70">
        <f>((SUBSIDIO!$L$39*SUBSIDIO!$W$39)+(SUBSIDIO!$N$39*SUBSIDIO!$X$39))*(0.04)/(1-0.04)</f>
        <v>1496.1693399999999</v>
      </c>
      <c r="AD39" s="70">
        <f ca="1">(SUBSIDIO!$J$39*SUBSIDIO!$Y$39)*(0.02)/(1-0.02)</f>
        <v>120.15192793071782</v>
      </c>
      <c r="AE39" s="70">
        <f ca="1">((SUBSIDIO!$L$39*SUBSIDIO!$Z$39)+(SUBSIDIO!$N$39*SUBSIDIO!$AA$39))*(0.02)/(1-0.02)</f>
        <v>882.63308595652495</v>
      </c>
      <c r="AF39" s="4" t="s">
        <v>846</v>
      </c>
    </row>
    <row r="40" spans="1:32" ht="11.25" customHeight="1" x14ac:dyDescent="0.25">
      <c r="A40" s="4" t="s">
        <v>21</v>
      </c>
      <c r="B40" s="4" t="s">
        <v>39</v>
      </c>
      <c r="C40" s="4" t="s">
        <v>42</v>
      </c>
      <c r="D40" s="4" t="s">
        <v>44</v>
      </c>
      <c r="E40" s="4" t="s">
        <v>25</v>
      </c>
      <c r="F40" s="4" t="s">
        <v>25</v>
      </c>
      <c r="G40" s="4" t="s">
        <v>25</v>
      </c>
      <c r="H40" s="4" t="s">
        <v>35</v>
      </c>
      <c r="I40" s="5">
        <v>44501</v>
      </c>
      <c r="J40" s="6">
        <v>375</v>
      </c>
      <c r="K40" s="70">
        <v>375</v>
      </c>
      <c r="L40" s="6">
        <v>99.433000000000007</v>
      </c>
      <c r="M40" s="70">
        <v>99.433000000000007</v>
      </c>
      <c r="N40" s="6">
        <v>99.433000000000007</v>
      </c>
      <c r="O40" s="70">
        <v>99.433000000000007</v>
      </c>
      <c r="P40" s="6">
        <v>0</v>
      </c>
      <c r="Q40" s="4" t="s">
        <v>26</v>
      </c>
      <c r="R40" s="4">
        <v>0</v>
      </c>
      <c r="S40" s="4">
        <v>2</v>
      </c>
      <c r="T40" s="4">
        <v>3</v>
      </c>
      <c r="U40" s="4">
        <v>49</v>
      </c>
      <c r="V40" s="70">
        <f>IF(ISERROR(VLOOKUP($S$40,'TAR FIN'!$A$1:$O$85,15,0)),0,VLOOKUP($S$40,'TAR FIN'!$A$1:$O$85,15,0))*(1-0.04)</f>
        <v>15.974399999999999</v>
      </c>
      <c r="W40" s="70">
        <f>IF(ISERROR(VLOOKUP($T$40,'TAR FIN'!$A$1:$O$85,15,0)),0,VLOOKUP($T$40,'TAR FIN'!$A$1:$O$85,15,0))*(1-0.04)</f>
        <v>73.679999999999993</v>
      </c>
      <c r="X40" s="70">
        <f>IF(ISERROR(VLOOKUP($U$40,'TAR FIN'!$A$1:$O$85,15,0)),0,VLOOKUP($U$40,'TAR FIN'!$A$1:$O$85,15,0))*(1-0.04)</f>
        <v>294.79679999999996</v>
      </c>
      <c r="Y40" s="70">
        <f ca="1">('TUSD BE'!$AM$6+'TUSD BF'!$AM$6+'TUSD CVA'!$AM$6)*1*(1-0.02)</f>
        <v>18.004417335184016</v>
      </c>
      <c r="Z40" s="70">
        <f ca="1">('TUSD BE'!$AM$7+'TUSD BF'!$AM$7+'TUSD CVA'!$AM$7)*1*(1-0.02)</f>
        <v>145.0344252575909</v>
      </c>
      <c r="AA40" s="70">
        <f>('TE BE'!$AB$6+'TE BF'!$AB$6+'TE CVA'!$AB$6)*1*(1-0.02)</f>
        <v>298.77287296580289</v>
      </c>
      <c r="AB40" s="70">
        <f>(SUBSIDIO!$J$40*SUBSIDIO!$V$40)*(0.04)/(1-0.04)</f>
        <v>249.6</v>
      </c>
      <c r="AC40" s="70">
        <f>((SUBSIDIO!$L$40*SUBSIDIO!$W$40)+(SUBSIDIO!$N$40*SUBSIDIO!$X$40))*(0.04)/(1-0.04)</f>
        <v>1526.6147355999999</v>
      </c>
      <c r="AD40" s="70">
        <f ca="1">(SUBSIDIO!$J$40*SUBSIDIO!$Y$40)*(0.02)/(1-0.02)</f>
        <v>137.78890817742871</v>
      </c>
      <c r="AE40" s="70">
        <f ca="1">((SUBSIDIO!$L$40*SUBSIDIO!$Z$40)+(SUBSIDIO!$N$40*SUBSIDIO!$AA$40))*(0.02)/(1-0.02)</f>
        <v>900.59369559687173</v>
      </c>
      <c r="AF40" s="4" t="s">
        <v>846</v>
      </c>
    </row>
    <row r="41" spans="1:32" ht="11.25" customHeight="1" x14ac:dyDescent="0.25">
      <c r="A41" s="4" t="s">
        <v>21</v>
      </c>
      <c r="B41" s="4" t="s">
        <v>39</v>
      </c>
      <c r="C41" s="4" t="s">
        <v>42</v>
      </c>
      <c r="D41" s="4" t="s">
        <v>44</v>
      </c>
      <c r="E41" s="4" t="s">
        <v>25</v>
      </c>
      <c r="F41" s="4" t="s">
        <v>25</v>
      </c>
      <c r="G41" s="4" t="s">
        <v>25</v>
      </c>
      <c r="H41" s="4" t="s">
        <v>35</v>
      </c>
      <c r="I41" s="5">
        <v>44531</v>
      </c>
      <c r="J41" s="6">
        <v>372</v>
      </c>
      <c r="K41" s="70">
        <v>372</v>
      </c>
      <c r="L41" s="6">
        <v>105.24</v>
      </c>
      <c r="M41" s="70">
        <v>105.24</v>
      </c>
      <c r="N41" s="6">
        <v>105.24</v>
      </c>
      <c r="O41" s="70">
        <v>105.24</v>
      </c>
      <c r="P41" s="6">
        <v>0</v>
      </c>
      <c r="Q41" s="4" t="s">
        <v>26</v>
      </c>
      <c r="R41" s="4">
        <v>0</v>
      </c>
      <c r="S41" s="4">
        <v>2</v>
      </c>
      <c r="T41" s="4">
        <v>3</v>
      </c>
      <c r="U41" s="4">
        <v>49</v>
      </c>
      <c r="V41" s="70">
        <f>IF(ISERROR(VLOOKUP($S$41,'TAR FIN'!$A$1:$O$85,15,0)),0,VLOOKUP($S$41,'TAR FIN'!$A$1:$O$85,15,0))*(1-0.04)</f>
        <v>15.974399999999999</v>
      </c>
      <c r="W41" s="70">
        <f>IF(ISERROR(VLOOKUP($T$41,'TAR FIN'!$A$1:$O$85,15,0)),0,VLOOKUP($T$41,'TAR FIN'!$A$1:$O$85,15,0))*(1-0.04)</f>
        <v>73.679999999999993</v>
      </c>
      <c r="X41" s="70">
        <f>IF(ISERROR(VLOOKUP($U$41,'TAR FIN'!$A$1:$O$85,15,0)),0,VLOOKUP($U$41,'TAR FIN'!$A$1:$O$85,15,0))*(1-0.04)</f>
        <v>294.79679999999996</v>
      </c>
      <c r="Y41" s="70">
        <f ca="1">('TUSD BE'!$AM$6+'TUSD BF'!$AM$6+'TUSD CVA'!$AM$6)*1*(1-0.02)</f>
        <v>18.004417335184016</v>
      </c>
      <c r="Z41" s="70">
        <f ca="1">('TUSD BE'!$AM$7+'TUSD BF'!$AM$7+'TUSD CVA'!$AM$7)*1*(1-0.02)</f>
        <v>145.0344252575909</v>
      </c>
      <c r="AA41" s="70">
        <f>('TE BE'!$AB$6+'TE BF'!$AB$6+'TE CVA'!$AB$6)*1*(1-0.02)</f>
        <v>298.77287296580289</v>
      </c>
      <c r="AB41" s="70">
        <f>(SUBSIDIO!$J$41*SUBSIDIO!$V$41)*(0.04)/(1-0.04)</f>
        <v>247.60319999999999</v>
      </c>
      <c r="AC41" s="70">
        <f>((SUBSIDIO!$L$41*SUBSIDIO!$W$41)+(SUBSIDIO!$N$41*SUBSIDIO!$X$41))*(0.04)/(1-0.04)</f>
        <v>1615.7707679999996</v>
      </c>
      <c r="AD41" s="70">
        <f ca="1">(SUBSIDIO!$J$41*SUBSIDIO!$Y$41)*(0.02)/(1-0.02)</f>
        <v>136.68659691200929</v>
      </c>
      <c r="AE41" s="70">
        <f ca="1">((SUBSIDIO!$L$41*SUBSIDIO!$Z$41)+(SUBSIDIO!$N$41*SUBSIDIO!$AA$41))*(0.02)/(1-0.02)</f>
        <v>953.18938908224413</v>
      </c>
      <c r="AF41" s="4" t="s">
        <v>846</v>
      </c>
    </row>
    <row r="42" spans="1:32" ht="11.25" customHeight="1" x14ac:dyDescent="0.25">
      <c r="A42" s="4" t="s">
        <v>21</v>
      </c>
      <c r="B42" s="4" t="s">
        <v>39</v>
      </c>
      <c r="C42" s="4" t="s">
        <v>42</v>
      </c>
      <c r="D42" s="4" t="s">
        <v>44</v>
      </c>
      <c r="E42" s="4" t="s">
        <v>25</v>
      </c>
      <c r="F42" s="4" t="s">
        <v>25</v>
      </c>
      <c r="G42" s="4" t="s">
        <v>25</v>
      </c>
      <c r="H42" s="4" t="s">
        <v>35</v>
      </c>
      <c r="I42" s="5">
        <v>44562</v>
      </c>
      <c r="J42" s="6">
        <v>428</v>
      </c>
      <c r="K42" s="70">
        <v>428</v>
      </c>
      <c r="L42" s="6">
        <v>94.23</v>
      </c>
      <c r="M42" s="70">
        <v>94.23</v>
      </c>
      <c r="N42" s="6">
        <v>94.23</v>
      </c>
      <c r="O42" s="70">
        <v>94.23</v>
      </c>
      <c r="P42" s="6">
        <v>0</v>
      </c>
      <c r="Q42" s="4" t="s">
        <v>26</v>
      </c>
      <c r="R42" s="4">
        <v>0</v>
      </c>
      <c r="S42" s="4">
        <v>2</v>
      </c>
      <c r="T42" s="4">
        <v>3</v>
      </c>
      <c r="U42" s="4">
        <v>49</v>
      </c>
      <c r="V42" s="70">
        <f>IF(ISERROR(VLOOKUP($S$42,'TAR FIN'!$A$1:$O$85,15,0)),0,VLOOKUP($S$42,'TAR FIN'!$A$1:$O$85,15,0))*(1-0.04)</f>
        <v>15.974399999999999</v>
      </c>
      <c r="W42" s="70">
        <f>IF(ISERROR(VLOOKUP($T$42,'TAR FIN'!$A$1:$O$85,15,0)),0,VLOOKUP($T$42,'TAR FIN'!$A$1:$O$85,15,0))*(1-0.04)</f>
        <v>73.679999999999993</v>
      </c>
      <c r="X42" s="70">
        <f>IF(ISERROR(VLOOKUP($U$42,'TAR FIN'!$A$1:$O$85,15,0)),0,VLOOKUP($U$42,'TAR FIN'!$A$1:$O$85,15,0))*(1-0.04)</f>
        <v>294.79679999999996</v>
      </c>
      <c r="Y42" s="70">
        <f ca="1">('TUSD BE'!$AM$6+'TUSD BF'!$AM$6+'TUSD CVA'!$AM$6)*1*(1-0.02)</f>
        <v>18.004417335184016</v>
      </c>
      <c r="Z42" s="70">
        <f ca="1">('TUSD BE'!$AM$7+'TUSD BF'!$AM$7+'TUSD CVA'!$AM$7)*1*(1-0.02)</f>
        <v>145.0344252575909</v>
      </c>
      <c r="AA42" s="70">
        <f>('TE BE'!$AB$6+'TE BF'!$AB$6+'TE CVA'!$AB$6)*1*(1-0.02)</f>
        <v>298.77287296580289</v>
      </c>
      <c r="AB42" s="70">
        <f>(SUBSIDIO!$J$42*SUBSIDIO!$V$42)*(0.04)/(1-0.04)</f>
        <v>284.87680000000006</v>
      </c>
      <c r="AC42" s="70">
        <f>((SUBSIDIO!$L$42*SUBSIDIO!$W$42)+(SUBSIDIO!$N$42*SUBSIDIO!$X$42))*(0.04)/(1-0.04)</f>
        <v>1446.7320360000001</v>
      </c>
      <c r="AD42" s="70">
        <f ca="1">(SUBSIDIO!$J$42*SUBSIDIO!$Y$42)*(0.02)/(1-0.02)</f>
        <v>157.26307386650529</v>
      </c>
      <c r="AE42" s="70">
        <f ca="1">((SUBSIDIO!$L$42*SUBSIDIO!$Z$42)+(SUBSIDIO!$N$42*SUBSIDIO!$AA$42))*(0.02)/(1-0.02)</f>
        <v>853.4686063589877</v>
      </c>
      <c r="AF42" s="4" t="s">
        <v>846</v>
      </c>
    </row>
    <row r="43" spans="1:32" ht="11.25" customHeight="1" x14ac:dyDescent="0.25">
      <c r="A43" s="4" t="s">
        <v>21</v>
      </c>
      <c r="B43" s="4" t="s">
        <v>39</v>
      </c>
      <c r="C43" s="4" t="s">
        <v>42</v>
      </c>
      <c r="D43" s="4" t="s">
        <v>44</v>
      </c>
      <c r="E43" s="4" t="s">
        <v>25</v>
      </c>
      <c r="F43" s="4" t="s">
        <v>25</v>
      </c>
      <c r="G43" s="4" t="s">
        <v>25</v>
      </c>
      <c r="H43" s="4" t="s">
        <v>35</v>
      </c>
      <c r="I43" s="5">
        <v>44593</v>
      </c>
      <c r="J43" s="6">
        <v>476</v>
      </c>
      <c r="K43" s="70">
        <v>476</v>
      </c>
      <c r="L43" s="6">
        <v>110.241</v>
      </c>
      <c r="M43" s="70">
        <v>110.241</v>
      </c>
      <c r="N43" s="6">
        <v>110.241</v>
      </c>
      <c r="O43" s="70">
        <v>110.241</v>
      </c>
      <c r="P43" s="6">
        <v>0</v>
      </c>
      <c r="Q43" s="4" t="s">
        <v>26</v>
      </c>
      <c r="R43" s="4">
        <v>0</v>
      </c>
      <c r="S43" s="4">
        <v>2</v>
      </c>
      <c r="T43" s="4">
        <v>3</v>
      </c>
      <c r="U43" s="4">
        <v>49</v>
      </c>
      <c r="V43" s="70">
        <f>IF(ISERROR(VLOOKUP($S$43,'TAR FIN'!$A$1:$O$85,15,0)),0,VLOOKUP($S$43,'TAR FIN'!$A$1:$O$85,15,0))*(1-0.04)</f>
        <v>15.974399999999999</v>
      </c>
      <c r="W43" s="70">
        <f>IF(ISERROR(VLOOKUP($T$43,'TAR FIN'!$A$1:$O$85,15,0)),0,VLOOKUP($T$43,'TAR FIN'!$A$1:$O$85,15,0))*(1-0.04)</f>
        <v>73.679999999999993</v>
      </c>
      <c r="X43" s="70">
        <f>IF(ISERROR(VLOOKUP($U$43,'TAR FIN'!$A$1:$O$85,15,0)),0,VLOOKUP($U$43,'TAR FIN'!$A$1:$O$85,15,0))*(1-0.04)</f>
        <v>294.79679999999996</v>
      </c>
      <c r="Y43" s="70">
        <f ca="1">('TUSD BE'!$AM$6+'TUSD BF'!$AM$6+'TUSD CVA'!$AM$6)*1*(1-0.02)</f>
        <v>18.004417335184016</v>
      </c>
      <c r="Z43" s="70">
        <f ca="1">('TUSD BE'!$AM$7+'TUSD BF'!$AM$7+'TUSD CVA'!$AM$7)*1*(1-0.02)</f>
        <v>145.0344252575909</v>
      </c>
      <c r="AA43" s="70">
        <f>('TE BE'!$AB$6+'TE BF'!$AB$6+'TE CVA'!$AB$6)*1*(1-0.02)</f>
        <v>298.77287296580289</v>
      </c>
      <c r="AB43" s="70">
        <f>(SUBSIDIO!$J$43*SUBSIDIO!$V$43)*(0.04)/(1-0.04)</f>
        <v>316.82559999999995</v>
      </c>
      <c r="AC43" s="70">
        <f>((SUBSIDIO!$L$43*SUBSIDIO!$W$43)+(SUBSIDIO!$N$43*SUBSIDIO!$X$43))*(0.04)/(1-0.04)</f>
        <v>1692.5521211999999</v>
      </c>
      <c r="AD43" s="70">
        <f ca="1">(SUBSIDIO!$J$43*SUBSIDIO!$Y$43)*(0.02)/(1-0.02)</f>
        <v>174.90005411321616</v>
      </c>
      <c r="AE43" s="70">
        <f ca="1">((SUBSIDIO!$L$43*SUBSIDIO!$Z$43)+(SUBSIDIO!$N$43*SUBSIDIO!$AA$43))*(0.02)/(1-0.02)</f>
        <v>998.4849053764317</v>
      </c>
      <c r="AF43" s="4" t="s">
        <v>846</v>
      </c>
    </row>
    <row r="44" spans="1:32" ht="11.25" customHeight="1" x14ac:dyDescent="0.25">
      <c r="A44" s="4" t="s">
        <v>21</v>
      </c>
      <c r="B44" s="4" t="s">
        <v>39</v>
      </c>
      <c r="C44" s="4" t="s">
        <v>42</v>
      </c>
      <c r="D44" s="4" t="s">
        <v>44</v>
      </c>
      <c r="E44" s="4" t="s">
        <v>25</v>
      </c>
      <c r="F44" s="4" t="s">
        <v>25</v>
      </c>
      <c r="G44" s="4" t="s">
        <v>25</v>
      </c>
      <c r="H44" s="4" t="s">
        <v>35</v>
      </c>
      <c r="I44" s="5">
        <v>44621</v>
      </c>
      <c r="J44" s="6">
        <v>538</v>
      </c>
      <c r="K44" s="70">
        <v>538</v>
      </c>
      <c r="L44" s="6">
        <v>126.678</v>
      </c>
      <c r="M44" s="70">
        <v>126.678</v>
      </c>
      <c r="N44" s="6">
        <v>126.678</v>
      </c>
      <c r="O44" s="70">
        <v>126.678</v>
      </c>
      <c r="P44" s="6">
        <v>0</v>
      </c>
      <c r="Q44" s="4" t="s">
        <v>26</v>
      </c>
      <c r="R44" s="4">
        <v>0</v>
      </c>
      <c r="S44" s="4">
        <v>2</v>
      </c>
      <c r="T44" s="4">
        <v>3</v>
      </c>
      <c r="U44" s="4">
        <v>49</v>
      </c>
      <c r="V44" s="70">
        <f>IF(ISERROR(VLOOKUP($S$44,'TAR FIN'!$A$1:$O$85,15,0)),0,VLOOKUP($S$44,'TAR FIN'!$A$1:$O$85,15,0))*(1-0.04)</f>
        <v>15.974399999999999</v>
      </c>
      <c r="W44" s="70">
        <f>IF(ISERROR(VLOOKUP($T$44,'TAR FIN'!$A$1:$O$85,15,0)),0,VLOOKUP($T$44,'TAR FIN'!$A$1:$O$85,15,0))*(1-0.04)</f>
        <v>73.679999999999993</v>
      </c>
      <c r="X44" s="70">
        <f>IF(ISERROR(VLOOKUP($U$44,'TAR FIN'!$A$1:$O$85,15,0)),0,VLOOKUP($U$44,'TAR FIN'!$A$1:$O$85,15,0))*(1-0.04)</f>
        <v>294.79679999999996</v>
      </c>
      <c r="Y44" s="70">
        <f ca="1">('TUSD BE'!$AM$6+'TUSD BF'!$AM$6+'TUSD CVA'!$AM$6)*1*(1-0.02)</f>
        <v>18.004417335184016</v>
      </c>
      <c r="Z44" s="70">
        <f ca="1">('TUSD BE'!$AM$7+'TUSD BF'!$AM$7+'TUSD CVA'!$AM$7)*1*(1-0.02)</f>
        <v>145.0344252575909</v>
      </c>
      <c r="AA44" s="70">
        <f>('TE BE'!$AB$6+'TE BF'!$AB$6+'TE CVA'!$AB$6)*1*(1-0.02)</f>
        <v>298.77287296580289</v>
      </c>
      <c r="AB44" s="70">
        <f>(SUBSIDIO!$J$44*SUBSIDIO!$V$44)*(0.04)/(1-0.04)</f>
        <v>358.09279999999995</v>
      </c>
      <c r="AC44" s="70">
        <f>((SUBSIDIO!$L$44*SUBSIDIO!$W$44)+(SUBSIDIO!$N$44*SUBSIDIO!$X$44))*(0.04)/(1-0.04)</f>
        <v>1944.9126695999998</v>
      </c>
      <c r="AD44" s="70">
        <f ca="1">(SUBSIDIO!$J$44*SUBSIDIO!$Y$44)*(0.02)/(1-0.02)</f>
        <v>197.68115359855105</v>
      </c>
      <c r="AE44" s="70">
        <f ca="1">((SUBSIDIO!$L$44*SUBSIDIO!$Z$44)+(SUBSIDIO!$N$44*SUBSIDIO!$AA$44))*(0.02)/(1-0.02)</f>
        <v>1147.3596107008791</v>
      </c>
      <c r="AF44" s="4" t="s">
        <v>846</v>
      </c>
    </row>
    <row r="45" spans="1:32" ht="11.25" customHeight="1" x14ac:dyDescent="0.25">
      <c r="A45" s="4" t="s">
        <v>21</v>
      </c>
      <c r="B45" s="4" t="s">
        <v>39</v>
      </c>
      <c r="C45" s="4" t="s">
        <v>42</v>
      </c>
      <c r="D45" s="4" t="s">
        <v>44</v>
      </c>
      <c r="E45" s="4" t="s">
        <v>25</v>
      </c>
      <c r="F45" s="4" t="s">
        <v>25</v>
      </c>
      <c r="G45" s="4" t="s">
        <v>25</v>
      </c>
      <c r="H45" s="4" t="s">
        <v>35</v>
      </c>
      <c r="I45" s="5">
        <v>44652</v>
      </c>
      <c r="J45" s="6">
        <v>614</v>
      </c>
      <c r="K45" s="70">
        <v>614</v>
      </c>
      <c r="L45" s="6">
        <v>132.88300000000001</v>
      </c>
      <c r="M45" s="70">
        <v>132.88300000000001</v>
      </c>
      <c r="N45" s="6">
        <v>132.88300000000001</v>
      </c>
      <c r="O45" s="70">
        <v>132.88300000000001</v>
      </c>
      <c r="P45" s="6">
        <v>0</v>
      </c>
      <c r="Q45" s="4" t="s">
        <v>26</v>
      </c>
      <c r="R45" s="4">
        <v>0</v>
      </c>
      <c r="S45" s="4">
        <v>2</v>
      </c>
      <c r="T45" s="4">
        <v>3</v>
      </c>
      <c r="U45" s="4">
        <v>49</v>
      </c>
      <c r="V45" s="70">
        <f>IF(ISERROR(VLOOKUP($S$45,'TAR FIN'!$A$1:$O$85,15,0)),0,VLOOKUP($S$45,'TAR FIN'!$A$1:$O$85,15,0))*(1-0.04)</f>
        <v>15.974399999999999</v>
      </c>
      <c r="W45" s="70">
        <f>IF(ISERROR(VLOOKUP($T$45,'TAR FIN'!$A$1:$O$85,15,0)),0,VLOOKUP($T$45,'TAR FIN'!$A$1:$O$85,15,0))*(1-0.04)</f>
        <v>73.679999999999993</v>
      </c>
      <c r="X45" s="70">
        <f>IF(ISERROR(VLOOKUP($U$45,'TAR FIN'!$A$1:$O$85,15,0)),0,VLOOKUP($U$45,'TAR FIN'!$A$1:$O$85,15,0))*(1-0.04)</f>
        <v>294.79679999999996</v>
      </c>
      <c r="Y45" s="70">
        <f ca="1">('TUSD BE'!$AM$6+'TUSD BF'!$AM$6+'TUSD CVA'!$AM$6)*1*(1-0.02)</f>
        <v>18.004417335184016</v>
      </c>
      <c r="Z45" s="70">
        <f ca="1">('TUSD BE'!$AM$7+'TUSD BF'!$AM$7+'TUSD CVA'!$AM$7)*1*(1-0.02)</f>
        <v>145.0344252575909</v>
      </c>
      <c r="AA45" s="70">
        <f>('TE BE'!$AB$6+'TE BF'!$AB$6+'TE CVA'!$AB$6)*1*(1-0.02)</f>
        <v>298.77287296580289</v>
      </c>
      <c r="AB45" s="70">
        <f>(SUBSIDIO!$J$45*SUBSIDIO!$V$45)*(0.04)/(1-0.04)</f>
        <v>408.67840000000007</v>
      </c>
      <c r="AC45" s="70">
        <f>((SUBSIDIO!$L$45*SUBSIDIO!$W$45)+(SUBSIDIO!$N$45*SUBSIDIO!$X$45))*(0.04)/(1-0.04)</f>
        <v>2040.1792756</v>
      </c>
      <c r="AD45" s="70">
        <f ca="1">(SUBSIDIO!$J$45*SUBSIDIO!$Y$45)*(0.02)/(1-0.02)</f>
        <v>225.60637232250991</v>
      </c>
      <c r="AE45" s="70">
        <f ca="1">((SUBSIDIO!$L$45*SUBSIDIO!$Z$45)+(SUBSIDIO!$N$45*SUBSIDIO!$AA$45))*(0.02)/(1-0.02)</f>
        <v>1203.5601063228419</v>
      </c>
      <c r="AF45" s="4" t="s">
        <v>846</v>
      </c>
    </row>
    <row r="46" spans="1:32" ht="11.25" customHeight="1" x14ac:dyDescent="0.25">
      <c r="A46" s="4" t="s">
        <v>21</v>
      </c>
      <c r="B46" s="4" t="s">
        <v>39</v>
      </c>
      <c r="C46" s="4" t="s">
        <v>42</v>
      </c>
      <c r="D46" s="4" t="s">
        <v>44</v>
      </c>
      <c r="E46" s="4" t="s">
        <v>25</v>
      </c>
      <c r="F46" s="4" t="s">
        <v>25</v>
      </c>
      <c r="G46" s="4" t="s">
        <v>25</v>
      </c>
      <c r="H46" s="4" t="s">
        <v>35</v>
      </c>
      <c r="I46" s="5">
        <v>44682</v>
      </c>
      <c r="J46" s="6">
        <v>544</v>
      </c>
      <c r="K46" s="70">
        <v>544</v>
      </c>
      <c r="L46" s="6">
        <v>131.101</v>
      </c>
      <c r="M46" s="70">
        <v>131.101</v>
      </c>
      <c r="N46" s="6">
        <v>131.101</v>
      </c>
      <c r="O46" s="70">
        <v>131.101</v>
      </c>
      <c r="P46" s="6">
        <v>0</v>
      </c>
      <c r="Q46" s="4" t="s">
        <v>26</v>
      </c>
      <c r="R46" s="4">
        <v>0</v>
      </c>
      <c r="S46" s="4">
        <v>2</v>
      </c>
      <c r="T46" s="4">
        <v>3</v>
      </c>
      <c r="U46" s="4">
        <v>49</v>
      </c>
      <c r="V46" s="70">
        <f>IF(ISERROR(VLOOKUP($S$46,'TAR FIN'!$A$1:$O$85,15,0)),0,VLOOKUP($S$46,'TAR FIN'!$A$1:$O$85,15,0))*(1-0.04)</f>
        <v>15.974399999999999</v>
      </c>
      <c r="W46" s="70">
        <f>IF(ISERROR(VLOOKUP($T$46,'TAR FIN'!$A$1:$O$85,15,0)),0,VLOOKUP($T$46,'TAR FIN'!$A$1:$O$85,15,0))*(1-0.04)</f>
        <v>73.679999999999993</v>
      </c>
      <c r="X46" s="70">
        <f>IF(ISERROR(VLOOKUP($U$46,'TAR FIN'!$A$1:$O$85,15,0)),0,VLOOKUP($U$46,'TAR FIN'!$A$1:$O$85,15,0))*(1-0.04)</f>
        <v>294.79679999999996</v>
      </c>
      <c r="Y46" s="70">
        <f ca="1">('TUSD BE'!$AM$6+'TUSD BF'!$AM$6+'TUSD CVA'!$AM$6)*1*(1-0.02)</f>
        <v>18.004417335184016</v>
      </c>
      <c r="Z46" s="70">
        <f ca="1">('TUSD BE'!$AM$7+'TUSD BF'!$AM$7+'TUSD CVA'!$AM$7)*1*(1-0.02)</f>
        <v>145.0344252575909</v>
      </c>
      <c r="AA46" s="70">
        <f>('TE BE'!$AB$6+'TE BF'!$AB$6+'TE CVA'!$AB$6)*1*(1-0.02)</f>
        <v>298.77287296580289</v>
      </c>
      <c r="AB46" s="70">
        <f>(SUBSIDIO!$J$46*SUBSIDIO!$V$46)*(0.04)/(1-0.04)</f>
        <v>362.08639999999997</v>
      </c>
      <c r="AC46" s="70">
        <f>((SUBSIDIO!$L$46*SUBSIDIO!$W$46)+(SUBSIDIO!$N$46*SUBSIDIO!$X$46))*(0.04)/(1-0.04)</f>
        <v>2012.8198732000001</v>
      </c>
      <c r="AD46" s="70">
        <f ca="1">(SUBSIDIO!$J$46*SUBSIDIO!$Y$46)*(0.02)/(1-0.02)</f>
        <v>199.88577612938991</v>
      </c>
      <c r="AE46" s="70">
        <f ca="1">((SUBSIDIO!$L$46*SUBSIDIO!$Z$46)+(SUBSIDIO!$N$46*SUBSIDIO!$AA$46))*(0.02)/(1-0.02)</f>
        <v>1187.4200123343908</v>
      </c>
      <c r="AF46" s="4" t="s">
        <v>846</v>
      </c>
    </row>
    <row r="47" spans="1:32" ht="11.25" customHeight="1" x14ac:dyDescent="0.25">
      <c r="A47" s="4" t="s">
        <v>21</v>
      </c>
      <c r="B47" s="4" t="s">
        <v>39</v>
      </c>
      <c r="C47" s="4" t="s">
        <v>42</v>
      </c>
      <c r="D47" s="4" t="s">
        <v>44</v>
      </c>
      <c r="E47" s="4" t="s">
        <v>25</v>
      </c>
      <c r="F47" s="4" t="s">
        <v>25</v>
      </c>
      <c r="G47" s="4" t="s">
        <v>25</v>
      </c>
      <c r="H47" s="4" t="s">
        <v>35</v>
      </c>
      <c r="I47" s="5">
        <v>44713</v>
      </c>
      <c r="J47" s="6">
        <v>419</v>
      </c>
      <c r="K47" s="70">
        <v>419</v>
      </c>
      <c r="L47" s="6">
        <v>106.90300000000001</v>
      </c>
      <c r="M47" s="70">
        <v>106.90300000000001</v>
      </c>
      <c r="N47" s="6">
        <v>106.90300000000001</v>
      </c>
      <c r="O47" s="70">
        <v>106.90300000000001</v>
      </c>
      <c r="P47" s="6">
        <v>0</v>
      </c>
      <c r="Q47" s="4" t="s">
        <v>26</v>
      </c>
      <c r="R47" s="4">
        <v>0</v>
      </c>
      <c r="S47" s="4">
        <v>2</v>
      </c>
      <c r="T47" s="4">
        <v>3</v>
      </c>
      <c r="U47" s="4">
        <v>49</v>
      </c>
      <c r="V47" s="70">
        <f>IF(ISERROR(VLOOKUP($S$47,'TAR FIN'!$A$1:$O$85,15,0)),0,VLOOKUP($S$47,'TAR FIN'!$A$1:$O$85,15,0))*(1-0.04)</f>
        <v>15.974399999999999</v>
      </c>
      <c r="W47" s="70">
        <f>IF(ISERROR(VLOOKUP($T$47,'TAR FIN'!$A$1:$O$85,15,0)),0,VLOOKUP($T$47,'TAR FIN'!$A$1:$O$85,15,0))*(1-0.04)</f>
        <v>73.679999999999993</v>
      </c>
      <c r="X47" s="70">
        <f>IF(ISERROR(VLOOKUP($U$47,'TAR FIN'!$A$1:$O$85,15,0)),0,VLOOKUP($U$47,'TAR FIN'!$A$1:$O$85,15,0))*(1-0.04)</f>
        <v>294.79679999999996</v>
      </c>
      <c r="Y47" s="70">
        <f ca="1">('TUSD BE'!$AM$6+'TUSD BF'!$AM$6+'TUSD CVA'!$AM$6)*1*(1-0.02)</f>
        <v>18.004417335184016</v>
      </c>
      <c r="Z47" s="70">
        <f ca="1">('TUSD BE'!$AM$7+'TUSD BF'!$AM$7+'TUSD CVA'!$AM$7)*1*(1-0.02)</f>
        <v>145.0344252575909</v>
      </c>
      <c r="AA47" s="70">
        <f>('TE BE'!$AB$6+'TE BF'!$AB$6+'TE CVA'!$AB$6)*1*(1-0.02)</f>
        <v>298.77287296580289</v>
      </c>
      <c r="AB47" s="70">
        <f>(SUBSIDIO!$J$47*SUBSIDIO!$V$47)*(0.04)/(1-0.04)</f>
        <v>278.88639999999998</v>
      </c>
      <c r="AC47" s="70">
        <f>((SUBSIDIO!$L$47*SUBSIDIO!$W$47)+(SUBSIDIO!$N$47*SUBSIDIO!$X$47))*(0.04)/(1-0.04)</f>
        <v>1641.3031396000001</v>
      </c>
      <c r="AD47" s="70">
        <f ca="1">(SUBSIDIO!$J$47*SUBSIDIO!$Y$47)*(0.02)/(1-0.02)</f>
        <v>153.95614007024699</v>
      </c>
      <c r="AE47" s="70">
        <f ca="1">((SUBSIDIO!$L$47*SUBSIDIO!$Z$47)+(SUBSIDIO!$N$47*SUBSIDIO!$AA$47))*(0.02)/(1-0.02)</f>
        <v>968.25166534643824</v>
      </c>
      <c r="AF47" s="4" t="s">
        <v>846</v>
      </c>
    </row>
    <row r="48" spans="1:32" ht="11.25" customHeight="1" x14ac:dyDescent="0.25">
      <c r="A48" s="4" t="s">
        <v>21</v>
      </c>
      <c r="B48" s="4" t="s">
        <v>39</v>
      </c>
      <c r="C48" s="4" t="s">
        <v>42</v>
      </c>
      <c r="D48" s="4" t="s">
        <v>44</v>
      </c>
      <c r="E48" s="4" t="s">
        <v>25</v>
      </c>
      <c r="F48" s="4" t="s">
        <v>25</v>
      </c>
      <c r="G48" s="4" t="s">
        <v>25</v>
      </c>
      <c r="H48" s="4" t="s">
        <v>35</v>
      </c>
      <c r="I48" s="5">
        <v>44743</v>
      </c>
      <c r="J48" s="6">
        <v>394</v>
      </c>
      <c r="K48" s="70">
        <v>394</v>
      </c>
      <c r="L48" s="6">
        <v>110.07299999999999</v>
      </c>
      <c r="M48" s="70">
        <v>110.07299999999999</v>
      </c>
      <c r="N48" s="6">
        <v>110.07299999999999</v>
      </c>
      <c r="O48" s="70">
        <v>110.07299999999999</v>
      </c>
      <c r="P48" s="6">
        <v>0</v>
      </c>
      <c r="Q48" s="4" t="s">
        <v>26</v>
      </c>
      <c r="R48" s="4">
        <v>0</v>
      </c>
      <c r="S48" s="4">
        <v>2</v>
      </c>
      <c r="T48" s="4">
        <v>3</v>
      </c>
      <c r="U48" s="4">
        <v>49</v>
      </c>
      <c r="V48" s="70">
        <f>IF(ISERROR(VLOOKUP($S$48,'TAR FIN'!$A$1:$O$85,15,0)),0,VLOOKUP($S$48,'TAR FIN'!$A$1:$O$85,15,0))*(1-0.04)</f>
        <v>15.974399999999999</v>
      </c>
      <c r="W48" s="70">
        <f>IF(ISERROR(VLOOKUP($T$48,'TAR FIN'!$A$1:$O$85,15,0)),0,VLOOKUP($T$48,'TAR FIN'!$A$1:$O$85,15,0))*(1-0.04)</f>
        <v>73.679999999999993</v>
      </c>
      <c r="X48" s="70">
        <f>IF(ISERROR(VLOOKUP($U$48,'TAR FIN'!$A$1:$O$85,15,0)),0,VLOOKUP($U$48,'TAR FIN'!$A$1:$O$85,15,0))*(1-0.04)</f>
        <v>294.79679999999996</v>
      </c>
      <c r="Y48" s="70">
        <f ca="1">('TUSD BE'!$AM$6+'TUSD BF'!$AM$6+'TUSD CVA'!$AM$6)*1*(1-0.02)</f>
        <v>18.004417335184016</v>
      </c>
      <c r="Z48" s="70">
        <f ca="1">('TUSD BE'!$AM$7+'TUSD BF'!$AM$7+'TUSD CVA'!$AM$7)*1*(1-0.02)</f>
        <v>145.0344252575909</v>
      </c>
      <c r="AA48" s="70">
        <f>('TE BE'!$AB$6+'TE BF'!$AB$6+'TE CVA'!$AB$6)*1*(1-0.02)</f>
        <v>298.77287296580289</v>
      </c>
      <c r="AB48" s="70">
        <f>(SUBSIDIO!$J$48*SUBSIDIO!$V$48)*(0.04)/(1-0.04)</f>
        <v>262.24639999999999</v>
      </c>
      <c r="AC48" s="70">
        <f>((SUBSIDIO!$L$48*SUBSIDIO!$W$48)+(SUBSIDIO!$N$48*SUBSIDIO!$X$48))*(0.04)/(1-0.04)</f>
        <v>1689.9727835999997</v>
      </c>
      <c r="AD48" s="70">
        <f ca="1">(SUBSIDIO!$J$48*SUBSIDIO!$Y$48)*(0.02)/(1-0.02)</f>
        <v>144.7702128584184</v>
      </c>
      <c r="AE48" s="70">
        <f ca="1">((SUBSIDIO!$L$48*SUBSIDIO!$Z$48)+(SUBSIDIO!$N$48*SUBSIDIO!$AA$48))*(0.02)/(1-0.02)</f>
        <v>996.96328035395152</v>
      </c>
      <c r="AF48" s="4" t="s">
        <v>846</v>
      </c>
    </row>
    <row r="49" spans="1:32" ht="11.25" customHeight="1" x14ac:dyDescent="0.25">
      <c r="A49" s="4" t="s">
        <v>56</v>
      </c>
      <c r="B49" s="4" t="s">
        <v>39</v>
      </c>
      <c r="C49" s="4" t="s">
        <v>42</v>
      </c>
      <c r="D49" s="4" t="s">
        <v>44</v>
      </c>
      <c r="E49" s="4" t="s">
        <v>25</v>
      </c>
      <c r="F49" s="4" t="s">
        <v>25</v>
      </c>
      <c r="G49" s="4" t="s">
        <v>25</v>
      </c>
      <c r="H49" s="4" t="s">
        <v>35</v>
      </c>
      <c r="I49" s="5">
        <v>44774</v>
      </c>
      <c r="J49" s="6">
        <v>394</v>
      </c>
      <c r="K49" s="70">
        <v>394</v>
      </c>
      <c r="L49" s="6">
        <v>110.07299999999999</v>
      </c>
      <c r="M49" s="70">
        <v>110.07299999999999</v>
      </c>
      <c r="N49" s="6">
        <v>110.07299999999999</v>
      </c>
      <c r="O49" s="70">
        <v>110.07299999999999</v>
      </c>
      <c r="P49" s="6">
        <v>0</v>
      </c>
      <c r="Q49" s="4" t="s">
        <v>26</v>
      </c>
      <c r="R49" s="4">
        <v>0</v>
      </c>
      <c r="S49" s="4">
        <v>2</v>
      </c>
      <c r="T49" s="4">
        <v>3</v>
      </c>
      <c r="U49" s="4">
        <v>49</v>
      </c>
      <c r="V49" s="70">
        <f>IF(ISERROR(VLOOKUP($S$49,'TAR FIN'!$A$1:$O$85,15,0)),0,VLOOKUP($S$49,'TAR FIN'!$A$1:$O$85,15,0))*(1-0.04)</f>
        <v>15.974399999999999</v>
      </c>
      <c r="W49" s="70">
        <f>IF(ISERROR(VLOOKUP($T$49,'TAR FIN'!$A$1:$O$85,15,0)),0,VLOOKUP($T$49,'TAR FIN'!$A$1:$O$85,15,0))*(1-0.04)</f>
        <v>73.679999999999993</v>
      </c>
      <c r="X49" s="70">
        <f>IF(ISERROR(VLOOKUP($U$49,'TAR FIN'!$A$1:$O$85,15,0)),0,VLOOKUP($U$49,'TAR FIN'!$A$1:$O$85,15,0))*(1-0.04)</f>
        <v>294.79679999999996</v>
      </c>
      <c r="Y49" s="70">
        <f ca="1">('TUSD BE'!$AM$6+'TUSD BF'!$AM$6+'TUSD CVA'!$AM$6)*1*(1-0.02)</f>
        <v>18.004417335184016</v>
      </c>
      <c r="Z49" s="70">
        <f ca="1">('TUSD BE'!$AM$7+'TUSD BF'!$AM$7+'TUSD CVA'!$AM$7)*1*(1-0.02)</f>
        <v>145.0344252575909</v>
      </c>
      <c r="AA49" s="70">
        <f>('TE BE'!$AB$6+'TE BF'!$AB$6+'TE CVA'!$AB$6)*1*(1-0.02)</f>
        <v>298.77287296580289</v>
      </c>
      <c r="AB49" s="70">
        <f>(SUBSIDIO!$J$49*SUBSIDIO!$V$49)*(0.04)/(1-0.04)</f>
        <v>262.24639999999999</v>
      </c>
      <c r="AC49" s="70">
        <f>((SUBSIDIO!$L$49*SUBSIDIO!$W$49)+(SUBSIDIO!$N$49*SUBSIDIO!$X$49))*(0.04)/(1-0.04)</f>
        <v>1689.9727835999997</v>
      </c>
      <c r="AD49" s="70">
        <f ca="1">(SUBSIDIO!$J$49*SUBSIDIO!$Y$49)*(0.02)/(1-0.02)</f>
        <v>144.7702128584184</v>
      </c>
      <c r="AE49" s="70">
        <f ca="1">((SUBSIDIO!$L$49*SUBSIDIO!$Z$49)+(SUBSIDIO!$N$49*SUBSIDIO!$AA$49))*(0.02)/(1-0.02)</f>
        <v>996.96328035395152</v>
      </c>
      <c r="AF49" s="4" t="s">
        <v>846</v>
      </c>
    </row>
    <row r="50" spans="1:32" ht="11.25" customHeight="1" x14ac:dyDescent="0.25">
      <c r="A50" s="4" t="s">
        <v>21</v>
      </c>
      <c r="B50" s="4" t="s">
        <v>39</v>
      </c>
      <c r="C50" s="4" t="s">
        <v>42</v>
      </c>
      <c r="D50" s="4" t="s">
        <v>44</v>
      </c>
      <c r="E50" s="4" t="s">
        <v>25</v>
      </c>
      <c r="F50" s="4" t="s">
        <v>25</v>
      </c>
      <c r="G50" s="4" t="s">
        <v>25</v>
      </c>
      <c r="H50" s="4" t="s">
        <v>34</v>
      </c>
      <c r="I50" s="5">
        <v>44440</v>
      </c>
      <c r="J50" s="6">
        <v>158</v>
      </c>
      <c r="K50" s="70">
        <v>158</v>
      </c>
      <c r="L50" s="6">
        <v>7.8620000000000001</v>
      </c>
      <c r="M50" s="70">
        <v>7.8620000000000001</v>
      </c>
      <c r="N50" s="6">
        <v>7.8620000000000001</v>
      </c>
      <c r="O50" s="70">
        <v>7.8620000000000001</v>
      </c>
      <c r="P50" s="6">
        <v>0</v>
      </c>
      <c r="Q50" s="4" t="s">
        <v>26</v>
      </c>
      <c r="R50" s="4">
        <v>0</v>
      </c>
      <c r="S50" s="4">
        <v>1</v>
      </c>
      <c r="T50" s="4">
        <v>3</v>
      </c>
      <c r="U50" s="4">
        <v>48</v>
      </c>
      <c r="V50" s="70">
        <f>IF(ISERROR(VLOOKUP($S$50,'TAR FIN'!$A$1:$O$85,15,0)),0,VLOOKUP($S$50,'TAR FIN'!$A$1:$O$85,15,0))*(1-0.04)</f>
        <v>49.852799999999995</v>
      </c>
      <c r="W50" s="70">
        <f>IF(ISERROR(VLOOKUP($T$50,'TAR FIN'!$A$1:$O$85,15,0)),0,VLOOKUP($T$50,'TAR FIN'!$A$1:$O$85,15,0))*(1-0.04)</f>
        <v>73.679999999999993</v>
      </c>
      <c r="X50" s="70">
        <f>IF(ISERROR(VLOOKUP($U$50,'TAR FIN'!$A$1:$O$85,15,0)),0,VLOOKUP($U$50,'TAR FIN'!$A$1:$O$85,15,0))*(1-0.04)</f>
        <v>472.93439999999998</v>
      </c>
      <c r="Y50" s="70">
        <f ca="1">('TUSD BE'!$AM$5+'TUSD BF'!$AM$5+'TUSD CVA'!$AM$5)*1*(1-0.02)</f>
        <v>56.366340594889444</v>
      </c>
      <c r="Z50" s="70">
        <f ca="1">('TUSD BE'!$AM$7+'TUSD BF'!$AM$7+'TUSD CVA'!$AM$7)*1*(1-0.02)</f>
        <v>145.0344252575909</v>
      </c>
      <c r="AA50" s="70">
        <f>('TE BE'!$AB$5+'TE BF'!$AB$5+'TE CVA'!$AB$5)*1*(1-0.02)</f>
        <v>476.15845689016339</v>
      </c>
      <c r="AB50" s="70">
        <f>(SUBSIDIO!$J$50*SUBSIDIO!$V$50)*(0.04)/(1-0.04)</f>
        <v>328.19759999999997</v>
      </c>
      <c r="AC50" s="70">
        <f>((SUBSIDIO!$L$50*SUBSIDIO!$W$50)+(SUBSIDIO!$N$50*SUBSIDIO!$X$50))*(0.04)/(1-0.04)</f>
        <v>179.06176720000002</v>
      </c>
      <c r="AD50" s="70">
        <f ca="1">(SUBSIDIO!$J$50*SUBSIDIO!$Y$50)*(0.02)/(1-0.02)</f>
        <v>181.75269008148024</v>
      </c>
      <c r="AE50" s="70">
        <f ca="1">((SUBSIDIO!$L$50*SUBSIDIO!$Z$50)+(SUBSIDIO!$N$50*SUBSIDIO!$AA$50))*(0.02)/(1-0.02)</f>
        <v>99.669764070319275</v>
      </c>
      <c r="AF50" s="4" t="s">
        <v>846</v>
      </c>
    </row>
    <row r="51" spans="1:32" ht="11.25" customHeight="1" x14ac:dyDescent="0.25">
      <c r="A51" s="4" t="s">
        <v>21</v>
      </c>
      <c r="B51" s="4" t="s">
        <v>39</v>
      </c>
      <c r="C51" s="4" t="s">
        <v>42</v>
      </c>
      <c r="D51" s="4" t="s">
        <v>44</v>
      </c>
      <c r="E51" s="4" t="s">
        <v>25</v>
      </c>
      <c r="F51" s="4" t="s">
        <v>25</v>
      </c>
      <c r="G51" s="4" t="s">
        <v>25</v>
      </c>
      <c r="H51" s="4" t="s">
        <v>34</v>
      </c>
      <c r="I51" s="5">
        <v>44470</v>
      </c>
      <c r="J51" s="6">
        <v>217</v>
      </c>
      <c r="K51" s="70">
        <v>217</v>
      </c>
      <c r="L51" s="6">
        <v>10.103999999999999</v>
      </c>
      <c r="M51" s="70">
        <v>10.103999999999999</v>
      </c>
      <c r="N51" s="6">
        <v>10.103999999999999</v>
      </c>
      <c r="O51" s="70">
        <v>10.103999999999999</v>
      </c>
      <c r="P51" s="6">
        <v>0</v>
      </c>
      <c r="Q51" s="4" t="s">
        <v>26</v>
      </c>
      <c r="R51" s="4">
        <v>0</v>
      </c>
      <c r="S51" s="4">
        <v>1</v>
      </c>
      <c r="T51" s="4">
        <v>3</v>
      </c>
      <c r="U51" s="4">
        <v>48</v>
      </c>
      <c r="V51" s="70">
        <f>IF(ISERROR(VLOOKUP($S$51,'TAR FIN'!$A$1:$O$85,15,0)),0,VLOOKUP($S$51,'TAR FIN'!$A$1:$O$85,15,0))*(1-0.04)</f>
        <v>49.852799999999995</v>
      </c>
      <c r="W51" s="70">
        <f>IF(ISERROR(VLOOKUP($T$51,'TAR FIN'!$A$1:$O$85,15,0)),0,VLOOKUP($T$51,'TAR FIN'!$A$1:$O$85,15,0))*(1-0.04)</f>
        <v>73.679999999999993</v>
      </c>
      <c r="X51" s="70">
        <f>IF(ISERROR(VLOOKUP($U$51,'TAR FIN'!$A$1:$O$85,15,0)),0,VLOOKUP($U$51,'TAR FIN'!$A$1:$O$85,15,0))*(1-0.04)</f>
        <v>472.93439999999998</v>
      </c>
      <c r="Y51" s="70">
        <f ca="1">('TUSD BE'!$AM$5+'TUSD BF'!$AM$5+'TUSD CVA'!$AM$5)*1*(1-0.02)</f>
        <v>56.366340594889444</v>
      </c>
      <c r="Z51" s="70">
        <f ca="1">('TUSD BE'!$AM$7+'TUSD BF'!$AM$7+'TUSD CVA'!$AM$7)*1*(1-0.02)</f>
        <v>145.0344252575909</v>
      </c>
      <c r="AA51" s="70">
        <f>('TE BE'!$AB$5+'TE BF'!$AB$5+'TE CVA'!$AB$5)*1*(1-0.02)</f>
        <v>476.15845689016339</v>
      </c>
      <c r="AB51" s="70">
        <f>(SUBSIDIO!$J$51*SUBSIDIO!$V$51)*(0.04)/(1-0.04)</f>
        <v>450.75239999999997</v>
      </c>
      <c r="AC51" s="70">
        <f>((SUBSIDIO!$L$51*SUBSIDIO!$W$51)+(SUBSIDIO!$N$51*SUBSIDIO!$X$51))*(0.04)/(1-0.04)</f>
        <v>230.12466239999998</v>
      </c>
      <c r="AD51" s="70">
        <f ca="1">(SUBSIDIO!$J$51*SUBSIDIO!$Y$51)*(0.02)/(1-0.02)</f>
        <v>249.62236549165326</v>
      </c>
      <c r="AE51" s="70">
        <f ca="1">((SUBSIDIO!$L$51*SUBSIDIO!$Z$51)+(SUBSIDIO!$N$51*SUBSIDIO!$AA$51))*(0.02)/(1-0.02)</f>
        <v>128.09250778001856</v>
      </c>
      <c r="AF51" s="4" t="s">
        <v>846</v>
      </c>
    </row>
    <row r="52" spans="1:32" ht="11.25" customHeight="1" x14ac:dyDescent="0.25">
      <c r="A52" s="4" t="s">
        <v>21</v>
      </c>
      <c r="B52" s="4" t="s">
        <v>39</v>
      </c>
      <c r="C52" s="4" t="s">
        <v>42</v>
      </c>
      <c r="D52" s="4" t="s">
        <v>44</v>
      </c>
      <c r="E52" s="4" t="s">
        <v>25</v>
      </c>
      <c r="F52" s="4" t="s">
        <v>25</v>
      </c>
      <c r="G52" s="4" t="s">
        <v>25</v>
      </c>
      <c r="H52" s="4" t="s">
        <v>34</v>
      </c>
      <c r="I52" s="5">
        <v>44501</v>
      </c>
      <c r="J52" s="6">
        <v>245</v>
      </c>
      <c r="K52" s="70">
        <v>245</v>
      </c>
      <c r="L52" s="6">
        <v>9.9130000000000003</v>
      </c>
      <c r="M52" s="70">
        <v>9.9130000000000003</v>
      </c>
      <c r="N52" s="6">
        <v>9.9130000000000003</v>
      </c>
      <c r="O52" s="70">
        <v>9.9130000000000003</v>
      </c>
      <c r="P52" s="6">
        <v>0</v>
      </c>
      <c r="Q52" s="4" t="s">
        <v>26</v>
      </c>
      <c r="R52" s="4">
        <v>0</v>
      </c>
      <c r="S52" s="4">
        <v>1</v>
      </c>
      <c r="T52" s="4">
        <v>3</v>
      </c>
      <c r="U52" s="4">
        <v>48</v>
      </c>
      <c r="V52" s="70">
        <f>IF(ISERROR(VLOOKUP($S$52,'TAR FIN'!$A$1:$O$85,15,0)),0,VLOOKUP($S$52,'TAR FIN'!$A$1:$O$85,15,0))*(1-0.04)</f>
        <v>49.852799999999995</v>
      </c>
      <c r="W52" s="70">
        <f>IF(ISERROR(VLOOKUP($T$52,'TAR FIN'!$A$1:$O$85,15,0)),0,VLOOKUP($T$52,'TAR FIN'!$A$1:$O$85,15,0))*(1-0.04)</f>
        <v>73.679999999999993</v>
      </c>
      <c r="X52" s="70">
        <f>IF(ISERROR(VLOOKUP($U$52,'TAR FIN'!$A$1:$O$85,15,0)),0,VLOOKUP($U$52,'TAR FIN'!$A$1:$O$85,15,0))*(1-0.04)</f>
        <v>472.93439999999998</v>
      </c>
      <c r="Y52" s="70">
        <f ca="1">('TUSD BE'!$AM$5+'TUSD BF'!$AM$5+'TUSD CVA'!$AM$5)*1*(1-0.02)</f>
        <v>56.366340594889444</v>
      </c>
      <c r="Z52" s="70">
        <f ca="1">('TUSD BE'!$AM$7+'TUSD BF'!$AM$7+'TUSD CVA'!$AM$7)*1*(1-0.02)</f>
        <v>145.0344252575909</v>
      </c>
      <c r="AA52" s="70">
        <f>('TE BE'!$AB$5+'TE BF'!$AB$5+'TE CVA'!$AB$5)*1*(1-0.02)</f>
        <v>476.15845689016339</v>
      </c>
      <c r="AB52" s="70">
        <f>(SUBSIDIO!$J$52*SUBSIDIO!$V$52)*(0.04)/(1-0.04)</f>
        <v>508.91399999999993</v>
      </c>
      <c r="AC52" s="70">
        <f>((SUBSIDIO!$L$52*SUBSIDIO!$W$52)+(SUBSIDIO!$N$52*SUBSIDIO!$X$52))*(0.04)/(1-0.04)</f>
        <v>225.77452280000003</v>
      </c>
      <c r="AD52" s="70">
        <f ca="1">(SUBSIDIO!$J$52*SUBSIDIO!$Y$52)*(0.02)/(1-0.02)</f>
        <v>281.83170297444724</v>
      </c>
      <c r="AE52" s="70">
        <f ca="1">((SUBSIDIO!$L$52*SUBSIDIO!$Z$52)+(SUBSIDIO!$N$52*SUBSIDIO!$AA$52))*(0.02)/(1-0.02)</f>
        <v>125.67112328021815</v>
      </c>
      <c r="AF52" s="4" t="s">
        <v>846</v>
      </c>
    </row>
    <row r="53" spans="1:32" ht="11.25" customHeight="1" x14ac:dyDescent="0.25">
      <c r="A53" s="4" t="s">
        <v>21</v>
      </c>
      <c r="B53" s="4" t="s">
        <v>39</v>
      </c>
      <c r="C53" s="4" t="s">
        <v>42</v>
      </c>
      <c r="D53" s="4" t="s">
        <v>44</v>
      </c>
      <c r="E53" s="4" t="s">
        <v>25</v>
      </c>
      <c r="F53" s="4" t="s">
        <v>25</v>
      </c>
      <c r="G53" s="4" t="s">
        <v>25</v>
      </c>
      <c r="H53" s="4" t="s">
        <v>34</v>
      </c>
      <c r="I53" s="5">
        <v>44531</v>
      </c>
      <c r="J53" s="6">
        <v>229</v>
      </c>
      <c r="K53" s="70">
        <v>229</v>
      </c>
      <c r="L53" s="6">
        <v>11.015000000000001</v>
      </c>
      <c r="M53" s="70">
        <v>11.015000000000001</v>
      </c>
      <c r="N53" s="6">
        <v>11.015000000000001</v>
      </c>
      <c r="O53" s="70">
        <v>11.015000000000001</v>
      </c>
      <c r="P53" s="6">
        <v>0</v>
      </c>
      <c r="Q53" s="4" t="s">
        <v>26</v>
      </c>
      <c r="R53" s="4">
        <v>0</v>
      </c>
      <c r="S53" s="4">
        <v>1</v>
      </c>
      <c r="T53" s="4">
        <v>3</v>
      </c>
      <c r="U53" s="4">
        <v>48</v>
      </c>
      <c r="V53" s="70">
        <f>IF(ISERROR(VLOOKUP($S$53,'TAR FIN'!$A$1:$O$85,15,0)),0,VLOOKUP($S$53,'TAR FIN'!$A$1:$O$85,15,0))*(1-0.04)</f>
        <v>49.852799999999995</v>
      </c>
      <c r="W53" s="70">
        <f>IF(ISERROR(VLOOKUP($T$53,'TAR FIN'!$A$1:$O$85,15,0)),0,VLOOKUP($T$53,'TAR FIN'!$A$1:$O$85,15,0))*(1-0.04)</f>
        <v>73.679999999999993</v>
      </c>
      <c r="X53" s="70">
        <f>IF(ISERROR(VLOOKUP($U$53,'TAR FIN'!$A$1:$O$85,15,0)),0,VLOOKUP($U$53,'TAR FIN'!$A$1:$O$85,15,0))*(1-0.04)</f>
        <v>472.93439999999998</v>
      </c>
      <c r="Y53" s="70">
        <f ca="1">('TUSD BE'!$AM$5+'TUSD BF'!$AM$5+'TUSD CVA'!$AM$5)*1*(1-0.02)</f>
        <v>56.366340594889444</v>
      </c>
      <c r="Z53" s="70">
        <f ca="1">('TUSD BE'!$AM$7+'TUSD BF'!$AM$7+'TUSD CVA'!$AM$7)*1*(1-0.02)</f>
        <v>145.0344252575909</v>
      </c>
      <c r="AA53" s="70">
        <f>('TE BE'!$AB$5+'TE BF'!$AB$5+'TE CVA'!$AB$5)*1*(1-0.02)</f>
        <v>476.15845689016339</v>
      </c>
      <c r="AB53" s="70">
        <f>(SUBSIDIO!$J$53*SUBSIDIO!$V$53)*(0.04)/(1-0.04)</f>
        <v>475.67880000000002</v>
      </c>
      <c r="AC53" s="70">
        <f>((SUBSIDIO!$L$53*SUBSIDIO!$W$53)+(SUBSIDIO!$N$53*SUBSIDIO!$X$53))*(0.04)/(1-0.04)</f>
        <v>250.873234</v>
      </c>
      <c r="AD53" s="70">
        <f ca="1">(SUBSIDIO!$J$53*SUBSIDIO!$Y$53)*(0.02)/(1-0.02)</f>
        <v>263.42636726999353</v>
      </c>
      <c r="AE53" s="70">
        <f ca="1">((SUBSIDIO!$L$53*SUBSIDIO!$Z$53)+(SUBSIDIO!$N$53*SUBSIDIO!$AA$53))*(0.02)/(1-0.02)</f>
        <v>139.64162442566357</v>
      </c>
      <c r="AF53" s="4" t="s">
        <v>846</v>
      </c>
    </row>
    <row r="54" spans="1:32" ht="11.25" customHeight="1" x14ac:dyDescent="0.25">
      <c r="A54" s="4" t="s">
        <v>21</v>
      </c>
      <c r="B54" s="4" t="s">
        <v>39</v>
      </c>
      <c r="C54" s="4" t="s">
        <v>42</v>
      </c>
      <c r="D54" s="4" t="s">
        <v>44</v>
      </c>
      <c r="E54" s="4" t="s">
        <v>25</v>
      </c>
      <c r="F54" s="4" t="s">
        <v>25</v>
      </c>
      <c r="G54" s="4" t="s">
        <v>25</v>
      </c>
      <c r="H54" s="4" t="s">
        <v>34</v>
      </c>
      <c r="I54" s="5">
        <v>44562</v>
      </c>
      <c r="J54" s="6">
        <v>239</v>
      </c>
      <c r="K54" s="70">
        <v>239</v>
      </c>
      <c r="L54" s="6">
        <v>8.8510000000000009</v>
      </c>
      <c r="M54" s="70">
        <v>8.8510000000000009</v>
      </c>
      <c r="N54" s="6">
        <v>8.8510000000000009</v>
      </c>
      <c r="O54" s="70">
        <v>8.8510000000000009</v>
      </c>
      <c r="P54" s="6">
        <v>0</v>
      </c>
      <c r="Q54" s="4" t="s">
        <v>26</v>
      </c>
      <c r="R54" s="4">
        <v>0</v>
      </c>
      <c r="S54" s="4">
        <v>1</v>
      </c>
      <c r="T54" s="4">
        <v>3</v>
      </c>
      <c r="U54" s="4">
        <v>48</v>
      </c>
      <c r="V54" s="70">
        <f>IF(ISERROR(VLOOKUP($S$54,'TAR FIN'!$A$1:$O$85,15,0)),0,VLOOKUP($S$54,'TAR FIN'!$A$1:$O$85,15,0))*(1-0.04)</f>
        <v>49.852799999999995</v>
      </c>
      <c r="W54" s="70">
        <f>IF(ISERROR(VLOOKUP($T$54,'TAR FIN'!$A$1:$O$85,15,0)),0,VLOOKUP($T$54,'TAR FIN'!$A$1:$O$85,15,0))*(1-0.04)</f>
        <v>73.679999999999993</v>
      </c>
      <c r="X54" s="70">
        <f>IF(ISERROR(VLOOKUP($U$54,'TAR FIN'!$A$1:$O$85,15,0)),0,VLOOKUP($U$54,'TAR FIN'!$A$1:$O$85,15,0))*(1-0.04)</f>
        <v>472.93439999999998</v>
      </c>
      <c r="Y54" s="70">
        <f ca="1">('TUSD BE'!$AM$5+'TUSD BF'!$AM$5+'TUSD CVA'!$AM$5)*1*(1-0.02)</f>
        <v>56.366340594889444</v>
      </c>
      <c r="Z54" s="70">
        <f ca="1">('TUSD BE'!$AM$7+'TUSD BF'!$AM$7+'TUSD CVA'!$AM$7)*1*(1-0.02)</f>
        <v>145.0344252575909</v>
      </c>
      <c r="AA54" s="70">
        <f>('TE BE'!$AB$5+'TE BF'!$AB$5+'TE CVA'!$AB$5)*1*(1-0.02)</f>
        <v>476.15845689016339</v>
      </c>
      <c r="AB54" s="70">
        <f>(SUBSIDIO!$J$54*SUBSIDIO!$V$54)*(0.04)/(1-0.04)</f>
        <v>496.45079999999996</v>
      </c>
      <c r="AC54" s="70">
        <f>((SUBSIDIO!$L$54*SUBSIDIO!$W$54)+(SUBSIDIO!$N$54*SUBSIDIO!$X$54))*(0.04)/(1-0.04)</f>
        <v>201.5868356</v>
      </c>
      <c r="AD54" s="70">
        <f ca="1">(SUBSIDIO!$J$54*SUBSIDIO!$Y$54)*(0.02)/(1-0.02)</f>
        <v>274.92970208527709</v>
      </c>
      <c r="AE54" s="70">
        <f ca="1">((SUBSIDIO!$L$54*SUBSIDIO!$Z$54)+(SUBSIDIO!$N$54*SUBSIDIO!$AA$54))*(0.02)/(1-0.02)</f>
        <v>112.20771836509741</v>
      </c>
      <c r="AF54" s="4" t="s">
        <v>846</v>
      </c>
    </row>
    <row r="55" spans="1:32" ht="11.25" customHeight="1" x14ac:dyDescent="0.25">
      <c r="A55" s="4" t="s">
        <v>21</v>
      </c>
      <c r="B55" s="4" t="s">
        <v>39</v>
      </c>
      <c r="C55" s="4" t="s">
        <v>42</v>
      </c>
      <c r="D55" s="4" t="s">
        <v>44</v>
      </c>
      <c r="E55" s="4" t="s">
        <v>25</v>
      </c>
      <c r="F55" s="4" t="s">
        <v>25</v>
      </c>
      <c r="G55" s="4" t="s">
        <v>25</v>
      </c>
      <c r="H55" s="4" t="s">
        <v>34</v>
      </c>
      <c r="I55" s="5">
        <v>44593</v>
      </c>
      <c r="J55" s="6">
        <v>251</v>
      </c>
      <c r="K55" s="70">
        <v>251</v>
      </c>
      <c r="L55" s="6">
        <v>10.644</v>
      </c>
      <c r="M55" s="70">
        <v>10.644</v>
      </c>
      <c r="N55" s="6">
        <v>10.644</v>
      </c>
      <c r="O55" s="70">
        <v>10.644</v>
      </c>
      <c r="P55" s="6">
        <v>0</v>
      </c>
      <c r="Q55" s="4" t="s">
        <v>26</v>
      </c>
      <c r="R55" s="4">
        <v>0</v>
      </c>
      <c r="S55" s="4">
        <v>1</v>
      </c>
      <c r="T55" s="4">
        <v>3</v>
      </c>
      <c r="U55" s="4">
        <v>48</v>
      </c>
      <c r="V55" s="70">
        <f>IF(ISERROR(VLOOKUP($S$55,'TAR FIN'!$A$1:$O$85,15,0)),0,VLOOKUP($S$55,'TAR FIN'!$A$1:$O$85,15,0))*(1-0.04)</f>
        <v>49.852799999999995</v>
      </c>
      <c r="W55" s="70">
        <f>IF(ISERROR(VLOOKUP($T$55,'TAR FIN'!$A$1:$O$85,15,0)),0,VLOOKUP($T$55,'TAR FIN'!$A$1:$O$85,15,0))*(1-0.04)</f>
        <v>73.679999999999993</v>
      </c>
      <c r="X55" s="70">
        <f>IF(ISERROR(VLOOKUP($U$55,'TAR FIN'!$A$1:$O$85,15,0)),0,VLOOKUP($U$55,'TAR FIN'!$A$1:$O$85,15,0))*(1-0.04)</f>
        <v>472.93439999999998</v>
      </c>
      <c r="Y55" s="70">
        <f ca="1">('TUSD BE'!$AM$5+'TUSD BF'!$AM$5+'TUSD CVA'!$AM$5)*1*(1-0.02)</f>
        <v>56.366340594889444</v>
      </c>
      <c r="Z55" s="70">
        <f ca="1">('TUSD BE'!$AM$7+'TUSD BF'!$AM$7+'TUSD CVA'!$AM$7)*1*(1-0.02)</f>
        <v>145.0344252575909</v>
      </c>
      <c r="AA55" s="70">
        <f>('TE BE'!$AB$5+'TE BF'!$AB$5+'TE CVA'!$AB$5)*1*(1-0.02)</f>
        <v>476.15845689016339</v>
      </c>
      <c r="AB55" s="70">
        <f>(SUBSIDIO!$J$55*SUBSIDIO!$V$55)*(0.04)/(1-0.04)</f>
        <v>521.37720000000002</v>
      </c>
      <c r="AC55" s="70">
        <f>((SUBSIDIO!$L$55*SUBSIDIO!$W$55)+(SUBSIDIO!$N$55*SUBSIDIO!$X$55))*(0.04)/(1-0.04)</f>
        <v>242.4234864</v>
      </c>
      <c r="AD55" s="70">
        <f ca="1">(SUBSIDIO!$J$55*SUBSIDIO!$Y$55)*(0.02)/(1-0.02)</f>
        <v>288.73370386361739</v>
      </c>
      <c r="AE55" s="70">
        <f ca="1">((SUBSIDIO!$L$55*SUBSIDIO!$Z$55)+(SUBSIDIO!$N$55*SUBSIDIO!$AA$55))*(0.02)/(1-0.02)</f>
        <v>134.93830688940199</v>
      </c>
      <c r="AF55" s="4" t="s">
        <v>846</v>
      </c>
    </row>
    <row r="56" spans="1:32" ht="11.25" customHeight="1" x14ac:dyDescent="0.25">
      <c r="A56" s="4" t="s">
        <v>21</v>
      </c>
      <c r="B56" s="4" t="s">
        <v>39</v>
      </c>
      <c r="C56" s="4" t="s">
        <v>42</v>
      </c>
      <c r="D56" s="4" t="s">
        <v>44</v>
      </c>
      <c r="E56" s="4" t="s">
        <v>25</v>
      </c>
      <c r="F56" s="4" t="s">
        <v>25</v>
      </c>
      <c r="G56" s="4" t="s">
        <v>25</v>
      </c>
      <c r="H56" s="4" t="s">
        <v>34</v>
      </c>
      <c r="I56" s="5">
        <v>44621</v>
      </c>
      <c r="J56" s="6">
        <v>318</v>
      </c>
      <c r="K56" s="70">
        <v>318</v>
      </c>
      <c r="L56" s="6">
        <v>12.198</v>
      </c>
      <c r="M56" s="70">
        <v>12.198</v>
      </c>
      <c r="N56" s="6">
        <v>12.198</v>
      </c>
      <c r="O56" s="70">
        <v>12.198</v>
      </c>
      <c r="P56" s="6">
        <v>0</v>
      </c>
      <c r="Q56" s="4" t="s">
        <v>26</v>
      </c>
      <c r="R56" s="4">
        <v>0</v>
      </c>
      <c r="S56" s="4">
        <v>1</v>
      </c>
      <c r="T56" s="4">
        <v>3</v>
      </c>
      <c r="U56" s="4">
        <v>48</v>
      </c>
      <c r="V56" s="70">
        <f>IF(ISERROR(VLOOKUP($S$56,'TAR FIN'!$A$1:$O$85,15,0)),0,VLOOKUP($S$56,'TAR FIN'!$A$1:$O$85,15,0))*(1-0.04)</f>
        <v>49.852799999999995</v>
      </c>
      <c r="W56" s="70">
        <f>IF(ISERROR(VLOOKUP($T$56,'TAR FIN'!$A$1:$O$85,15,0)),0,VLOOKUP($T$56,'TAR FIN'!$A$1:$O$85,15,0))*(1-0.04)</f>
        <v>73.679999999999993</v>
      </c>
      <c r="X56" s="70">
        <f>IF(ISERROR(VLOOKUP($U$56,'TAR FIN'!$A$1:$O$85,15,0)),0,VLOOKUP($U$56,'TAR FIN'!$A$1:$O$85,15,0))*(1-0.04)</f>
        <v>472.93439999999998</v>
      </c>
      <c r="Y56" s="70">
        <f ca="1">('TUSD BE'!$AM$5+'TUSD BF'!$AM$5+'TUSD CVA'!$AM$5)*1*(1-0.02)</f>
        <v>56.366340594889444</v>
      </c>
      <c r="Z56" s="70">
        <f ca="1">('TUSD BE'!$AM$7+'TUSD BF'!$AM$7+'TUSD CVA'!$AM$7)*1*(1-0.02)</f>
        <v>145.0344252575909</v>
      </c>
      <c r="AA56" s="70">
        <f>('TE BE'!$AB$5+'TE BF'!$AB$5+'TE CVA'!$AB$5)*1*(1-0.02)</f>
        <v>476.15845689016339</v>
      </c>
      <c r="AB56" s="70">
        <f>(SUBSIDIO!$J$56*SUBSIDIO!$V$56)*(0.04)/(1-0.04)</f>
        <v>660.54959999999994</v>
      </c>
      <c r="AC56" s="70">
        <f>((SUBSIDIO!$L$56*SUBSIDIO!$W$56)+(SUBSIDIO!$N$56*SUBSIDIO!$X$56))*(0.04)/(1-0.04)</f>
        <v>277.81676879999998</v>
      </c>
      <c r="AD56" s="70">
        <f ca="1">(SUBSIDIO!$J$56*SUBSIDIO!$Y$56)*(0.02)/(1-0.02)</f>
        <v>365.80604712601723</v>
      </c>
      <c r="AE56" s="70">
        <f ca="1">((SUBSIDIO!$L$56*SUBSIDIO!$Z$56)+(SUBSIDIO!$N$56*SUBSIDIO!$AA$56))*(0.02)/(1-0.02)</f>
        <v>154.63899543751651</v>
      </c>
      <c r="AF56" s="4" t="s">
        <v>846</v>
      </c>
    </row>
    <row r="57" spans="1:32" ht="11.25" customHeight="1" x14ac:dyDescent="0.25">
      <c r="A57" s="4" t="s">
        <v>21</v>
      </c>
      <c r="B57" s="4" t="s">
        <v>39</v>
      </c>
      <c r="C57" s="4" t="s">
        <v>42</v>
      </c>
      <c r="D57" s="4" t="s">
        <v>44</v>
      </c>
      <c r="E57" s="4" t="s">
        <v>25</v>
      </c>
      <c r="F57" s="4" t="s">
        <v>25</v>
      </c>
      <c r="G57" s="4" t="s">
        <v>25</v>
      </c>
      <c r="H57" s="4" t="s">
        <v>34</v>
      </c>
      <c r="I57" s="5">
        <v>44652</v>
      </c>
      <c r="J57" s="6">
        <v>344</v>
      </c>
      <c r="K57" s="70">
        <v>344</v>
      </c>
      <c r="L57" s="6">
        <v>13.52</v>
      </c>
      <c r="M57" s="70">
        <v>13.52</v>
      </c>
      <c r="N57" s="6">
        <v>13.52</v>
      </c>
      <c r="O57" s="70">
        <v>13.52</v>
      </c>
      <c r="P57" s="6">
        <v>0</v>
      </c>
      <c r="Q57" s="4" t="s">
        <v>26</v>
      </c>
      <c r="R57" s="4">
        <v>0</v>
      </c>
      <c r="S57" s="4">
        <v>1</v>
      </c>
      <c r="T57" s="4">
        <v>3</v>
      </c>
      <c r="U57" s="4">
        <v>48</v>
      </c>
      <c r="V57" s="70">
        <f>IF(ISERROR(VLOOKUP($S$57,'TAR FIN'!$A$1:$O$85,15,0)),0,VLOOKUP($S$57,'TAR FIN'!$A$1:$O$85,15,0))*(1-0.04)</f>
        <v>49.852799999999995</v>
      </c>
      <c r="W57" s="70">
        <f>IF(ISERROR(VLOOKUP($T$57,'TAR FIN'!$A$1:$O$85,15,0)),0,VLOOKUP($T$57,'TAR FIN'!$A$1:$O$85,15,0))*(1-0.04)</f>
        <v>73.679999999999993</v>
      </c>
      <c r="X57" s="70">
        <f>IF(ISERROR(VLOOKUP($U$57,'TAR FIN'!$A$1:$O$85,15,0)),0,VLOOKUP($U$57,'TAR FIN'!$A$1:$O$85,15,0))*(1-0.04)</f>
        <v>472.93439999999998</v>
      </c>
      <c r="Y57" s="70">
        <f ca="1">('TUSD BE'!$AM$5+'TUSD BF'!$AM$5+'TUSD CVA'!$AM$5)*1*(1-0.02)</f>
        <v>56.366340594889444</v>
      </c>
      <c r="Z57" s="70">
        <f ca="1">('TUSD BE'!$AM$7+'TUSD BF'!$AM$7+'TUSD CVA'!$AM$7)*1*(1-0.02)</f>
        <v>145.0344252575909</v>
      </c>
      <c r="AA57" s="70">
        <f>('TE BE'!$AB$5+'TE BF'!$AB$5+'TE CVA'!$AB$5)*1*(1-0.02)</f>
        <v>476.15845689016339</v>
      </c>
      <c r="AB57" s="70">
        <f>(SUBSIDIO!$J$57*SUBSIDIO!$V$57)*(0.04)/(1-0.04)</f>
        <v>714.55679999999995</v>
      </c>
      <c r="AC57" s="70">
        <f>((SUBSIDIO!$L$57*SUBSIDIO!$W$57)+(SUBSIDIO!$N$57*SUBSIDIO!$X$57))*(0.04)/(1-0.04)</f>
        <v>307.92611199999993</v>
      </c>
      <c r="AD57" s="70">
        <f ca="1">(SUBSIDIO!$J$57*SUBSIDIO!$Y$57)*(0.02)/(1-0.02)</f>
        <v>395.71471764575449</v>
      </c>
      <c r="AE57" s="70">
        <f ca="1">((SUBSIDIO!$L$57*SUBSIDIO!$Z$57)+(SUBSIDIO!$N$57*SUBSIDIO!$AA$57))*(0.02)/(1-0.02)</f>
        <v>171.3985258497477</v>
      </c>
      <c r="AF57" s="4" t="s">
        <v>846</v>
      </c>
    </row>
    <row r="58" spans="1:32" ht="11.25" customHeight="1" x14ac:dyDescent="0.25">
      <c r="A58" s="4" t="s">
        <v>21</v>
      </c>
      <c r="B58" s="4" t="s">
        <v>39</v>
      </c>
      <c r="C58" s="4" t="s">
        <v>42</v>
      </c>
      <c r="D58" s="4" t="s">
        <v>44</v>
      </c>
      <c r="E58" s="4" t="s">
        <v>25</v>
      </c>
      <c r="F58" s="4" t="s">
        <v>25</v>
      </c>
      <c r="G58" s="4" t="s">
        <v>25</v>
      </c>
      <c r="H58" s="4" t="s">
        <v>34</v>
      </c>
      <c r="I58" s="5">
        <v>44682</v>
      </c>
      <c r="J58" s="6">
        <v>342</v>
      </c>
      <c r="K58" s="70">
        <v>342</v>
      </c>
      <c r="L58" s="6">
        <v>14.01</v>
      </c>
      <c r="M58" s="70">
        <v>14.01</v>
      </c>
      <c r="N58" s="6">
        <v>14.01</v>
      </c>
      <c r="O58" s="70">
        <v>14.01</v>
      </c>
      <c r="P58" s="6">
        <v>0</v>
      </c>
      <c r="Q58" s="4" t="s">
        <v>26</v>
      </c>
      <c r="R58" s="4">
        <v>0</v>
      </c>
      <c r="S58" s="4">
        <v>1</v>
      </c>
      <c r="T58" s="4">
        <v>3</v>
      </c>
      <c r="U58" s="4">
        <v>48</v>
      </c>
      <c r="V58" s="70">
        <f>IF(ISERROR(VLOOKUP($S$58,'TAR FIN'!$A$1:$O$85,15,0)),0,VLOOKUP($S$58,'TAR FIN'!$A$1:$O$85,15,0))*(1-0.04)</f>
        <v>49.852799999999995</v>
      </c>
      <c r="W58" s="70">
        <f>IF(ISERROR(VLOOKUP($T$58,'TAR FIN'!$A$1:$O$85,15,0)),0,VLOOKUP($T$58,'TAR FIN'!$A$1:$O$85,15,0))*(1-0.04)</f>
        <v>73.679999999999993</v>
      </c>
      <c r="X58" s="70">
        <f>IF(ISERROR(VLOOKUP($U$58,'TAR FIN'!$A$1:$O$85,15,0)),0,VLOOKUP($U$58,'TAR FIN'!$A$1:$O$85,15,0))*(1-0.04)</f>
        <v>472.93439999999998</v>
      </c>
      <c r="Y58" s="70">
        <f ca="1">('TUSD BE'!$AM$5+'TUSD BF'!$AM$5+'TUSD CVA'!$AM$5)*1*(1-0.02)</f>
        <v>56.366340594889444</v>
      </c>
      <c r="Z58" s="70">
        <f ca="1">('TUSD BE'!$AM$7+'TUSD BF'!$AM$7+'TUSD CVA'!$AM$7)*1*(1-0.02)</f>
        <v>145.0344252575909</v>
      </c>
      <c r="AA58" s="70">
        <f>('TE BE'!$AB$5+'TE BF'!$AB$5+'TE CVA'!$AB$5)*1*(1-0.02)</f>
        <v>476.15845689016339</v>
      </c>
      <c r="AB58" s="70">
        <f>(SUBSIDIO!$J$58*SUBSIDIO!$V$58)*(0.04)/(1-0.04)</f>
        <v>710.40239999999994</v>
      </c>
      <c r="AC58" s="70">
        <f>((SUBSIDIO!$L$58*SUBSIDIO!$W$58)+(SUBSIDIO!$N$58*SUBSIDIO!$X$58))*(0.04)/(1-0.04)</f>
        <v>319.08615600000002</v>
      </c>
      <c r="AD58" s="70">
        <f ca="1">(SUBSIDIO!$J$58*SUBSIDIO!$Y$58)*(0.02)/(1-0.02)</f>
        <v>393.41405068269779</v>
      </c>
      <c r="AE58" s="70">
        <f ca="1">((SUBSIDIO!$L$58*SUBSIDIO!$Z$58)+(SUBSIDIO!$N$58*SUBSIDIO!$AA$58))*(0.02)/(1-0.02)</f>
        <v>177.61045467122523</v>
      </c>
      <c r="AF58" s="4" t="s">
        <v>846</v>
      </c>
    </row>
    <row r="59" spans="1:32" ht="11.25" customHeight="1" x14ac:dyDescent="0.25">
      <c r="A59" s="4" t="s">
        <v>21</v>
      </c>
      <c r="B59" s="4" t="s">
        <v>39</v>
      </c>
      <c r="C59" s="4" t="s">
        <v>42</v>
      </c>
      <c r="D59" s="4" t="s">
        <v>44</v>
      </c>
      <c r="E59" s="4" t="s">
        <v>25</v>
      </c>
      <c r="F59" s="4" t="s">
        <v>25</v>
      </c>
      <c r="G59" s="4" t="s">
        <v>25</v>
      </c>
      <c r="H59" s="4" t="s">
        <v>34</v>
      </c>
      <c r="I59" s="5">
        <v>44713</v>
      </c>
      <c r="J59" s="6">
        <v>276</v>
      </c>
      <c r="K59" s="70">
        <v>276</v>
      </c>
      <c r="L59" s="6">
        <v>12.08</v>
      </c>
      <c r="M59" s="70">
        <v>12.08</v>
      </c>
      <c r="N59" s="6">
        <v>12.08</v>
      </c>
      <c r="O59" s="70">
        <v>12.08</v>
      </c>
      <c r="P59" s="6">
        <v>0</v>
      </c>
      <c r="Q59" s="4" t="s">
        <v>26</v>
      </c>
      <c r="R59" s="4">
        <v>0</v>
      </c>
      <c r="S59" s="4">
        <v>1</v>
      </c>
      <c r="T59" s="4">
        <v>3</v>
      </c>
      <c r="U59" s="4">
        <v>48</v>
      </c>
      <c r="V59" s="70">
        <f>IF(ISERROR(VLOOKUP($S$59,'TAR FIN'!$A$1:$O$85,15,0)),0,VLOOKUP($S$59,'TAR FIN'!$A$1:$O$85,15,0))*(1-0.04)</f>
        <v>49.852799999999995</v>
      </c>
      <c r="W59" s="70">
        <f>IF(ISERROR(VLOOKUP($T$59,'TAR FIN'!$A$1:$O$85,15,0)),0,VLOOKUP($T$59,'TAR FIN'!$A$1:$O$85,15,0))*(1-0.04)</f>
        <v>73.679999999999993</v>
      </c>
      <c r="X59" s="70">
        <f>IF(ISERROR(VLOOKUP($U$59,'TAR FIN'!$A$1:$O$85,15,0)),0,VLOOKUP($U$59,'TAR FIN'!$A$1:$O$85,15,0))*(1-0.04)</f>
        <v>472.93439999999998</v>
      </c>
      <c r="Y59" s="70">
        <f ca="1">('TUSD BE'!$AM$5+'TUSD BF'!$AM$5+'TUSD CVA'!$AM$5)*1*(1-0.02)</f>
        <v>56.366340594889444</v>
      </c>
      <c r="Z59" s="70">
        <f ca="1">('TUSD BE'!$AM$7+'TUSD BF'!$AM$7+'TUSD CVA'!$AM$7)*1*(1-0.02)</f>
        <v>145.0344252575909</v>
      </c>
      <c r="AA59" s="70">
        <f>('TE BE'!$AB$5+'TE BF'!$AB$5+'TE CVA'!$AB$5)*1*(1-0.02)</f>
        <v>476.15845689016339</v>
      </c>
      <c r="AB59" s="70">
        <f>(SUBSIDIO!$J$59*SUBSIDIO!$V$59)*(0.04)/(1-0.04)</f>
        <v>573.30719999999997</v>
      </c>
      <c r="AC59" s="70">
        <f>((SUBSIDIO!$L$59*SUBSIDIO!$W$59)+(SUBSIDIO!$N$59*SUBSIDIO!$X$59))*(0.04)/(1-0.04)</f>
        <v>275.12924800000002</v>
      </c>
      <c r="AD59" s="70">
        <f ca="1">(SUBSIDIO!$J$59*SUBSIDIO!$Y$59)*(0.02)/(1-0.02)</f>
        <v>317.49204090182621</v>
      </c>
      <c r="AE59" s="70">
        <f ca="1">((SUBSIDIO!$L$59*SUBSIDIO!$Z$59)+(SUBSIDIO!$N$59*SUBSIDIO!$AA$59))*(0.02)/(1-0.02)</f>
        <v>153.1430615580586</v>
      </c>
      <c r="AF59" s="4" t="s">
        <v>846</v>
      </c>
    </row>
    <row r="60" spans="1:32" ht="11.25" customHeight="1" x14ac:dyDescent="0.25">
      <c r="A60" s="4" t="s">
        <v>21</v>
      </c>
      <c r="B60" s="4" t="s">
        <v>39</v>
      </c>
      <c r="C60" s="4" t="s">
        <v>42</v>
      </c>
      <c r="D60" s="4" t="s">
        <v>44</v>
      </c>
      <c r="E60" s="4" t="s">
        <v>25</v>
      </c>
      <c r="F60" s="4" t="s">
        <v>25</v>
      </c>
      <c r="G60" s="4" t="s">
        <v>25</v>
      </c>
      <c r="H60" s="4" t="s">
        <v>34</v>
      </c>
      <c r="I60" s="5">
        <v>44743</v>
      </c>
      <c r="J60" s="6">
        <v>272</v>
      </c>
      <c r="K60" s="70">
        <v>272</v>
      </c>
      <c r="L60" s="6">
        <v>12.196999999999999</v>
      </c>
      <c r="M60" s="70">
        <v>12.196999999999999</v>
      </c>
      <c r="N60" s="6">
        <v>12.196999999999999</v>
      </c>
      <c r="O60" s="70">
        <v>12.196999999999999</v>
      </c>
      <c r="P60" s="6">
        <v>0</v>
      </c>
      <c r="Q60" s="4" t="s">
        <v>26</v>
      </c>
      <c r="R60" s="4">
        <v>0</v>
      </c>
      <c r="S60" s="4">
        <v>1</v>
      </c>
      <c r="T60" s="4">
        <v>3</v>
      </c>
      <c r="U60" s="4">
        <v>48</v>
      </c>
      <c r="V60" s="70">
        <f>IF(ISERROR(VLOOKUP($S$60,'TAR FIN'!$A$1:$O$85,15,0)),0,VLOOKUP($S$60,'TAR FIN'!$A$1:$O$85,15,0))*(1-0.04)</f>
        <v>49.852799999999995</v>
      </c>
      <c r="W60" s="70">
        <f>IF(ISERROR(VLOOKUP($T$60,'TAR FIN'!$A$1:$O$85,15,0)),0,VLOOKUP($T$60,'TAR FIN'!$A$1:$O$85,15,0))*(1-0.04)</f>
        <v>73.679999999999993</v>
      </c>
      <c r="X60" s="70">
        <f>IF(ISERROR(VLOOKUP($U$60,'TAR FIN'!$A$1:$O$85,15,0)),0,VLOOKUP($U$60,'TAR FIN'!$A$1:$O$85,15,0))*(1-0.04)</f>
        <v>472.93439999999998</v>
      </c>
      <c r="Y60" s="70">
        <f ca="1">('TUSD BE'!$AM$5+'TUSD BF'!$AM$5+'TUSD CVA'!$AM$5)*1*(1-0.02)</f>
        <v>56.366340594889444</v>
      </c>
      <c r="Z60" s="70">
        <f ca="1">('TUSD BE'!$AM$7+'TUSD BF'!$AM$7+'TUSD CVA'!$AM$7)*1*(1-0.02)</f>
        <v>145.0344252575909</v>
      </c>
      <c r="AA60" s="70">
        <f>('TE BE'!$AB$5+'TE BF'!$AB$5+'TE CVA'!$AB$5)*1*(1-0.02)</f>
        <v>476.15845689016339</v>
      </c>
      <c r="AB60" s="70">
        <f>(SUBSIDIO!$J$60*SUBSIDIO!$V$60)*(0.04)/(1-0.04)</f>
        <v>564.99840000000006</v>
      </c>
      <c r="AC60" s="70">
        <f>((SUBSIDIO!$L$60*SUBSIDIO!$W$60)+(SUBSIDIO!$N$60*SUBSIDIO!$X$60))*(0.04)/(1-0.04)</f>
        <v>277.79399319999993</v>
      </c>
      <c r="AD60" s="70">
        <f ca="1">(SUBSIDIO!$J$60*SUBSIDIO!$Y$60)*(0.02)/(1-0.02)</f>
        <v>312.89070697571287</v>
      </c>
      <c r="AE60" s="70">
        <f ca="1">((SUBSIDIO!$L$60*SUBSIDIO!$Z$60)+(SUBSIDIO!$N$60*SUBSIDIO!$AA$60))*(0.02)/(1-0.02)</f>
        <v>154.62631803175836</v>
      </c>
      <c r="AF60" s="4" t="s">
        <v>846</v>
      </c>
    </row>
    <row r="61" spans="1:32" ht="11.25" customHeight="1" x14ac:dyDescent="0.25">
      <c r="A61" s="4" t="s">
        <v>56</v>
      </c>
      <c r="B61" s="4" t="s">
        <v>39</v>
      </c>
      <c r="C61" s="4" t="s">
        <v>42</v>
      </c>
      <c r="D61" s="4" t="s">
        <v>44</v>
      </c>
      <c r="E61" s="4" t="s">
        <v>25</v>
      </c>
      <c r="F61" s="4" t="s">
        <v>25</v>
      </c>
      <c r="G61" s="4" t="s">
        <v>25</v>
      </c>
      <c r="H61" s="4" t="s">
        <v>34</v>
      </c>
      <c r="I61" s="5">
        <v>44774</v>
      </c>
      <c r="J61" s="6">
        <v>272</v>
      </c>
      <c r="K61" s="70">
        <v>272</v>
      </c>
      <c r="L61" s="6">
        <v>12.196999999999999</v>
      </c>
      <c r="M61" s="70">
        <v>12.196999999999999</v>
      </c>
      <c r="N61" s="6">
        <v>12.196999999999999</v>
      </c>
      <c r="O61" s="70">
        <v>12.196999999999999</v>
      </c>
      <c r="P61" s="6">
        <v>0</v>
      </c>
      <c r="Q61" s="4" t="s">
        <v>26</v>
      </c>
      <c r="R61" s="4">
        <v>0</v>
      </c>
      <c r="S61" s="4">
        <v>1</v>
      </c>
      <c r="T61" s="4">
        <v>3</v>
      </c>
      <c r="U61" s="4">
        <v>48</v>
      </c>
      <c r="V61" s="70">
        <f>IF(ISERROR(VLOOKUP($S$61,'TAR FIN'!$A$1:$O$85,15,0)),0,VLOOKUP($S$61,'TAR FIN'!$A$1:$O$85,15,0))*(1-0.04)</f>
        <v>49.852799999999995</v>
      </c>
      <c r="W61" s="70">
        <f>IF(ISERROR(VLOOKUP($T$61,'TAR FIN'!$A$1:$O$85,15,0)),0,VLOOKUP($T$61,'TAR FIN'!$A$1:$O$85,15,0))*(1-0.04)</f>
        <v>73.679999999999993</v>
      </c>
      <c r="X61" s="70">
        <f>IF(ISERROR(VLOOKUP($U$61,'TAR FIN'!$A$1:$O$85,15,0)),0,VLOOKUP($U$61,'TAR FIN'!$A$1:$O$85,15,0))*(1-0.04)</f>
        <v>472.93439999999998</v>
      </c>
      <c r="Y61" s="70">
        <f ca="1">('TUSD BE'!$AM$5+'TUSD BF'!$AM$5+'TUSD CVA'!$AM$5)*1*(1-0.02)</f>
        <v>56.366340594889444</v>
      </c>
      <c r="Z61" s="70">
        <f ca="1">('TUSD BE'!$AM$7+'TUSD BF'!$AM$7+'TUSD CVA'!$AM$7)*1*(1-0.02)</f>
        <v>145.0344252575909</v>
      </c>
      <c r="AA61" s="70">
        <f>('TE BE'!$AB$5+'TE BF'!$AB$5+'TE CVA'!$AB$5)*1*(1-0.02)</f>
        <v>476.15845689016339</v>
      </c>
      <c r="AB61" s="70">
        <f>(SUBSIDIO!$J$61*SUBSIDIO!$V$61)*(0.04)/(1-0.04)</f>
        <v>564.99840000000006</v>
      </c>
      <c r="AC61" s="70">
        <f>((SUBSIDIO!$L$61*SUBSIDIO!$W$61)+(SUBSIDIO!$N$61*SUBSIDIO!$X$61))*(0.04)/(1-0.04)</f>
        <v>277.79399319999993</v>
      </c>
      <c r="AD61" s="70">
        <f ca="1">(SUBSIDIO!$J$61*SUBSIDIO!$Y$61)*(0.02)/(1-0.02)</f>
        <v>312.89070697571287</v>
      </c>
      <c r="AE61" s="70">
        <f ca="1">((SUBSIDIO!$L$61*SUBSIDIO!$Z$61)+(SUBSIDIO!$N$61*SUBSIDIO!$AA$61))*(0.02)/(1-0.02)</f>
        <v>154.62631803175836</v>
      </c>
      <c r="AF61" s="4" t="s">
        <v>846</v>
      </c>
    </row>
    <row r="62" spans="1:32" ht="11.25" customHeight="1" x14ac:dyDescent="0.25">
      <c r="A62" s="4" t="s">
        <v>21</v>
      </c>
      <c r="B62" s="4" t="s">
        <v>39</v>
      </c>
      <c r="C62" s="4" t="s">
        <v>42</v>
      </c>
      <c r="D62" s="4" t="s">
        <v>49</v>
      </c>
      <c r="E62" s="4" t="s">
        <v>50</v>
      </c>
      <c r="F62" s="4" t="s">
        <v>25</v>
      </c>
      <c r="G62" s="4" t="s">
        <v>25</v>
      </c>
      <c r="H62" s="4" t="s">
        <v>35</v>
      </c>
      <c r="I62" s="5">
        <v>44440</v>
      </c>
      <c r="J62" s="6">
        <v>1520</v>
      </c>
      <c r="K62" s="71">
        <v>1520</v>
      </c>
      <c r="L62" s="6">
        <v>614.70299999999997</v>
      </c>
      <c r="M62" s="70">
        <v>614.70299999999997</v>
      </c>
      <c r="N62" s="6">
        <v>614.70299999999997</v>
      </c>
      <c r="O62" s="70">
        <v>614.70299999999997</v>
      </c>
      <c r="P62" s="6">
        <v>0</v>
      </c>
      <c r="Q62" s="4" t="s">
        <v>26</v>
      </c>
      <c r="R62" s="4">
        <v>0</v>
      </c>
      <c r="S62" s="4">
        <v>2</v>
      </c>
      <c r="T62" s="4">
        <v>3</v>
      </c>
      <c r="U62" s="4">
        <v>49</v>
      </c>
      <c r="V62" s="70">
        <f>IF(ISERROR(VLOOKUP($S$62,'TAR FIN'!$A$1:$O$85,15,0)),0,VLOOKUP($S$62,'TAR FIN'!$A$1:$O$85,15,0))*(1-0.06)</f>
        <v>15.6416</v>
      </c>
      <c r="W62" s="70">
        <f>IF(ISERROR(VLOOKUP($T$62,'TAR FIN'!$A$1:$O$85,15,0)),0,VLOOKUP($T$62,'TAR FIN'!$A$1:$O$85,15,0))*(1-0.06)</f>
        <v>72.144999999999996</v>
      </c>
      <c r="X62" s="70">
        <f>IF(ISERROR(VLOOKUP($U$62,'TAR FIN'!$A$1:$O$85,15,0)),0,VLOOKUP($U$62,'TAR FIN'!$A$1:$O$85,15,0))*(1-0.06)</f>
        <v>288.65519999999998</v>
      </c>
      <c r="Y62" s="70">
        <f ca="1">('TUSD BE'!$AM$6+'TUSD BF'!$AM$6+'TUSD CVA'!$AM$6)*1*(1-0.03)</f>
        <v>17.820698790947443</v>
      </c>
      <c r="Z62" s="70">
        <f ca="1">('TUSD BE'!$AM$7+'TUSD BF'!$AM$7+'TUSD CVA'!$AM$7)*1*(1-0.03)</f>
        <v>143.55448214271752</v>
      </c>
      <c r="AA62" s="70">
        <f>('TE BE'!$AB$6+'TE BF'!$AB$6+'TE CVA'!$AB$6)*1*(1-0.03)</f>
        <v>295.72417018043757</v>
      </c>
      <c r="AB62" s="70">
        <f>(SUBSIDIO!$J$62*SUBSIDIO!$V$62)*(0.06)/(1-0.06)</f>
        <v>1517.568</v>
      </c>
      <c r="AC62" s="70">
        <f>((SUBSIDIO!$L$62*SUBSIDIO!$W$62)+(SUBSIDIO!$N$62*SUBSIDIO!$X$62))*(0.06)/(1-0.06)</f>
        <v>14156.487149399998</v>
      </c>
      <c r="AD62" s="70">
        <f ca="1">(SUBSIDIO!$J$62*SUBSIDIO!$Y$62)*(0.03)/(1-0.03)</f>
        <v>837.75656171876631</v>
      </c>
      <c r="AE62" s="70">
        <f ca="1">((SUBSIDIO!$L$62*SUBSIDIO!$Z$62)+(SUBSIDIO!$N$62*SUBSIDIO!$AA$62))*(0.03)/(1-0.03)</f>
        <v>8351.3166624433125</v>
      </c>
      <c r="AF62" s="4" t="s">
        <v>847</v>
      </c>
    </row>
    <row r="63" spans="1:32" ht="11.25" customHeight="1" x14ac:dyDescent="0.25">
      <c r="A63" s="4" t="s">
        <v>21</v>
      </c>
      <c r="B63" s="4" t="s">
        <v>39</v>
      </c>
      <c r="C63" s="4" t="s">
        <v>42</v>
      </c>
      <c r="D63" s="4" t="s">
        <v>49</v>
      </c>
      <c r="E63" s="4" t="s">
        <v>50</v>
      </c>
      <c r="F63" s="4" t="s">
        <v>25</v>
      </c>
      <c r="G63" s="4" t="s">
        <v>25</v>
      </c>
      <c r="H63" s="4" t="s">
        <v>35</v>
      </c>
      <c r="I63" s="5">
        <v>44470</v>
      </c>
      <c r="J63" s="6">
        <v>1534</v>
      </c>
      <c r="K63" s="71">
        <v>1534</v>
      </c>
      <c r="L63" s="6">
        <v>632.85599999999999</v>
      </c>
      <c r="M63" s="70">
        <v>632.85599999999999</v>
      </c>
      <c r="N63" s="6">
        <v>632.85599999999999</v>
      </c>
      <c r="O63" s="70">
        <v>632.85599999999999</v>
      </c>
      <c r="P63" s="6">
        <v>0</v>
      </c>
      <c r="Q63" s="4" t="s">
        <v>26</v>
      </c>
      <c r="R63" s="4">
        <v>0</v>
      </c>
      <c r="S63" s="4">
        <v>2</v>
      </c>
      <c r="T63" s="4">
        <v>3</v>
      </c>
      <c r="U63" s="4">
        <v>49</v>
      </c>
      <c r="V63" s="70">
        <f>IF(ISERROR(VLOOKUP($S$63,'TAR FIN'!$A$1:$O$85,15,0)),0,VLOOKUP($S$63,'TAR FIN'!$A$1:$O$85,15,0))*(1-0.06)</f>
        <v>15.6416</v>
      </c>
      <c r="W63" s="70">
        <f>IF(ISERROR(VLOOKUP($T$63,'TAR FIN'!$A$1:$O$85,15,0)),0,VLOOKUP($T$63,'TAR FIN'!$A$1:$O$85,15,0))*(1-0.06)</f>
        <v>72.144999999999996</v>
      </c>
      <c r="X63" s="70">
        <f>IF(ISERROR(VLOOKUP($U$63,'TAR FIN'!$A$1:$O$85,15,0)),0,VLOOKUP($U$63,'TAR FIN'!$A$1:$O$85,15,0))*(1-0.06)</f>
        <v>288.65519999999998</v>
      </c>
      <c r="Y63" s="70">
        <f ca="1">('TUSD BE'!$AM$6+'TUSD BF'!$AM$6+'TUSD CVA'!$AM$6)*1*(1-0.03)</f>
        <v>17.820698790947443</v>
      </c>
      <c r="Z63" s="70">
        <f ca="1">('TUSD BE'!$AM$7+'TUSD BF'!$AM$7+'TUSD CVA'!$AM$7)*1*(1-0.03)</f>
        <v>143.55448214271752</v>
      </c>
      <c r="AA63" s="70">
        <f>('TE BE'!$AB$6+'TE BF'!$AB$6+'TE CVA'!$AB$6)*1*(1-0.03)</f>
        <v>295.72417018043757</v>
      </c>
      <c r="AB63" s="70">
        <f>(SUBSIDIO!$J$63*SUBSIDIO!$V$63)*(0.06)/(1-0.06)</f>
        <v>1531.5455999999999</v>
      </c>
      <c r="AC63" s="70">
        <f>((SUBSIDIO!$L$63*SUBSIDIO!$W$63)+(SUBSIDIO!$N$63*SUBSIDIO!$X$63))*(0.06)/(1-0.06)</f>
        <v>14574.547108799999</v>
      </c>
      <c r="AD63" s="70">
        <f ca="1">(SUBSIDIO!$J$63*SUBSIDIO!$Y$63)*(0.03)/(1-0.03)</f>
        <v>845.47274057670234</v>
      </c>
      <c r="AE63" s="70">
        <f ca="1">((SUBSIDIO!$L$63*SUBSIDIO!$Z$63)+(SUBSIDIO!$N$63*SUBSIDIO!$AA$63))*(0.03)/(1-0.03)</f>
        <v>8597.9421895244122</v>
      </c>
      <c r="AF63" s="4" t="s">
        <v>847</v>
      </c>
    </row>
    <row r="64" spans="1:32" ht="11.25" customHeight="1" x14ac:dyDescent="0.25">
      <c r="A64" s="4" t="s">
        <v>21</v>
      </c>
      <c r="B64" s="4" t="s">
        <v>39</v>
      </c>
      <c r="C64" s="4" t="s">
        <v>42</v>
      </c>
      <c r="D64" s="4" t="s">
        <v>49</v>
      </c>
      <c r="E64" s="4" t="s">
        <v>50</v>
      </c>
      <c r="F64" s="4" t="s">
        <v>25</v>
      </c>
      <c r="G64" s="4" t="s">
        <v>25</v>
      </c>
      <c r="H64" s="4" t="s">
        <v>35</v>
      </c>
      <c r="I64" s="5">
        <v>44501</v>
      </c>
      <c r="J64" s="6">
        <v>1504</v>
      </c>
      <c r="K64" s="71">
        <v>1504</v>
      </c>
      <c r="L64" s="6">
        <v>579.31700000000001</v>
      </c>
      <c r="M64" s="70">
        <v>579.31700000000001</v>
      </c>
      <c r="N64" s="6">
        <v>579.31700000000001</v>
      </c>
      <c r="O64" s="70">
        <v>579.31700000000001</v>
      </c>
      <c r="P64" s="6">
        <v>0</v>
      </c>
      <c r="Q64" s="4" t="s">
        <v>26</v>
      </c>
      <c r="R64" s="4">
        <v>0</v>
      </c>
      <c r="S64" s="4">
        <v>2</v>
      </c>
      <c r="T64" s="4">
        <v>3</v>
      </c>
      <c r="U64" s="4">
        <v>49</v>
      </c>
      <c r="V64" s="70">
        <f>IF(ISERROR(VLOOKUP($S$64,'TAR FIN'!$A$1:$O$85,15,0)),0,VLOOKUP($S$64,'TAR FIN'!$A$1:$O$85,15,0))*(1-0.06)</f>
        <v>15.6416</v>
      </c>
      <c r="W64" s="70">
        <f>IF(ISERROR(VLOOKUP($T$64,'TAR FIN'!$A$1:$O$85,15,0)),0,VLOOKUP($T$64,'TAR FIN'!$A$1:$O$85,15,0))*(1-0.06)</f>
        <v>72.144999999999996</v>
      </c>
      <c r="X64" s="70">
        <f>IF(ISERROR(VLOOKUP($U$64,'TAR FIN'!$A$1:$O$85,15,0)),0,VLOOKUP($U$64,'TAR FIN'!$A$1:$O$85,15,0))*(1-0.06)</f>
        <v>288.65519999999998</v>
      </c>
      <c r="Y64" s="70">
        <f ca="1">('TUSD BE'!$AM$6+'TUSD BF'!$AM$6+'TUSD CVA'!$AM$6)*1*(1-0.03)</f>
        <v>17.820698790947443</v>
      </c>
      <c r="Z64" s="70">
        <f ca="1">('TUSD BE'!$AM$7+'TUSD BF'!$AM$7+'TUSD CVA'!$AM$7)*1*(1-0.03)</f>
        <v>143.55448214271752</v>
      </c>
      <c r="AA64" s="70">
        <f>('TE BE'!$AB$6+'TE BF'!$AB$6+'TE CVA'!$AB$6)*1*(1-0.03)</f>
        <v>295.72417018043757</v>
      </c>
      <c r="AB64" s="70">
        <f>(SUBSIDIO!$J$64*SUBSIDIO!$V$64)*(0.06)/(1-0.06)</f>
        <v>1501.5936000000002</v>
      </c>
      <c r="AC64" s="70">
        <f>((SUBSIDIO!$L$64*SUBSIDIO!$W$64)+(SUBSIDIO!$N$64*SUBSIDIO!$X$64))*(0.06)/(1-0.06)</f>
        <v>13341.5546466</v>
      </c>
      <c r="AD64" s="70">
        <f ca="1">(SUBSIDIO!$J$64*SUBSIDIO!$Y$64)*(0.03)/(1-0.03)</f>
        <v>828.93807159541097</v>
      </c>
      <c r="AE64" s="70">
        <f ca="1">((SUBSIDIO!$L$64*SUBSIDIO!$Z$64)+(SUBSIDIO!$N$64*SUBSIDIO!$AA$64))*(0.03)/(1-0.03)</f>
        <v>7870.5646709657703</v>
      </c>
      <c r="AF64" s="4" t="s">
        <v>847</v>
      </c>
    </row>
    <row r="65" spans="1:32" ht="11.25" customHeight="1" x14ac:dyDescent="0.25">
      <c r="A65" s="4" t="s">
        <v>27</v>
      </c>
      <c r="B65" s="4" t="s">
        <v>39</v>
      </c>
      <c r="C65" s="4" t="s">
        <v>42</v>
      </c>
      <c r="D65" s="4" t="s">
        <v>49</v>
      </c>
      <c r="E65" s="4" t="s">
        <v>50</v>
      </c>
      <c r="F65" s="4" t="s">
        <v>25</v>
      </c>
      <c r="G65" s="4" t="s">
        <v>25</v>
      </c>
      <c r="H65" s="4" t="s">
        <v>35</v>
      </c>
      <c r="I65" s="5">
        <v>44501</v>
      </c>
      <c r="J65" s="6">
        <v>-57</v>
      </c>
      <c r="K65" s="71">
        <v>-57</v>
      </c>
      <c r="L65" s="6">
        <v>-28.565000000000001</v>
      </c>
      <c r="M65" s="70">
        <v>-28.565000000000001</v>
      </c>
      <c r="N65" s="6">
        <v>-28.565000000000001</v>
      </c>
      <c r="O65" s="70">
        <v>-28.565000000000001</v>
      </c>
      <c r="P65" s="6">
        <v>0</v>
      </c>
      <c r="Q65" s="4" t="s">
        <v>26</v>
      </c>
      <c r="R65" s="4">
        <v>0</v>
      </c>
      <c r="S65" s="4">
        <v>2</v>
      </c>
      <c r="T65" s="4">
        <v>3</v>
      </c>
      <c r="U65" s="4">
        <v>49</v>
      </c>
      <c r="V65" s="70">
        <f>IF(ISERROR(VLOOKUP($S$65,'TAR FIN'!$A$1:$O$85,15,0)),0,VLOOKUP($S$65,'TAR FIN'!$A$1:$O$85,15,0))*(1-0.06)</f>
        <v>15.6416</v>
      </c>
      <c r="W65" s="70">
        <f>IF(ISERROR(VLOOKUP($T$65,'TAR FIN'!$A$1:$O$85,15,0)),0,VLOOKUP($T$65,'TAR FIN'!$A$1:$O$85,15,0))*(1-0.06)</f>
        <v>72.144999999999996</v>
      </c>
      <c r="X65" s="70">
        <f>IF(ISERROR(VLOOKUP($U$65,'TAR FIN'!$A$1:$O$85,15,0)),0,VLOOKUP($U$65,'TAR FIN'!$A$1:$O$85,15,0))*(1-0.06)</f>
        <v>288.65519999999998</v>
      </c>
      <c r="Y65" s="70">
        <f ca="1">('TUSD BE'!$AM$6+'TUSD BF'!$AM$6+'TUSD CVA'!$AM$6)*1*(1-0.03)</f>
        <v>17.820698790947443</v>
      </c>
      <c r="Z65" s="70">
        <f ca="1">('TUSD BE'!$AM$7+'TUSD BF'!$AM$7+'TUSD CVA'!$AM$7)*1*(1-0.03)</f>
        <v>143.55448214271752</v>
      </c>
      <c r="AA65" s="70">
        <f>('TE BE'!$AB$6+'TE BF'!$AB$6+'TE CVA'!$AB$6)*1*(1-0.03)</f>
        <v>295.72417018043757</v>
      </c>
      <c r="AB65" s="70">
        <f>(SUBSIDIO!$J$65*SUBSIDIO!$V$65)*(0.06)/(1-0.06)</f>
        <v>-56.908799999999999</v>
      </c>
      <c r="AC65" s="70">
        <f>((SUBSIDIO!$L$65*SUBSIDIO!$W$65)+(SUBSIDIO!$N$65*SUBSIDIO!$X$65))*(0.06)/(1-0.06)</f>
        <v>-657.84623700000009</v>
      </c>
      <c r="AD65" s="70">
        <f ca="1">(SUBSIDIO!$J$65*SUBSIDIO!$Y$65)*(0.03)/(1-0.03)</f>
        <v>-31.415871064453739</v>
      </c>
      <c r="AE65" s="70">
        <f ca="1">((SUBSIDIO!$L$65*SUBSIDIO!$Z$65)+(SUBSIDIO!$N$65*SUBSIDIO!$AA$65))*(0.03)/(1-0.03)</f>
        <v>-388.08231042095645</v>
      </c>
      <c r="AF65" s="4" t="s">
        <v>847</v>
      </c>
    </row>
    <row r="66" spans="1:32" ht="11.25" customHeight="1" x14ac:dyDescent="0.25">
      <c r="A66" s="4" t="s">
        <v>21</v>
      </c>
      <c r="B66" s="4" t="s">
        <v>39</v>
      </c>
      <c r="C66" s="4" t="s">
        <v>42</v>
      </c>
      <c r="D66" s="4" t="s">
        <v>49</v>
      </c>
      <c r="E66" s="4" t="s">
        <v>50</v>
      </c>
      <c r="F66" s="4" t="s">
        <v>25</v>
      </c>
      <c r="G66" s="4" t="s">
        <v>25</v>
      </c>
      <c r="H66" s="4" t="s">
        <v>35</v>
      </c>
      <c r="I66" s="5">
        <v>44531</v>
      </c>
      <c r="J66" s="6">
        <v>1473</v>
      </c>
      <c r="K66" s="71">
        <v>1473</v>
      </c>
      <c r="L66" s="6">
        <v>585.63499999999999</v>
      </c>
      <c r="M66" s="70">
        <v>585.63499999999999</v>
      </c>
      <c r="N66" s="6">
        <v>585.63499999999999</v>
      </c>
      <c r="O66" s="70">
        <v>585.63499999999999</v>
      </c>
      <c r="P66" s="6">
        <v>0</v>
      </c>
      <c r="Q66" s="4" t="s">
        <v>26</v>
      </c>
      <c r="R66" s="4">
        <v>0</v>
      </c>
      <c r="S66" s="4">
        <v>2</v>
      </c>
      <c r="T66" s="4">
        <v>3</v>
      </c>
      <c r="U66" s="4">
        <v>49</v>
      </c>
      <c r="V66" s="70">
        <f>IF(ISERROR(VLOOKUP($S$66,'TAR FIN'!$A$1:$O$85,15,0)),0,VLOOKUP($S$66,'TAR FIN'!$A$1:$O$85,15,0))*(1-0.06)</f>
        <v>15.6416</v>
      </c>
      <c r="W66" s="70">
        <f>IF(ISERROR(VLOOKUP($T$66,'TAR FIN'!$A$1:$O$85,15,0)),0,VLOOKUP($T$66,'TAR FIN'!$A$1:$O$85,15,0))*(1-0.06)</f>
        <v>72.144999999999996</v>
      </c>
      <c r="X66" s="70">
        <f>IF(ISERROR(VLOOKUP($U$66,'TAR FIN'!$A$1:$O$85,15,0)),0,VLOOKUP($U$66,'TAR FIN'!$A$1:$O$85,15,0))*(1-0.06)</f>
        <v>288.65519999999998</v>
      </c>
      <c r="Y66" s="70">
        <f ca="1">('TUSD BE'!$AM$6+'TUSD BF'!$AM$6+'TUSD CVA'!$AM$6)*1*(1-0.03)</f>
        <v>17.820698790947443</v>
      </c>
      <c r="Z66" s="70">
        <f ca="1">('TUSD BE'!$AM$7+'TUSD BF'!$AM$7+'TUSD CVA'!$AM$7)*1*(1-0.03)</f>
        <v>143.55448214271752</v>
      </c>
      <c r="AA66" s="70">
        <f>('TE BE'!$AB$6+'TE BF'!$AB$6+'TE CVA'!$AB$6)*1*(1-0.03)</f>
        <v>295.72417018043757</v>
      </c>
      <c r="AB66" s="70">
        <f>(SUBSIDIO!$J$66*SUBSIDIO!$V$66)*(0.06)/(1-0.06)</f>
        <v>1470.6432</v>
      </c>
      <c r="AC66" s="70">
        <f>((SUBSIDIO!$L$66*SUBSIDIO!$W$66)+(SUBSIDIO!$N$66*SUBSIDIO!$X$66))*(0.06)/(1-0.06)</f>
        <v>13487.056922999998</v>
      </c>
      <c r="AD66" s="70">
        <f ca="1">(SUBSIDIO!$J$66*SUBSIDIO!$Y$66)*(0.03)/(1-0.03)</f>
        <v>811.85224698140973</v>
      </c>
      <c r="AE66" s="70">
        <f ca="1">((SUBSIDIO!$L$66*SUBSIDIO!$Z$66)+(SUBSIDIO!$N$66*SUBSIDIO!$AA$66))*(0.03)/(1-0.03)</f>
        <v>7956.4006253588959</v>
      </c>
      <c r="AF66" s="4" t="s">
        <v>847</v>
      </c>
    </row>
    <row r="67" spans="1:32" ht="11.25" customHeight="1" x14ac:dyDescent="0.25">
      <c r="A67" s="4" t="s">
        <v>21</v>
      </c>
      <c r="B67" s="4" t="s">
        <v>39</v>
      </c>
      <c r="C67" s="4" t="s">
        <v>42</v>
      </c>
      <c r="D67" s="4" t="s">
        <v>49</v>
      </c>
      <c r="E67" s="4" t="s">
        <v>50</v>
      </c>
      <c r="F67" s="4" t="s">
        <v>25</v>
      </c>
      <c r="G67" s="4" t="s">
        <v>25</v>
      </c>
      <c r="H67" s="4" t="s">
        <v>35</v>
      </c>
      <c r="I67" s="5">
        <v>44562</v>
      </c>
      <c r="J67" s="6">
        <v>1504</v>
      </c>
      <c r="K67" s="71">
        <v>1504</v>
      </c>
      <c r="L67" s="6">
        <v>606.64</v>
      </c>
      <c r="M67" s="70">
        <v>606.64</v>
      </c>
      <c r="N67" s="6">
        <v>606.64</v>
      </c>
      <c r="O67" s="70">
        <v>606.64</v>
      </c>
      <c r="P67" s="6">
        <v>0</v>
      </c>
      <c r="Q67" s="4" t="s">
        <v>26</v>
      </c>
      <c r="R67" s="4">
        <v>0</v>
      </c>
      <c r="S67" s="4">
        <v>2</v>
      </c>
      <c r="T67" s="4">
        <v>3</v>
      </c>
      <c r="U67" s="4">
        <v>49</v>
      </c>
      <c r="V67" s="70">
        <f>IF(ISERROR(VLOOKUP($S$67,'TAR FIN'!$A$1:$O$85,15,0)),0,VLOOKUP($S$67,'TAR FIN'!$A$1:$O$85,15,0))*(1-0.06)</f>
        <v>15.6416</v>
      </c>
      <c r="W67" s="70">
        <f>IF(ISERROR(VLOOKUP($T$67,'TAR FIN'!$A$1:$O$85,15,0)),0,VLOOKUP($T$67,'TAR FIN'!$A$1:$O$85,15,0))*(1-0.06)</f>
        <v>72.144999999999996</v>
      </c>
      <c r="X67" s="70">
        <f>IF(ISERROR(VLOOKUP($U$67,'TAR FIN'!$A$1:$O$85,15,0)),0,VLOOKUP($U$67,'TAR FIN'!$A$1:$O$85,15,0))*(1-0.06)</f>
        <v>288.65519999999998</v>
      </c>
      <c r="Y67" s="70">
        <f ca="1">('TUSD BE'!$AM$6+'TUSD BF'!$AM$6+'TUSD CVA'!$AM$6)*1*(1-0.03)</f>
        <v>17.820698790947443</v>
      </c>
      <c r="Z67" s="70">
        <f ca="1">('TUSD BE'!$AM$7+'TUSD BF'!$AM$7+'TUSD CVA'!$AM$7)*1*(1-0.03)</f>
        <v>143.55448214271752</v>
      </c>
      <c r="AA67" s="70">
        <f>('TE BE'!$AB$6+'TE BF'!$AB$6+'TE CVA'!$AB$6)*1*(1-0.03)</f>
        <v>295.72417018043757</v>
      </c>
      <c r="AB67" s="70">
        <f>(SUBSIDIO!$J$67*SUBSIDIO!$V$67)*(0.06)/(1-0.06)</f>
        <v>1501.5936000000002</v>
      </c>
      <c r="AC67" s="70">
        <f>((SUBSIDIO!$L$67*SUBSIDIO!$W$67)+(SUBSIDIO!$N$67*SUBSIDIO!$X$67))*(0.06)/(1-0.06)</f>
        <v>13970.797871999999</v>
      </c>
      <c r="AD67" s="70">
        <f ca="1">(SUBSIDIO!$J$67*SUBSIDIO!$Y$67)*(0.03)/(1-0.03)</f>
        <v>828.93807159541097</v>
      </c>
      <c r="AE67" s="70">
        <f ca="1">((SUBSIDIO!$L$67*SUBSIDIO!$Z$67)+(SUBSIDIO!$N$67*SUBSIDIO!$AA$67))*(0.03)/(1-0.03)</f>
        <v>8241.7732467624373</v>
      </c>
      <c r="AF67" s="4" t="s">
        <v>847</v>
      </c>
    </row>
    <row r="68" spans="1:32" ht="11.25" customHeight="1" x14ac:dyDescent="0.25">
      <c r="A68" s="4" t="s">
        <v>21</v>
      </c>
      <c r="B68" s="4" t="s">
        <v>39</v>
      </c>
      <c r="C68" s="4" t="s">
        <v>42</v>
      </c>
      <c r="D68" s="4" t="s">
        <v>49</v>
      </c>
      <c r="E68" s="4" t="s">
        <v>50</v>
      </c>
      <c r="F68" s="4" t="s">
        <v>25</v>
      </c>
      <c r="G68" s="4" t="s">
        <v>25</v>
      </c>
      <c r="H68" s="4" t="s">
        <v>35</v>
      </c>
      <c r="I68" s="5">
        <v>44593</v>
      </c>
      <c r="J68" s="6">
        <v>1489</v>
      </c>
      <c r="K68" s="71">
        <v>1489</v>
      </c>
      <c r="L68" s="6">
        <v>549.12300000000005</v>
      </c>
      <c r="M68" s="70">
        <v>549.12300000000005</v>
      </c>
      <c r="N68" s="6">
        <v>549.12300000000005</v>
      </c>
      <c r="O68" s="70">
        <v>549.12300000000005</v>
      </c>
      <c r="P68" s="6">
        <v>0</v>
      </c>
      <c r="Q68" s="4" t="s">
        <v>26</v>
      </c>
      <c r="R68" s="4">
        <v>0</v>
      </c>
      <c r="S68" s="4">
        <v>2</v>
      </c>
      <c r="T68" s="4">
        <v>3</v>
      </c>
      <c r="U68" s="4">
        <v>49</v>
      </c>
      <c r="V68" s="70">
        <f>IF(ISERROR(VLOOKUP($S$68,'TAR FIN'!$A$1:$O$85,15,0)),0,VLOOKUP($S$68,'TAR FIN'!$A$1:$O$85,15,0))*(1-0.06)</f>
        <v>15.6416</v>
      </c>
      <c r="W68" s="70">
        <f>IF(ISERROR(VLOOKUP($T$68,'TAR FIN'!$A$1:$O$85,15,0)),0,VLOOKUP($T$68,'TAR FIN'!$A$1:$O$85,15,0))*(1-0.06)</f>
        <v>72.144999999999996</v>
      </c>
      <c r="X68" s="70">
        <f>IF(ISERROR(VLOOKUP($U$68,'TAR FIN'!$A$1:$O$85,15,0)),0,VLOOKUP($U$68,'TAR FIN'!$A$1:$O$85,15,0))*(1-0.06)</f>
        <v>288.65519999999998</v>
      </c>
      <c r="Y68" s="70">
        <f ca="1">('TUSD BE'!$AM$6+'TUSD BF'!$AM$6+'TUSD CVA'!$AM$6)*1*(1-0.03)</f>
        <v>17.820698790947443</v>
      </c>
      <c r="Z68" s="70">
        <f ca="1">('TUSD BE'!$AM$7+'TUSD BF'!$AM$7+'TUSD CVA'!$AM$7)*1*(1-0.03)</f>
        <v>143.55448214271752</v>
      </c>
      <c r="AA68" s="70">
        <f>('TE BE'!$AB$6+'TE BF'!$AB$6+'TE CVA'!$AB$6)*1*(1-0.03)</f>
        <v>295.72417018043757</v>
      </c>
      <c r="AB68" s="70">
        <f>(SUBSIDIO!$J$68*SUBSIDIO!$V$68)*(0.06)/(1-0.06)</f>
        <v>1486.6176</v>
      </c>
      <c r="AC68" s="70">
        <f>((SUBSIDIO!$L$68*SUBSIDIO!$W$68)+(SUBSIDIO!$N$68*SUBSIDIO!$X$68))*(0.06)/(1-0.06)</f>
        <v>12646.192865399998</v>
      </c>
      <c r="AD68" s="70">
        <f ca="1">(SUBSIDIO!$J$68*SUBSIDIO!$Y$68)*(0.03)/(1-0.03)</f>
        <v>820.67073710476529</v>
      </c>
      <c r="AE68" s="70">
        <f ca="1">((SUBSIDIO!$L$68*SUBSIDIO!$Z$68)+(SUBSIDIO!$N$68*SUBSIDIO!$AA$68))*(0.03)/(1-0.03)</f>
        <v>7460.3508680303476</v>
      </c>
      <c r="AF68" s="4" t="s">
        <v>847</v>
      </c>
    </row>
    <row r="69" spans="1:32" ht="11.25" customHeight="1" x14ac:dyDescent="0.25">
      <c r="A69" s="4" t="s">
        <v>21</v>
      </c>
      <c r="B69" s="4" t="s">
        <v>39</v>
      </c>
      <c r="C69" s="4" t="s">
        <v>42</v>
      </c>
      <c r="D69" s="4" t="s">
        <v>49</v>
      </c>
      <c r="E69" s="4" t="s">
        <v>50</v>
      </c>
      <c r="F69" s="4" t="s">
        <v>25</v>
      </c>
      <c r="G69" s="4" t="s">
        <v>25</v>
      </c>
      <c r="H69" s="4" t="s">
        <v>35</v>
      </c>
      <c r="I69" s="5">
        <v>44621</v>
      </c>
      <c r="J69" s="6">
        <v>1539</v>
      </c>
      <c r="K69" s="71">
        <v>1539</v>
      </c>
      <c r="L69" s="6">
        <v>638.077</v>
      </c>
      <c r="M69" s="70">
        <v>638.077</v>
      </c>
      <c r="N69" s="6">
        <v>638.077</v>
      </c>
      <c r="O69" s="70">
        <v>638.077</v>
      </c>
      <c r="P69" s="6">
        <v>0</v>
      </c>
      <c r="Q69" s="4" t="s">
        <v>26</v>
      </c>
      <c r="R69" s="4">
        <v>0</v>
      </c>
      <c r="S69" s="4">
        <v>2</v>
      </c>
      <c r="T69" s="4">
        <v>3</v>
      </c>
      <c r="U69" s="4">
        <v>49</v>
      </c>
      <c r="V69" s="70">
        <f>IF(ISERROR(VLOOKUP($S$69,'TAR FIN'!$A$1:$O$85,15,0)),0,VLOOKUP($S$69,'TAR FIN'!$A$1:$O$85,15,0))*(1-0.06)</f>
        <v>15.6416</v>
      </c>
      <c r="W69" s="70">
        <f>IF(ISERROR(VLOOKUP($T$69,'TAR FIN'!$A$1:$O$85,15,0)),0,VLOOKUP($T$69,'TAR FIN'!$A$1:$O$85,15,0))*(1-0.06)</f>
        <v>72.144999999999996</v>
      </c>
      <c r="X69" s="70">
        <f>IF(ISERROR(VLOOKUP($U$69,'TAR FIN'!$A$1:$O$85,15,0)),0,VLOOKUP($U$69,'TAR FIN'!$A$1:$O$85,15,0))*(1-0.06)</f>
        <v>288.65519999999998</v>
      </c>
      <c r="Y69" s="70">
        <f ca="1">('TUSD BE'!$AM$6+'TUSD BF'!$AM$6+'TUSD CVA'!$AM$6)*1*(1-0.03)</f>
        <v>17.820698790947443</v>
      </c>
      <c r="Z69" s="70">
        <f ca="1">('TUSD BE'!$AM$7+'TUSD BF'!$AM$7+'TUSD CVA'!$AM$7)*1*(1-0.03)</f>
        <v>143.55448214271752</v>
      </c>
      <c r="AA69" s="70">
        <f>('TE BE'!$AB$6+'TE BF'!$AB$6+'TE CVA'!$AB$6)*1*(1-0.03)</f>
        <v>295.72417018043757</v>
      </c>
      <c r="AB69" s="70">
        <f>(SUBSIDIO!$J$69*SUBSIDIO!$V$69)*(0.06)/(1-0.06)</f>
        <v>1536.5375999999999</v>
      </c>
      <c r="AC69" s="70">
        <f>((SUBSIDIO!$L$69*SUBSIDIO!$W$69)+(SUBSIDIO!$N$69*SUBSIDIO!$X$69))*(0.06)/(1-0.06)</f>
        <v>14694.785694599999</v>
      </c>
      <c r="AD69" s="70">
        <f ca="1">(SUBSIDIO!$J$69*SUBSIDIO!$Y$69)*(0.03)/(1-0.03)</f>
        <v>848.22851874025105</v>
      </c>
      <c r="AE69" s="70">
        <f ca="1">((SUBSIDIO!$L$69*SUBSIDIO!$Z$69)+(SUBSIDIO!$N$69*SUBSIDIO!$AA$69))*(0.03)/(1-0.03)</f>
        <v>8668.8743702598495</v>
      </c>
      <c r="AF69" s="4" t="s">
        <v>847</v>
      </c>
    </row>
    <row r="70" spans="1:32" ht="11.25" customHeight="1" x14ac:dyDescent="0.25">
      <c r="A70" s="4" t="s">
        <v>21</v>
      </c>
      <c r="B70" s="4" t="s">
        <v>39</v>
      </c>
      <c r="C70" s="4" t="s">
        <v>42</v>
      </c>
      <c r="D70" s="4" t="s">
        <v>49</v>
      </c>
      <c r="E70" s="4" t="s">
        <v>50</v>
      </c>
      <c r="F70" s="4" t="s">
        <v>25</v>
      </c>
      <c r="G70" s="4" t="s">
        <v>25</v>
      </c>
      <c r="H70" s="4" t="s">
        <v>35</v>
      </c>
      <c r="I70" s="5">
        <v>44652</v>
      </c>
      <c r="J70" s="6">
        <v>1530</v>
      </c>
      <c r="K70" s="71">
        <v>1530</v>
      </c>
      <c r="L70" s="6">
        <v>609.19799999999998</v>
      </c>
      <c r="M70" s="70">
        <v>609.19799999999998</v>
      </c>
      <c r="N70" s="6">
        <v>609.19799999999998</v>
      </c>
      <c r="O70" s="70">
        <v>609.19799999999998</v>
      </c>
      <c r="P70" s="6">
        <v>0</v>
      </c>
      <c r="Q70" s="4" t="s">
        <v>26</v>
      </c>
      <c r="R70" s="4">
        <v>0</v>
      </c>
      <c r="S70" s="4">
        <v>2</v>
      </c>
      <c r="T70" s="4">
        <v>3</v>
      </c>
      <c r="U70" s="4">
        <v>49</v>
      </c>
      <c r="V70" s="70">
        <f>IF(ISERROR(VLOOKUP($S$70,'TAR FIN'!$A$1:$O$85,15,0)),0,VLOOKUP($S$70,'TAR FIN'!$A$1:$O$85,15,0))*(1-0.06)</f>
        <v>15.6416</v>
      </c>
      <c r="W70" s="70">
        <f>IF(ISERROR(VLOOKUP($T$70,'TAR FIN'!$A$1:$O$85,15,0)),0,VLOOKUP($T$70,'TAR FIN'!$A$1:$O$85,15,0))*(1-0.06)</f>
        <v>72.144999999999996</v>
      </c>
      <c r="X70" s="70">
        <f>IF(ISERROR(VLOOKUP($U$70,'TAR FIN'!$A$1:$O$85,15,0)),0,VLOOKUP($U$70,'TAR FIN'!$A$1:$O$85,15,0))*(1-0.06)</f>
        <v>288.65519999999998</v>
      </c>
      <c r="Y70" s="70">
        <f ca="1">('TUSD BE'!$AM$6+'TUSD BF'!$AM$6+'TUSD CVA'!$AM$6)*1*(1-0.03)</f>
        <v>17.820698790947443</v>
      </c>
      <c r="Z70" s="70">
        <f ca="1">('TUSD BE'!$AM$7+'TUSD BF'!$AM$7+'TUSD CVA'!$AM$7)*1*(1-0.03)</f>
        <v>143.55448214271752</v>
      </c>
      <c r="AA70" s="70">
        <f>('TE BE'!$AB$6+'TE BF'!$AB$6+'TE CVA'!$AB$6)*1*(1-0.03)</f>
        <v>295.72417018043757</v>
      </c>
      <c r="AB70" s="70">
        <f>(SUBSIDIO!$J$70*SUBSIDIO!$V$70)*(0.06)/(1-0.06)</f>
        <v>1527.5520000000001</v>
      </c>
      <c r="AC70" s="70">
        <f>((SUBSIDIO!$L$70*SUBSIDIO!$W$70)+(SUBSIDIO!$N$70*SUBSIDIO!$X$70))*(0.06)/(1-0.06)</f>
        <v>14029.708100399997</v>
      </c>
      <c r="AD70" s="70">
        <f ca="1">(SUBSIDIO!$J$70*SUBSIDIO!$Y$70)*(0.03)/(1-0.03)</f>
        <v>843.2681180458635</v>
      </c>
      <c r="AE70" s="70">
        <f ca="1">((SUBSIDIO!$L$70*SUBSIDIO!$Z$70)+(SUBSIDIO!$N$70*SUBSIDIO!$AA$70))*(0.03)/(1-0.03)</f>
        <v>8276.5260754008686</v>
      </c>
      <c r="AF70" s="4" t="s">
        <v>847</v>
      </c>
    </row>
    <row r="71" spans="1:32" ht="11.25" customHeight="1" x14ac:dyDescent="0.25">
      <c r="A71" s="4" t="s">
        <v>21</v>
      </c>
      <c r="B71" s="4" t="s">
        <v>39</v>
      </c>
      <c r="C71" s="4" t="s">
        <v>42</v>
      </c>
      <c r="D71" s="4" t="s">
        <v>49</v>
      </c>
      <c r="E71" s="4" t="s">
        <v>50</v>
      </c>
      <c r="F71" s="4" t="s">
        <v>25</v>
      </c>
      <c r="G71" s="4" t="s">
        <v>25</v>
      </c>
      <c r="H71" s="4" t="s">
        <v>35</v>
      </c>
      <c r="I71" s="5">
        <v>44682</v>
      </c>
      <c r="J71" s="6">
        <v>1512</v>
      </c>
      <c r="K71" s="71">
        <v>1512</v>
      </c>
      <c r="L71" s="6">
        <v>633.83399999999995</v>
      </c>
      <c r="M71" s="70">
        <v>633.83399999999995</v>
      </c>
      <c r="N71" s="6">
        <v>633.83399999999995</v>
      </c>
      <c r="O71" s="70">
        <v>633.83399999999995</v>
      </c>
      <c r="P71" s="6">
        <v>0</v>
      </c>
      <c r="Q71" s="4" t="s">
        <v>26</v>
      </c>
      <c r="R71" s="4">
        <v>0</v>
      </c>
      <c r="S71" s="4">
        <v>2</v>
      </c>
      <c r="T71" s="4">
        <v>3</v>
      </c>
      <c r="U71" s="4">
        <v>49</v>
      </c>
      <c r="V71" s="70">
        <f>IF(ISERROR(VLOOKUP($S$71,'TAR FIN'!$A$1:$O$85,15,0)),0,VLOOKUP($S$71,'TAR FIN'!$A$1:$O$85,15,0))*(1-0.06)</f>
        <v>15.6416</v>
      </c>
      <c r="W71" s="70">
        <f>IF(ISERROR(VLOOKUP($T$71,'TAR FIN'!$A$1:$O$85,15,0)),0,VLOOKUP($T$71,'TAR FIN'!$A$1:$O$85,15,0))*(1-0.06)</f>
        <v>72.144999999999996</v>
      </c>
      <c r="X71" s="70">
        <f>IF(ISERROR(VLOOKUP($U$71,'TAR FIN'!$A$1:$O$85,15,0)),0,VLOOKUP($U$71,'TAR FIN'!$A$1:$O$85,15,0))*(1-0.06)</f>
        <v>288.65519999999998</v>
      </c>
      <c r="Y71" s="70">
        <f ca="1">('TUSD BE'!$AM$6+'TUSD BF'!$AM$6+'TUSD CVA'!$AM$6)*1*(1-0.03)</f>
        <v>17.820698790947443</v>
      </c>
      <c r="Z71" s="70">
        <f ca="1">('TUSD BE'!$AM$7+'TUSD BF'!$AM$7+'TUSD CVA'!$AM$7)*1*(1-0.03)</f>
        <v>143.55448214271752</v>
      </c>
      <c r="AA71" s="70">
        <f>('TE BE'!$AB$6+'TE BF'!$AB$6+'TE CVA'!$AB$6)*1*(1-0.03)</f>
        <v>295.72417018043757</v>
      </c>
      <c r="AB71" s="70">
        <f>(SUBSIDIO!$J$71*SUBSIDIO!$V$71)*(0.06)/(1-0.06)</f>
        <v>1509.5808</v>
      </c>
      <c r="AC71" s="70">
        <f>((SUBSIDIO!$L$71*SUBSIDIO!$W$71)+(SUBSIDIO!$N$71*SUBSIDIO!$X$71))*(0.06)/(1-0.06)</f>
        <v>14597.070253199998</v>
      </c>
      <c r="AD71" s="70">
        <f ca="1">(SUBSIDIO!$J$71*SUBSIDIO!$Y$71)*(0.03)/(1-0.03)</f>
        <v>833.34731665708875</v>
      </c>
      <c r="AE71" s="70">
        <f ca="1">((SUBSIDIO!$L$71*SUBSIDIO!$Z$71)+(SUBSIDIO!$N$71*SUBSIDIO!$AA$71))*(0.03)/(1-0.03)</f>
        <v>8611.2292365957128</v>
      </c>
      <c r="AF71" s="4" t="s">
        <v>847</v>
      </c>
    </row>
    <row r="72" spans="1:32" ht="11.25" customHeight="1" x14ac:dyDescent="0.25">
      <c r="A72" s="4" t="s">
        <v>21</v>
      </c>
      <c r="B72" s="4" t="s">
        <v>39</v>
      </c>
      <c r="C72" s="4" t="s">
        <v>42</v>
      </c>
      <c r="D72" s="4" t="s">
        <v>49</v>
      </c>
      <c r="E72" s="4" t="s">
        <v>50</v>
      </c>
      <c r="F72" s="4" t="s">
        <v>25</v>
      </c>
      <c r="G72" s="4" t="s">
        <v>25</v>
      </c>
      <c r="H72" s="4" t="s">
        <v>35</v>
      </c>
      <c r="I72" s="5">
        <v>44713</v>
      </c>
      <c r="J72" s="6">
        <v>1525</v>
      </c>
      <c r="K72" s="71">
        <v>1525</v>
      </c>
      <c r="L72" s="6">
        <v>599.97</v>
      </c>
      <c r="M72" s="70">
        <v>599.97</v>
      </c>
      <c r="N72" s="6">
        <v>599.97</v>
      </c>
      <c r="O72" s="70">
        <v>599.97</v>
      </c>
      <c r="P72" s="6">
        <v>0</v>
      </c>
      <c r="Q72" s="4" t="s">
        <v>26</v>
      </c>
      <c r="R72" s="4">
        <v>0</v>
      </c>
      <c r="S72" s="4">
        <v>2</v>
      </c>
      <c r="T72" s="4">
        <v>3</v>
      </c>
      <c r="U72" s="4">
        <v>49</v>
      </c>
      <c r="V72" s="70">
        <f>IF(ISERROR(VLOOKUP($S$72,'TAR FIN'!$A$1:$O$85,15,0)),0,VLOOKUP($S$72,'TAR FIN'!$A$1:$O$85,15,0))*(1-0.06)</f>
        <v>15.6416</v>
      </c>
      <c r="W72" s="70">
        <f>IF(ISERROR(VLOOKUP($T$72,'TAR FIN'!$A$1:$O$85,15,0)),0,VLOOKUP($T$72,'TAR FIN'!$A$1:$O$85,15,0))*(1-0.06)</f>
        <v>72.144999999999996</v>
      </c>
      <c r="X72" s="70">
        <f>IF(ISERROR(VLOOKUP($U$72,'TAR FIN'!$A$1:$O$85,15,0)),0,VLOOKUP($U$72,'TAR FIN'!$A$1:$O$85,15,0))*(1-0.06)</f>
        <v>288.65519999999998</v>
      </c>
      <c r="Y72" s="70">
        <f ca="1">('TUSD BE'!$AM$6+'TUSD BF'!$AM$6+'TUSD CVA'!$AM$6)*1*(1-0.03)</f>
        <v>17.820698790947443</v>
      </c>
      <c r="Z72" s="70">
        <f ca="1">('TUSD BE'!$AM$7+'TUSD BF'!$AM$7+'TUSD CVA'!$AM$7)*1*(1-0.03)</f>
        <v>143.55448214271752</v>
      </c>
      <c r="AA72" s="70">
        <f>('TE BE'!$AB$6+'TE BF'!$AB$6+'TE CVA'!$AB$6)*1*(1-0.03)</f>
        <v>295.72417018043757</v>
      </c>
      <c r="AB72" s="70">
        <f>(SUBSIDIO!$J$72*SUBSIDIO!$V$72)*(0.06)/(1-0.06)</f>
        <v>1522.5600000000002</v>
      </c>
      <c r="AC72" s="70">
        <f>((SUBSIDIO!$L$72*SUBSIDIO!$W$72)+(SUBSIDIO!$N$72*SUBSIDIO!$X$72))*(0.06)/(1-0.06)</f>
        <v>13817.189106</v>
      </c>
      <c r="AD72" s="70">
        <f ca="1">(SUBSIDIO!$J$72*SUBSIDIO!$Y$72)*(0.03)/(1-0.03)</f>
        <v>840.5123398823149</v>
      </c>
      <c r="AE72" s="70">
        <f ca="1">((SUBSIDIO!$L$72*SUBSIDIO!$Z$72)+(SUBSIDIO!$N$72*SUBSIDIO!$AA$72))*(0.03)/(1-0.03)</f>
        <v>8151.1550422986602</v>
      </c>
      <c r="AF72" s="4" t="s">
        <v>847</v>
      </c>
    </row>
    <row r="73" spans="1:32" ht="11.25" customHeight="1" x14ac:dyDescent="0.25">
      <c r="A73" s="4" t="s">
        <v>21</v>
      </c>
      <c r="B73" s="4" t="s">
        <v>39</v>
      </c>
      <c r="C73" s="4" t="s">
        <v>42</v>
      </c>
      <c r="D73" s="4" t="s">
        <v>49</v>
      </c>
      <c r="E73" s="4" t="s">
        <v>50</v>
      </c>
      <c r="F73" s="4" t="s">
        <v>25</v>
      </c>
      <c r="G73" s="4" t="s">
        <v>25</v>
      </c>
      <c r="H73" s="4" t="s">
        <v>35</v>
      </c>
      <c r="I73" s="5">
        <v>44743</v>
      </c>
      <c r="J73" s="6">
        <v>1532</v>
      </c>
      <c r="K73" s="71">
        <v>1532</v>
      </c>
      <c r="L73" s="6">
        <v>638.24699999999996</v>
      </c>
      <c r="M73" s="70">
        <v>638.24699999999996</v>
      </c>
      <c r="N73" s="6">
        <v>638.24699999999996</v>
      </c>
      <c r="O73" s="70">
        <v>638.24699999999996</v>
      </c>
      <c r="P73" s="6">
        <v>0</v>
      </c>
      <c r="Q73" s="4" t="s">
        <v>26</v>
      </c>
      <c r="R73" s="4">
        <v>0</v>
      </c>
      <c r="S73" s="4">
        <v>2</v>
      </c>
      <c r="T73" s="4">
        <v>3</v>
      </c>
      <c r="U73" s="4">
        <v>49</v>
      </c>
      <c r="V73" s="70">
        <f>IF(ISERROR(VLOOKUP($S$73,'TAR FIN'!$A$1:$O$85,15,0)),0,VLOOKUP($S$73,'TAR FIN'!$A$1:$O$85,15,0))*(1-0.06)</f>
        <v>15.6416</v>
      </c>
      <c r="W73" s="70">
        <f>IF(ISERROR(VLOOKUP($T$73,'TAR FIN'!$A$1:$O$85,15,0)),0,VLOOKUP($T$73,'TAR FIN'!$A$1:$O$85,15,0))*(1-0.06)</f>
        <v>72.144999999999996</v>
      </c>
      <c r="X73" s="70">
        <f>IF(ISERROR(VLOOKUP($U$73,'TAR FIN'!$A$1:$O$85,15,0)),0,VLOOKUP($U$73,'TAR FIN'!$A$1:$O$85,15,0))*(1-0.06)</f>
        <v>288.65519999999998</v>
      </c>
      <c r="Y73" s="70">
        <f ca="1">('TUSD BE'!$AM$6+'TUSD BF'!$AM$6+'TUSD CVA'!$AM$6)*1*(1-0.03)</f>
        <v>17.820698790947443</v>
      </c>
      <c r="Z73" s="70">
        <f ca="1">('TUSD BE'!$AM$7+'TUSD BF'!$AM$7+'TUSD CVA'!$AM$7)*1*(1-0.03)</f>
        <v>143.55448214271752</v>
      </c>
      <c r="AA73" s="70">
        <f>('TE BE'!$AB$6+'TE BF'!$AB$6+'TE CVA'!$AB$6)*1*(1-0.03)</f>
        <v>295.72417018043757</v>
      </c>
      <c r="AB73" s="70">
        <f>(SUBSIDIO!$J$73*SUBSIDIO!$V$73)*(0.06)/(1-0.06)</f>
        <v>1529.5488</v>
      </c>
      <c r="AC73" s="70">
        <f>((SUBSIDIO!$L$73*SUBSIDIO!$W$73)+(SUBSIDIO!$N$73*SUBSIDIO!$X$73))*(0.06)/(1-0.06)</f>
        <v>14698.700760599997</v>
      </c>
      <c r="AD73" s="70">
        <f ca="1">(SUBSIDIO!$J$73*SUBSIDIO!$Y$73)*(0.03)/(1-0.03)</f>
        <v>844.37042931128303</v>
      </c>
      <c r="AE73" s="70">
        <f ca="1">((SUBSIDIO!$L$73*SUBSIDIO!$Z$73)+(SUBSIDIO!$N$73*SUBSIDIO!$AA$73))*(0.03)/(1-0.03)</f>
        <v>8671.183979668971</v>
      </c>
      <c r="AF73" s="4" t="s">
        <v>847</v>
      </c>
    </row>
    <row r="74" spans="1:32" ht="11.25" customHeight="1" x14ac:dyDescent="0.25">
      <c r="A74" s="4" t="s">
        <v>56</v>
      </c>
      <c r="B74" s="4" t="s">
        <v>39</v>
      </c>
      <c r="C74" s="4" t="s">
        <v>42</v>
      </c>
      <c r="D74" s="4" t="s">
        <v>49</v>
      </c>
      <c r="E74" s="4" t="s">
        <v>50</v>
      </c>
      <c r="F74" s="4" t="s">
        <v>25</v>
      </c>
      <c r="G74" s="4" t="s">
        <v>25</v>
      </c>
      <c r="H74" s="4" t="s">
        <v>35</v>
      </c>
      <c r="I74" s="5">
        <v>44774</v>
      </c>
      <c r="J74" s="6">
        <v>1532</v>
      </c>
      <c r="K74" s="71">
        <v>1532</v>
      </c>
      <c r="L74" s="6">
        <v>638.24699999999996</v>
      </c>
      <c r="M74" s="70">
        <v>638.24699999999996</v>
      </c>
      <c r="N74" s="6">
        <v>638.24699999999996</v>
      </c>
      <c r="O74" s="70">
        <v>638.24699999999996</v>
      </c>
      <c r="P74" s="6">
        <v>0</v>
      </c>
      <c r="Q74" s="4" t="s">
        <v>26</v>
      </c>
      <c r="R74" s="4">
        <v>0</v>
      </c>
      <c r="S74" s="4">
        <v>2</v>
      </c>
      <c r="T74" s="4">
        <v>3</v>
      </c>
      <c r="U74" s="4">
        <v>49</v>
      </c>
      <c r="V74" s="70">
        <f>IF(ISERROR(VLOOKUP($S$74,'TAR FIN'!$A$1:$O$85,15,0)),0,VLOOKUP($S$74,'TAR FIN'!$A$1:$O$85,15,0))*(1-0.06)</f>
        <v>15.6416</v>
      </c>
      <c r="W74" s="70">
        <f>IF(ISERROR(VLOOKUP($T$74,'TAR FIN'!$A$1:$O$85,15,0)),0,VLOOKUP($T$74,'TAR FIN'!$A$1:$O$85,15,0))*(1-0.06)</f>
        <v>72.144999999999996</v>
      </c>
      <c r="X74" s="70">
        <f>IF(ISERROR(VLOOKUP($U$74,'TAR FIN'!$A$1:$O$85,15,0)),0,VLOOKUP($U$74,'TAR FIN'!$A$1:$O$85,15,0))*(1-0.06)</f>
        <v>288.65519999999998</v>
      </c>
      <c r="Y74" s="70">
        <f ca="1">('TUSD BE'!$AM$6+'TUSD BF'!$AM$6+'TUSD CVA'!$AM$6)*1*(1-0.03)</f>
        <v>17.820698790947443</v>
      </c>
      <c r="Z74" s="70">
        <f ca="1">('TUSD BE'!$AM$7+'TUSD BF'!$AM$7+'TUSD CVA'!$AM$7)*1*(1-0.03)</f>
        <v>143.55448214271752</v>
      </c>
      <c r="AA74" s="70">
        <f>('TE BE'!$AB$6+'TE BF'!$AB$6+'TE CVA'!$AB$6)*1*(1-0.03)</f>
        <v>295.72417018043757</v>
      </c>
      <c r="AB74" s="70">
        <f>(SUBSIDIO!$J$74*SUBSIDIO!$V$74)*(0.06)/(1-0.06)</f>
        <v>1529.5488</v>
      </c>
      <c r="AC74" s="70">
        <f>((SUBSIDIO!$L$74*SUBSIDIO!$W$74)+(SUBSIDIO!$N$74*SUBSIDIO!$X$74))*(0.06)/(1-0.06)</f>
        <v>14698.700760599997</v>
      </c>
      <c r="AD74" s="70">
        <f ca="1">(SUBSIDIO!$J$74*SUBSIDIO!$Y$74)*(0.03)/(1-0.03)</f>
        <v>844.37042931128303</v>
      </c>
      <c r="AE74" s="70">
        <f ca="1">((SUBSIDIO!$L$74*SUBSIDIO!$Z$74)+(SUBSIDIO!$N$74*SUBSIDIO!$AA$74))*(0.03)/(1-0.03)</f>
        <v>8671.183979668971</v>
      </c>
      <c r="AF74" s="4" t="s">
        <v>847</v>
      </c>
    </row>
    <row r="75" spans="1:32" ht="11.25" customHeight="1" x14ac:dyDescent="0.25">
      <c r="A75" s="4" t="s">
        <v>21</v>
      </c>
      <c r="B75" s="4" t="s">
        <v>39</v>
      </c>
      <c r="C75" s="4" t="s">
        <v>42</v>
      </c>
      <c r="D75" s="4" t="s">
        <v>49</v>
      </c>
      <c r="E75" s="4" t="s">
        <v>50</v>
      </c>
      <c r="F75" s="4" t="s">
        <v>25</v>
      </c>
      <c r="G75" s="4" t="s">
        <v>25</v>
      </c>
      <c r="H75" s="4" t="s">
        <v>34</v>
      </c>
      <c r="I75" s="5">
        <v>44440</v>
      </c>
      <c r="J75" s="6">
        <v>1506</v>
      </c>
      <c r="K75" s="71">
        <v>1506</v>
      </c>
      <c r="L75" s="6">
        <v>75.120999999999995</v>
      </c>
      <c r="M75" s="70">
        <v>75.120999999999995</v>
      </c>
      <c r="N75" s="6">
        <v>75.120999999999995</v>
      </c>
      <c r="O75" s="70">
        <v>75.120999999999995</v>
      </c>
      <c r="P75" s="6">
        <v>0</v>
      </c>
      <c r="Q75" s="4" t="s">
        <v>26</v>
      </c>
      <c r="R75" s="4">
        <v>0</v>
      </c>
      <c r="S75" s="4">
        <v>1</v>
      </c>
      <c r="T75" s="4">
        <v>3</v>
      </c>
      <c r="U75" s="4">
        <v>48</v>
      </c>
      <c r="V75" s="70">
        <f>IF(ISERROR(VLOOKUP($S$75,'TAR FIN'!$A$1:$O$85,15,0)),0,VLOOKUP($S$75,'TAR FIN'!$A$1:$O$85,15,0))*(1-0.06)</f>
        <v>48.8142</v>
      </c>
      <c r="W75" s="70">
        <f>IF(ISERROR(VLOOKUP($T$75,'TAR FIN'!$A$1:$O$85,15,0)),0,VLOOKUP($T$75,'TAR FIN'!$A$1:$O$85,15,0))*(1-0.06)</f>
        <v>72.144999999999996</v>
      </c>
      <c r="X75" s="70">
        <f>IF(ISERROR(VLOOKUP($U$75,'TAR FIN'!$A$1:$O$85,15,0)),0,VLOOKUP($U$75,'TAR FIN'!$A$1:$O$85,15,0))*(1-0.06)</f>
        <v>463.08159999999998</v>
      </c>
      <c r="Y75" s="70">
        <f ca="1">('TUSD BE'!$AM$5+'TUSD BF'!$AM$5+'TUSD CVA'!$AM$5)*1*(1-0.03)</f>
        <v>55.791173854125262</v>
      </c>
      <c r="Z75" s="70">
        <f ca="1">('TUSD BE'!$AM$7+'TUSD BF'!$AM$7+'TUSD CVA'!$AM$7)*1*(1-0.03)</f>
        <v>143.55448214271752</v>
      </c>
      <c r="AA75" s="70">
        <f>('TE BE'!$AB$5+'TE BF'!$AB$5+'TE CVA'!$AB$5)*1*(1-0.03)</f>
        <v>471.29969712597807</v>
      </c>
      <c r="AB75" s="70">
        <f>(SUBSIDIO!$J$75*SUBSIDIO!$V$75)*(0.06)/(1-0.06)</f>
        <v>4692.3948</v>
      </c>
      <c r="AC75" s="70">
        <f>((SUBSIDIO!$L$75*SUBSIDIO!$W$75)+(SUBSIDIO!$N$75*SUBSIDIO!$X$75))*(0.06)/(1-0.06)</f>
        <v>2566.3887714000002</v>
      </c>
      <c r="AD75" s="70">
        <f ca="1">(SUBSIDIO!$J$75*SUBSIDIO!$Y$75)*(0.03)/(1-0.03)</f>
        <v>2598.6033347725561</v>
      </c>
      <c r="AE75" s="70">
        <f ca="1">((SUBSIDIO!$L$75*SUBSIDIO!$Z$75)+(SUBSIDIO!$N$75*SUBSIDIO!$AA$75))*(0.03)/(1-0.03)</f>
        <v>1428.5090969333096</v>
      </c>
      <c r="AF75" s="4" t="s">
        <v>847</v>
      </c>
    </row>
    <row r="76" spans="1:32" ht="11.25" customHeight="1" x14ac:dyDescent="0.25">
      <c r="A76" s="4" t="s">
        <v>21</v>
      </c>
      <c r="B76" s="4" t="s">
        <v>39</v>
      </c>
      <c r="C76" s="4" t="s">
        <v>42</v>
      </c>
      <c r="D76" s="4" t="s">
        <v>49</v>
      </c>
      <c r="E76" s="4" t="s">
        <v>50</v>
      </c>
      <c r="F76" s="4" t="s">
        <v>25</v>
      </c>
      <c r="G76" s="4" t="s">
        <v>25</v>
      </c>
      <c r="H76" s="4" t="s">
        <v>34</v>
      </c>
      <c r="I76" s="5">
        <v>44470</v>
      </c>
      <c r="J76" s="6">
        <v>1525</v>
      </c>
      <c r="K76" s="71">
        <v>1525</v>
      </c>
      <c r="L76" s="6">
        <v>74.183999999999997</v>
      </c>
      <c r="M76" s="70">
        <v>74.183999999999997</v>
      </c>
      <c r="N76" s="6">
        <v>74.183999999999997</v>
      </c>
      <c r="O76" s="70">
        <v>74.183999999999997</v>
      </c>
      <c r="P76" s="6">
        <v>0</v>
      </c>
      <c r="Q76" s="4" t="s">
        <v>26</v>
      </c>
      <c r="R76" s="4">
        <v>0</v>
      </c>
      <c r="S76" s="4">
        <v>1</v>
      </c>
      <c r="T76" s="4">
        <v>3</v>
      </c>
      <c r="U76" s="4">
        <v>48</v>
      </c>
      <c r="V76" s="70">
        <f>IF(ISERROR(VLOOKUP($S$76,'TAR FIN'!$A$1:$O$85,15,0)),0,VLOOKUP($S$76,'TAR FIN'!$A$1:$O$85,15,0))*(1-0.06)</f>
        <v>48.8142</v>
      </c>
      <c r="W76" s="70">
        <f>IF(ISERROR(VLOOKUP($T$76,'TAR FIN'!$A$1:$O$85,15,0)),0,VLOOKUP($T$76,'TAR FIN'!$A$1:$O$85,15,0))*(1-0.06)</f>
        <v>72.144999999999996</v>
      </c>
      <c r="X76" s="70">
        <f>IF(ISERROR(VLOOKUP($U$76,'TAR FIN'!$A$1:$O$85,15,0)),0,VLOOKUP($U$76,'TAR FIN'!$A$1:$O$85,15,0))*(1-0.06)</f>
        <v>463.08159999999998</v>
      </c>
      <c r="Y76" s="70">
        <f ca="1">('TUSD BE'!$AM$5+'TUSD BF'!$AM$5+'TUSD CVA'!$AM$5)*1*(1-0.03)</f>
        <v>55.791173854125262</v>
      </c>
      <c r="Z76" s="70">
        <f ca="1">('TUSD BE'!$AM$7+'TUSD BF'!$AM$7+'TUSD CVA'!$AM$7)*1*(1-0.03)</f>
        <v>143.55448214271752</v>
      </c>
      <c r="AA76" s="70">
        <f>('TE BE'!$AB$5+'TE BF'!$AB$5+'TE CVA'!$AB$5)*1*(1-0.03)</f>
        <v>471.29969712597807</v>
      </c>
      <c r="AB76" s="70">
        <f>(SUBSIDIO!$J$76*SUBSIDIO!$V$76)*(0.06)/(1-0.06)</f>
        <v>4751.5949999999993</v>
      </c>
      <c r="AC76" s="70">
        <f>((SUBSIDIO!$L$76*SUBSIDIO!$W$76)+(SUBSIDIO!$N$76*SUBSIDIO!$X$76))*(0.06)/(1-0.06)</f>
        <v>2534.3776656</v>
      </c>
      <c r="AD76" s="70">
        <f ca="1">(SUBSIDIO!$J$76*SUBSIDIO!$Y$76)*(0.03)/(1-0.03)</f>
        <v>2631.3878389961142</v>
      </c>
      <c r="AE76" s="70">
        <f ca="1">((SUBSIDIO!$L$76*SUBSIDIO!$Z$76)+(SUBSIDIO!$N$76*SUBSIDIO!$AA$76))*(0.03)/(1-0.03)</f>
        <v>1410.6910031402758</v>
      </c>
      <c r="AF76" s="4" t="s">
        <v>847</v>
      </c>
    </row>
    <row r="77" spans="1:32" ht="11.25" customHeight="1" x14ac:dyDescent="0.25">
      <c r="A77" s="4" t="s">
        <v>21</v>
      </c>
      <c r="B77" s="4" t="s">
        <v>39</v>
      </c>
      <c r="C77" s="4" t="s">
        <v>42</v>
      </c>
      <c r="D77" s="4" t="s">
        <v>49</v>
      </c>
      <c r="E77" s="4" t="s">
        <v>50</v>
      </c>
      <c r="F77" s="4" t="s">
        <v>25</v>
      </c>
      <c r="G77" s="4" t="s">
        <v>25</v>
      </c>
      <c r="H77" s="4" t="s">
        <v>34</v>
      </c>
      <c r="I77" s="5">
        <v>44501</v>
      </c>
      <c r="J77" s="6">
        <v>1461</v>
      </c>
      <c r="K77" s="71">
        <v>1461</v>
      </c>
      <c r="L77" s="6">
        <v>62.348999999999997</v>
      </c>
      <c r="M77" s="70">
        <v>62.348999999999997</v>
      </c>
      <c r="N77" s="6">
        <v>62.348999999999997</v>
      </c>
      <c r="O77" s="70">
        <v>62.348999999999997</v>
      </c>
      <c r="P77" s="6">
        <v>0</v>
      </c>
      <c r="Q77" s="4" t="s">
        <v>26</v>
      </c>
      <c r="R77" s="4">
        <v>0</v>
      </c>
      <c r="S77" s="4">
        <v>1</v>
      </c>
      <c r="T77" s="4">
        <v>3</v>
      </c>
      <c r="U77" s="4">
        <v>48</v>
      </c>
      <c r="V77" s="70">
        <f>IF(ISERROR(VLOOKUP($S$77,'TAR FIN'!$A$1:$O$85,15,0)),0,VLOOKUP($S$77,'TAR FIN'!$A$1:$O$85,15,0))*(1-0.06)</f>
        <v>48.8142</v>
      </c>
      <c r="W77" s="70">
        <f>IF(ISERROR(VLOOKUP($T$77,'TAR FIN'!$A$1:$O$85,15,0)),0,VLOOKUP($T$77,'TAR FIN'!$A$1:$O$85,15,0))*(1-0.06)</f>
        <v>72.144999999999996</v>
      </c>
      <c r="X77" s="70">
        <f>IF(ISERROR(VLOOKUP($U$77,'TAR FIN'!$A$1:$O$85,15,0)),0,VLOOKUP($U$77,'TAR FIN'!$A$1:$O$85,15,0))*(1-0.06)</f>
        <v>463.08159999999998</v>
      </c>
      <c r="Y77" s="70">
        <f ca="1">('TUSD BE'!$AM$5+'TUSD BF'!$AM$5+'TUSD CVA'!$AM$5)*1*(1-0.03)</f>
        <v>55.791173854125262</v>
      </c>
      <c r="Z77" s="70">
        <f ca="1">('TUSD BE'!$AM$7+'TUSD BF'!$AM$7+'TUSD CVA'!$AM$7)*1*(1-0.03)</f>
        <v>143.55448214271752</v>
      </c>
      <c r="AA77" s="70">
        <f>('TE BE'!$AB$5+'TE BF'!$AB$5+'TE CVA'!$AB$5)*1*(1-0.03)</f>
        <v>471.29969712597807</v>
      </c>
      <c r="AB77" s="70">
        <f>(SUBSIDIO!$J$77*SUBSIDIO!$V$77)*(0.06)/(1-0.06)</f>
        <v>4552.1838000000007</v>
      </c>
      <c r="AC77" s="70">
        <f>((SUBSIDIO!$L$77*SUBSIDIO!$W$77)+(SUBSIDIO!$N$77*SUBSIDIO!$X$77))*(0.06)/(1-0.06)</f>
        <v>2130.0538265999999</v>
      </c>
      <c r="AD77" s="70">
        <f ca="1">(SUBSIDIO!$J$77*SUBSIDIO!$Y$77)*(0.03)/(1-0.03)</f>
        <v>2520.9558247693922</v>
      </c>
      <c r="AE77" s="70">
        <f ca="1">((SUBSIDIO!$L$77*SUBSIDIO!$Z$77)+(SUBSIDIO!$N$77*SUBSIDIO!$AA$77))*(0.03)/(1-0.03)</f>
        <v>1185.6353574192956</v>
      </c>
      <c r="AF77" s="4" t="s">
        <v>847</v>
      </c>
    </row>
    <row r="78" spans="1:32" ht="11.25" customHeight="1" x14ac:dyDescent="0.25">
      <c r="A78" s="4" t="s">
        <v>27</v>
      </c>
      <c r="B78" s="4" t="s">
        <v>39</v>
      </c>
      <c r="C78" s="4" t="s">
        <v>42</v>
      </c>
      <c r="D78" s="4" t="s">
        <v>49</v>
      </c>
      <c r="E78" s="4" t="s">
        <v>50</v>
      </c>
      <c r="F78" s="4" t="s">
        <v>25</v>
      </c>
      <c r="G78" s="4" t="s">
        <v>25</v>
      </c>
      <c r="H78" s="4" t="s">
        <v>34</v>
      </c>
      <c r="I78" s="5">
        <v>44501</v>
      </c>
      <c r="J78" s="6">
        <v>-55</v>
      </c>
      <c r="K78" s="71">
        <v>-55</v>
      </c>
      <c r="L78" s="6">
        <v>-3.3559999999999999</v>
      </c>
      <c r="M78" s="70">
        <v>-3.3559999999999999</v>
      </c>
      <c r="N78" s="6">
        <v>-3.3559999999999999</v>
      </c>
      <c r="O78" s="70">
        <v>-3.3559999999999999</v>
      </c>
      <c r="P78" s="6">
        <v>0</v>
      </c>
      <c r="Q78" s="4" t="s">
        <v>26</v>
      </c>
      <c r="R78" s="4">
        <v>0</v>
      </c>
      <c r="S78" s="4">
        <v>1</v>
      </c>
      <c r="T78" s="4">
        <v>3</v>
      </c>
      <c r="U78" s="4">
        <v>48</v>
      </c>
      <c r="V78" s="70">
        <f>IF(ISERROR(VLOOKUP($S$78,'TAR FIN'!$A$1:$O$85,15,0)),0,VLOOKUP($S$78,'TAR FIN'!$A$1:$O$85,15,0))*(1-0.06)</f>
        <v>48.8142</v>
      </c>
      <c r="W78" s="70">
        <f>IF(ISERROR(VLOOKUP($T$78,'TAR FIN'!$A$1:$O$85,15,0)),0,VLOOKUP($T$78,'TAR FIN'!$A$1:$O$85,15,0))*(1-0.06)</f>
        <v>72.144999999999996</v>
      </c>
      <c r="X78" s="70">
        <f>IF(ISERROR(VLOOKUP($U$78,'TAR FIN'!$A$1:$O$85,15,0)),0,VLOOKUP($U$78,'TAR FIN'!$A$1:$O$85,15,0))*(1-0.06)</f>
        <v>463.08159999999998</v>
      </c>
      <c r="Y78" s="70">
        <f ca="1">('TUSD BE'!$AM$5+'TUSD BF'!$AM$5+'TUSD CVA'!$AM$5)*1*(1-0.03)</f>
        <v>55.791173854125262</v>
      </c>
      <c r="Z78" s="70">
        <f ca="1">('TUSD BE'!$AM$7+'TUSD BF'!$AM$7+'TUSD CVA'!$AM$7)*1*(1-0.03)</f>
        <v>143.55448214271752</v>
      </c>
      <c r="AA78" s="70">
        <f>('TE BE'!$AB$5+'TE BF'!$AB$5+'TE CVA'!$AB$5)*1*(1-0.03)</f>
        <v>471.29969712597807</v>
      </c>
      <c r="AB78" s="70">
        <f>(SUBSIDIO!$J$78*SUBSIDIO!$V$78)*(0.06)/(1-0.06)</f>
        <v>-171.369</v>
      </c>
      <c r="AC78" s="70">
        <f>((SUBSIDIO!$L$78*SUBSIDIO!$W$78)+(SUBSIDIO!$N$78*SUBSIDIO!$X$78))*(0.06)/(1-0.06)</f>
        <v>-114.6523704</v>
      </c>
      <c r="AD78" s="70">
        <f ca="1">(SUBSIDIO!$J$78*SUBSIDIO!$Y$78)*(0.03)/(1-0.03)</f>
        <v>-94.902512226089371</v>
      </c>
      <c r="AE78" s="70">
        <f ca="1">((SUBSIDIO!$L$78*SUBSIDIO!$Z$78)+(SUBSIDIO!$N$78*SUBSIDIO!$AA$78))*(0.03)/(1-0.03)</f>
        <v>-63.81806058636316</v>
      </c>
      <c r="AF78" s="4" t="s">
        <v>847</v>
      </c>
    </row>
    <row r="79" spans="1:32" ht="11.25" customHeight="1" x14ac:dyDescent="0.25">
      <c r="A79" s="4" t="s">
        <v>21</v>
      </c>
      <c r="B79" s="4" t="s">
        <v>39</v>
      </c>
      <c r="C79" s="4" t="s">
        <v>42</v>
      </c>
      <c r="D79" s="4" t="s">
        <v>49</v>
      </c>
      <c r="E79" s="4" t="s">
        <v>50</v>
      </c>
      <c r="F79" s="4" t="s">
        <v>25</v>
      </c>
      <c r="G79" s="4" t="s">
        <v>25</v>
      </c>
      <c r="H79" s="4" t="s">
        <v>34</v>
      </c>
      <c r="I79" s="5">
        <v>44531</v>
      </c>
      <c r="J79" s="6">
        <v>1432</v>
      </c>
      <c r="K79" s="71">
        <v>1432</v>
      </c>
      <c r="L79" s="6">
        <v>75.16</v>
      </c>
      <c r="M79" s="70">
        <v>75.16</v>
      </c>
      <c r="N79" s="6">
        <v>75.16</v>
      </c>
      <c r="O79" s="70">
        <v>75.16</v>
      </c>
      <c r="P79" s="6">
        <v>0</v>
      </c>
      <c r="Q79" s="4" t="s">
        <v>26</v>
      </c>
      <c r="R79" s="4">
        <v>0</v>
      </c>
      <c r="S79" s="4">
        <v>1</v>
      </c>
      <c r="T79" s="4">
        <v>3</v>
      </c>
      <c r="U79" s="4">
        <v>48</v>
      </c>
      <c r="V79" s="70">
        <f>IF(ISERROR(VLOOKUP($S$79,'TAR FIN'!$A$1:$O$85,15,0)),0,VLOOKUP($S$79,'TAR FIN'!$A$1:$O$85,15,0))*(1-0.06)</f>
        <v>48.8142</v>
      </c>
      <c r="W79" s="70">
        <f>IF(ISERROR(VLOOKUP($T$79,'TAR FIN'!$A$1:$O$85,15,0)),0,VLOOKUP($T$79,'TAR FIN'!$A$1:$O$85,15,0))*(1-0.06)</f>
        <v>72.144999999999996</v>
      </c>
      <c r="X79" s="70">
        <f>IF(ISERROR(VLOOKUP($U$79,'TAR FIN'!$A$1:$O$85,15,0)),0,VLOOKUP($U$79,'TAR FIN'!$A$1:$O$85,15,0))*(1-0.06)</f>
        <v>463.08159999999998</v>
      </c>
      <c r="Y79" s="70">
        <f ca="1">('TUSD BE'!$AM$5+'TUSD BF'!$AM$5+'TUSD CVA'!$AM$5)*1*(1-0.03)</f>
        <v>55.791173854125262</v>
      </c>
      <c r="Z79" s="70">
        <f ca="1">('TUSD BE'!$AM$7+'TUSD BF'!$AM$7+'TUSD CVA'!$AM$7)*1*(1-0.03)</f>
        <v>143.55448214271752</v>
      </c>
      <c r="AA79" s="70">
        <f>('TE BE'!$AB$5+'TE BF'!$AB$5+'TE CVA'!$AB$5)*1*(1-0.03)</f>
        <v>471.29969712597807</v>
      </c>
      <c r="AB79" s="70">
        <f>(SUBSIDIO!$J$79*SUBSIDIO!$V$79)*(0.06)/(1-0.06)</f>
        <v>4461.8256000000001</v>
      </c>
      <c r="AC79" s="70">
        <f>((SUBSIDIO!$L$79*SUBSIDIO!$W$79)+(SUBSIDIO!$N$79*SUBSIDIO!$X$79))*(0.06)/(1-0.06)</f>
        <v>2567.7211440000001</v>
      </c>
      <c r="AD79" s="70">
        <f ca="1">(SUBSIDIO!$J$79*SUBSIDIO!$Y$79)*(0.03)/(1-0.03)</f>
        <v>2470.916318322908</v>
      </c>
      <c r="AE79" s="70">
        <f ca="1">((SUBSIDIO!$L$79*SUBSIDIO!$Z$79)+(SUBSIDIO!$N$79*SUBSIDIO!$AA$79))*(0.03)/(1-0.03)</f>
        <v>1429.2507251701597</v>
      </c>
      <c r="AF79" s="4" t="s">
        <v>847</v>
      </c>
    </row>
    <row r="80" spans="1:32" ht="11.25" customHeight="1" x14ac:dyDescent="0.25">
      <c r="A80" s="4" t="s">
        <v>21</v>
      </c>
      <c r="B80" s="4" t="s">
        <v>39</v>
      </c>
      <c r="C80" s="4" t="s">
        <v>42</v>
      </c>
      <c r="D80" s="4" t="s">
        <v>49</v>
      </c>
      <c r="E80" s="4" t="s">
        <v>50</v>
      </c>
      <c r="F80" s="4" t="s">
        <v>25</v>
      </c>
      <c r="G80" s="4" t="s">
        <v>25</v>
      </c>
      <c r="H80" s="4" t="s">
        <v>34</v>
      </c>
      <c r="I80" s="5">
        <v>44562</v>
      </c>
      <c r="J80" s="6">
        <v>1480</v>
      </c>
      <c r="K80" s="71">
        <v>1480</v>
      </c>
      <c r="L80" s="6">
        <v>71.073999999999998</v>
      </c>
      <c r="M80" s="70">
        <v>71.073999999999998</v>
      </c>
      <c r="N80" s="6">
        <v>71.073999999999998</v>
      </c>
      <c r="O80" s="70">
        <v>71.073999999999998</v>
      </c>
      <c r="P80" s="6">
        <v>0</v>
      </c>
      <c r="Q80" s="4" t="s">
        <v>26</v>
      </c>
      <c r="R80" s="4">
        <v>0</v>
      </c>
      <c r="S80" s="4">
        <v>1</v>
      </c>
      <c r="T80" s="4">
        <v>3</v>
      </c>
      <c r="U80" s="4">
        <v>48</v>
      </c>
      <c r="V80" s="70">
        <f>IF(ISERROR(VLOOKUP($S$80,'TAR FIN'!$A$1:$O$85,15,0)),0,VLOOKUP($S$80,'TAR FIN'!$A$1:$O$85,15,0))*(1-0.06)</f>
        <v>48.8142</v>
      </c>
      <c r="W80" s="70">
        <f>IF(ISERROR(VLOOKUP($T$80,'TAR FIN'!$A$1:$O$85,15,0)),0,VLOOKUP($T$80,'TAR FIN'!$A$1:$O$85,15,0))*(1-0.06)</f>
        <v>72.144999999999996</v>
      </c>
      <c r="X80" s="70">
        <f>IF(ISERROR(VLOOKUP($U$80,'TAR FIN'!$A$1:$O$85,15,0)),0,VLOOKUP($U$80,'TAR FIN'!$A$1:$O$85,15,0))*(1-0.06)</f>
        <v>463.08159999999998</v>
      </c>
      <c r="Y80" s="70">
        <f ca="1">('TUSD BE'!$AM$5+'TUSD BF'!$AM$5+'TUSD CVA'!$AM$5)*1*(1-0.03)</f>
        <v>55.791173854125262</v>
      </c>
      <c r="Z80" s="70">
        <f ca="1">('TUSD BE'!$AM$7+'TUSD BF'!$AM$7+'TUSD CVA'!$AM$7)*1*(1-0.03)</f>
        <v>143.55448214271752</v>
      </c>
      <c r="AA80" s="70">
        <f>('TE BE'!$AB$5+'TE BF'!$AB$5+'TE CVA'!$AB$5)*1*(1-0.03)</f>
        <v>471.29969712597807</v>
      </c>
      <c r="AB80" s="70">
        <f>(SUBSIDIO!$J$80*SUBSIDIO!$V$80)*(0.06)/(1-0.06)</f>
        <v>4611.384</v>
      </c>
      <c r="AC80" s="70">
        <f>((SUBSIDIO!$L$80*SUBSIDIO!$W$80)+(SUBSIDIO!$N$80*SUBSIDIO!$X$80))*(0.06)/(1-0.06)</f>
        <v>2428.1294916000002</v>
      </c>
      <c r="AD80" s="70">
        <f ca="1">(SUBSIDIO!$J$80*SUBSIDIO!$Y$80)*(0.03)/(1-0.03)</f>
        <v>2553.7403289929503</v>
      </c>
      <c r="AE80" s="70">
        <f ca="1">((SUBSIDIO!$L$80*SUBSIDIO!$Z$80)+(SUBSIDIO!$N$80*SUBSIDIO!$AA$80))*(0.03)/(1-0.03)</f>
        <v>1351.5509052786581</v>
      </c>
      <c r="AF80" s="4" t="s">
        <v>847</v>
      </c>
    </row>
    <row r="81" spans="1:32" ht="11.25" customHeight="1" x14ac:dyDescent="0.25">
      <c r="A81" s="4" t="s">
        <v>21</v>
      </c>
      <c r="B81" s="4" t="s">
        <v>39</v>
      </c>
      <c r="C81" s="4" t="s">
        <v>42</v>
      </c>
      <c r="D81" s="4" t="s">
        <v>49</v>
      </c>
      <c r="E81" s="4" t="s">
        <v>50</v>
      </c>
      <c r="F81" s="4" t="s">
        <v>25</v>
      </c>
      <c r="G81" s="4" t="s">
        <v>25</v>
      </c>
      <c r="H81" s="4" t="s">
        <v>34</v>
      </c>
      <c r="I81" s="5">
        <v>44593</v>
      </c>
      <c r="J81" s="6">
        <v>1440</v>
      </c>
      <c r="K81" s="71">
        <v>1440</v>
      </c>
      <c r="L81" s="6">
        <v>67.515000000000001</v>
      </c>
      <c r="M81" s="70">
        <v>67.515000000000001</v>
      </c>
      <c r="N81" s="6">
        <v>67.515000000000001</v>
      </c>
      <c r="O81" s="70">
        <v>67.515000000000001</v>
      </c>
      <c r="P81" s="6">
        <v>0</v>
      </c>
      <c r="Q81" s="4" t="s">
        <v>26</v>
      </c>
      <c r="R81" s="4">
        <v>0</v>
      </c>
      <c r="S81" s="4">
        <v>1</v>
      </c>
      <c r="T81" s="4">
        <v>3</v>
      </c>
      <c r="U81" s="4">
        <v>48</v>
      </c>
      <c r="V81" s="70">
        <f>IF(ISERROR(VLOOKUP($S$81,'TAR FIN'!$A$1:$O$85,15,0)),0,VLOOKUP($S$81,'TAR FIN'!$A$1:$O$85,15,0))*(1-0.06)</f>
        <v>48.8142</v>
      </c>
      <c r="W81" s="70">
        <f>IF(ISERROR(VLOOKUP($T$81,'TAR FIN'!$A$1:$O$85,15,0)),0,VLOOKUP($T$81,'TAR FIN'!$A$1:$O$85,15,0))*(1-0.06)</f>
        <v>72.144999999999996</v>
      </c>
      <c r="X81" s="70">
        <f>IF(ISERROR(VLOOKUP($U$81,'TAR FIN'!$A$1:$O$85,15,0)),0,VLOOKUP($U$81,'TAR FIN'!$A$1:$O$85,15,0))*(1-0.06)</f>
        <v>463.08159999999998</v>
      </c>
      <c r="Y81" s="70">
        <f ca="1">('TUSD BE'!$AM$5+'TUSD BF'!$AM$5+'TUSD CVA'!$AM$5)*1*(1-0.03)</f>
        <v>55.791173854125262</v>
      </c>
      <c r="Z81" s="70">
        <f ca="1">('TUSD BE'!$AM$7+'TUSD BF'!$AM$7+'TUSD CVA'!$AM$7)*1*(1-0.03)</f>
        <v>143.55448214271752</v>
      </c>
      <c r="AA81" s="70">
        <f>('TE BE'!$AB$5+'TE BF'!$AB$5+'TE CVA'!$AB$5)*1*(1-0.03)</f>
        <v>471.29969712597807</v>
      </c>
      <c r="AB81" s="70">
        <f>(SUBSIDIO!$J$81*SUBSIDIO!$V$81)*(0.06)/(1-0.06)</f>
        <v>4486.7520000000004</v>
      </c>
      <c r="AC81" s="70">
        <f>((SUBSIDIO!$L$81*SUBSIDIO!$W$81)+(SUBSIDIO!$N$81*SUBSIDIO!$X$81))*(0.06)/(1-0.06)</f>
        <v>2306.5419509999997</v>
      </c>
      <c r="AD81" s="70">
        <f ca="1">(SUBSIDIO!$J$81*SUBSIDIO!$Y$81)*(0.03)/(1-0.03)</f>
        <v>2484.7203201012489</v>
      </c>
      <c r="AE81" s="70">
        <f ca="1">((SUBSIDIO!$L$81*SUBSIDIO!$Z$81)+(SUBSIDIO!$N$81*SUBSIDIO!$AA$81))*(0.03)/(1-0.03)</f>
        <v>1283.8725746389478</v>
      </c>
      <c r="AF81" s="4" t="s">
        <v>847</v>
      </c>
    </row>
    <row r="82" spans="1:32" ht="11.25" customHeight="1" x14ac:dyDescent="0.25">
      <c r="A82" s="4" t="s">
        <v>21</v>
      </c>
      <c r="B82" s="4" t="s">
        <v>39</v>
      </c>
      <c r="C82" s="4" t="s">
        <v>42</v>
      </c>
      <c r="D82" s="4" t="s">
        <v>49</v>
      </c>
      <c r="E82" s="4" t="s">
        <v>50</v>
      </c>
      <c r="F82" s="4" t="s">
        <v>25</v>
      </c>
      <c r="G82" s="4" t="s">
        <v>25</v>
      </c>
      <c r="H82" s="4" t="s">
        <v>34</v>
      </c>
      <c r="I82" s="5">
        <v>44621</v>
      </c>
      <c r="J82" s="6">
        <v>1483</v>
      </c>
      <c r="K82" s="71">
        <v>1483</v>
      </c>
      <c r="L82" s="6">
        <v>80.646000000000001</v>
      </c>
      <c r="M82" s="70">
        <v>80.646000000000001</v>
      </c>
      <c r="N82" s="6">
        <v>80.646000000000001</v>
      </c>
      <c r="O82" s="70">
        <v>80.646000000000001</v>
      </c>
      <c r="P82" s="6">
        <v>0</v>
      </c>
      <c r="Q82" s="4" t="s">
        <v>26</v>
      </c>
      <c r="R82" s="4">
        <v>0</v>
      </c>
      <c r="S82" s="4">
        <v>1</v>
      </c>
      <c r="T82" s="4">
        <v>3</v>
      </c>
      <c r="U82" s="4">
        <v>48</v>
      </c>
      <c r="V82" s="70">
        <f>IF(ISERROR(VLOOKUP($S$82,'TAR FIN'!$A$1:$O$85,15,0)),0,VLOOKUP($S$82,'TAR FIN'!$A$1:$O$85,15,0))*(1-0.06)</f>
        <v>48.8142</v>
      </c>
      <c r="W82" s="70">
        <f>IF(ISERROR(VLOOKUP($T$82,'TAR FIN'!$A$1:$O$85,15,0)),0,VLOOKUP($T$82,'TAR FIN'!$A$1:$O$85,15,0))*(1-0.06)</f>
        <v>72.144999999999996</v>
      </c>
      <c r="X82" s="70">
        <f>IF(ISERROR(VLOOKUP($U$82,'TAR FIN'!$A$1:$O$85,15,0)),0,VLOOKUP($U$82,'TAR FIN'!$A$1:$O$85,15,0))*(1-0.06)</f>
        <v>463.08159999999998</v>
      </c>
      <c r="Y82" s="70">
        <f ca="1">('TUSD BE'!$AM$5+'TUSD BF'!$AM$5+'TUSD CVA'!$AM$5)*1*(1-0.03)</f>
        <v>55.791173854125262</v>
      </c>
      <c r="Z82" s="70">
        <f ca="1">('TUSD BE'!$AM$7+'TUSD BF'!$AM$7+'TUSD CVA'!$AM$7)*1*(1-0.03)</f>
        <v>143.55448214271752</v>
      </c>
      <c r="AA82" s="70">
        <f>('TE BE'!$AB$5+'TE BF'!$AB$5+'TE CVA'!$AB$5)*1*(1-0.03)</f>
        <v>471.29969712597807</v>
      </c>
      <c r="AB82" s="70">
        <f>(SUBSIDIO!$J$82*SUBSIDIO!$V$82)*(0.06)/(1-0.06)</f>
        <v>4620.7314000000006</v>
      </c>
      <c r="AC82" s="70">
        <f>((SUBSIDIO!$L$82*SUBSIDIO!$W$82)+(SUBSIDIO!$N$82*SUBSIDIO!$X$82))*(0.06)/(1-0.06)</f>
        <v>2755.1415563999999</v>
      </c>
      <c r="AD82" s="70">
        <f ca="1">(SUBSIDIO!$J$82*SUBSIDIO!$Y$82)*(0.03)/(1-0.03)</f>
        <v>2558.9168296598277</v>
      </c>
      <c r="AE82" s="70">
        <f ca="1">((SUBSIDIO!$L$82*SUBSIDIO!$Z$82)+(SUBSIDIO!$N$82*SUBSIDIO!$AA$82))*(0.03)/(1-0.03)</f>
        <v>1533.5730971537082</v>
      </c>
      <c r="AF82" s="4" t="s">
        <v>847</v>
      </c>
    </row>
    <row r="83" spans="1:32" ht="11.25" customHeight="1" x14ac:dyDescent="0.25">
      <c r="A83" s="4" t="s">
        <v>21</v>
      </c>
      <c r="B83" s="4" t="s">
        <v>39</v>
      </c>
      <c r="C83" s="4" t="s">
        <v>42</v>
      </c>
      <c r="D83" s="4" t="s">
        <v>49</v>
      </c>
      <c r="E83" s="4" t="s">
        <v>50</v>
      </c>
      <c r="F83" s="4" t="s">
        <v>25</v>
      </c>
      <c r="G83" s="4" t="s">
        <v>25</v>
      </c>
      <c r="H83" s="4" t="s">
        <v>34</v>
      </c>
      <c r="I83" s="5">
        <v>44652</v>
      </c>
      <c r="J83" s="6">
        <v>1463</v>
      </c>
      <c r="K83" s="71">
        <v>1463</v>
      </c>
      <c r="L83" s="6">
        <v>75.522999999999996</v>
      </c>
      <c r="M83" s="70">
        <v>75.522999999999996</v>
      </c>
      <c r="N83" s="6">
        <v>75.522999999999996</v>
      </c>
      <c r="O83" s="70">
        <v>75.522999999999996</v>
      </c>
      <c r="P83" s="6">
        <v>0</v>
      </c>
      <c r="Q83" s="4" t="s">
        <v>26</v>
      </c>
      <c r="R83" s="4">
        <v>0</v>
      </c>
      <c r="S83" s="4">
        <v>1</v>
      </c>
      <c r="T83" s="4">
        <v>3</v>
      </c>
      <c r="U83" s="4">
        <v>48</v>
      </c>
      <c r="V83" s="70">
        <f>IF(ISERROR(VLOOKUP($S$83,'TAR FIN'!$A$1:$O$85,15,0)),0,VLOOKUP($S$83,'TAR FIN'!$A$1:$O$85,15,0))*(1-0.06)</f>
        <v>48.8142</v>
      </c>
      <c r="W83" s="70">
        <f>IF(ISERROR(VLOOKUP($T$83,'TAR FIN'!$A$1:$O$85,15,0)),0,VLOOKUP($T$83,'TAR FIN'!$A$1:$O$85,15,0))*(1-0.06)</f>
        <v>72.144999999999996</v>
      </c>
      <c r="X83" s="70">
        <f>IF(ISERROR(VLOOKUP($U$83,'TAR FIN'!$A$1:$O$85,15,0)),0,VLOOKUP($U$83,'TAR FIN'!$A$1:$O$85,15,0))*(1-0.06)</f>
        <v>463.08159999999998</v>
      </c>
      <c r="Y83" s="70">
        <f ca="1">('TUSD BE'!$AM$5+'TUSD BF'!$AM$5+'TUSD CVA'!$AM$5)*1*(1-0.03)</f>
        <v>55.791173854125262</v>
      </c>
      <c r="Z83" s="70">
        <f ca="1">('TUSD BE'!$AM$7+'TUSD BF'!$AM$7+'TUSD CVA'!$AM$7)*1*(1-0.03)</f>
        <v>143.55448214271752</v>
      </c>
      <c r="AA83" s="70">
        <f>('TE BE'!$AB$5+'TE BF'!$AB$5+'TE CVA'!$AB$5)*1*(1-0.03)</f>
        <v>471.29969712597807</v>
      </c>
      <c r="AB83" s="70">
        <f>(SUBSIDIO!$J$83*SUBSIDIO!$V$83)*(0.06)/(1-0.06)</f>
        <v>4558.4153999999999</v>
      </c>
      <c r="AC83" s="70">
        <f>((SUBSIDIO!$L$83*SUBSIDIO!$W$83)+(SUBSIDIO!$N$83*SUBSIDIO!$X$83))*(0.06)/(1-0.06)</f>
        <v>2580.1224582</v>
      </c>
      <c r="AD83" s="70">
        <f ca="1">(SUBSIDIO!$J$83*SUBSIDIO!$Y$83)*(0.03)/(1-0.03)</f>
        <v>2524.4068252139768</v>
      </c>
      <c r="AE83" s="70">
        <f ca="1">((SUBSIDIO!$L$83*SUBSIDIO!$Z$83)+(SUBSIDIO!$N$83*SUBSIDIO!$AA$83))*(0.03)/(1-0.03)</f>
        <v>1436.1535726054547</v>
      </c>
      <c r="AF83" s="4" t="s">
        <v>847</v>
      </c>
    </row>
    <row r="84" spans="1:32" ht="11.25" customHeight="1" x14ac:dyDescent="0.25">
      <c r="A84" s="4" t="s">
        <v>21</v>
      </c>
      <c r="B84" s="4" t="s">
        <v>39</v>
      </c>
      <c r="C84" s="4" t="s">
        <v>42</v>
      </c>
      <c r="D84" s="4" t="s">
        <v>49</v>
      </c>
      <c r="E84" s="4" t="s">
        <v>50</v>
      </c>
      <c r="F84" s="4" t="s">
        <v>25</v>
      </c>
      <c r="G84" s="4" t="s">
        <v>25</v>
      </c>
      <c r="H84" s="4" t="s">
        <v>34</v>
      </c>
      <c r="I84" s="5">
        <v>44682</v>
      </c>
      <c r="J84" s="6">
        <v>1460</v>
      </c>
      <c r="K84" s="71">
        <v>1460</v>
      </c>
      <c r="L84" s="6">
        <v>72.590999999999994</v>
      </c>
      <c r="M84" s="70">
        <v>72.590999999999994</v>
      </c>
      <c r="N84" s="6">
        <v>72.590999999999994</v>
      </c>
      <c r="O84" s="70">
        <v>72.590999999999994</v>
      </c>
      <c r="P84" s="6">
        <v>0</v>
      </c>
      <c r="Q84" s="4" t="s">
        <v>26</v>
      </c>
      <c r="R84" s="4">
        <v>0</v>
      </c>
      <c r="S84" s="4">
        <v>1</v>
      </c>
      <c r="T84" s="4">
        <v>3</v>
      </c>
      <c r="U84" s="4">
        <v>48</v>
      </c>
      <c r="V84" s="70">
        <f>IF(ISERROR(VLOOKUP($S$84,'TAR FIN'!$A$1:$O$85,15,0)),0,VLOOKUP($S$84,'TAR FIN'!$A$1:$O$85,15,0))*(1-0.06)</f>
        <v>48.8142</v>
      </c>
      <c r="W84" s="70">
        <f>IF(ISERROR(VLOOKUP($T$84,'TAR FIN'!$A$1:$O$85,15,0)),0,VLOOKUP($T$84,'TAR FIN'!$A$1:$O$85,15,0))*(1-0.06)</f>
        <v>72.144999999999996</v>
      </c>
      <c r="X84" s="70">
        <f>IF(ISERROR(VLOOKUP($U$84,'TAR FIN'!$A$1:$O$85,15,0)),0,VLOOKUP($U$84,'TAR FIN'!$A$1:$O$85,15,0))*(1-0.06)</f>
        <v>463.08159999999998</v>
      </c>
      <c r="Y84" s="70">
        <f ca="1">('TUSD BE'!$AM$5+'TUSD BF'!$AM$5+'TUSD CVA'!$AM$5)*1*(1-0.03)</f>
        <v>55.791173854125262</v>
      </c>
      <c r="Z84" s="70">
        <f ca="1">('TUSD BE'!$AM$7+'TUSD BF'!$AM$7+'TUSD CVA'!$AM$7)*1*(1-0.03)</f>
        <v>143.55448214271752</v>
      </c>
      <c r="AA84" s="70">
        <f>('TE BE'!$AB$5+'TE BF'!$AB$5+'TE CVA'!$AB$5)*1*(1-0.03)</f>
        <v>471.29969712597807</v>
      </c>
      <c r="AB84" s="70">
        <f>(SUBSIDIO!$J$84*SUBSIDIO!$V$84)*(0.06)/(1-0.06)</f>
        <v>4549.0680000000002</v>
      </c>
      <c r="AC84" s="70">
        <f>((SUBSIDIO!$L$84*SUBSIDIO!$W$84)+(SUBSIDIO!$N$84*SUBSIDIO!$X$84))*(0.06)/(1-0.06)</f>
        <v>2479.9553693999997</v>
      </c>
      <c r="AD84" s="70">
        <f ca="1">(SUBSIDIO!$J$84*SUBSIDIO!$Y$84)*(0.03)/(1-0.03)</f>
        <v>2519.2303245470998</v>
      </c>
      <c r="AE84" s="70">
        <f ca="1">((SUBSIDIO!$L$84*SUBSIDIO!$Z$84)+(SUBSIDIO!$N$84*SUBSIDIO!$AA$84))*(0.03)/(1-0.03)</f>
        <v>1380.3983420812538</v>
      </c>
      <c r="AF84" s="4" t="s">
        <v>847</v>
      </c>
    </row>
    <row r="85" spans="1:32" ht="11.25" customHeight="1" x14ac:dyDescent="0.25">
      <c r="A85" s="4" t="s">
        <v>21</v>
      </c>
      <c r="B85" s="4" t="s">
        <v>39</v>
      </c>
      <c r="C85" s="4" t="s">
        <v>42</v>
      </c>
      <c r="D85" s="4" t="s">
        <v>49</v>
      </c>
      <c r="E85" s="4" t="s">
        <v>50</v>
      </c>
      <c r="F85" s="4" t="s">
        <v>25</v>
      </c>
      <c r="G85" s="4" t="s">
        <v>25</v>
      </c>
      <c r="H85" s="4" t="s">
        <v>34</v>
      </c>
      <c r="I85" s="5">
        <v>44713</v>
      </c>
      <c r="J85" s="6">
        <v>1439</v>
      </c>
      <c r="K85" s="71">
        <v>1439</v>
      </c>
      <c r="L85" s="6">
        <v>75.111000000000004</v>
      </c>
      <c r="M85" s="70">
        <v>75.111000000000004</v>
      </c>
      <c r="N85" s="6">
        <v>75.111000000000004</v>
      </c>
      <c r="O85" s="70">
        <v>75.111000000000004</v>
      </c>
      <c r="P85" s="6">
        <v>0</v>
      </c>
      <c r="Q85" s="4" t="s">
        <v>26</v>
      </c>
      <c r="R85" s="4">
        <v>0</v>
      </c>
      <c r="S85" s="4">
        <v>1</v>
      </c>
      <c r="T85" s="4">
        <v>3</v>
      </c>
      <c r="U85" s="4">
        <v>48</v>
      </c>
      <c r="V85" s="70">
        <f>IF(ISERROR(VLOOKUP($S$85,'TAR FIN'!$A$1:$O$85,15,0)),0,VLOOKUP($S$85,'TAR FIN'!$A$1:$O$85,15,0))*(1-0.06)</f>
        <v>48.8142</v>
      </c>
      <c r="W85" s="70">
        <f>IF(ISERROR(VLOOKUP($T$85,'TAR FIN'!$A$1:$O$85,15,0)),0,VLOOKUP($T$85,'TAR FIN'!$A$1:$O$85,15,0))*(1-0.06)</f>
        <v>72.144999999999996</v>
      </c>
      <c r="X85" s="70">
        <f>IF(ISERROR(VLOOKUP($U$85,'TAR FIN'!$A$1:$O$85,15,0)),0,VLOOKUP($U$85,'TAR FIN'!$A$1:$O$85,15,0))*(1-0.06)</f>
        <v>463.08159999999998</v>
      </c>
      <c r="Y85" s="70">
        <f ca="1">('TUSD BE'!$AM$5+'TUSD BF'!$AM$5+'TUSD CVA'!$AM$5)*1*(1-0.03)</f>
        <v>55.791173854125262</v>
      </c>
      <c r="Z85" s="70">
        <f ca="1">('TUSD BE'!$AM$7+'TUSD BF'!$AM$7+'TUSD CVA'!$AM$7)*1*(1-0.03)</f>
        <v>143.55448214271752</v>
      </c>
      <c r="AA85" s="70">
        <f>('TE BE'!$AB$5+'TE BF'!$AB$5+'TE CVA'!$AB$5)*1*(1-0.03)</f>
        <v>471.29969712597807</v>
      </c>
      <c r="AB85" s="70">
        <f>(SUBSIDIO!$J$85*SUBSIDIO!$V$85)*(0.06)/(1-0.06)</f>
        <v>4483.6361999999999</v>
      </c>
      <c r="AC85" s="70">
        <f>((SUBSIDIO!$L$85*SUBSIDIO!$W$85)+(SUBSIDIO!$N$85*SUBSIDIO!$X$85))*(0.06)/(1-0.06)</f>
        <v>2566.0471373999999</v>
      </c>
      <c r="AD85" s="70">
        <f ca="1">(SUBSIDIO!$J$85*SUBSIDIO!$Y$85)*(0.03)/(1-0.03)</f>
        <v>2482.9948198789557</v>
      </c>
      <c r="AE85" s="70">
        <f ca="1">((SUBSIDIO!$L$85*SUBSIDIO!$Z$85)+(SUBSIDIO!$N$85*SUBSIDIO!$AA$85))*(0.03)/(1-0.03)</f>
        <v>1428.3189358469381</v>
      </c>
      <c r="AF85" s="4" t="s">
        <v>847</v>
      </c>
    </row>
    <row r="86" spans="1:32" ht="11.25" customHeight="1" x14ac:dyDescent="0.25">
      <c r="A86" s="4" t="s">
        <v>21</v>
      </c>
      <c r="B86" s="4" t="s">
        <v>39</v>
      </c>
      <c r="C86" s="4" t="s">
        <v>42</v>
      </c>
      <c r="D86" s="4" t="s">
        <v>49</v>
      </c>
      <c r="E86" s="4" t="s">
        <v>50</v>
      </c>
      <c r="F86" s="4" t="s">
        <v>25</v>
      </c>
      <c r="G86" s="4" t="s">
        <v>25</v>
      </c>
      <c r="H86" s="4" t="s">
        <v>34</v>
      </c>
      <c r="I86" s="5">
        <v>44743</v>
      </c>
      <c r="J86" s="6">
        <v>1469</v>
      </c>
      <c r="K86" s="71">
        <v>1469</v>
      </c>
      <c r="L86" s="6">
        <v>76.551000000000002</v>
      </c>
      <c r="M86" s="70">
        <v>76.551000000000002</v>
      </c>
      <c r="N86" s="6">
        <v>76.551000000000002</v>
      </c>
      <c r="O86" s="70">
        <v>76.551000000000002</v>
      </c>
      <c r="P86" s="6">
        <v>0</v>
      </c>
      <c r="Q86" s="4" t="s">
        <v>26</v>
      </c>
      <c r="R86" s="4">
        <v>0</v>
      </c>
      <c r="S86" s="4">
        <v>1</v>
      </c>
      <c r="T86" s="4">
        <v>3</v>
      </c>
      <c r="U86" s="4">
        <v>48</v>
      </c>
      <c r="V86" s="70">
        <f>IF(ISERROR(VLOOKUP($S$86,'TAR FIN'!$A$1:$O$85,15,0)),0,VLOOKUP($S$86,'TAR FIN'!$A$1:$O$85,15,0))*(1-0.06)</f>
        <v>48.8142</v>
      </c>
      <c r="W86" s="70">
        <f>IF(ISERROR(VLOOKUP($T$86,'TAR FIN'!$A$1:$O$85,15,0)),0,VLOOKUP($T$86,'TAR FIN'!$A$1:$O$85,15,0))*(1-0.06)</f>
        <v>72.144999999999996</v>
      </c>
      <c r="X86" s="70">
        <f>IF(ISERROR(VLOOKUP($U$86,'TAR FIN'!$A$1:$O$85,15,0)),0,VLOOKUP($U$86,'TAR FIN'!$A$1:$O$85,15,0))*(1-0.06)</f>
        <v>463.08159999999998</v>
      </c>
      <c r="Y86" s="70">
        <f ca="1">('TUSD BE'!$AM$5+'TUSD BF'!$AM$5+'TUSD CVA'!$AM$5)*1*(1-0.03)</f>
        <v>55.791173854125262</v>
      </c>
      <c r="Z86" s="70">
        <f ca="1">('TUSD BE'!$AM$7+'TUSD BF'!$AM$7+'TUSD CVA'!$AM$7)*1*(1-0.03)</f>
        <v>143.55448214271752</v>
      </c>
      <c r="AA86" s="70">
        <f>('TE BE'!$AB$5+'TE BF'!$AB$5+'TE CVA'!$AB$5)*1*(1-0.03)</f>
        <v>471.29969712597807</v>
      </c>
      <c r="AB86" s="70">
        <f>(SUBSIDIO!$J$86*SUBSIDIO!$V$86)*(0.06)/(1-0.06)</f>
        <v>4577.1102000000001</v>
      </c>
      <c r="AC86" s="70">
        <f>((SUBSIDIO!$L$86*SUBSIDIO!$W$86)+(SUBSIDIO!$N$86*SUBSIDIO!$X$86))*(0.06)/(1-0.06)</f>
        <v>2615.2424333999998</v>
      </c>
      <c r="AD86" s="70">
        <f ca="1">(SUBSIDIO!$J$86*SUBSIDIO!$Y$86)*(0.03)/(1-0.03)</f>
        <v>2534.7598265477322</v>
      </c>
      <c r="AE86" s="70">
        <f ca="1">((SUBSIDIO!$L$86*SUBSIDIO!$Z$86)+(SUBSIDIO!$N$86*SUBSIDIO!$AA$86))*(0.03)/(1-0.03)</f>
        <v>1455.7021322844716</v>
      </c>
      <c r="AF86" s="4" t="s">
        <v>847</v>
      </c>
    </row>
    <row r="87" spans="1:32" ht="11.25" customHeight="1" x14ac:dyDescent="0.25">
      <c r="A87" s="4" t="s">
        <v>56</v>
      </c>
      <c r="B87" s="4" t="s">
        <v>39</v>
      </c>
      <c r="C87" s="4" t="s">
        <v>42</v>
      </c>
      <c r="D87" s="4" t="s">
        <v>49</v>
      </c>
      <c r="E87" s="4" t="s">
        <v>50</v>
      </c>
      <c r="F87" s="4" t="s">
        <v>25</v>
      </c>
      <c r="G87" s="4" t="s">
        <v>25</v>
      </c>
      <c r="H87" s="4" t="s">
        <v>34</v>
      </c>
      <c r="I87" s="5">
        <v>44774</v>
      </c>
      <c r="J87" s="6">
        <v>1469</v>
      </c>
      <c r="K87" s="71">
        <v>1469</v>
      </c>
      <c r="L87" s="6">
        <v>76.551000000000002</v>
      </c>
      <c r="M87" s="70">
        <v>76.551000000000002</v>
      </c>
      <c r="N87" s="6">
        <v>76.551000000000002</v>
      </c>
      <c r="O87" s="70">
        <v>76.551000000000002</v>
      </c>
      <c r="P87" s="6">
        <v>0</v>
      </c>
      <c r="Q87" s="4" t="s">
        <v>26</v>
      </c>
      <c r="R87" s="4">
        <v>0</v>
      </c>
      <c r="S87" s="4">
        <v>1</v>
      </c>
      <c r="T87" s="4">
        <v>3</v>
      </c>
      <c r="U87" s="4">
        <v>48</v>
      </c>
      <c r="V87" s="70">
        <f>IF(ISERROR(VLOOKUP($S$87,'TAR FIN'!$A$1:$O$85,15,0)),0,VLOOKUP($S$87,'TAR FIN'!$A$1:$O$85,15,0))*(1-0.06)</f>
        <v>48.8142</v>
      </c>
      <c r="W87" s="70">
        <f>IF(ISERROR(VLOOKUP($T$87,'TAR FIN'!$A$1:$O$85,15,0)),0,VLOOKUP($T$87,'TAR FIN'!$A$1:$O$85,15,0))*(1-0.06)</f>
        <v>72.144999999999996</v>
      </c>
      <c r="X87" s="70">
        <f>IF(ISERROR(VLOOKUP($U$87,'TAR FIN'!$A$1:$O$85,15,0)),0,VLOOKUP($U$87,'TAR FIN'!$A$1:$O$85,15,0))*(1-0.06)</f>
        <v>463.08159999999998</v>
      </c>
      <c r="Y87" s="70">
        <f ca="1">('TUSD BE'!$AM$5+'TUSD BF'!$AM$5+'TUSD CVA'!$AM$5)*1*(1-0.03)</f>
        <v>55.791173854125262</v>
      </c>
      <c r="Z87" s="70">
        <f ca="1">('TUSD BE'!$AM$7+'TUSD BF'!$AM$7+'TUSD CVA'!$AM$7)*1*(1-0.03)</f>
        <v>143.55448214271752</v>
      </c>
      <c r="AA87" s="70">
        <f>('TE BE'!$AB$5+'TE BF'!$AB$5+'TE CVA'!$AB$5)*1*(1-0.03)</f>
        <v>471.29969712597807</v>
      </c>
      <c r="AB87" s="70">
        <f>(SUBSIDIO!$J$87*SUBSIDIO!$V$87)*(0.06)/(1-0.06)</f>
        <v>4577.1102000000001</v>
      </c>
      <c r="AC87" s="70">
        <f>((SUBSIDIO!$L$87*SUBSIDIO!$W$87)+(SUBSIDIO!$N$87*SUBSIDIO!$X$87))*(0.06)/(1-0.06)</f>
        <v>2615.2424333999998</v>
      </c>
      <c r="AD87" s="70">
        <f ca="1">(SUBSIDIO!$J$87*SUBSIDIO!$Y$87)*(0.03)/(1-0.03)</f>
        <v>2534.7598265477322</v>
      </c>
      <c r="AE87" s="70">
        <f ca="1">((SUBSIDIO!$L$87*SUBSIDIO!$Z$87)+(SUBSIDIO!$N$87*SUBSIDIO!$AA$87))*(0.03)/(1-0.03)</f>
        <v>1455.7021322844716</v>
      </c>
      <c r="AF87" s="4" t="s">
        <v>847</v>
      </c>
    </row>
    <row r="88" spans="1:32" ht="11.25" customHeight="1" x14ac:dyDescent="0.25">
      <c r="A88" s="4" t="s">
        <v>21</v>
      </c>
      <c r="B88" s="4" t="s">
        <v>39</v>
      </c>
      <c r="C88" s="4" t="s">
        <v>59</v>
      </c>
      <c r="D88" s="4" t="s">
        <v>25</v>
      </c>
      <c r="E88" s="4" t="s">
        <v>25</v>
      </c>
      <c r="F88" s="4" t="s">
        <v>25</v>
      </c>
      <c r="G88" s="4" t="s">
        <v>60</v>
      </c>
      <c r="H88" s="4" t="s">
        <v>25</v>
      </c>
      <c r="I88" s="5">
        <v>44440</v>
      </c>
      <c r="J88" s="6">
        <v>900</v>
      </c>
      <c r="K88" s="6">
        <v>450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61</v>
      </c>
      <c r="S88" s="4">
        <v>5</v>
      </c>
      <c r="T88" s="4">
        <v>0</v>
      </c>
      <c r="U88" s="4">
        <v>0</v>
      </c>
      <c r="V88" s="6">
        <f>IF(ISERROR(VLOOKUP($S$88,'TAR FIN'!$A$1:$O$85,15,0)),0,VLOOKUP($S$88,'TAR FIN'!$A$1:$O$85,15,0))</f>
        <v>11.13</v>
      </c>
      <c r="W88" s="6">
        <f>IF(ISERROR(VLOOKUP($T$88,'TAR FIN'!$A$1:$O$85,15,0)),0,VLOOKUP($T$88,'TAR FIN'!$A$1:$O$85,15,0))</f>
        <v>0</v>
      </c>
      <c r="X88" s="6">
        <f>IF(ISERROR(VLOOKUP($U$88,'TAR FIN'!$A$1:$O$85,15,0)),0,VLOOKUP($U$88,'TAR FIN'!$A$1:$O$85,15,0))</f>
        <v>0</v>
      </c>
      <c r="Y88" s="6">
        <f ca="1">('TUSD BE'!$AM$9+'TUSD BF'!$AM$9+'TUSD CVA'!$AM$9)*1</f>
        <v>11.800643871721787</v>
      </c>
      <c r="Z88" s="6"/>
      <c r="AA88" s="6"/>
      <c r="AB88" s="6">
        <f t="shared" ref="AB88:AB129" si="8">(J88-K88)*V88</f>
        <v>5008.5</v>
      </c>
      <c r="AC88" s="6">
        <f t="shared" ref="AC88:AC97" si="9">(L88-M88)*W88+(N88-O88)*X88</f>
        <v>0</v>
      </c>
      <c r="AD88" s="6">
        <f t="shared" ref="AD88:AD129" ca="1" si="10">(J88-K88)*Y88</f>
        <v>5310.2897422748047</v>
      </c>
      <c r="AE88" s="6">
        <f t="shared" ref="AE88:AE97" si="11">(L88-M88)*Z88+(N88-O88)*AA88</f>
        <v>0</v>
      </c>
      <c r="AF88" s="4" t="s">
        <v>848</v>
      </c>
    </row>
    <row r="89" spans="1:32" ht="11.25" customHeight="1" x14ac:dyDescent="0.25">
      <c r="A89" s="4" t="s">
        <v>21</v>
      </c>
      <c r="B89" s="4" t="s">
        <v>39</v>
      </c>
      <c r="C89" s="4" t="s">
        <v>59</v>
      </c>
      <c r="D89" s="4" t="s">
        <v>25</v>
      </c>
      <c r="E89" s="4" t="s">
        <v>25</v>
      </c>
      <c r="F89" s="4" t="s">
        <v>25</v>
      </c>
      <c r="G89" s="4" t="s">
        <v>62</v>
      </c>
      <c r="H89" s="4" t="s">
        <v>25</v>
      </c>
      <c r="I89" s="5">
        <v>44440</v>
      </c>
      <c r="J89" s="6">
        <v>206</v>
      </c>
      <c r="K89" s="6">
        <v>103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61</v>
      </c>
      <c r="R89" s="4">
        <v>491</v>
      </c>
      <c r="S89" s="4">
        <v>5</v>
      </c>
      <c r="T89" s="4">
        <v>0</v>
      </c>
      <c r="U89" s="4">
        <v>0</v>
      </c>
      <c r="V89" s="6">
        <f>IF(ISERROR(VLOOKUP($S$89,'TAR FIN'!$A$1:$O$85,15,0)),0,VLOOKUP($S$89,'TAR FIN'!$A$1:$O$85,15,0))</f>
        <v>11.13</v>
      </c>
      <c r="W89" s="6">
        <f>IF(ISERROR(VLOOKUP($T$89,'TAR FIN'!$A$1:$O$85,15,0)),0,VLOOKUP($T$89,'TAR FIN'!$A$1:$O$85,15,0))</f>
        <v>0</v>
      </c>
      <c r="X89" s="6">
        <f>IF(ISERROR(VLOOKUP($U$89,'TAR FIN'!$A$1:$O$85,15,0)),0,VLOOKUP($U$89,'TAR FIN'!$A$1:$O$85,15,0))</f>
        <v>0</v>
      </c>
      <c r="Y89" s="6">
        <f ca="1">('TUSD BE'!$AM$9+'TUSD BF'!$AM$9+'TUSD CVA'!$AM$9)*1</f>
        <v>11.800643871721787</v>
      </c>
      <c r="Z89" s="6"/>
      <c r="AA89" s="6"/>
      <c r="AB89" s="6">
        <f t="shared" si="8"/>
        <v>1146.3900000000001</v>
      </c>
      <c r="AC89" s="6">
        <f t="shared" si="9"/>
        <v>0</v>
      </c>
      <c r="AD89" s="6">
        <f t="shared" ca="1" si="10"/>
        <v>1215.4663187873441</v>
      </c>
      <c r="AE89" s="6">
        <f t="shared" si="11"/>
        <v>0</v>
      </c>
      <c r="AF89" s="4" t="s">
        <v>848</v>
      </c>
    </row>
    <row r="90" spans="1:32" ht="11.25" customHeight="1" x14ac:dyDescent="0.25">
      <c r="A90" s="4" t="s">
        <v>21</v>
      </c>
      <c r="B90" s="4" t="s">
        <v>39</v>
      </c>
      <c r="C90" s="4" t="s">
        <v>59</v>
      </c>
      <c r="D90" s="4" t="s">
        <v>25</v>
      </c>
      <c r="E90" s="4" t="s">
        <v>25</v>
      </c>
      <c r="F90" s="4" t="s">
        <v>25</v>
      </c>
      <c r="G90" s="4" t="s">
        <v>63</v>
      </c>
      <c r="H90" s="4" t="s">
        <v>25</v>
      </c>
      <c r="I90" s="5">
        <v>44440</v>
      </c>
      <c r="J90" s="6">
        <v>240</v>
      </c>
      <c r="K90" s="6">
        <v>120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61</v>
      </c>
      <c r="R90" s="4">
        <v>27182</v>
      </c>
      <c r="S90" s="4">
        <v>5</v>
      </c>
      <c r="T90" s="4">
        <v>0</v>
      </c>
      <c r="U90" s="4">
        <v>0</v>
      </c>
      <c r="V90" s="6">
        <f>IF(ISERROR(VLOOKUP($S$90,'TAR FIN'!$A$1:$O$85,15,0)),0,VLOOKUP($S$90,'TAR FIN'!$A$1:$O$85,15,0))</f>
        <v>11.13</v>
      </c>
      <c r="W90" s="6">
        <f>IF(ISERROR(VLOOKUP($T$90,'TAR FIN'!$A$1:$O$85,15,0)),0,VLOOKUP($T$90,'TAR FIN'!$A$1:$O$85,15,0))</f>
        <v>0</v>
      </c>
      <c r="X90" s="6">
        <f>IF(ISERROR(VLOOKUP($U$90,'TAR FIN'!$A$1:$O$85,15,0)),0,VLOOKUP($U$90,'TAR FIN'!$A$1:$O$85,15,0))</f>
        <v>0</v>
      </c>
      <c r="Y90" s="6">
        <f ca="1">('TUSD BE'!$AM$9+'TUSD BF'!$AM$9+'TUSD CVA'!$AM$9)*1</f>
        <v>11.800643871721787</v>
      </c>
      <c r="Z90" s="6"/>
      <c r="AA90" s="6"/>
      <c r="AB90" s="6">
        <f t="shared" si="8"/>
        <v>1335.6000000000001</v>
      </c>
      <c r="AC90" s="6">
        <f t="shared" si="9"/>
        <v>0</v>
      </c>
      <c r="AD90" s="6">
        <f t="shared" ca="1" si="10"/>
        <v>1416.0772646066146</v>
      </c>
      <c r="AE90" s="6">
        <f t="shared" si="11"/>
        <v>0</v>
      </c>
      <c r="AF90" s="4" t="s">
        <v>848</v>
      </c>
    </row>
    <row r="91" spans="1:32" ht="11.25" customHeight="1" x14ac:dyDescent="0.25">
      <c r="A91" s="4" t="s">
        <v>21</v>
      </c>
      <c r="B91" s="4" t="s">
        <v>39</v>
      </c>
      <c r="C91" s="4" t="s">
        <v>59</v>
      </c>
      <c r="D91" s="4" t="s">
        <v>25</v>
      </c>
      <c r="E91" s="4" t="s">
        <v>25</v>
      </c>
      <c r="F91" s="4" t="s">
        <v>25</v>
      </c>
      <c r="G91" s="4" t="s">
        <v>60</v>
      </c>
      <c r="H91" s="4" t="s">
        <v>25</v>
      </c>
      <c r="I91" s="5">
        <v>44470</v>
      </c>
      <c r="J91" s="6">
        <v>900</v>
      </c>
      <c r="K91" s="6">
        <v>450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61</v>
      </c>
      <c r="S91" s="4">
        <v>5</v>
      </c>
      <c r="T91" s="4">
        <v>0</v>
      </c>
      <c r="U91" s="4">
        <v>0</v>
      </c>
      <c r="V91" s="6">
        <f>IF(ISERROR(VLOOKUP($S$91,'TAR FIN'!$A$1:$O$85,15,0)),0,VLOOKUP($S$91,'TAR FIN'!$A$1:$O$85,15,0))</f>
        <v>11.13</v>
      </c>
      <c r="W91" s="6">
        <f>IF(ISERROR(VLOOKUP($T$91,'TAR FIN'!$A$1:$O$85,15,0)),0,VLOOKUP($T$91,'TAR FIN'!$A$1:$O$85,15,0))</f>
        <v>0</v>
      </c>
      <c r="X91" s="6">
        <f>IF(ISERROR(VLOOKUP($U$91,'TAR FIN'!$A$1:$O$85,15,0)),0,VLOOKUP($U$91,'TAR FIN'!$A$1:$O$85,15,0))</f>
        <v>0</v>
      </c>
      <c r="Y91" s="6">
        <f ca="1">('TUSD BE'!$AM$9+'TUSD BF'!$AM$9+'TUSD CVA'!$AM$9)*1</f>
        <v>11.800643871721787</v>
      </c>
      <c r="Z91" s="6"/>
      <c r="AA91" s="6"/>
      <c r="AB91" s="6">
        <f t="shared" si="8"/>
        <v>5008.5</v>
      </c>
      <c r="AC91" s="6">
        <f t="shared" si="9"/>
        <v>0</v>
      </c>
      <c r="AD91" s="6">
        <f t="shared" ca="1" si="10"/>
        <v>5310.2897422748047</v>
      </c>
      <c r="AE91" s="6">
        <f t="shared" si="11"/>
        <v>0</v>
      </c>
      <c r="AF91" s="4" t="s">
        <v>848</v>
      </c>
    </row>
    <row r="92" spans="1:32" ht="11.25" customHeight="1" x14ac:dyDescent="0.25">
      <c r="A92" s="4" t="s">
        <v>21</v>
      </c>
      <c r="B92" s="4" t="s">
        <v>39</v>
      </c>
      <c r="C92" s="4" t="s">
        <v>59</v>
      </c>
      <c r="D92" s="4" t="s">
        <v>25</v>
      </c>
      <c r="E92" s="4" t="s">
        <v>25</v>
      </c>
      <c r="F92" s="4" t="s">
        <v>25</v>
      </c>
      <c r="G92" s="4" t="s">
        <v>62</v>
      </c>
      <c r="H92" s="4" t="s">
        <v>25</v>
      </c>
      <c r="I92" s="5">
        <v>44470</v>
      </c>
      <c r="J92" s="6">
        <v>206</v>
      </c>
      <c r="K92" s="6">
        <v>103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61</v>
      </c>
      <c r="R92" s="4">
        <v>491</v>
      </c>
      <c r="S92" s="4">
        <v>5</v>
      </c>
      <c r="T92" s="4">
        <v>0</v>
      </c>
      <c r="U92" s="4">
        <v>0</v>
      </c>
      <c r="V92" s="6">
        <f>IF(ISERROR(VLOOKUP($S$92,'TAR FIN'!$A$1:$O$85,15,0)),0,VLOOKUP($S$92,'TAR FIN'!$A$1:$O$85,15,0))</f>
        <v>11.13</v>
      </c>
      <c r="W92" s="6">
        <f>IF(ISERROR(VLOOKUP($T$92,'TAR FIN'!$A$1:$O$85,15,0)),0,VLOOKUP($T$92,'TAR FIN'!$A$1:$O$85,15,0))</f>
        <v>0</v>
      </c>
      <c r="X92" s="6">
        <f>IF(ISERROR(VLOOKUP($U$92,'TAR FIN'!$A$1:$O$85,15,0)),0,VLOOKUP($U$92,'TAR FIN'!$A$1:$O$85,15,0))</f>
        <v>0</v>
      </c>
      <c r="Y92" s="6">
        <f ca="1">('TUSD BE'!$AM$9+'TUSD BF'!$AM$9+'TUSD CVA'!$AM$9)*1</f>
        <v>11.800643871721787</v>
      </c>
      <c r="Z92" s="6"/>
      <c r="AA92" s="6"/>
      <c r="AB92" s="6">
        <f t="shared" si="8"/>
        <v>1146.3900000000001</v>
      </c>
      <c r="AC92" s="6">
        <f t="shared" si="9"/>
        <v>0</v>
      </c>
      <c r="AD92" s="6">
        <f t="shared" ca="1" si="10"/>
        <v>1215.4663187873441</v>
      </c>
      <c r="AE92" s="6">
        <f t="shared" si="11"/>
        <v>0</v>
      </c>
      <c r="AF92" s="4" t="s">
        <v>848</v>
      </c>
    </row>
    <row r="93" spans="1:32" ht="11.25" customHeight="1" x14ac:dyDescent="0.25">
      <c r="A93" s="4" t="s">
        <v>21</v>
      </c>
      <c r="B93" s="4" t="s">
        <v>39</v>
      </c>
      <c r="C93" s="4" t="s">
        <v>59</v>
      </c>
      <c r="D93" s="4" t="s">
        <v>25</v>
      </c>
      <c r="E93" s="4" t="s">
        <v>25</v>
      </c>
      <c r="F93" s="4" t="s">
        <v>25</v>
      </c>
      <c r="G93" s="4" t="s">
        <v>63</v>
      </c>
      <c r="H93" s="4" t="s">
        <v>25</v>
      </c>
      <c r="I93" s="5">
        <v>44470</v>
      </c>
      <c r="J93" s="6">
        <v>240</v>
      </c>
      <c r="K93" s="6">
        <v>120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61</v>
      </c>
      <c r="R93" s="4">
        <v>27182</v>
      </c>
      <c r="S93" s="4">
        <v>5</v>
      </c>
      <c r="T93" s="4">
        <v>0</v>
      </c>
      <c r="U93" s="4">
        <v>0</v>
      </c>
      <c r="V93" s="6">
        <f>IF(ISERROR(VLOOKUP($S$93,'TAR FIN'!$A$1:$O$85,15,0)),0,VLOOKUP($S$93,'TAR FIN'!$A$1:$O$85,15,0))</f>
        <v>11.13</v>
      </c>
      <c r="W93" s="6">
        <f>IF(ISERROR(VLOOKUP($T$93,'TAR FIN'!$A$1:$O$85,15,0)),0,VLOOKUP($T$93,'TAR FIN'!$A$1:$O$85,15,0))</f>
        <v>0</v>
      </c>
      <c r="X93" s="6">
        <f>IF(ISERROR(VLOOKUP($U$93,'TAR FIN'!$A$1:$O$85,15,0)),0,VLOOKUP($U$93,'TAR FIN'!$A$1:$O$85,15,0))</f>
        <v>0</v>
      </c>
      <c r="Y93" s="6">
        <f ca="1">('TUSD BE'!$AM$9+'TUSD BF'!$AM$9+'TUSD CVA'!$AM$9)*1</f>
        <v>11.800643871721787</v>
      </c>
      <c r="Z93" s="6"/>
      <c r="AA93" s="6"/>
      <c r="AB93" s="6">
        <f t="shared" si="8"/>
        <v>1335.6000000000001</v>
      </c>
      <c r="AC93" s="6">
        <f t="shared" si="9"/>
        <v>0</v>
      </c>
      <c r="AD93" s="6">
        <f t="shared" ca="1" si="10"/>
        <v>1416.0772646066146</v>
      </c>
      <c r="AE93" s="6">
        <f t="shared" si="11"/>
        <v>0</v>
      </c>
      <c r="AF93" s="4" t="s">
        <v>848</v>
      </c>
    </row>
    <row r="94" spans="1:32" ht="11.25" customHeight="1" x14ac:dyDescent="0.25">
      <c r="A94" s="4" t="s">
        <v>21</v>
      </c>
      <c r="B94" s="4" t="s">
        <v>39</v>
      </c>
      <c r="C94" s="4" t="s">
        <v>59</v>
      </c>
      <c r="D94" s="4" t="s">
        <v>25</v>
      </c>
      <c r="E94" s="4" t="s">
        <v>25</v>
      </c>
      <c r="F94" s="4" t="s">
        <v>25</v>
      </c>
      <c r="G94" s="4" t="s">
        <v>60</v>
      </c>
      <c r="H94" s="4" t="s">
        <v>25</v>
      </c>
      <c r="I94" s="5">
        <v>44501</v>
      </c>
      <c r="J94" s="6">
        <v>900</v>
      </c>
      <c r="K94" s="6">
        <v>450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61</v>
      </c>
      <c r="S94" s="4">
        <v>5</v>
      </c>
      <c r="T94" s="4">
        <v>0</v>
      </c>
      <c r="U94" s="4">
        <v>0</v>
      </c>
      <c r="V94" s="6">
        <f>IF(ISERROR(VLOOKUP($S$94,'TAR FIN'!$A$1:$O$85,15,0)),0,VLOOKUP($S$94,'TAR FIN'!$A$1:$O$85,15,0))</f>
        <v>11.13</v>
      </c>
      <c r="W94" s="6">
        <f>IF(ISERROR(VLOOKUP($T$94,'TAR FIN'!$A$1:$O$85,15,0)),0,VLOOKUP($T$94,'TAR FIN'!$A$1:$O$85,15,0))</f>
        <v>0</v>
      </c>
      <c r="X94" s="6">
        <f>IF(ISERROR(VLOOKUP($U$94,'TAR FIN'!$A$1:$O$85,15,0)),0,VLOOKUP($U$94,'TAR FIN'!$A$1:$O$85,15,0))</f>
        <v>0</v>
      </c>
      <c r="Y94" s="6">
        <f ca="1">('TUSD BE'!$AM$9+'TUSD BF'!$AM$9+'TUSD CVA'!$AM$9)*1</f>
        <v>11.800643871721787</v>
      </c>
      <c r="Z94" s="6"/>
      <c r="AA94" s="6"/>
      <c r="AB94" s="6">
        <f t="shared" si="8"/>
        <v>5008.5</v>
      </c>
      <c r="AC94" s="6">
        <f t="shared" si="9"/>
        <v>0</v>
      </c>
      <c r="AD94" s="6">
        <f t="shared" ca="1" si="10"/>
        <v>5310.2897422748047</v>
      </c>
      <c r="AE94" s="6">
        <f t="shared" si="11"/>
        <v>0</v>
      </c>
      <c r="AF94" s="4" t="s">
        <v>848</v>
      </c>
    </row>
    <row r="95" spans="1:32" ht="11.25" customHeight="1" x14ac:dyDescent="0.25">
      <c r="A95" s="4" t="s">
        <v>21</v>
      </c>
      <c r="B95" s="4" t="s">
        <v>39</v>
      </c>
      <c r="C95" s="4" t="s">
        <v>59</v>
      </c>
      <c r="D95" s="4" t="s">
        <v>25</v>
      </c>
      <c r="E95" s="4" t="s">
        <v>25</v>
      </c>
      <c r="F95" s="4" t="s">
        <v>25</v>
      </c>
      <c r="G95" s="4" t="s">
        <v>62</v>
      </c>
      <c r="H95" s="4" t="s">
        <v>25</v>
      </c>
      <c r="I95" s="5">
        <v>44501</v>
      </c>
      <c r="J95" s="6">
        <v>206</v>
      </c>
      <c r="K95" s="6">
        <v>103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61</v>
      </c>
      <c r="R95" s="4">
        <v>491</v>
      </c>
      <c r="S95" s="4">
        <v>5</v>
      </c>
      <c r="T95" s="4">
        <v>0</v>
      </c>
      <c r="U95" s="4">
        <v>0</v>
      </c>
      <c r="V95" s="6">
        <f>IF(ISERROR(VLOOKUP($S$95,'TAR FIN'!$A$1:$O$85,15,0)),0,VLOOKUP($S$95,'TAR FIN'!$A$1:$O$85,15,0))</f>
        <v>11.13</v>
      </c>
      <c r="W95" s="6">
        <f>IF(ISERROR(VLOOKUP($T$95,'TAR FIN'!$A$1:$O$85,15,0)),0,VLOOKUP($T$95,'TAR FIN'!$A$1:$O$85,15,0))</f>
        <v>0</v>
      </c>
      <c r="X95" s="6">
        <f>IF(ISERROR(VLOOKUP($U$95,'TAR FIN'!$A$1:$O$85,15,0)),0,VLOOKUP($U$95,'TAR FIN'!$A$1:$O$85,15,0))</f>
        <v>0</v>
      </c>
      <c r="Y95" s="6">
        <f ca="1">('TUSD BE'!$AM$9+'TUSD BF'!$AM$9+'TUSD CVA'!$AM$9)*1</f>
        <v>11.800643871721787</v>
      </c>
      <c r="Z95" s="6"/>
      <c r="AA95" s="6"/>
      <c r="AB95" s="6">
        <f t="shared" si="8"/>
        <v>1146.3900000000001</v>
      </c>
      <c r="AC95" s="6">
        <f t="shared" si="9"/>
        <v>0</v>
      </c>
      <c r="AD95" s="6">
        <f t="shared" ca="1" si="10"/>
        <v>1215.4663187873441</v>
      </c>
      <c r="AE95" s="6">
        <f t="shared" si="11"/>
        <v>0</v>
      </c>
      <c r="AF95" s="4" t="s">
        <v>848</v>
      </c>
    </row>
    <row r="96" spans="1:32" ht="11.25" customHeight="1" x14ac:dyDescent="0.25">
      <c r="A96" s="4" t="s">
        <v>21</v>
      </c>
      <c r="B96" s="4" t="s">
        <v>39</v>
      </c>
      <c r="C96" s="4" t="s">
        <v>59</v>
      </c>
      <c r="D96" s="4" t="s">
        <v>25</v>
      </c>
      <c r="E96" s="4" t="s">
        <v>25</v>
      </c>
      <c r="F96" s="4" t="s">
        <v>25</v>
      </c>
      <c r="G96" s="4" t="s">
        <v>63</v>
      </c>
      <c r="H96" s="4" t="s">
        <v>25</v>
      </c>
      <c r="I96" s="5">
        <v>44501</v>
      </c>
      <c r="J96" s="6">
        <v>240</v>
      </c>
      <c r="K96" s="6">
        <v>120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61</v>
      </c>
      <c r="R96" s="4">
        <v>27182</v>
      </c>
      <c r="S96" s="4">
        <v>5</v>
      </c>
      <c r="T96" s="4">
        <v>0</v>
      </c>
      <c r="U96" s="4">
        <v>0</v>
      </c>
      <c r="V96" s="6">
        <f>IF(ISERROR(VLOOKUP($S$96,'TAR FIN'!$A$1:$O$85,15,0)),0,VLOOKUP($S$96,'TAR FIN'!$A$1:$O$85,15,0))</f>
        <v>11.13</v>
      </c>
      <c r="W96" s="6">
        <f>IF(ISERROR(VLOOKUP($T$96,'TAR FIN'!$A$1:$O$85,15,0)),0,VLOOKUP($T$96,'TAR FIN'!$A$1:$O$85,15,0))</f>
        <v>0</v>
      </c>
      <c r="X96" s="6">
        <f>IF(ISERROR(VLOOKUP($U$96,'TAR FIN'!$A$1:$O$85,15,0)),0,VLOOKUP($U$96,'TAR FIN'!$A$1:$O$85,15,0))</f>
        <v>0</v>
      </c>
      <c r="Y96" s="6">
        <f ca="1">('TUSD BE'!$AM$9+'TUSD BF'!$AM$9+'TUSD CVA'!$AM$9)*1</f>
        <v>11.800643871721787</v>
      </c>
      <c r="Z96" s="6"/>
      <c r="AA96" s="6"/>
      <c r="AB96" s="6">
        <f t="shared" si="8"/>
        <v>1335.6000000000001</v>
      </c>
      <c r="AC96" s="6">
        <f t="shared" si="9"/>
        <v>0</v>
      </c>
      <c r="AD96" s="6">
        <f t="shared" ca="1" si="10"/>
        <v>1416.0772646066146</v>
      </c>
      <c r="AE96" s="6">
        <f t="shared" si="11"/>
        <v>0</v>
      </c>
      <c r="AF96" s="4" t="s">
        <v>848</v>
      </c>
    </row>
    <row r="97" spans="1:32" ht="11.25" customHeight="1" x14ac:dyDescent="0.25">
      <c r="A97" s="4" t="s">
        <v>21</v>
      </c>
      <c r="B97" s="4" t="s">
        <v>39</v>
      </c>
      <c r="C97" s="4" t="s">
        <v>59</v>
      </c>
      <c r="D97" s="4" t="s">
        <v>25</v>
      </c>
      <c r="E97" s="4" t="s">
        <v>25</v>
      </c>
      <c r="F97" s="4" t="s">
        <v>25</v>
      </c>
      <c r="G97" s="4" t="s">
        <v>60</v>
      </c>
      <c r="H97" s="4" t="s">
        <v>25</v>
      </c>
      <c r="I97" s="5">
        <v>44531</v>
      </c>
      <c r="J97" s="6">
        <v>900</v>
      </c>
      <c r="K97" s="6">
        <v>450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61</v>
      </c>
      <c r="S97" s="4">
        <v>5</v>
      </c>
      <c r="T97" s="4">
        <v>0</v>
      </c>
      <c r="U97" s="4">
        <v>0</v>
      </c>
      <c r="V97" s="6">
        <f>IF(ISERROR(VLOOKUP($S$97,'TAR FIN'!$A$1:$O$85,15,0)),0,VLOOKUP($S$97,'TAR FIN'!$A$1:$O$85,15,0))</f>
        <v>11.13</v>
      </c>
      <c r="W97" s="6">
        <f>IF(ISERROR(VLOOKUP($T$97,'TAR FIN'!$A$1:$O$85,15,0)),0,VLOOKUP($T$97,'TAR FIN'!$A$1:$O$85,15,0))</f>
        <v>0</v>
      </c>
      <c r="X97" s="6">
        <f>IF(ISERROR(VLOOKUP($U$97,'TAR FIN'!$A$1:$O$85,15,0)),0,VLOOKUP($U$97,'TAR FIN'!$A$1:$O$85,15,0))</f>
        <v>0</v>
      </c>
      <c r="Y97" s="6">
        <f ca="1">('TUSD BE'!$AM$9+'TUSD BF'!$AM$9+'TUSD CVA'!$AM$9)*1</f>
        <v>11.800643871721787</v>
      </c>
      <c r="Z97" s="6"/>
      <c r="AA97" s="6"/>
      <c r="AB97" s="6">
        <f t="shared" si="8"/>
        <v>5008.5</v>
      </c>
      <c r="AC97" s="6">
        <f t="shared" si="9"/>
        <v>0</v>
      </c>
      <c r="AD97" s="6">
        <f t="shared" ca="1" si="10"/>
        <v>5310.2897422748047</v>
      </c>
      <c r="AE97" s="6">
        <f t="shared" si="11"/>
        <v>0</v>
      </c>
      <c r="AF97" s="4" t="s">
        <v>848</v>
      </c>
    </row>
    <row r="98" spans="1:32" ht="11.25" customHeight="1" x14ac:dyDescent="0.25">
      <c r="A98" s="4" t="s">
        <v>21</v>
      </c>
      <c r="B98" s="4" t="s">
        <v>39</v>
      </c>
      <c r="C98" s="4" t="s">
        <v>59</v>
      </c>
      <c r="D98" s="4" t="s">
        <v>25</v>
      </c>
      <c r="E98" s="4" t="s">
        <v>25</v>
      </c>
      <c r="F98" s="4" t="s">
        <v>25</v>
      </c>
      <c r="G98" s="4" t="s">
        <v>62</v>
      </c>
      <c r="H98" s="4" t="s">
        <v>25</v>
      </c>
      <c r="I98" s="5">
        <v>44531</v>
      </c>
      <c r="J98" s="6">
        <v>206</v>
      </c>
      <c r="K98" s="6">
        <v>103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61</v>
      </c>
      <c r="R98" s="4">
        <v>491</v>
      </c>
      <c r="S98" s="4">
        <v>5</v>
      </c>
      <c r="T98" s="4">
        <v>0</v>
      </c>
      <c r="U98" s="4">
        <v>0</v>
      </c>
      <c r="V98" s="6">
        <f>IF(ISERROR(VLOOKUP($S$98,'TAR FIN'!$A$1:$O$85,15,0)),0,VLOOKUP($S$98,'TAR FIN'!$A$1:$O$85,15,0))</f>
        <v>11.13</v>
      </c>
      <c r="W98" s="6">
        <f>IF(ISERROR(VLOOKUP($T$98,'TAR FIN'!$A$1:$O$85,15,0)),0,VLOOKUP($T$98,'TAR FIN'!$A$1:$O$85,15,0))</f>
        <v>0</v>
      </c>
      <c r="X98" s="6">
        <f>IF(ISERROR(VLOOKUP($U$98,'TAR FIN'!$A$1:$O$85,15,0)),0,VLOOKUP($U$98,'TAR FIN'!$A$1:$O$85,15,0))</f>
        <v>0</v>
      </c>
      <c r="Y98" s="6">
        <f ca="1">('TUSD BE'!$AM$9+'TUSD BF'!$AM$9+'TUSD CVA'!$AM$9)*1</f>
        <v>11.800643871721787</v>
      </c>
      <c r="Z98" s="6"/>
      <c r="AA98" s="6"/>
      <c r="AB98" s="6">
        <f t="shared" si="8"/>
        <v>1146.3900000000001</v>
      </c>
      <c r="AC98" s="6">
        <f t="shared" ref="AC98:AC129" si="12">(L98-M98)*W98+(N98-O98)*X98</f>
        <v>0</v>
      </c>
      <c r="AD98" s="6">
        <f t="shared" ca="1" si="10"/>
        <v>1215.4663187873441</v>
      </c>
      <c r="AE98" s="6">
        <f t="shared" ref="AE98:AE129" si="13">(L98-M98)*Z98+(N98-O98)*AA98</f>
        <v>0</v>
      </c>
      <c r="AF98" s="4" t="s">
        <v>848</v>
      </c>
    </row>
    <row r="99" spans="1:32" ht="11.25" customHeight="1" x14ac:dyDescent="0.25">
      <c r="A99" s="4" t="s">
        <v>21</v>
      </c>
      <c r="B99" s="4" t="s">
        <v>39</v>
      </c>
      <c r="C99" s="4" t="s">
        <v>59</v>
      </c>
      <c r="D99" s="4" t="s">
        <v>25</v>
      </c>
      <c r="E99" s="4" t="s">
        <v>25</v>
      </c>
      <c r="F99" s="4" t="s">
        <v>25</v>
      </c>
      <c r="G99" s="4" t="s">
        <v>63</v>
      </c>
      <c r="H99" s="4" t="s">
        <v>25</v>
      </c>
      <c r="I99" s="5">
        <v>44531</v>
      </c>
      <c r="J99" s="6">
        <v>240</v>
      </c>
      <c r="K99" s="6">
        <v>120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61</v>
      </c>
      <c r="R99" s="4">
        <v>27182</v>
      </c>
      <c r="S99" s="4">
        <v>5</v>
      </c>
      <c r="T99" s="4">
        <v>0</v>
      </c>
      <c r="U99" s="4">
        <v>0</v>
      </c>
      <c r="V99" s="6">
        <f>IF(ISERROR(VLOOKUP($S$99,'TAR FIN'!$A$1:$O$85,15,0)),0,VLOOKUP($S$99,'TAR FIN'!$A$1:$O$85,15,0))</f>
        <v>11.13</v>
      </c>
      <c r="W99" s="6">
        <f>IF(ISERROR(VLOOKUP($T$99,'TAR FIN'!$A$1:$O$85,15,0)),0,VLOOKUP($T$99,'TAR FIN'!$A$1:$O$85,15,0))</f>
        <v>0</v>
      </c>
      <c r="X99" s="6">
        <f>IF(ISERROR(VLOOKUP($U$99,'TAR FIN'!$A$1:$O$85,15,0)),0,VLOOKUP($U$99,'TAR FIN'!$A$1:$O$85,15,0))</f>
        <v>0</v>
      </c>
      <c r="Y99" s="6">
        <f ca="1">('TUSD BE'!$AM$9+'TUSD BF'!$AM$9+'TUSD CVA'!$AM$9)*1</f>
        <v>11.800643871721787</v>
      </c>
      <c r="Z99" s="6"/>
      <c r="AA99" s="6"/>
      <c r="AB99" s="6">
        <f t="shared" si="8"/>
        <v>1335.6000000000001</v>
      </c>
      <c r="AC99" s="6">
        <f t="shared" si="12"/>
        <v>0</v>
      </c>
      <c r="AD99" s="6">
        <f t="shared" ca="1" si="10"/>
        <v>1416.0772646066146</v>
      </c>
      <c r="AE99" s="6">
        <f t="shared" si="13"/>
        <v>0</v>
      </c>
      <c r="AF99" s="4" t="s">
        <v>848</v>
      </c>
    </row>
    <row r="100" spans="1:32" ht="11.25" customHeight="1" x14ac:dyDescent="0.25">
      <c r="A100" s="4" t="s">
        <v>21</v>
      </c>
      <c r="B100" s="4" t="s">
        <v>39</v>
      </c>
      <c r="C100" s="4" t="s">
        <v>59</v>
      </c>
      <c r="D100" s="4" t="s">
        <v>25</v>
      </c>
      <c r="E100" s="4" t="s">
        <v>25</v>
      </c>
      <c r="F100" s="4" t="s">
        <v>25</v>
      </c>
      <c r="G100" s="4" t="s">
        <v>60</v>
      </c>
      <c r="H100" s="4" t="s">
        <v>25</v>
      </c>
      <c r="I100" s="5">
        <v>44562</v>
      </c>
      <c r="J100" s="6">
        <v>900</v>
      </c>
      <c r="K100" s="6">
        <v>450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61</v>
      </c>
      <c r="S100" s="4">
        <v>5</v>
      </c>
      <c r="T100" s="4">
        <v>0</v>
      </c>
      <c r="U100" s="4">
        <v>0</v>
      </c>
      <c r="V100" s="6">
        <f>IF(ISERROR(VLOOKUP($S$100,'TAR FIN'!$A$1:$O$85,15,0)),0,VLOOKUP($S$100,'TAR FIN'!$A$1:$O$85,15,0))</f>
        <v>11.13</v>
      </c>
      <c r="W100" s="6">
        <f>IF(ISERROR(VLOOKUP($T$100,'TAR FIN'!$A$1:$O$85,15,0)),0,VLOOKUP($T$100,'TAR FIN'!$A$1:$O$85,15,0))</f>
        <v>0</v>
      </c>
      <c r="X100" s="6">
        <f>IF(ISERROR(VLOOKUP($U$100,'TAR FIN'!$A$1:$O$85,15,0)),0,VLOOKUP($U$100,'TAR FIN'!$A$1:$O$85,15,0))</f>
        <v>0</v>
      </c>
      <c r="Y100" s="6">
        <f ca="1">('TUSD BE'!$AM$9+'TUSD BF'!$AM$9+'TUSD CVA'!$AM$9)*1</f>
        <v>11.800643871721787</v>
      </c>
      <c r="Z100" s="6"/>
      <c r="AA100" s="6"/>
      <c r="AB100" s="6">
        <f t="shared" si="8"/>
        <v>5008.5</v>
      </c>
      <c r="AC100" s="6">
        <f t="shared" si="12"/>
        <v>0</v>
      </c>
      <c r="AD100" s="6">
        <f t="shared" ca="1" si="10"/>
        <v>5310.2897422748047</v>
      </c>
      <c r="AE100" s="6">
        <f t="shared" si="13"/>
        <v>0</v>
      </c>
      <c r="AF100" s="4" t="s">
        <v>848</v>
      </c>
    </row>
    <row r="101" spans="1:32" ht="11.25" customHeight="1" x14ac:dyDescent="0.25">
      <c r="A101" s="4" t="s">
        <v>21</v>
      </c>
      <c r="B101" s="4" t="s">
        <v>39</v>
      </c>
      <c r="C101" s="4" t="s">
        <v>59</v>
      </c>
      <c r="D101" s="4" t="s">
        <v>25</v>
      </c>
      <c r="E101" s="4" t="s">
        <v>25</v>
      </c>
      <c r="F101" s="4" t="s">
        <v>25</v>
      </c>
      <c r="G101" s="4" t="s">
        <v>62</v>
      </c>
      <c r="H101" s="4" t="s">
        <v>25</v>
      </c>
      <c r="I101" s="5">
        <v>44562</v>
      </c>
      <c r="J101" s="6">
        <v>206</v>
      </c>
      <c r="K101" s="6">
        <v>103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61</v>
      </c>
      <c r="R101" s="4">
        <v>491</v>
      </c>
      <c r="S101" s="4">
        <v>5</v>
      </c>
      <c r="T101" s="4">
        <v>0</v>
      </c>
      <c r="U101" s="4">
        <v>0</v>
      </c>
      <c r="V101" s="6">
        <f>IF(ISERROR(VLOOKUP($S$101,'TAR FIN'!$A$1:$O$85,15,0)),0,VLOOKUP($S$101,'TAR FIN'!$A$1:$O$85,15,0))</f>
        <v>11.13</v>
      </c>
      <c r="W101" s="6">
        <f>IF(ISERROR(VLOOKUP($T$101,'TAR FIN'!$A$1:$O$85,15,0)),0,VLOOKUP($T$101,'TAR FIN'!$A$1:$O$85,15,0))</f>
        <v>0</v>
      </c>
      <c r="X101" s="6">
        <f>IF(ISERROR(VLOOKUP($U$101,'TAR FIN'!$A$1:$O$85,15,0)),0,VLOOKUP($U$101,'TAR FIN'!$A$1:$O$85,15,0))</f>
        <v>0</v>
      </c>
      <c r="Y101" s="6">
        <f ca="1">('TUSD BE'!$AM$9+'TUSD BF'!$AM$9+'TUSD CVA'!$AM$9)*1</f>
        <v>11.800643871721787</v>
      </c>
      <c r="Z101" s="6"/>
      <c r="AA101" s="6"/>
      <c r="AB101" s="6">
        <f t="shared" si="8"/>
        <v>1146.3900000000001</v>
      </c>
      <c r="AC101" s="6">
        <f t="shared" si="12"/>
        <v>0</v>
      </c>
      <c r="AD101" s="6">
        <f t="shared" ca="1" si="10"/>
        <v>1215.4663187873441</v>
      </c>
      <c r="AE101" s="6">
        <f t="shared" si="13"/>
        <v>0</v>
      </c>
      <c r="AF101" s="4" t="s">
        <v>848</v>
      </c>
    </row>
    <row r="102" spans="1:32" ht="11.25" customHeight="1" x14ac:dyDescent="0.25">
      <c r="A102" s="4" t="s">
        <v>21</v>
      </c>
      <c r="B102" s="4" t="s">
        <v>39</v>
      </c>
      <c r="C102" s="4" t="s">
        <v>59</v>
      </c>
      <c r="D102" s="4" t="s">
        <v>25</v>
      </c>
      <c r="E102" s="4" t="s">
        <v>25</v>
      </c>
      <c r="F102" s="4" t="s">
        <v>25</v>
      </c>
      <c r="G102" s="4" t="s">
        <v>63</v>
      </c>
      <c r="H102" s="4" t="s">
        <v>25</v>
      </c>
      <c r="I102" s="5">
        <v>44562</v>
      </c>
      <c r="J102" s="6">
        <v>240</v>
      </c>
      <c r="K102" s="6">
        <v>120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61</v>
      </c>
      <c r="R102" s="4">
        <v>27182</v>
      </c>
      <c r="S102" s="4">
        <v>5</v>
      </c>
      <c r="T102" s="4">
        <v>0</v>
      </c>
      <c r="U102" s="4">
        <v>0</v>
      </c>
      <c r="V102" s="6">
        <f>IF(ISERROR(VLOOKUP($S$102,'TAR FIN'!$A$1:$O$85,15,0)),0,VLOOKUP($S$102,'TAR FIN'!$A$1:$O$85,15,0))</f>
        <v>11.13</v>
      </c>
      <c r="W102" s="6">
        <f>IF(ISERROR(VLOOKUP($T$102,'TAR FIN'!$A$1:$O$85,15,0)),0,VLOOKUP($T$102,'TAR FIN'!$A$1:$O$85,15,0))</f>
        <v>0</v>
      </c>
      <c r="X102" s="6">
        <f>IF(ISERROR(VLOOKUP($U$102,'TAR FIN'!$A$1:$O$85,15,0)),0,VLOOKUP($U$102,'TAR FIN'!$A$1:$O$85,15,0))</f>
        <v>0</v>
      </c>
      <c r="Y102" s="6">
        <f ca="1">('TUSD BE'!$AM$9+'TUSD BF'!$AM$9+'TUSD CVA'!$AM$9)*1</f>
        <v>11.800643871721787</v>
      </c>
      <c r="Z102" s="6"/>
      <c r="AA102" s="6"/>
      <c r="AB102" s="6">
        <f t="shared" si="8"/>
        <v>1335.6000000000001</v>
      </c>
      <c r="AC102" s="6">
        <f t="shared" si="12"/>
        <v>0</v>
      </c>
      <c r="AD102" s="6">
        <f t="shared" ca="1" si="10"/>
        <v>1416.0772646066146</v>
      </c>
      <c r="AE102" s="6">
        <f t="shared" si="13"/>
        <v>0</v>
      </c>
      <c r="AF102" s="4" t="s">
        <v>848</v>
      </c>
    </row>
    <row r="103" spans="1:32" ht="11.25" customHeight="1" x14ac:dyDescent="0.25">
      <c r="A103" s="4" t="s">
        <v>21</v>
      </c>
      <c r="B103" s="4" t="s">
        <v>39</v>
      </c>
      <c r="C103" s="4" t="s">
        <v>59</v>
      </c>
      <c r="D103" s="4" t="s">
        <v>25</v>
      </c>
      <c r="E103" s="4" t="s">
        <v>25</v>
      </c>
      <c r="F103" s="4" t="s">
        <v>25</v>
      </c>
      <c r="G103" s="4" t="s">
        <v>60</v>
      </c>
      <c r="H103" s="4" t="s">
        <v>25</v>
      </c>
      <c r="I103" s="5">
        <v>44593</v>
      </c>
      <c r="J103" s="6">
        <v>900</v>
      </c>
      <c r="K103" s="6">
        <v>450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61</v>
      </c>
      <c r="S103" s="4">
        <v>5</v>
      </c>
      <c r="T103" s="4">
        <v>0</v>
      </c>
      <c r="U103" s="4">
        <v>0</v>
      </c>
      <c r="V103" s="6">
        <f>IF(ISERROR(VLOOKUP($S$103,'TAR FIN'!$A$1:$O$85,15,0)),0,VLOOKUP($S$103,'TAR FIN'!$A$1:$O$85,15,0))</f>
        <v>11.13</v>
      </c>
      <c r="W103" s="6">
        <f>IF(ISERROR(VLOOKUP($T$103,'TAR FIN'!$A$1:$O$85,15,0)),0,VLOOKUP($T$103,'TAR FIN'!$A$1:$O$85,15,0))</f>
        <v>0</v>
      </c>
      <c r="X103" s="6">
        <f>IF(ISERROR(VLOOKUP($U$103,'TAR FIN'!$A$1:$O$85,15,0)),0,VLOOKUP($U$103,'TAR FIN'!$A$1:$O$85,15,0))</f>
        <v>0</v>
      </c>
      <c r="Y103" s="6">
        <f ca="1">('TUSD BE'!$AM$9+'TUSD BF'!$AM$9+'TUSD CVA'!$AM$9)*1</f>
        <v>11.800643871721787</v>
      </c>
      <c r="Z103" s="6"/>
      <c r="AA103" s="6"/>
      <c r="AB103" s="6">
        <f t="shared" si="8"/>
        <v>5008.5</v>
      </c>
      <c r="AC103" s="6">
        <f t="shared" si="12"/>
        <v>0</v>
      </c>
      <c r="AD103" s="6">
        <f t="shared" ca="1" si="10"/>
        <v>5310.2897422748047</v>
      </c>
      <c r="AE103" s="6">
        <f t="shared" si="13"/>
        <v>0</v>
      </c>
      <c r="AF103" s="4" t="s">
        <v>848</v>
      </c>
    </row>
    <row r="104" spans="1:32" ht="11.25" customHeight="1" x14ac:dyDescent="0.25">
      <c r="A104" s="4" t="s">
        <v>21</v>
      </c>
      <c r="B104" s="4" t="s">
        <v>39</v>
      </c>
      <c r="C104" s="4" t="s">
        <v>59</v>
      </c>
      <c r="D104" s="4" t="s">
        <v>25</v>
      </c>
      <c r="E104" s="4" t="s">
        <v>25</v>
      </c>
      <c r="F104" s="4" t="s">
        <v>25</v>
      </c>
      <c r="G104" s="4" t="s">
        <v>62</v>
      </c>
      <c r="H104" s="4" t="s">
        <v>25</v>
      </c>
      <c r="I104" s="5">
        <v>44593</v>
      </c>
      <c r="J104" s="6">
        <v>206</v>
      </c>
      <c r="K104" s="6">
        <v>103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61</v>
      </c>
      <c r="R104" s="4">
        <v>491</v>
      </c>
      <c r="S104" s="4">
        <v>5</v>
      </c>
      <c r="T104" s="4">
        <v>0</v>
      </c>
      <c r="U104" s="4">
        <v>0</v>
      </c>
      <c r="V104" s="6">
        <f>IF(ISERROR(VLOOKUP($S$104,'TAR FIN'!$A$1:$O$85,15,0)),0,VLOOKUP($S$104,'TAR FIN'!$A$1:$O$85,15,0))</f>
        <v>11.13</v>
      </c>
      <c r="W104" s="6">
        <f>IF(ISERROR(VLOOKUP($T$104,'TAR FIN'!$A$1:$O$85,15,0)),0,VLOOKUP($T$104,'TAR FIN'!$A$1:$O$85,15,0))</f>
        <v>0</v>
      </c>
      <c r="X104" s="6">
        <f>IF(ISERROR(VLOOKUP($U$104,'TAR FIN'!$A$1:$O$85,15,0)),0,VLOOKUP($U$104,'TAR FIN'!$A$1:$O$85,15,0))</f>
        <v>0</v>
      </c>
      <c r="Y104" s="6">
        <f ca="1">('TUSD BE'!$AM$9+'TUSD BF'!$AM$9+'TUSD CVA'!$AM$9)*1</f>
        <v>11.800643871721787</v>
      </c>
      <c r="Z104" s="6"/>
      <c r="AA104" s="6"/>
      <c r="AB104" s="6">
        <f t="shared" si="8"/>
        <v>1146.3900000000001</v>
      </c>
      <c r="AC104" s="6">
        <f t="shared" si="12"/>
        <v>0</v>
      </c>
      <c r="AD104" s="6">
        <f t="shared" ca="1" si="10"/>
        <v>1215.4663187873441</v>
      </c>
      <c r="AE104" s="6">
        <f t="shared" si="13"/>
        <v>0</v>
      </c>
      <c r="AF104" s="4" t="s">
        <v>848</v>
      </c>
    </row>
    <row r="105" spans="1:32" ht="11.25" customHeight="1" x14ac:dyDescent="0.25">
      <c r="A105" s="4" t="s">
        <v>21</v>
      </c>
      <c r="B105" s="4" t="s">
        <v>39</v>
      </c>
      <c r="C105" s="4" t="s">
        <v>59</v>
      </c>
      <c r="D105" s="4" t="s">
        <v>25</v>
      </c>
      <c r="E105" s="4" t="s">
        <v>25</v>
      </c>
      <c r="F105" s="4" t="s">
        <v>25</v>
      </c>
      <c r="G105" s="4" t="s">
        <v>63</v>
      </c>
      <c r="H105" s="4" t="s">
        <v>25</v>
      </c>
      <c r="I105" s="5">
        <v>44593</v>
      </c>
      <c r="J105" s="6">
        <v>240</v>
      </c>
      <c r="K105" s="6">
        <v>120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61</v>
      </c>
      <c r="R105" s="4">
        <v>27182</v>
      </c>
      <c r="S105" s="4">
        <v>5</v>
      </c>
      <c r="T105" s="4">
        <v>0</v>
      </c>
      <c r="U105" s="4">
        <v>0</v>
      </c>
      <c r="V105" s="6">
        <f>IF(ISERROR(VLOOKUP($S$105,'TAR FIN'!$A$1:$O$85,15,0)),0,VLOOKUP($S$105,'TAR FIN'!$A$1:$O$85,15,0))</f>
        <v>11.13</v>
      </c>
      <c r="W105" s="6">
        <f>IF(ISERROR(VLOOKUP($T$105,'TAR FIN'!$A$1:$O$85,15,0)),0,VLOOKUP($T$105,'TAR FIN'!$A$1:$O$85,15,0))</f>
        <v>0</v>
      </c>
      <c r="X105" s="6">
        <f>IF(ISERROR(VLOOKUP($U$105,'TAR FIN'!$A$1:$O$85,15,0)),0,VLOOKUP($U$105,'TAR FIN'!$A$1:$O$85,15,0))</f>
        <v>0</v>
      </c>
      <c r="Y105" s="6">
        <f ca="1">('TUSD BE'!$AM$9+'TUSD BF'!$AM$9+'TUSD CVA'!$AM$9)*1</f>
        <v>11.800643871721787</v>
      </c>
      <c r="Z105" s="6"/>
      <c r="AA105" s="6"/>
      <c r="AB105" s="6">
        <f t="shared" si="8"/>
        <v>1335.6000000000001</v>
      </c>
      <c r="AC105" s="6">
        <f t="shared" si="12"/>
        <v>0</v>
      </c>
      <c r="AD105" s="6">
        <f t="shared" ca="1" si="10"/>
        <v>1416.0772646066146</v>
      </c>
      <c r="AE105" s="6">
        <f t="shared" si="13"/>
        <v>0</v>
      </c>
      <c r="AF105" s="4" t="s">
        <v>848</v>
      </c>
    </row>
    <row r="106" spans="1:32" ht="11.25" customHeight="1" x14ac:dyDescent="0.25">
      <c r="A106" s="4" t="s">
        <v>21</v>
      </c>
      <c r="B106" s="4" t="s">
        <v>39</v>
      </c>
      <c r="C106" s="4" t="s">
        <v>59</v>
      </c>
      <c r="D106" s="4" t="s">
        <v>25</v>
      </c>
      <c r="E106" s="4" t="s">
        <v>25</v>
      </c>
      <c r="F106" s="4" t="s">
        <v>25</v>
      </c>
      <c r="G106" s="4" t="s">
        <v>60</v>
      </c>
      <c r="H106" s="4" t="s">
        <v>25</v>
      </c>
      <c r="I106" s="5">
        <v>44621</v>
      </c>
      <c r="J106" s="6">
        <v>900</v>
      </c>
      <c r="K106" s="6">
        <v>450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61</v>
      </c>
      <c r="S106" s="4">
        <v>5</v>
      </c>
      <c r="T106" s="4">
        <v>0</v>
      </c>
      <c r="U106" s="4">
        <v>0</v>
      </c>
      <c r="V106" s="6">
        <f>IF(ISERROR(VLOOKUP($S$106,'TAR FIN'!$A$1:$O$85,15,0)),0,VLOOKUP($S$106,'TAR FIN'!$A$1:$O$85,15,0))</f>
        <v>11.13</v>
      </c>
      <c r="W106" s="6">
        <f>IF(ISERROR(VLOOKUP($T$106,'TAR FIN'!$A$1:$O$85,15,0)),0,VLOOKUP($T$106,'TAR FIN'!$A$1:$O$85,15,0))</f>
        <v>0</v>
      </c>
      <c r="X106" s="6">
        <f>IF(ISERROR(VLOOKUP($U$106,'TAR FIN'!$A$1:$O$85,15,0)),0,VLOOKUP($U$106,'TAR FIN'!$A$1:$O$85,15,0))</f>
        <v>0</v>
      </c>
      <c r="Y106" s="6">
        <f ca="1">('TUSD BE'!$AM$9+'TUSD BF'!$AM$9+'TUSD CVA'!$AM$9)*1</f>
        <v>11.800643871721787</v>
      </c>
      <c r="Z106" s="6"/>
      <c r="AA106" s="6"/>
      <c r="AB106" s="6">
        <f t="shared" si="8"/>
        <v>5008.5</v>
      </c>
      <c r="AC106" s="6">
        <f t="shared" si="12"/>
        <v>0</v>
      </c>
      <c r="AD106" s="6">
        <f t="shared" ca="1" si="10"/>
        <v>5310.2897422748047</v>
      </c>
      <c r="AE106" s="6">
        <f t="shared" si="13"/>
        <v>0</v>
      </c>
      <c r="AF106" s="4" t="s">
        <v>848</v>
      </c>
    </row>
    <row r="107" spans="1:32" ht="11.25" customHeight="1" x14ac:dyDescent="0.25">
      <c r="A107" s="4" t="s">
        <v>21</v>
      </c>
      <c r="B107" s="4" t="s">
        <v>39</v>
      </c>
      <c r="C107" s="4" t="s">
        <v>59</v>
      </c>
      <c r="D107" s="4" t="s">
        <v>25</v>
      </c>
      <c r="E107" s="4" t="s">
        <v>25</v>
      </c>
      <c r="F107" s="4" t="s">
        <v>25</v>
      </c>
      <c r="G107" s="4" t="s">
        <v>62</v>
      </c>
      <c r="H107" s="4" t="s">
        <v>25</v>
      </c>
      <c r="I107" s="5">
        <v>44621</v>
      </c>
      <c r="J107" s="6">
        <v>206</v>
      </c>
      <c r="K107" s="6">
        <v>103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61</v>
      </c>
      <c r="R107" s="4">
        <v>491</v>
      </c>
      <c r="S107" s="4">
        <v>5</v>
      </c>
      <c r="T107" s="4">
        <v>0</v>
      </c>
      <c r="U107" s="4">
        <v>0</v>
      </c>
      <c r="V107" s="6">
        <f>IF(ISERROR(VLOOKUP($S$107,'TAR FIN'!$A$1:$O$85,15,0)),0,VLOOKUP($S$107,'TAR FIN'!$A$1:$O$85,15,0))</f>
        <v>11.13</v>
      </c>
      <c r="W107" s="6">
        <f>IF(ISERROR(VLOOKUP($T$107,'TAR FIN'!$A$1:$O$85,15,0)),0,VLOOKUP($T$107,'TAR FIN'!$A$1:$O$85,15,0))</f>
        <v>0</v>
      </c>
      <c r="X107" s="6">
        <f>IF(ISERROR(VLOOKUP($U$107,'TAR FIN'!$A$1:$O$85,15,0)),0,VLOOKUP($U$107,'TAR FIN'!$A$1:$O$85,15,0))</f>
        <v>0</v>
      </c>
      <c r="Y107" s="6">
        <f ca="1">('TUSD BE'!$AM$9+'TUSD BF'!$AM$9+'TUSD CVA'!$AM$9)*1</f>
        <v>11.800643871721787</v>
      </c>
      <c r="Z107" s="6"/>
      <c r="AA107" s="6"/>
      <c r="AB107" s="6">
        <f t="shared" si="8"/>
        <v>1146.3900000000001</v>
      </c>
      <c r="AC107" s="6">
        <f t="shared" si="12"/>
        <v>0</v>
      </c>
      <c r="AD107" s="6">
        <f t="shared" ca="1" si="10"/>
        <v>1215.4663187873441</v>
      </c>
      <c r="AE107" s="6">
        <f t="shared" si="13"/>
        <v>0</v>
      </c>
      <c r="AF107" s="4" t="s">
        <v>848</v>
      </c>
    </row>
    <row r="108" spans="1:32" ht="11.25" customHeight="1" x14ac:dyDescent="0.25">
      <c r="A108" s="4" t="s">
        <v>21</v>
      </c>
      <c r="B108" s="4" t="s">
        <v>39</v>
      </c>
      <c r="C108" s="4" t="s">
        <v>59</v>
      </c>
      <c r="D108" s="4" t="s">
        <v>25</v>
      </c>
      <c r="E108" s="4" t="s">
        <v>25</v>
      </c>
      <c r="F108" s="4" t="s">
        <v>25</v>
      </c>
      <c r="G108" s="4" t="s">
        <v>63</v>
      </c>
      <c r="H108" s="4" t="s">
        <v>25</v>
      </c>
      <c r="I108" s="5">
        <v>44621</v>
      </c>
      <c r="J108" s="6">
        <v>240</v>
      </c>
      <c r="K108" s="6">
        <v>120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61</v>
      </c>
      <c r="R108" s="4">
        <v>27182</v>
      </c>
      <c r="S108" s="4">
        <v>5</v>
      </c>
      <c r="T108" s="4">
        <v>0</v>
      </c>
      <c r="U108" s="4">
        <v>0</v>
      </c>
      <c r="V108" s="6">
        <f>IF(ISERROR(VLOOKUP($S$108,'TAR FIN'!$A$1:$O$85,15,0)),0,VLOOKUP($S$108,'TAR FIN'!$A$1:$O$85,15,0))</f>
        <v>11.13</v>
      </c>
      <c r="W108" s="6">
        <f>IF(ISERROR(VLOOKUP($T$108,'TAR FIN'!$A$1:$O$85,15,0)),0,VLOOKUP($T$108,'TAR FIN'!$A$1:$O$85,15,0))</f>
        <v>0</v>
      </c>
      <c r="X108" s="6">
        <f>IF(ISERROR(VLOOKUP($U$108,'TAR FIN'!$A$1:$O$85,15,0)),0,VLOOKUP($U$108,'TAR FIN'!$A$1:$O$85,15,0))</f>
        <v>0</v>
      </c>
      <c r="Y108" s="6">
        <f ca="1">('TUSD BE'!$AM$9+'TUSD BF'!$AM$9+'TUSD CVA'!$AM$9)*1</f>
        <v>11.800643871721787</v>
      </c>
      <c r="Z108" s="6"/>
      <c r="AA108" s="6"/>
      <c r="AB108" s="6">
        <f t="shared" si="8"/>
        <v>1335.6000000000001</v>
      </c>
      <c r="AC108" s="6">
        <f t="shared" si="12"/>
        <v>0</v>
      </c>
      <c r="AD108" s="6">
        <f t="shared" ca="1" si="10"/>
        <v>1416.0772646066146</v>
      </c>
      <c r="AE108" s="6">
        <f t="shared" si="13"/>
        <v>0</v>
      </c>
      <c r="AF108" s="4" t="s">
        <v>848</v>
      </c>
    </row>
    <row r="109" spans="1:32" ht="11.25" customHeight="1" x14ac:dyDescent="0.25">
      <c r="A109" s="4" t="s">
        <v>21</v>
      </c>
      <c r="B109" s="4" t="s">
        <v>39</v>
      </c>
      <c r="C109" s="4" t="s">
        <v>59</v>
      </c>
      <c r="D109" s="4" t="s">
        <v>25</v>
      </c>
      <c r="E109" s="4" t="s">
        <v>25</v>
      </c>
      <c r="F109" s="4" t="s">
        <v>25</v>
      </c>
      <c r="G109" s="4" t="s">
        <v>60</v>
      </c>
      <c r="H109" s="4" t="s">
        <v>25</v>
      </c>
      <c r="I109" s="5">
        <v>44652</v>
      </c>
      <c r="J109" s="6">
        <v>900</v>
      </c>
      <c r="K109" s="6">
        <v>450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61</v>
      </c>
      <c r="S109" s="4">
        <v>5</v>
      </c>
      <c r="T109" s="4">
        <v>0</v>
      </c>
      <c r="U109" s="4">
        <v>0</v>
      </c>
      <c r="V109" s="6">
        <f>IF(ISERROR(VLOOKUP($S$109,'TAR FIN'!$A$1:$O$85,15,0)),0,VLOOKUP($S$109,'TAR FIN'!$A$1:$O$85,15,0))</f>
        <v>11.13</v>
      </c>
      <c r="W109" s="6">
        <f>IF(ISERROR(VLOOKUP($T$109,'TAR FIN'!$A$1:$O$85,15,0)),0,VLOOKUP($T$109,'TAR FIN'!$A$1:$O$85,15,0))</f>
        <v>0</v>
      </c>
      <c r="X109" s="6">
        <f>IF(ISERROR(VLOOKUP($U$109,'TAR FIN'!$A$1:$O$85,15,0)),0,VLOOKUP($U$109,'TAR FIN'!$A$1:$O$85,15,0))</f>
        <v>0</v>
      </c>
      <c r="Y109" s="6">
        <f ca="1">('TUSD BE'!$AM$9+'TUSD BF'!$AM$9+'TUSD CVA'!$AM$9)*1</f>
        <v>11.800643871721787</v>
      </c>
      <c r="Z109" s="6"/>
      <c r="AA109" s="6"/>
      <c r="AB109" s="6">
        <f t="shared" si="8"/>
        <v>5008.5</v>
      </c>
      <c r="AC109" s="6">
        <f t="shared" si="12"/>
        <v>0</v>
      </c>
      <c r="AD109" s="6">
        <f t="shared" ca="1" si="10"/>
        <v>5310.2897422748047</v>
      </c>
      <c r="AE109" s="6">
        <f t="shared" si="13"/>
        <v>0</v>
      </c>
      <c r="AF109" s="4" t="s">
        <v>848</v>
      </c>
    </row>
    <row r="110" spans="1:32" ht="11.25" customHeight="1" x14ac:dyDescent="0.25">
      <c r="A110" s="4" t="s">
        <v>21</v>
      </c>
      <c r="B110" s="4" t="s">
        <v>39</v>
      </c>
      <c r="C110" s="4" t="s">
        <v>59</v>
      </c>
      <c r="D110" s="4" t="s">
        <v>25</v>
      </c>
      <c r="E110" s="4" t="s">
        <v>25</v>
      </c>
      <c r="F110" s="4" t="s">
        <v>25</v>
      </c>
      <c r="G110" s="4" t="s">
        <v>62</v>
      </c>
      <c r="H110" s="4" t="s">
        <v>25</v>
      </c>
      <c r="I110" s="5">
        <v>44652</v>
      </c>
      <c r="J110" s="6">
        <v>206</v>
      </c>
      <c r="K110" s="6">
        <v>103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61</v>
      </c>
      <c r="R110" s="4">
        <v>491</v>
      </c>
      <c r="S110" s="4">
        <v>5</v>
      </c>
      <c r="T110" s="4">
        <v>0</v>
      </c>
      <c r="U110" s="4">
        <v>0</v>
      </c>
      <c r="V110" s="6">
        <f>IF(ISERROR(VLOOKUP($S$110,'TAR FIN'!$A$1:$O$85,15,0)),0,VLOOKUP($S$110,'TAR FIN'!$A$1:$O$85,15,0))</f>
        <v>11.13</v>
      </c>
      <c r="W110" s="6">
        <f>IF(ISERROR(VLOOKUP($T$110,'TAR FIN'!$A$1:$O$85,15,0)),0,VLOOKUP($T$110,'TAR FIN'!$A$1:$O$85,15,0))</f>
        <v>0</v>
      </c>
      <c r="X110" s="6">
        <f>IF(ISERROR(VLOOKUP($U$110,'TAR FIN'!$A$1:$O$85,15,0)),0,VLOOKUP($U$110,'TAR FIN'!$A$1:$O$85,15,0))</f>
        <v>0</v>
      </c>
      <c r="Y110" s="6">
        <f ca="1">('TUSD BE'!$AM$9+'TUSD BF'!$AM$9+'TUSD CVA'!$AM$9)*1</f>
        <v>11.800643871721787</v>
      </c>
      <c r="Z110" s="6"/>
      <c r="AA110" s="6"/>
      <c r="AB110" s="6">
        <f t="shared" si="8"/>
        <v>1146.3900000000001</v>
      </c>
      <c r="AC110" s="6">
        <f t="shared" si="12"/>
        <v>0</v>
      </c>
      <c r="AD110" s="6">
        <f t="shared" ca="1" si="10"/>
        <v>1215.4663187873441</v>
      </c>
      <c r="AE110" s="6">
        <f t="shared" si="13"/>
        <v>0</v>
      </c>
      <c r="AF110" s="4" t="s">
        <v>848</v>
      </c>
    </row>
    <row r="111" spans="1:32" ht="11.25" customHeight="1" x14ac:dyDescent="0.25">
      <c r="A111" s="4" t="s">
        <v>21</v>
      </c>
      <c r="B111" s="4" t="s">
        <v>39</v>
      </c>
      <c r="C111" s="4" t="s">
        <v>59</v>
      </c>
      <c r="D111" s="4" t="s">
        <v>25</v>
      </c>
      <c r="E111" s="4" t="s">
        <v>25</v>
      </c>
      <c r="F111" s="4" t="s">
        <v>25</v>
      </c>
      <c r="G111" s="4" t="s">
        <v>63</v>
      </c>
      <c r="H111" s="4" t="s">
        <v>25</v>
      </c>
      <c r="I111" s="5">
        <v>44652</v>
      </c>
      <c r="J111" s="6">
        <v>240</v>
      </c>
      <c r="K111" s="6">
        <v>120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61</v>
      </c>
      <c r="R111" s="4">
        <v>27182</v>
      </c>
      <c r="S111" s="4">
        <v>5</v>
      </c>
      <c r="T111" s="4">
        <v>0</v>
      </c>
      <c r="U111" s="4">
        <v>0</v>
      </c>
      <c r="V111" s="6">
        <f>IF(ISERROR(VLOOKUP($S$111,'TAR FIN'!$A$1:$O$85,15,0)),0,VLOOKUP($S$111,'TAR FIN'!$A$1:$O$85,15,0))</f>
        <v>11.13</v>
      </c>
      <c r="W111" s="6">
        <f>IF(ISERROR(VLOOKUP($T$111,'TAR FIN'!$A$1:$O$85,15,0)),0,VLOOKUP($T$111,'TAR FIN'!$A$1:$O$85,15,0))</f>
        <v>0</v>
      </c>
      <c r="X111" s="6">
        <f>IF(ISERROR(VLOOKUP($U$111,'TAR FIN'!$A$1:$O$85,15,0)),0,VLOOKUP($U$111,'TAR FIN'!$A$1:$O$85,15,0))</f>
        <v>0</v>
      </c>
      <c r="Y111" s="6">
        <f ca="1">('TUSD BE'!$AM$9+'TUSD BF'!$AM$9+'TUSD CVA'!$AM$9)*1</f>
        <v>11.800643871721787</v>
      </c>
      <c r="Z111" s="6"/>
      <c r="AA111" s="6"/>
      <c r="AB111" s="6">
        <f t="shared" si="8"/>
        <v>1335.6000000000001</v>
      </c>
      <c r="AC111" s="6">
        <f t="shared" si="12"/>
        <v>0</v>
      </c>
      <c r="AD111" s="6">
        <f t="shared" ca="1" si="10"/>
        <v>1416.0772646066146</v>
      </c>
      <c r="AE111" s="6">
        <f t="shared" si="13"/>
        <v>0</v>
      </c>
      <c r="AF111" s="4" t="s">
        <v>848</v>
      </c>
    </row>
    <row r="112" spans="1:32" ht="11.25" customHeight="1" x14ac:dyDescent="0.25">
      <c r="A112" s="4" t="s">
        <v>21</v>
      </c>
      <c r="B112" s="4" t="s">
        <v>39</v>
      </c>
      <c r="C112" s="4" t="s">
        <v>59</v>
      </c>
      <c r="D112" s="4" t="s">
        <v>25</v>
      </c>
      <c r="E112" s="4" t="s">
        <v>25</v>
      </c>
      <c r="F112" s="4" t="s">
        <v>25</v>
      </c>
      <c r="G112" s="4" t="s">
        <v>60</v>
      </c>
      <c r="H112" s="4" t="s">
        <v>25</v>
      </c>
      <c r="I112" s="5">
        <v>44682</v>
      </c>
      <c r="J112" s="6">
        <v>900</v>
      </c>
      <c r="K112" s="6">
        <v>450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61</v>
      </c>
      <c r="S112" s="4">
        <v>5</v>
      </c>
      <c r="T112" s="4">
        <v>0</v>
      </c>
      <c r="U112" s="4">
        <v>0</v>
      </c>
      <c r="V112" s="6">
        <f>IF(ISERROR(VLOOKUP($S$112,'TAR FIN'!$A$1:$O$85,15,0)),0,VLOOKUP($S$112,'TAR FIN'!$A$1:$O$85,15,0))</f>
        <v>11.13</v>
      </c>
      <c r="W112" s="6">
        <f>IF(ISERROR(VLOOKUP($T$112,'TAR FIN'!$A$1:$O$85,15,0)),0,VLOOKUP($T$112,'TAR FIN'!$A$1:$O$85,15,0))</f>
        <v>0</v>
      </c>
      <c r="X112" s="6">
        <f>IF(ISERROR(VLOOKUP($U$112,'TAR FIN'!$A$1:$O$85,15,0)),0,VLOOKUP($U$112,'TAR FIN'!$A$1:$O$85,15,0))</f>
        <v>0</v>
      </c>
      <c r="Y112" s="6">
        <f ca="1">('TUSD BE'!$AM$9+'TUSD BF'!$AM$9+'TUSD CVA'!$AM$9)*1</f>
        <v>11.800643871721787</v>
      </c>
      <c r="Z112" s="6"/>
      <c r="AA112" s="6"/>
      <c r="AB112" s="6">
        <f t="shared" si="8"/>
        <v>5008.5</v>
      </c>
      <c r="AC112" s="6">
        <f t="shared" si="12"/>
        <v>0</v>
      </c>
      <c r="AD112" s="6">
        <f t="shared" ca="1" si="10"/>
        <v>5310.2897422748047</v>
      </c>
      <c r="AE112" s="6">
        <f t="shared" si="13"/>
        <v>0</v>
      </c>
      <c r="AF112" s="4" t="s">
        <v>848</v>
      </c>
    </row>
    <row r="113" spans="1:32" ht="11.25" customHeight="1" x14ac:dyDescent="0.25">
      <c r="A113" s="4" t="s">
        <v>21</v>
      </c>
      <c r="B113" s="4" t="s">
        <v>39</v>
      </c>
      <c r="C113" s="4" t="s">
        <v>59</v>
      </c>
      <c r="D113" s="4" t="s">
        <v>25</v>
      </c>
      <c r="E113" s="4" t="s">
        <v>25</v>
      </c>
      <c r="F113" s="4" t="s">
        <v>25</v>
      </c>
      <c r="G113" s="4" t="s">
        <v>62</v>
      </c>
      <c r="H113" s="4" t="s">
        <v>25</v>
      </c>
      <c r="I113" s="5">
        <v>44682</v>
      </c>
      <c r="J113" s="6">
        <v>206</v>
      </c>
      <c r="K113" s="6">
        <v>103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61</v>
      </c>
      <c r="R113" s="4">
        <v>491</v>
      </c>
      <c r="S113" s="4">
        <v>5</v>
      </c>
      <c r="T113" s="4">
        <v>0</v>
      </c>
      <c r="U113" s="4">
        <v>0</v>
      </c>
      <c r="V113" s="6">
        <f>IF(ISERROR(VLOOKUP($S$113,'TAR FIN'!$A$1:$O$85,15,0)),0,VLOOKUP($S$113,'TAR FIN'!$A$1:$O$85,15,0))</f>
        <v>11.13</v>
      </c>
      <c r="W113" s="6">
        <f>IF(ISERROR(VLOOKUP($T$113,'TAR FIN'!$A$1:$O$85,15,0)),0,VLOOKUP($T$113,'TAR FIN'!$A$1:$O$85,15,0))</f>
        <v>0</v>
      </c>
      <c r="X113" s="6">
        <f>IF(ISERROR(VLOOKUP($U$113,'TAR FIN'!$A$1:$O$85,15,0)),0,VLOOKUP($U$113,'TAR FIN'!$A$1:$O$85,15,0))</f>
        <v>0</v>
      </c>
      <c r="Y113" s="6">
        <f ca="1">('TUSD BE'!$AM$9+'TUSD BF'!$AM$9+'TUSD CVA'!$AM$9)*1</f>
        <v>11.800643871721787</v>
      </c>
      <c r="Z113" s="6"/>
      <c r="AA113" s="6"/>
      <c r="AB113" s="6">
        <f t="shared" si="8"/>
        <v>1146.3900000000001</v>
      </c>
      <c r="AC113" s="6">
        <f t="shared" si="12"/>
        <v>0</v>
      </c>
      <c r="AD113" s="6">
        <f t="shared" ca="1" si="10"/>
        <v>1215.4663187873441</v>
      </c>
      <c r="AE113" s="6">
        <f t="shared" si="13"/>
        <v>0</v>
      </c>
      <c r="AF113" s="4" t="s">
        <v>848</v>
      </c>
    </row>
    <row r="114" spans="1:32" ht="11.25" customHeight="1" x14ac:dyDescent="0.25">
      <c r="A114" s="4" t="s">
        <v>21</v>
      </c>
      <c r="B114" s="4" t="s">
        <v>39</v>
      </c>
      <c r="C114" s="4" t="s">
        <v>59</v>
      </c>
      <c r="D114" s="4" t="s">
        <v>25</v>
      </c>
      <c r="E114" s="4" t="s">
        <v>25</v>
      </c>
      <c r="F114" s="4" t="s">
        <v>25</v>
      </c>
      <c r="G114" s="4" t="s">
        <v>63</v>
      </c>
      <c r="H114" s="4" t="s">
        <v>25</v>
      </c>
      <c r="I114" s="5">
        <v>44682</v>
      </c>
      <c r="J114" s="6">
        <v>240</v>
      </c>
      <c r="K114" s="6">
        <v>120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61</v>
      </c>
      <c r="R114" s="4">
        <v>27182</v>
      </c>
      <c r="S114" s="4">
        <v>5</v>
      </c>
      <c r="T114" s="4">
        <v>0</v>
      </c>
      <c r="U114" s="4">
        <v>0</v>
      </c>
      <c r="V114" s="6">
        <f>IF(ISERROR(VLOOKUP($S$114,'TAR FIN'!$A$1:$O$85,15,0)),0,VLOOKUP($S$114,'TAR FIN'!$A$1:$O$85,15,0))</f>
        <v>11.13</v>
      </c>
      <c r="W114" s="6">
        <f>IF(ISERROR(VLOOKUP($T$114,'TAR FIN'!$A$1:$O$85,15,0)),0,VLOOKUP($T$114,'TAR FIN'!$A$1:$O$85,15,0))</f>
        <v>0</v>
      </c>
      <c r="X114" s="6">
        <f>IF(ISERROR(VLOOKUP($U$114,'TAR FIN'!$A$1:$O$85,15,0)),0,VLOOKUP($U$114,'TAR FIN'!$A$1:$O$85,15,0))</f>
        <v>0</v>
      </c>
      <c r="Y114" s="6">
        <f ca="1">('TUSD BE'!$AM$9+'TUSD BF'!$AM$9+'TUSD CVA'!$AM$9)*1</f>
        <v>11.800643871721787</v>
      </c>
      <c r="Z114" s="6"/>
      <c r="AA114" s="6"/>
      <c r="AB114" s="6">
        <f t="shared" si="8"/>
        <v>1335.6000000000001</v>
      </c>
      <c r="AC114" s="6">
        <f t="shared" si="12"/>
        <v>0</v>
      </c>
      <c r="AD114" s="6">
        <f t="shared" ca="1" si="10"/>
        <v>1416.0772646066146</v>
      </c>
      <c r="AE114" s="6">
        <f t="shared" si="13"/>
        <v>0</v>
      </c>
      <c r="AF114" s="4" t="s">
        <v>848</v>
      </c>
    </row>
    <row r="115" spans="1:32" ht="11.25" customHeight="1" x14ac:dyDescent="0.25">
      <c r="A115" s="4" t="s">
        <v>21</v>
      </c>
      <c r="B115" s="4" t="s">
        <v>39</v>
      </c>
      <c r="C115" s="4" t="s">
        <v>59</v>
      </c>
      <c r="D115" s="4" t="s">
        <v>25</v>
      </c>
      <c r="E115" s="4" t="s">
        <v>25</v>
      </c>
      <c r="F115" s="4" t="s">
        <v>25</v>
      </c>
      <c r="G115" s="4" t="s">
        <v>60</v>
      </c>
      <c r="H115" s="4" t="s">
        <v>25</v>
      </c>
      <c r="I115" s="5">
        <v>44713</v>
      </c>
      <c r="J115" s="6">
        <v>900</v>
      </c>
      <c r="K115" s="6">
        <v>450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61</v>
      </c>
      <c r="S115" s="4">
        <v>5</v>
      </c>
      <c r="T115" s="4">
        <v>0</v>
      </c>
      <c r="U115" s="4">
        <v>0</v>
      </c>
      <c r="V115" s="6">
        <f>IF(ISERROR(VLOOKUP($S$115,'TAR FIN'!$A$1:$O$85,15,0)),0,VLOOKUP($S$115,'TAR FIN'!$A$1:$O$85,15,0))</f>
        <v>11.13</v>
      </c>
      <c r="W115" s="6">
        <f>IF(ISERROR(VLOOKUP($T$115,'TAR FIN'!$A$1:$O$85,15,0)),0,VLOOKUP($T$115,'TAR FIN'!$A$1:$O$85,15,0))</f>
        <v>0</v>
      </c>
      <c r="X115" s="6">
        <f>IF(ISERROR(VLOOKUP($U$115,'TAR FIN'!$A$1:$O$85,15,0)),0,VLOOKUP($U$115,'TAR FIN'!$A$1:$O$85,15,0))</f>
        <v>0</v>
      </c>
      <c r="Y115" s="6">
        <f ca="1">('TUSD BE'!$AM$9+'TUSD BF'!$AM$9+'TUSD CVA'!$AM$9)*1</f>
        <v>11.800643871721787</v>
      </c>
      <c r="Z115" s="6"/>
      <c r="AA115" s="6"/>
      <c r="AB115" s="6">
        <f t="shared" si="8"/>
        <v>5008.5</v>
      </c>
      <c r="AC115" s="6">
        <f t="shared" si="12"/>
        <v>0</v>
      </c>
      <c r="AD115" s="6">
        <f t="shared" ca="1" si="10"/>
        <v>5310.2897422748047</v>
      </c>
      <c r="AE115" s="6">
        <f t="shared" si="13"/>
        <v>0</v>
      </c>
      <c r="AF115" s="4" t="s">
        <v>848</v>
      </c>
    </row>
    <row r="116" spans="1:32" ht="11.25" customHeight="1" x14ac:dyDescent="0.25">
      <c r="A116" s="4" t="s">
        <v>21</v>
      </c>
      <c r="B116" s="4" t="s">
        <v>39</v>
      </c>
      <c r="C116" s="4" t="s">
        <v>59</v>
      </c>
      <c r="D116" s="4" t="s">
        <v>25</v>
      </c>
      <c r="E116" s="4" t="s">
        <v>25</v>
      </c>
      <c r="F116" s="4" t="s">
        <v>25</v>
      </c>
      <c r="G116" s="4" t="s">
        <v>62</v>
      </c>
      <c r="H116" s="4" t="s">
        <v>25</v>
      </c>
      <c r="I116" s="5">
        <v>44713</v>
      </c>
      <c r="J116" s="6">
        <v>206</v>
      </c>
      <c r="K116" s="6">
        <v>103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61</v>
      </c>
      <c r="R116" s="4">
        <v>491</v>
      </c>
      <c r="S116" s="4">
        <v>5</v>
      </c>
      <c r="T116" s="4">
        <v>0</v>
      </c>
      <c r="U116" s="4">
        <v>0</v>
      </c>
      <c r="V116" s="6">
        <f>IF(ISERROR(VLOOKUP($S$116,'TAR FIN'!$A$1:$O$85,15,0)),0,VLOOKUP($S$116,'TAR FIN'!$A$1:$O$85,15,0))</f>
        <v>11.13</v>
      </c>
      <c r="W116" s="6">
        <f>IF(ISERROR(VLOOKUP($T$116,'TAR FIN'!$A$1:$O$85,15,0)),0,VLOOKUP($T$116,'TAR FIN'!$A$1:$O$85,15,0))</f>
        <v>0</v>
      </c>
      <c r="X116" s="6">
        <f>IF(ISERROR(VLOOKUP($U$116,'TAR FIN'!$A$1:$O$85,15,0)),0,VLOOKUP($U$116,'TAR FIN'!$A$1:$O$85,15,0))</f>
        <v>0</v>
      </c>
      <c r="Y116" s="6">
        <f ca="1">('TUSD BE'!$AM$9+'TUSD BF'!$AM$9+'TUSD CVA'!$AM$9)*1</f>
        <v>11.800643871721787</v>
      </c>
      <c r="Z116" s="6"/>
      <c r="AA116" s="6"/>
      <c r="AB116" s="6">
        <f t="shared" si="8"/>
        <v>1146.3900000000001</v>
      </c>
      <c r="AC116" s="6">
        <f t="shared" si="12"/>
        <v>0</v>
      </c>
      <c r="AD116" s="6">
        <f t="shared" ca="1" si="10"/>
        <v>1215.4663187873441</v>
      </c>
      <c r="AE116" s="6">
        <f t="shared" si="13"/>
        <v>0</v>
      </c>
      <c r="AF116" s="4" t="s">
        <v>848</v>
      </c>
    </row>
    <row r="117" spans="1:32" ht="11.25" customHeight="1" x14ac:dyDescent="0.25">
      <c r="A117" s="4" t="s">
        <v>21</v>
      </c>
      <c r="B117" s="4" t="s">
        <v>39</v>
      </c>
      <c r="C117" s="4" t="s">
        <v>59</v>
      </c>
      <c r="D117" s="4" t="s">
        <v>25</v>
      </c>
      <c r="E117" s="4" t="s">
        <v>25</v>
      </c>
      <c r="F117" s="4" t="s">
        <v>25</v>
      </c>
      <c r="G117" s="4" t="s">
        <v>63</v>
      </c>
      <c r="H117" s="4" t="s">
        <v>25</v>
      </c>
      <c r="I117" s="5">
        <v>44713</v>
      </c>
      <c r="J117" s="6">
        <v>240</v>
      </c>
      <c r="K117" s="6">
        <v>120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61</v>
      </c>
      <c r="R117" s="4">
        <v>27182</v>
      </c>
      <c r="S117" s="4">
        <v>5</v>
      </c>
      <c r="T117" s="4">
        <v>0</v>
      </c>
      <c r="U117" s="4">
        <v>0</v>
      </c>
      <c r="V117" s="6">
        <f>IF(ISERROR(VLOOKUP($S$117,'TAR FIN'!$A$1:$O$85,15,0)),0,VLOOKUP($S$117,'TAR FIN'!$A$1:$O$85,15,0))</f>
        <v>11.13</v>
      </c>
      <c r="W117" s="6">
        <f>IF(ISERROR(VLOOKUP($T$117,'TAR FIN'!$A$1:$O$85,15,0)),0,VLOOKUP($T$117,'TAR FIN'!$A$1:$O$85,15,0))</f>
        <v>0</v>
      </c>
      <c r="X117" s="6">
        <f>IF(ISERROR(VLOOKUP($U$117,'TAR FIN'!$A$1:$O$85,15,0)),0,VLOOKUP($U$117,'TAR FIN'!$A$1:$O$85,15,0))</f>
        <v>0</v>
      </c>
      <c r="Y117" s="6">
        <f ca="1">('TUSD BE'!$AM$9+'TUSD BF'!$AM$9+'TUSD CVA'!$AM$9)*1</f>
        <v>11.800643871721787</v>
      </c>
      <c r="Z117" s="6"/>
      <c r="AA117" s="6"/>
      <c r="AB117" s="6">
        <f t="shared" si="8"/>
        <v>1335.6000000000001</v>
      </c>
      <c r="AC117" s="6">
        <f t="shared" si="12"/>
        <v>0</v>
      </c>
      <c r="AD117" s="6">
        <f t="shared" ca="1" si="10"/>
        <v>1416.0772646066146</v>
      </c>
      <c r="AE117" s="6">
        <f t="shared" si="13"/>
        <v>0</v>
      </c>
      <c r="AF117" s="4" t="s">
        <v>848</v>
      </c>
    </row>
    <row r="118" spans="1:32" ht="11.25" customHeight="1" x14ac:dyDescent="0.25">
      <c r="A118" s="4" t="s">
        <v>21</v>
      </c>
      <c r="B118" s="4" t="s">
        <v>39</v>
      </c>
      <c r="C118" s="4" t="s">
        <v>59</v>
      </c>
      <c r="D118" s="4" t="s">
        <v>25</v>
      </c>
      <c r="E118" s="4" t="s">
        <v>25</v>
      </c>
      <c r="F118" s="4" t="s">
        <v>25</v>
      </c>
      <c r="G118" s="4" t="s">
        <v>60</v>
      </c>
      <c r="H118" s="4" t="s">
        <v>25</v>
      </c>
      <c r="I118" s="5">
        <v>44743</v>
      </c>
      <c r="J118" s="6">
        <v>900</v>
      </c>
      <c r="K118" s="6">
        <v>450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61</v>
      </c>
      <c r="S118" s="4">
        <v>5</v>
      </c>
      <c r="T118" s="4">
        <v>0</v>
      </c>
      <c r="U118" s="4">
        <v>0</v>
      </c>
      <c r="V118" s="6">
        <f>IF(ISERROR(VLOOKUP($S$118,'TAR FIN'!$A$1:$O$85,15,0)),0,VLOOKUP($S$118,'TAR FIN'!$A$1:$O$85,15,0))</f>
        <v>11.13</v>
      </c>
      <c r="W118" s="6">
        <f>IF(ISERROR(VLOOKUP($T$118,'TAR FIN'!$A$1:$O$85,15,0)),0,VLOOKUP($T$118,'TAR FIN'!$A$1:$O$85,15,0))</f>
        <v>0</v>
      </c>
      <c r="X118" s="6">
        <f>IF(ISERROR(VLOOKUP($U$118,'TAR FIN'!$A$1:$O$85,15,0)),0,VLOOKUP($U$118,'TAR FIN'!$A$1:$O$85,15,0))</f>
        <v>0</v>
      </c>
      <c r="Y118" s="6">
        <f ca="1">('TUSD BE'!$AM$9+'TUSD BF'!$AM$9+'TUSD CVA'!$AM$9)*1</f>
        <v>11.800643871721787</v>
      </c>
      <c r="Z118" s="6"/>
      <c r="AA118" s="6"/>
      <c r="AB118" s="6">
        <f t="shared" si="8"/>
        <v>5008.5</v>
      </c>
      <c r="AC118" s="6">
        <f t="shared" si="12"/>
        <v>0</v>
      </c>
      <c r="AD118" s="6">
        <f t="shared" ca="1" si="10"/>
        <v>5310.2897422748047</v>
      </c>
      <c r="AE118" s="6">
        <f t="shared" si="13"/>
        <v>0</v>
      </c>
      <c r="AF118" s="4" t="s">
        <v>848</v>
      </c>
    </row>
    <row r="119" spans="1:32" ht="11.25" customHeight="1" x14ac:dyDescent="0.25">
      <c r="A119" s="4" t="s">
        <v>21</v>
      </c>
      <c r="B119" s="4" t="s">
        <v>39</v>
      </c>
      <c r="C119" s="4" t="s">
        <v>59</v>
      </c>
      <c r="D119" s="4" t="s">
        <v>25</v>
      </c>
      <c r="E119" s="4" t="s">
        <v>25</v>
      </c>
      <c r="F119" s="4" t="s">
        <v>25</v>
      </c>
      <c r="G119" s="4" t="s">
        <v>62</v>
      </c>
      <c r="H119" s="4" t="s">
        <v>25</v>
      </c>
      <c r="I119" s="5">
        <v>44743</v>
      </c>
      <c r="J119" s="6">
        <v>206</v>
      </c>
      <c r="K119" s="6">
        <v>103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61</v>
      </c>
      <c r="R119" s="4">
        <v>491</v>
      </c>
      <c r="S119" s="4">
        <v>5</v>
      </c>
      <c r="T119" s="4">
        <v>0</v>
      </c>
      <c r="U119" s="4">
        <v>0</v>
      </c>
      <c r="V119" s="6">
        <f>IF(ISERROR(VLOOKUP($S$119,'TAR FIN'!$A$1:$O$85,15,0)),0,VLOOKUP($S$119,'TAR FIN'!$A$1:$O$85,15,0))</f>
        <v>11.13</v>
      </c>
      <c r="W119" s="6">
        <f>IF(ISERROR(VLOOKUP($T$119,'TAR FIN'!$A$1:$O$85,15,0)),0,VLOOKUP($T$119,'TAR FIN'!$A$1:$O$85,15,0))</f>
        <v>0</v>
      </c>
      <c r="X119" s="6">
        <f>IF(ISERROR(VLOOKUP($U$119,'TAR FIN'!$A$1:$O$85,15,0)),0,VLOOKUP($U$119,'TAR FIN'!$A$1:$O$85,15,0))</f>
        <v>0</v>
      </c>
      <c r="Y119" s="6">
        <f ca="1">('TUSD BE'!$AM$9+'TUSD BF'!$AM$9+'TUSD CVA'!$AM$9)*1</f>
        <v>11.800643871721787</v>
      </c>
      <c r="Z119" s="6"/>
      <c r="AA119" s="6"/>
      <c r="AB119" s="6">
        <f t="shared" si="8"/>
        <v>1146.3900000000001</v>
      </c>
      <c r="AC119" s="6">
        <f t="shared" si="12"/>
        <v>0</v>
      </c>
      <c r="AD119" s="6">
        <f t="shared" ca="1" si="10"/>
        <v>1215.4663187873441</v>
      </c>
      <c r="AE119" s="6">
        <f t="shared" si="13"/>
        <v>0</v>
      </c>
      <c r="AF119" s="4" t="s">
        <v>848</v>
      </c>
    </row>
    <row r="120" spans="1:32" ht="11.25" customHeight="1" x14ac:dyDescent="0.25">
      <c r="A120" s="4" t="s">
        <v>21</v>
      </c>
      <c r="B120" s="4" t="s">
        <v>39</v>
      </c>
      <c r="C120" s="4" t="s">
        <v>59</v>
      </c>
      <c r="D120" s="4" t="s">
        <v>25</v>
      </c>
      <c r="E120" s="4" t="s">
        <v>25</v>
      </c>
      <c r="F120" s="4" t="s">
        <v>25</v>
      </c>
      <c r="G120" s="4" t="s">
        <v>63</v>
      </c>
      <c r="H120" s="4" t="s">
        <v>25</v>
      </c>
      <c r="I120" s="5">
        <v>44743</v>
      </c>
      <c r="J120" s="6">
        <v>240</v>
      </c>
      <c r="K120" s="6">
        <v>120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61</v>
      </c>
      <c r="R120" s="4">
        <v>27182</v>
      </c>
      <c r="S120" s="4">
        <v>5</v>
      </c>
      <c r="T120" s="4">
        <v>0</v>
      </c>
      <c r="U120" s="4">
        <v>0</v>
      </c>
      <c r="V120" s="6">
        <f>IF(ISERROR(VLOOKUP($S$120,'TAR FIN'!$A$1:$O$85,15,0)),0,VLOOKUP($S$120,'TAR FIN'!$A$1:$O$85,15,0))</f>
        <v>11.13</v>
      </c>
      <c r="W120" s="6">
        <f>IF(ISERROR(VLOOKUP($T$120,'TAR FIN'!$A$1:$O$85,15,0)),0,VLOOKUP($T$120,'TAR FIN'!$A$1:$O$85,15,0))</f>
        <v>0</v>
      </c>
      <c r="X120" s="6">
        <f>IF(ISERROR(VLOOKUP($U$120,'TAR FIN'!$A$1:$O$85,15,0)),0,VLOOKUP($U$120,'TAR FIN'!$A$1:$O$85,15,0))</f>
        <v>0</v>
      </c>
      <c r="Y120" s="6">
        <f ca="1">('TUSD BE'!$AM$9+'TUSD BF'!$AM$9+'TUSD CVA'!$AM$9)*1</f>
        <v>11.800643871721787</v>
      </c>
      <c r="Z120" s="6"/>
      <c r="AA120" s="6"/>
      <c r="AB120" s="6">
        <f t="shared" si="8"/>
        <v>1335.6000000000001</v>
      </c>
      <c r="AC120" s="6">
        <f t="shared" si="12"/>
        <v>0</v>
      </c>
      <c r="AD120" s="6">
        <f t="shared" ca="1" si="10"/>
        <v>1416.0772646066146</v>
      </c>
      <c r="AE120" s="6">
        <f t="shared" si="13"/>
        <v>0</v>
      </c>
      <c r="AF120" s="4" t="s">
        <v>848</v>
      </c>
    </row>
    <row r="121" spans="1:32" ht="11.25" customHeight="1" x14ac:dyDescent="0.25">
      <c r="A121" s="4" t="s">
        <v>56</v>
      </c>
      <c r="B121" s="4" t="s">
        <v>39</v>
      </c>
      <c r="C121" s="4" t="s">
        <v>59</v>
      </c>
      <c r="D121" s="4" t="s">
        <v>25</v>
      </c>
      <c r="E121" s="4" t="s">
        <v>25</v>
      </c>
      <c r="F121" s="4" t="s">
        <v>25</v>
      </c>
      <c r="G121" s="4" t="s">
        <v>60</v>
      </c>
      <c r="H121" s="4" t="s">
        <v>25</v>
      </c>
      <c r="I121" s="5">
        <v>44774</v>
      </c>
      <c r="J121" s="6">
        <v>900</v>
      </c>
      <c r="K121" s="6">
        <v>450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61</v>
      </c>
      <c r="S121" s="4">
        <v>5</v>
      </c>
      <c r="T121" s="4">
        <v>0</v>
      </c>
      <c r="U121" s="4">
        <v>0</v>
      </c>
      <c r="V121" s="6">
        <f>IF(ISERROR(VLOOKUP($S$121,'TAR FIN'!$A$1:$O$85,15,0)),0,VLOOKUP($S$121,'TAR FIN'!$A$1:$O$85,15,0))</f>
        <v>11.13</v>
      </c>
      <c r="W121" s="6">
        <f>IF(ISERROR(VLOOKUP($T$121,'TAR FIN'!$A$1:$O$85,15,0)),0,VLOOKUP($T$121,'TAR FIN'!$A$1:$O$85,15,0))</f>
        <v>0</v>
      </c>
      <c r="X121" s="6">
        <f>IF(ISERROR(VLOOKUP($U$121,'TAR FIN'!$A$1:$O$85,15,0)),0,VLOOKUP($U$121,'TAR FIN'!$A$1:$O$85,15,0))</f>
        <v>0</v>
      </c>
      <c r="Y121" s="6">
        <f ca="1">('TUSD BE'!$AM$9+'TUSD BF'!$AM$9+'TUSD CVA'!$AM$9)*1</f>
        <v>11.800643871721787</v>
      </c>
      <c r="Z121" s="6"/>
      <c r="AA121" s="6"/>
      <c r="AB121" s="6">
        <f t="shared" si="8"/>
        <v>5008.5</v>
      </c>
      <c r="AC121" s="6">
        <f t="shared" si="12"/>
        <v>0</v>
      </c>
      <c r="AD121" s="6">
        <f t="shared" ca="1" si="10"/>
        <v>5310.2897422748047</v>
      </c>
      <c r="AE121" s="6">
        <f t="shared" si="13"/>
        <v>0</v>
      </c>
      <c r="AF121" s="4" t="s">
        <v>848</v>
      </c>
    </row>
    <row r="122" spans="1:32" ht="11.25" customHeight="1" x14ac:dyDescent="0.25">
      <c r="A122" s="4" t="s">
        <v>56</v>
      </c>
      <c r="B122" s="4" t="s">
        <v>39</v>
      </c>
      <c r="C122" s="4" t="s">
        <v>59</v>
      </c>
      <c r="D122" s="4" t="s">
        <v>25</v>
      </c>
      <c r="E122" s="4" t="s">
        <v>25</v>
      </c>
      <c r="F122" s="4" t="s">
        <v>25</v>
      </c>
      <c r="G122" s="4" t="s">
        <v>62</v>
      </c>
      <c r="H122" s="4" t="s">
        <v>25</v>
      </c>
      <c r="I122" s="5">
        <v>44774</v>
      </c>
      <c r="J122" s="6">
        <v>206</v>
      </c>
      <c r="K122" s="6">
        <v>103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61</v>
      </c>
      <c r="R122" s="4">
        <v>491</v>
      </c>
      <c r="S122" s="4">
        <v>5</v>
      </c>
      <c r="T122" s="4">
        <v>0</v>
      </c>
      <c r="U122" s="4">
        <v>0</v>
      </c>
      <c r="V122" s="6">
        <f>IF(ISERROR(VLOOKUP($S$122,'TAR FIN'!$A$1:$O$85,15,0)),0,VLOOKUP($S$122,'TAR FIN'!$A$1:$O$85,15,0))</f>
        <v>11.13</v>
      </c>
      <c r="W122" s="6">
        <f>IF(ISERROR(VLOOKUP($T$122,'TAR FIN'!$A$1:$O$85,15,0)),0,VLOOKUP($T$122,'TAR FIN'!$A$1:$O$85,15,0))</f>
        <v>0</v>
      </c>
      <c r="X122" s="6">
        <f>IF(ISERROR(VLOOKUP($U$122,'TAR FIN'!$A$1:$O$85,15,0)),0,VLOOKUP($U$122,'TAR FIN'!$A$1:$O$85,15,0))</f>
        <v>0</v>
      </c>
      <c r="Y122" s="6">
        <f ca="1">('TUSD BE'!$AM$9+'TUSD BF'!$AM$9+'TUSD CVA'!$AM$9)*1</f>
        <v>11.800643871721787</v>
      </c>
      <c r="Z122" s="6"/>
      <c r="AA122" s="6"/>
      <c r="AB122" s="6">
        <f t="shared" si="8"/>
        <v>1146.3900000000001</v>
      </c>
      <c r="AC122" s="6">
        <f t="shared" si="12"/>
        <v>0</v>
      </c>
      <c r="AD122" s="6">
        <f t="shared" ca="1" si="10"/>
        <v>1215.4663187873441</v>
      </c>
      <c r="AE122" s="6">
        <f t="shared" si="13"/>
        <v>0</v>
      </c>
      <c r="AF122" s="4" t="s">
        <v>848</v>
      </c>
    </row>
    <row r="123" spans="1:32" ht="11.25" customHeight="1" x14ac:dyDescent="0.25">
      <c r="A123" s="4" t="s">
        <v>56</v>
      </c>
      <c r="B123" s="4" t="s">
        <v>39</v>
      </c>
      <c r="C123" s="4" t="s">
        <v>59</v>
      </c>
      <c r="D123" s="4" t="s">
        <v>25</v>
      </c>
      <c r="E123" s="4" t="s">
        <v>25</v>
      </c>
      <c r="F123" s="4" t="s">
        <v>25</v>
      </c>
      <c r="G123" s="4" t="s">
        <v>63</v>
      </c>
      <c r="H123" s="4" t="s">
        <v>25</v>
      </c>
      <c r="I123" s="5">
        <v>44774</v>
      </c>
      <c r="J123" s="6">
        <v>240</v>
      </c>
      <c r="K123" s="6">
        <v>120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61</v>
      </c>
      <c r="R123" s="4">
        <v>27182</v>
      </c>
      <c r="S123" s="4">
        <v>5</v>
      </c>
      <c r="T123" s="4">
        <v>0</v>
      </c>
      <c r="U123" s="4">
        <v>0</v>
      </c>
      <c r="V123" s="6">
        <f>IF(ISERROR(VLOOKUP($S$123,'TAR FIN'!$A$1:$O$85,15,0)),0,VLOOKUP($S$123,'TAR FIN'!$A$1:$O$85,15,0))</f>
        <v>11.13</v>
      </c>
      <c r="W123" s="6">
        <f>IF(ISERROR(VLOOKUP($T$123,'TAR FIN'!$A$1:$O$85,15,0)),0,VLOOKUP($T$123,'TAR FIN'!$A$1:$O$85,15,0))</f>
        <v>0</v>
      </c>
      <c r="X123" s="6">
        <f>IF(ISERROR(VLOOKUP($U$123,'TAR FIN'!$A$1:$O$85,15,0)),0,VLOOKUP($U$123,'TAR FIN'!$A$1:$O$85,15,0))</f>
        <v>0</v>
      </c>
      <c r="Y123" s="6">
        <f ca="1">('TUSD BE'!$AM$9+'TUSD BF'!$AM$9+'TUSD CVA'!$AM$9)*1</f>
        <v>11.800643871721787</v>
      </c>
      <c r="Z123" s="6"/>
      <c r="AA123" s="6"/>
      <c r="AB123" s="6">
        <f t="shared" si="8"/>
        <v>1335.6000000000001</v>
      </c>
      <c r="AC123" s="6">
        <f t="shared" si="12"/>
        <v>0</v>
      </c>
      <c r="AD123" s="6">
        <f t="shared" ca="1" si="10"/>
        <v>1416.0772646066146</v>
      </c>
      <c r="AE123" s="6">
        <f t="shared" si="13"/>
        <v>0</v>
      </c>
      <c r="AF123" s="4" t="s">
        <v>848</v>
      </c>
    </row>
    <row r="124" spans="1:32" ht="11.25" customHeight="1" x14ac:dyDescent="0.25">
      <c r="A124" s="4" t="s">
        <v>21</v>
      </c>
      <c r="B124" s="4" t="s">
        <v>39</v>
      </c>
      <c r="C124" s="4" t="s">
        <v>40</v>
      </c>
      <c r="D124" s="4" t="s">
        <v>38</v>
      </c>
      <c r="E124" s="4" t="s">
        <v>25</v>
      </c>
      <c r="F124" s="4" t="s">
        <v>57</v>
      </c>
      <c r="G124" s="4" t="s">
        <v>25</v>
      </c>
      <c r="H124" s="4" t="s">
        <v>35</v>
      </c>
      <c r="I124" s="5">
        <v>44440</v>
      </c>
      <c r="J124" s="6">
        <v>0</v>
      </c>
      <c r="K124" s="6">
        <v>0</v>
      </c>
      <c r="L124" s="6">
        <v>4917.8190000000004</v>
      </c>
      <c r="M124" s="6">
        <v>4917.8190000000004</v>
      </c>
      <c r="N124" s="6">
        <v>0</v>
      </c>
      <c r="O124" s="6">
        <v>0</v>
      </c>
      <c r="P124" s="6">
        <v>0</v>
      </c>
      <c r="Q124" s="4" t="s">
        <v>58</v>
      </c>
      <c r="R124" s="4">
        <v>0</v>
      </c>
      <c r="S124" s="4">
        <v>0</v>
      </c>
      <c r="T124" s="4">
        <v>8</v>
      </c>
      <c r="U124" s="4">
        <v>0</v>
      </c>
      <c r="V124" s="6">
        <f>IF(ISERROR(VLOOKUP($S$124,'TAR FIN'!$A$1:$O$85,15,0)),0,VLOOKUP($S$124,'TAR FIN'!$A$1:$O$85,15,0))</f>
        <v>0</v>
      </c>
      <c r="W124" s="6">
        <f>IF(ISERROR(VLOOKUP($T$124,'TAR FIN'!$A$1:$O$85,15,0)),0,VLOOKUP($T$124,'TAR FIN'!$A$1:$O$85,15,0))</f>
        <v>76.75</v>
      </c>
      <c r="X124" s="6">
        <f>IF(ISERROR(VLOOKUP($U$124,'TAR FIN'!$A$1:$O$85,15,0)),0,VLOOKUP($U$124,'TAR FIN'!$A$1:$O$85,15,0))</f>
        <v>0</v>
      </c>
      <c r="Y124" s="6"/>
      <c r="Z124" s="6">
        <f ca="1">('TUSD BE'!$AM$12+'TUSD BF'!$AM$12+'TUSD CVA'!$AM$12)*1</f>
        <v>147.99431148733765</v>
      </c>
      <c r="AA124" s="6"/>
      <c r="AB124" s="6">
        <f t="shared" si="8"/>
        <v>0</v>
      </c>
      <c r="AC124" s="6">
        <f t="shared" si="12"/>
        <v>0</v>
      </c>
      <c r="AD124" s="6">
        <f t="shared" si="10"/>
        <v>0</v>
      </c>
      <c r="AE124" s="6">
        <f t="shared" ca="1" si="13"/>
        <v>0</v>
      </c>
      <c r="AF124" s="4" t="s">
        <v>845</v>
      </c>
    </row>
    <row r="125" spans="1:32" ht="11.25" customHeight="1" x14ac:dyDescent="0.25">
      <c r="A125" s="4" t="s">
        <v>21</v>
      </c>
      <c r="B125" s="4" t="s">
        <v>39</v>
      </c>
      <c r="C125" s="4" t="s">
        <v>40</v>
      </c>
      <c r="D125" s="4" t="s">
        <v>38</v>
      </c>
      <c r="E125" s="4" t="s">
        <v>25</v>
      </c>
      <c r="F125" s="4" t="s">
        <v>57</v>
      </c>
      <c r="G125" s="4" t="s">
        <v>25</v>
      </c>
      <c r="H125" s="4" t="s">
        <v>35</v>
      </c>
      <c r="I125" s="5">
        <v>44470</v>
      </c>
      <c r="J125" s="6">
        <v>0</v>
      </c>
      <c r="K125" s="6">
        <v>0</v>
      </c>
      <c r="L125" s="6">
        <v>4294.4759999999997</v>
      </c>
      <c r="M125" s="6">
        <v>4294.4759999999997</v>
      </c>
      <c r="N125" s="6">
        <v>0</v>
      </c>
      <c r="O125" s="6">
        <v>0</v>
      </c>
      <c r="P125" s="6">
        <v>0</v>
      </c>
      <c r="Q125" s="4" t="s">
        <v>58</v>
      </c>
      <c r="R125" s="4">
        <v>0</v>
      </c>
      <c r="S125" s="4">
        <v>0</v>
      </c>
      <c r="T125" s="4">
        <v>8</v>
      </c>
      <c r="U125" s="4">
        <v>0</v>
      </c>
      <c r="V125" s="6">
        <f>IF(ISERROR(VLOOKUP($S$125,'TAR FIN'!$A$1:$O$85,15,0)),0,VLOOKUP($S$125,'TAR FIN'!$A$1:$O$85,15,0))</f>
        <v>0</v>
      </c>
      <c r="W125" s="6">
        <f>IF(ISERROR(VLOOKUP($T$125,'TAR FIN'!$A$1:$O$85,15,0)),0,VLOOKUP($T$125,'TAR FIN'!$A$1:$O$85,15,0))</f>
        <v>76.75</v>
      </c>
      <c r="X125" s="6">
        <f>IF(ISERROR(VLOOKUP($U$125,'TAR FIN'!$A$1:$O$85,15,0)),0,VLOOKUP($U$125,'TAR FIN'!$A$1:$O$85,15,0))</f>
        <v>0</v>
      </c>
      <c r="Y125" s="6"/>
      <c r="Z125" s="6">
        <f ca="1">('TUSD BE'!$AM$12+'TUSD BF'!$AM$12+'TUSD CVA'!$AM$12)*1</f>
        <v>147.99431148733765</v>
      </c>
      <c r="AA125" s="6"/>
      <c r="AB125" s="6">
        <f t="shared" si="8"/>
        <v>0</v>
      </c>
      <c r="AC125" s="6">
        <f t="shared" si="12"/>
        <v>0</v>
      </c>
      <c r="AD125" s="6">
        <f t="shared" si="10"/>
        <v>0</v>
      </c>
      <c r="AE125" s="6">
        <f t="shared" ca="1" si="13"/>
        <v>0</v>
      </c>
      <c r="AF125" s="4" t="s">
        <v>845</v>
      </c>
    </row>
    <row r="126" spans="1:32" ht="11.25" customHeight="1" x14ac:dyDescent="0.25">
      <c r="A126" s="4" t="s">
        <v>21</v>
      </c>
      <c r="B126" s="4" t="s">
        <v>39</v>
      </c>
      <c r="C126" s="4" t="s">
        <v>40</v>
      </c>
      <c r="D126" s="4" t="s">
        <v>38</v>
      </c>
      <c r="E126" s="4" t="s">
        <v>25</v>
      </c>
      <c r="F126" s="4" t="s">
        <v>57</v>
      </c>
      <c r="G126" s="4" t="s">
        <v>25</v>
      </c>
      <c r="H126" s="4" t="s">
        <v>35</v>
      </c>
      <c r="I126" s="5">
        <v>44501</v>
      </c>
      <c r="J126" s="6">
        <v>0</v>
      </c>
      <c r="K126" s="6">
        <v>0</v>
      </c>
      <c r="L126" s="6">
        <v>5014.2629999999999</v>
      </c>
      <c r="M126" s="6">
        <v>5014.2629999999999</v>
      </c>
      <c r="N126" s="6">
        <v>0</v>
      </c>
      <c r="O126" s="6">
        <v>0</v>
      </c>
      <c r="P126" s="6">
        <v>0</v>
      </c>
      <c r="Q126" s="4" t="s">
        <v>58</v>
      </c>
      <c r="R126" s="4">
        <v>0</v>
      </c>
      <c r="S126" s="4">
        <v>0</v>
      </c>
      <c r="T126" s="4">
        <v>8</v>
      </c>
      <c r="U126" s="4">
        <v>0</v>
      </c>
      <c r="V126" s="6">
        <f>IF(ISERROR(VLOOKUP($S$126,'TAR FIN'!$A$1:$O$85,15,0)),0,VLOOKUP($S$126,'TAR FIN'!$A$1:$O$85,15,0))</f>
        <v>0</v>
      </c>
      <c r="W126" s="6">
        <f>IF(ISERROR(VLOOKUP($T$126,'TAR FIN'!$A$1:$O$85,15,0)),0,VLOOKUP($T$126,'TAR FIN'!$A$1:$O$85,15,0))</f>
        <v>76.75</v>
      </c>
      <c r="X126" s="6">
        <f>IF(ISERROR(VLOOKUP($U$126,'TAR FIN'!$A$1:$O$85,15,0)),0,VLOOKUP($U$126,'TAR FIN'!$A$1:$O$85,15,0))</f>
        <v>0</v>
      </c>
      <c r="Y126" s="6"/>
      <c r="Z126" s="6">
        <f ca="1">('TUSD BE'!$AM$12+'TUSD BF'!$AM$12+'TUSD CVA'!$AM$12)*1</f>
        <v>147.99431148733765</v>
      </c>
      <c r="AA126" s="6"/>
      <c r="AB126" s="6">
        <f t="shared" si="8"/>
        <v>0</v>
      </c>
      <c r="AC126" s="6">
        <f t="shared" si="12"/>
        <v>0</v>
      </c>
      <c r="AD126" s="6">
        <f t="shared" si="10"/>
        <v>0</v>
      </c>
      <c r="AE126" s="6">
        <f t="shared" ca="1" si="13"/>
        <v>0</v>
      </c>
      <c r="AF126" s="4" t="s">
        <v>845</v>
      </c>
    </row>
    <row r="127" spans="1:32" ht="11.25" customHeight="1" x14ac:dyDescent="0.25">
      <c r="A127" s="4" t="s">
        <v>21</v>
      </c>
      <c r="B127" s="4" t="s">
        <v>39</v>
      </c>
      <c r="C127" s="4" t="s">
        <v>40</v>
      </c>
      <c r="D127" s="4" t="s">
        <v>38</v>
      </c>
      <c r="E127" s="4" t="s">
        <v>25</v>
      </c>
      <c r="F127" s="4" t="s">
        <v>57</v>
      </c>
      <c r="G127" s="4" t="s">
        <v>25</v>
      </c>
      <c r="H127" s="4" t="s">
        <v>35</v>
      </c>
      <c r="I127" s="5">
        <v>44531</v>
      </c>
      <c r="J127" s="6">
        <v>0</v>
      </c>
      <c r="K127" s="6">
        <v>0</v>
      </c>
      <c r="L127" s="6">
        <v>4730.07</v>
      </c>
      <c r="M127" s="6">
        <v>4730.07</v>
      </c>
      <c r="N127" s="6">
        <v>0</v>
      </c>
      <c r="O127" s="6">
        <v>0</v>
      </c>
      <c r="P127" s="6">
        <v>0</v>
      </c>
      <c r="Q127" s="4" t="s">
        <v>58</v>
      </c>
      <c r="R127" s="4">
        <v>0</v>
      </c>
      <c r="S127" s="4">
        <v>0</v>
      </c>
      <c r="T127" s="4">
        <v>8</v>
      </c>
      <c r="U127" s="4">
        <v>0</v>
      </c>
      <c r="V127" s="6">
        <f>IF(ISERROR(VLOOKUP($S$127,'TAR FIN'!$A$1:$O$85,15,0)),0,VLOOKUP($S$127,'TAR FIN'!$A$1:$O$85,15,0))</f>
        <v>0</v>
      </c>
      <c r="W127" s="6">
        <f>IF(ISERROR(VLOOKUP($T$127,'TAR FIN'!$A$1:$O$85,15,0)),0,VLOOKUP($T$127,'TAR FIN'!$A$1:$O$85,15,0))</f>
        <v>76.75</v>
      </c>
      <c r="X127" s="6">
        <f>IF(ISERROR(VLOOKUP($U$127,'TAR FIN'!$A$1:$O$85,15,0)),0,VLOOKUP($U$127,'TAR FIN'!$A$1:$O$85,15,0))</f>
        <v>0</v>
      </c>
      <c r="Y127" s="6"/>
      <c r="Z127" s="6">
        <f ca="1">('TUSD BE'!$AM$12+'TUSD BF'!$AM$12+'TUSD CVA'!$AM$12)*1</f>
        <v>147.99431148733765</v>
      </c>
      <c r="AA127" s="6"/>
      <c r="AB127" s="6">
        <f t="shared" si="8"/>
        <v>0</v>
      </c>
      <c r="AC127" s="6">
        <f t="shared" si="12"/>
        <v>0</v>
      </c>
      <c r="AD127" s="6">
        <f t="shared" si="10"/>
        <v>0</v>
      </c>
      <c r="AE127" s="6">
        <f t="shared" ca="1" si="13"/>
        <v>0</v>
      </c>
      <c r="AF127" s="4" t="s">
        <v>845</v>
      </c>
    </row>
    <row r="128" spans="1:32" ht="11.25" customHeight="1" x14ac:dyDescent="0.25">
      <c r="A128" s="4" t="s">
        <v>21</v>
      </c>
      <c r="B128" s="4" t="s">
        <v>39</v>
      </c>
      <c r="C128" s="4" t="s">
        <v>40</v>
      </c>
      <c r="D128" s="4" t="s">
        <v>38</v>
      </c>
      <c r="E128" s="4" t="s">
        <v>25</v>
      </c>
      <c r="F128" s="4" t="s">
        <v>57</v>
      </c>
      <c r="G128" s="4" t="s">
        <v>25</v>
      </c>
      <c r="H128" s="4" t="s">
        <v>35</v>
      </c>
      <c r="I128" s="5">
        <v>44562</v>
      </c>
      <c r="J128" s="6">
        <v>0</v>
      </c>
      <c r="K128" s="6">
        <v>0</v>
      </c>
      <c r="L128" s="6">
        <v>3935.3119999999999</v>
      </c>
      <c r="M128" s="6">
        <v>3935.3119999999999</v>
      </c>
      <c r="N128" s="6">
        <v>0</v>
      </c>
      <c r="O128" s="6">
        <v>0</v>
      </c>
      <c r="P128" s="6">
        <v>0</v>
      </c>
      <c r="Q128" s="4" t="s">
        <v>58</v>
      </c>
      <c r="R128" s="4">
        <v>0</v>
      </c>
      <c r="S128" s="4">
        <v>0</v>
      </c>
      <c r="T128" s="4">
        <v>8</v>
      </c>
      <c r="U128" s="4">
        <v>0</v>
      </c>
      <c r="V128" s="6">
        <f>IF(ISERROR(VLOOKUP($S$128,'TAR FIN'!$A$1:$O$85,15,0)),0,VLOOKUP($S$128,'TAR FIN'!$A$1:$O$85,15,0))</f>
        <v>0</v>
      </c>
      <c r="W128" s="6">
        <f>IF(ISERROR(VLOOKUP($T$128,'TAR FIN'!$A$1:$O$85,15,0)),0,VLOOKUP($T$128,'TAR FIN'!$A$1:$O$85,15,0))</f>
        <v>76.75</v>
      </c>
      <c r="X128" s="6">
        <f>IF(ISERROR(VLOOKUP($U$128,'TAR FIN'!$A$1:$O$85,15,0)),0,VLOOKUP($U$128,'TAR FIN'!$A$1:$O$85,15,0))</f>
        <v>0</v>
      </c>
      <c r="Y128" s="6"/>
      <c r="Z128" s="6">
        <f ca="1">('TUSD BE'!$AM$12+'TUSD BF'!$AM$12+'TUSD CVA'!$AM$12)*1</f>
        <v>147.99431148733765</v>
      </c>
      <c r="AA128" s="6"/>
      <c r="AB128" s="6">
        <f t="shared" si="8"/>
        <v>0</v>
      </c>
      <c r="AC128" s="6">
        <f t="shared" si="12"/>
        <v>0</v>
      </c>
      <c r="AD128" s="6">
        <f t="shared" si="10"/>
        <v>0</v>
      </c>
      <c r="AE128" s="6">
        <f t="shared" ca="1" si="13"/>
        <v>0</v>
      </c>
      <c r="AF128" s="4" t="s">
        <v>845</v>
      </c>
    </row>
    <row r="129" spans="1:32" ht="11.25" customHeight="1" x14ac:dyDescent="0.25">
      <c r="A129" s="4" t="s">
        <v>21</v>
      </c>
      <c r="B129" s="4" t="s">
        <v>39</v>
      </c>
      <c r="C129" s="4" t="s">
        <v>40</v>
      </c>
      <c r="D129" s="4" t="s">
        <v>38</v>
      </c>
      <c r="E129" s="4" t="s">
        <v>25</v>
      </c>
      <c r="F129" s="4" t="s">
        <v>57</v>
      </c>
      <c r="G129" s="4" t="s">
        <v>25</v>
      </c>
      <c r="H129" s="4" t="s">
        <v>35</v>
      </c>
      <c r="I129" s="5">
        <v>44593</v>
      </c>
      <c r="J129" s="6">
        <v>0</v>
      </c>
      <c r="K129" s="6">
        <v>0</v>
      </c>
      <c r="L129" s="6">
        <v>4947.4979999999996</v>
      </c>
      <c r="M129" s="6">
        <v>4947.4979999999996</v>
      </c>
      <c r="N129" s="6">
        <v>0</v>
      </c>
      <c r="O129" s="6">
        <v>0</v>
      </c>
      <c r="P129" s="6">
        <v>0</v>
      </c>
      <c r="Q129" s="4" t="s">
        <v>58</v>
      </c>
      <c r="R129" s="4">
        <v>0</v>
      </c>
      <c r="S129" s="4">
        <v>0</v>
      </c>
      <c r="T129" s="4">
        <v>8</v>
      </c>
      <c r="U129" s="4">
        <v>0</v>
      </c>
      <c r="V129" s="6">
        <f>IF(ISERROR(VLOOKUP($S$129,'TAR FIN'!$A$1:$O$85,15,0)),0,VLOOKUP($S$129,'TAR FIN'!$A$1:$O$85,15,0))</f>
        <v>0</v>
      </c>
      <c r="W129" s="6">
        <f>IF(ISERROR(VLOOKUP($T$129,'TAR FIN'!$A$1:$O$85,15,0)),0,VLOOKUP($T$129,'TAR FIN'!$A$1:$O$85,15,0))</f>
        <v>76.75</v>
      </c>
      <c r="X129" s="6">
        <f>IF(ISERROR(VLOOKUP($U$129,'TAR FIN'!$A$1:$O$85,15,0)),0,VLOOKUP($U$129,'TAR FIN'!$A$1:$O$85,15,0))</f>
        <v>0</v>
      </c>
      <c r="Y129" s="6"/>
      <c r="Z129" s="6">
        <f ca="1">('TUSD BE'!$AM$12+'TUSD BF'!$AM$12+'TUSD CVA'!$AM$12)*1</f>
        <v>147.99431148733765</v>
      </c>
      <c r="AA129" s="6"/>
      <c r="AB129" s="6">
        <f t="shared" si="8"/>
        <v>0</v>
      </c>
      <c r="AC129" s="6">
        <f t="shared" si="12"/>
        <v>0</v>
      </c>
      <c r="AD129" s="6">
        <f t="shared" si="10"/>
        <v>0</v>
      </c>
      <c r="AE129" s="6">
        <f t="shared" ca="1" si="13"/>
        <v>0</v>
      </c>
      <c r="AF129" s="4" t="s">
        <v>845</v>
      </c>
    </row>
    <row r="130" spans="1:32" ht="11.25" customHeight="1" x14ac:dyDescent="0.25">
      <c r="A130" s="4" t="s">
        <v>21</v>
      </c>
      <c r="B130" s="4" t="s">
        <v>39</v>
      </c>
      <c r="C130" s="4" t="s">
        <v>40</v>
      </c>
      <c r="D130" s="4" t="s">
        <v>38</v>
      </c>
      <c r="E130" s="4" t="s">
        <v>25</v>
      </c>
      <c r="F130" s="4" t="s">
        <v>57</v>
      </c>
      <c r="G130" s="4" t="s">
        <v>25</v>
      </c>
      <c r="H130" s="4" t="s">
        <v>35</v>
      </c>
      <c r="I130" s="5">
        <v>44621</v>
      </c>
      <c r="J130" s="6">
        <v>0</v>
      </c>
      <c r="K130" s="6">
        <v>0</v>
      </c>
      <c r="L130" s="6">
        <v>4743.59</v>
      </c>
      <c r="M130" s="6">
        <v>4743.59</v>
      </c>
      <c r="N130" s="6">
        <v>0</v>
      </c>
      <c r="O130" s="6">
        <v>0</v>
      </c>
      <c r="P130" s="6">
        <v>0</v>
      </c>
      <c r="Q130" s="4" t="s">
        <v>58</v>
      </c>
      <c r="R130" s="4">
        <v>0</v>
      </c>
      <c r="S130" s="4">
        <v>0</v>
      </c>
      <c r="T130" s="4">
        <v>8</v>
      </c>
      <c r="U130" s="4">
        <v>0</v>
      </c>
      <c r="V130" s="6">
        <f>IF(ISERROR(VLOOKUP($S$130,'TAR FIN'!$A$1:$O$85,15,0)),0,VLOOKUP($S$130,'TAR FIN'!$A$1:$O$85,15,0))</f>
        <v>0</v>
      </c>
      <c r="W130" s="6">
        <f>IF(ISERROR(VLOOKUP($T$130,'TAR FIN'!$A$1:$O$85,15,0)),0,VLOOKUP($T$130,'TAR FIN'!$A$1:$O$85,15,0))</f>
        <v>76.75</v>
      </c>
      <c r="X130" s="6">
        <f>IF(ISERROR(VLOOKUP($U$130,'TAR FIN'!$A$1:$O$85,15,0)),0,VLOOKUP($U$130,'TAR FIN'!$A$1:$O$85,15,0))</f>
        <v>0</v>
      </c>
      <c r="Y130" s="6"/>
      <c r="Z130" s="6">
        <f ca="1">('TUSD BE'!$AM$12+'TUSD BF'!$AM$12+'TUSD CVA'!$AM$12)*1</f>
        <v>147.99431148733765</v>
      </c>
      <c r="AA130" s="6"/>
      <c r="AB130" s="6">
        <f t="shared" ref="AB130:AB158" si="14">(J130-K130)*V130</f>
        <v>0</v>
      </c>
      <c r="AC130" s="6">
        <f t="shared" ref="AC130:AC158" si="15">(L130-M130)*W130+(N130-O130)*X130</f>
        <v>0</v>
      </c>
      <c r="AD130" s="6">
        <f t="shared" ref="AD130:AD158" si="16">(J130-K130)*Y130</f>
        <v>0</v>
      </c>
      <c r="AE130" s="6">
        <f t="shared" ref="AE130:AE158" ca="1" si="17">(L130-M130)*Z130+(N130-O130)*AA130</f>
        <v>0</v>
      </c>
      <c r="AF130" s="4" t="s">
        <v>845</v>
      </c>
    </row>
    <row r="131" spans="1:32" ht="11.25" customHeight="1" x14ac:dyDescent="0.25">
      <c r="A131" s="4" t="s">
        <v>21</v>
      </c>
      <c r="B131" s="4" t="s">
        <v>39</v>
      </c>
      <c r="C131" s="4" t="s">
        <v>40</v>
      </c>
      <c r="D131" s="4" t="s">
        <v>38</v>
      </c>
      <c r="E131" s="4" t="s">
        <v>25</v>
      </c>
      <c r="F131" s="4" t="s">
        <v>57</v>
      </c>
      <c r="G131" s="4" t="s">
        <v>25</v>
      </c>
      <c r="H131" s="4" t="s">
        <v>35</v>
      </c>
      <c r="I131" s="5">
        <v>44652</v>
      </c>
      <c r="J131" s="6">
        <v>0</v>
      </c>
      <c r="K131" s="6">
        <v>0</v>
      </c>
      <c r="L131" s="6">
        <v>5303.4009999999998</v>
      </c>
      <c r="M131" s="6">
        <v>5303.4009999999998</v>
      </c>
      <c r="N131" s="6">
        <v>0</v>
      </c>
      <c r="O131" s="6">
        <v>0</v>
      </c>
      <c r="P131" s="6">
        <v>0</v>
      </c>
      <c r="Q131" s="4" t="s">
        <v>58</v>
      </c>
      <c r="R131" s="4">
        <v>0</v>
      </c>
      <c r="S131" s="4">
        <v>0</v>
      </c>
      <c r="T131" s="4">
        <v>8</v>
      </c>
      <c r="U131" s="4">
        <v>0</v>
      </c>
      <c r="V131" s="6">
        <f>IF(ISERROR(VLOOKUP($S$131,'TAR FIN'!$A$1:$O$85,15,0)),0,VLOOKUP($S$131,'TAR FIN'!$A$1:$O$85,15,0))</f>
        <v>0</v>
      </c>
      <c r="W131" s="6">
        <f>IF(ISERROR(VLOOKUP($T$131,'TAR FIN'!$A$1:$O$85,15,0)),0,VLOOKUP($T$131,'TAR FIN'!$A$1:$O$85,15,0))</f>
        <v>76.75</v>
      </c>
      <c r="X131" s="6">
        <f>IF(ISERROR(VLOOKUP($U$131,'TAR FIN'!$A$1:$O$85,15,0)),0,VLOOKUP($U$131,'TAR FIN'!$A$1:$O$85,15,0))</f>
        <v>0</v>
      </c>
      <c r="Y131" s="6"/>
      <c r="Z131" s="6">
        <f ca="1">('TUSD BE'!$AM$12+'TUSD BF'!$AM$12+'TUSD CVA'!$AM$12)*1</f>
        <v>147.99431148733765</v>
      </c>
      <c r="AA131" s="6"/>
      <c r="AB131" s="6">
        <f t="shared" si="14"/>
        <v>0</v>
      </c>
      <c r="AC131" s="6">
        <f t="shared" si="15"/>
        <v>0</v>
      </c>
      <c r="AD131" s="6">
        <f t="shared" si="16"/>
        <v>0</v>
      </c>
      <c r="AE131" s="6">
        <f t="shared" ca="1" si="17"/>
        <v>0</v>
      </c>
      <c r="AF131" s="4" t="s">
        <v>845</v>
      </c>
    </row>
    <row r="132" spans="1:32" ht="11.25" customHeight="1" x14ac:dyDescent="0.25">
      <c r="A132" s="4" t="s">
        <v>21</v>
      </c>
      <c r="B132" s="4" t="s">
        <v>39</v>
      </c>
      <c r="C132" s="4" t="s">
        <v>40</v>
      </c>
      <c r="D132" s="4" t="s">
        <v>38</v>
      </c>
      <c r="E132" s="4" t="s">
        <v>25</v>
      </c>
      <c r="F132" s="4" t="s">
        <v>57</v>
      </c>
      <c r="G132" s="4" t="s">
        <v>25</v>
      </c>
      <c r="H132" s="4" t="s">
        <v>35</v>
      </c>
      <c r="I132" s="5">
        <v>44682</v>
      </c>
      <c r="J132" s="6">
        <v>0</v>
      </c>
      <c r="K132" s="6">
        <v>0</v>
      </c>
      <c r="L132" s="6">
        <v>5072.4949999999999</v>
      </c>
      <c r="M132" s="6">
        <v>5072.4949999999999</v>
      </c>
      <c r="N132" s="6">
        <v>0</v>
      </c>
      <c r="O132" s="6">
        <v>0</v>
      </c>
      <c r="P132" s="6">
        <v>0</v>
      </c>
      <c r="Q132" s="4" t="s">
        <v>58</v>
      </c>
      <c r="R132" s="4">
        <v>0</v>
      </c>
      <c r="S132" s="4">
        <v>0</v>
      </c>
      <c r="T132" s="4">
        <v>8</v>
      </c>
      <c r="U132" s="4">
        <v>0</v>
      </c>
      <c r="V132" s="6">
        <f>IF(ISERROR(VLOOKUP($S$132,'TAR FIN'!$A$1:$O$85,15,0)),0,VLOOKUP($S$132,'TAR FIN'!$A$1:$O$85,15,0))</f>
        <v>0</v>
      </c>
      <c r="W132" s="6">
        <f>IF(ISERROR(VLOOKUP($T$132,'TAR FIN'!$A$1:$O$85,15,0)),0,VLOOKUP($T$132,'TAR FIN'!$A$1:$O$85,15,0))</f>
        <v>76.75</v>
      </c>
      <c r="X132" s="6">
        <f>IF(ISERROR(VLOOKUP($U$132,'TAR FIN'!$A$1:$O$85,15,0)),0,VLOOKUP($U$132,'TAR FIN'!$A$1:$O$85,15,0))</f>
        <v>0</v>
      </c>
      <c r="Y132" s="6"/>
      <c r="Z132" s="6">
        <f ca="1">('TUSD BE'!$AM$12+'TUSD BF'!$AM$12+'TUSD CVA'!$AM$12)*1</f>
        <v>147.99431148733765</v>
      </c>
      <c r="AA132" s="6"/>
      <c r="AB132" s="6">
        <f t="shared" si="14"/>
        <v>0</v>
      </c>
      <c r="AC132" s="6">
        <f t="shared" si="15"/>
        <v>0</v>
      </c>
      <c r="AD132" s="6">
        <f t="shared" si="16"/>
        <v>0</v>
      </c>
      <c r="AE132" s="6">
        <f t="shared" ca="1" si="17"/>
        <v>0</v>
      </c>
      <c r="AF132" s="4" t="s">
        <v>845</v>
      </c>
    </row>
    <row r="133" spans="1:32" ht="11.25" customHeight="1" x14ac:dyDescent="0.25">
      <c r="A133" s="4" t="s">
        <v>21</v>
      </c>
      <c r="B133" s="4" t="s">
        <v>39</v>
      </c>
      <c r="C133" s="4" t="s">
        <v>40</v>
      </c>
      <c r="D133" s="4" t="s">
        <v>38</v>
      </c>
      <c r="E133" s="4" t="s">
        <v>25</v>
      </c>
      <c r="F133" s="4" t="s">
        <v>57</v>
      </c>
      <c r="G133" s="4" t="s">
        <v>25</v>
      </c>
      <c r="H133" s="4" t="s">
        <v>35</v>
      </c>
      <c r="I133" s="5">
        <v>44713</v>
      </c>
      <c r="J133" s="6">
        <v>0</v>
      </c>
      <c r="K133" s="6">
        <v>0</v>
      </c>
      <c r="L133" s="6">
        <v>5200.8019999999997</v>
      </c>
      <c r="M133" s="6">
        <v>5200.8019999999997</v>
      </c>
      <c r="N133" s="6">
        <v>0</v>
      </c>
      <c r="O133" s="6">
        <v>0</v>
      </c>
      <c r="P133" s="6">
        <v>0</v>
      </c>
      <c r="Q133" s="4" t="s">
        <v>58</v>
      </c>
      <c r="R133" s="4">
        <v>0</v>
      </c>
      <c r="S133" s="4">
        <v>0</v>
      </c>
      <c r="T133" s="4">
        <v>8</v>
      </c>
      <c r="U133" s="4">
        <v>0</v>
      </c>
      <c r="V133" s="6">
        <f>IF(ISERROR(VLOOKUP($S$133,'TAR FIN'!$A$1:$O$85,15,0)),0,VLOOKUP($S$133,'TAR FIN'!$A$1:$O$85,15,0))</f>
        <v>0</v>
      </c>
      <c r="W133" s="6">
        <f>IF(ISERROR(VLOOKUP($T$133,'TAR FIN'!$A$1:$O$85,15,0)),0,VLOOKUP($T$133,'TAR FIN'!$A$1:$O$85,15,0))</f>
        <v>76.75</v>
      </c>
      <c r="X133" s="6">
        <f>IF(ISERROR(VLOOKUP($U$133,'TAR FIN'!$A$1:$O$85,15,0)),0,VLOOKUP($U$133,'TAR FIN'!$A$1:$O$85,15,0))</f>
        <v>0</v>
      </c>
      <c r="Y133" s="6"/>
      <c r="Z133" s="6">
        <f ca="1">('TUSD BE'!$AM$12+'TUSD BF'!$AM$12+'TUSD CVA'!$AM$12)*1</f>
        <v>147.99431148733765</v>
      </c>
      <c r="AA133" s="6"/>
      <c r="AB133" s="6">
        <f t="shared" si="14"/>
        <v>0</v>
      </c>
      <c r="AC133" s="6">
        <f t="shared" si="15"/>
        <v>0</v>
      </c>
      <c r="AD133" s="6">
        <f t="shared" si="16"/>
        <v>0</v>
      </c>
      <c r="AE133" s="6">
        <f t="shared" ca="1" si="17"/>
        <v>0</v>
      </c>
      <c r="AF133" s="4" t="s">
        <v>845</v>
      </c>
    </row>
    <row r="134" spans="1:32" ht="11.25" customHeight="1" x14ac:dyDescent="0.25">
      <c r="A134" s="4" t="s">
        <v>21</v>
      </c>
      <c r="B134" s="4" t="s">
        <v>39</v>
      </c>
      <c r="C134" s="4" t="s">
        <v>40</v>
      </c>
      <c r="D134" s="4" t="s">
        <v>38</v>
      </c>
      <c r="E134" s="4" t="s">
        <v>25</v>
      </c>
      <c r="F134" s="4" t="s">
        <v>57</v>
      </c>
      <c r="G134" s="4" t="s">
        <v>25</v>
      </c>
      <c r="H134" s="4" t="s">
        <v>35</v>
      </c>
      <c r="I134" s="5">
        <v>44743</v>
      </c>
      <c r="J134" s="6">
        <v>0</v>
      </c>
      <c r="K134" s="6">
        <v>0</v>
      </c>
      <c r="L134" s="6">
        <v>5294.7</v>
      </c>
      <c r="M134" s="6">
        <v>5294.7</v>
      </c>
      <c r="N134" s="6">
        <v>0</v>
      </c>
      <c r="O134" s="6">
        <v>0</v>
      </c>
      <c r="P134" s="6">
        <v>0</v>
      </c>
      <c r="Q134" s="4" t="s">
        <v>58</v>
      </c>
      <c r="R134" s="4">
        <v>0</v>
      </c>
      <c r="S134" s="4">
        <v>0</v>
      </c>
      <c r="T134" s="4">
        <v>8</v>
      </c>
      <c r="U134" s="4">
        <v>0</v>
      </c>
      <c r="V134" s="6">
        <f>IF(ISERROR(VLOOKUP($S$134,'TAR FIN'!$A$1:$O$85,15,0)),0,VLOOKUP($S$134,'TAR FIN'!$A$1:$O$85,15,0))</f>
        <v>0</v>
      </c>
      <c r="W134" s="6">
        <f>IF(ISERROR(VLOOKUP($T$134,'TAR FIN'!$A$1:$O$85,15,0)),0,VLOOKUP($T$134,'TAR FIN'!$A$1:$O$85,15,0))</f>
        <v>76.75</v>
      </c>
      <c r="X134" s="6">
        <f>IF(ISERROR(VLOOKUP($U$134,'TAR FIN'!$A$1:$O$85,15,0)),0,VLOOKUP($U$134,'TAR FIN'!$A$1:$O$85,15,0))</f>
        <v>0</v>
      </c>
      <c r="Y134" s="6"/>
      <c r="Z134" s="6">
        <f ca="1">('TUSD BE'!$AM$12+'TUSD BF'!$AM$12+'TUSD CVA'!$AM$12)*1</f>
        <v>147.99431148733765</v>
      </c>
      <c r="AA134" s="6"/>
      <c r="AB134" s="6">
        <f t="shared" si="14"/>
        <v>0</v>
      </c>
      <c r="AC134" s="6">
        <f t="shared" si="15"/>
        <v>0</v>
      </c>
      <c r="AD134" s="6">
        <f t="shared" si="16"/>
        <v>0</v>
      </c>
      <c r="AE134" s="6">
        <f t="shared" ca="1" si="17"/>
        <v>0</v>
      </c>
      <c r="AF134" s="4" t="s">
        <v>845</v>
      </c>
    </row>
    <row r="135" spans="1:32" ht="11.25" customHeight="1" x14ac:dyDescent="0.25">
      <c r="A135" s="4" t="s">
        <v>56</v>
      </c>
      <c r="B135" s="4" t="s">
        <v>39</v>
      </c>
      <c r="C135" s="4" t="s">
        <v>40</v>
      </c>
      <c r="D135" s="4" t="s">
        <v>38</v>
      </c>
      <c r="E135" s="4" t="s">
        <v>25</v>
      </c>
      <c r="F135" s="4" t="s">
        <v>57</v>
      </c>
      <c r="G135" s="4" t="s">
        <v>25</v>
      </c>
      <c r="H135" s="4" t="s">
        <v>35</v>
      </c>
      <c r="I135" s="5">
        <v>44774</v>
      </c>
      <c r="J135" s="6">
        <v>0</v>
      </c>
      <c r="K135" s="6">
        <v>0</v>
      </c>
      <c r="L135" s="6">
        <v>5294.7</v>
      </c>
      <c r="M135" s="6">
        <v>5294.7</v>
      </c>
      <c r="N135" s="6">
        <v>0</v>
      </c>
      <c r="O135" s="6">
        <v>0</v>
      </c>
      <c r="P135" s="6">
        <v>0</v>
      </c>
      <c r="Q135" s="4" t="s">
        <v>58</v>
      </c>
      <c r="R135" s="4">
        <v>0</v>
      </c>
      <c r="S135" s="4">
        <v>0</v>
      </c>
      <c r="T135" s="4">
        <v>8</v>
      </c>
      <c r="U135" s="4">
        <v>0</v>
      </c>
      <c r="V135" s="6">
        <f>IF(ISERROR(VLOOKUP($S$135,'TAR FIN'!$A$1:$O$85,15,0)),0,VLOOKUP($S$135,'TAR FIN'!$A$1:$O$85,15,0))</f>
        <v>0</v>
      </c>
      <c r="W135" s="6">
        <f>IF(ISERROR(VLOOKUP($T$135,'TAR FIN'!$A$1:$O$85,15,0)),0,VLOOKUP($T$135,'TAR FIN'!$A$1:$O$85,15,0))</f>
        <v>76.75</v>
      </c>
      <c r="X135" s="6">
        <f>IF(ISERROR(VLOOKUP($U$135,'TAR FIN'!$A$1:$O$85,15,0)),0,VLOOKUP($U$135,'TAR FIN'!$A$1:$O$85,15,0))</f>
        <v>0</v>
      </c>
      <c r="Y135" s="6"/>
      <c r="Z135" s="6">
        <f ca="1">('TUSD BE'!$AM$12+'TUSD BF'!$AM$12+'TUSD CVA'!$AM$12)*1</f>
        <v>147.99431148733765</v>
      </c>
      <c r="AA135" s="6"/>
      <c r="AB135" s="6">
        <f t="shared" si="14"/>
        <v>0</v>
      </c>
      <c r="AC135" s="6">
        <f t="shared" si="15"/>
        <v>0</v>
      </c>
      <c r="AD135" s="6">
        <f t="shared" si="16"/>
        <v>0</v>
      </c>
      <c r="AE135" s="6">
        <f t="shared" ca="1" si="17"/>
        <v>0</v>
      </c>
      <c r="AF135" s="4" t="s">
        <v>845</v>
      </c>
    </row>
    <row r="136" spans="1:32" ht="11.25" customHeight="1" x14ac:dyDescent="0.25">
      <c r="A136" s="4" t="s">
        <v>21</v>
      </c>
      <c r="B136" s="4" t="s">
        <v>39</v>
      </c>
      <c r="C136" s="4" t="s">
        <v>40</v>
      </c>
      <c r="D136" s="4" t="s">
        <v>38</v>
      </c>
      <c r="E136" s="4" t="s">
        <v>25</v>
      </c>
      <c r="F136" s="4" t="s">
        <v>57</v>
      </c>
      <c r="G136" s="4" t="s">
        <v>25</v>
      </c>
      <c r="H136" s="4" t="s">
        <v>25</v>
      </c>
      <c r="I136" s="5">
        <v>44440</v>
      </c>
      <c r="J136" s="6">
        <v>20320</v>
      </c>
      <c r="K136" s="6">
        <v>7782.56</v>
      </c>
      <c r="L136" s="6">
        <v>0</v>
      </c>
      <c r="M136" s="6">
        <v>0</v>
      </c>
      <c r="N136" s="6">
        <v>0</v>
      </c>
      <c r="O136" s="6">
        <v>0</v>
      </c>
      <c r="P136" s="6">
        <v>40</v>
      </c>
      <c r="Q136" s="4" t="s">
        <v>58</v>
      </c>
      <c r="R136" s="4">
        <v>0</v>
      </c>
      <c r="S136" s="4">
        <v>6</v>
      </c>
      <c r="T136" s="4">
        <v>0</v>
      </c>
      <c r="U136" s="4">
        <v>0</v>
      </c>
      <c r="V136" s="6">
        <f>IF(ISERROR(VLOOKUP($S$136,'TAR FIN'!$A$1:$O$85,15,0)),0,VLOOKUP($S$136,'TAR FIN'!$A$1:$O$85,15,0))</f>
        <v>16.64</v>
      </c>
      <c r="W136" s="6">
        <f>IF(ISERROR(VLOOKUP($T$136,'TAR FIN'!$A$1:$O$85,15,0)),0,VLOOKUP($T$136,'TAR FIN'!$A$1:$O$85,15,0))</f>
        <v>0</v>
      </c>
      <c r="X136" s="6">
        <f>IF(ISERROR(VLOOKUP($U$136,'TAR FIN'!$A$1:$O$85,15,0)),0,VLOOKUP($U$136,'TAR FIN'!$A$1:$O$85,15,0))</f>
        <v>0</v>
      </c>
      <c r="Y136" s="6">
        <f ca="1">('TUSD BE'!$AM$10+'TUSD BF'!$AM$10+'TUSD CVA'!$AM$10)*1</f>
        <v>18.371854423657158</v>
      </c>
      <c r="Z136" s="6"/>
      <c r="AA136" s="6"/>
      <c r="AB136" s="6">
        <f t="shared" si="14"/>
        <v>208623.00159999999</v>
      </c>
      <c r="AC136" s="6">
        <f t="shared" si="15"/>
        <v>0</v>
      </c>
      <c r="AD136" s="6">
        <f t="shared" ca="1" si="16"/>
        <v>230336.02252533619</v>
      </c>
      <c r="AE136" s="6">
        <f t="shared" si="17"/>
        <v>0</v>
      </c>
      <c r="AF136" s="4" t="s">
        <v>845</v>
      </c>
    </row>
    <row r="137" spans="1:32" ht="11.25" customHeight="1" x14ac:dyDescent="0.25">
      <c r="A137" s="4" t="s">
        <v>21</v>
      </c>
      <c r="B137" s="4" t="s">
        <v>39</v>
      </c>
      <c r="C137" s="4" t="s">
        <v>40</v>
      </c>
      <c r="D137" s="4" t="s">
        <v>38</v>
      </c>
      <c r="E137" s="4" t="s">
        <v>25</v>
      </c>
      <c r="F137" s="4" t="s">
        <v>57</v>
      </c>
      <c r="G137" s="4" t="s">
        <v>25</v>
      </c>
      <c r="H137" s="4" t="s">
        <v>25</v>
      </c>
      <c r="I137" s="5">
        <v>44470</v>
      </c>
      <c r="J137" s="6">
        <v>20701</v>
      </c>
      <c r="K137" s="6">
        <v>7669.7205000000004</v>
      </c>
      <c r="L137" s="6">
        <v>0</v>
      </c>
      <c r="M137" s="6">
        <v>0</v>
      </c>
      <c r="N137" s="6">
        <v>0</v>
      </c>
      <c r="O137" s="6">
        <v>0</v>
      </c>
      <c r="P137" s="6">
        <v>40</v>
      </c>
      <c r="Q137" s="4" t="s">
        <v>58</v>
      </c>
      <c r="R137" s="4">
        <v>0</v>
      </c>
      <c r="S137" s="4">
        <v>6</v>
      </c>
      <c r="T137" s="4">
        <v>0</v>
      </c>
      <c r="U137" s="4">
        <v>0</v>
      </c>
      <c r="V137" s="6">
        <f>IF(ISERROR(VLOOKUP($S$137,'TAR FIN'!$A$1:$O$85,15,0)),0,VLOOKUP($S$137,'TAR FIN'!$A$1:$O$85,15,0))</f>
        <v>16.64</v>
      </c>
      <c r="W137" s="6">
        <f>IF(ISERROR(VLOOKUP($T$137,'TAR FIN'!$A$1:$O$85,15,0)),0,VLOOKUP($T$137,'TAR FIN'!$A$1:$O$85,15,0))</f>
        <v>0</v>
      </c>
      <c r="X137" s="6">
        <f>IF(ISERROR(VLOOKUP($U$137,'TAR FIN'!$A$1:$O$85,15,0)),0,VLOOKUP($U$137,'TAR FIN'!$A$1:$O$85,15,0))</f>
        <v>0</v>
      </c>
      <c r="Y137" s="6">
        <f ca="1">('TUSD BE'!$AM$10+'TUSD BF'!$AM$10+'TUSD CVA'!$AM$10)*1</f>
        <v>18.371854423657158</v>
      </c>
      <c r="Z137" s="6"/>
      <c r="AA137" s="6"/>
      <c r="AB137" s="6">
        <f t="shared" si="14"/>
        <v>216840.49088000003</v>
      </c>
      <c r="AC137" s="6">
        <f t="shared" si="15"/>
        <v>0</v>
      </c>
      <c r="AD137" s="6">
        <f t="shared" ca="1" si="16"/>
        <v>239408.76992798786</v>
      </c>
      <c r="AE137" s="6">
        <f t="shared" si="17"/>
        <v>0</v>
      </c>
      <c r="AF137" s="4" t="s">
        <v>845</v>
      </c>
    </row>
    <row r="138" spans="1:32" ht="11.25" customHeight="1" x14ac:dyDescent="0.25">
      <c r="A138" s="4" t="s">
        <v>21</v>
      </c>
      <c r="B138" s="4" t="s">
        <v>39</v>
      </c>
      <c r="C138" s="4" t="s">
        <v>40</v>
      </c>
      <c r="D138" s="4" t="s">
        <v>38</v>
      </c>
      <c r="E138" s="4" t="s">
        <v>25</v>
      </c>
      <c r="F138" s="4" t="s">
        <v>57</v>
      </c>
      <c r="G138" s="4" t="s">
        <v>25</v>
      </c>
      <c r="H138" s="4" t="s">
        <v>25</v>
      </c>
      <c r="I138" s="5">
        <v>44501</v>
      </c>
      <c r="J138" s="6">
        <v>20629</v>
      </c>
      <c r="K138" s="6">
        <v>7564.6543000000001</v>
      </c>
      <c r="L138" s="6">
        <v>0</v>
      </c>
      <c r="M138" s="6">
        <v>0</v>
      </c>
      <c r="N138" s="6">
        <v>0</v>
      </c>
      <c r="O138" s="6">
        <v>0</v>
      </c>
      <c r="P138" s="6">
        <v>40</v>
      </c>
      <c r="Q138" s="4" t="s">
        <v>58</v>
      </c>
      <c r="R138" s="4">
        <v>0</v>
      </c>
      <c r="S138" s="4">
        <v>6</v>
      </c>
      <c r="T138" s="4">
        <v>0</v>
      </c>
      <c r="U138" s="4">
        <v>0</v>
      </c>
      <c r="V138" s="6">
        <f>IF(ISERROR(VLOOKUP($S$138,'TAR FIN'!$A$1:$O$85,15,0)),0,VLOOKUP($S$138,'TAR FIN'!$A$1:$O$85,15,0))</f>
        <v>16.64</v>
      </c>
      <c r="W138" s="6">
        <f>IF(ISERROR(VLOOKUP($T$138,'TAR FIN'!$A$1:$O$85,15,0)),0,VLOOKUP($T$138,'TAR FIN'!$A$1:$O$85,15,0))</f>
        <v>0</v>
      </c>
      <c r="X138" s="6">
        <f>IF(ISERROR(VLOOKUP($U$138,'TAR FIN'!$A$1:$O$85,15,0)),0,VLOOKUP($U$138,'TAR FIN'!$A$1:$O$85,15,0))</f>
        <v>0</v>
      </c>
      <c r="Y138" s="6">
        <f ca="1">('TUSD BE'!$AM$10+'TUSD BF'!$AM$10+'TUSD CVA'!$AM$10)*1</f>
        <v>18.371854423657158</v>
      </c>
      <c r="Z138" s="6"/>
      <c r="AA138" s="6"/>
      <c r="AB138" s="6">
        <f t="shared" si="14"/>
        <v>217390.71244800001</v>
      </c>
      <c r="AC138" s="6">
        <f t="shared" si="15"/>
        <v>0</v>
      </c>
      <c r="AD138" s="6">
        <f t="shared" ca="1" si="16"/>
        <v>240016.25734073136</v>
      </c>
      <c r="AE138" s="6">
        <f t="shared" si="17"/>
        <v>0</v>
      </c>
      <c r="AF138" s="4" t="s">
        <v>845</v>
      </c>
    </row>
    <row r="139" spans="1:32" ht="11.25" customHeight="1" x14ac:dyDescent="0.25">
      <c r="A139" s="4" t="s">
        <v>21</v>
      </c>
      <c r="B139" s="4" t="s">
        <v>39</v>
      </c>
      <c r="C139" s="4" t="s">
        <v>40</v>
      </c>
      <c r="D139" s="4" t="s">
        <v>38</v>
      </c>
      <c r="E139" s="4" t="s">
        <v>25</v>
      </c>
      <c r="F139" s="4" t="s">
        <v>57</v>
      </c>
      <c r="G139" s="4" t="s">
        <v>25</v>
      </c>
      <c r="H139" s="4" t="s">
        <v>25</v>
      </c>
      <c r="I139" s="5">
        <v>44531</v>
      </c>
      <c r="J139" s="6">
        <v>20795</v>
      </c>
      <c r="K139" s="6">
        <v>7914.5770000000002</v>
      </c>
      <c r="L139" s="6">
        <v>0</v>
      </c>
      <c r="M139" s="6">
        <v>0</v>
      </c>
      <c r="N139" s="6">
        <v>0</v>
      </c>
      <c r="O139" s="6">
        <v>0</v>
      </c>
      <c r="P139" s="6">
        <v>40</v>
      </c>
      <c r="Q139" s="4" t="s">
        <v>58</v>
      </c>
      <c r="R139" s="4">
        <v>0</v>
      </c>
      <c r="S139" s="4">
        <v>6</v>
      </c>
      <c r="T139" s="4">
        <v>0</v>
      </c>
      <c r="U139" s="4">
        <v>0</v>
      </c>
      <c r="V139" s="6">
        <f>IF(ISERROR(VLOOKUP($S$139,'TAR FIN'!$A$1:$O$85,15,0)),0,VLOOKUP($S$139,'TAR FIN'!$A$1:$O$85,15,0))</f>
        <v>16.64</v>
      </c>
      <c r="W139" s="6">
        <f>IF(ISERROR(VLOOKUP($T$139,'TAR FIN'!$A$1:$O$85,15,0)),0,VLOOKUP($T$139,'TAR FIN'!$A$1:$O$85,15,0))</f>
        <v>0</v>
      </c>
      <c r="X139" s="6">
        <f>IF(ISERROR(VLOOKUP($U$139,'TAR FIN'!$A$1:$O$85,15,0)),0,VLOOKUP($U$139,'TAR FIN'!$A$1:$O$85,15,0))</f>
        <v>0</v>
      </c>
      <c r="Y139" s="6">
        <f ca="1">('TUSD BE'!$AM$10+'TUSD BF'!$AM$10+'TUSD CVA'!$AM$10)*1</f>
        <v>18.371854423657158</v>
      </c>
      <c r="Z139" s="6"/>
      <c r="AA139" s="6"/>
      <c r="AB139" s="6">
        <f t="shared" si="14"/>
        <v>214330.23871999999</v>
      </c>
      <c r="AC139" s="6">
        <f t="shared" si="15"/>
        <v>0</v>
      </c>
      <c r="AD139" s="6">
        <f t="shared" ca="1" si="16"/>
        <v>236637.25627112537</v>
      </c>
      <c r="AE139" s="6">
        <f t="shared" si="17"/>
        <v>0</v>
      </c>
      <c r="AF139" s="4" t="s">
        <v>845</v>
      </c>
    </row>
    <row r="140" spans="1:32" ht="11.25" customHeight="1" x14ac:dyDescent="0.25">
      <c r="A140" s="4" t="s">
        <v>21</v>
      </c>
      <c r="B140" s="4" t="s">
        <v>39</v>
      </c>
      <c r="C140" s="4" t="s">
        <v>40</v>
      </c>
      <c r="D140" s="4" t="s">
        <v>38</v>
      </c>
      <c r="E140" s="4" t="s">
        <v>25</v>
      </c>
      <c r="F140" s="4" t="s">
        <v>57</v>
      </c>
      <c r="G140" s="4" t="s">
        <v>25</v>
      </c>
      <c r="H140" s="4" t="s">
        <v>25</v>
      </c>
      <c r="I140" s="5">
        <v>44562</v>
      </c>
      <c r="J140" s="6">
        <v>20826</v>
      </c>
      <c r="K140" s="6">
        <v>7630.6463999999996</v>
      </c>
      <c r="L140" s="6">
        <v>0</v>
      </c>
      <c r="M140" s="6">
        <v>0</v>
      </c>
      <c r="N140" s="6">
        <v>0</v>
      </c>
      <c r="O140" s="6">
        <v>0</v>
      </c>
      <c r="P140" s="6">
        <v>40</v>
      </c>
      <c r="Q140" s="4" t="s">
        <v>58</v>
      </c>
      <c r="R140" s="4">
        <v>0</v>
      </c>
      <c r="S140" s="4">
        <v>6</v>
      </c>
      <c r="T140" s="4">
        <v>0</v>
      </c>
      <c r="U140" s="4">
        <v>0</v>
      </c>
      <c r="V140" s="6">
        <f>IF(ISERROR(VLOOKUP($S$140,'TAR FIN'!$A$1:$O$85,15,0)),0,VLOOKUP($S$140,'TAR FIN'!$A$1:$O$85,15,0))</f>
        <v>16.64</v>
      </c>
      <c r="W140" s="6">
        <f>IF(ISERROR(VLOOKUP($T$140,'TAR FIN'!$A$1:$O$85,15,0)),0,VLOOKUP($T$140,'TAR FIN'!$A$1:$O$85,15,0))</f>
        <v>0</v>
      </c>
      <c r="X140" s="6">
        <f>IF(ISERROR(VLOOKUP($U$140,'TAR FIN'!$A$1:$O$85,15,0)),0,VLOOKUP($U$140,'TAR FIN'!$A$1:$O$85,15,0))</f>
        <v>0</v>
      </c>
      <c r="Y140" s="6">
        <f ca="1">('TUSD BE'!$AM$10+'TUSD BF'!$AM$10+'TUSD CVA'!$AM$10)*1</f>
        <v>18.371854423657158</v>
      </c>
      <c r="Z140" s="6"/>
      <c r="AA140" s="6"/>
      <c r="AB140" s="6">
        <f t="shared" si="14"/>
        <v>219570.683904</v>
      </c>
      <c r="AC140" s="6">
        <f t="shared" si="15"/>
        <v>0</v>
      </c>
      <c r="AD140" s="6">
        <f t="shared" ca="1" si="16"/>
        <v>242423.11540788042</v>
      </c>
      <c r="AE140" s="6">
        <f t="shared" si="17"/>
        <v>0</v>
      </c>
      <c r="AF140" s="4" t="s">
        <v>845</v>
      </c>
    </row>
    <row r="141" spans="1:32" ht="11.25" customHeight="1" x14ac:dyDescent="0.25">
      <c r="A141" s="4" t="s">
        <v>21</v>
      </c>
      <c r="B141" s="4" t="s">
        <v>39</v>
      </c>
      <c r="C141" s="4" t="s">
        <v>40</v>
      </c>
      <c r="D141" s="4" t="s">
        <v>38</v>
      </c>
      <c r="E141" s="4" t="s">
        <v>25</v>
      </c>
      <c r="F141" s="4" t="s">
        <v>57</v>
      </c>
      <c r="G141" s="4" t="s">
        <v>25</v>
      </c>
      <c r="H141" s="4" t="s">
        <v>25</v>
      </c>
      <c r="I141" s="5">
        <v>44593</v>
      </c>
      <c r="J141" s="6">
        <v>22009</v>
      </c>
      <c r="K141" s="6">
        <v>9045.6990000000005</v>
      </c>
      <c r="L141" s="6">
        <v>0</v>
      </c>
      <c r="M141" s="6">
        <v>0</v>
      </c>
      <c r="N141" s="6">
        <v>0</v>
      </c>
      <c r="O141" s="6">
        <v>0</v>
      </c>
      <c r="P141" s="6">
        <v>41</v>
      </c>
      <c r="Q141" s="4" t="s">
        <v>58</v>
      </c>
      <c r="R141" s="4">
        <v>0</v>
      </c>
      <c r="S141" s="4">
        <v>6</v>
      </c>
      <c r="T141" s="4">
        <v>0</v>
      </c>
      <c r="U141" s="4">
        <v>0</v>
      </c>
      <c r="V141" s="6">
        <f>IF(ISERROR(VLOOKUP($S$141,'TAR FIN'!$A$1:$O$85,15,0)),0,VLOOKUP($S$141,'TAR FIN'!$A$1:$O$85,15,0))</f>
        <v>16.64</v>
      </c>
      <c r="W141" s="6">
        <f>IF(ISERROR(VLOOKUP($T$141,'TAR FIN'!$A$1:$O$85,15,0)),0,VLOOKUP($T$141,'TAR FIN'!$A$1:$O$85,15,0))</f>
        <v>0</v>
      </c>
      <c r="X141" s="6">
        <f>IF(ISERROR(VLOOKUP($U$141,'TAR FIN'!$A$1:$O$85,15,0)),0,VLOOKUP($U$141,'TAR FIN'!$A$1:$O$85,15,0))</f>
        <v>0</v>
      </c>
      <c r="Y141" s="6">
        <f ca="1">('TUSD BE'!$AM$10+'TUSD BF'!$AM$10+'TUSD CVA'!$AM$10)*1</f>
        <v>18.371854423657158</v>
      </c>
      <c r="Z141" s="6"/>
      <c r="AA141" s="6"/>
      <c r="AB141" s="6">
        <f t="shared" si="14"/>
        <v>215709.32863999999</v>
      </c>
      <c r="AC141" s="6">
        <f t="shared" si="15"/>
        <v>0</v>
      </c>
      <c r="AD141" s="6">
        <f t="shared" ca="1" si="16"/>
        <v>238159.87882204924</v>
      </c>
      <c r="AE141" s="6">
        <f t="shared" si="17"/>
        <v>0</v>
      </c>
      <c r="AF141" s="4" t="s">
        <v>845</v>
      </c>
    </row>
    <row r="142" spans="1:32" ht="11.25" customHeight="1" x14ac:dyDescent="0.25">
      <c r="A142" s="4" t="s">
        <v>21</v>
      </c>
      <c r="B142" s="4" t="s">
        <v>39</v>
      </c>
      <c r="C142" s="4" t="s">
        <v>40</v>
      </c>
      <c r="D142" s="4" t="s">
        <v>38</v>
      </c>
      <c r="E142" s="4" t="s">
        <v>25</v>
      </c>
      <c r="F142" s="4" t="s">
        <v>57</v>
      </c>
      <c r="G142" s="4" t="s">
        <v>25</v>
      </c>
      <c r="H142" s="4" t="s">
        <v>25</v>
      </c>
      <c r="I142" s="5">
        <v>44621</v>
      </c>
      <c r="J142" s="6">
        <v>21866</v>
      </c>
      <c r="K142" s="6">
        <v>8818.5578000000005</v>
      </c>
      <c r="L142" s="6">
        <v>0</v>
      </c>
      <c r="M142" s="6">
        <v>0</v>
      </c>
      <c r="N142" s="6">
        <v>0</v>
      </c>
      <c r="O142" s="6">
        <v>0</v>
      </c>
      <c r="P142" s="6">
        <v>41</v>
      </c>
      <c r="Q142" s="4" t="s">
        <v>58</v>
      </c>
      <c r="R142" s="4">
        <v>0</v>
      </c>
      <c r="S142" s="4">
        <v>6</v>
      </c>
      <c r="T142" s="4">
        <v>0</v>
      </c>
      <c r="U142" s="4">
        <v>0</v>
      </c>
      <c r="V142" s="6">
        <f>IF(ISERROR(VLOOKUP($S$142,'TAR FIN'!$A$1:$O$85,15,0)),0,VLOOKUP($S$142,'TAR FIN'!$A$1:$O$85,15,0))</f>
        <v>16.64</v>
      </c>
      <c r="W142" s="6">
        <f>IF(ISERROR(VLOOKUP($T$142,'TAR FIN'!$A$1:$O$85,15,0)),0,VLOOKUP($T$142,'TAR FIN'!$A$1:$O$85,15,0))</f>
        <v>0</v>
      </c>
      <c r="X142" s="6">
        <f>IF(ISERROR(VLOOKUP($U$142,'TAR FIN'!$A$1:$O$85,15,0)),0,VLOOKUP($U$142,'TAR FIN'!$A$1:$O$85,15,0))</f>
        <v>0</v>
      </c>
      <c r="Y142" s="6">
        <f ca="1">('TUSD BE'!$AM$10+'TUSD BF'!$AM$10+'TUSD CVA'!$AM$10)*1</f>
        <v>18.371854423657158</v>
      </c>
      <c r="Z142" s="6"/>
      <c r="AA142" s="6"/>
      <c r="AB142" s="6">
        <f t="shared" si="14"/>
        <v>217109.43820800001</v>
      </c>
      <c r="AC142" s="6">
        <f t="shared" si="15"/>
        <v>0</v>
      </c>
      <c r="AD142" s="6">
        <f t="shared" ca="1" si="16"/>
        <v>239705.70869948107</v>
      </c>
      <c r="AE142" s="6">
        <f t="shared" si="17"/>
        <v>0</v>
      </c>
      <c r="AF142" s="4" t="s">
        <v>845</v>
      </c>
    </row>
    <row r="143" spans="1:32" ht="11.25" customHeight="1" x14ac:dyDescent="0.25">
      <c r="A143" s="4" t="s">
        <v>21</v>
      </c>
      <c r="B143" s="4" t="s">
        <v>39</v>
      </c>
      <c r="C143" s="4" t="s">
        <v>40</v>
      </c>
      <c r="D143" s="4" t="s">
        <v>38</v>
      </c>
      <c r="E143" s="4" t="s">
        <v>25</v>
      </c>
      <c r="F143" s="4" t="s">
        <v>57</v>
      </c>
      <c r="G143" s="4" t="s">
        <v>25</v>
      </c>
      <c r="H143" s="4" t="s">
        <v>25</v>
      </c>
      <c r="I143" s="5">
        <v>44652</v>
      </c>
      <c r="J143" s="6">
        <v>21377</v>
      </c>
      <c r="K143" s="6">
        <v>8888.5565999999999</v>
      </c>
      <c r="L143" s="6">
        <v>0</v>
      </c>
      <c r="M143" s="6">
        <v>0</v>
      </c>
      <c r="N143" s="6">
        <v>0</v>
      </c>
      <c r="O143" s="6">
        <v>0</v>
      </c>
      <c r="P143" s="6">
        <v>40</v>
      </c>
      <c r="Q143" s="4" t="s">
        <v>58</v>
      </c>
      <c r="R143" s="4">
        <v>0</v>
      </c>
      <c r="S143" s="4">
        <v>6</v>
      </c>
      <c r="T143" s="4">
        <v>0</v>
      </c>
      <c r="U143" s="4">
        <v>0</v>
      </c>
      <c r="V143" s="6">
        <f>IF(ISERROR(VLOOKUP($S$143,'TAR FIN'!$A$1:$O$85,15,0)),0,VLOOKUP($S$143,'TAR FIN'!$A$1:$O$85,15,0))</f>
        <v>16.64</v>
      </c>
      <c r="W143" s="6">
        <f>IF(ISERROR(VLOOKUP($T$143,'TAR FIN'!$A$1:$O$85,15,0)),0,VLOOKUP($T$143,'TAR FIN'!$A$1:$O$85,15,0))</f>
        <v>0</v>
      </c>
      <c r="X143" s="6">
        <f>IF(ISERROR(VLOOKUP($U$143,'TAR FIN'!$A$1:$O$85,15,0)),0,VLOOKUP($U$143,'TAR FIN'!$A$1:$O$85,15,0))</f>
        <v>0</v>
      </c>
      <c r="Y143" s="6">
        <f ca="1">('TUSD BE'!$AM$10+'TUSD BF'!$AM$10+'TUSD CVA'!$AM$10)*1</f>
        <v>18.371854423657158</v>
      </c>
      <c r="Z143" s="6"/>
      <c r="AA143" s="6"/>
      <c r="AB143" s="6">
        <f t="shared" si="14"/>
        <v>207807.69817600001</v>
      </c>
      <c r="AC143" s="6">
        <f t="shared" si="15"/>
        <v>0</v>
      </c>
      <c r="AD143" s="6">
        <f t="shared" ca="1" si="16"/>
        <v>229435.86412288205</v>
      </c>
      <c r="AE143" s="6">
        <f t="shared" si="17"/>
        <v>0</v>
      </c>
      <c r="AF143" s="4" t="s">
        <v>845</v>
      </c>
    </row>
    <row r="144" spans="1:32" ht="11.25" customHeight="1" x14ac:dyDescent="0.25">
      <c r="A144" s="4" t="s">
        <v>21</v>
      </c>
      <c r="B144" s="4" t="s">
        <v>39</v>
      </c>
      <c r="C144" s="4" t="s">
        <v>40</v>
      </c>
      <c r="D144" s="4" t="s">
        <v>38</v>
      </c>
      <c r="E144" s="4" t="s">
        <v>25</v>
      </c>
      <c r="F144" s="4" t="s">
        <v>57</v>
      </c>
      <c r="G144" s="4" t="s">
        <v>25</v>
      </c>
      <c r="H144" s="4" t="s">
        <v>25</v>
      </c>
      <c r="I144" s="5">
        <v>44682</v>
      </c>
      <c r="J144" s="6">
        <v>22872</v>
      </c>
      <c r="K144" s="6">
        <v>9201.4056</v>
      </c>
      <c r="L144" s="6">
        <v>0</v>
      </c>
      <c r="M144" s="6">
        <v>0</v>
      </c>
      <c r="N144" s="6">
        <v>0</v>
      </c>
      <c r="O144" s="6">
        <v>0</v>
      </c>
      <c r="P144" s="6">
        <v>42</v>
      </c>
      <c r="Q144" s="4" t="s">
        <v>58</v>
      </c>
      <c r="R144" s="4">
        <v>0</v>
      </c>
      <c r="S144" s="4">
        <v>6</v>
      </c>
      <c r="T144" s="4">
        <v>0</v>
      </c>
      <c r="U144" s="4">
        <v>0</v>
      </c>
      <c r="V144" s="6">
        <f>IF(ISERROR(VLOOKUP($S$144,'TAR FIN'!$A$1:$O$85,15,0)),0,VLOOKUP($S$144,'TAR FIN'!$A$1:$O$85,15,0))</f>
        <v>16.64</v>
      </c>
      <c r="W144" s="6">
        <f>IF(ISERROR(VLOOKUP($T$144,'TAR FIN'!$A$1:$O$85,15,0)),0,VLOOKUP($T$144,'TAR FIN'!$A$1:$O$85,15,0))</f>
        <v>0</v>
      </c>
      <c r="X144" s="6">
        <f>IF(ISERROR(VLOOKUP($U$144,'TAR FIN'!$A$1:$O$85,15,0)),0,VLOOKUP($U$144,'TAR FIN'!$A$1:$O$85,15,0))</f>
        <v>0</v>
      </c>
      <c r="Y144" s="6">
        <f ca="1">('TUSD BE'!$AM$10+'TUSD BF'!$AM$10+'TUSD CVA'!$AM$10)*1</f>
        <v>18.371854423657158</v>
      </c>
      <c r="Z144" s="6"/>
      <c r="AA144" s="6"/>
      <c r="AB144" s="6">
        <f t="shared" si="14"/>
        <v>227478.69081600002</v>
      </c>
      <c r="AC144" s="6">
        <f t="shared" si="15"/>
        <v>0</v>
      </c>
      <c r="AD144" s="6">
        <f t="shared" ca="1" si="16"/>
        <v>251154.17020166278</v>
      </c>
      <c r="AE144" s="6">
        <f t="shared" si="17"/>
        <v>0</v>
      </c>
      <c r="AF144" s="4" t="s">
        <v>845</v>
      </c>
    </row>
    <row r="145" spans="1:32" ht="11.25" customHeight="1" x14ac:dyDescent="0.25">
      <c r="A145" s="4" t="s">
        <v>21</v>
      </c>
      <c r="B145" s="4" t="s">
        <v>39</v>
      </c>
      <c r="C145" s="4" t="s">
        <v>40</v>
      </c>
      <c r="D145" s="4" t="s">
        <v>38</v>
      </c>
      <c r="E145" s="4" t="s">
        <v>25</v>
      </c>
      <c r="F145" s="4" t="s">
        <v>57</v>
      </c>
      <c r="G145" s="4" t="s">
        <v>25</v>
      </c>
      <c r="H145" s="4" t="s">
        <v>25</v>
      </c>
      <c r="I145" s="5">
        <v>44743</v>
      </c>
      <c r="J145" s="6">
        <v>24481</v>
      </c>
      <c r="K145" s="6">
        <v>9816.8809999999994</v>
      </c>
      <c r="L145" s="6">
        <v>0</v>
      </c>
      <c r="M145" s="6">
        <v>0</v>
      </c>
      <c r="N145" s="6">
        <v>0</v>
      </c>
      <c r="O145" s="6">
        <v>0</v>
      </c>
      <c r="P145" s="6">
        <v>41</v>
      </c>
      <c r="Q145" s="4" t="s">
        <v>58</v>
      </c>
      <c r="R145" s="4">
        <v>0</v>
      </c>
      <c r="S145" s="4">
        <v>6</v>
      </c>
      <c r="T145" s="4">
        <v>0</v>
      </c>
      <c r="U145" s="4">
        <v>0</v>
      </c>
      <c r="V145" s="6">
        <f>IF(ISERROR(VLOOKUP($S$145,'TAR FIN'!$A$1:$O$85,15,0)),0,VLOOKUP($S$145,'TAR FIN'!$A$1:$O$85,15,0))</f>
        <v>16.64</v>
      </c>
      <c r="W145" s="6">
        <f>IF(ISERROR(VLOOKUP($T$145,'TAR FIN'!$A$1:$O$85,15,0)),0,VLOOKUP($T$145,'TAR FIN'!$A$1:$O$85,15,0))</f>
        <v>0</v>
      </c>
      <c r="X145" s="6">
        <f>IF(ISERROR(VLOOKUP($U$145,'TAR FIN'!$A$1:$O$85,15,0)),0,VLOOKUP($U$145,'TAR FIN'!$A$1:$O$85,15,0))</f>
        <v>0</v>
      </c>
      <c r="Y145" s="6">
        <f ca="1">('TUSD BE'!$AM$10+'TUSD BF'!$AM$10+'TUSD CVA'!$AM$10)*1</f>
        <v>18.371854423657158</v>
      </c>
      <c r="Z145" s="6"/>
      <c r="AA145" s="6"/>
      <c r="AB145" s="6">
        <f t="shared" si="14"/>
        <v>244010.94016000003</v>
      </c>
      <c r="AC145" s="6">
        <f t="shared" si="15"/>
        <v>0</v>
      </c>
      <c r="AD145" s="6">
        <f t="shared" ca="1" si="16"/>
        <v>269407.05951918499</v>
      </c>
      <c r="AE145" s="6">
        <f t="shared" si="17"/>
        <v>0</v>
      </c>
      <c r="AF145" s="4" t="s">
        <v>845</v>
      </c>
    </row>
    <row r="146" spans="1:32" ht="11.25" customHeight="1" x14ac:dyDescent="0.25">
      <c r="A146" s="4" t="s">
        <v>56</v>
      </c>
      <c r="B146" s="4" t="s">
        <v>39</v>
      </c>
      <c r="C146" s="4" t="s">
        <v>40</v>
      </c>
      <c r="D146" s="4" t="s">
        <v>38</v>
      </c>
      <c r="E146" s="4" t="s">
        <v>25</v>
      </c>
      <c r="F146" s="4" t="s">
        <v>57</v>
      </c>
      <c r="G146" s="4" t="s">
        <v>25</v>
      </c>
      <c r="H146" s="4" t="s">
        <v>25</v>
      </c>
      <c r="I146" s="5">
        <v>44774</v>
      </c>
      <c r="J146" s="6">
        <v>24481</v>
      </c>
      <c r="K146" s="6">
        <v>9816.8809999999994</v>
      </c>
      <c r="L146" s="6">
        <v>0</v>
      </c>
      <c r="M146" s="6">
        <v>0</v>
      </c>
      <c r="N146" s="6">
        <v>0</v>
      </c>
      <c r="O146" s="6">
        <v>0</v>
      </c>
      <c r="P146" s="6">
        <v>41</v>
      </c>
      <c r="Q146" s="4" t="s">
        <v>58</v>
      </c>
      <c r="R146" s="4">
        <v>0</v>
      </c>
      <c r="S146" s="4">
        <v>6</v>
      </c>
      <c r="T146" s="4">
        <v>0</v>
      </c>
      <c r="U146" s="4">
        <v>0</v>
      </c>
      <c r="V146" s="6">
        <f>IF(ISERROR(VLOOKUP($S$146,'TAR FIN'!$A$1:$O$85,15,0)),0,VLOOKUP($S$146,'TAR FIN'!$A$1:$O$85,15,0))</f>
        <v>16.64</v>
      </c>
      <c r="W146" s="6">
        <f>IF(ISERROR(VLOOKUP($T$146,'TAR FIN'!$A$1:$O$85,15,0)),0,VLOOKUP($T$146,'TAR FIN'!$A$1:$O$85,15,0))</f>
        <v>0</v>
      </c>
      <c r="X146" s="6">
        <f>IF(ISERROR(VLOOKUP($U$146,'TAR FIN'!$A$1:$O$85,15,0)),0,VLOOKUP($U$146,'TAR FIN'!$A$1:$O$85,15,0))</f>
        <v>0</v>
      </c>
      <c r="Y146" s="6">
        <f ca="1">('TUSD BE'!$AM$10+'TUSD BF'!$AM$10+'TUSD CVA'!$AM$10)*1</f>
        <v>18.371854423657158</v>
      </c>
      <c r="Z146" s="6"/>
      <c r="AA146" s="6"/>
      <c r="AB146" s="6">
        <f t="shared" si="14"/>
        <v>244010.94016000003</v>
      </c>
      <c r="AC146" s="6">
        <f t="shared" si="15"/>
        <v>0</v>
      </c>
      <c r="AD146" s="6">
        <f t="shared" ca="1" si="16"/>
        <v>269407.05951918499</v>
      </c>
      <c r="AE146" s="6">
        <f t="shared" si="17"/>
        <v>0</v>
      </c>
      <c r="AF146" s="4" t="s">
        <v>845</v>
      </c>
    </row>
    <row r="147" spans="1:32" ht="11.25" customHeight="1" x14ac:dyDescent="0.25">
      <c r="A147" s="4" t="s">
        <v>21</v>
      </c>
      <c r="B147" s="4" t="s">
        <v>39</v>
      </c>
      <c r="C147" s="4" t="s">
        <v>40</v>
      </c>
      <c r="D147" s="4" t="s">
        <v>38</v>
      </c>
      <c r="E147" s="4" t="s">
        <v>25</v>
      </c>
      <c r="F147" s="4" t="s">
        <v>57</v>
      </c>
      <c r="G147" s="4" t="s">
        <v>25</v>
      </c>
      <c r="H147" s="4" t="s">
        <v>34</v>
      </c>
      <c r="I147" s="5">
        <v>44440</v>
      </c>
      <c r="J147" s="6">
        <v>0</v>
      </c>
      <c r="K147" s="6">
        <v>0</v>
      </c>
      <c r="L147" s="6">
        <v>460.154</v>
      </c>
      <c r="M147" s="6">
        <v>187.65080119999999</v>
      </c>
      <c r="N147" s="6">
        <v>0</v>
      </c>
      <c r="O147" s="6">
        <v>0</v>
      </c>
      <c r="P147" s="6">
        <v>0</v>
      </c>
      <c r="Q147" s="4" t="s">
        <v>58</v>
      </c>
      <c r="R147" s="4">
        <v>0</v>
      </c>
      <c r="S147" s="4">
        <v>0</v>
      </c>
      <c r="T147" s="4">
        <v>7</v>
      </c>
      <c r="U147" s="4">
        <v>0</v>
      </c>
      <c r="V147" s="6">
        <f>IF(ISERROR(VLOOKUP($S$147,'TAR FIN'!$A$1:$O$85,15,0)),0,VLOOKUP($S$147,'TAR FIN'!$A$1:$O$85,15,0))</f>
        <v>0</v>
      </c>
      <c r="W147" s="6">
        <f>IF(ISERROR(VLOOKUP($T$147,'TAR FIN'!$A$1:$O$85,15,0)),0,VLOOKUP($T$147,'TAR FIN'!$A$1:$O$85,15,0))</f>
        <v>1326.39</v>
      </c>
      <c r="X147" s="6">
        <f>IF(ISERROR(VLOOKUP($U$147,'TAR FIN'!$A$1:$O$85,15,0)),0,VLOOKUP($U$147,'TAR FIN'!$A$1:$O$85,15,0))</f>
        <v>0</v>
      </c>
      <c r="Y147" s="6"/>
      <c r="Z147" s="6">
        <f ca="1">('TUSD BE'!$AM$11+'TUSD BF'!$AM$11+'TUSD CVA'!$AM$11)*1</f>
        <v>1532.0020380763981</v>
      </c>
      <c r="AA147" s="6"/>
      <c r="AB147" s="6">
        <f t="shared" si="14"/>
        <v>0</v>
      </c>
      <c r="AC147" s="6">
        <f t="shared" si="15"/>
        <v>361445.51785633201</v>
      </c>
      <c r="AD147" s="6">
        <f t="shared" si="16"/>
        <v>0</v>
      </c>
      <c r="AE147" s="6">
        <f t="shared" ca="1" si="17"/>
        <v>417475.45594393788</v>
      </c>
      <c r="AF147" s="4" t="s">
        <v>845</v>
      </c>
    </row>
    <row r="148" spans="1:32" ht="11.25" customHeight="1" x14ac:dyDescent="0.25">
      <c r="A148" s="4" t="s">
        <v>21</v>
      </c>
      <c r="B148" s="4" t="s">
        <v>39</v>
      </c>
      <c r="C148" s="4" t="s">
        <v>40</v>
      </c>
      <c r="D148" s="4" t="s">
        <v>38</v>
      </c>
      <c r="E148" s="4" t="s">
        <v>25</v>
      </c>
      <c r="F148" s="4" t="s">
        <v>57</v>
      </c>
      <c r="G148" s="4" t="s">
        <v>25</v>
      </c>
      <c r="H148" s="4" t="s">
        <v>34</v>
      </c>
      <c r="I148" s="5">
        <v>44470</v>
      </c>
      <c r="J148" s="6">
        <v>0</v>
      </c>
      <c r="K148" s="6">
        <v>0</v>
      </c>
      <c r="L148" s="6">
        <v>375.12299999999999</v>
      </c>
      <c r="M148" s="6">
        <v>146.14792080000001</v>
      </c>
      <c r="N148" s="6">
        <v>0</v>
      </c>
      <c r="O148" s="6">
        <v>0</v>
      </c>
      <c r="P148" s="6">
        <v>0</v>
      </c>
      <c r="Q148" s="4" t="s">
        <v>58</v>
      </c>
      <c r="R148" s="4">
        <v>0</v>
      </c>
      <c r="S148" s="4">
        <v>0</v>
      </c>
      <c r="T148" s="4">
        <v>7</v>
      </c>
      <c r="U148" s="4">
        <v>0</v>
      </c>
      <c r="V148" s="6">
        <f>IF(ISERROR(VLOOKUP($S$148,'TAR FIN'!$A$1:$O$85,15,0)),0,VLOOKUP($S$148,'TAR FIN'!$A$1:$O$85,15,0))</f>
        <v>0</v>
      </c>
      <c r="W148" s="6">
        <f>IF(ISERROR(VLOOKUP($T$148,'TAR FIN'!$A$1:$O$85,15,0)),0,VLOOKUP($T$148,'TAR FIN'!$A$1:$O$85,15,0))</f>
        <v>1326.39</v>
      </c>
      <c r="X148" s="6">
        <f>IF(ISERROR(VLOOKUP($U$148,'TAR FIN'!$A$1:$O$85,15,0)),0,VLOOKUP($U$148,'TAR FIN'!$A$1:$O$85,15,0))</f>
        <v>0</v>
      </c>
      <c r="Y148" s="6"/>
      <c r="Z148" s="6">
        <f ca="1">('TUSD BE'!$AM$11+'TUSD BF'!$AM$11+'TUSD CVA'!$AM$11)*1</f>
        <v>1532.0020380763981</v>
      </c>
      <c r="AA148" s="6"/>
      <c r="AB148" s="6">
        <f t="shared" si="14"/>
        <v>0</v>
      </c>
      <c r="AC148" s="6">
        <f t="shared" si="15"/>
        <v>303710.25530008797</v>
      </c>
      <c r="AD148" s="6">
        <f t="shared" si="16"/>
        <v>0</v>
      </c>
      <c r="AE148" s="6">
        <f t="shared" ca="1" si="17"/>
        <v>350790.28800310462</v>
      </c>
      <c r="AF148" s="4" t="s">
        <v>845</v>
      </c>
    </row>
    <row r="149" spans="1:32" ht="11.25" customHeight="1" x14ac:dyDescent="0.25">
      <c r="A149" s="4" t="s">
        <v>21</v>
      </c>
      <c r="B149" s="4" t="s">
        <v>39</v>
      </c>
      <c r="C149" s="4" t="s">
        <v>40</v>
      </c>
      <c r="D149" s="4" t="s">
        <v>38</v>
      </c>
      <c r="E149" s="4" t="s">
        <v>25</v>
      </c>
      <c r="F149" s="4" t="s">
        <v>57</v>
      </c>
      <c r="G149" s="4" t="s">
        <v>25</v>
      </c>
      <c r="H149" s="4" t="s">
        <v>34</v>
      </c>
      <c r="I149" s="5">
        <v>44501</v>
      </c>
      <c r="J149" s="6">
        <v>0</v>
      </c>
      <c r="K149" s="6">
        <v>0</v>
      </c>
      <c r="L149" s="6">
        <v>456.67399999999998</v>
      </c>
      <c r="M149" s="6">
        <v>186.59699639999999</v>
      </c>
      <c r="N149" s="6">
        <v>0</v>
      </c>
      <c r="O149" s="6">
        <v>0</v>
      </c>
      <c r="P149" s="6">
        <v>0</v>
      </c>
      <c r="Q149" s="4" t="s">
        <v>58</v>
      </c>
      <c r="R149" s="4">
        <v>0</v>
      </c>
      <c r="S149" s="4">
        <v>0</v>
      </c>
      <c r="T149" s="4">
        <v>7</v>
      </c>
      <c r="U149" s="4">
        <v>0</v>
      </c>
      <c r="V149" s="6">
        <f>IF(ISERROR(VLOOKUP($S$149,'TAR FIN'!$A$1:$O$85,15,0)),0,VLOOKUP($S$149,'TAR FIN'!$A$1:$O$85,15,0))</f>
        <v>0</v>
      </c>
      <c r="W149" s="6">
        <f>IF(ISERROR(VLOOKUP($T$149,'TAR FIN'!$A$1:$O$85,15,0)),0,VLOOKUP($T$149,'TAR FIN'!$A$1:$O$85,15,0))</f>
        <v>1326.39</v>
      </c>
      <c r="X149" s="6">
        <f>IF(ISERROR(VLOOKUP($U$149,'TAR FIN'!$A$1:$O$85,15,0)),0,VLOOKUP($U$149,'TAR FIN'!$A$1:$O$85,15,0))</f>
        <v>0</v>
      </c>
      <c r="Y149" s="6"/>
      <c r="Z149" s="6">
        <f ca="1">('TUSD BE'!$AM$11+'TUSD BF'!$AM$11+'TUSD CVA'!$AM$11)*1</f>
        <v>1532.0020380763981</v>
      </c>
      <c r="AA149" s="6"/>
      <c r="AB149" s="6">
        <f t="shared" si="14"/>
        <v>0</v>
      </c>
      <c r="AC149" s="6">
        <f t="shared" si="15"/>
        <v>358227.43680500402</v>
      </c>
      <c r="AD149" s="6">
        <f t="shared" si="16"/>
        <v>0</v>
      </c>
      <c r="AE149" s="6">
        <f t="shared" ca="1" si="17"/>
        <v>413758.51995276671</v>
      </c>
      <c r="AF149" s="4" t="s">
        <v>845</v>
      </c>
    </row>
    <row r="150" spans="1:32" ht="11.25" customHeight="1" x14ac:dyDescent="0.25">
      <c r="A150" s="4" t="s">
        <v>21</v>
      </c>
      <c r="B150" s="4" t="s">
        <v>39</v>
      </c>
      <c r="C150" s="4" t="s">
        <v>40</v>
      </c>
      <c r="D150" s="4" t="s">
        <v>38</v>
      </c>
      <c r="E150" s="4" t="s">
        <v>25</v>
      </c>
      <c r="F150" s="4" t="s">
        <v>57</v>
      </c>
      <c r="G150" s="4" t="s">
        <v>25</v>
      </c>
      <c r="H150" s="4" t="s">
        <v>34</v>
      </c>
      <c r="I150" s="5">
        <v>44531</v>
      </c>
      <c r="J150" s="6">
        <v>0</v>
      </c>
      <c r="K150" s="6">
        <v>0</v>
      </c>
      <c r="L150" s="6">
        <v>427.88099999999997</v>
      </c>
      <c r="M150" s="6">
        <v>174.74660040000001</v>
      </c>
      <c r="N150" s="6">
        <v>0</v>
      </c>
      <c r="O150" s="6">
        <v>0</v>
      </c>
      <c r="P150" s="6">
        <v>0</v>
      </c>
      <c r="Q150" s="4" t="s">
        <v>58</v>
      </c>
      <c r="R150" s="4">
        <v>0</v>
      </c>
      <c r="S150" s="4">
        <v>0</v>
      </c>
      <c r="T150" s="4">
        <v>7</v>
      </c>
      <c r="U150" s="4">
        <v>0</v>
      </c>
      <c r="V150" s="6">
        <f>IF(ISERROR(VLOOKUP($S$150,'TAR FIN'!$A$1:$O$85,15,0)),0,VLOOKUP($S$150,'TAR FIN'!$A$1:$O$85,15,0))</f>
        <v>0</v>
      </c>
      <c r="W150" s="6">
        <f>IF(ISERROR(VLOOKUP($T$150,'TAR FIN'!$A$1:$O$85,15,0)),0,VLOOKUP($T$150,'TAR FIN'!$A$1:$O$85,15,0))</f>
        <v>1326.39</v>
      </c>
      <c r="X150" s="6">
        <f>IF(ISERROR(VLOOKUP($U$150,'TAR FIN'!$A$1:$O$85,15,0)),0,VLOOKUP($U$150,'TAR FIN'!$A$1:$O$85,15,0))</f>
        <v>0</v>
      </c>
      <c r="Y150" s="6"/>
      <c r="Z150" s="6">
        <f ca="1">('TUSD BE'!$AM$11+'TUSD BF'!$AM$11+'TUSD CVA'!$AM$11)*1</f>
        <v>1532.0020380763981</v>
      </c>
      <c r="AA150" s="6"/>
      <c r="AB150" s="6">
        <f t="shared" si="14"/>
        <v>0</v>
      </c>
      <c r="AC150" s="6">
        <f t="shared" si="15"/>
        <v>335754.93628544395</v>
      </c>
      <c r="AD150" s="6">
        <f t="shared" si="16"/>
        <v>0</v>
      </c>
      <c r="AE150" s="6">
        <f t="shared" ca="1" si="17"/>
        <v>387802.41609444533</v>
      </c>
      <c r="AF150" s="4" t="s">
        <v>845</v>
      </c>
    </row>
    <row r="151" spans="1:32" ht="11.25" customHeight="1" x14ac:dyDescent="0.25">
      <c r="A151" s="4" t="s">
        <v>21</v>
      </c>
      <c r="B151" s="4" t="s">
        <v>39</v>
      </c>
      <c r="C151" s="4" t="s">
        <v>40</v>
      </c>
      <c r="D151" s="4" t="s">
        <v>38</v>
      </c>
      <c r="E151" s="4" t="s">
        <v>25</v>
      </c>
      <c r="F151" s="4" t="s">
        <v>57</v>
      </c>
      <c r="G151" s="4" t="s">
        <v>25</v>
      </c>
      <c r="H151" s="4" t="s">
        <v>34</v>
      </c>
      <c r="I151" s="5">
        <v>44562</v>
      </c>
      <c r="J151" s="6">
        <v>0</v>
      </c>
      <c r="K151" s="6">
        <v>0</v>
      </c>
      <c r="L151" s="6">
        <v>399.09100000000001</v>
      </c>
      <c r="M151" s="6">
        <v>154.448217</v>
      </c>
      <c r="N151" s="6">
        <v>0</v>
      </c>
      <c r="O151" s="6">
        <v>0</v>
      </c>
      <c r="P151" s="6">
        <v>0</v>
      </c>
      <c r="Q151" s="4" t="s">
        <v>58</v>
      </c>
      <c r="R151" s="4">
        <v>0</v>
      </c>
      <c r="S151" s="4">
        <v>0</v>
      </c>
      <c r="T151" s="4">
        <v>7</v>
      </c>
      <c r="U151" s="4">
        <v>0</v>
      </c>
      <c r="V151" s="6">
        <f>IF(ISERROR(VLOOKUP($S$151,'TAR FIN'!$A$1:$O$85,15,0)),0,VLOOKUP($S$151,'TAR FIN'!$A$1:$O$85,15,0))</f>
        <v>0</v>
      </c>
      <c r="W151" s="6">
        <f>IF(ISERROR(VLOOKUP($T$151,'TAR FIN'!$A$1:$O$85,15,0)),0,VLOOKUP($T$151,'TAR FIN'!$A$1:$O$85,15,0))</f>
        <v>1326.39</v>
      </c>
      <c r="X151" s="6">
        <f>IF(ISERROR(VLOOKUP($U$151,'TAR FIN'!$A$1:$O$85,15,0)),0,VLOOKUP($U$151,'TAR FIN'!$A$1:$O$85,15,0))</f>
        <v>0</v>
      </c>
      <c r="Y151" s="6"/>
      <c r="Z151" s="6">
        <f ca="1">('TUSD BE'!$AM$11+'TUSD BF'!$AM$11+'TUSD CVA'!$AM$11)*1</f>
        <v>1532.0020380763981</v>
      </c>
      <c r="AA151" s="6"/>
      <c r="AB151" s="6">
        <f t="shared" si="14"/>
        <v>0</v>
      </c>
      <c r="AC151" s="6">
        <f t="shared" si="15"/>
        <v>324491.74094337004</v>
      </c>
      <c r="AD151" s="6">
        <f t="shared" si="16"/>
        <v>0</v>
      </c>
      <c r="AE151" s="6">
        <f t="shared" ca="1" si="17"/>
        <v>374793.24215668201</v>
      </c>
      <c r="AF151" s="4" t="s">
        <v>845</v>
      </c>
    </row>
    <row r="152" spans="1:32" ht="11.25" customHeight="1" x14ac:dyDescent="0.25">
      <c r="A152" s="4" t="s">
        <v>21</v>
      </c>
      <c r="B152" s="4" t="s">
        <v>39</v>
      </c>
      <c r="C152" s="4" t="s">
        <v>40</v>
      </c>
      <c r="D152" s="4" t="s">
        <v>38</v>
      </c>
      <c r="E152" s="4" t="s">
        <v>25</v>
      </c>
      <c r="F152" s="4" t="s">
        <v>57</v>
      </c>
      <c r="G152" s="4" t="s">
        <v>25</v>
      </c>
      <c r="H152" s="4" t="s">
        <v>34</v>
      </c>
      <c r="I152" s="5">
        <v>44593</v>
      </c>
      <c r="J152" s="6">
        <v>0</v>
      </c>
      <c r="K152" s="6">
        <v>0</v>
      </c>
      <c r="L152" s="6">
        <v>441.58</v>
      </c>
      <c r="M152" s="6">
        <v>182.81412</v>
      </c>
      <c r="N152" s="6">
        <v>0</v>
      </c>
      <c r="O152" s="6">
        <v>0</v>
      </c>
      <c r="P152" s="6">
        <v>0</v>
      </c>
      <c r="Q152" s="4" t="s">
        <v>58</v>
      </c>
      <c r="R152" s="4">
        <v>0</v>
      </c>
      <c r="S152" s="4">
        <v>0</v>
      </c>
      <c r="T152" s="4">
        <v>7</v>
      </c>
      <c r="U152" s="4">
        <v>0</v>
      </c>
      <c r="V152" s="6">
        <f>IF(ISERROR(VLOOKUP($S$152,'TAR FIN'!$A$1:$O$85,15,0)),0,VLOOKUP($S$152,'TAR FIN'!$A$1:$O$85,15,0))</f>
        <v>0</v>
      </c>
      <c r="W152" s="6">
        <f>IF(ISERROR(VLOOKUP($T$152,'TAR FIN'!$A$1:$O$85,15,0)),0,VLOOKUP($T$152,'TAR FIN'!$A$1:$O$85,15,0))</f>
        <v>1326.39</v>
      </c>
      <c r="X152" s="6">
        <f>IF(ISERROR(VLOOKUP($U$152,'TAR FIN'!$A$1:$O$85,15,0)),0,VLOOKUP($U$152,'TAR FIN'!$A$1:$O$85,15,0))</f>
        <v>0</v>
      </c>
      <c r="Y152" s="6"/>
      <c r="Z152" s="6">
        <f ca="1">('TUSD BE'!$AM$11+'TUSD BF'!$AM$11+'TUSD CVA'!$AM$11)*1</f>
        <v>1532.0020380763981</v>
      </c>
      <c r="AA152" s="6"/>
      <c r="AB152" s="6">
        <f t="shared" si="14"/>
        <v>0</v>
      </c>
      <c r="AC152" s="6">
        <f t="shared" si="15"/>
        <v>343224.47557319998</v>
      </c>
      <c r="AD152" s="6">
        <f t="shared" si="16"/>
        <v>0</v>
      </c>
      <c r="AE152" s="6">
        <f t="shared" ca="1" si="17"/>
        <v>396429.85554463265</v>
      </c>
      <c r="AF152" s="4" t="s">
        <v>845</v>
      </c>
    </row>
    <row r="153" spans="1:32" ht="11.25" customHeight="1" x14ac:dyDescent="0.25">
      <c r="A153" s="4" t="s">
        <v>21</v>
      </c>
      <c r="B153" s="4" t="s">
        <v>39</v>
      </c>
      <c r="C153" s="4" t="s">
        <v>40</v>
      </c>
      <c r="D153" s="4" t="s">
        <v>38</v>
      </c>
      <c r="E153" s="4" t="s">
        <v>25</v>
      </c>
      <c r="F153" s="4" t="s">
        <v>57</v>
      </c>
      <c r="G153" s="4" t="s">
        <v>25</v>
      </c>
      <c r="H153" s="4" t="s">
        <v>34</v>
      </c>
      <c r="I153" s="5">
        <v>44621</v>
      </c>
      <c r="J153" s="6">
        <v>0</v>
      </c>
      <c r="K153" s="6">
        <v>0</v>
      </c>
      <c r="L153" s="6">
        <v>445.60199999999998</v>
      </c>
      <c r="M153" s="6">
        <v>183.2315424</v>
      </c>
      <c r="N153" s="6">
        <v>0</v>
      </c>
      <c r="O153" s="6">
        <v>0</v>
      </c>
      <c r="P153" s="6">
        <v>0</v>
      </c>
      <c r="Q153" s="4" t="s">
        <v>58</v>
      </c>
      <c r="R153" s="4">
        <v>0</v>
      </c>
      <c r="S153" s="4">
        <v>0</v>
      </c>
      <c r="T153" s="4">
        <v>7</v>
      </c>
      <c r="U153" s="4">
        <v>0</v>
      </c>
      <c r="V153" s="6">
        <f>IF(ISERROR(VLOOKUP($S$153,'TAR FIN'!$A$1:$O$85,15,0)),0,VLOOKUP($S$153,'TAR FIN'!$A$1:$O$85,15,0))</f>
        <v>0</v>
      </c>
      <c r="W153" s="6">
        <f>IF(ISERROR(VLOOKUP($T$153,'TAR FIN'!$A$1:$O$85,15,0)),0,VLOOKUP($T$153,'TAR FIN'!$A$1:$O$85,15,0))</f>
        <v>1326.39</v>
      </c>
      <c r="X153" s="6">
        <f>IF(ISERROR(VLOOKUP($U$153,'TAR FIN'!$A$1:$O$85,15,0)),0,VLOOKUP($U$153,'TAR FIN'!$A$1:$O$85,15,0))</f>
        <v>0</v>
      </c>
      <c r="Y153" s="6"/>
      <c r="Z153" s="6">
        <f ca="1">('TUSD BE'!$AM$11+'TUSD BF'!$AM$11+'TUSD CVA'!$AM$11)*1</f>
        <v>1532.0020380763981</v>
      </c>
      <c r="AA153" s="6"/>
      <c r="AB153" s="6">
        <f t="shared" si="14"/>
        <v>0</v>
      </c>
      <c r="AC153" s="6">
        <f t="shared" si="15"/>
        <v>348005.55125606403</v>
      </c>
      <c r="AD153" s="6">
        <f t="shared" si="16"/>
        <v>0</v>
      </c>
      <c r="AE153" s="6">
        <f t="shared" ca="1" si="17"/>
        <v>401952.07577423722</v>
      </c>
      <c r="AF153" s="4" t="s">
        <v>845</v>
      </c>
    </row>
    <row r="154" spans="1:32" ht="11.25" customHeight="1" x14ac:dyDescent="0.25">
      <c r="A154" s="4" t="s">
        <v>21</v>
      </c>
      <c r="B154" s="4" t="s">
        <v>39</v>
      </c>
      <c r="C154" s="4" t="s">
        <v>40</v>
      </c>
      <c r="D154" s="4" t="s">
        <v>38</v>
      </c>
      <c r="E154" s="4" t="s">
        <v>25</v>
      </c>
      <c r="F154" s="4" t="s">
        <v>57</v>
      </c>
      <c r="G154" s="4" t="s">
        <v>25</v>
      </c>
      <c r="H154" s="4" t="s">
        <v>34</v>
      </c>
      <c r="I154" s="5">
        <v>44652</v>
      </c>
      <c r="J154" s="6">
        <v>0</v>
      </c>
      <c r="K154" s="6">
        <v>0</v>
      </c>
      <c r="L154" s="6">
        <v>489.24099999999999</v>
      </c>
      <c r="M154" s="6">
        <v>225.58902509999999</v>
      </c>
      <c r="N154" s="6">
        <v>0</v>
      </c>
      <c r="O154" s="6">
        <v>0</v>
      </c>
      <c r="P154" s="6">
        <v>0</v>
      </c>
      <c r="Q154" s="4" t="s">
        <v>58</v>
      </c>
      <c r="R154" s="4">
        <v>0</v>
      </c>
      <c r="S154" s="4">
        <v>0</v>
      </c>
      <c r="T154" s="4">
        <v>7</v>
      </c>
      <c r="U154" s="4">
        <v>0</v>
      </c>
      <c r="V154" s="6">
        <f>IF(ISERROR(VLOOKUP($S$154,'TAR FIN'!$A$1:$O$85,15,0)),0,VLOOKUP($S$154,'TAR FIN'!$A$1:$O$85,15,0))</f>
        <v>0</v>
      </c>
      <c r="W154" s="6">
        <f>IF(ISERROR(VLOOKUP($T$154,'TAR FIN'!$A$1:$O$85,15,0)),0,VLOOKUP($T$154,'TAR FIN'!$A$1:$O$85,15,0))</f>
        <v>1326.39</v>
      </c>
      <c r="X154" s="6">
        <f>IF(ISERROR(VLOOKUP($U$154,'TAR FIN'!$A$1:$O$85,15,0)),0,VLOOKUP($U$154,'TAR FIN'!$A$1:$O$85,15,0))</f>
        <v>0</v>
      </c>
      <c r="Y154" s="6"/>
      <c r="Z154" s="6">
        <f ca="1">('TUSD BE'!$AM$11+'TUSD BF'!$AM$11+'TUSD CVA'!$AM$11)*1</f>
        <v>1532.0020380763981</v>
      </c>
      <c r="AA154" s="6"/>
      <c r="AB154" s="6">
        <f t="shared" si="14"/>
        <v>0</v>
      </c>
      <c r="AC154" s="6">
        <f t="shared" si="15"/>
        <v>349705.34298761107</v>
      </c>
      <c r="AD154" s="6">
        <f t="shared" si="16"/>
        <v>0</v>
      </c>
      <c r="AE154" s="6">
        <f t="shared" ca="1" si="17"/>
        <v>403915.36288966739</v>
      </c>
      <c r="AF154" s="4" t="s">
        <v>845</v>
      </c>
    </row>
    <row r="155" spans="1:32" ht="11.25" customHeight="1" x14ac:dyDescent="0.25">
      <c r="A155" s="4" t="s">
        <v>21</v>
      </c>
      <c r="B155" s="4" t="s">
        <v>39</v>
      </c>
      <c r="C155" s="4" t="s">
        <v>40</v>
      </c>
      <c r="D155" s="4" t="s">
        <v>38</v>
      </c>
      <c r="E155" s="4" t="s">
        <v>25</v>
      </c>
      <c r="F155" s="4" t="s">
        <v>57</v>
      </c>
      <c r="G155" s="4" t="s">
        <v>25</v>
      </c>
      <c r="H155" s="4" t="s">
        <v>34</v>
      </c>
      <c r="I155" s="5">
        <v>44682</v>
      </c>
      <c r="J155" s="6">
        <v>0</v>
      </c>
      <c r="K155" s="6">
        <v>0</v>
      </c>
      <c r="L155" s="6">
        <v>424.39800000000002</v>
      </c>
      <c r="M155" s="6">
        <v>192.84645119999999</v>
      </c>
      <c r="N155" s="6">
        <v>0</v>
      </c>
      <c r="O155" s="6">
        <v>0</v>
      </c>
      <c r="P155" s="6">
        <v>0</v>
      </c>
      <c r="Q155" s="4" t="s">
        <v>58</v>
      </c>
      <c r="R155" s="4">
        <v>0</v>
      </c>
      <c r="S155" s="4">
        <v>0</v>
      </c>
      <c r="T155" s="4">
        <v>7</v>
      </c>
      <c r="U155" s="4">
        <v>0</v>
      </c>
      <c r="V155" s="6">
        <f>IF(ISERROR(VLOOKUP($S$155,'TAR FIN'!$A$1:$O$85,15,0)),0,VLOOKUP($S$155,'TAR FIN'!$A$1:$O$85,15,0))</f>
        <v>0</v>
      </c>
      <c r="W155" s="6">
        <f>IF(ISERROR(VLOOKUP($T$155,'TAR FIN'!$A$1:$O$85,15,0)),0,VLOOKUP($T$155,'TAR FIN'!$A$1:$O$85,15,0))</f>
        <v>1326.39</v>
      </c>
      <c r="X155" s="6">
        <f>IF(ISERROR(VLOOKUP($U$155,'TAR FIN'!$A$1:$O$85,15,0)),0,VLOOKUP($U$155,'TAR FIN'!$A$1:$O$85,15,0))</f>
        <v>0</v>
      </c>
      <c r="Y155" s="6"/>
      <c r="Z155" s="6">
        <f ca="1">('TUSD BE'!$AM$11+'TUSD BF'!$AM$11+'TUSD CVA'!$AM$11)*1</f>
        <v>1532.0020380763981</v>
      </c>
      <c r="AA155" s="6"/>
      <c r="AB155" s="6">
        <f t="shared" si="14"/>
        <v>0</v>
      </c>
      <c r="AC155" s="6">
        <f t="shared" si="15"/>
        <v>307127.65881283209</v>
      </c>
      <c r="AD155" s="6">
        <f t="shared" si="16"/>
        <v>0</v>
      </c>
      <c r="AE155" s="6">
        <f t="shared" ca="1" si="17"/>
        <v>354737.44468134659</v>
      </c>
      <c r="AF155" s="4" t="s">
        <v>845</v>
      </c>
    </row>
    <row r="156" spans="1:32" ht="11.25" customHeight="1" x14ac:dyDescent="0.25">
      <c r="A156" s="4" t="s">
        <v>21</v>
      </c>
      <c r="B156" s="4" t="s">
        <v>39</v>
      </c>
      <c r="C156" s="4" t="s">
        <v>40</v>
      </c>
      <c r="D156" s="4" t="s">
        <v>38</v>
      </c>
      <c r="E156" s="4" t="s">
        <v>25</v>
      </c>
      <c r="F156" s="4" t="s">
        <v>57</v>
      </c>
      <c r="G156" s="4" t="s">
        <v>25</v>
      </c>
      <c r="H156" s="4" t="s">
        <v>34</v>
      </c>
      <c r="I156" s="5">
        <v>44713</v>
      </c>
      <c r="J156" s="6">
        <v>0</v>
      </c>
      <c r="K156" s="6">
        <v>0</v>
      </c>
      <c r="L156" s="6">
        <v>448.86900000000003</v>
      </c>
      <c r="M156" s="6">
        <v>200.19557399999999</v>
      </c>
      <c r="N156" s="6">
        <v>0</v>
      </c>
      <c r="O156" s="6">
        <v>0</v>
      </c>
      <c r="P156" s="6">
        <v>0</v>
      </c>
      <c r="Q156" s="4" t="s">
        <v>58</v>
      </c>
      <c r="R156" s="4">
        <v>0</v>
      </c>
      <c r="S156" s="4">
        <v>0</v>
      </c>
      <c r="T156" s="4">
        <v>7</v>
      </c>
      <c r="U156" s="4">
        <v>0</v>
      </c>
      <c r="V156" s="6">
        <f>IF(ISERROR(VLOOKUP($S$156,'TAR FIN'!$A$1:$O$85,15,0)),0,VLOOKUP($S$156,'TAR FIN'!$A$1:$O$85,15,0))</f>
        <v>0</v>
      </c>
      <c r="W156" s="6">
        <f>IF(ISERROR(VLOOKUP($T$156,'TAR FIN'!$A$1:$O$85,15,0)),0,VLOOKUP($T$156,'TAR FIN'!$A$1:$O$85,15,0))</f>
        <v>1326.39</v>
      </c>
      <c r="X156" s="6">
        <f>IF(ISERROR(VLOOKUP($U$156,'TAR FIN'!$A$1:$O$85,15,0)),0,VLOOKUP($U$156,'TAR FIN'!$A$1:$O$85,15,0))</f>
        <v>0</v>
      </c>
      <c r="Y156" s="6"/>
      <c r="Z156" s="6">
        <f ca="1">('TUSD BE'!$AM$11+'TUSD BF'!$AM$11+'TUSD CVA'!$AM$11)*1</f>
        <v>1532.0020380763981</v>
      </c>
      <c r="AA156" s="6"/>
      <c r="AB156" s="6">
        <f t="shared" si="14"/>
        <v>0</v>
      </c>
      <c r="AC156" s="6">
        <f t="shared" si="15"/>
        <v>329837.94551214005</v>
      </c>
      <c r="AD156" s="6">
        <f t="shared" si="16"/>
        <v>0</v>
      </c>
      <c r="AE156" s="6">
        <f t="shared" ca="1" si="17"/>
        <v>380968.19544744043</v>
      </c>
      <c r="AF156" s="4" t="s">
        <v>845</v>
      </c>
    </row>
    <row r="157" spans="1:32" ht="11.25" customHeight="1" x14ac:dyDescent="0.25">
      <c r="A157" s="4" t="s">
        <v>21</v>
      </c>
      <c r="B157" s="4" t="s">
        <v>39</v>
      </c>
      <c r="C157" s="4" t="s">
        <v>40</v>
      </c>
      <c r="D157" s="4" t="s">
        <v>38</v>
      </c>
      <c r="E157" s="4" t="s">
        <v>25</v>
      </c>
      <c r="F157" s="4" t="s">
        <v>57</v>
      </c>
      <c r="G157" s="4" t="s">
        <v>25</v>
      </c>
      <c r="H157" s="4" t="s">
        <v>34</v>
      </c>
      <c r="I157" s="5">
        <v>44743</v>
      </c>
      <c r="J157" s="6">
        <v>0</v>
      </c>
      <c r="K157" s="6">
        <v>0</v>
      </c>
      <c r="L157" s="6">
        <v>455.94499999999999</v>
      </c>
      <c r="M157" s="6">
        <v>195.87397200000001</v>
      </c>
      <c r="N157" s="6">
        <v>0</v>
      </c>
      <c r="O157" s="6">
        <v>0</v>
      </c>
      <c r="P157" s="6">
        <v>0</v>
      </c>
      <c r="Q157" s="4" t="s">
        <v>58</v>
      </c>
      <c r="R157" s="4">
        <v>0</v>
      </c>
      <c r="S157" s="4">
        <v>0</v>
      </c>
      <c r="T157" s="4">
        <v>7</v>
      </c>
      <c r="U157" s="4">
        <v>0</v>
      </c>
      <c r="V157" s="6">
        <f>IF(ISERROR(VLOOKUP($S$157,'TAR FIN'!$A$1:$O$85,15,0)),0,VLOOKUP($S$157,'TAR FIN'!$A$1:$O$85,15,0))</f>
        <v>0</v>
      </c>
      <c r="W157" s="6">
        <f>IF(ISERROR(VLOOKUP($T$157,'TAR FIN'!$A$1:$O$85,15,0)),0,VLOOKUP($T$157,'TAR FIN'!$A$1:$O$85,15,0))</f>
        <v>1326.39</v>
      </c>
      <c r="X157" s="6">
        <f>IF(ISERROR(VLOOKUP($U$157,'TAR FIN'!$A$1:$O$85,15,0)),0,VLOOKUP($U$157,'TAR FIN'!$A$1:$O$85,15,0))</f>
        <v>0</v>
      </c>
      <c r="Y157" s="6"/>
      <c r="Z157" s="6">
        <f ca="1">('TUSD BE'!$AM$11+'TUSD BF'!$AM$11+'TUSD CVA'!$AM$11)*1</f>
        <v>1532.0020380763981</v>
      </c>
      <c r="AA157" s="6"/>
      <c r="AB157" s="6">
        <f t="shared" si="14"/>
        <v>0</v>
      </c>
      <c r="AC157" s="6">
        <f t="shared" si="15"/>
        <v>344955.61082891998</v>
      </c>
      <c r="AD157" s="6">
        <f t="shared" si="16"/>
        <v>0</v>
      </c>
      <c r="AE157" s="6">
        <f t="shared" ca="1" si="17"/>
        <v>398429.34494062391</v>
      </c>
      <c r="AF157" s="4" t="s">
        <v>845</v>
      </c>
    </row>
    <row r="158" spans="1:32" ht="11.25" customHeight="1" x14ac:dyDescent="0.25">
      <c r="A158" s="4" t="s">
        <v>56</v>
      </c>
      <c r="B158" s="4" t="s">
        <v>39</v>
      </c>
      <c r="C158" s="4" t="s">
        <v>40</v>
      </c>
      <c r="D158" s="4" t="s">
        <v>38</v>
      </c>
      <c r="E158" s="4" t="s">
        <v>25</v>
      </c>
      <c r="F158" s="4" t="s">
        <v>57</v>
      </c>
      <c r="G158" s="4" t="s">
        <v>25</v>
      </c>
      <c r="H158" s="4" t="s">
        <v>34</v>
      </c>
      <c r="I158" s="5">
        <v>44774</v>
      </c>
      <c r="J158" s="6">
        <v>0</v>
      </c>
      <c r="K158" s="6">
        <v>0</v>
      </c>
      <c r="L158" s="6">
        <v>455.94499999999999</v>
      </c>
      <c r="M158" s="6">
        <v>195.87397200000001</v>
      </c>
      <c r="N158" s="6">
        <v>0</v>
      </c>
      <c r="O158" s="6">
        <v>0</v>
      </c>
      <c r="P158" s="6">
        <v>0</v>
      </c>
      <c r="Q158" s="4" t="s">
        <v>58</v>
      </c>
      <c r="R158" s="4">
        <v>0</v>
      </c>
      <c r="S158" s="4">
        <v>0</v>
      </c>
      <c r="T158" s="4">
        <v>7</v>
      </c>
      <c r="U158" s="4">
        <v>0</v>
      </c>
      <c r="V158" s="6">
        <f>IF(ISERROR(VLOOKUP($S$158,'TAR FIN'!$A$1:$O$85,15,0)),0,VLOOKUP($S$158,'TAR FIN'!$A$1:$O$85,15,0))</f>
        <v>0</v>
      </c>
      <c r="W158" s="6">
        <f>IF(ISERROR(VLOOKUP($T$158,'TAR FIN'!$A$1:$O$85,15,0)),0,VLOOKUP($T$158,'TAR FIN'!$A$1:$O$85,15,0))</f>
        <v>1326.39</v>
      </c>
      <c r="X158" s="6">
        <f>IF(ISERROR(VLOOKUP($U$158,'TAR FIN'!$A$1:$O$85,15,0)),0,VLOOKUP($U$158,'TAR FIN'!$A$1:$O$85,15,0))</f>
        <v>0</v>
      </c>
      <c r="Y158" s="6"/>
      <c r="Z158" s="6">
        <f ca="1">('TUSD BE'!$AM$11+'TUSD BF'!$AM$11+'TUSD CVA'!$AM$11)*1</f>
        <v>1532.0020380763981</v>
      </c>
      <c r="AA158" s="6"/>
      <c r="AB158" s="6">
        <f t="shared" si="14"/>
        <v>0</v>
      </c>
      <c r="AC158" s="6">
        <f t="shared" si="15"/>
        <v>344955.61082891998</v>
      </c>
      <c r="AD158" s="6">
        <f t="shared" si="16"/>
        <v>0</v>
      </c>
      <c r="AE158" s="6">
        <f t="shared" ca="1" si="17"/>
        <v>398429.34494062391</v>
      </c>
      <c r="AF158" s="4" t="s">
        <v>845</v>
      </c>
    </row>
    <row r="159" spans="1:32" ht="11.25" customHeight="1" x14ac:dyDescent="0.25">
      <c r="A159" s="4" t="s">
        <v>21</v>
      </c>
      <c r="B159" s="4" t="s">
        <v>39</v>
      </c>
      <c r="C159" s="4" t="s">
        <v>40</v>
      </c>
      <c r="D159" s="4" t="s">
        <v>49</v>
      </c>
      <c r="E159" s="4" t="s">
        <v>50</v>
      </c>
      <c r="F159" s="4" t="s">
        <v>25</v>
      </c>
      <c r="G159" s="4" t="s">
        <v>25</v>
      </c>
      <c r="H159" s="4" t="s">
        <v>35</v>
      </c>
      <c r="I159" s="5">
        <v>44440</v>
      </c>
      <c r="J159" s="6">
        <v>0</v>
      </c>
      <c r="K159" s="70">
        <v>0</v>
      </c>
      <c r="L159" s="6">
        <v>110.005</v>
      </c>
      <c r="M159" s="70">
        <v>110.005</v>
      </c>
      <c r="N159" s="6">
        <v>110.005</v>
      </c>
      <c r="O159" s="70">
        <v>110.005</v>
      </c>
      <c r="P159" s="6">
        <v>0</v>
      </c>
      <c r="Q159" s="4" t="s">
        <v>26</v>
      </c>
      <c r="R159" s="4">
        <v>0</v>
      </c>
      <c r="S159" s="4">
        <v>0</v>
      </c>
      <c r="T159" s="4">
        <v>8</v>
      </c>
      <c r="U159" s="4">
        <v>49</v>
      </c>
      <c r="V159" s="70">
        <f>IF(ISERROR(VLOOKUP($S$159,'TAR FIN'!$A$1:$O$85,15,0)),0,VLOOKUP($S$159,'TAR FIN'!$A$1:$O$85,15,0))</f>
        <v>0</v>
      </c>
      <c r="W159" s="70">
        <f>IF(ISERROR(VLOOKUP($T$159,'TAR FIN'!$A$1:$O$85,15,0)),0,VLOOKUP($T$159,'TAR FIN'!$A$1:$O$85,15,0))*(1-0.06)</f>
        <v>72.144999999999996</v>
      </c>
      <c r="X159" s="70">
        <f>IF(ISERROR(VLOOKUP($U$159,'TAR FIN'!$A$1:$O$85,15,0)),0,VLOOKUP($U$159,'TAR FIN'!$A$1:$O$85,15,0))*(1-0.06)</f>
        <v>288.65519999999998</v>
      </c>
      <c r="Y159" s="70"/>
      <c r="Z159" s="70">
        <f ca="1">('TUSD BE'!$AM$12+'TUSD BF'!$AM$12+'TUSD CVA'!$AM$12)*1*(1-0.03)</f>
        <v>143.55448214271752</v>
      </c>
      <c r="AA159" s="70">
        <f>('TE BE'!$AB$6+'TE BF'!$AB$6+'TE CVA'!$AB$6)*1*(1-0.03)</f>
        <v>295.72417018043757</v>
      </c>
      <c r="AB159" s="70">
        <f>(SUBSIDIO!$J$159*SUBSIDIO!$V$159)*(0.06)/(1-0.06)</f>
        <v>0</v>
      </c>
      <c r="AC159" s="70">
        <f>((SUBSIDIO!$L$159*SUBSIDIO!$W$159)+(SUBSIDIO!$N$159*SUBSIDIO!$X$159))*(0.06)/(1-0.06)</f>
        <v>2533.3931489999995</v>
      </c>
      <c r="AD159" s="70">
        <f>(SUBSIDIO!$J$159*SUBSIDIO!$Y$159)*(0.03)/(1-0.03)</f>
        <v>0</v>
      </c>
      <c r="AE159" s="70">
        <f ca="1">((SUBSIDIO!$L$159*SUBSIDIO!$Z$159)+(SUBSIDIO!$N$159*SUBSIDIO!$AA$159))*(0.03)/(1-0.03)</f>
        <v>1494.5210767672786</v>
      </c>
      <c r="AF159" s="4" t="s">
        <v>847</v>
      </c>
    </row>
    <row r="160" spans="1:32" ht="11.25" customHeight="1" x14ac:dyDescent="0.25">
      <c r="A160" s="4" t="s">
        <v>21</v>
      </c>
      <c r="B160" s="4" t="s">
        <v>39</v>
      </c>
      <c r="C160" s="4" t="s">
        <v>40</v>
      </c>
      <c r="D160" s="4" t="s">
        <v>49</v>
      </c>
      <c r="E160" s="4" t="s">
        <v>50</v>
      </c>
      <c r="F160" s="4" t="s">
        <v>25</v>
      </c>
      <c r="G160" s="4" t="s">
        <v>25</v>
      </c>
      <c r="H160" s="4" t="s">
        <v>35</v>
      </c>
      <c r="I160" s="5">
        <v>44470</v>
      </c>
      <c r="J160" s="6">
        <v>0</v>
      </c>
      <c r="K160" s="70">
        <v>0</v>
      </c>
      <c r="L160" s="6">
        <v>110.5</v>
      </c>
      <c r="M160" s="70">
        <v>110.5</v>
      </c>
      <c r="N160" s="6">
        <v>110.5</v>
      </c>
      <c r="O160" s="70">
        <v>110.5</v>
      </c>
      <c r="P160" s="6">
        <v>0</v>
      </c>
      <c r="Q160" s="4" t="s">
        <v>26</v>
      </c>
      <c r="R160" s="4">
        <v>0</v>
      </c>
      <c r="S160" s="4">
        <v>0</v>
      </c>
      <c r="T160" s="4">
        <v>8</v>
      </c>
      <c r="U160" s="4">
        <v>49</v>
      </c>
      <c r="V160" s="70">
        <f>IF(ISERROR(VLOOKUP($S$160,'TAR FIN'!$A$1:$O$85,15,0)),0,VLOOKUP($S$160,'TAR FIN'!$A$1:$O$85,15,0))</f>
        <v>0</v>
      </c>
      <c r="W160" s="70">
        <f>IF(ISERROR(VLOOKUP($T$160,'TAR FIN'!$A$1:$O$85,15,0)),0,VLOOKUP($T$160,'TAR FIN'!$A$1:$O$85,15,0))*(1-0.06)</f>
        <v>72.144999999999996</v>
      </c>
      <c r="X160" s="70">
        <f>IF(ISERROR(VLOOKUP($U$160,'TAR FIN'!$A$1:$O$85,15,0)),0,VLOOKUP($U$160,'TAR FIN'!$A$1:$O$85,15,0))*(1-0.06)</f>
        <v>288.65519999999998</v>
      </c>
      <c r="Y160" s="70"/>
      <c r="Z160" s="70">
        <f ca="1">('TUSD BE'!$AM$12+'TUSD BF'!$AM$12+'TUSD CVA'!$AM$12)*1*(1-0.03)</f>
        <v>143.55448214271752</v>
      </c>
      <c r="AA160" s="70">
        <f>('TE BE'!$AB$6+'TE BF'!$AB$6+'TE CVA'!$AB$6)*1*(1-0.03)</f>
        <v>295.72417018043757</v>
      </c>
      <c r="AB160" s="70">
        <f>(SUBSIDIO!$J$160*SUBSIDIO!$V$160)*(0.06)/(1-0.06)</f>
        <v>0</v>
      </c>
      <c r="AC160" s="70">
        <f>((SUBSIDIO!$L$160*SUBSIDIO!$W$160)+(SUBSIDIO!$N$160*SUBSIDIO!$X$160))*(0.06)/(1-0.06)</f>
        <v>2544.7928999999999</v>
      </c>
      <c r="AD160" s="70">
        <f>(SUBSIDIO!$J$160*SUBSIDIO!$Y$160)*(0.03)/(1-0.03)</f>
        <v>0</v>
      </c>
      <c r="AE160" s="70">
        <f ca="1">((SUBSIDIO!$L$160*SUBSIDIO!$Z$160)+(SUBSIDIO!$N$160*SUBSIDIO!$AA$160))*(0.03)/(1-0.03)</f>
        <v>1501.2461159291331</v>
      </c>
      <c r="AF160" s="4" t="s">
        <v>847</v>
      </c>
    </row>
    <row r="161" spans="1:32" ht="11.25" customHeight="1" x14ac:dyDescent="0.25">
      <c r="A161" s="4" t="s">
        <v>21</v>
      </c>
      <c r="B161" s="4" t="s">
        <v>39</v>
      </c>
      <c r="C161" s="4" t="s">
        <v>40</v>
      </c>
      <c r="D161" s="4" t="s">
        <v>49</v>
      </c>
      <c r="E161" s="4" t="s">
        <v>50</v>
      </c>
      <c r="F161" s="4" t="s">
        <v>25</v>
      </c>
      <c r="G161" s="4" t="s">
        <v>25</v>
      </c>
      <c r="H161" s="4" t="s">
        <v>35</v>
      </c>
      <c r="I161" s="5">
        <v>44501</v>
      </c>
      <c r="J161" s="6">
        <v>0</v>
      </c>
      <c r="K161" s="70">
        <v>0</v>
      </c>
      <c r="L161" s="6">
        <v>134.03100000000001</v>
      </c>
      <c r="M161" s="70">
        <v>134.03100000000001</v>
      </c>
      <c r="N161" s="6">
        <v>134.03100000000001</v>
      </c>
      <c r="O161" s="70">
        <v>134.03100000000001</v>
      </c>
      <c r="P161" s="6">
        <v>0</v>
      </c>
      <c r="Q161" s="4" t="s">
        <v>26</v>
      </c>
      <c r="R161" s="4">
        <v>0</v>
      </c>
      <c r="S161" s="4">
        <v>0</v>
      </c>
      <c r="T161" s="4">
        <v>8</v>
      </c>
      <c r="U161" s="4">
        <v>49</v>
      </c>
      <c r="V161" s="70">
        <f>IF(ISERROR(VLOOKUP($S$161,'TAR FIN'!$A$1:$O$85,15,0)),0,VLOOKUP($S$161,'TAR FIN'!$A$1:$O$85,15,0))</f>
        <v>0</v>
      </c>
      <c r="W161" s="70">
        <f>IF(ISERROR(VLOOKUP($T$161,'TAR FIN'!$A$1:$O$85,15,0)),0,VLOOKUP($T$161,'TAR FIN'!$A$1:$O$85,15,0))*(1-0.06)</f>
        <v>72.144999999999996</v>
      </c>
      <c r="X161" s="70">
        <f>IF(ISERROR(VLOOKUP($U$161,'TAR FIN'!$A$1:$O$85,15,0)),0,VLOOKUP($U$161,'TAR FIN'!$A$1:$O$85,15,0))*(1-0.06)</f>
        <v>288.65519999999998</v>
      </c>
      <c r="Y161" s="70"/>
      <c r="Z161" s="70">
        <f ca="1">('TUSD BE'!$AM$12+'TUSD BF'!$AM$12+'TUSD CVA'!$AM$12)*1*(1-0.03)</f>
        <v>143.55448214271752</v>
      </c>
      <c r="AA161" s="70">
        <f>('TE BE'!$AB$6+'TE BF'!$AB$6+'TE CVA'!$AB$6)*1*(1-0.03)</f>
        <v>295.72417018043757</v>
      </c>
      <c r="AB161" s="70">
        <f>(SUBSIDIO!$J$161*SUBSIDIO!$V$161)*(0.06)/(1-0.06)</f>
        <v>0</v>
      </c>
      <c r="AC161" s="70">
        <f>((SUBSIDIO!$L$161*SUBSIDIO!$W$161)+(SUBSIDIO!$N$161*SUBSIDIO!$X$161))*(0.06)/(1-0.06)</f>
        <v>3086.7071237999999</v>
      </c>
      <c r="AD161" s="70">
        <f>(SUBSIDIO!$J$161*SUBSIDIO!$Y$161)*(0.03)/(1-0.03)</f>
        <v>0</v>
      </c>
      <c r="AE161" s="70">
        <f ca="1">((SUBSIDIO!$L$161*SUBSIDIO!$Z$161)+(SUBSIDIO!$N$161*SUBSIDIO!$AA$161))*(0.03)/(1-0.03)</f>
        <v>1820.9368159646845</v>
      </c>
      <c r="AF161" s="4" t="s">
        <v>847</v>
      </c>
    </row>
    <row r="162" spans="1:32" ht="11.25" customHeight="1" x14ac:dyDescent="0.25">
      <c r="A162" s="4" t="s">
        <v>27</v>
      </c>
      <c r="B162" s="4" t="s">
        <v>39</v>
      </c>
      <c r="C162" s="4" t="s">
        <v>40</v>
      </c>
      <c r="D162" s="4" t="s">
        <v>49</v>
      </c>
      <c r="E162" s="4" t="s">
        <v>50</v>
      </c>
      <c r="F162" s="4" t="s">
        <v>25</v>
      </c>
      <c r="G162" s="4" t="s">
        <v>25</v>
      </c>
      <c r="H162" s="4" t="s">
        <v>35</v>
      </c>
      <c r="I162" s="5">
        <v>44501</v>
      </c>
      <c r="J162" s="6">
        <v>0</v>
      </c>
      <c r="K162" s="70">
        <v>0</v>
      </c>
      <c r="L162" s="6">
        <v>28.565000000000001</v>
      </c>
      <c r="M162" s="70">
        <v>28.565000000000001</v>
      </c>
      <c r="N162" s="6">
        <v>28.565000000000001</v>
      </c>
      <c r="O162" s="70">
        <v>28.565000000000001</v>
      </c>
      <c r="P162" s="6">
        <v>0</v>
      </c>
      <c r="Q162" s="4" t="s">
        <v>26</v>
      </c>
      <c r="R162" s="4">
        <v>0</v>
      </c>
      <c r="S162" s="4">
        <v>0</v>
      </c>
      <c r="T162" s="4">
        <v>8</v>
      </c>
      <c r="U162" s="4">
        <v>49</v>
      </c>
      <c r="V162" s="70">
        <f>IF(ISERROR(VLOOKUP($S$162,'TAR FIN'!$A$1:$O$85,15,0)),0,VLOOKUP($S$162,'TAR FIN'!$A$1:$O$85,15,0))</f>
        <v>0</v>
      </c>
      <c r="W162" s="70">
        <f>IF(ISERROR(VLOOKUP($T$162,'TAR FIN'!$A$1:$O$85,15,0)),0,VLOOKUP($T$162,'TAR FIN'!$A$1:$O$85,15,0))*(1-0.06)</f>
        <v>72.144999999999996</v>
      </c>
      <c r="X162" s="70">
        <f>IF(ISERROR(VLOOKUP($U$162,'TAR FIN'!$A$1:$O$85,15,0)),0,VLOOKUP($U$162,'TAR FIN'!$A$1:$O$85,15,0))*(1-0.06)</f>
        <v>288.65519999999998</v>
      </c>
      <c r="Y162" s="70"/>
      <c r="Z162" s="70">
        <f ca="1">('TUSD BE'!$AM$12+'TUSD BF'!$AM$12+'TUSD CVA'!$AM$12)*1*(1-0.03)</f>
        <v>143.55448214271752</v>
      </c>
      <c r="AA162" s="70">
        <f>('TE BE'!$AB$6+'TE BF'!$AB$6+'TE CVA'!$AB$6)*1*(1-0.03)</f>
        <v>295.72417018043757</v>
      </c>
      <c r="AB162" s="70">
        <f>(SUBSIDIO!$J$162*SUBSIDIO!$V$162)*(0.06)/(1-0.06)</f>
        <v>0</v>
      </c>
      <c r="AC162" s="70">
        <f>((SUBSIDIO!$L$162*SUBSIDIO!$W$162)+(SUBSIDIO!$N$162*SUBSIDIO!$X$162))*(0.06)/(1-0.06)</f>
        <v>657.84623700000009</v>
      </c>
      <c r="AD162" s="70">
        <f>(SUBSIDIO!$J$162*SUBSIDIO!$Y$162)*(0.03)/(1-0.03)</f>
        <v>0</v>
      </c>
      <c r="AE162" s="70">
        <f ca="1">((SUBSIDIO!$L$162*SUBSIDIO!$Z$162)+(SUBSIDIO!$N$162*SUBSIDIO!$AA$162))*(0.03)/(1-0.03)</f>
        <v>388.08231042095645</v>
      </c>
      <c r="AF162" s="4" t="s">
        <v>847</v>
      </c>
    </row>
    <row r="163" spans="1:32" ht="11.25" customHeight="1" x14ac:dyDescent="0.25">
      <c r="A163" s="4" t="s">
        <v>21</v>
      </c>
      <c r="B163" s="4" t="s">
        <v>39</v>
      </c>
      <c r="C163" s="4" t="s">
        <v>40</v>
      </c>
      <c r="D163" s="4" t="s">
        <v>49</v>
      </c>
      <c r="E163" s="4" t="s">
        <v>50</v>
      </c>
      <c r="F163" s="4" t="s">
        <v>25</v>
      </c>
      <c r="G163" s="4" t="s">
        <v>25</v>
      </c>
      <c r="H163" s="4" t="s">
        <v>35</v>
      </c>
      <c r="I163" s="5">
        <v>44531</v>
      </c>
      <c r="J163" s="6">
        <v>0</v>
      </c>
      <c r="K163" s="70">
        <v>0</v>
      </c>
      <c r="L163" s="6">
        <v>134.548</v>
      </c>
      <c r="M163" s="70">
        <v>134.548</v>
      </c>
      <c r="N163" s="6">
        <v>134.548</v>
      </c>
      <c r="O163" s="70">
        <v>134.548</v>
      </c>
      <c r="P163" s="6">
        <v>0</v>
      </c>
      <c r="Q163" s="4" t="s">
        <v>26</v>
      </c>
      <c r="R163" s="4">
        <v>0</v>
      </c>
      <c r="S163" s="4">
        <v>0</v>
      </c>
      <c r="T163" s="4">
        <v>8</v>
      </c>
      <c r="U163" s="4">
        <v>49</v>
      </c>
      <c r="V163" s="70">
        <f>IF(ISERROR(VLOOKUP($S$163,'TAR FIN'!$A$1:$O$85,15,0)),0,VLOOKUP($S$163,'TAR FIN'!$A$1:$O$85,15,0))</f>
        <v>0</v>
      </c>
      <c r="W163" s="70">
        <f>IF(ISERROR(VLOOKUP($T$163,'TAR FIN'!$A$1:$O$85,15,0)),0,VLOOKUP($T$163,'TAR FIN'!$A$1:$O$85,15,0))*(1-0.06)</f>
        <v>72.144999999999996</v>
      </c>
      <c r="X163" s="70">
        <f>IF(ISERROR(VLOOKUP($U$163,'TAR FIN'!$A$1:$O$85,15,0)),0,VLOOKUP($U$163,'TAR FIN'!$A$1:$O$85,15,0))*(1-0.06)</f>
        <v>288.65519999999998</v>
      </c>
      <c r="Y163" s="70"/>
      <c r="Z163" s="70">
        <f ca="1">('TUSD BE'!$AM$12+'TUSD BF'!$AM$12+'TUSD CVA'!$AM$12)*1*(1-0.03)</f>
        <v>143.55448214271752</v>
      </c>
      <c r="AA163" s="70">
        <f>('TE BE'!$AB$6+'TE BF'!$AB$6+'TE CVA'!$AB$6)*1*(1-0.03)</f>
        <v>295.72417018043757</v>
      </c>
      <c r="AB163" s="70">
        <f>(SUBSIDIO!$J$163*SUBSIDIO!$V$163)*(0.06)/(1-0.06)</f>
        <v>0</v>
      </c>
      <c r="AC163" s="70">
        <f>((SUBSIDIO!$L$163*SUBSIDIO!$W$163)+(SUBSIDIO!$N$163*SUBSIDIO!$X$163))*(0.06)/(1-0.06)</f>
        <v>3098.6135303999999</v>
      </c>
      <c r="AD163" s="70">
        <f>(SUBSIDIO!$J$163*SUBSIDIO!$Y$163)*(0.03)/(1-0.03)</f>
        <v>0</v>
      </c>
      <c r="AE163" s="70">
        <f ca="1">((SUBSIDIO!$L$163*SUBSIDIO!$Z$163)+(SUBSIDIO!$N$163*SUBSIDIO!$AA$163))*(0.03)/(1-0.03)</f>
        <v>1827.9607457559546</v>
      </c>
      <c r="AF163" s="4" t="s">
        <v>847</v>
      </c>
    </row>
    <row r="164" spans="1:32" ht="11.25" customHeight="1" x14ac:dyDescent="0.25">
      <c r="A164" s="4" t="s">
        <v>21</v>
      </c>
      <c r="B164" s="4" t="s">
        <v>39</v>
      </c>
      <c r="C164" s="4" t="s">
        <v>40</v>
      </c>
      <c r="D164" s="4" t="s">
        <v>49</v>
      </c>
      <c r="E164" s="4" t="s">
        <v>50</v>
      </c>
      <c r="F164" s="4" t="s">
        <v>25</v>
      </c>
      <c r="G164" s="4" t="s">
        <v>25</v>
      </c>
      <c r="H164" s="4" t="s">
        <v>35</v>
      </c>
      <c r="I164" s="5">
        <v>44562</v>
      </c>
      <c r="J164" s="6">
        <v>0</v>
      </c>
      <c r="K164" s="70">
        <v>0</v>
      </c>
      <c r="L164" s="6">
        <v>145.012</v>
      </c>
      <c r="M164" s="70">
        <v>145.012</v>
      </c>
      <c r="N164" s="6">
        <v>145.012</v>
      </c>
      <c r="O164" s="70">
        <v>145.012</v>
      </c>
      <c r="P164" s="6">
        <v>0</v>
      </c>
      <c r="Q164" s="4" t="s">
        <v>26</v>
      </c>
      <c r="R164" s="4">
        <v>0</v>
      </c>
      <c r="S164" s="4">
        <v>0</v>
      </c>
      <c r="T164" s="4">
        <v>8</v>
      </c>
      <c r="U164" s="4">
        <v>49</v>
      </c>
      <c r="V164" s="70">
        <f>IF(ISERROR(VLOOKUP($S$164,'TAR FIN'!$A$1:$O$85,15,0)),0,VLOOKUP($S$164,'TAR FIN'!$A$1:$O$85,15,0))</f>
        <v>0</v>
      </c>
      <c r="W164" s="70">
        <f>IF(ISERROR(VLOOKUP($T$164,'TAR FIN'!$A$1:$O$85,15,0)),0,VLOOKUP($T$164,'TAR FIN'!$A$1:$O$85,15,0))*(1-0.06)</f>
        <v>72.144999999999996</v>
      </c>
      <c r="X164" s="70">
        <f>IF(ISERROR(VLOOKUP($U$164,'TAR FIN'!$A$1:$O$85,15,0)),0,VLOOKUP($U$164,'TAR FIN'!$A$1:$O$85,15,0))*(1-0.06)</f>
        <v>288.65519999999998</v>
      </c>
      <c r="Y164" s="70"/>
      <c r="Z164" s="70">
        <f ca="1">('TUSD BE'!$AM$12+'TUSD BF'!$AM$12+'TUSD CVA'!$AM$12)*1*(1-0.03)</f>
        <v>143.55448214271752</v>
      </c>
      <c r="AA164" s="70">
        <f>('TE BE'!$AB$6+'TE BF'!$AB$6+'TE CVA'!$AB$6)*1*(1-0.03)</f>
        <v>295.72417018043757</v>
      </c>
      <c r="AB164" s="70">
        <f>(SUBSIDIO!$J$164*SUBSIDIO!$V$164)*(0.06)/(1-0.06)</f>
        <v>0</v>
      </c>
      <c r="AC164" s="70">
        <f>((SUBSIDIO!$L$164*SUBSIDIO!$W$164)+(SUBSIDIO!$N$164*SUBSIDIO!$X$164))*(0.06)/(1-0.06)</f>
        <v>3339.5973575999997</v>
      </c>
      <c r="AD164" s="70">
        <f>(SUBSIDIO!$J$164*SUBSIDIO!$Y$164)*(0.03)/(1-0.03)</f>
        <v>0</v>
      </c>
      <c r="AE164" s="70">
        <f ca="1">((SUBSIDIO!$L$164*SUBSIDIO!$Z$164)+(SUBSIDIO!$N$164*SUBSIDIO!$AA$164))*(0.03)/(1-0.03)</f>
        <v>1970.1239978562483</v>
      </c>
      <c r="AF164" s="4" t="s">
        <v>847</v>
      </c>
    </row>
    <row r="165" spans="1:32" ht="11.25" customHeight="1" x14ac:dyDescent="0.25">
      <c r="A165" s="4" t="s">
        <v>21</v>
      </c>
      <c r="B165" s="4" t="s">
        <v>39</v>
      </c>
      <c r="C165" s="4" t="s">
        <v>40</v>
      </c>
      <c r="D165" s="4" t="s">
        <v>49</v>
      </c>
      <c r="E165" s="4" t="s">
        <v>50</v>
      </c>
      <c r="F165" s="4" t="s">
        <v>25</v>
      </c>
      <c r="G165" s="4" t="s">
        <v>25</v>
      </c>
      <c r="H165" s="4" t="s">
        <v>35</v>
      </c>
      <c r="I165" s="5">
        <v>44593</v>
      </c>
      <c r="J165" s="6">
        <v>0</v>
      </c>
      <c r="K165" s="70">
        <v>0</v>
      </c>
      <c r="L165" s="6">
        <v>136.35</v>
      </c>
      <c r="M165" s="70">
        <v>136.35</v>
      </c>
      <c r="N165" s="6">
        <v>136.35</v>
      </c>
      <c r="O165" s="70">
        <v>136.35</v>
      </c>
      <c r="P165" s="6">
        <v>0</v>
      </c>
      <c r="Q165" s="4" t="s">
        <v>26</v>
      </c>
      <c r="R165" s="4">
        <v>0</v>
      </c>
      <c r="S165" s="4">
        <v>0</v>
      </c>
      <c r="T165" s="4">
        <v>8</v>
      </c>
      <c r="U165" s="4">
        <v>49</v>
      </c>
      <c r="V165" s="70">
        <f>IF(ISERROR(VLOOKUP($S$165,'TAR FIN'!$A$1:$O$85,15,0)),0,VLOOKUP($S$165,'TAR FIN'!$A$1:$O$85,15,0))</f>
        <v>0</v>
      </c>
      <c r="W165" s="70">
        <f>IF(ISERROR(VLOOKUP($T$165,'TAR FIN'!$A$1:$O$85,15,0)),0,VLOOKUP($T$165,'TAR FIN'!$A$1:$O$85,15,0))*(1-0.06)</f>
        <v>72.144999999999996</v>
      </c>
      <c r="X165" s="70">
        <f>IF(ISERROR(VLOOKUP($U$165,'TAR FIN'!$A$1:$O$85,15,0)),0,VLOOKUP($U$165,'TAR FIN'!$A$1:$O$85,15,0))*(1-0.06)</f>
        <v>288.65519999999998</v>
      </c>
      <c r="Y165" s="70"/>
      <c r="Z165" s="70">
        <f ca="1">('TUSD BE'!$AM$12+'TUSD BF'!$AM$12+'TUSD CVA'!$AM$12)*1*(1-0.03)</f>
        <v>143.55448214271752</v>
      </c>
      <c r="AA165" s="70">
        <f>('TE BE'!$AB$6+'TE BF'!$AB$6+'TE CVA'!$AB$6)*1*(1-0.03)</f>
        <v>295.72417018043757</v>
      </c>
      <c r="AB165" s="70">
        <f>(SUBSIDIO!$J$165*SUBSIDIO!$V$165)*(0.06)/(1-0.06)</f>
        <v>0</v>
      </c>
      <c r="AC165" s="70">
        <f>((SUBSIDIO!$L$165*SUBSIDIO!$W$165)+(SUBSIDIO!$N$165*SUBSIDIO!$X$165))*(0.06)/(1-0.06)</f>
        <v>3140.1132299999999</v>
      </c>
      <c r="AD165" s="70">
        <f>(SUBSIDIO!$J$165*SUBSIDIO!$Y$165)*(0.03)/(1-0.03)</f>
        <v>0</v>
      </c>
      <c r="AE165" s="70">
        <f ca="1">((SUBSIDIO!$L$165*SUBSIDIO!$Z$165)+(SUBSIDIO!$N$165*SUBSIDIO!$AA$165))*(0.03)/(1-0.03)</f>
        <v>1852.442605492645</v>
      </c>
      <c r="AF165" s="4" t="s">
        <v>847</v>
      </c>
    </row>
    <row r="166" spans="1:32" ht="11.25" customHeight="1" x14ac:dyDescent="0.25">
      <c r="A166" s="4" t="s">
        <v>21</v>
      </c>
      <c r="B166" s="4" t="s">
        <v>39</v>
      </c>
      <c r="C166" s="4" t="s">
        <v>40</v>
      </c>
      <c r="D166" s="4" t="s">
        <v>49</v>
      </c>
      <c r="E166" s="4" t="s">
        <v>50</v>
      </c>
      <c r="F166" s="4" t="s">
        <v>25</v>
      </c>
      <c r="G166" s="4" t="s">
        <v>25</v>
      </c>
      <c r="H166" s="4" t="s">
        <v>35</v>
      </c>
      <c r="I166" s="5">
        <v>44621</v>
      </c>
      <c r="J166" s="6">
        <v>0</v>
      </c>
      <c r="K166" s="70">
        <v>0</v>
      </c>
      <c r="L166" s="6">
        <v>141.87299999999999</v>
      </c>
      <c r="M166" s="70">
        <v>141.87299999999999</v>
      </c>
      <c r="N166" s="6">
        <v>141.87299999999999</v>
      </c>
      <c r="O166" s="70">
        <v>141.87299999999999</v>
      </c>
      <c r="P166" s="6">
        <v>0</v>
      </c>
      <c r="Q166" s="4" t="s">
        <v>26</v>
      </c>
      <c r="R166" s="4">
        <v>0</v>
      </c>
      <c r="S166" s="4">
        <v>0</v>
      </c>
      <c r="T166" s="4">
        <v>8</v>
      </c>
      <c r="U166" s="4">
        <v>49</v>
      </c>
      <c r="V166" s="70">
        <f>IF(ISERROR(VLOOKUP($S$166,'TAR FIN'!$A$1:$O$85,15,0)),0,VLOOKUP($S$166,'TAR FIN'!$A$1:$O$85,15,0))</f>
        <v>0</v>
      </c>
      <c r="W166" s="70">
        <f>IF(ISERROR(VLOOKUP($T$166,'TAR FIN'!$A$1:$O$85,15,0)),0,VLOOKUP($T$166,'TAR FIN'!$A$1:$O$85,15,0))*(1-0.06)</f>
        <v>72.144999999999996</v>
      </c>
      <c r="X166" s="70">
        <f>IF(ISERROR(VLOOKUP($U$166,'TAR FIN'!$A$1:$O$85,15,0)),0,VLOOKUP($U$166,'TAR FIN'!$A$1:$O$85,15,0))*(1-0.06)</f>
        <v>288.65519999999998</v>
      </c>
      <c r="Y166" s="70"/>
      <c r="Z166" s="70">
        <f ca="1">('TUSD BE'!$AM$12+'TUSD BF'!$AM$12+'TUSD CVA'!$AM$12)*1*(1-0.03)</f>
        <v>143.55448214271752</v>
      </c>
      <c r="AA166" s="70">
        <f>('TE BE'!$AB$6+'TE BF'!$AB$6+'TE CVA'!$AB$6)*1*(1-0.03)</f>
        <v>295.72417018043757</v>
      </c>
      <c r="AB166" s="70">
        <f>(SUBSIDIO!$J$166*SUBSIDIO!$V$166)*(0.06)/(1-0.06)</f>
        <v>0</v>
      </c>
      <c r="AC166" s="70">
        <f>((SUBSIDIO!$L$166*SUBSIDIO!$W$166)+(SUBSIDIO!$N$166*SUBSIDIO!$X$166))*(0.06)/(1-0.06)</f>
        <v>3267.3068153999998</v>
      </c>
      <c r="AD166" s="70">
        <f>(SUBSIDIO!$J$166*SUBSIDIO!$Y$166)*(0.03)/(1-0.03)</f>
        <v>0</v>
      </c>
      <c r="AE166" s="70">
        <f ca="1">((SUBSIDIO!$L$166*SUBSIDIO!$Z$166)+(SUBSIDIO!$N$166*SUBSIDIO!$AA$166))*(0.03)/(1-0.03)</f>
        <v>1927.4777394137002</v>
      </c>
      <c r="AF166" s="4" t="s">
        <v>847</v>
      </c>
    </row>
    <row r="167" spans="1:32" ht="11.25" customHeight="1" x14ac:dyDescent="0.25">
      <c r="A167" s="4" t="s">
        <v>21</v>
      </c>
      <c r="B167" s="4" t="s">
        <v>39</v>
      </c>
      <c r="C167" s="4" t="s">
        <v>40</v>
      </c>
      <c r="D167" s="4" t="s">
        <v>49</v>
      </c>
      <c r="E167" s="4" t="s">
        <v>50</v>
      </c>
      <c r="F167" s="4" t="s">
        <v>25</v>
      </c>
      <c r="G167" s="4" t="s">
        <v>25</v>
      </c>
      <c r="H167" s="4" t="s">
        <v>35</v>
      </c>
      <c r="I167" s="5">
        <v>44652</v>
      </c>
      <c r="J167" s="6">
        <v>0</v>
      </c>
      <c r="K167" s="70">
        <v>0</v>
      </c>
      <c r="L167" s="6">
        <v>138.80799999999999</v>
      </c>
      <c r="M167" s="70">
        <v>138.80799999999999</v>
      </c>
      <c r="N167" s="6">
        <v>138.80799999999999</v>
      </c>
      <c r="O167" s="70">
        <v>138.80799999999999</v>
      </c>
      <c r="P167" s="6">
        <v>0</v>
      </c>
      <c r="Q167" s="4" t="s">
        <v>26</v>
      </c>
      <c r="R167" s="4">
        <v>0</v>
      </c>
      <c r="S167" s="4">
        <v>0</v>
      </c>
      <c r="T167" s="4">
        <v>8</v>
      </c>
      <c r="U167" s="4">
        <v>49</v>
      </c>
      <c r="V167" s="70">
        <f>IF(ISERROR(VLOOKUP($S$167,'TAR FIN'!$A$1:$O$85,15,0)),0,VLOOKUP($S$167,'TAR FIN'!$A$1:$O$85,15,0))</f>
        <v>0</v>
      </c>
      <c r="W167" s="70">
        <f>IF(ISERROR(VLOOKUP($T$167,'TAR FIN'!$A$1:$O$85,15,0)),0,VLOOKUP($T$167,'TAR FIN'!$A$1:$O$85,15,0))*(1-0.06)</f>
        <v>72.144999999999996</v>
      </c>
      <c r="X167" s="70">
        <f>IF(ISERROR(VLOOKUP($U$167,'TAR FIN'!$A$1:$O$85,15,0)),0,VLOOKUP($U$167,'TAR FIN'!$A$1:$O$85,15,0))*(1-0.06)</f>
        <v>288.65519999999998</v>
      </c>
      <c r="Y167" s="70"/>
      <c r="Z167" s="70">
        <f ca="1">('TUSD BE'!$AM$12+'TUSD BF'!$AM$12+'TUSD CVA'!$AM$12)*1*(1-0.03)</f>
        <v>143.55448214271752</v>
      </c>
      <c r="AA167" s="70">
        <f>('TE BE'!$AB$6+'TE BF'!$AB$6+'TE CVA'!$AB$6)*1*(1-0.03)</f>
        <v>295.72417018043757</v>
      </c>
      <c r="AB167" s="70">
        <f>(SUBSIDIO!$J$167*SUBSIDIO!$V$167)*(0.06)/(1-0.06)</f>
        <v>0</v>
      </c>
      <c r="AC167" s="70">
        <f>((SUBSIDIO!$L$167*SUBSIDIO!$W$167)+(SUBSIDIO!$N$167*SUBSIDIO!$X$167))*(0.06)/(1-0.06)</f>
        <v>3196.7204783999996</v>
      </c>
      <c r="AD167" s="70">
        <f>(SUBSIDIO!$J$167*SUBSIDIO!$Y$167)*(0.03)/(1-0.03)</f>
        <v>0</v>
      </c>
      <c r="AE167" s="70">
        <f ca="1">((SUBSIDIO!$L$167*SUBSIDIO!$Z$167)+(SUBSIDIO!$N$167*SUBSIDIO!$AA$167))*(0.03)/(1-0.03)</f>
        <v>1885.8368403610054</v>
      </c>
      <c r="AF167" s="4" t="s">
        <v>847</v>
      </c>
    </row>
    <row r="168" spans="1:32" ht="11.25" customHeight="1" x14ac:dyDescent="0.25">
      <c r="A168" s="4" t="s">
        <v>21</v>
      </c>
      <c r="B168" s="4" t="s">
        <v>39</v>
      </c>
      <c r="C168" s="4" t="s">
        <v>40</v>
      </c>
      <c r="D168" s="4" t="s">
        <v>49</v>
      </c>
      <c r="E168" s="4" t="s">
        <v>50</v>
      </c>
      <c r="F168" s="4" t="s">
        <v>25</v>
      </c>
      <c r="G168" s="4" t="s">
        <v>25</v>
      </c>
      <c r="H168" s="4" t="s">
        <v>35</v>
      </c>
      <c r="I168" s="5">
        <v>44682</v>
      </c>
      <c r="J168" s="6">
        <v>0</v>
      </c>
      <c r="K168" s="70">
        <v>0</v>
      </c>
      <c r="L168" s="6">
        <v>134.70400000000001</v>
      </c>
      <c r="M168" s="70">
        <v>134.70400000000001</v>
      </c>
      <c r="N168" s="6">
        <v>134.70400000000001</v>
      </c>
      <c r="O168" s="70">
        <v>134.70400000000001</v>
      </c>
      <c r="P168" s="6">
        <v>0</v>
      </c>
      <c r="Q168" s="4" t="s">
        <v>26</v>
      </c>
      <c r="R168" s="4">
        <v>0</v>
      </c>
      <c r="S168" s="4">
        <v>0</v>
      </c>
      <c r="T168" s="4">
        <v>8</v>
      </c>
      <c r="U168" s="4">
        <v>49</v>
      </c>
      <c r="V168" s="70">
        <f>IF(ISERROR(VLOOKUP($S$168,'TAR FIN'!$A$1:$O$85,15,0)),0,VLOOKUP($S$168,'TAR FIN'!$A$1:$O$85,15,0))</f>
        <v>0</v>
      </c>
      <c r="W168" s="70">
        <f>IF(ISERROR(VLOOKUP($T$168,'TAR FIN'!$A$1:$O$85,15,0)),0,VLOOKUP($T$168,'TAR FIN'!$A$1:$O$85,15,0))*(1-0.06)</f>
        <v>72.144999999999996</v>
      </c>
      <c r="X168" s="70">
        <f>IF(ISERROR(VLOOKUP($U$168,'TAR FIN'!$A$1:$O$85,15,0)),0,VLOOKUP($U$168,'TAR FIN'!$A$1:$O$85,15,0))*(1-0.06)</f>
        <v>288.65519999999998</v>
      </c>
      <c r="Y168" s="70"/>
      <c r="Z168" s="70">
        <f ca="1">('TUSD BE'!$AM$12+'TUSD BF'!$AM$12+'TUSD CVA'!$AM$12)*1*(1-0.03)</f>
        <v>143.55448214271752</v>
      </c>
      <c r="AA168" s="70">
        <f>('TE BE'!$AB$6+'TE BF'!$AB$6+'TE CVA'!$AB$6)*1*(1-0.03)</f>
        <v>295.72417018043757</v>
      </c>
      <c r="AB168" s="70">
        <f>(SUBSIDIO!$J$168*SUBSIDIO!$V$168)*(0.06)/(1-0.06)</f>
        <v>0</v>
      </c>
      <c r="AC168" s="70">
        <f>((SUBSIDIO!$L$168*SUBSIDIO!$W$168)+(SUBSIDIO!$N$168*SUBSIDIO!$X$168))*(0.06)/(1-0.06)</f>
        <v>3102.2061792</v>
      </c>
      <c r="AD168" s="70">
        <f>(SUBSIDIO!$J$168*SUBSIDIO!$Y$168)*(0.03)/(1-0.03)</f>
        <v>0</v>
      </c>
      <c r="AE168" s="70">
        <f ca="1">((SUBSIDIO!$L$168*SUBSIDIO!$Z$168)+(SUBSIDIO!$N$168*SUBSIDIO!$AA$168))*(0.03)/(1-0.03)</f>
        <v>1830.0801520372668</v>
      </c>
      <c r="AF168" s="4" t="s">
        <v>847</v>
      </c>
    </row>
    <row r="169" spans="1:32" ht="11.25" customHeight="1" x14ac:dyDescent="0.25">
      <c r="A169" s="4" t="s">
        <v>21</v>
      </c>
      <c r="B169" s="4" t="s">
        <v>39</v>
      </c>
      <c r="C169" s="4" t="s">
        <v>40</v>
      </c>
      <c r="D169" s="4" t="s">
        <v>49</v>
      </c>
      <c r="E169" s="4" t="s">
        <v>50</v>
      </c>
      <c r="F169" s="4" t="s">
        <v>25</v>
      </c>
      <c r="G169" s="4" t="s">
        <v>25</v>
      </c>
      <c r="H169" s="4" t="s">
        <v>35</v>
      </c>
      <c r="I169" s="5">
        <v>44713</v>
      </c>
      <c r="J169" s="6">
        <v>0</v>
      </c>
      <c r="K169" s="70">
        <v>0</v>
      </c>
      <c r="L169" s="6">
        <v>123.182</v>
      </c>
      <c r="M169" s="70">
        <v>123.182</v>
      </c>
      <c r="N169" s="6">
        <v>123.182</v>
      </c>
      <c r="O169" s="70">
        <v>123.182</v>
      </c>
      <c r="P169" s="6">
        <v>0</v>
      </c>
      <c r="Q169" s="4" t="s">
        <v>26</v>
      </c>
      <c r="R169" s="4">
        <v>0</v>
      </c>
      <c r="S169" s="4">
        <v>0</v>
      </c>
      <c r="T169" s="4">
        <v>8</v>
      </c>
      <c r="U169" s="4">
        <v>49</v>
      </c>
      <c r="V169" s="70">
        <f>IF(ISERROR(VLOOKUP($S$169,'TAR FIN'!$A$1:$O$85,15,0)),0,VLOOKUP($S$169,'TAR FIN'!$A$1:$O$85,15,0))</f>
        <v>0</v>
      </c>
      <c r="W169" s="70">
        <f>IF(ISERROR(VLOOKUP($T$169,'TAR FIN'!$A$1:$O$85,15,0)),0,VLOOKUP($T$169,'TAR FIN'!$A$1:$O$85,15,0))*(1-0.06)</f>
        <v>72.144999999999996</v>
      </c>
      <c r="X169" s="70">
        <f>IF(ISERROR(VLOOKUP($U$169,'TAR FIN'!$A$1:$O$85,15,0)),0,VLOOKUP($U$169,'TAR FIN'!$A$1:$O$85,15,0))*(1-0.06)</f>
        <v>288.65519999999998</v>
      </c>
      <c r="Y169" s="70"/>
      <c r="Z169" s="70">
        <f ca="1">('TUSD BE'!$AM$12+'TUSD BF'!$AM$12+'TUSD CVA'!$AM$12)*1*(1-0.03)</f>
        <v>143.55448214271752</v>
      </c>
      <c r="AA169" s="70">
        <f>('TE BE'!$AB$6+'TE BF'!$AB$6+'TE CVA'!$AB$6)*1*(1-0.03)</f>
        <v>295.72417018043757</v>
      </c>
      <c r="AB169" s="70">
        <f>(SUBSIDIO!$J$169*SUBSIDIO!$V$169)*(0.06)/(1-0.06)</f>
        <v>0</v>
      </c>
      <c r="AC169" s="70">
        <f>((SUBSIDIO!$L$169*SUBSIDIO!$W$169)+(SUBSIDIO!$N$169*SUBSIDIO!$X$169))*(0.06)/(1-0.06)</f>
        <v>2836.8568235999996</v>
      </c>
      <c r="AD169" s="70">
        <f>(SUBSIDIO!$J$169*SUBSIDIO!$Y$169)*(0.03)/(1-0.03)</f>
        <v>0</v>
      </c>
      <c r="AE169" s="70">
        <f ca="1">((SUBSIDIO!$L$169*SUBSIDIO!$Z$169)+(SUBSIDIO!$N$169*SUBSIDIO!$AA$169))*(0.03)/(1-0.03)</f>
        <v>1673.5429778496152</v>
      </c>
      <c r="AF169" s="4" t="s">
        <v>847</v>
      </c>
    </row>
    <row r="170" spans="1:32" ht="11.25" customHeight="1" x14ac:dyDescent="0.25">
      <c r="A170" s="4" t="s">
        <v>21</v>
      </c>
      <c r="B170" s="4" t="s">
        <v>39</v>
      </c>
      <c r="C170" s="4" t="s">
        <v>40</v>
      </c>
      <c r="D170" s="4" t="s">
        <v>49</v>
      </c>
      <c r="E170" s="4" t="s">
        <v>50</v>
      </c>
      <c r="F170" s="4" t="s">
        <v>25</v>
      </c>
      <c r="G170" s="4" t="s">
        <v>25</v>
      </c>
      <c r="H170" s="4" t="s">
        <v>35</v>
      </c>
      <c r="I170" s="5">
        <v>44743</v>
      </c>
      <c r="J170" s="6">
        <v>0</v>
      </c>
      <c r="K170" s="70">
        <v>0</v>
      </c>
      <c r="L170" s="6">
        <v>125.96</v>
      </c>
      <c r="M170" s="70">
        <v>125.96</v>
      </c>
      <c r="N170" s="6">
        <v>125.96</v>
      </c>
      <c r="O170" s="70">
        <v>125.96</v>
      </c>
      <c r="P170" s="6">
        <v>0</v>
      </c>
      <c r="Q170" s="4" t="s">
        <v>26</v>
      </c>
      <c r="R170" s="4">
        <v>0</v>
      </c>
      <c r="S170" s="4">
        <v>0</v>
      </c>
      <c r="T170" s="4">
        <v>8</v>
      </c>
      <c r="U170" s="4">
        <v>49</v>
      </c>
      <c r="V170" s="70">
        <f>IF(ISERROR(VLOOKUP($S$170,'TAR FIN'!$A$1:$O$85,15,0)),0,VLOOKUP($S$170,'TAR FIN'!$A$1:$O$85,15,0))</f>
        <v>0</v>
      </c>
      <c r="W170" s="70">
        <f>IF(ISERROR(VLOOKUP($T$170,'TAR FIN'!$A$1:$O$85,15,0)),0,VLOOKUP($T$170,'TAR FIN'!$A$1:$O$85,15,0))*(1-0.06)</f>
        <v>72.144999999999996</v>
      </c>
      <c r="X170" s="70">
        <f>IF(ISERROR(VLOOKUP($U$170,'TAR FIN'!$A$1:$O$85,15,0)),0,VLOOKUP($U$170,'TAR FIN'!$A$1:$O$85,15,0))*(1-0.06)</f>
        <v>288.65519999999998</v>
      </c>
      <c r="Y170" s="70"/>
      <c r="Z170" s="70">
        <f ca="1">('TUSD BE'!$AM$12+'TUSD BF'!$AM$12+'TUSD CVA'!$AM$12)*1*(1-0.03)</f>
        <v>143.55448214271752</v>
      </c>
      <c r="AA170" s="70">
        <f>('TE BE'!$AB$6+'TE BF'!$AB$6+'TE CVA'!$AB$6)*1*(1-0.03)</f>
        <v>295.72417018043757</v>
      </c>
      <c r="AB170" s="70">
        <f>(SUBSIDIO!$J$170*SUBSIDIO!$V$170)*(0.06)/(1-0.06)</f>
        <v>0</v>
      </c>
      <c r="AC170" s="70">
        <f>((SUBSIDIO!$L$170*SUBSIDIO!$W$170)+(SUBSIDIO!$N$170*SUBSIDIO!$X$170))*(0.06)/(1-0.06)</f>
        <v>2900.8336079999999</v>
      </c>
      <c r="AD170" s="70">
        <f>(SUBSIDIO!$J$170*SUBSIDIO!$Y$170)*(0.03)/(1-0.03)</f>
        <v>0</v>
      </c>
      <c r="AE170" s="70">
        <f ca="1">((SUBSIDIO!$L$170*SUBSIDIO!$Z$170)+(SUBSIDIO!$N$170*SUBSIDIO!$AA$170))*(0.03)/(1-0.03)</f>
        <v>1711.2847127822047</v>
      </c>
      <c r="AF170" s="4" t="s">
        <v>847</v>
      </c>
    </row>
    <row r="171" spans="1:32" ht="11.25" customHeight="1" x14ac:dyDescent="0.25">
      <c r="A171" s="4" t="s">
        <v>56</v>
      </c>
      <c r="B171" s="4" t="s">
        <v>39</v>
      </c>
      <c r="C171" s="4" t="s">
        <v>40</v>
      </c>
      <c r="D171" s="4" t="s">
        <v>49</v>
      </c>
      <c r="E171" s="4" t="s">
        <v>50</v>
      </c>
      <c r="F171" s="4" t="s">
        <v>25</v>
      </c>
      <c r="G171" s="4" t="s">
        <v>25</v>
      </c>
      <c r="H171" s="4" t="s">
        <v>35</v>
      </c>
      <c r="I171" s="5">
        <v>44774</v>
      </c>
      <c r="J171" s="6">
        <v>0</v>
      </c>
      <c r="K171" s="70">
        <v>0</v>
      </c>
      <c r="L171" s="6">
        <v>125.96</v>
      </c>
      <c r="M171" s="70">
        <v>125.96</v>
      </c>
      <c r="N171" s="6">
        <v>125.96</v>
      </c>
      <c r="O171" s="70">
        <v>125.96</v>
      </c>
      <c r="P171" s="6">
        <v>0</v>
      </c>
      <c r="Q171" s="4" t="s">
        <v>26</v>
      </c>
      <c r="R171" s="4">
        <v>0</v>
      </c>
      <c r="S171" s="4">
        <v>0</v>
      </c>
      <c r="T171" s="4">
        <v>8</v>
      </c>
      <c r="U171" s="4">
        <v>49</v>
      </c>
      <c r="V171" s="70">
        <f>IF(ISERROR(VLOOKUP($S$171,'TAR FIN'!$A$1:$O$85,15,0)),0,VLOOKUP($S$171,'TAR FIN'!$A$1:$O$85,15,0))</f>
        <v>0</v>
      </c>
      <c r="W171" s="70">
        <f>IF(ISERROR(VLOOKUP($T$171,'TAR FIN'!$A$1:$O$85,15,0)),0,VLOOKUP($T$171,'TAR FIN'!$A$1:$O$85,15,0))*(1-0.06)</f>
        <v>72.144999999999996</v>
      </c>
      <c r="X171" s="70">
        <f>IF(ISERROR(VLOOKUP($U$171,'TAR FIN'!$A$1:$O$85,15,0)),0,VLOOKUP($U$171,'TAR FIN'!$A$1:$O$85,15,0))*(1-0.06)</f>
        <v>288.65519999999998</v>
      </c>
      <c r="Y171" s="70"/>
      <c r="Z171" s="70">
        <f ca="1">('TUSD BE'!$AM$12+'TUSD BF'!$AM$12+'TUSD CVA'!$AM$12)*1*(1-0.03)</f>
        <v>143.55448214271752</v>
      </c>
      <c r="AA171" s="70">
        <f>('TE BE'!$AB$6+'TE BF'!$AB$6+'TE CVA'!$AB$6)*1*(1-0.03)</f>
        <v>295.72417018043757</v>
      </c>
      <c r="AB171" s="70">
        <f>(SUBSIDIO!$J$171*SUBSIDIO!$V$171)*(0.06)/(1-0.06)</f>
        <v>0</v>
      </c>
      <c r="AC171" s="70">
        <f>((SUBSIDIO!$L$171*SUBSIDIO!$W$171)+(SUBSIDIO!$N$171*SUBSIDIO!$X$171))*(0.06)/(1-0.06)</f>
        <v>2900.8336079999999</v>
      </c>
      <c r="AD171" s="70">
        <f>(SUBSIDIO!$J$171*SUBSIDIO!$Y$171)*(0.03)/(1-0.03)</f>
        <v>0</v>
      </c>
      <c r="AE171" s="70">
        <f ca="1">((SUBSIDIO!$L$171*SUBSIDIO!$Z$171)+(SUBSIDIO!$N$171*SUBSIDIO!$AA$171))*(0.03)/(1-0.03)</f>
        <v>1711.2847127822047</v>
      </c>
      <c r="AF171" s="4" t="s">
        <v>847</v>
      </c>
    </row>
    <row r="172" spans="1:32" ht="11.25" customHeight="1" x14ac:dyDescent="0.25">
      <c r="A172" s="4" t="s">
        <v>21</v>
      </c>
      <c r="B172" s="4" t="s">
        <v>39</v>
      </c>
      <c r="C172" s="4" t="s">
        <v>40</v>
      </c>
      <c r="D172" s="4" t="s">
        <v>49</v>
      </c>
      <c r="E172" s="4" t="s">
        <v>50</v>
      </c>
      <c r="F172" s="4" t="s">
        <v>25</v>
      </c>
      <c r="G172" s="4" t="s">
        <v>25</v>
      </c>
      <c r="H172" s="4" t="s">
        <v>25</v>
      </c>
      <c r="I172" s="5">
        <v>44440</v>
      </c>
      <c r="J172" s="6">
        <v>536</v>
      </c>
      <c r="K172" s="71">
        <v>536</v>
      </c>
      <c r="L172" s="6">
        <v>0</v>
      </c>
      <c r="M172" s="70">
        <v>0</v>
      </c>
      <c r="N172" s="6">
        <v>0</v>
      </c>
      <c r="O172" s="70">
        <v>0</v>
      </c>
      <c r="P172" s="6">
        <v>12</v>
      </c>
      <c r="Q172" s="4" t="s">
        <v>26</v>
      </c>
      <c r="R172" s="4">
        <v>0</v>
      </c>
      <c r="S172" s="4">
        <v>6</v>
      </c>
      <c r="T172" s="4">
        <v>0</v>
      </c>
      <c r="U172" s="4">
        <v>0</v>
      </c>
      <c r="V172" s="70">
        <f>IF(ISERROR(VLOOKUP($S$172,'TAR FIN'!$A$1:$O$85,15,0)),0,VLOOKUP($S$172,'TAR FIN'!$A$1:$O$85,15,0))*(1-0.06)</f>
        <v>15.6416</v>
      </c>
      <c r="W172" s="70">
        <f>IF(ISERROR(VLOOKUP($T$172,'TAR FIN'!$A$1:$O$85,15,0)),0,VLOOKUP($T$172,'TAR FIN'!$A$1:$O$85,15,0))</f>
        <v>0</v>
      </c>
      <c r="X172" s="70">
        <f>IF(ISERROR(VLOOKUP($U$172,'TAR FIN'!$A$1:$O$85,15,0)),0,VLOOKUP($U$172,'TAR FIN'!$A$1:$O$85,15,0))</f>
        <v>0</v>
      </c>
      <c r="Y172" s="70">
        <f ca="1">('TUSD BE'!$AM$10+'TUSD BF'!$AM$10+'TUSD CVA'!$AM$10)*1*(1-0.03)</f>
        <v>17.820698790947443</v>
      </c>
      <c r="Z172" s="70"/>
      <c r="AA172" s="70"/>
      <c r="AB172" s="70">
        <f>(SUBSIDIO!$J$172*SUBSIDIO!$V$172)*(0.06)/(1-0.06)</f>
        <v>535.14240000000007</v>
      </c>
      <c r="AC172" s="70">
        <f>((SUBSIDIO!$L$172*SUBSIDIO!$W$172)+(SUBSIDIO!$N$172*SUBSIDIO!$X$172))*(0.06)/(1-0.06)</f>
        <v>0</v>
      </c>
      <c r="AD172" s="70">
        <f ca="1">(SUBSIDIO!$J$172*SUBSIDIO!$Y$172)*(0.03)/(1-0.03)</f>
        <v>295.41941913240714</v>
      </c>
      <c r="AE172" s="70">
        <f>((SUBSIDIO!$L$172*SUBSIDIO!$Z$172)+(SUBSIDIO!$N$172*SUBSIDIO!$AA$172))*(0.03)/(1-0.03)</f>
        <v>0</v>
      </c>
      <c r="AF172" s="4" t="s">
        <v>847</v>
      </c>
    </row>
    <row r="173" spans="1:32" ht="11.25" customHeight="1" x14ac:dyDescent="0.25">
      <c r="A173" s="4" t="s">
        <v>21</v>
      </c>
      <c r="B173" s="4" t="s">
        <v>39</v>
      </c>
      <c r="C173" s="4" t="s">
        <v>40</v>
      </c>
      <c r="D173" s="4" t="s">
        <v>49</v>
      </c>
      <c r="E173" s="4" t="s">
        <v>50</v>
      </c>
      <c r="F173" s="4" t="s">
        <v>25</v>
      </c>
      <c r="G173" s="4" t="s">
        <v>25</v>
      </c>
      <c r="H173" s="4" t="s">
        <v>25</v>
      </c>
      <c r="I173" s="5">
        <v>44470</v>
      </c>
      <c r="J173" s="6">
        <v>537</v>
      </c>
      <c r="K173" s="71">
        <v>537</v>
      </c>
      <c r="L173" s="6">
        <v>0</v>
      </c>
      <c r="M173" s="70">
        <v>0</v>
      </c>
      <c r="N173" s="6">
        <v>0</v>
      </c>
      <c r="O173" s="70">
        <v>0</v>
      </c>
      <c r="P173" s="6">
        <v>12</v>
      </c>
      <c r="Q173" s="4" t="s">
        <v>26</v>
      </c>
      <c r="R173" s="4">
        <v>0</v>
      </c>
      <c r="S173" s="4">
        <v>6</v>
      </c>
      <c r="T173" s="4">
        <v>0</v>
      </c>
      <c r="U173" s="4">
        <v>0</v>
      </c>
      <c r="V173" s="70">
        <f>IF(ISERROR(VLOOKUP($S$173,'TAR FIN'!$A$1:$O$85,15,0)),0,VLOOKUP($S$173,'TAR FIN'!$A$1:$O$85,15,0))*(1-0.06)</f>
        <v>15.6416</v>
      </c>
      <c r="W173" s="70">
        <f>IF(ISERROR(VLOOKUP($T$173,'TAR FIN'!$A$1:$O$85,15,0)),0,VLOOKUP($T$173,'TAR FIN'!$A$1:$O$85,15,0))</f>
        <v>0</v>
      </c>
      <c r="X173" s="70">
        <f>IF(ISERROR(VLOOKUP($U$173,'TAR FIN'!$A$1:$O$85,15,0)),0,VLOOKUP($U$173,'TAR FIN'!$A$1:$O$85,15,0))</f>
        <v>0</v>
      </c>
      <c r="Y173" s="70">
        <f ca="1">('TUSD BE'!$AM$10+'TUSD BF'!$AM$10+'TUSD CVA'!$AM$10)*1*(1-0.03)</f>
        <v>17.820698790947443</v>
      </c>
      <c r="Z173" s="70"/>
      <c r="AA173" s="70"/>
      <c r="AB173" s="70">
        <f>(SUBSIDIO!$J$173*SUBSIDIO!$V$173)*(0.06)/(1-0.06)</f>
        <v>536.14080000000013</v>
      </c>
      <c r="AC173" s="70">
        <f>((SUBSIDIO!$L$173*SUBSIDIO!$W$173)+(SUBSIDIO!$N$173*SUBSIDIO!$X$173))*(0.06)/(1-0.06)</f>
        <v>0</v>
      </c>
      <c r="AD173" s="70">
        <f ca="1">(SUBSIDIO!$J$173*SUBSIDIO!$Y$173)*(0.03)/(1-0.03)</f>
        <v>295.97057476511679</v>
      </c>
      <c r="AE173" s="70">
        <f>((SUBSIDIO!$L$173*SUBSIDIO!$Z$173)+(SUBSIDIO!$N$173*SUBSIDIO!$AA$173))*(0.03)/(1-0.03)</f>
        <v>0</v>
      </c>
      <c r="AF173" s="4" t="s">
        <v>847</v>
      </c>
    </row>
    <row r="174" spans="1:32" ht="11.25" customHeight="1" x14ac:dyDescent="0.25">
      <c r="A174" s="4" t="s">
        <v>21</v>
      </c>
      <c r="B174" s="4" t="s">
        <v>39</v>
      </c>
      <c r="C174" s="4" t="s">
        <v>40</v>
      </c>
      <c r="D174" s="4" t="s">
        <v>49</v>
      </c>
      <c r="E174" s="4" t="s">
        <v>50</v>
      </c>
      <c r="F174" s="4" t="s">
        <v>25</v>
      </c>
      <c r="G174" s="4" t="s">
        <v>25</v>
      </c>
      <c r="H174" s="4" t="s">
        <v>25</v>
      </c>
      <c r="I174" s="5">
        <v>44501</v>
      </c>
      <c r="J174" s="6">
        <v>591</v>
      </c>
      <c r="K174" s="71">
        <v>591</v>
      </c>
      <c r="L174" s="6">
        <v>0</v>
      </c>
      <c r="M174" s="70">
        <v>0</v>
      </c>
      <c r="N174" s="6">
        <v>0</v>
      </c>
      <c r="O174" s="70">
        <v>0</v>
      </c>
      <c r="P174" s="6">
        <v>13</v>
      </c>
      <c r="Q174" s="4" t="s">
        <v>26</v>
      </c>
      <c r="R174" s="4">
        <v>0</v>
      </c>
      <c r="S174" s="4">
        <v>6</v>
      </c>
      <c r="T174" s="4">
        <v>0</v>
      </c>
      <c r="U174" s="4">
        <v>0</v>
      </c>
      <c r="V174" s="70">
        <f>IF(ISERROR(VLOOKUP($S$174,'TAR FIN'!$A$1:$O$85,15,0)),0,VLOOKUP($S$174,'TAR FIN'!$A$1:$O$85,15,0))*(1-0.06)</f>
        <v>15.6416</v>
      </c>
      <c r="W174" s="70">
        <f>IF(ISERROR(VLOOKUP($T$174,'TAR FIN'!$A$1:$O$85,15,0)),0,VLOOKUP($T$174,'TAR FIN'!$A$1:$O$85,15,0))</f>
        <v>0</v>
      </c>
      <c r="X174" s="70">
        <f>IF(ISERROR(VLOOKUP($U$174,'TAR FIN'!$A$1:$O$85,15,0)),0,VLOOKUP($U$174,'TAR FIN'!$A$1:$O$85,15,0))</f>
        <v>0</v>
      </c>
      <c r="Y174" s="70">
        <f ca="1">('TUSD BE'!$AM$10+'TUSD BF'!$AM$10+'TUSD CVA'!$AM$10)*1*(1-0.03)</f>
        <v>17.820698790947443</v>
      </c>
      <c r="Z174" s="70"/>
      <c r="AA174" s="70"/>
      <c r="AB174" s="70">
        <f>(SUBSIDIO!$J$174*SUBSIDIO!$V$174)*(0.06)/(1-0.06)</f>
        <v>590.0544000000001</v>
      </c>
      <c r="AC174" s="70">
        <f>((SUBSIDIO!$L$174*SUBSIDIO!$W$174)+(SUBSIDIO!$N$174*SUBSIDIO!$X$174))*(0.06)/(1-0.06)</f>
        <v>0</v>
      </c>
      <c r="AD174" s="70">
        <f ca="1">(SUBSIDIO!$J$174*SUBSIDIO!$Y$174)*(0.03)/(1-0.03)</f>
        <v>325.73297893144144</v>
      </c>
      <c r="AE174" s="70">
        <f>((SUBSIDIO!$L$174*SUBSIDIO!$Z$174)+(SUBSIDIO!$N$174*SUBSIDIO!$AA$174))*(0.03)/(1-0.03)</f>
        <v>0</v>
      </c>
      <c r="AF174" s="4" t="s">
        <v>847</v>
      </c>
    </row>
    <row r="175" spans="1:32" ht="11.25" customHeight="1" x14ac:dyDescent="0.25">
      <c r="A175" s="4" t="s">
        <v>27</v>
      </c>
      <c r="B175" s="4" t="s">
        <v>39</v>
      </c>
      <c r="C175" s="4" t="s">
        <v>40</v>
      </c>
      <c r="D175" s="4" t="s">
        <v>49</v>
      </c>
      <c r="E175" s="4" t="s">
        <v>50</v>
      </c>
      <c r="F175" s="4" t="s">
        <v>25</v>
      </c>
      <c r="G175" s="4" t="s">
        <v>25</v>
      </c>
      <c r="H175" s="4" t="s">
        <v>25</v>
      </c>
      <c r="I175" s="5">
        <v>44501</v>
      </c>
      <c r="J175" s="6">
        <v>57</v>
      </c>
      <c r="K175" s="71">
        <v>57</v>
      </c>
      <c r="L175" s="6">
        <v>0</v>
      </c>
      <c r="M175" s="70">
        <v>0</v>
      </c>
      <c r="N175" s="6">
        <v>0</v>
      </c>
      <c r="O175" s="70">
        <v>0</v>
      </c>
      <c r="P175" s="6">
        <v>1</v>
      </c>
      <c r="Q175" s="4" t="s">
        <v>26</v>
      </c>
      <c r="R175" s="4">
        <v>0</v>
      </c>
      <c r="S175" s="4">
        <v>6</v>
      </c>
      <c r="T175" s="4">
        <v>0</v>
      </c>
      <c r="U175" s="4">
        <v>0</v>
      </c>
      <c r="V175" s="70">
        <f>IF(ISERROR(VLOOKUP($S$175,'TAR FIN'!$A$1:$O$85,15,0)),0,VLOOKUP($S$175,'TAR FIN'!$A$1:$O$85,15,0))*(1-0.06)</f>
        <v>15.6416</v>
      </c>
      <c r="W175" s="70">
        <f>IF(ISERROR(VLOOKUP($T$175,'TAR FIN'!$A$1:$O$85,15,0)),0,VLOOKUP($T$175,'TAR FIN'!$A$1:$O$85,15,0))</f>
        <v>0</v>
      </c>
      <c r="X175" s="70">
        <f>IF(ISERROR(VLOOKUP($U$175,'TAR FIN'!$A$1:$O$85,15,0)),0,VLOOKUP($U$175,'TAR FIN'!$A$1:$O$85,15,0))</f>
        <v>0</v>
      </c>
      <c r="Y175" s="70">
        <f ca="1">('TUSD BE'!$AM$10+'TUSD BF'!$AM$10+'TUSD CVA'!$AM$10)*1*(1-0.03)</f>
        <v>17.820698790947443</v>
      </c>
      <c r="Z175" s="70"/>
      <c r="AA175" s="70"/>
      <c r="AB175" s="70">
        <f>(SUBSIDIO!$J$175*SUBSIDIO!$V$175)*(0.06)/(1-0.06)</f>
        <v>56.908799999999999</v>
      </c>
      <c r="AC175" s="70">
        <f>((SUBSIDIO!$L$175*SUBSIDIO!$W$175)+(SUBSIDIO!$N$175*SUBSIDIO!$X$175))*(0.06)/(1-0.06)</f>
        <v>0</v>
      </c>
      <c r="AD175" s="70">
        <f ca="1">(SUBSIDIO!$J$175*SUBSIDIO!$Y$175)*(0.03)/(1-0.03)</f>
        <v>31.415871064453739</v>
      </c>
      <c r="AE175" s="70">
        <f>((SUBSIDIO!$L$175*SUBSIDIO!$Z$175)+(SUBSIDIO!$N$175*SUBSIDIO!$AA$175))*(0.03)/(1-0.03)</f>
        <v>0</v>
      </c>
      <c r="AF175" s="4" t="s">
        <v>847</v>
      </c>
    </row>
    <row r="176" spans="1:32" ht="11.25" customHeight="1" x14ac:dyDescent="0.25">
      <c r="A176" s="4" t="s">
        <v>21</v>
      </c>
      <c r="B176" s="4" t="s">
        <v>39</v>
      </c>
      <c r="C176" s="4" t="s">
        <v>40</v>
      </c>
      <c r="D176" s="4" t="s">
        <v>49</v>
      </c>
      <c r="E176" s="4" t="s">
        <v>50</v>
      </c>
      <c r="F176" s="4" t="s">
        <v>25</v>
      </c>
      <c r="G176" s="4" t="s">
        <v>25</v>
      </c>
      <c r="H176" s="4" t="s">
        <v>25</v>
      </c>
      <c r="I176" s="5">
        <v>44531</v>
      </c>
      <c r="J176" s="6">
        <v>601</v>
      </c>
      <c r="K176" s="71">
        <v>601</v>
      </c>
      <c r="L176" s="6">
        <v>0</v>
      </c>
      <c r="M176" s="70">
        <v>0</v>
      </c>
      <c r="N176" s="6">
        <v>0</v>
      </c>
      <c r="O176" s="70">
        <v>0</v>
      </c>
      <c r="P176" s="6">
        <v>13</v>
      </c>
      <c r="Q176" s="4" t="s">
        <v>26</v>
      </c>
      <c r="R176" s="4">
        <v>0</v>
      </c>
      <c r="S176" s="4">
        <v>6</v>
      </c>
      <c r="T176" s="4">
        <v>0</v>
      </c>
      <c r="U176" s="4">
        <v>0</v>
      </c>
      <c r="V176" s="70">
        <f>IF(ISERROR(VLOOKUP($S$176,'TAR FIN'!$A$1:$O$85,15,0)),0,VLOOKUP($S$176,'TAR FIN'!$A$1:$O$85,15,0))*(1-0.06)</f>
        <v>15.6416</v>
      </c>
      <c r="W176" s="70">
        <f>IF(ISERROR(VLOOKUP($T$176,'TAR FIN'!$A$1:$O$85,15,0)),0,VLOOKUP($T$176,'TAR FIN'!$A$1:$O$85,15,0))</f>
        <v>0</v>
      </c>
      <c r="X176" s="70">
        <f>IF(ISERROR(VLOOKUP($U$176,'TAR FIN'!$A$1:$O$85,15,0)),0,VLOOKUP($U$176,'TAR FIN'!$A$1:$O$85,15,0))</f>
        <v>0</v>
      </c>
      <c r="Y176" s="70">
        <f ca="1">('TUSD BE'!$AM$10+'TUSD BF'!$AM$10+'TUSD CVA'!$AM$10)*1*(1-0.03)</f>
        <v>17.820698790947443</v>
      </c>
      <c r="Z176" s="70"/>
      <c r="AA176" s="70"/>
      <c r="AB176" s="70">
        <f>(SUBSIDIO!$J$176*SUBSIDIO!$V$176)*(0.06)/(1-0.06)</f>
        <v>600.03839999999991</v>
      </c>
      <c r="AC176" s="70">
        <f>((SUBSIDIO!$L$176*SUBSIDIO!$W$176)+(SUBSIDIO!$N$176*SUBSIDIO!$X$176))*(0.06)/(1-0.06)</f>
        <v>0</v>
      </c>
      <c r="AD176" s="70">
        <f ca="1">(SUBSIDIO!$J$176*SUBSIDIO!$Y$176)*(0.03)/(1-0.03)</f>
        <v>331.24453525853858</v>
      </c>
      <c r="AE176" s="70">
        <f>((SUBSIDIO!$L$176*SUBSIDIO!$Z$176)+(SUBSIDIO!$N$176*SUBSIDIO!$AA$176))*(0.03)/(1-0.03)</f>
        <v>0</v>
      </c>
      <c r="AF176" s="4" t="s">
        <v>847</v>
      </c>
    </row>
    <row r="177" spans="1:32" ht="11.25" customHeight="1" x14ac:dyDescent="0.25">
      <c r="A177" s="4" t="s">
        <v>21</v>
      </c>
      <c r="B177" s="4" t="s">
        <v>39</v>
      </c>
      <c r="C177" s="4" t="s">
        <v>40</v>
      </c>
      <c r="D177" s="4" t="s">
        <v>49</v>
      </c>
      <c r="E177" s="4" t="s">
        <v>50</v>
      </c>
      <c r="F177" s="4" t="s">
        <v>25</v>
      </c>
      <c r="G177" s="4" t="s">
        <v>25</v>
      </c>
      <c r="H177" s="4" t="s">
        <v>25</v>
      </c>
      <c r="I177" s="5">
        <v>44562</v>
      </c>
      <c r="J177" s="6">
        <v>591</v>
      </c>
      <c r="K177" s="71">
        <v>591</v>
      </c>
      <c r="L177" s="6">
        <v>0</v>
      </c>
      <c r="M177" s="70">
        <v>0</v>
      </c>
      <c r="N177" s="6">
        <v>0</v>
      </c>
      <c r="O177" s="70">
        <v>0</v>
      </c>
      <c r="P177" s="6">
        <v>13</v>
      </c>
      <c r="Q177" s="4" t="s">
        <v>26</v>
      </c>
      <c r="R177" s="4">
        <v>0</v>
      </c>
      <c r="S177" s="4">
        <v>6</v>
      </c>
      <c r="T177" s="4">
        <v>0</v>
      </c>
      <c r="U177" s="4">
        <v>0</v>
      </c>
      <c r="V177" s="70">
        <f>IF(ISERROR(VLOOKUP($S$177,'TAR FIN'!$A$1:$O$85,15,0)),0,VLOOKUP($S$177,'TAR FIN'!$A$1:$O$85,15,0))*(1-0.06)</f>
        <v>15.6416</v>
      </c>
      <c r="W177" s="70">
        <f>IF(ISERROR(VLOOKUP($T$177,'TAR FIN'!$A$1:$O$85,15,0)),0,VLOOKUP($T$177,'TAR FIN'!$A$1:$O$85,15,0))</f>
        <v>0</v>
      </c>
      <c r="X177" s="70">
        <f>IF(ISERROR(VLOOKUP($U$177,'TAR FIN'!$A$1:$O$85,15,0)),0,VLOOKUP($U$177,'TAR FIN'!$A$1:$O$85,15,0))</f>
        <v>0</v>
      </c>
      <c r="Y177" s="70">
        <f ca="1">('TUSD BE'!$AM$10+'TUSD BF'!$AM$10+'TUSD CVA'!$AM$10)*1*(1-0.03)</f>
        <v>17.820698790947443</v>
      </c>
      <c r="Z177" s="70"/>
      <c r="AA177" s="70"/>
      <c r="AB177" s="70">
        <f>(SUBSIDIO!$J$177*SUBSIDIO!$V$177)*(0.06)/(1-0.06)</f>
        <v>590.0544000000001</v>
      </c>
      <c r="AC177" s="70">
        <f>((SUBSIDIO!$L$177*SUBSIDIO!$W$177)+(SUBSIDIO!$N$177*SUBSIDIO!$X$177))*(0.06)/(1-0.06)</f>
        <v>0</v>
      </c>
      <c r="AD177" s="70">
        <f ca="1">(SUBSIDIO!$J$177*SUBSIDIO!$Y$177)*(0.03)/(1-0.03)</f>
        <v>325.73297893144144</v>
      </c>
      <c r="AE177" s="70">
        <f>((SUBSIDIO!$L$177*SUBSIDIO!$Z$177)+(SUBSIDIO!$N$177*SUBSIDIO!$AA$177))*(0.03)/(1-0.03)</f>
        <v>0</v>
      </c>
      <c r="AF177" s="4" t="s">
        <v>847</v>
      </c>
    </row>
    <row r="178" spans="1:32" ht="11.25" customHeight="1" x14ac:dyDescent="0.25">
      <c r="A178" s="4" t="s">
        <v>21</v>
      </c>
      <c r="B178" s="4" t="s">
        <v>39</v>
      </c>
      <c r="C178" s="4" t="s">
        <v>40</v>
      </c>
      <c r="D178" s="4" t="s">
        <v>49</v>
      </c>
      <c r="E178" s="4" t="s">
        <v>50</v>
      </c>
      <c r="F178" s="4" t="s">
        <v>25</v>
      </c>
      <c r="G178" s="4" t="s">
        <v>25</v>
      </c>
      <c r="H178" s="4" t="s">
        <v>25</v>
      </c>
      <c r="I178" s="5">
        <v>44593</v>
      </c>
      <c r="J178" s="6">
        <v>595</v>
      </c>
      <c r="K178" s="71">
        <v>595</v>
      </c>
      <c r="L178" s="6">
        <v>0</v>
      </c>
      <c r="M178" s="70">
        <v>0</v>
      </c>
      <c r="N178" s="6">
        <v>0</v>
      </c>
      <c r="O178" s="70">
        <v>0</v>
      </c>
      <c r="P178" s="6">
        <v>13</v>
      </c>
      <c r="Q178" s="4" t="s">
        <v>26</v>
      </c>
      <c r="R178" s="4">
        <v>0</v>
      </c>
      <c r="S178" s="4">
        <v>6</v>
      </c>
      <c r="T178" s="4">
        <v>0</v>
      </c>
      <c r="U178" s="4">
        <v>0</v>
      </c>
      <c r="V178" s="70">
        <f>IF(ISERROR(VLOOKUP($S$178,'TAR FIN'!$A$1:$O$85,15,0)),0,VLOOKUP($S$178,'TAR FIN'!$A$1:$O$85,15,0))*(1-0.06)</f>
        <v>15.6416</v>
      </c>
      <c r="W178" s="70">
        <f>IF(ISERROR(VLOOKUP($T$178,'TAR FIN'!$A$1:$O$85,15,0)),0,VLOOKUP($T$178,'TAR FIN'!$A$1:$O$85,15,0))</f>
        <v>0</v>
      </c>
      <c r="X178" s="70">
        <f>IF(ISERROR(VLOOKUP($U$178,'TAR FIN'!$A$1:$O$85,15,0)),0,VLOOKUP($U$178,'TAR FIN'!$A$1:$O$85,15,0))</f>
        <v>0</v>
      </c>
      <c r="Y178" s="70">
        <f ca="1">('TUSD BE'!$AM$10+'TUSD BF'!$AM$10+'TUSD CVA'!$AM$10)*1*(1-0.03)</f>
        <v>17.820698790947443</v>
      </c>
      <c r="Z178" s="70"/>
      <c r="AA178" s="70"/>
      <c r="AB178" s="70">
        <f>(SUBSIDIO!$J$178*SUBSIDIO!$V$178)*(0.06)/(1-0.06)</f>
        <v>594.048</v>
      </c>
      <c r="AC178" s="70">
        <f>((SUBSIDIO!$L$178*SUBSIDIO!$W$178)+(SUBSIDIO!$N$178*SUBSIDIO!$X$178))*(0.06)/(1-0.06)</f>
        <v>0</v>
      </c>
      <c r="AD178" s="70">
        <f ca="1">(SUBSIDIO!$J$178*SUBSIDIO!$Y$178)*(0.03)/(1-0.03)</f>
        <v>327.93760146228027</v>
      </c>
      <c r="AE178" s="70">
        <f>((SUBSIDIO!$L$178*SUBSIDIO!$Z$178)+(SUBSIDIO!$N$178*SUBSIDIO!$AA$178))*(0.03)/(1-0.03)</f>
        <v>0</v>
      </c>
      <c r="AF178" s="4" t="s">
        <v>847</v>
      </c>
    </row>
    <row r="179" spans="1:32" ht="11.25" customHeight="1" x14ac:dyDescent="0.25">
      <c r="A179" s="4" t="s">
        <v>21</v>
      </c>
      <c r="B179" s="4" t="s">
        <v>39</v>
      </c>
      <c r="C179" s="4" t="s">
        <v>40</v>
      </c>
      <c r="D179" s="4" t="s">
        <v>49</v>
      </c>
      <c r="E179" s="4" t="s">
        <v>50</v>
      </c>
      <c r="F179" s="4" t="s">
        <v>25</v>
      </c>
      <c r="G179" s="4" t="s">
        <v>25</v>
      </c>
      <c r="H179" s="4" t="s">
        <v>25</v>
      </c>
      <c r="I179" s="5">
        <v>44621</v>
      </c>
      <c r="J179" s="6">
        <v>593</v>
      </c>
      <c r="K179" s="71">
        <v>593</v>
      </c>
      <c r="L179" s="6">
        <v>0</v>
      </c>
      <c r="M179" s="70">
        <v>0</v>
      </c>
      <c r="N179" s="6">
        <v>0</v>
      </c>
      <c r="O179" s="70">
        <v>0</v>
      </c>
      <c r="P179" s="6">
        <v>13</v>
      </c>
      <c r="Q179" s="4" t="s">
        <v>26</v>
      </c>
      <c r="R179" s="4">
        <v>0</v>
      </c>
      <c r="S179" s="4">
        <v>6</v>
      </c>
      <c r="T179" s="4">
        <v>0</v>
      </c>
      <c r="U179" s="4">
        <v>0</v>
      </c>
      <c r="V179" s="70">
        <f>IF(ISERROR(VLOOKUP($S$179,'TAR FIN'!$A$1:$O$85,15,0)),0,VLOOKUP($S$179,'TAR FIN'!$A$1:$O$85,15,0))*(1-0.06)</f>
        <v>15.6416</v>
      </c>
      <c r="W179" s="70">
        <f>IF(ISERROR(VLOOKUP($T$179,'TAR FIN'!$A$1:$O$85,15,0)),0,VLOOKUP($T$179,'TAR FIN'!$A$1:$O$85,15,0))</f>
        <v>0</v>
      </c>
      <c r="X179" s="70">
        <f>IF(ISERROR(VLOOKUP($U$179,'TAR FIN'!$A$1:$O$85,15,0)),0,VLOOKUP($U$179,'TAR FIN'!$A$1:$O$85,15,0))</f>
        <v>0</v>
      </c>
      <c r="Y179" s="70">
        <f ca="1">('TUSD BE'!$AM$10+'TUSD BF'!$AM$10+'TUSD CVA'!$AM$10)*1*(1-0.03)</f>
        <v>17.820698790947443</v>
      </c>
      <c r="Z179" s="70"/>
      <c r="AA179" s="70"/>
      <c r="AB179" s="70">
        <f>(SUBSIDIO!$J$179*SUBSIDIO!$V$179)*(0.06)/(1-0.06)</f>
        <v>592.05120000000011</v>
      </c>
      <c r="AC179" s="70">
        <f>((SUBSIDIO!$L$179*SUBSIDIO!$W$179)+(SUBSIDIO!$N$179*SUBSIDIO!$X$179))*(0.06)/(1-0.06)</f>
        <v>0</v>
      </c>
      <c r="AD179" s="70">
        <f ca="1">(SUBSIDIO!$J$179*SUBSIDIO!$Y$179)*(0.03)/(1-0.03)</f>
        <v>326.8352901968608</v>
      </c>
      <c r="AE179" s="70">
        <f>((SUBSIDIO!$L$179*SUBSIDIO!$Z$179)+(SUBSIDIO!$N$179*SUBSIDIO!$AA$179))*(0.03)/(1-0.03)</f>
        <v>0</v>
      </c>
      <c r="AF179" s="4" t="s">
        <v>847</v>
      </c>
    </row>
    <row r="180" spans="1:32" ht="11.25" customHeight="1" x14ac:dyDescent="0.25">
      <c r="A180" s="4" t="s">
        <v>21</v>
      </c>
      <c r="B180" s="4" t="s">
        <v>39</v>
      </c>
      <c r="C180" s="4" t="s">
        <v>40</v>
      </c>
      <c r="D180" s="4" t="s">
        <v>49</v>
      </c>
      <c r="E180" s="4" t="s">
        <v>50</v>
      </c>
      <c r="F180" s="4" t="s">
        <v>25</v>
      </c>
      <c r="G180" s="4" t="s">
        <v>25</v>
      </c>
      <c r="H180" s="4" t="s">
        <v>25</v>
      </c>
      <c r="I180" s="5">
        <v>44652</v>
      </c>
      <c r="J180" s="6">
        <v>592</v>
      </c>
      <c r="K180" s="71">
        <v>592</v>
      </c>
      <c r="L180" s="6">
        <v>0</v>
      </c>
      <c r="M180" s="70">
        <v>0</v>
      </c>
      <c r="N180" s="6">
        <v>0</v>
      </c>
      <c r="O180" s="70">
        <v>0</v>
      </c>
      <c r="P180" s="6">
        <v>13</v>
      </c>
      <c r="Q180" s="4" t="s">
        <v>26</v>
      </c>
      <c r="R180" s="4">
        <v>0</v>
      </c>
      <c r="S180" s="4">
        <v>6</v>
      </c>
      <c r="T180" s="4">
        <v>0</v>
      </c>
      <c r="U180" s="4">
        <v>0</v>
      </c>
      <c r="V180" s="70">
        <f>IF(ISERROR(VLOOKUP($S$180,'TAR FIN'!$A$1:$O$85,15,0)),0,VLOOKUP($S$180,'TAR FIN'!$A$1:$O$85,15,0))*(1-0.06)</f>
        <v>15.6416</v>
      </c>
      <c r="W180" s="70">
        <f>IF(ISERROR(VLOOKUP($T$180,'TAR FIN'!$A$1:$O$85,15,0)),0,VLOOKUP($T$180,'TAR FIN'!$A$1:$O$85,15,0))</f>
        <v>0</v>
      </c>
      <c r="X180" s="70">
        <f>IF(ISERROR(VLOOKUP($U$180,'TAR FIN'!$A$1:$O$85,15,0)),0,VLOOKUP($U$180,'TAR FIN'!$A$1:$O$85,15,0))</f>
        <v>0</v>
      </c>
      <c r="Y180" s="70">
        <f ca="1">('TUSD BE'!$AM$10+'TUSD BF'!$AM$10+'TUSD CVA'!$AM$10)*1*(1-0.03)</f>
        <v>17.820698790947443</v>
      </c>
      <c r="Z180" s="70"/>
      <c r="AA180" s="70"/>
      <c r="AB180" s="70">
        <f>(SUBSIDIO!$J$180*SUBSIDIO!$V$180)*(0.06)/(1-0.06)</f>
        <v>591.05279999999993</v>
      </c>
      <c r="AC180" s="70">
        <f>((SUBSIDIO!$L$180*SUBSIDIO!$W$180)+(SUBSIDIO!$N$180*SUBSIDIO!$X$180))*(0.06)/(1-0.06)</f>
        <v>0</v>
      </c>
      <c r="AD180" s="70">
        <f ca="1">(SUBSIDIO!$J$180*SUBSIDIO!$Y$180)*(0.03)/(1-0.03)</f>
        <v>326.28413456415109</v>
      </c>
      <c r="AE180" s="70">
        <f>((SUBSIDIO!$L$180*SUBSIDIO!$Z$180)+(SUBSIDIO!$N$180*SUBSIDIO!$AA$180))*(0.03)/(1-0.03)</f>
        <v>0</v>
      </c>
      <c r="AF180" s="4" t="s">
        <v>847</v>
      </c>
    </row>
    <row r="181" spans="1:32" ht="11.25" customHeight="1" x14ac:dyDescent="0.25">
      <c r="A181" s="4" t="s">
        <v>21</v>
      </c>
      <c r="B181" s="4" t="s">
        <v>39</v>
      </c>
      <c r="C181" s="4" t="s">
        <v>40</v>
      </c>
      <c r="D181" s="4" t="s">
        <v>49</v>
      </c>
      <c r="E181" s="4" t="s">
        <v>50</v>
      </c>
      <c r="F181" s="4" t="s">
        <v>25</v>
      </c>
      <c r="G181" s="4" t="s">
        <v>25</v>
      </c>
      <c r="H181" s="4" t="s">
        <v>25</v>
      </c>
      <c r="I181" s="5">
        <v>44682</v>
      </c>
      <c r="J181" s="6">
        <v>591</v>
      </c>
      <c r="K181" s="71">
        <v>591</v>
      </c>
      <c r="L181" s="6">
        <v>0</v>
      </c>
      <c r="M181" s="70">
        <v>0</v>
      </c>
      <c r="N181" s="6">
        <v>0</v>
      </c>
      <c r="O181" s="70">
        <v>0</v>
      </c>
      <c r="P181" s="6">
        <v>13</v>
      </c>
      <c r="Q181" s="4" t="s">
        <v>26</v>
      </c>
      <c r="R181" s="4">
        <v>0</v>
      </c>
      <c r="S181" s="4">
        <v>6</v>
      </c>
      <c r="T181" s="4">
        <v>0</v>
      </c>
      <c r="U181" s="4">
        <v>0</v>
      </c>
      <c r="V181" s="70">
        <f>IF(ISERROR(VLOOKUP($S$181,'TAR FIN'!$A$1:$O$85,15,0)),0,VLOOKUP($S$181,'TAR FIN'!$A$1:$O$85,15,0))*(1-0.06)</f>
        <v>15.6416</v>
      </c>
      <c r="W181" s="70">
        <f>IF(ISERROR(VLOOKUP($T$181,'TAR FIN'!$A$1:$O$85,15,0)),0,VLOOKUP($T$181,'TAR FIN'!$A$1:$O$85,15,0))</f>
        <v>0</v>
      </c>
      <c r="X181" s="70">
        <f>IF(ISERROR(VLOOKUP($U$181,'TAR FIN'!$A$1:$O$85,15,0)),0,VLOOKUP($U$181,'TAR FIN'!$A$1:$O$85,15,0))</f>
        <v>0</v>
      </c>
      <c r="Y181" s="70">
        <f ca="1">('TUSD BE'!$AM$10+'TUSD BF'!$AM$10+'TUSD CVA'!$AM$10)*1*(1-0.03)</f>
        <v>17.820698790947443</v>
      </c>
      <c r="Z181" s="70"/>
      <c r="AA181" s="70"/>
      <c r="AB181" s="70">
        <f>(SUBSIDIO!$J$181*SUBSIDIO!$V$181)*(0.06)/(1-0.06)</f>
        <v>590.0544000000001</v>
      </c>
      <c r="AC181" s="70">
        <f>((SUBSIDIO!$L$181*SUBSIDIO!$W$181)+(SUBSIDIO!$N$181*SUBSIDIO!$X$181))*(0.06)/(1-0.06)</f>
        <v>0</v>
      </c>
      <c r="AD181" s="70">
        <f ca="1">(SUBSIDIO!$J$181*SUBSIDIO!$Y$181)*(0.03)/(1-0.03)</f>
        <v>325.73297893144144</v>
      </c>
      <c r="AE181" s="70">
        <f>((SUBSIDIO!$L$181*SUBSIDIO!$Z$181)+(SUBSIDIO!$N$181*SUBSIDIO!$AA$181))*(0.03)/(1-0.03)</f>
        <v>0</v>
      </c>
      <c r="AF181" s="4" t="s">
        <v>847</v>
      </c>
    </row>
    <row r="182" spans="1:32" ht="11.25" customHeight="1" x14ac:dyDescent="0.25">
      <c r="A182" s="4" t="s">
        <v>21</v>
      </c>
      <c r="B182" s="4" t="s">
        <v>39</v>
      </c>
      <c r="C182" s="4" t="s">
        <v>40</v>
      </c>
      <c r="D182" s="4" t="s">
        <v>49</v>
      </c>
      <c r="E182" s="4" t="s">
        <v>50</v>
      </c>
      <c r="F182" s="4" t="s">
        <v>25</v>
      </c>
      <c r="G182" s="4" t="s">
        <v>25</v>
      </c>
      <c r="H182" s="4" t="s">
        <v>25</v>
      </c>
      <c r="I182" s="5">
        <v>44713</v>
      </c>
      <c r="J182" s="6">
        <v>597</v>
      </c>
      <c r="K182" s="71">
        <v>597</v>
      </c>
      <c r="L182" s="6">
        <v>0</v>
      </c>
      <c r="M182" s="70">
        <v>0</v>
      </c>
      <c r="N182" s="6">
        <v>0</v>
      </c>
      <c r="O182" s="70">
        <v>0</v>
      </c>
      <c r="P182" s="6">
        <v>13</v>
      </c>
      <c r="Q182" s="4" t="s">
        <v>26</v>
      </c>
      <c r="R182" s="4">
        <v>0</v>
      </c>
      <c r="S182" s="4">
        <v>6</v>
      </c>
      <c r="T182" s="4">
        <v>0</v>
      </c>
      <c r="U182" s="4">
        <v>0</v>
      </c>
      <c r="V182" s="70">
        <f>IF(ISERROR(VLOOKUP($S$182,'TAR FIN'!$A$1:$O$85,15,0)),0,VLOOKUP($S$182,'TAR FIN'!$A$1:$O$85,15,0))*(1-0.06)</f>
        <v>15.6416</v>
      </c>
      <c r="W182" s="70">
        <f>IF(ISERROR(VLOOKUP($T$182,'TAR FIN'!$A$1:$O$85,15,0)),0,VLOOKUP($T$182,'TAR FIN'!$A$1:$O$85,15,0))</f>
        <v>0</v>
      </c>
      <c r="X182" s="70">
        <f>IF(ISERROR(VLOOKUP($U$182,'TAR FIN'!$A$1:$O$85,15,0)),0,VLOOKUP($U$182,'TAR FIN'!$A$1:$O$85,15,0))</f>
        <v>0</v>
      </c>
      <c r="Y182" s="70">
        <f ca="1">('TUSD BE'!$AM$10+'TUSD BF'!$AM$10+'TUSD CVA'!$AM$10)*1*(1-0.03)</f>
        <v>17.820698790947443</v>
      </c>
      <c r="Z182" s="70"/>
      <c r="AA182" s="70"/>
      <c r="AB182" s="70">
        <f>(SUBSIDIO!$J$182*SUBSIDIO!$V$182)*(0.06)/(1-0.06)</f>
        <v>596.04480000000001</v>
      </c>
      <c r="AC182" s="70">
        <f>((SUBSIDIO!$L$182*SUBSIDIO!$W$182)+(SUBSIDIO!$N$182*SUBSIDIO!$X$182))*(0.06)/(1-0.06)</f>
        <v>0</v>
      </c>
      <c r="AD182" s="70">
        <f ca="1">(SUBSIDIO!$J$182*SUBSIDIO!$Y$182)*(0.03)/(1-0.03)</f>
        <v>329.03991272769969</v>
      </c>
      <c r="AE182" s="70">
        <f>((SUBSIDIO!$L$182*SUBSIDIO!$Z$182)+(SUBSIDIO!$N$182*SUBSIDIO!$AA$182))*(0.03)/(1-0.03)</f>
        <v>0</v>
      </c>
      <c r="AF182" s="4" t="s">
        <v>847</v>
      </c>
    </row>
    <row r="183" spans="1:32" ht="11.25" customHeight="1" x14ac:dyDescent="0.25">
      <c r="A183" s="4" t="s">
        <v>21</v>
      </c>
      <c r="B183" s="4" t="s">
        <v>39</v>
      </c>
      <c r="C183" s="4" t="s">
        <v>40</v>
      </c>
      <c r="D183" s="4" t="s">
        <v>49</v>
      </c>
      <c r="E183" s="4" t="s">
        <v>50</v>
      </c>
      <c r="F183" s="4" t="s">
        <v>25</v>
      </c>
      <c r="G183" s="4" t="s">
        <v>25</v>
      </c>
      <c r="H183" s="4" t="s">
        <v>25</v>
      </c>
      <c r="I183" s="5">
        <v>44743</v>
      </c>
      <c r="J183" s="6">
        <v>588</v>
      </c>
      <c r="K183" s="71">
        <v>588</v>
      </c>
      <c r="L183" s="6">
        <v>0</v>
      </c>
      <c r="M183" s="70">
        <v>0</v>
      </c>
      <c r="N183" s="6">
        <v>0</v>
      </c>
      <c r="O183" s="70">
        <v>0</v>
      </c>
      <c r="P183" s="6">
        <v>13</v>
      </c>
      <c r="Q183" s="4" t="s">
        <v>26</v>
      </c>
      <c r="R183" s="4">
        <v>0</v>
      </c>
      <c r="S183" s="4">
        <v>6</v>
      </c>
      <c r="T183" s="4">
        <v>0</v>
      </c>
      <c r="U183" s="4">
        <v>0</v>
      </c>
      <c r="V183" s="70">
        <f>IF(ISERROR(VLOOKUP($S$183,'TAR FIN'!$A$1:$O$85,15,0)),0,VLOOKUP($S$183,'TAR FIN'!$A$1:$O$85,15,0))*(1-0.06)</f>
        <v>15.6416</v>
      </c>
      <c r="W183" s="70">
        <f>IF(ISERROR(VLOOKUP($T$183,'TAR FIN'!$A$1:$O$85,15,0)),0,VLOOKUP($T$183,'TAR FIN'!$A$1:$O$85,15,0))</f>
        <v>0</v>
      </c>
      <c r="X183" s="70">
        <f>IF(ISERROR(VLOOKUP($U$183,'TAR FIN'!$A$1:$O$85,15,0)),0,VLOOKUP($U$183,'TAR FIN'!$A$1:$O$85,15,0))</f>
        <v>0</v>
      </c>
      <c r="Y183" s="70">
        <f ca="1">('TUSD BE'!$AM$10+'TUSD BF'!$AM$10+'TUSD CVA'!$AM$10)*1*(1-0.03)</f>
        <v>17.820698790947443</v>
      </c>
      <c r="Z183" s="70"/>
      <c r="AA183" s="70"/>
      <c r="AB183" s="70">
        <f>(SUBSIDIO!$J$183*SUBSIDIO!$V$183)*(0.06)/(1-0.06)</f>
        <v>587.05920000000003</v>
      </c>
      <c r="AC183" s="70">
        <f>((SUBSIDIO!$L$183*SUBSIDIO!$W$183)+(SUBSIDIO!$N$183*SUBSIDIO!$X$183))*(0.06)/(1-0.06)</f>
        <v>0</v>
      </c>
      <c r="AD183" s="70">
        <f ca="1">(SUBSIDIO!$J$183*SUBSIDIO!$Y$183)*(0.03)/(1-0.03)</f>
        <v>324.07951203331226</v>
      </c>
      <c r="AE183" s="70">
        <f>((SUBSIDIO!$L$183*SUBSIDIO!$Z$183)+(SUBSIDIO!$N$183*SUBSIDIO!$AA$183))*(0.03)/(1-0.03)</f>
        <v>0</v>
      </c>
      <c r="AF183" s="4" t="s">
        <v>847</v>
      </c>
    </row>
    <row r="184" spans="1:32" ht="11.25" customHeight="1" x14ac:dyDescent="0.25">
      <c r="A184" s="4" t="s">
        <v>56</v>
      </c>
      <c r="B184" s="4" t="s">
        <v>39</v>
      </c>
      <c r="C184" s="4" t="s">
        <v>40</v>
      </c>
      <c r="D184" s="4" t="s">
        <v>49</v>
      </c>
      <c r="E184" s="4" t="s">
        <v>50</v>
      </c>
      <c r="F184" s="4" t="s">
        <v>25</v>
      </c>
      <c r="G184" s="4" t="s">
        <v>25</v>
      </c>
      <c r="H184" s="4" t="s">
        <v>25</v>
      </c>
      <c r="I184" s="5">
        <v>44774</v>
      </c>
      <c r="J184" s="6">
        <v>588</v>
      </c>
      <c r="K184" s="71">
        <v>588</v>
      </c>
      <c r="L184" s="6">
        <v>0</v>
      </c>
      <c r="M184" s="70">
        <v>0</v>
      </c>
      <c r="N184" s="6">
        <v>0</v>
      </c>
      <c r="O184" s="70">
        <v>0</v>
      </c>
      <c r="P184" s="6">
        <v>13</v>
      </c>
      <c r="Q184" s="4" t="s">
        <v>26</v>
      </c>
      <c r="R184" s="4">
        <v>0</v>
      </c>
      <c r="S184" s="4">
        <v>6</v>
      </c>
      <c r="T184" s="4">
        <v>0</v>
      </c>
      <c r="U184" s="4">
        <v>0</v>
      </c>
      <c r="V184" s="70">
        <f>IF(ISERROR(VLOOKUP($S$184,'TAR FIN'!$A$1:$O$85,15,0)),0,VLOOKUP($S$184,'TAR FIN'!$A$1:$O$85,15,0))*(1-0.06)</f>
        <v>15.6416</v>
      </c>
      <c r="W184" s="70">
        <f>IF(ISERROR(VLOOKUP($T$184,'TAR FIN'!$A$1:$O$85,15,0)),0,VLOOKUP($T$184,'TAR FIN'!$A$1:$O$85,15,0))</f>
        <v>0</v>
      </c>
      <c r="X184" s="70">
        <f>IF(ISERROR(VLOOKUP($U$184,'TAR FIN'!$A$1:$O$85,15,0)),0,VLOOKUP($U$184,'TAR FIN'!$A$1:$O$85,15,0))</f>
        <v>0</v>
      </c>
      <c r="Y184" s="70">
        <f ca="1">('TUSD BE'!$AM$10+'TUSD BF'!$AM$10+'TUSD CVA'!$AM$10)*1*(1-0.03)</f>
        <v>17.820698790947443</v>
      </c>
      <c r="Z184" s="70"/>
      <c r="AA184" s="70"/>
      <c r="AB184" s="70">
        <f>(SUBSIDIO!$J$184*SUBSIDIO!$V$184)*(0.06)/(1-0.06)</f>
        <v>587.05920000000003</v>
      </c>
      <c r="AC184" s="70">
        <f>((SUBSIDIO!$L$184*SUBSIDIO!$W$184)+(SUBSIDIO!$N$184*SUBSIDIO!$X$184))*(0.06)/(1-0.06)</f>
        <v>0</v>
      </c>
      <c r="AD184" s="70">
        <f ca="1">(SUBSIDIO!$J$184*SUBSIDIO!$Y$184)*(0.03)/(1-0.03)</f>
        <v>324.07951203331226</v>
      </c>
      <c r="AE184" s="70">
        <f>((SUBSIDIO!$L$184*SUBSIDIO!$Z$184)+(SUBSIDIO!$N$184*SUBSIDIO!$AA$184))*(0.03)/(1-0.03)</f>
        <v>0</v>
      </c>
      <c r="AF184" s="4" t="s">
        <v>847</v>
      </c>
    </row>
    <row r="185" spans="1:32" ht="11.25" customHeight="1" x14ac:dyDescent="0.25">
      <c r="A185" s="4" t="s">
        <v>21</v>
      </c>
      <c r="B185" s="4" t="s">
        <v>39</v>
      </c>
      <c r="C185" s="4" t="s">
        <v>40</v>
      </c>
      <c r="D185" s="4" t="s">
        <v>49</v>
      </c>
      <c r="E185" s="4" t="s">
        <v>50</v>
      </c>
      <c r="F185" s="4" t="s">
        <v>25</v>
      </c>
      <c r="G185" s="4" t="s">
        <v>25</v>
      </c>
      <c r="H185" s="4" t="s">
        <v>34</v>
      </c>
      <c r="I185" s="5">
        <v>44440</v>
      </c>
      <c r="J185" s="6">
        <v>0</v>
      </c>
      <c r="K185" s="70">
        <v>0</v>
      </c>
      <c r="L185" s="6">
        <v>15.111000000000001</v>
      </c>
      <c r="M185" s="70">
        <v>15.111000000000001</v>
      </c>
      <c r="N185" s="6">
        <v>15.111000000000001</v>
      </c>
      <c r="O185" s="70">
        <v>15.111000000000001</v>
      </c>
      <c r="P185" s="6">
        <v>0</v>
      </c>
      <c r="Q185" s="4" t="s">
        <v>26</v>
      </c>
      <c r="R185" s="4">
        <v>0</v>
      </c>
      <c r="S185" s="4">
        <v>0</v>
      </c>
      <c r="T185" s="4">
        <v>7</v>
      </c>
      <c r="U185" s="4">
        <v>48</v>
      </c>
      <c r="V185" s="70">
        <f>IF(ISERROR(VLOOKUP($S$185,'TAR FIN'!$A$1:$O$85,15,0)),0,VLOOKUP($S$185,'TAR FIN'!$A$1:$O$85,15,0))</f>
        <v>0</v>
      </c>
      <c r="W185" s="70">
        <f>IF(ISERROR(VLOOKUP($T$185,'TAR FIN'!$A$1:$O$85,15,0)),0,VLOOKUP($T$185,'TAR FIN'!$A$1:$O$85,15,0))*(1-0.06)</f>
        <v>1246.8066000000001</v>
      </c>
      <c r="X185" s="70">
        <f>IF(ISERROR(VLOOKUP($U$185,'TAR FIN'!$A$1:$O$85,15,0)),0,VLOOKUP($U$185,'TAR FIN'!$A$1:$O$85,15,0))*(1-0.06)</f>
        <v>463.08159999999998</v>
      </c>
      <c r="Y185" s="70"/>
      <c r="Z185" s="70">
        <f ca="1">('TUSD BE'!$AM$11+'TUSD BF'!$AM$11+'TUSD CVA'!$AM$11)*1*(1-0.03)</f>
        <v>1486.0419769341061</v>
      </c>
      <c r="AA185" s="70">
        <f>('TE BE'!$AB$5+'TE BF'!$AB$5+'TE CVA'!$AB$5)*1*(1-0.03)</f>
        <v>471.29969712597807</v>
      </c>
      <c r="AB185" s="70">
        <f>(SUBSIDIO!$J$185*SUBSIDIO!$V$185)*(0.06)/(1-0.06)</f>
        <v>0</v>
      </c>
      <c r="AC185" s="70">
        <f>((SUBSIDIO!$L$185*SUBSIDIO!$W$185)+(SUBSIDIO!$N$185*SUBSIDIO!$X$185))*(0.06)/(1-0.06)</f>
        <v>1649.2417398</v>
      </c>
      <c r="AD185" s="70">
        <f>(SUBSIDIO!$J$185*SUBSIDIO!$Y$185)*(0.03)/(1-0.03)</f>
        <v>0</v>
      </c>
      <c r="AE185" s="70">
        <f ca="1">((SUBSIDIO!$L$185*SUBSIDIO!$Z$185)+(SUBSIDIO!$N$185*SUBSIDIO!$AA$185))*(0.03)/(1-0.03)</f>
        <v>914.7646403109876</v>
      </c>
      <c r="AF185" s="4" t="s">
        <v>847</v>
      </c>
    </row>
    <row r="186" spans="1:32" ht="11.25" customHeight="1" x14ac:dyDescent="0.25">
      <c r="A186" s="4" t="s">
        <v>21</v>
      </c>
      <c r="B186" s="4" t="s">
        <v>39</v>
      </c>
      <c r="C186" s="4" t="s">
        <v>40</v>
      </c>
      <c r="D186" s="4" t="s">
        <v>49</v>
      </c>
      <c r="E186" s="4" t="s">
        <v>50</v>
      </c>
      <c r="F186" s="4" t="s">
        <v>25</v>
      </c>
      <c r="G186" s="4" t="s">
        <v>25</v>
      </c>
      <c r="H186" s="4" t="s">
        <v>34</v>
      </c>
      <c r="I186" s="5">
        <v>44470</v>
      </c>
      <c r="J186" s="6">
        <v>0</v>
      </c>
      <c r="K186" s="70">
        <v>0</v>
      </c>
      <c r="L186" s="6">
        <v>14.802</v>
      </c>
      <c r="M186" s="70">
        <v>14.802</v>
      </c>
      <c r="N186" s="6">
        <v>14.802</v>
      </c>
      <c r="O186" s="70">
        <v>14.802</v>
      </c>
      <c r="P186" s="6">
        <v>0</v>
      </c>
      <c r="Q186" s="4" t="s">
        <v>26</v>
      </c>
      <c r="R186" s="4">
        <v>0</v>
      </c>
      <c r="S186" s="4">
        <v>0</v>
      </c>
      <c r="T186" s="4">
        <v>7</v>
      </c>
      <c r="U186" s="4">
        <v>48</v>
      </c>
      <c r="V186" s="70">
        <f>IF(ISERROR(VLOOKUP($S$186,'TAR FIN'!$A$1:$O$85,15,0)),0,VLOOKUP($S$186,'TAR FIN'!$A$1:$O$85,15,0))</f>
        <v>0</v>
      </c>
      <c r="W186" s="70">
        <f>IF(ISERROR(VLOOKUP($T$186,'TAR FIN'!$A$1:$O$85,15,0)),0,VLOOKUP($T$186,'TAR FIN'!$A$1:$O$85,15,0))*(1-0.06)</f>
        <v>1246.8066000000001</v>
      </c>
      <c r="X186" s="70">
        <f>IF(ISERROR(VLOOKUP($U$186,'TAR FIN'!$A$1:$O$85,15,0)),0,VLOOKUP($U$186,'TAR FIN'!$A$1:$O$85,15,0))*(1-0.06)</f>
        <v>463.08159999999998</v>
      </c>
      <c r="Y186" s="70"/>
      <c r="Z186" s="70">
        <f ca="1">('TUSD BE'!$AM$11+'TUSD BF'!$AM$11+'TUSD CVA'!$AM$11)*1*(1-0.03)</f>
        <v>1486.0419769341061</v>
      </c>
      <c r="AA186" s="70">
        <f>('TE BE'!$AB$5+'TE BF'!$AB$5+'TE CVA'!$AB$5)*1*(1-0.03)</f>
        <v>471.29969712597807</v>
      </c>
      <c r="AB186" s="70">
        <f>(SUBSIDIO!$J$186*SUBSIDIO!$V$186)*(0.06)/(1-0.06)</f>
        <v>0</v>
      </c>
      <c r="AC186" s="70">
        <f>((SUBSIDIO!$L$186*SUBSIDIO!$W$186)+(SUBSIDIO!$N$186*SUBSIDIO!$X$186))*(0.06)/(1-0.06)</f>
        <v>1615.5169236000002</v>
      </c>
      <c r="AD186" s="70">
        <f>(SUBSIDIO!$J$186*SUBSIDIO!$Y$186)*(0.03)/(1-0.03)</f>
        <v>0</v>
      </c>
      <c r="AE186" s="70">
        <f ca="1">((SUBSIDIO!$L$186*SUBSIDIO!$Z$186)+(SUBSIDIO!$N$186*SUBSIDIO!$AA$186))*(0.03)/(1-0.03)</f>
        <v>896.05891111661947</v>
      </c>
      <c r="AF186" s="4" t="s">
        <v>847</v>
      </c>
    </row>
    <row r="187" spans="1:32" ht="11.25" customHeight="1" x14ac:dyDescent="0.25">
      <c r="A187" s="4" t="s">
        <v>21</v>
      </c>
      <c r="B187" s="4" t="s">
        <v>39</v>
      </c>
      <c r="C187" s="4" t="s">
        <v>40</v>
      </c>
      <c r="D187" s="4" t="s">
        <v>49</v>
      </c>
      <c r="E187" s="4" t="s">
        <v>50</v>
      </c>
      <c r="F187" s="4" t="s">
        <v>25</v>
      </c>
      <c r="G187" s="4" t="s">
        <v>25</v>
      </c>
      <c r="H187" s="4" t="s">
        <v>34</v>
      </c>
      <c r="I187" s="5">
        <v>44501</v>
      </c>
      <c r="J187" s="6">
        <v>0</v>
      </c>
      <c r="K187" s="70">
        <v>0</v>
      </c>
      <c r="L187" s="6">
        <v>16.186</v>
      </c>
      <c r="M187" s="70">
        <v>16.186</v>
      </c>
      <c r="N187" s="6">
        <v>16.186</v>
      </c>
      <c r="O187" s="70">
        <v>16.186</v>
      </c>
      <c r="P187" s="6">
        <v>0</v>
      </c>
      <c r="Q187" s="4" t="s">
        <v>26</v>
      </c>
      <c r="R187" s="4">
        <v>0</v>
      </c>
      <c r="S187" s="4">
        <v>0</v>
      </c>
      <c r="T187" s="4">
        <v>7</v>
      </c>
      <c r="U187" s="4">
        <v>48</v>
      </c>
      <c r="V187" s="70">
        <f>IF(ISERROR(VLOOKUP($S$187,'TAR FIN'!$A$1:$O$85,15,0)),0,VLOOKUP($S$187,'TAR FIN'!$A$1:$O$85,15,0))</f>
        <v>0</v>
      </c>
      <c r="W187" s="70">
        <f>IF(ISERROR(VLOOKUP($T$187,'TAR FIN'!$A$1:$O$85,15,0)),0,VLOOKUP($T$187,'TAR FIN'!$A$1:$O$85,15,0))*(1-0.06)</f>
        <v>1246.8066000000001</v>
      </c>
      <c r="X187" s="70">
        <f>IF(ISERROR(VLOOKUP($U$187,'TAR FIN'!$A$1:$O$85,15,0)),0,VLOOKUP($U$187,'TAR FIN'!$A$1:$O$85,15,0))*(1-0.06)</f>
        <v>463.08159999999998</v>
      </c>
      <c r="Y187" s="70"/>
      <c r="Z187" s="70">
        <f ca="1">('TUSD BE'!$AM$11+'TUSD BF'!$AM$11+'TUSD CVA'!$AM$11)*1*(1-0.03)</f>
        <v>1486.0419769341061</v>
      </c>
      <c r="AA187" s="70">
        <f>('TE BE'!$AB$5+'TE BF'!$AB$5+'TE CVA'!$AB$5)*1*(1-0.03)</f>
        <v>471.29969712597807</v>
      </c>
      <c r="AB187" s="70">
        <f>(SUBSIDIO!$J$187*SUBSIDIO!$V$187)*(0.06)/(1-0.06)</f>
        <v>0</v>
      </c>
      <c r="AC187" s="70">
        <f>((SUBSIDIO!$L$187*SUBSIDIO!$W$187)+(SUBSIDIO!$N$187*SUBSIDIO!$X$187))*(0.06)/(1-0.06)</f>
        <v>1766.5691747999999</v>
      </c>
      <c r="AD187" s="70">
        <f>(SUBSIDIO!$J$187*SUBSIDIO!$Y$187)*(0.03)/(1-0.03)</f>
        <v>0</v>
      </c>
      <c r="AE187" s="70">
        <f ca="1">((SUBSIDIO!$L$187*SUBSIDIO!$Z$187)+(SUBSIDIO!$N$187*SUBSIDIO!$AA$187))*(0.03)/(1-0.03)</f>
        <v>979.84120627844902</v>
      </c>
      <c r="AF187" s="4" t="s">
        <v>847</v>
      </c>
    </row>
    <row r="188" spans="1:32" ht="11.25" customHeight="1" x14ac:dyDescent="0.25">
      <c r="A188" s="4" t="s">
        <v>27</v>
      </c>
      <c r="B188" s="4" t="s">
        <v>39</v>
      </c>
      <c r="C188" s="4" t="s">
        <v>40</v>
      </c>
      <c r="D188" s="4" t="s">
        <v>49</v>
      </c>
      <c r="E188" s="4" t="s">
        <v>50</v>
      </c>
      <c r="F188" s="4" t="s">
        <v>25</v>
      </c>
      <c r="G188" s="4" t="s">
        <v>25</v>
      </c>
      <c r="H188" s="4" t="s">
        <v>34</v>
      </c>
      <c r="I188" s="5">
        <v>44501</v>
      </c>
      <c r="J188" s="6">
        <v>0</v>
      </c>
      <c r="K188" s="70">
        <v>0</v>
      </c>
      <c r="L188" s="6">
        <v>3.3559999999999999</v>
      </c>
      <c r="M188" s="70">
        <v>3.3559999999999999</v>
      </c>
      <c r="N188" s="6">
        <v>3.3559999999999999</v>
      </c>
      <c r="O188" s="70">
        <v>3.3559999999999999</v>
      </c>
      <c r="P188" s="6">
        <v>0</v>
      </c>
      <c r="Q188" s="4" t="s">
        <v>26</v>
      </c>
      <c r="R188" s="4">
        <v>0</v>
      </c>
      <c r="S188" s="4">
        <v>0</v>
      </c>
      <c r="T188" s="4">
        <v>7</v>
      </c>
      <c r="U188" s="4">
        <v>48</v>
      </c>
      <c r="V188" s="70">
        <f>IF(ISERROR(VLOOKUP($S$188,'TAR FIN'!$A$1:$O$85,15,0)),0,VLOOKUP($S$188,'TAR FIN'!$A$1:$O$85,15,0))</f>
        <v>0</v>
      </c>
      <c r="W188" s="70">
        <f>IF(ISERROR(VLOOKUP($T$188,'TAR FIN'!$A$1:$O$85,15,0)),0,VLOOKUP($T$188,'TAR FIN'!$A$1:$O$85,15,0))*(1-0.06)</f>
        <v>1246.8066000000001</v>
      </c>
      <c r="X188" s="70">
        <f>IF(ISERROR(VLOOKUP($U$188,'TAR FIN'!$A$1:$O$85,15,0)),0,VLOOKUP($U$188,'TAR FIN'!$A$1:$O$85,15,0))*(1-0.06)</f>
        <v>463.08159999999998</v>
      </c>
      <c r="Y188" s="70"/>
      <c r="Z188" s="70">
        <f ca="1">('TUSD BE'!$AM$11+'TUSD BF'!$AM$11+'TUSD CVA'!$AM$11)*1*(1-0.03)</f>
        <v>1486.0419769341061</v>
      </c>
      <c r="AA188" s="70">
        <f>('TE BE'!$AB$5+'TE BF'!$AB$5+'TE CVA'!$AB$5)*1*(1-0.03)</f>
        <v>471.29969712597807</v>
      </c>
      <c r="AB188" s="70">
        <f>(SUBSIDIO!$J$188*SUBSIDIO!$V$188)*(0.06)/(1-0.06)</f>
        <v>0</v>
      </c>
      <c r="AC188" s="70">
        <f>((SUBSIDIO!$L$188*SUBSIDIO!$W$188)+(SUBSIDIO!$N$188*SUBSIDIO!$X$188))*(0.06)/(1-0.06)</f>
        <v>366.2798808</v>
      </c>
      <c r="AD188" s="70">
        <f>(SUBSIDIO!$J$188*SUBSIDIO!$Y$188)*(0.03)/(1-0.03)</f>
        <v>0</v>
      </c>
      <c r="AE188" s="70">
        <f ca="1">((SUBSIDIO!$L$188*SUBSIDIO!$Z$188)+(SUBSIDIO!$N$188*SUBSIDIO!$AA$188))*(0.03)/(1-0.03)</f>
        <v>203.15995849934978</v>
      </c>
      <c r="AF188" s="4" t="s">
        <v>847</v>
      </c>
    </row>
    <row r="189" spans="1:32" ht="11.25" customHeight="1" x14ac:dyDescent="0.25">
      <c r="A189" s="4" t="s">
        <v>21</v>
      </c>
      <c r="B189" s="4" t="s">
        <v>39</v>
      </c>
      <c r="C189" s="4" t="s">
        <v>40</v>
      </c>
      <c r="D189" s="4" t="s">
        <v>49</v>
      </c>
      <c r="E189" s="4" t="s">
        <v>50</v>
      </c>
      <c r="F189" s="4" t="s">
        <v>25</v>
      </c>
      <c r="G189" s="4" t="s">
        <v>25</v>
      </c>
      <c r="H189" s="4" t="s">
        <v>34</v>
      </c>
      <c r="I189" s="5">
        <v>44531</v>
      </c>
      <c r="J189" s="6">
        <v>0</v>
      </c>
      <c r="K189" s="70">
        <v>0</v>
      </c>
      <c r="L189" s="6">
        <v>18.338999999999999</v>
      </c>
      <c r="M189" s="70">
        <v>18.338999999999999</v>
      </c>
      <c r="N189" s="6">
        <v>18.338999999999999</v>
      </c>
      <c r="O189" s="70">
        <v>18.338999999999999</v>
      </c>
      <c r="P189" s="6">
        <v>0</v>
      </c>
      <c r="Q189" s="4" t="s">
        <v>26</v>
      </c>
      <c r="R189" s="4">
        <v>0</v>
      </c>
      <c r="S189" s="4">
        <v>0</v>
      </c>
      <c r="T189" s="4">
        <v>7</v>
      </c>
      <c r="U189" s="4">
        <v>48</v>
      </c>
      <c r="V189" s="70">
        <f>IF(ISERROR(VLOOKUP($S$189,'TAR FIN'!$A$1:$O$85,15,0)),0,VLOOKUP($S$189,'TAR FIN'!$A$1:$O$85,15,0))</f>
        <v>0</v>
      </c>
      <c r="W189" s="70">
        <f>IF(ISERROR(VLOOKUP($T$189,'TAR FIN'!$A$1:$O$85,15,0)),0,VLOOKUP($T$189,'TAR FIN'!$A$1:$O$85,15,0))*(1-0.06)</f>
        <v>1246.8066000000001</v>
      </c>
      <c r="X189" s="70">
        <f>IF(ISERROR(VLOOKUP($U$189,'TAR FIN'!$A$1:$O$85,15,0)),0,VLOOKUP($U$189,'TAR FIN'!$A$1:$O$85,15,0))*(1-0.06)</f>
        <v>463.08159999999998</v>
      </c>
      <c r="Y189" s="70"/>
      <c r="Z189" s="70">
        <f ca="1">('TUSD BE'!$AM$11+'TUSD BF'!$AM$11+'TUSD CVA'!$AM$11)*1*(1-0.03)</f>
        <v>1486.0419769341061</v>
      </c>
      <c r="AA189" s="70">
        <f>('TE BE'!$AB$5+'TE BF'!$AB$5+'TE CVA'!$AB$5)*1*(1-0.03)</f>
        <v>471.29969712597807</v>
      </c>
      <c r="AB189" s="70">
        <f>(SUBSIDIO!$J$189*SUBSIDIO!$V$189)*(0.06)/(1-0.06)</f>
        <v>0</v>
      </c>
      <c r="AC189" s="70">
        <f>((SUBSIDIO!$L$189*SUBSIDIO!$W$189)+(SUBSIDIO!$N$189*SUBSIDIO!$X$189))*(0.06)/(1-0.06)</f>
        <v>2001.5514702</v>
      </c>
      <c r="AD189" s="70">
        <f>(SUBSIDIO!$J$189*SUBSIDIO!$Y$189)*(0.03)/(1-0.03)</f>
        <v>0</v>
      </c>
      <c r="AE189" s="70">
        <f ca="1">((SUBSIDIO!$L$189*SUBSIDIO!$Z$189)+(SUBSIDIO!$N$189*SUBSIDIO!$AA$189))*(0.03)/(1-0.03)</f>
        <v>1110.1759472346769</v>
      </c>
      <c r="AF189" s="4" t="s">
        <v>847</v>
      </c>
    </row>
    <row r="190" spans="1:32" ht="11.25" customHeight="1" x14ac:dyDescent="0.25">
      <c r="A190" s="4" t="s">
        <v>21</v>
      </c>
      <c r="B190" s="4" t="s">
        <v>39</v>
      </c>
      <c r="C190" s="4" t="s">
        <v>40</v>
      </c>
      <c r="D190" s="4" t="s">
        <v>49</v>
      </c>
      <c r="E190" s="4" t="s">
        <v>50</v>
      </c>
      <c r="F190" s="4" t="s">
        <v>25</v>
      </c>
      <c r="G190" s="4" t="s">
        <v>25</v>
      </c>
      <c r="H190" s="4" t="s">
        <v>34</v>
      </c>
      <c r="I190" s="5">
        <v>44562</v>
      </c>
      <c r="J190" s="6">
        <v>0</v>
      </c>
      <c r="K190" s="70">
        <v>0</v>
      </c>
      <c r="L190" s="6">
        <v>18.408000000000001</v>
      </c>
      <c r="M190" s="70">
        <v>18.408000000000001</v>
      </c>
      <c r="N190" s="6">
        <v>18.408000000000001</v>
      </c>
      <c r="O190" s="70">
        <v>18.408000000000001</v>
      </c>
      <c r="P190" s="6">
        <v>0</v>
      </c>
      <c r="Q190" s="4" t="s">
        <v>26</v>
      </c>
      <c r="R190" s="4">
        <v>0</v>
      </c>
      <c r="S190" s="4">
        <v>0</v>
      </c>
      <c r="T190" s="4">
        <v>7</v>
      </c>
      <c r="U190" s="4">
        <v>48</v>
      </c>
      <c r="V190" s="70">
        <f>IF(ISERROR(VLOOKUP($S$190,'TAR FIN'!$A$1:$O$85,15,0)),0,VLOOKUP($S$190,'TAR FIN'!$A$1:$O$85,15,0))</f>
        <v>0</v>
      </c>
      <c r="W190" s="70">
        <f>IF(ISERROR(VLOOKUP($T$190,'TAR FIN'!$A$1:$O$85,15,0)),0,VLOOKUP($T$190,'TAR FIN'!$A$1:$O$85,15,0))*(1-0.06)</f>
        <v>1246.8066000000001</v>
      </c>
      <c r="X190" s="70">
        <f>IF(ISERROR(VLOOKUP($U$190,'TAR FIN'!$A$1:$O$85,15,0)),0,VLOOKUP($U$190,'TAR FIN'!$A$1:$O$85,15,0))*(1-0.06)</f>
        <v>463.08159999999998</v>
      </c>
      <c r="Y190" s="70"/>
      <c r="Z190" s="70">
        <f ca="1">('TUSD BE'!$AM$11+'TUSD BF'!$AM$11+'TUSD CVA'!$AM$11)*1*(1-0.03)</f>
        <v>1486.0419769341061</v>
      </c>
      <c r="AA190" s="70">
        <f>('TE BE'!$AB$5+'TE BF'!$AB$5+'TE CVA'!$AB$5)*1*(1-0.03)</f>
        <v>471.29969712597807</v>
      </c>
      <c r="AB190" s="70">
        <f>(SUBSIDIO!$J$190*SUBSIDIO!$V$190)*(0.06)/(1-0.06)</f>
        <v>0</v>
      </c>
      <c r="AC190" s="70">
        <f>((SUBSIDIO!$L$190*SUBSIDIO!$W$190)+(SUBSIDIO!$N$190*SUBSIDIO!$X$190))*(0.06)/(1-0.06)</f>
        <v>2009.0822544000002</v>
      </c>
      <c r="AD190" s="70">
        <f>(SUBSIDIO!$J$190*SUBSIDIO!$Y$190)*(0.03)/(1-0.03)</f>
        <v>0</v>
      </c>
      <c r="AE190" s="70">
        <f ca="1">((SUBSIDIO!$L$190*SUBSIDIO!$Z$190)+(SUBSIDIO!$N$190*SUBSIDIO!$AA$190))*(0.03)/(1-0.03)</f>
        <v>1114.3529547246815</v>
      </c>
      <c r="AF190" s="4" t="s">
        <v>847</v>
      </c>
    </row>
    <row r="191" spans="1:32" ht="11.25" customHeight="1" x14ac:dyDescent="0.25">
      <c r="A191" s="4" t="s">
        <v>21</v>
      </c>
      <c r="B191" s="4" t="s">
        <v>39</v>
      </c>
      <c r="C191" s="4" t="s">
        <v>40</v>
      </c>
      <c r="D191" s="4" t="s">
        <v>49</v>
      </c>
      <c r="E191" s="4" t="s">
        <v>50</v>
      </c>
      <c r="F191" s="4" t="s">
        <v>25</v>
      </c>
      <c r="G191" s="4" t="s">
        <v>25</v>
      </c>
      <c r="H191" s="4" t="s">
        <v>34</v>
      </c>
      <c r="I191" s="5">
        <v>44593</v>
      </c>
      <c r="J191" s="6">
        <v>0</v>
      </c>
      <c r="K191" s="70">
        <v>0</v>
      </c>
      <c r="L191" s="6">
        <v>17.873000000000001</v>
      </c>
      <c r="M191" s="70">
        <v>17.873000000000001</v>
      </c>
      <c r="N191" s="6">
        <v>17.873000000000001</v>
      </c>
      <c r="O191" s="70">
        <v>17.873000000000001</v>
      </c>
      <c r="P191" s="6">
        <v>0</v>
      </c>
      <c r="Q191" s="4" t="s">
        <v>26</v>
      </c>
      <c r="R191" s="4">
        <v>0</v>
      </c>
      <c r="S191" s="4">
        <v>0</v>
      </c>
      <c r="T191" s="4">
        <v>7</v>
      </c>
      <c r="U191" s="4">
        <v>48</v>
      </c>
      <c r="V191" s="70">
        <f>IF(ISERROR(VLOOKUP($S$191,'TAR FIN'!$A$1:$O$85,15,0)),0,VLOOKUP($S$191,'TAR FIN'!$A$1:$O$85,15,0))</f>
        <v>0</v>
      </c>
      <c r="W191" s="70">
        <f>IF(ISERROR(VLOOKUP($T$191,'TAR FIN'!$A$1:$O$85,15,0)),0,VLOOKUP($T$191,'TAR FIN'!$A$1:$O$85,15,0))*(1-0.06)</f>
        <v>1246.8066000000001</v>
      </c>
      <c r="X191" s="70">
        <f>IF(ISERROR(VLOOKUP($U$191,'TAR FIN'!$A$1:$O$85,15,0)),0,VLOOKUP($U$191,'TAR FIN'!$A$1:$O$85,15,0))*(1-0.06)</f>
        <v>463.08159999999998</v>
      </c>
      <c r="Y191" s="70"/>
      <c r="Z191" s="70">
        <f ca="1">('TUSD BE'!$AM$11+'TUSD BF'!$AM$11+'TUSD CVA'!$AM$11)*1*(1-0.03)</f>
        <v>1486.0419769341061</v>
      </c>
      <c r="AA191" s="70">
        <f>('TE BE'!$AB$5+'TE BF'!$AB$5+'TE CVA'!$AB$5)*1*(1-0.03)</f>
        <v>471.29969712597807</v>
      </c>
      <c r="AB191" s="70">
        <f>(SUBSIDIO!$J$191*SUBSIDIO!$V$191)*(0.06)/(1-0.06)</f>
        <v>0</v>
      </c>
      <c r="AC191" s="70">
        <f>((SUBSIDIO!$L$191*SUBSIDIO!$W$191)+(SUBSIDIO!$N$191*SUBSIDIO!$X$191))*(0.06)/(1-0.06)</f>
        <v>1950.6913914000002</v>
      </c>
      <c r="AD191" s="70">
        <f>(SUBSIDIO!$J$191*SUBSIDIO!$Y$191)*(0.03)/(1-0.03)</f>
        <v>0</v>
      </c>
      <c r="AE191" s="70">
        <f ca="1">((SUBSIDIO!$L$191*SUBSIDIO!$Z$191)+(SUBSIDIO!$N$191*SUBSIDIO!$AA$191))*(0.03)/(1-0.03)</f>
        <v>1081.9660125920379</v>
      </c>
      <c r="AF191" s="4" t="s">
        <v>847</v>
      </c>
    </row>
    <row r="192" spans="1:32" ht="11.25" customHeight="1" x14ac:dyDescent="0.25">
      <c r="A192" s="4" t="s">
        <v>21</v>
      </c>
      <c r="B192" s="4" t="s">
        <v>39</v>
      </c>
      <c r="C192" s="4" t="s">
        <v>40</v>
      </c>
      <c r="D192" s="4" t="s">
        <v>49</v>
      </c>
      <c r="E192" s="4" t="s">
        <v>50</v>
      </c>
      <c r="F192" s="4" t="s">
        <v>25</v>
      </c>
      <c r="G192" s="4" t="s">
        <v>25</v>
      </c>
      <c r="H192" s="4" t="s">
        <v>34</v>
      </c>
      <c r="I192" s="5">
        <v>44621</v>
      </c>
      <c r="J192" s="6">
        <v>0</v>
      </c>
      <c r="K192" s="70">
        <v>0</v>
      </c>
      <c r="L192" s="6">
        <v>19.698</v>
      </c>
      <c r="M192" s="70">
        <v>19.698</v>
      </c>
      <c r="N192" s="6">
        <v>19.698</v>
      </c>
      <c r="O192" s="70">
        <v>19.698</v>
      </c>
      <c r="P192" s="6">
        <v>0</v>
      </c>
      <c r="Q192" s="4" t="s">
        <v>26</v>
      </c>
      <c r="R192" s="4">
        <v>0</v>
      </c>
      <c r="S192" s="4">
        <v>0</v>
      </c>
      <c r="T192" s="4">
        <v>7</v>
      </c>
      <c r="U192" s="4">
        <v>48</v>
      </c>
      <c r="V192" s="70">
        <f>IF(ISERROR(VLOOKUP($S$192,'TAR FIN'!$A$1:$O$85,15,0)),0,VLOOKUP($S$192,'TAR FIN'!$A$1:$O$85,15,0))</f>
        <v>0</v>
      </c>
      <c r="W192" s="70">
        <f>IF(ISERROR(VLOOKUP($T$192,'TAR FIN'!$A$1:$O$85,15,0)),0,VLOOKUP($T$192,'TAR FIN'!$A$1:$O$85,15,0))*(1-0.06)</f>
        <v>1246.8066000000001</v>
      </c>
      <c r="X192" s="70">
        <f>IF(ISERROR(VLOOKUP($U$192,'TAR FIN'!$A$1:$O$85,15,0)),0,VLOOKUP($U$192,'TAR FIN'!$A$1:$O$85,15,0))*(1-0.06)</f>
        <v>463.08159999999998</v>
      </c>
      <c r="Y192" s="70"/>
      <c r="Z192" s="70">
        <f ca="1">('TUSD BE'!$AM$11+'TUSD BF'!$AM$11+'TUSD CVA'!$AM$11)*1*(1-0.03)</f>
        <v>1486.0419769341061</v>
      </c>
      <c r="AA192" s="70">
        <f>('TE BE'!$AB$5+'TE BF'!$AB$5+'TE CVA'!$AB$5)*1*(1-0.03)</f>
        <v>471.29969712597807</v>
      </c>
      <c r="AB192" s="70">
        <f>(SUBSIDIO!$J$192*SUBSIDIO!$V$192)*(0.06)/(1-0.06)</f>
        <v>0</v>
      </c>
      <c r="AC192" s="70">
        <f>((SUBSIDIO!$L$192*SUBSIDIO!$W$192)+(SUBSIDIO!$N$192*SUBSIDIO!$X$192))*(0.06)/(1-0.06)</f>
        <v>2149.8751764000003</v>
      </c>
      <c r="AD192" s="70">
        <f>(SUBSIDIO!$J$192*SUBSIDIO!$Y$192)*(0.03)/(1-0.03)</f>
        <v>0</v>
      </c>
      <c r="AE192" s="70">
        <f ca="1">((SUBSIDIO!$L$192*SUBSIDIO!$Z$192)+(SUBSIDIO!$N$192*SUBSIDIO!$AA$192))*(0.03)/(1-0.03)</f>
        <v>1192.444833885635</v>
      </c>
      <c r="AF192" s="4" t="s">
        <v>847</v>
      </c>
    </row>
    <row r="193" spans="1:32" ht="11.25" customHeight="1" x14ac:dyDescent="0.25">
      <c r="A193" s="4" t="s">
        <v>21</v>
      </c>
      <c r="B193" s="4" t="s">
        <v>39</v>
      </c>
      <c r="C193" s="4" t="s">
        <v>40</v>
      </c>
      <c r="D193" s="4" t="s">
        <v>49</v>
      </c>
      <c r="E193" s="4" t="s">
        <v>50</v>
      </c>
      <c r="F193" s="4" t="s">
        <v>25</v>
      </c>
      <c r="G193" s="4" t="s">
        <v>25</v>
      </c>
      <c r="H193" s="4" t="s">
        <v>34</v>
      </c>
      <c r="I193" s="5">
        <v>44652</v>
      </c>
      <c r="J193" s="6">
        <v>0</v>
      </c>
      <c r="K193" s="70">
        <v>0</v>
      </c>
      <c r="L193" s="6">
        <v>19.228000000000002</v>
      </c>
      <c r="M193" s="70">
        <v>19.228000000000002</v>
      </c>
      <c r="N193" s="6">
        <v>19.228000000000002</v>
      </c>
      <c r="O193" s="70">
        <v>19.228000000000002</v>
      </c>
      <c r="P193" s="6">
        <v>0</v>
      </c>
      <c r="Q193" s="4" t="s">
        <v>26</v>
      </c>
      <c r="R193" s="4">
        <v>0</v>
      </c>
      <c r="S193" s="4">
        <v>0</v>
      </c>
      <c r="T193" s="4">
        <v>7</v>
      </c>
      <c r="U193" s="4">
        <v>48</v>
      </c>
      <c r="V193" s="70">
        <f>IF(ISERROR(VLOOKUP($S$193,'TAR FIN'!$A$1:$O$85,15,0)),0,VLOOKUP($S$193,'TAR FIN'!$A$1:$O$85,15,0))</f>
        <v>0</v>
      </c>
      <c r="W193" s="70">
        <f>IF(ISERROR(VLOOKUP($T$193,'TAR FIN'!$A$1:$O$85,15,0)),0,VLOOKUP($T$193,'TAR FIN'!$A$1:$O$85,15,0))*(1-0.06)</f>
        <v>1246.8066000000001</v>
      </c>
      <c r="X193" s="70">
        <f>IF(ISERROR(VLOOKUP($U$193,'TAR FIN'!$A$1:$O$85,15,0)),0,VLOOKUP($U$193,'TAR FIN'!$A$1:$O$85,15,0))*(1-0.06)</f>
        <v>463.08159999999998</v>
      </c>
      <c r="Y193" s="70"/>
      <c r="Z193" s="70">
        <f ca="1">('TUSD BE'!$AM$11+'TUSD BF'!$AM$11+'TUSD CVA'!$AM$11)*1*(1-0.03)</f>
        <v>1486.0419769341061</v>
      </c>
      <c r="AA193" s="70">
        <f>('TE BE'!$AB$5+'TE BF'!$AB$5+'TE CVA'!$AB$5)*1*(1-0.03)</f>
        <v>471.29969712597807</v>
      </c>
      <c r="AB193" s="70">
        <f>(SUBSIDIO!$J$193*SUBSIDIO!$V$193)*(0.06)/(1-0.06)</f>
        <v>0</v>
      </c>
      <c r="AC193" s="70">
        <f>((SUBSIDIO!$L$193*SUBSIDIO!$W$193)+(SUBSIDIO!$N$193*SUBSIDIO!$X$193))*(0.06)/(1-0.06)</f>
        <v>2098.5785304000001</v>
      </c>
      <c r="AD193" s="70">
        <f>(SUBSIDIO!$J$193*SUBSIDIO!$Y$193)*(0.03)/(1-0.03)</f>
        <v>0</v>
      </c>
      <c r="AE193" s="70">
        <f ca="1">((SUBSIDIO!$L$193*SUBSIDIO!$Z$193)+(SUBSIDIO!$N$193*SUBSIDIO!$AA$193))*(0.03)/(1-0.03)</f>
        <v>1163.9927538812565</v>
      </c>
      <c r="AF193" s="4" t="s">
        <v>847</v>
      </c>
    </row>
    <row r="194" spans="1:32" ht="11.25" customHeight="1" x14ac:dyDescent="0.25">
      <c r="A194" s="4" t="s">
        <v>21</v>
      </c>
      <c r="B194" s="4" t="s">
        <v>39</v>
      </c>
      <c r="C194" s="4" t="s">
        <v>40</v>
      </c>
      <c r="D194" s="4" t="s">
        <v>49</v>
      </c>
      <c r="E194" s="4" t="s">
        <v>50</v>
      </c>
      <c r="F194" s="4" t="s">
        <v>25</v>
      </c>
      <c r="G194" s="4" t="s">
        <v>25</v>
      </c>
      <c r="H194" s="4" t="s">
        <v>34</v>
      </c>
      <c r="I194" s="5">
        <v>44682</v>
      </c>
      <c r="J194" s="6">
        <v>0</v>
      </c>
      <c r="K194" s="70">
        <v>0</v>
      </c>
      <c r="L194" s="6">
        <v>17.064</v>
      </c>
      <c r="M194" s="70">
        <v>17.064</v>
      </c>
      <c r="N194" s="6">
        <v>17.064</v>
      </c>
      <c r="O194" s="70">
        <v>17.064</v>
      </c>
      <c r="P194" s="6">
        <v>0</v>
      </c>
      <c r="Q194" s="4" t="s">
        <v>26</v>
      </c>
      <c r="R194" s="4">
        <v>0</v>
      </c>
      <c r="S194" s="4">
        <v>0</v>
      </c>
      <c r="T194" s="4">
        <v>7</v>
      </c>
      <c r="U194" s="4">
        <v>48</v>
      </c>
      <c r="V194" s="70">
        <f>IF(ISERROR(VLOOKUP($S$194,'TAR FIN'!$A$1:$O$85,15,0)),0,VLOOKUP($S$194,'TAR FIN'!$A$1:$O$85,15,0))</f>
        <v>0</v>
      </c>
      <c r="W194" s="70">
        <f>IF(ISERROR(VLOOKUP($T$194,'TAR FIN'!$A$1:$O$85,15,0)),0,VLOOKUP($T$194,'TAR FIN'!$A$1:$O$85,15,0))*(1-0.06)</f>
        <v>1246.8066000000001</v>
      </c>
      <c r="X194" s="70">
        <f>IF(ISERROR(VLOOKUP($U$194,'TAR FIN'!$A$1:$O$85,15,0)),0,VLOOKUP($U$194,'TAR FIN'!$A$1:$O$85,15,0))*(1-0.06)</f>
        <v>463.08159999999998</v>
      </c>
      <c r="Y194" s="70"/>
      <c r="Z194" s="70">
        <f ca="1">('TUSD BE'!$AM$11+'TUSD BF'!$AM$11+'TUSD CVA'!$AM$11)*1*(1-0.03)</f>
        <v>1486.0419769341061</v>
      </c>
      <c r="AA194" s="70">
        <f>('TE BE'!$AB$5+'TE BF'!$AB$5+'TE CVA'!$AB$5)*1*(1-0.03)</f>
        <v>471.29969712597807</v>
      </c>
      <c r="AB194" s="70">
        <f>(SUBSIDIO!$J$194*SUBSIDIO!$V$194)*(0.06)/(1-0.06)</f>
        <v>0</v>
      </c>
      <c r="AC194" s="70">
        <f>((SUBSIDIO!$L$194*SUBSIDIO!$W$194)+(SUBSIDIO!$N$194*SUBSIDIO!$X$194))*(0.06)/(1-0.06)</f>
        <v>1862.3956752000001</v>
      </c>
      <c r="AD194" s="70">
        <f>(SUBSIDIO!$J$194*SUBSIDIO!$Y$194)*(0.03)/(1-0.03)</f>
        <v>0</v>
      </c>
      <c r="AE194" s="70">
        <f ca="1">((SUBSIDIO!$L$194*SUBSIDIO!$Z$194)+(SUBSIDIO!$N$194*SUBSIDIO!$AA$194))*(0.03)/(1-0.03)</f>
        <v>1032.9921131802455</v>
      </c>
      <c r="AF194" s="4" t="s">
        <v>847</v>
      </c>
    </row>
    <row r="195" spans="1:32" ht="11.25" customHeight="1" x14ac:dyDescent="0.25">
      <c r="A195" s="4" t="s">
        <v>21</v>
      </c>
      <c r="B195" s="4" t="s">
        <v>39</v>
      </c>
      <c r="C195" s="4" t="s">
        <v>40</v>
      </c>
      <c r="D195" s="4" t="s">
        <v>49</v>
      </c>
      <c r="E195" s="4" t="s">
        <v>50</v>
      </c>
      <c r="F195" s="4" t="s">
        <v>25</v>
      </c>
      <c r="G195" s="4" t="s">
        <v>25</v>
      </c>
      <c r="H195" s="4" t="s">
        <v>34</v>
      </c>
      <c r="I195" s="5">
        <v>44713</v>
      </c>
      <c r="J195" s="6">
        <v>0</v>
      </c>
      <c r="K195" s="70">
        <v>0</v>
      </c>
      <c r="L195" s="6">
        <v>16.731000000000002</v>
      </c>
      <c r="M195" s="70">
        <v>16.731000000000002</v>
      </c>
      <c r="N195" s="6">
        <v>16.731000000000002</v>
      </c>
      <c r="O195" s="70">
        <v>16.731000000000002</v>
      </c>
      <c r="P195" s="6">
        <v>0</v>
      </c>
      <c r="Q195" s="4" t="s">
        <v>26</v>
      </c>
      <c r="R195" s="4">
        <v>0</v>
      </c>
      <c r="S195" s="4">
        <v>0</v>
      </c>
      <c r="T195" s="4">
        <v>7</v>
      </c>
      <c r="U195" s="4">
        <v>48</v>
      </c>
      <c r="V195" s="70">
        <f>IF(ISERROR(VLOOKUP($S$195,'TAR FIN'!$A$1:$O$85,15,0)),0,VLOOKUP($S$195,'TAR FIN'!$A$1:$O$85,15,0))</f>
        <v>0</v>
      </c>
      <c r="W195" s="70">
        <f>IF(ISERROR(VLOOKUP($T$195,'TAR FIN'!$A$1:$O$85,15,0)),0,VLOOKUP($T$195,'TAR FIN'!$A$1:$O$85,15,0))*(1-0.06)</f>
        <v>1246.8066000000001</v>
      </c>
      <c r="X195" s="70">
        <f>IF(ISERROR(VLOOKUP($U$195,'TAR FIN'!$A$1:$O$85,15,0)),0,VLOOKUP($U$195,'TAR FIN'!$A$1:$O$85,15,0))*(1-0.06)</f>
        <v>463.08159999999998</v>
      </c>
      <c r="Y195" s="70"/>
      <c r="Z195" s="70">
        <f ca="1">('TUSD BE'!$AM$11+'TUSD BF'!$AM$11+'TUSD CVA'!$AM$11)*1*(1-0.03)</f>
        <v>1486.0419769341061</v>
      </c>
      <c r="AA195" s="70">
        <f>('TE BE'!$AB$5+'TE BF'!$AB$5+'TE CVA'!$AB$5)*1*(1-0.03)</f>
        <v>471.29969712597807</v>
      </c>
      <c r="AB195" s="70">
        <f>(SUBSIDIO!$J$195*SUBSIDIO!$V$195)*(0.06)/(1-0.06)</f>
        <v>0</v>
      </c>
      <c r="AC195" s="70">
        <f>((SUBSIDIO!$L$195*SUBSIDIO!$W$195)+(SUBSIDIO!$N$195*SUBSIDIO!$X$195))*(0.06)/(1-0.06)</f>
        <v>1826.0514558000004</v>
      </c>
      <c r="AD195" s="70">
        <f>(SUBSIDIO!$J$195*SUBSIDIO!$Y$195)*(0.03)/(1-0.03)</f>
        <v>0</v>
      </c>
      <c r="AE195" s="70">
        <f ca="1">((SUBSIDIO!$L$195*SUBSIDIO!$Z$195)+(SUBSIDIO!$N$195*SUBSIDIO!$AA$195))*(0.03)/(1-0.03)</f>
        <v>1012.8335118154413</v>
      </c>
      <c r="AF195" s="4" t="s">
        <v>847</v>
      </c>
    </row>
    <row r="196" spans="1:32" ht="11.25" customHeight="1" x14ac:dyDescent="0.25">
      <c r="A196" s="4" t="s">
        <v>21</v>
      </c>
      <c r="B196" s="4" t="s">
        <v>39</v>
      </c>
      <c r="C196" s="4" t="s">
        <v>40</v>
      </c>
      <c r="D196" s="4" t="s">
        <v>49</v>
      </c>
      <c r="E196" s="4" t="s">
        <v>50</v>
      </c>
      <c r="F196" s="4" t="s">
        <v>25</v>
      </c>
      <c r="G196" s="4" t="s">
        <v>25</v>
      </c>
      <c r="H196" s="4" t="s">
        <v>34</v>
      </c>
      <c r="I196" s="5">
        <v>44743</v>
      </c>
      <c r="J196" s="6">
        <v>0</v>
      </c>
      <c r="K196" s="70">
        <v>0</v>
      </c>
      <c r="L196" s="6">
        <v>16.405000000000001</v>
      </c>
      <c r="M196" s="70">
        <v>16.405000000000001</v>
      </c>
      <c r="N196" s="6">
        <v>16.405000000000001</v>
      </c>
      <c r="O196" s="70">
        <v>16.405000000000001</v>
      </c>
      <c r="P196" s="6">
        <v>0</v>
      </c>
      <c r="Q196" s="4" t="s">
        <v>26</v>
      </c>
      <c r="R196" s="4">
        <v>0</v>
      </c>
      <c r="S196" s="4">
        <v>0</v>
      </c>
      <c r="T196" s="4">
        <v>7</v>
      </c>
      <c r="U196" s="4">
        <v>48</v>
      </c>
      <c r="V196" s="70">
        <f>IF(ISERROR(VLOOKUP($S$196,'TAR FIN'!$A$1:$O$85,15,0)),0,VLOOKUP($S$196,'TAR FIN'!$A$1:$O$85,15,0))</f>
        <v>0</v>
      </c>
      <c r="W196" s="70">
        <f>IF(ISERROR(VLOOKUP($T$196,'TAR FIN'!$A$1:$O$85,15,0)),0,VLOOKUP($T$196,'TAR FIN'!$A$1:$O$85,15,0))*(1-0.06)</f>
        <v>1246.8066000000001</v>
      </c>
      <c r="X196" s="70">
        <f>IF(ISERROR(VLOOKUP($U$196,'TAR FIN'!$A$1:$O$85,15,0)),0,VLOOKUP($U$196,'TAR FIN'!$A$1:$O$85,15,0))*(1-0.06)</f>
        <v>463.08159999999998</v>
      </c>
      <c r="Y196" s="70"/>
      <c r="Z196" s="70">
        <f ca="1">('TUSD BE'!$AM$11+'TUSD BF'!$AM$11+'TUSD CVA'!$AM$11)*1*(1-0.03)</f>
        <v>1486.0419769341061</v>
      </c>
      <c r="AA196" s="70">
        <f>('TE BE'!$AB$5+'TE BF'!$AB$5+'TE CVA'!$AB$5)*1*(1-0.03)</f>
        <v>471.29969712597807</v>
      </c>
      <c r="AB196" s="70">
        <f>(SUBSIDIO!$J$196*SUBSIDIO!$V$196)*(0.06)/(1-0.06)</f>
        <v>0</v>
      </c>
      <c r="AC196" s="70">
        <f>((SUBSIDIO!$L$196*SUBSIDIO!$W$196)+(SUBSIDIO!$N$196*SUBSIDIO!$X$196))*(0.06)/(1-0.06)</f>
        <v>1790.4712290000002</v>
      </c>
      <c r="AD196" s="70">
        <f>(SUBSIDIO!$J$196*SUBSIDIO!$Y$196)*(0.03)/(1-0.03)</f>
        <v>0</v>
      </c>
      <c r="AE196" s="70">
        <f ca="1">((SUBSIDIO!$L$196*SUBSIDIO!$Z$196)+(SUBSIDIO!$N$196*SUBSIDIO!$AA$196))*(0.03)/(1-0.03)</f>
        <v>993.09866483368091</v>
      </c>
      <c r="AF196" s="4" t="s">
        <v>847</v>
      </c>
    </row>
    <row r="197" spans="1:32" ht="11.25" customHeight="1" x14ac:dyDescent="0.25">
      <c r="A197" s="4" t="s">
        <v>56</v>
      </c>
      <c r="B197" s="4" t="s">
        <v>39</v>
      </c>
      <c r="C197" s="4" t="s">
        <v>40</v>
      </c>
      <c r="D197" s="4" t="s">
        <v>49</v>
      </c>
      <c r="E197" s="4" t="s">
        <v>50</v>
      </c>
      <c r="F197" s="4" t="s">
        <v>25</v>
      </c>
      <c r="G197" s="4" t="s">
        <v>25</v>
      </c>
      <c r="H197" s="4" t="s">
        <v>34</v>
      </c>
      <c r="I197" s="5">
        <v>44774</v>
      </c>
      <c r="J197" s="6">
        <v>0</v>
      </c>
      <c r="K197" s="70">
        <v>0</v>
      </c>
      <c r="L197" s="6">
        <v>16.405000000000001</v>
      </c>
      <c r="M197" s="70">
        <v>16.405000000000001</v>
      </c>
      <c r="N197" s="6">
        <v>16.405000000000001</v>
      </c>
      <c r="O197" s="70">
        <v>16.405000000000001</v>
      </c>
      <c r="P197" s="6">
        <v>0</v>
      </c>
      <c r="Q197" s="4" t="s">
        <v>26</v>
      </c>
      <c r="R197" s="4">
        <v>0</v>
      </c>
      <c r="S197" s="4">
        <v>0</v>
      </c>
      <c r="T197" s="4">
        <v>7</v>
      </c>
      <c r="U197" s="4">
        <v>48</v>
      </c>
      <c r="V197" s="70">
        <f>IF(ISERROR(VLOOKUP($S$197,'TAR FIN'!$A$1:$O$85,15,0)),0,VLOOKUP($S$197,'TAR FIN'!$A$1:$O$85,15,0))</f>
        <v>0</v>
      </c>
      <c r="W197" s="70">
        <f>IF(ISERROR(VLOOKUP($T$197,'TAR FIN'!$A$1:$O$85,15,0)),0,VLOOKUP($T$197,'TAR FIN'!$A$1:$O$85,15,0))*(1-0.06)</f>
        <v>1246.8066000000001</v>
      </c>
      <c r="X197" s="70">
        <f>IF(ISERROR(VLOOKUP($U$197,'TAR FIN'!$A$1:$O$85,15,0)),0,VLOOKUP($U$197,'TAR FIN'!$A$1:$O$85,15,0))*(1-0.06)</f>
        <v>463.08159999999998</v>
      </c>
      <c r="Y197" s="70"/>
      <c r="Z197" s="70">
        <f ca="1">('TUSD BE'!$AM$11+'TUSD BF'!$AM$11+'TUSD CVA'!$AM$11)*1*(1-0.03)</f>
        <v>1486.0419769341061</v>
      </c>
      <c r="AA197" s="70">
        <f>('TE BE'!$AB$5+'TE BF'!$AB$5+'TE CVA'!$AB$5)*1*(1-0.03)</f>
        <v>471.29969712597807</v>
      </c>
      <c r="AB197" s="70">
        <f>(SUBSIDIO!$J$197*SUBSIDIO!$V$197)*(0.06)/(1-0.06)</f>
        <v>0</v>
      </c>
      <c r="AC197" s="70">
        <f>((SUBSIDIO!$L$197*SUBSIDIO!$W$197)+(SUBSIDIO!$N$197*SUBSIDIO!$X$197))*(0.06)/(1-0.06)</f>
        <v>1790.4712290000002</v>
      </c>
      <c r="AD197" s="70">
        <f>(SUBSIDIO!$J$197*SUBSIDIO!$Y$197)*(0.03)/(1-0.03)</f>
        <v>0</v>
      </c>
      <c r="AE197" s="70">
        <f ca="1">((SUBSIDIO!$L$197*SUBSIDIO!$Z$197)+(SUBSIDIO!$N$197*SUBSIDIO!$AA$197))*(0.03)/(1-0.03)</f>
        <v>993.09866483368091</v>
      </c>
      <c r="AF197" s="4" t="s">
        <v>847</v>
      </c>
    </row>
    <row r="198" spans="1:32" ht="11.25" customHeight="1" x14ac:dyDescent="0.25">
      <c r="A198" s="4" t="s">
        <v>21</v>
      </c>
      <c r="B198" s="4" t="s">
        <v>22</v>
      </c>
      <c r="C198" s="4" t="s">
        <v>23</v>
      </c>
      <c r="D198" s="4" t="s">
        <v>24</v>
      </c>
      <c r="E198" s="4" t="s">
        <v>24</v>
      </c>
      <c r="F198" s="4" t="s">
        <v>25</v>
      </c>
      <c r="G198" s="4" t="s">
        <v>25</v>
      </c>
      <c r="H198" s="4" t="s">
        <v>25</v>
      </c>
      <c r="I198" s="5">
        <v>44440</v>
      </c>
      <c r="J198" s="6">
        <v>0</v>
      </c>
      <c r="K198" s="6">
        <v>0</v>
      </c>
      <c r="L198" s="6">
        <v>10121.222</v>
      </c>
      <c r="M198" s="6">
        <v>10121.222</v>
      </c>
      <c r="N198" s="6">
        <v>10121.222</v>
      </c>
      <c r="O198" s="6">
        <v>10121.222</v>
      </c>
      <c r="P198" s="6">
        <v>61897</v>
      </c>
      <c r="Q198" s="4" t="s">
        <v>26</v>
      </c>
      <c r="R198" s="4">
        <v>0</v>
      </c>
      <c r="S198" s="4">
        <v>0</v>
      </c>
      <c r="T198" s="4">
        <v>16</v>
      </c>
      <c r="U198" s="4">
        <v>53</v>
      </c>
      <c r="V198" s="6">
        <f>IF(ISERROR(VLOOKUP($S$198,'TAR FIN'!$A$1:$O$85,15,0)),0,VLOOKUP($S$198,'TAR FIN'!$A$1:$O$85,15,0))</f>
        <v>0</v>
      </c>
      <c r="W198" s="6">
        <f>IF(ISERROR(VLOOKUP($T$198,'TAR FIN'!$A$1:$O$85,15,0)),0,VLOOKUP($T$198,'TAR FIN'!$A$1:$O$85,15,0))</f>
        <v>324.88</v>
      </c>
      <c r="X198" s="6">
        <f>IF(ISERROR(VLOOKUP($U$198,'TAR FIN'!$A$1:$O$85,15,0)),0,VLOOKUP($U$198,'TAR FIN'!$A$1:$O$85,15,0))</f>
        <v>322.54000000000002</v>
      </c>
      <c r="Y198" s="6"/>
      <c r="Z198" s="6">
        <f ca="1">('TUSD BE'!$AM$20+'TUSD BF'!$AM$20+'TUSD CVA'!$AM$20)*1</f>
        <v>434.80310925202969</v>
      </c>
      <c r="AA198" s="6">
        <f>('TE BE'!$AB$10+'TE BF'!$AB$10+'TE CVA'!$AB$10)*1</f>
        <v>319.954086693367</v>
      </c>
      <c r="AB198" s="6">
        <f t="shared" ref="AB198:AB257" si="18">(J198-K198)*V198</f>
        <v>0</v>
      </c>
      <c r="AC198" s="6">
        <f t="shared" ref="AC198" si="19">(L198-M198)*W198+(N198-O198)*X198</f>
        <v>0</v>
      </c>
      <c r="AD198" s="6">
        <f t="shared" ref="AD198:AD257" si="20">(J198-K198)*Y198</f>
        <v>0</v>
      </c>
      <c r="AE198" s="6">
        <f t="shared" ref="AE198" ca="1" si="21">(L198-M198)*Z198+(N198-O198)*AA198</f>
        <v>0</v>
      </c>
    </row>
    <row r="199" spans="1:32" ht="11.25" customHeight="1" x14ac:dyDescent="0.25">
      <c r="A199" s="4" t="s">
        <v>21</v>
      </c>
      <c r="B199" s="4" t="s">
        <v>22</v>
      </c>
      <c r="C199" s="4" t="s">
        <v>23</v>
      </c>
      <c r="D199" s="4" t="s">
        <v>24</v>
      </c>
      <c r="E199" s="4" t="s">
        <v>29</v>
      </c>
      <c r="F199" s="4" t="s">
        <v>25</v>
      </c>
      <c r="G199" s="4" t="s">
        <v>25</v>
      </c>
      <c r="H199" s="4" t="s">
        <v>25</v>
      </c>
      <c r="I199" s="5">
        <v>44440</v>
      </c>
      <c r="J199" s="6">
        <v>0</v>
      </c>
      <c r="K199" s="6">
        <v>0</v>
      </c>
      <c r="L199" s="6">
        <v>298.62</v>
      </c>
      <c r="M199" s="6">
        <v>298.62</v>
      </c>
      <c r="N199" s="6">
        <v>298.62</v>
      </c>
      <c r="O199" s="6">
        <v>298.62</v>
      </c>
      <c r="P199" s="6">
        <v>387</v>
      </c>
      <c r="Q199" s="4" t="s">
        <v>26</v>
      </c>
      <c r="R199" s="4">
        <v>0</v>
      </c>
      <c r="S199" s="4">
        <v>0</v>
      </c>
      <c r="T199" s="4">
        <v>17</v>
      </c>
      <c r="U199" s="4">
        <v>54</v>
      </c>
      <c r="V199" s="6">
        <f>IF(ISERROR(VLOOKUP($S$199,'TAR FIN'!$A$1:$O$85,15,0)),0,VLOOKUP($S$199,'TAR FIN'!$A$1:$O$85,15,0))</f>
        <v>0</v>
      </c>
      <c r="W199" s="6">
        <f>IF(ISERROR(VLOOKUP($T$199,'TAR FIN'!$A$1:$O$85,15,0)),0,VLOOKUP($T$199,'TAR FIN'!$A$1:$O$85,15,0))</f>
        <v>91.27</v>
      </c>
      <c r="X199" s="6">
        <f>IF(ISERROR(VLOOKUP($U$199,'TAR FIN'!$A$1:$O$85,15,0)),0,VLOOKUP($U$199,'TAR FIN'!$A$1:$O$85,15,0))</f>
        <v>112.89</v>
      </c>
      <c r="Y199" s="6"/>
      <c r="Z199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199" s="6">
        <f>('TE BE'!$AB$11+'TE BF'!$AB$11+'TE CVA'!$AB$11)*(1-CUSTOS!$M$34)</f>
        <v>111.98393034267845</v>
      </c>
      <c r="AB199" s="6">
        <f t="shared" si="18"/>
        <v>0</v>
      </c>
      <c r="AC199" s="6">
        <f>(L199-M199)*(W199+X199)+($W$298+$X$298-$W$199-$X$199)*(L199)</f>
        <v>113218.7868</v>
      </c>
      <c r="AD199" s="6">
        <f t="shared" si="20"/>
        <v>0</v>
      </c>
      <c r="AE199" s="6">
        <f ca="1">(L199-M199)*(Z199+AA199)+($Z$298+$AA$298-$Z$199-$AA$199)*(L199)</f>
        <v>118179.40898232431</v>
      </c>
      <c r="AF199" s="4" t="s">
        <v>849</v>
      </c>
    </row>
    <row r="200" spans="1:32" ht="11.25" customHeight="1" x14ac:dyDescent="0.25">
      <c r="A200" s="4" t="s">
        <v>28</v>
      </c>
      <c r="B200" s="4" t="s">
        <v>22</v>
      </c>
      <c r="C200" s="4" t="s">
        <v>23</v>
      </c>
      <c r="D200" s="4" t="s">
        <v>24</v>
      </c>
      <c r="E200" s="4" t="s">
        <v>29</v>
      </c>
      <c r="F200" s="4" t="s">
        <v>25</v>
      </c>
      <c r="G200" s="4" t="s">
        <v>25</v>
      </c>
      <c r="H200" s="4" t="s">
        <v>25</v>
      </c>
      <c r="I200" s="5">
        <v>44440</v>
      </c>
      <c r="J200" s="6">
        <v>0</v>
      </c>
      <c r="K200" s="6">
        <v>0</v>
      </c>
      <c r="L200" s="6">
        <v>4.92</v>
      </c>
      <c r="M200" s="6">
        <v>4.92</v>
      </c>
      <c r="N200" s="6">
        <v>4.92</v>
      </c>
      <c r="O200" s="6">
        <v>4.92</v>
      </c>
      <c r="P200" s="6">
        <v>17</v>
      </c>
      <c r="Q200" s="4" t="s">
        <v>26</v>
      </c>
      <c r="R200" s="4">
        <v>0</v>
      </c>
      <c r="S200" s="4">
        <v>0</v>
      </c>
      <c r="T200" s="4">
        <v>17</v>
      </c>
      <c r="U200" s="4">
        <v>54</v>
      </c>
      <c r="V200" s="6">
        <f>IF(ISERROR(VLOOKUP($S$200,'TAR FIN'!$A$1:$O$85,15,0)),0,VLOOKUP($S$200,'TAR FIN'!$A$1:$O$85,15,0))</f>
        <v>0</v>
      </c>
      <c r="W200" s="6">
        <f>IF(ISERROR(VLOOKUP($T$200,'TAR FIN'!$A$1:$O$85,15,0)),0,VLOOKUP($T$200,'TAR FIN'!$A$1:$O$85,15,0))</f>
        <v>91.27</v>
      </c>
      <c r="X200" s="6">
        <f>IF(ISERROR(VLOOKUP($U$200,'TAR FIN'!$A$1:$O$85,15,0)),0,VLOOKUP($U$200,'TAR FIN'!$A$1:$O$85,15,0))</f>
        <v>112.89</v>
      </c>
      <c r="Y200" s="6"/>
      <c r="Z200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00" s="6">
        <f>('TE BE'!$AB$11+'TE BF'!$AB$11+'TE CVA'!$AB$11)*(1-CUSTOS!$M$34)</f>
        <v>111.98393034267845</v>
      </c>
      <c r="AB200" s="6">
        <f t="shared" si="18"/>
        <v>0</v>
      </c>
      <c r="AC200" s="6">
        <f>(L200-M200)*(W200+X200)+($W$298+$X$298-$W$200-$X$200)*(L200)</f>
        <v>1865.3688</v>
      </c>
      <c r="AD200" s="6">
        <f t="shared" si="20"/>
        <v>0</v>
      </c>
      <c r="AE200" s="6">
        <f ca="1">(L200-M200)*(Z200+AA200)+($Z$298+$AA$298-$Z$200-$AA$200)*(L200)</f>
        <v>1947.0989625377924</v>
      </c>
      <c r="AF200" s="4" t="s">
        <v>849</v>
      </c>
    </row>
    <row r="201" spans="1:32" ht="11.25" customHeight="1" x14ac:dyDescent="0.25">
      <c r="A201" s="4" t="s">
        <v>21</v>
      </c>
      <c r="B201" s="4" t="s">
        <v>22</v>
      </c>
      <c r="C201" s="4" t="s">
        <v>23</v>
      </c>
      <c r="D201" s="4" t="s">
        <v>24</v>
      </c>
      <c r="E201" s="4" t="s">
        <v>29</v>
      </c>
      <c r="F201" s="4" t="s">
        <v>25</v>
      </c>
      <c r="G201" s="4" t="s">
        <v>25</v>
      </c>
      <c r="H201" s="4" t="s">
        <v>25</v>
      </c>
      <c r="I201" s="5">
        <v>44470</v>
      </c>
      <c r="J201" s="6">
        <v>0</v>
      </c>
      <c r="K201" s="6">
        <v>0</v>
      </c>
      <c r="L201" s="6">
        <v>303.66000000000003</v>
      </c>
      <c r="M201" s="6">
        <v>303.66000000000003</v>
      </c>
      <c r="N201" s="6">
        <v>303.66000000000003</v>
      </c>
      <c r="O201" s="6">
        <v>303.66000000000003</v>
      </c>
      <c r="P201" s="6">
        <v>383</v>
      </c>
      <c r="Q201" s="4" t="s">
        <v>26</v>
      </c>
      <c r="R201" s="4">
        <v>0</v>
      </c>
      <c r="S201" s="4">
        <v>0</v>
      </c>
      <c r="T201" s="4">
        <v>17</v>
      </c>
      <c r="U201" s="4">
        <v>54</v>
      </c>
      <c r="V201" s="6">
        <f>IF(ISERROR(VLOOKUP($S$201,'TAR FIN'!$A$1:$O$85,15,0)),0,VLOOKUP($S$201,'TAR FIN'!$A$1:$O$85,15,0))</f>
        <v>0</v>
      </c>
      <c r="W201" s="6">
        <f>IF(ISERROR(VLOOKUP($T$201,'TAR FIN'!$A$1:$O$85,15,0)),0,VLOOKUP($T$201,'TAR FIN'!$A$1:$O$85,15,0))</f>
        <v>91.27</v>
      </c>
      <c r="X201" s="6">
        <f>IF(ISERROR(VLOOKUP($U$201,'TAR FIN'!$A$1:$O$85,15,0)),0,VLOOKUP($U$201,'TAR FIN'!$A$1:$O$85,15,0))</f>
        <v>112.89</v>
      </c>
      <c r="Y201" s="6"/>
      <c r="Z201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01" s="6">
        <f>('TE BE'!$AB$11+'TE BF'!$AB$11+'TE CVA'!$AB$11)*(1-CUSTOS!$M$34)</f>
        <v>111.98393034267845</v>
      </c>
      <c r="AB201" s="6">
        <f t="shared" si="18"/>
        <v>0</v>
      </c>
      <c r="AC201" s="6">
        <f>(L201-M201)*(W201+X201)+($W$298+$X$298-$W$201-$X$201)*(L201)</f>
        <v>115129.65240000001</v>
      </c>
      <c r="AD201" s="6">
        <f t="shared" si="20"/>
        <v>0</v>
      </c>
      <c r="AE201" s="6">
        <f ca="1">(L201-M201)*(Z201+AA201)+($Z$298+$AA$298-$Z$201-$AA$201)*(L201)</f>
        <v>120173.99816346059</v>
      </c>
      <c r="AF201" s="4" t="s">
        <v>849</v>
      </c>
    </row>
    <row r="202" spans="1:32" ht="11.25" customHeight="1" x14ac:dyDescent="0.25">
      <c r="A202" s="4" t="s">
        <v>28</v>
      </c>
      <c r="B202" s="4" t="s">
        <v>22</v>
      </c>
      <c r="C202" s="4" t="s">
        <v>23</v>
      </c>
      <c r="D202" s="4" t="s">
        <v>24</v>
      </c>
      <c r="E202" s="4" t="s">
        <v>29</v>
      </c>
      <c r="F202" s="4" t="s">
        <v>25</v>
      </c>
      <c r="G202" s="4" t="s">
        <v>25</v>
      </c>
      <c r="H202" s="4" t="s">
        <v>25</v>
      </c>
      <c r="I202" s="5">
        <v>44470</v>
      </c>
      <c r="J202" s="6">
        <v>0</v>
      </c>
      <c r="K202" s="6">
        <v>0</v>
      </c>
      <c r="L202" s="6">
        <v>4.92</v>
      </c>
      <c r="M202" s="6">
        <v>4.92</v>
      </c>
      <c r="N202" s="6">
        <v>4.92</v>
      </c>
      <c r="O202" s="6">
        <v>4.92</v>
      </c>
      <c r="P202" s="6">
        <v>14</v>
      </c>
      <c r="Q202" s="4" t="s">
        <v>26</v>
      </c>
      <c r="R202" s="4">
        <v>0</v>
      </c>
      <c r="S202" s="4">
        <v>0</v>
      </c>
      <c r="T202" s="4">
        <v>17</v>
      </c>
      <c r="U202" s="4">
        <v>54</v>
      </c>
      <c r="V202" s="6">
        <f>IF(ISERROR(VLOOKUP($S$202,'TAR FIN'!$A$1:$O$85,15,0)),0,VLOOKUP($S$202,'TAR FIN'!$A$1:$O$85,15,0))</f>
        <v>0</v>
      </c>
      <c r="W202" s="6">
        <f>IF(ISERROR(VLOOKUP($T$202,'TAR FIN'!$A$1:$O$85,15,0)),0,VLOOKUP($T$202,'TAR FIN'!$A$1:$O$85,15,0))</f>
        <v>91.27</v>
      </c>
      <c r="X202" s="6">
        <f>IF(ISERROR(VLOOKUP($U$202,'TAR FIN'!$A$1:$O$85,15,0)),0,VLOOKUP($U$202,'TAR FIN'!$A$1:$O$85,15,0))</f>
        <v>112.89</v>
      </c>
      <c r="Y202" s="6"/>
      <c r="Z202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02" s="6">
        <f>('TE BE'!$AB$11+'TE BF'!$AB$11+'TE CVA'!$AB$11)*(1-CUSTOS!$M$34)</f>
        <v>111.98393034267845</v>
      </c>
      <c r="AB202" s="6">
        <f t="shared" si="18"/>
        <v>0</v>
      </c>
      <c r="AC202" s="6">
        <f>(L202-M202)*(W202+X202)+($W$298+$X$298-$W$202-$X$202)*(L202)</f>
        <v>1865.3688</v>
      </c>
      <c r="AD202" s="6">
        <f t="shared" si="20"/>
        <v>0</v>
      </c>
      <c r="AE202" s="6">
        <f ca="1">(L202-M202)*(Z202+AA202)+($Z$298+$AA$298-$Z$202-$AA$202)*(L202)</f>
        <v>1947.0989625377924</v>
      </c>
      <c r="AF202" s="4" t="s">
        <v>849</v>
      </c>
    </row>
    <row r="203" spans="1:32" ht="11.25" customHeight="1" x14ac:dyDescent="0.25">
      <c r="A203" s="4" t="s">
        <v>21</v>
      </c>
      <c r="B203" s="4" t="s">
        <v>22</v>
      </c>
      <c r="C203" s="4" t="s">
        <v>23</v>
      </c>
      <c r="D203" s="4" t="s">
        <v>24</v>
      </c>
      <c r="E203" s="4" t="s">
        <v>29</v>
      </c>
      <c r="F203" s="4" t="s">
        <v>25</v>
      </c>
      <c r="G203" s="4" t="s">
        <v>25</v>
      </c>
      <c r="H203" s="4" t="s">
        <v>25</v>
      </c>
      <c r="I203" s="5">
        <v>44501</v>
      </c>
      <c r="J203" s="6">
        <v>0</v>
      </c>
      <c r="K203" s="6">
        <v>0</v>
      </c>
      <c r="L203" s="6">
        <v>311.31</v>
      </c>
      <c r="M203" s="6">
        <v>311.31</v>
      </c>
      <c r="N203" s="6">
        <v>311.31</v>
      </c>
      <c r="O203" s="6">
        <v>311.31</v>
      </c>
      <c r="P203" s="6">
        <v>380</v>
      </c>
      <c r="Q203" s="4" t="s">
        <v>26</v>
      </c>
      <c r="R203" s="4">
        <v>0</v>
      </c>
      <c r="S203" s="4">
        <v>0</v>
      </c>
      <c r="T203" s="4">
        <v>17</v>
      </c>
      <c r="U203" s="4">
        <v>54</v>
      </c>
      <c r="V203" s="6">
        <f>IF(ISERROR(VLOOKUP($S$203,'TAR FIN'!$A$1:$O$85,15,0)),0,VLOOKUP($S$203,'TAR FIN'!$A$1:$O$85,15,0))</f>
        <v>0</v>
      </c>
      <c r="W203" s="6">
        <f>IF(ISERROR(VLOOKUP($T$203,'TAR FIN'!$A$1:$O$85,15,0)),0,VLOOKUP($T$203,'TAR FIN'!$A$1:$O$85,15,0))</f>
        <v>91.27</v>
      </c>
      <c r="X203" s="6">
        <f>IF(ISERROR(VLOOKUP($U$203,'TAR FIN'!$A$1:$O$85,15,0)),0,VLOOKUP($U$203,'TAR FIN'!$A$1:$O$85,15,0))</f>
        <v>112.89</v>
      </c>
      <c r="Y203" s="6"/>
      <c r="Z203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03" s="6">
        <f>('TE BE'!$AB$11+'TE BF'!$AB$11+'TE CVA'!$AB$11)*(1-CUSTOS!$M$34)</f>
        <v>111.98393034267845</v>
      </c>
      <c r="AB203" s="6">
        <f t="shared" si="18"/>
        <v>0</v>
      </c>
      <c r="AC203" s="6">
        <f>(L203-M203)*(W203+X203)+($W$298+$X$298-$W$203-$X$203)*(L203)</f>
        <v>118030.07339999999</v>
      </c>
      <c r="AD203" s="6">
        <f t="shared" si="20"/>
        <v>0</v>
      </c>
      <c r="AE203" s="6">
        <f ca="1">(L203-M203)*(Z203+AA203)+($Z$298+$AA$298-$Z$203-$AA$203)*(L203)</f>
        <v>123201.49959911386</v>
      </c>
      <c r="AF203" s="4" t="s">
        <v>849</v>
      </c>
    </row>
    <row r="204" spans="1:32" ht="11.25" customHeight="1" x14ac:dyDescent="0.25">
      <c r="A204" s="4" t="s">
        <v>27</v>
      </c>
      <c r="B204" s="4" t="s">
        <v>22</v>
      </c>
      <c r="C204" s="4" t="s">
        <v>23</v>
      </c>
      <c r="D204" s="4" t="s">
        <v>24</v>
      </c>
      <c r="E204" s="4" t="s">
        <v>29</v>
      </c>
      <c r="F204" s="4" t="s">
        <v>25</v>
      </c>
      <c r="G204" s="4" t="s">
        <v>25</v>
      </c>
      <c r="H204" s="4" t="s">
        <v>25</v>
      </c>
      <c r="I204" s="5">
        <v>44501</v>
      </c>
      <c r="J204" s="6">
        <v>0</v>
      </c>
      <c r="K204" s="6">
        <v>0</v>
      </c>
      <c r="L204" s="6">
        <v>0.03</v>
      </c>
      <c r="M204" s="6">
        <v>0.03</v>
      </c>
      <c r="N204" s="6">
        <v>0.03</v>
      </c>
      <c r="O204" s="6">
        <v>0.03</v>
      </c>
      <c r="P204" s="6">
        <v>0</v>
      </c>
      <c r="Q204" s="4" t="s">
        <v>26</v>
      </c>
      <c r="R204" s="4">
        <v>0</v>
      </c>
      <c r="S204" s="4">
        <v>0</v>
      </c>
      <c r="T204" s="4">
        <v>17</v>
      </c>
      <c r="U204" s="4">
        <v>54</v>
      </c>
      <c r="V204" s="6">
        <f>IF(ISERROR(VLOOKUP($S$204,'TAR FIN'!$A$1:$O$85,15,0)),0,VLOOKUP($S$204,'TAR FIN'!$A$1:$O$85,15,0))</f>
        <v>0</v>
      </c>
      <c r="W204" s="6">
        <f>IF(ISERROR(VLOOKUP($T$204,'TAR FIN'!$A$1:$O$85,15,0)),0,VLOOKUP($T$204,'TAR FIN'!$A$1:$O$85,15,0))</f>
        <v>91.27</v>
      </c>
      <c r="X204" s="6">
        <f>IF(ISERROR(VLOOKUP($U$204,'TAR FIN'!$A$1:$O$85,15,0)),0,VLOOKUP($U$204,'TAR FIN'!$A$1:$O$85,15,0))</f>
        <v>112.89</v>
      </c>
      <c r="Y204" s="6"/>
      <c r="Z204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04" s="6">
        <f>('TE BE'!$AB$11+'TE BF'!$AB$11+'TE CVA'!$AB$11)*(1-CUSTOS!$M$34)</f>
        <v>111.98393034267845</v>
      </c>
      <c r="AB204" s="6">
        <f t="shared" si="18"/>
        <v>0</v>
      </c>
      <c r="AC204" s="6">
        <f>(L204-M204)*(W204+X204)+($W$298+$X$298-$W$204-$X$204)*(L204)</f>
        <v>11.374199999999998</v>
      </c>
      <c r="AD204" s="6">
        <f t="shared" si="20"/>
        <v>0</v>
      </c>
      <c r="AE204" s="6">
        <f ca="1">(L204-M204)*(Z204+AA204)+($Z$298+$AA$298-$Z$204-$AA$204)*(L204)</f>
        <v>11.872554649620685</v>
      </c>
      <c r="AF204" s="4" t="s">
        <v>849</v>
      </c>
    </row>
    <row r="205" spans="1:32" ht="11.25" customHeight="1" x14ac:dyDescent="0.25">
      <c r="A205" s="4" t="s">
        <v>28</v>
      </c>
      <c r="B205" s="4" t="s">
        <v>22</v>
      </c>
      <c r="C205" s="4" t="s">
        <v>23</v>
      </c>
      <c r="D205" s="4" t="s">
        <v>24</v>
      </c>
      <c r="E205" s="4" t="s">
        <v>29</v>
      </c>
      <c r="F205" s="4" t="s">
        <v>25</v>
      </c>
      <c r="G205" s="4" t="s">
        <v>25</v>
      </c>
      <c r="H205" s="4" t="s">
        <v>25</v>
      </c>
      <c r="I205" s="5">
        <v>44501</v>
      </c>
      <c r="J205" s="6">
        <v>0</v>
      </c>
      <c r="K205" s="6">
        <v>0</v>
      </c>
      <c r="L205" s="6">
        <v>5.01</v>
      </c>
      <c r="M205" s="6">
        <v>5.01</v>
      </c>
      <c r="N205" s="6">
        <v>5.01</v>
      </c>
      <c r="O205" s="6">
        <v>5.01</v>
      </c>
      <c r="P205" s="6">
        <v>18</v>
      </c>
      <c r="Q205" s="4" t="s">
        <v>26</v>
      </c>
      <c r="R205" s="4">
        <v>0</v>
      </c>
      <c r="S205" s="4">
        <v>0</v>
      </c>
      <c r="T205" s="4">
        <v>17</v>
      </c>
      <c r="U205" s="4">
        <v>54</v>
      </c>
      <c r="V205" s="6">
        <f>IF(ISERROR(VLOOKUP($S$205,'TAR FIN'!$A$1:$O$85,15,0)),0,VLOOKUP($S$205,'TAR FIN'!$A$1:$O$85,15,0))</f>
        <v>0</v>
      </c>
      <c r="W205" s="6">
        <f>IF(ISERROR(VLOOKUP($T$205,'TAR FIN'!$A$1:$O$85,15,0)),0,VLOOKUP($T$205,'TAR FIN'!$A$1:$O$85,15,0))</f>
        <v>91.27</v>
      </c>
      <c r="X205" s="6">
        <f>IF(ISERROR(VLOOKUP($U$205,'TAR FIN'!$A$1:$O$85,15,0)),0,VLOOKUP($U$205,'TAR FIN'!$A$1:$O$85,15,0))</f>
        <v>112.89</v>
      </c>
      <c r="Y205" s="6"/>
      <c r="Z205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05" s="6">
        <f>('TE BE'!$AB$11+'TE BF'!$AB$11+'TE CVA'!$AB$11)*(1-CUSTOS!$M$34)</f>
        <v>111.98393034267845</v>
      </c>
      <c r="AB205" s="6">
        <f t="shared" si="18"/>
        <v>0</v>
      </c>
      <c r="AC205" s="6">
        <f>(L205-M205)*(W205+X205)+($W$298+$X$298-$W$205-$X$205)*(L205)</f>
        <v>1899.4913999999999</v>
      </c>
      <c r="AD205" s="6">
        <f t="shared" si="20"/>
        <v>0</v>
      </c>
      <c r="AE205" s="6">
        <f ca="1">(L205-M205)*(Z205+AA205)+($Z$298+$AA$298-$Z$205-$AA$205)*(L205)</f>
        <v>1982.7166264866546</v>
      </c>
      <c r="AF205" s="4" t="s">
        <v>849</v>
      </c>
    </row>
    <row r="206" spans="1:32" ht="11.25" customHeight="1" x14ac:dyDescent="0.25">
      <c r="A206" s="4" t="s">
        <v>21</v>
      </c>
      <c r="B206" s="4" t="s">
        <v>22</v>
      </c>
      <c r="C206" s="4" t="s">
        <v>23</v>
      </c>
      <c r="D206" s="4" t="s">
        <v>24</v>
      </c>
      <c r="E206" s="4" t="s">
        <v>29</v>
      </c>
      <c r="F206" s="4" t="s">
        <v>25</v>
      </c>
      <c r="G206" s="4" t="s">
        <v>25</v>
      </c>
      <c r="H206" s="4" t="s">
        <v>25</v>
      </c>
      <c r="I206" s="5">
        <v>44531</v>
      </c>
      <c r="J206" s="6">
        <v>0</v>
      </c>
      <c r="K206" s="6">
        <v>0</v>
      </c>
      <c r="L206" s="6">
        <v>316.5</v>
      </c>
      <c r="M206" s="6">
        <v>316.5</v>
      </c>
      <c r="N206" s="6">
        <v>316.5</v>
      </c>
      <c r="O206" s="6">
        <v>316.5</v>
      </c>
      <c r="P206" s="6">
        <v>307</v>
      </c>
      <c r="Q206" s="4" t="s">
        <v>26</v>
      </c>
      <c r="R206" s="4">
        <v>0</v>
      </c>
      <c r="S206" s="4">
        <v>0</v>
      </c>
      <c r="T206" s="4">
        <v>17</v>
      </c>
      <c r="U206" s="4">
        <v>54</v>
      </c>
      <c r="V206" s="6">
        <f>IF(ISERROR(VLOOKUP($S$206,'TAR FIN'!$A$1:$O$85,15,0)),0,VLOOKUP($S$206,'TAR FIN'!$A$1:$O$85,15,0))</f>
        <v>0</v>
      </c>
      <c r="W206" s="6">
        <f>IF(ISERROR(VLOOKUP($T$206,'TAR FIN'!$A$1:$O$85,15,0)),0,VLOOKUP($T$206,'TAR FIN'!$A$1:$O$85,15,0))</f>
        <v>91.27</v>
      </c>
      <c r="X206" s="6">
        <f>IF(ISERROR(VLOOKUP($U$206,'TAR FIN'!$A$1:$O$85,15,0)),0,VLOOKUP($U$206,'TAR FIN'!$A$1:$O$85,15,0))</f>
        <v>112.89</v>
      </c>
      <c r="Y206" s="6"/>
      <c r="Z206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06" s="6">
        <f>('TE BE'!$AB$11+'TE BF'!$AB$11+'TE CVA'!$AB$11)*(1-CUSTOS!$M$34)</f>
        <v>111.98393034267845</v>
      </c>
      <c r="AB206" s="6">
        <f t="shared" si="18"/>
        <v>0</v>
      </c>
      <c r="AC206" s="6">
        <f>(L206-M206)*(W206+X206)+($W$298+$X$298-$W$206-$X$206)*(L206)</f>
        <v>119997.81</v>
      </c>
      <c r="AD206" s="6">
        <f t="shared" si="20"/>
        <v>0</v>
      </c>
      <c r="AE206" s="6">
        <f ca="1">(L206-M206)*(Z206+AA206)+($Z$298+$AA$298-$Z$206-$AA$206)*(L206)</f>
        <v>125255.45155349823</v>
      </c>
      <c r="AF206" s="4" t="s">
        <v>849</v>
      </c>
    </row>
    <row r="207" spans="1:32" ht="11.25" customHeight="1" x14ac:dyDescent="0.25">
      <c r="A207" s="4" t="s">
        <v>27</v>
      </c>
      <c r="B207" s="4" t="s">
        <v>22</v>
      </c>
      <c r="C207" s="4" t="s">
        <v>23</v>
      </c>
      <c r="D207" s="4" t="s">
        <v>24</v>
      </c>
      <c r="E207" s="4" t="s">
        <v>29</v>
      </c>
      <c r="F207" s="4" t="s">
        <v>25</v>
      </c>
      <c r="G207" s="4" t="s">
        <v>25</v>
      </c>
      <c r="H207" s="4" t="s">
        <v>25</v>
      </c>
      <c r="I207" s="5">
        <v>44531</v>
      </c>
      <c r="J207" s="6">
        <v>0</v>
      </c>
      <c r="K207" s="6">
        <v>0</v>
      </c>
      <c r="L207" s="6">
        <v>0.75</v>
      </c>
      <c r="M207" s="6">
        <v>0.75</v>
      </c>
      <c r="N207" s="6">
        <v>0.75</v>
      </c>
      <c r="O207" s="6">
        <v>0.75</v>
      </c>
      <c r="P207" s="6">
        <v>10</v>
      </c>
      <c r="Q207" s="4" t="s">
        <v>26</v>
      </c>
      <c r="R207" s="4">
        <v>0</v>
      </c>
      <c r="S207" s="4">
        <v>0</v>
      </c>
      <c r="T207" s="4">
        <v>17</v>
      </c>
      <c r="U207" s="4">
        <v>54</v>
      </c>
      <c r="V207" s="6">
        <f>IF(ISERROR(VLOOKUP($S$207,'TAR FIN'!$A$1:$O$85,15,0)),0,VLOOKUP($S$207,'TAR FIN'!$A$1:$O$85,15,0))</f>
        <v>0</v>
      </c>
      <c r="W207" s="6">
        <f>IF(ISERROR(VLOOKUP($T$207,'TAR FIN'!$A$1:$O$85,15,0)),0,VLOOKUP($T$207,'TAR FIN'!$A$1:$O$85,15,0))</f>
        <v>91.27</v>
      </c>
      <c r="X207" s="6">
        <f>IF(ISERROR(VLOOKUP($U$207,'TAR FIN'!$A$1:$O$85,15,0)),0,VLOOKUP($U$207,'TAR FIN'!$A$1:$O$85,15,0))</f>
        <v>112.89</v>
      </c>
      <c r="Y207" s="6"/>
      <c r="Z207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07" s="6">
        <f>('TE BE'!$AB$11+'TE BF'!$AB$11+'TE CVA'!$AB$11)*(1-CUSTOS!$M$34)</f>
        <v>111.98393034267845</v>
      </c>
      <c r="AB207" s="6">
        <f t="shared" si="18"/>
        <v>0</v>
      </c>
      <c r="AC207" s="6">
        <f>(L207-M207)*(W207+X207)+($W$298+$X$298-$W$207-$X$207)*(L207)</f>
        <v>284.35500000000002</v>
      </c>
      <c r="AD207" s="6">
        <f t="shared" si="20"/>
        <v>0</v>
      </c>
      <c r="AE207" s="6">
        <f ca="1">(L207-M207)*(Z207+AA207)+($Z$298+$AA$298-$Z$207-$AA$207)*(L207)</f>
        <v>296.81386624051714</v>
      </c>
      <c r="AF207" s="4" t="s">
        <v>849</v>
      </c>
    </row>
    <row r="208" spans="1:32" ht="11.25" customHeight="1" x14ac:dyDescent="0.25">
      <c r="A208" s="4" t="s">
        <v>28</v>
      </c>
      <c r="B208" s="4" t="s">
        <v>22</v>
      </c>
      <c r="C208" s="4" t="s">
        <v>23</v>
      </c>
      <c r="D208" s="4" t="s">
        <v>24</v>
      </c>
      <c r="E208" s="4" t="s">
        <v>29</v>
      </c>
      <c r="F208" s="4" t="s">
        <v>25</v>
      </c>
      <c r="G208" s="4" t="s">
        <v>25</v>
      </c>
      <c r="H208" s="4" t="s">
        <v>25</v>
      </c>
      <c r="I208" s="5">
        <v>44531</v>
      </c>
      <c r="J208" s="6">
        <v>0</v>
      </c>
      <c r="K208" s="6">
        <v>0</v>
      </c>
      <c r="L208" s="6">
        <v>4.8899999999999997</v>
      </c>
      <c r="M208" s="6">
        <v>4.8899999999999997</v>
      </c>
      <c r="N208" s="6">
        <v>4.8899999999999997</v>
      </c>
      <c r="O208" s="6">
        <v>4.8899999999999997</v>
      </c>
      <c r="P208" s="6">
        <v>16</v>
      </c>
      <c r="Q208" s="4" t="s">
        <v>26</v>
      </c>
      <c r="R208" s="4">
        <v>0</v>
      </c>
      <c r="S208" s="4">
        <v>0</v>
      </c>
      <c r="T208" s="4">
        <v>17</v>
      </c>
      <c r="U208" s="4">
        <v>54</v>
      </c>
      <c r="V208" s="6">
        <f>IF(ISERROR(VLOOKUP($S$208,'TAR FIN'!$A$1:$O$85,15,0)),0,VLOOKUP($S$208,'TAR FIN'!$A$1:$O$85,15,0))</f>
        <v>0</v>
      </c>
      <c r="W208" s="6">
        <f>IF(ISERROR(VLOOKUP($T$208,'TAR FIN'!$A$1:$O$85,15,0)),0,VLOOKUP($T$208,'TAR FIN'!$A$1:$O$85,15,0))</f>
        <v>91.27</v>
      </c>
      <c r="X208" s="6">
        <f>IF(ISERROR(VLOOKUP($U$208,'TAR FIN'!$A$1:$O$85,15,0)),0,VLOOKUP($U$208,'TAR FIN'!$A$1:$O$85,15,0))</f>
        <v>112.89</v>
      </c>
      <c r="Y208" s="6"/>
      <c r="Z208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08" s="6">
        <f>('TE BE'!$AB$11+'TE BF'!$AB$11+'TE CVA'!$AB$11)*(1-CUSTOS!$M$34)</f>
        <v>111.98393034267845</v>
      </c>
      <c r="AB208" s="6">
        <f t="shared" si="18"/>
        <v>0</v>
      </c>
      <c r="AC208" s="6">
        <f>(L208-M208)*(W208+X208)+($W$298+$X$298-$W$208-$X$208)*(L208)</f>
        <v>1853.9945999999998</v>
      </c>
      <c r="AD208" s="6">
        <f t="shared" si="20"/>
        <v>0</v>
      </c>
      <c r="AE208" s="6">
        <f ca="1">(L208-M208)*(Z208+AA208)+($Z$298+$AA$298-$Z$208-$AA$208)*(L208)</f>
        <v>1935.2264078881717</v>
      </c>
      <c r="AF208" s="4" t="s">
        <v>849</v>
      </c>
    </row>
    <row r="209" spans="1:32" ht="11.25" customHeight="1" x14ac:dyDescent="0.25">
      <c r="A209" s="4" t="s">
        <v>28</v>
      </c>
      <c r="B209" s="4" t="s">
        <v>22</v>
      </c>
      <c r="C209" s="4" t="s">
        <v>23</v>
      </c>
      <c r="D209" s="4" t="s">
        <v>24</v>
      </c>
      <c r="E209" s="4" t="s">
        <v>29</v>
      </c>
      <c r="F209" s="4" t="s">
        <v>25</v>
      </c>
      <c r="G209" s="4" t="s">
        <v>25</v>
      </c>
      <c r="H209" s="4" t="s">
        <v>25</v>
      </c>
      <c r="I209" s="5">
        <v>44531</v>
      </c>
      <c r="J209" s="6">
        <v>0</v>
      </c>
      <c r="K209" s="6">
        <v>0</v>
      </c>
      <c r="L209" s="6">
        <v>0.03</v>
      </c>
      <c r="M209" s="6">
        <v>0.03</v>
      </c>
      <c r="N209" s="6">
        <v>0.03</v>
      </c>
      <c r="O209" s="6">
        <v>0.03</v>
      </c>
      <c r="P209" s="6">
        <v>1</v>
      </c>
      <c r="Q209" s="4" t="s">
        <v>26</v>
      </c>
      <c r="R209" s="4">
        <v>0</v>
      </c>
      <c r="S209" s="4">
        <v>0</v>
      </c>
      <c r="T209" s="4">
        <v>17</v>
      </c>
      <c r="U209" s="4">
        <v>54</v>
      </c>
      <c r="V209" s="6">
        <f>IF(ISERROR(VLOOKUP($S$209,'TAR FIN'!$A$1:$O$85,15,0)),0,VLOOKUP($S$209,'TAR FIN'!$A$1:$O$85,15,0))</f>
        <v>0</v>
      </c>
      <c r="W209" s="6">
        <f>IF(ISERROR(VLOOKUP($T$209,'TAR FIN'!$A$1:$O$85,15,0)),0,VLOOKUP($T$209,'TAR FIN'!$A$1:$O$85,15,0))</f>
        <v>91.27</v>
      </c>
      <c r="X209" s="6">
        <f>IF(ISERROR(VLOOKUP($U$209,'TAR FIN'!$A$1:$O$85,15,0)),0,VLOOKUP($U$209,'TAR FIN'!$A$1:$O$85,15,0))</f>
        <v>112.89</v>
      </c>
      <c r="Y209" s="6"/>
      <c r="Z209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09" s="6">
        <f>('TE BE'!$AB$11+'TE BF'!$AB$11+'TE CVA'!$AB$11)*(1-CUSTOS!$M$34)</f>
        <v>111.98393034267845</v>
      </c>
      <c r="AB209" s="6">
        <f t="shared" si="18"/>
        <v>0</v>
      </c>
      <c r="AC209" s="6">
        <f>(L209-M209)*(W209+X209)+($W$298+$X$298-$W$209-$X$209)*(L209)</f>
        <v>11.374199999999998</v>
      </c>
      <c r="AD209" s="6">
        <f t="shared" si="20"/>
        <v>0</v>
      </c>
      <c r="AE209" s="6">
        <f ca="1">(L209-M209)*(Z209+AA209)+($Z$298+$AA$298-$Z$209-$AA$209)*(L209)</f>
        <v>11.872554649620685</v>
      </c>
      <c r="AF209" s="4" t="s">
        <v>849</v>
      </c>
    </row>
    <row r="210" spans="1:32" ht="11.25" customHeight="1" x14ac:dyDescent="0.25">
      <c r="A210" s="4" t="s">
        <v>21</v>
      </c>
      <c r="B210" s="4" t="s">
        <v>22</v>
      </c>
      <c r="C210" s="4" t="s">
        <v>23</v>
      </c>
      <c r="D210" s="4" t="s">
        <v>24</v>
      </c>
      <c r="E210" s="4" t="s">
        <v>29</v>
      </c>
      <c r="F210" s="4" t="s">
        <v>25</v>
      </c>
      <c r="G210" s="4" t="s">
        <v>25</v>
      </c>
      <c r="H210" s="4" t="s">
        <v>25</v>
      </c>
      <c r="I210" s="5">
        <v>44562</v>
      </c>
      <c r="J210" s="6">
        <v>0</v>
      </c>
      <c r="K210" s="6">
        <v>0</v>
      </c>
      <c r="L210" s="6">
        <v>322.44</v>
      </c>
      <c r="M210" s="6">
        <v>322.44</v>
      </c>
      <c r="N210" s="6">
        <v>322.44</v>
      </c>
      <c r="O210" s="6">
        <v>322.44</v>
      </c>
      <c r="P210" s="6">
        <v>316</v>
      </c>
      <c r="Q210" s="4" t="s">
        <v>26</v>
      </c>
      <c r="R210" s="4">
        <v>0</v>
      </c>
      <c r="S210" s="4">
        <v>0</v>
      </c>
      <c r="T210" s="4">
        <v>17</v>
      </c>
      <c r="U210" s="4">
        <v>54</v>
      </c>
      <c r="V210" s="6">
        <f>IF(ISERROR(VLOOKUP($S$210,'TAR FIN'!$A$1:$O$85,15,0)),0,VLOOKUP($S$210,'TAR FIN'!$A$1:$O$85,15,0))</f>
        <v>0</v>
      </c>
      <c r="W210" s="6">
        <f>IF(ISERROR(VLOOKUP($T$210,'TAR FIN'!$A$1:$O$85,15,0)),0,VLOOKUP($T$210,'TAR FIN'!$A$1:$O$85,15,0))</f>
        <v>91.27</v>
      </c>
      <c r="X210" s="6">
        <f>IF(ISERROR(VLOOKUP($U$210,'TAR FIN'!$A$1:$O$85,15,0)),0,VLOOKUP($U$210,'TAR FIN'!$A$1:$O$85,15,0))</f>
        <v>112.89</v>
      </c>
      <c r="Y210" s="6"/>
      <c r="Z210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10" s="6">
        <f>('TE BE'!$AB$11+'TE BF'!$AB$11+'TE CVA'!$AB$11)*(1-CUSTOS!$M$34)</f>
        <v>111.98393034267845</v>
      </c>
      <c r="AB210" s="6">
        <f t="shared" si="18"/>
        <v>0</v>
      </c>
      <c r="AC210" s="6">
        <f>(L210-M210)*(W210+X210)+($W$298+$X$298-$W$210-$X$210)*(L210)</f>
        <v>122249.9016</v>
      </c>
      <c r="AD210" s="6">
        <f t="shared" si="20"/>
        <v>0</v>
      </c>
      <c r="AE210" s="6">
        <f ca="1">(L210-M210)*(Z210+AA210)+($Z$298+$AA$298-$Z$210-$AA$210)*(L210)</f>
        <v>127606.21737412314</v>
      </c>
      <c r="AF210" s="4" t="s">
        <v>849</v>
      </c>
    </row>
    <row r="211" spans="1:32" ht="11.25" customHeight="1" x14ac:dyDescent="0.25">
      <c r="A211" s="4" t="s">
        <v>27</v>
      </c>
      <c r="B211" s="4" t="s">
        <v>22</v>
      </c>
      <c r="C211" s="4" t="s">
        <v>23</v>
      </c>
      <c r="D211" s="4" t="s">
        <v>24</v>
      </c>
      <c r="E211" s="4" t="s">
        <v>29</v>
      </c>
      <c r="F211" s="4" t="s">
        <v>25</v>
      </c>
      <c r="G211" s="4" t="s">
        <v>25</v>
      </c>
      <c r="H211" s="4" t="s">
        <v>25</v>
      </c>
      <c r="I211" s="5">
        <v>44562</v>
      </c>
      <c r="J211" s="6">
        <v>0</v>
      </c>
      <c r="K211" s="6">
        <v>0</v>
      </c>
      <c r="L211" s="6">
        <v>0.24</v>
      </c>
      <c r="M211" s="6">
        <v>0.24</v>
      </c>
      <c r="N211" s="6">
        <v>0.24</v>
      </c>
      <c r="O211" s="6">
        <v>0.24</v>
      </c>
      <c r="P211" s="6">
        <v>5</v>
      </c>
      <c r="Q211" s="4" t="s">
        <v>26</v>
      </c>
      <c r="R211" s="4">
        <v>0</v>
      </c>
      <c r="S211" s="4">
        <v>0</v>
      </c>
      <c r="T211" s="4">
        <v>17</v>
      </c>
      <c r="U211" s="4">
        <v>54</v>
      </c>
      <c r="V211" s="6">
        <f>IF(ISERROR(VLOOKUP($S$211,'TAR FIN'!$A$1:$O$85,15,0)),0,VLOOKUP($S$211,'TAR FIN'!$A$1:$O$85,15,0))</f>
        <v>0</v>
      </c>
      <c r="W211" s="6">
        <f>IF(ISERROR(VLOOKUP($T$211,'TAR FIN'!$A$1:$O$85,15,0)),0,VLOOKUP($T$211,'TAR FIN'!$A$1:$O$85,15,0))</f>
        <v>91.27</v>
      </c>
      <c r="X211" s="6">
        <f>IF(ISERROR(VLOOKUP($U$211,'TAR FIN'!$A$1:$O$85,15,0)),0,VLOOKUP($U$211,'TAR FIN'!$A$1:$O$85,15,0))</f>
        <v>112.89</v>
      </c>
      <c r="Y211" s="6"/>
      <c r="Z211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11" s="6">
        <f>('TE BE'!$AB$11+'TE BF'!$AB$11+'TE CVA'!$AB$11)*(1-CUSTOS!$M$34)</f>
        <v>111.98393034267845</v>
      </c>
      <c r="AB211" s="6">
        <f t="shared" si="18"/>
        <v>0</v>
      </c>
      <c r="AC211" s="6">
        <f>(L211-M211)*(W211+X211)+($W$298+$X$298-$W$211-$X$211)*(L211)</f>
        <v>90.993599999999986</v>
      </c>
      <c r="AD211" s="6">
        <f t="shared" si="20"/>
        <v>0</v>
      </c>
      <c r="AE211" s="6">
        <f ca="1">(L211-M211)*(Z211+AA211)+($Z$298+$AA$298-$Z$211-$AA$211)*(L211)</f>
        <v>94.980437196965482</v>
      </c>
      <c r="AF211" s="4" t="s">
        <v>849</v>
      </c>
    </row>
    <row r="212" spans="1:32" ht="11.25" customHeight="1" x14ac:dyDescent="0.25">
      <c r="A212" s="4" t="s">
        <v>28</v>
      </c>
      <c r="B212" s="4" t="s">
        <v>22</v>
      </c>
      <c r="C212" s="4" t="s">
        <v>23</v>
      </c>
      <c r="D212" s="4" t="s">
        <v>24</v>
      </c>
      <c r="E212" s="4" t="s">
        <v>29</v>
      </c>
      <c r="F212" s="4" t="s">
        <v>25</v>
      </c>
      <c r="G212" s="4" t="s">
        <v>25</v>
      </c>
      <c r="H212" s="4" t="s">
        <v>25</v>
      </c>
      <c r="I212" s="5">
        <v>44562</v>
      </c>
      <c r="J212" s="6">
        <v>0</v>
      </c>
      <c r="K212" s="6">
        <v>0</v>
      </c>
      <c r="L212" s="6">
        <v>5.0999999999999996</v>
      </c>
      <c r="M212" s="6">
        <v>5.0999999999999996</v>
      </c>
      <c r="N212" s="6">
        <v>5.0999999999999996</v>
      </c>
      <c r="O212" s="6">
        <v>5.0999999999999996</v>
      </c>
      <c r="P212" s="6">
        <v>16</v>
      </c>
      <c r="Q212" s="4" t="s">
        <v>26</v>
      </c>
      <c r="R212" s="4">
        <v>0</v>
      </c>
      <c r="S212" s="4">
        <v>0</v>
      </c>
      <c r="T212" s="4">
        <v>17</v>
      </c>
      <c r="U212" s="4">
        <v>54</v>
      </c>
      <c r="V212" s="6">
        <f>IF(ISERROR(VLOOKUP($S$212,'TAR FIN'!$A$1:$O$85,15,0)),0,VLOOKUP($S$212,'TAR FIN'!$A$1:$O$85,15,0))</f>
        <v>0</v>
      </c>
      <c r="W212" s="6">
        <f>IF(ISERROR(VLOOKUP($T$212,'TAR FIN'!$A$1:$O$85,15,0)),0,VLOOKUP($T$212,'TAR FIN'!$A$1:$O$85,15,0))</f>
        <v>91.27</v>
      </c>
      <c r="X212" s="6">
        <f>IF(ISERROR(VLOOKUP($U$212,'TAR FIN'!$A$1:$O$85,15,0)),0,VLOOKUP($U$212,'TAR FIN'!$A$1:$O$85,15,0))</f>
        <v>112.89</v>
      </c>
      <c r="Y212" s="6"/>
      <c r="Z212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12" s="6">
        <f>('TE BE'!$AB$11+'TE BF'!$AB$11+'TE CVA'!$AB$11)*(1-CUSTOS!$M$34)</f>
        <v>111.98393034267845</v>
      </c>
      <c r="AB212" s="6">
        <f t="shared" si="18"/>
        <v>0</v>
      </c>
      <c r="AC212" s="6">
        <f>(L212-M212)*(W212+X212)+($W$298+$X$298-$W$212-$X$212)*(L212)</f>
        <v>1933.6139999999998</v>
      </c>
      <c r="AD212" s="6">
        <f t="shared" si="20"/>
        <v>0</v>
      </c>
      <c r="AE212" s="6">
        <f ca="1">(L212-M212)*(Z212+AA212)+($Z$298+$AA$298-$Z$212-$AA$212)*(L212)</f>
        <v>2018.3342904355166</v>
      </c>
      <c r="AF212" s="4" t="s">
        <v>849</v>
      </c>
    </row>
    <row r="213" spans="1:32" ht="11.25" customHeight="1" x14ac:dyDescent="0.25">
      <c r="A213" s="4" t="s">
        <v>21</v>
      </c>
      <c r="B213" s="4" t="s">
        <v>22</v>
      </c>
      <c r="C213" s="4" t="s">
        <v>23</v>
      </c>
      <c r="D213" s="4" t="s">
        <v>24</v>
      </c>
      <c r="E213" s="4" t="s">
        <v>29</v>
      </c>
      <c r="F213" s="4" t="s">
        <v>25</v>
      </c>
      <c r="G213" s="4" t="s">
        <v>25</v>
      </c>
      <c r="H213" s="4" t="s">
        <v>25</v>
      </c>
      <c r="I213" s="5">
        <v>44593</v>
      </c>
      <c r="J213" s="6">
        <v>0</v>
      </c>
      <c r="K213" s="6">
        <v>0</v>
      </c>
      <c r="L213" s="6">
        <v>330.03</v>
      </c>
      <c r="M213" s="6">
        <v>330.03</v>
      </c>
      <c r="N213" s="6">
        <v>330.03</v>
      </c>
      <c r="O213" s="6">
        <v>330.03</v>
      </c>
      <c r="P213" s="6">
        <v>314</v>
      </c>
      <c r="Q213" s="4" t="s">
        <v>26</v>
      </c>
      <c r="R213" s="4">
        <v>0</v>
      </c>
      <c r="S213" s="4">
        <v>0</v>
      </c>
      <c r="T213" s="4">
        <v>17</v>
      </c>
      <c r="U213" s="4">
        <v>54</v>
      </c>
      <c r="V213" s="6">
        <f>IF(ISERROR(VLOOKUP($S$213,'TAR FIN'!$A$1:$O$85,15,0)),0,VLOOKUP($S$213,'TAR FIN'!$A$1:$O$85,15,0))</f>
        <v>0</v>
      </c>
      <c r="W213" s="6">
        <f>IF(ISERROR(VLOOKUP($T$213,'TAR FIN'!$A$1:$O$85,15,0)),0,VLOOKUP($T$213,'TAR FIN'!$A$1:$O$85,15,0))</f>
        <v>91.27</v>
      </c>
      <c r="X213" s="6">
        <f>IF(ISERROR(VLOOKUP($U$213,'TAR FIN'!$A$1:$O$85,15,0)),0,VLOOKUP($U$213,'TAR FIN'!$A$1:$O$85,15,0))</f>
        <v>112.89</v>
      </c>
      <c r="Y213" s="6"/>
      <c r="Z213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13" s="6">
        <f>('TE BE'!$AB$11+'TE BF'!$AB$11+'TE CVA'!$AB$11)*(1-CUSTOS!$M$34)</f>
        <v>111.98393034267845</v>
      </c>
      <c r="AB213" s="6">
        <f t="shared" si="18"/>
        <v>0</v>
      </c>
      <c r="AC213" s="6">
        <f>(L213-M213)*(W213+X213)+($W$298+$X$298-$W$213-$X$213)*(L213)</f>
        <v>125127.57419999999</v>
      </c>
      <c r="AD213" s="6">
        <f t="shared" si="20"/>
        <v>0</v>
      </c>
      <c r="AE213" s="6">
        <f ca="1">(L213-M213)*(Z213+AA213)+($Z$298+$AA$298-$Z$213-$AA$213)*(L213)</f>
        <v>130609.97370047716</v>
      </c>
      <c r="AF213" s="4" t="s">
        <v>849</v>
      </c>
    </row>
    <row r="214" spans="1:32" ht="11.25" customHeight="1" x14ac:dyDescent="0.25">
      <c r="A214" s="4" t="s">
        <v>27</v>
      </c>
      <c r="B214" s="4" t="s">
        <v>22</v>
      </c>
      <c r="C214" s="4" t="s">
        <v>23</v>
      </c>
      <c r="D214" s="4" t="s">
        <v>24</v>
      </c>
      <c r="E214" s="4" t="s">
        <v>29</v>
      </c>
      <c r="F214" s="4" t="s">
        <v>25</v>
      </c>
      <c r="G214" s="4" t="s">
        <v>25</v>
      </c>
      <c r="H214" s="4" t="s">
        <v>25</v>
      </c>
      <c r="I214" s="5">
        <v>44593</v>
      </c>
      <c r="J214" s="6">
        <v>0</v>
      </c>
      <c r="K214" s="6">
        <v>0</v>
      </c>
      <c r="L214" s="6">
        <v>0.15</v>
      </c>
      <c r="M214" s="6">
        <v>0.15</v>
      </c>
      <c r="N214" s="6">
        <v>0.15</v>
      </c>
      <c r="O214" s="6">
        <v>0.15</v>
      </c>
      <c r="P214" s="6">
        <v>4</v>
      </c>
      <c r="Q214" s="4" t="s">
        <v>26</v>
      </c>
      <c r="R214" s="4">
        <v>0</v>
      </c>
      <c r="S214" s="4">
        <v>0</v>
      </c>
      <c r="T214" s="4">
        <v>17</v>
      </c>
      <c r="U214" s="4">
        <v>54</v>
      </c>
      <c r="V214" s="6">
        <f>IF(ISERROR(VLOOKUP($S$214,'TAR FIN'!$A$1:$O$85,15,0)),0,VLOOKUP($S$214,'TAR FIN'!$A$1:$O$85,15,0))</f>
        <v>0</v>
      </c>
      <c r="W214" s="6">
        <f>IF(ISERROR(VLOOKUP($T$214,'TAR FIN'!$A$1:$O$85,15,0)),0,VLOOKUP($T$214,'TAR FIN'!$A$1:$O$85,15,0))</f>
        <v>91.27</v>
      </c>
      <c r="X214" s="6">
        <f>IF(ISERROR(VLOOKUP($U$214,'TAR FIN'!$A$1:$O$85,15,0)),0,VLOOKUP($U$214,'TAR FIN'!$A$1:$O$85,15,0))</f>
        <v>112.89</v>
      </c>
      <c r="Y214" s="6"/>
      <c r="Z214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14" s="6">
        <f>('TE BE'!$AB$11+'TE BF'!$AB$11+'TE CVA'!$AB$11)*(1-CUSTOS!$M$34)</f>
        <v>111.98393034267845</v>
      </c>
      <c r="AB214" s="6">
        <f t="shared" si="18"/>
        <v>0</v>
      </c>
      <c r="AC214" s="6">
        <f>(L214-M214)*(W214+X214)+($W$298+$X$298-$W$214-$X$214)*(L214)</f>
        <v>56.870999999999995</v>
      </c>
      <c r="AD214" s="6">
        <f t="shared" si="20"/>
        <v>0</v>
      </c>
      <c r="AE214" s="6">
        <f ca="1">(L214-M214)*(Z214+AA214)+($Z$298+$AA$298-$Z$214-$AA$214)*(L214)</f>
        <v>59.36277324810343</v>
      </c>
      <c r="AF214" s="4" t="s">
        <v>849</v>
      </c>
    </row>
    <row r="215" spans="1:32" ht="11.25" customHeight="1" x14ac:dyDescent="0.25">
      <c r="A215" s="4" t="s">
        <v>28</v>
      </c>
      <c r="B215" s="4" t="s">
        <v>22</v>
      </c>
      <c r="C215" s="4" t="s">
        <v>23</v>
      </c>
      <c r="D215" s="4" t="s">
        <v>24</v>
      </c>
      <c r="E215" s="4" t="s">
        <v>29</v>
      </c>
      <c r="F215" s="4" t="s">
        <v>25</v>
      </c>
      <c r="G215" s="4" t="s">
        <v>25</v>
      </c>
      <c r="H215" s="4" t="s">
        <v>25</v>
      </c>
      <c r="I215" s="5">
        <v>44593</v>
      </c>
      <c r="J215" s="6">
        <v>0</v>
      </c>
      <c r="K215" s="6">
        <v>0</v>
      </c>
      <c r="L215" s="6">
        <v>5.07</v>
      </c>
      <c r="M215" s="6">
        <v>5.07</v>
      </c>
      <c r="N215" s="6">
        <v>5.07</v>
      </c>
      <c r="O215" s="6">
        <v>5.07</v>
      </c>
      <c r="P215" s="6">
        <v>17</v>
      </c>
      <c r="Q215" s="4" t="s">
        <v>26</v>
      </c>
      <c r="R215" s="4">
        <v>0</v>
      </c>
      <c r="S215" s="4">
        <v>0</v>
      </c>
      <c r="T215" s="4">
        <v>17</v>
      </c>
      <c r="U215" s="4">
        <v>54</v>
      </c>
      <c r="V215" s="6">
        <f>IF(ISERROR(VLOOKUP($S$215,'TAR FIN'!$A$1:$O$85,15,0)),0,VLOOKUP($S$215,'TAR FIN'!$A$1:$O$85,15,0))</f>
        <v>0</v>
      </c>
      <c r="W215" s="6">
        <f>IF(ISERROR(VLOOKUP($T$215,'TAR FIN'!$A$1:$O$85,15,0)),0,VLOOKUP($T$215,'TAR FIN'!$A$1:$O$85,15,0))</f>
        <v>91.27</v>
      </c>
      <c r="X215" s="6">
        <f>IF(ISERROR(VLOOKUP($U$215,'TAR FIN'!$A$1:$O$85,15,0)),0,VLOOKUP($U$215,'TAR FIN'!$A$1:$O$85,15,0))</f>
        <v>112.89</v>
      </c>
      <c r="Y215" s="6"/>
      <c r="Z215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15" s="6">
        <f>('TE BE'!$AB$11+'TE BF'!$AB$11+'TE CVA'!$AB$11)*(1-CUSTOS!$M$34)</f>
        <v>111.98393034267845</v>
      </c>
      <c r="AB215" s="6">
        <f t="shared" si="18"/>
        <v>0</v>
      </c>
      <c r="AC215" s="6">
        <f>(L215-M215)*(W215+X215)+($W$298+$X$298-$W$215-$X$215)*(L215)</f>
        <v>1922.2398000000001</v>
      </c>
      <c r="AD215" s="6">
        <f t="shared" si="20"/>
        <v>0</v>
      </c>
      <c r="AE215" s="6">
        <f ca="1">(L215-M215)*(Z215+AA215)+($Z$298+$AA$298-$Z$215-$AA$215)*(L215)</f>
        <v>2006.4617357858961</v>
      </c>
      <c r="AF215" s="4" t="s">
        <v>849</v>
      </c>
    </row>
    <row r="216" spans="1:32" ht="11.25" customHeight="1" x14ac:dyDescent="0.25">
      <c r="A216" s="4" t="s">
        <v>21</v>
      </c>
      <c r="B216" s="4" t="s">
        <v>22</v>
      </c>
      <c r="C216" s="4" t="s">
        <v>23</v>
      </c>
      <c r="D216" s="4" t="s">
        <v>24</v>
      </c>
      <c r="E216" s="4" t="s">
        <v>29</v>
      </c>
      <c r="F216" s="4" t="s">
        <v>25</v>
      </c>
      <c r="G216" s="4" t="s">
        <v>25</v>
      </c>
      <c r="H216" s="4" t="s">
        <v>25</v>
      </c>
      <c r="I216" s="5">
        <v>44621</v>
      </c>
      <c r="J216" s="6">
        <v>0</v>
      </c>
      <c r="K216" s="6">
        <v>0</v>
      </c>
      <c r="L216" s="6">
        <v>397.71</v>
      </c>
      <c r="M216" s="6">
        <v>397.71</v>
      </c>
      <c r="N216" s="6">
        <v>397.71</v>
      </c>
      <c r="O216" s="6">
        <v>397.71</v>
      </c>
      <c r="P216" s="6">
        <v>433</v>
      </c>
      <c r="Q216" s="4" t="s">
        <v>26</v>
      </c>
      <c r="R216" s="4">
        <v>0</v>
      </c>
      <c r="S216" s="4">
        <v>0</v>
      </c>
      <c r="T216" s="4">
        <v>17</v>
      </c>
      <c r="U216" s="4">
        <v>54</v>
      </c>
      <c r="V216" s="6">
        <f>IF(ISERROR(VLOOKUP($S$216,'TAR FIN'!$A$1:$O$85,15,0)),0,VLOOKUP($S$216,'TAR FIN'!$A$1:$O$85,15,0))</f>
        <v>0</v>
      </c>
      <c r="W216" s="6">
        <f>IF(ISERROR(VLOOKUP($T$216,'TAR FIN'!$A$1:$O$85,15,0)),0,VLOOKUP($T$216,'TAR FIN'!$A$1:$O$85,15,0))</f>
        <v>91.27</v>
      </c>
      <c r="X216" s="6">
        <f>IF(ISERROR(VLOOKUP($U$216,'TAR FIN'!$A$1:$O$85,15,0)),0,VLOOKUP($U$216,'TAR FIN'!$A$1:$O$85,15,0))</f>
        <v>112.89</v>
      </c>
      <c r="Y216" s="6"/>
      <c r="Z216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16" s="6">
        <f>('TE BE'!$AB$11+'TE BF'!$AB$11+'TE CVA'!$AB$11)*(1-CUSTOS!$M$34)</f>
        <v>111.98393034267845</v>
      </c>
      <c r="AB216" s="6">
        <f t="shared" si="18"/>
        <v>0</v>
      </c>
      <c r="AC216" s="6">
        <f>(L216-M216)*(W216+X216)+($W$298+$X$298-$W$216-$X$216)*(L216)</f>
        <v>150787.76939999999</v>
      </c>
      <c r="AD216" s="6">
        <f t="shared" si="20"/>
        <v>0</v>
      </c>
      <c r="AE216" s="6">
        <f ca="1">(L216-M216)*(Z216+AA216)+($Z$298+$AA$298-$Z$216-$AA$216)*(L216)</f>
        <v>157394.45699002143</v>
      </c>
      <c r="AF216" s="4" t="s">
        <v>849</v>
      </c>
    </row>
    <row r="217" spans="1:32" ht="11.25" customHeight="1" x14ac:dyDescent="0.25">
      <c r="A217" s="4" t="s">
        <v>27</v>
      </c>
      <c r="B217" s="4" t="s">
        <v>22</v>
      </c>
      <c r="C217" s="4" t="s">
        <v>23</v>
      </c>
      <c r="D217" s="4" t="s">
        <v>24</v>
      </c>
      <c r="E217" s="4" t="s">
        <v>29</v>
      </c>
      <c r="F217" s="4" t="s">
        <v>25</v>
      </c>
      <c r="G217" s="4" t="s">
        <v>25</v>
      </c>
      <c r="H217" s="4" t="s">
        <v>25</v>
      </c>
      <c r="I217" s="5">
        <v>44621</v>
      </c>
      <c r="J217" s="6">
        <v>0</v>
      </c>
      <c r="K217" s="6">
        <v>0</v>
      </c>
      <c r="L217" s="6">
        <v>0.27</v>
      </c>
      <c r="M217" s="6">
        <v>0.27</v>
      </c>
      <c r="N217" s="6">
        <v>0.27</v>
      </c>
      <c r="O217" s="6">
        <v>0.27</v>
      </c>
      <c r="P217" s="6">
        <v>4</v>
      </c>
      <c r="Q217" s="4" t="s">
        <v>26</v>
      </c>
      <c r="R217" s="4">
        <v>0</v>
      </c>
      <c r="S217" s="4">
        <v>0</v>
      </c>
      <c r="T217" s="4">
        <v>17</v>
      </c>
      <c r="U217" s="4">
        <v>54</v>
      </c>
      <c r="V217" s="6">
        <f>IF(ISERROR(VLOOKUP($S$217,'TAR FIN'!$A$1:$O$85,15,0)),0,VLOOKUP($S$217,'TAR FIN'!$A$1:$O$85,15,0))</f>
        <v>0</v>
      </c>
      <c r="W217" s="6">
        <f>IF(ISERROR(VLOOKUP($T$217,'TAR FIN'!$A$1:$O$85,15,0)),0,VLOOKUP($T$217,'TAR FIN'!$A$1:$O$85,15,0))</f>
        <v>91.27</v>
      </c>
      <c r="X217" s="6">
        <f>IF(ISERROR(VLOOKUP($U$217,'TAR FIN'!$A$1:$O$85,15,0)),0,VLOOKUP($U$217,'TAR FIN'!$A$1:$O$85,15,0))</f>
        <v>112.89</v>
      </c>
      <c r="Y217" s="6"/>
      <c r="Z217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17" s="6">
        <f>('TE BE'!$AB$11+'TE BF'!$AB$11+'TE CVA'!$AB$11)*(1-CUSTOS!$M$34)</f>
        <v>111.98393034267845</v>
      </c>
      <c r="AB217" s="6">
        <f t="shared" si="18"/>
        <v>0</v>
      </c>
      <c r="AC217" s="6">
        <f>(L217-M217)*(W217+X217)+($W$298+$X$298-$W$217-$X$217)*(L217)</f>
        <v>102.3678</v>
      </c>
      <c r="AD217" s="6">
        <f t="shared" si="20"/>
        <v>0</v>
      </c>
      <c r="AE217" s="6">
        <f ca="1">(L217-M217)*(Z217+AA217)+($Z$298+$AA$298-$Z$217-$AA$217)*(L217)</f>
        <v>106.85299184658618</v>
      </c>
      <c r="AF217" s="4" t="s">
        <v>849</v>
      </c>
    </row>
    <row r="218" spans="1:32" ht="11.25" customHeight="1" x14ac:dyDescent="0.25">
      <c r="A218" s="4" t="s">
        <v>28</v>
      </c>
      <c r="B218" s="4" t="s">
        <v>22</v>
      </c>
      <c r="C218" s="4" t="s">
        <v>23</v>
      </c>
      <c r="D218" s="4" t="s">
        <v>24</v>
      </c>
      <c r="E218" s="4" t="s">
        <v>29</v>
      </c>
      <c r="F218" s="4" t="s">
        <v>25</v>
      </c>
      <c r="G218" s="4" t="s">
        <v>25</v>
      </c>
      <c r="H218" s="4" t="s">
        <v>25</v>
      </c>
      <c r="I218" s="5">
        <v>44621</v>
      </c>
      <c r="J218" s="6">
        <v>0</v>
      </c>
      <c r="K218" s="6">
        <v>0</v>
      </c>
      <c r="L218" s="6">
        <v>5.64</v>
      </c>
      <c r="M218" s="6">
        <v>5.64</v>
      </c>
      <c r="N218" s="6">
        <v>5.64</v>
      </c>
      <c r="O218" s="6">
        <v>5.64</v>
      </c>
      <c r="P218" s="6">
        <v>25</v>
      </c>
      <c r="Q218" s="4" t="s">
        <v>26</v>
      </c>
      <c r="R218" s="4">
        <v>0</v>
      </c>
      <c r="S218" s="4">
        <v>0</v>
      </c>
      <c r="T218" s="4">
        <v>17</v>
      </c>
      <c r="U218" s="4">
        <v>54</v>
      </c>
      <c r="V218" s="6">
        <f>IF(ISERROR(VLOOKUP($S$218,'TAR FIN'!$A$1:$O$85,15,0)),0,VLOOKUP($S$218,'TAR FIN'!$A$1:$O$85,15,0))</f>
        <v>0</v>
      </c>
      <c r="W218" s="6">
        <f>IF(ISERROR(VLOOKUP($T$218,'TAR FIN'!$A$1:$O$85,15,0)),0,VLOOKUP($T$218,'TAR FIN'!$A$1:$O$85,15,0))</f>
        <v>91.27</v>
      </c>
      <c r="X218" s="6">
        <f>IF(ISERROR(VLOOKUP($U$218,'TAR FIN'!$A$1:$O$85,15,0)),0,VLOOKUP($U$218,'TAR FIN'!$A$1:$O$85,15,0))</f>
        <v>112.89</v>
      </c>
      <c r="Y218" s="6"/>
      <c r="Z218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18" s="6">
        <f>('TE BE'!$AB$11+'TE BF'!$AB$11+'TE CVA'!$AB$11)*(1-CUSTOS!$M$34)</f>
        <v>111.98393034267845</v>
      </c>
      <c r="AB218" s="6">
        <f t="shared" si="18"/>
        <v>0</v>
      </c>
      <c r="AC218" s="6">
        <f>(L218-M218)*(W218+X218)+($W$298+$X$298-$W$218-$X$218)*(L218)</f>
        <v>2138.3496</v>
      </c>
      <c r="AD218" s="6">
        <f t="shared" si="20"/>
        <v>0</v>
      </c>
      <c r="AE218" s="6">
        <f ca="1">(L218-M218)*(Z218+AA218)+($Z$298+$AA$298-$Z$218-$AA$218)*(L218)</f>
        <v>2232.0402741286889</v>
      </c>
      <c r="AF218" s="4" t="s">
        <v>849</v>
      </c>
    </row>
    <row r="219" spans="1:32" ht="11.25" customHeight="1" x14ac:dyDescent="0.25">
      <c r="A219" s="4" t="s">
        <v>21</v>
      </c>
      <c r="B219" s="4" t="s">
        <v>22</v>
      </c>
      <c r="C219" s="4" t="s">
        <v>23</v>
      </c>
      <c r="D219" s="4" t="s">
        <v>24</v>
      </c>
      <c r="E219" s="4" t="s">
        <v>29</v>
      </c>
      <c r="F219" s="4" t="s">
        <v>25</v>
      </c>
      <c r="G219" s="4" t="s">
        <v>25</v>
      </c>
      <c r="H219" s="4" t="s">
        <v>25</v>
      </c>
      <c r="I219" s="5">
        <v>44652</v>
      </c>
      <c r="J219" s="6">
        <v>0</v>
      </c>
      <c r="K219" s="6">
        <v>0</v>
      </c>
      <c r="L219" s="6">
        <v>404.76</v>
      </c>
      <c r="M219" s="6">
        <v>404.76</v>
      </c>
      <c r="N219" s="6">
        <v>404.76</v>
      </c>
      <c r="O219" s="6">
        <v>404.76</v>
      </c>
      <c r="P219" s="6">
        <v>389</v>
      </c>
      <c r="Q219" s="4" t="s">
        <v>26</v>
      </c>
      <c r="R219" s="4">
        <v>0</v>
      </c>
      <c r="S219" s="4">
        <v>0</v>
      </c>
      <c r="T219" s="4">
        <v>17</v>
      </c>
      <c r="U219" s="4">
        <v>54</v>
      </c>
      <c r="V219" s="6">
        <f>IF(ISERROR(VLOOKUP($S$219,'TAR FIN'!$A$1:$O$85,15,0)),0,VLOOKUP($S$219,'TAR FIN'!$A$1:$O$85,15,0))</f>
        <v>0</v>
      </c>
      <c r="W219" s="6">
        <f>IF(ISERROR(VLOOKUP($T$219,'TAR FIN'!$A$1:$O$85,15,0)),0,VLOOKUP($T$219,'TAR FIN'!$A$1:$O$85,15,0))</f>
        <v>91.27</v>
      </c>
      <c r="X219" s="6">
        <f>IF(ISERROR(VLOOKUP($U$219,'TAR FIN'!$A$1:$O$85,15,0)),0,VLOOKUP($U$219,'TAR FIN'!$A$1:$O$85,15,0))</f>
        <v>112.89</v>
      </c>
      <c r="Y219" s="6"/>
      <c r="Z219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19" s="6">
        <f>('TE BE'!$AB$11+'TE BF'!$AB$11+'TE CVA'!$AB$11)*(1-CUSTOS!$M$34)</f>
        <v>111.98393034267845</v>
      </c>
      <c r="AB219" s="6">
        <f t="shared" si="18"/>
        <v>0</v>
      </c>
      <c r="AC219" s="6">
        <f>(L219-M219)*(W219+X219)+($W$298+$X$298-$W$219-$X$219)*(L219)</f>
        <v>153460.7064</v>
      </c>
      <c r="AD219" s="6">
        <f t="shared" si="20"/>
        <v>0</v>
      </c>
      <c r="AE219" s="6">
        <f ca="1">(L219-M219)*(Z219+AA219)+($Z$298+$AA$298-$Z$219-$AA$219)*(L219)</f>
        <v>160184.50733268229</v>
      </c>
      <c r="AF219" s="4" t="s">
        <v>849</v>
      </c>
    </row>
    <row r="220" spans="1:32" ht="11.25" customHeight="1" x14ac:dyDescent="0.25">
      <c r="A220" s="4" t="s">
        <v>27</v>
      </c>
      <c r="B220" s="4" t="s">
        <v>22</v>
      </c>
      <c r="C220" s="4" t="s">
        <v>23</v>
      </c>
      <c r="D220" s="4" t="s">
        <v>24</v>
      </c>
      <c r="E220" s="4" t="s">
        <v>29</v>
      </c>
      <c r="F220" s="4" t="s">
        <v>25</v>
      </c>
      <c r="G220" s="4" t="s">
        <v>25</v>
      </c>
      <c r="H220" s="4" t="s">
        <v>25</v>
      </c>
      <c r="I220" s="5">
        <v>44652</v>
      </c>
      <c r="J220" s="6">
        <v>0</v>
      </c>
      <c r="K220" s="6">
        <v>0</v>
      </c>
      <c r="L220" s="6">
        <v>0.18</v>
      </c>
      <c r="M220" s="6">
        <v>0.18</v>
      </c>
      <c r="N220" s="6">
        <v>0.18</v>
      </c>
      <c r="O220" s="6">
        <v>0.18</v>
      </c>
      <c r="P220" s="6">
        <v>2</v>
      </c>
      <c r="Q220" s="4" t="s">
        <v>26</v>
      </c>
      <c r="R220" s="4">
        <v>0</v>
      </c>
      <c r="S220" s="4">
        <v>0</v>
      </c>
      <c r="T220" s="4">
        <v>17</v>
      </c>
      <c r="U220" s="4">
        <v>54</v>
      </c>
      <c r="V220" s="6">
        <f>IF(ISERROR(VLOOKUP($S$220,'TAR FIN'!$A$1:$O$85,15,0)),0,VLOOKUP($S$220,'TAR FIN'!$A$1:$O$85,15,0))</f>
        <v>0</v>
      </c>
      <c r="W220" s="6">
        <f>IF(ISERROR(VLOOKUP($T$220,'TAR FIN'!$A$1:$O$85,15,0)),0,VLOOKUP($T$220,'TAR FIN'!$A$1:$O$85,15,0))</f>
        <v>91.27</v>
      </c>
      <c r="X220" s="6">
        <f>IF(ISERROR(VLOOKUP($U$220,'TAR FIN'!$A$1:$O$85,15,0)),0,VLOOKUP($U$220,'TAR FIN'!$A$1:$O$85,15,0))</f>
        <v>112.89</v>
      </c>
      <c r="Y220" s="6"/>
      <c r="Z220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20" s="6">
        <f>('TE BE'!$AB$11+'TE BF'!$AB$11+'TE CVA'!$AB$11)*(1-CUSTOS!$M$34)</f>
        <v>111.98393034267845</v>
      </c>
      <c r="AB220" s="6">
        <f t="shared" si="18"/>
        <v>0</v>
      </c>
      <c r="AC220" s="6">
        <f>(L220-M220)*(W220+X220)+($W$298+$X$298-$W$220-$X$220)*(L220)</f>
        <v>68.245199999999997</v>
      </c>
      <c r="AD220" s="6">
        <f t="shared" si="20"/>
        <v>0</v>
      </c>
      <c r="AE220" s="6">
        <f ca="1">(L220-M220)*(Z220+AA220)+($Z$298+$AA$298-$Z$220-$AA$220)*(L220)</f>
        <v>71.235327897724119</v>
      </c>
      <c r="AF220" s="4" t="s">
        <v>849</v>
      </c>
    </row>
    <row r="221" spans="1:32" ht="11.25" customHeight="1" x14ac:dyDescent="0.25">
      <c r="A221" s="4" t="s">
        <v>28</v>
      </c>
      <c r="B221" s="4" t="s">
        <v>22</v>
      </c>
      <c r="C221" s="4" t="s">
        <v>23</v>
      </c>
      <c r="D221" s="4" t="s">
        <v>24</v>
      </c>
      <c r="E221" s="4" t="s">
        <v>29</v>
      </c>
      <c r="F221" s="4" t="s">
        <v>25</v>
      </c>
      <c r="G221" s="4" t="s">
        <v>25</v>
      </c>
      <c r="H221" s="4" t="s">
        <v>25</v>
      </c>
      <c r="I221" s="5">
        <v>44652</v>
      </c>
      <c r="J221" s="6">
        <v>0</v>
      </c>
      <c r="K221" s="6">
        <v>0</v>
      </c>
      <c r="L221" s="6">
        <v>5.46</v>
      </c>
      <c r="M221" s="6">
        <v>5.46</v>
      </c>
      <c r="N221" s="6">
        <v>5.46</v>
      </c>
      <c r="O221" s="6">
        <v>5.46</v>
      </c>
      <c r="P221" s="6">
        <v>19</v>
      </c>
      <c r="Q221" s="4" t="s">
        <v>26</v>
      </c>
      <c r="R221" s="4">
        <v>0</v>
      </c>
      <c r="S221" s="4">
        <v>0</v>
      </c>
      <c r="T221" s="4">
        <v>17</v>
      </c>
      <c r="U221" s="4">
        <v>54</v>
      </c>
      <c r="V221" s="6">
        <f>IF(ISERROR(VLOOKUP($S$221,'TAR FIN'!$A$1:$O$85,15,0)),0,VLOOKUP($S$221,'TAR FIN'!$A$1:$O$85,15,0))</f>
        <v>0</v>
      </c>
      <c r="W221" s="6">
        <f>IF(ISERROR(VLOOKUP($T$221,'TAR FIN'!$A$1:$O$85,15,0)),0,VLOOKUP($T$221,'TAR FIN'!$A$1:$O$85,15,0))</f>
        <v>91.27</v>
      </c>
      <c r="X221" s="6">
        <f>IF(ISERROR(VLOOKUP($U$221,'TAR FIN'!$A$1:$O$85,15,0)),0,VLOOKUP($U$221,'TAR FIN'!$A$1:$O$85,15,0))</f>
        <v>112.89</v>
      </c>
      <c r="Y221" s="6"/>
      <c r="Z221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21" s="6">
        <f>('TE BE'!$AB$11+'TE BF'!$AB$11+'TE CVA'!$AB$11)*(1-CUSTOS!$M$34)</f>
        <v>111.98393034267845</v>
      </c>
      <c r="AB221" s="6">
        <f t="shared" si="18"/>
        <v>0</v>
      </c>
      <c r="AC221" s="6">
        <f>(L221-M221)*(W221+X221)+($W$298+$X$298-$W$221-$X$221)*(L221)</f>
        <v>2070.1043999999997</v>
      </c>
      <c r="AD221" s="6">
        <f t="shared" si="20"/>
        <v>0</v>
      </c>
      <c r="AE221" s="6">
        <f ca="1">(L221-M221)*(Z221+AA221)+($Z$298+$AA$298-$Z$221-$AA$221)*(L221)</f>
        <v>2160.804946230965</v>
      </c>
      <c r="AF221" s="4" t="s">
        <v>849</v>
      </c>
    </row>
    <row r="222" spans="1:32" ht="11.25" customHeight="1" x14ac:dyDescent="0.25">
      <c r="A222" s="4" t="s">
        <v>21</v>
      </c>
      <c r="B222" s="4" t="s">
        <v>22</v>
      </c>
      <c r="C222" s="4" t="s">
        <v>23</v>
      </c>
      <c r="D222" s="4" t="s">
        <v>24</v>
      </c>
      <c r="E222" s="4" t="s">
        <v>29</v>
      </c>
      <c r="F222" s="4" t="s">
        <v>25</v>
      </c>
      <c r="G222" s="4" t="s">
        <v>25</v>
      </c>
      <c r="H222" s="4" t="s">
        <v>25</v>
      </c>
      <c r="I222" s="5">
        <v>44682</v>
      </c>
      <c r="J222" s="6">
        <v>0</v>
      </c>
      <c r="K222" s="6">
        <v>0</v>
      </c>
      <c r="L222" s="6">
        <v>373.44</v>
      </c>
      <c r="M222" s="6">
        <v>373.44</v>
      </c>
      <c r="N222" s="6">
        <v>373.44</v>
      </c>
      <c r="O222" s="6">
        <v>373.44</v>
      </c>
      <c r="P222" s="6">
        <v>462</v>
      </c>
      <c r="Q222" s="4" t="s">
        <v>26</v>
      </c>
      <c r="R222" s="4">
        <v>0</v>
      </c>
      <c r="S222" s="4">
        <v>0</v>
      </c>
      <c r="T222" s="4">
        <v>17</v>
      </c>
      <c r="U222" s="4">
        <v>54</v>
      </c>
      <c r="V222" s="6">
        <f>IF(ISERROR(VLOOKUP($S$222,'TAR FIN'!$A$1:$O$85,15,0)),0,VLOOKUP($S$222,'TAR FIN'!$A$1:$O$85,15,0))</f>
        <v>0</v>
      </c>
      <c r="W222" s="6">
        <f>IF(ISERROR(VLOOKUP($T$222,'TAR FIN'!$A$1:$O$85,15,0)),0,VLOOKUP($T$222,'TAR FIN'!$A$1:$O$85,15,0))</f>
        <v>91.27</v>
      </c>
      <c r="X222" s="6">
        <f>IF(ISERROR(VLOOKUP($U$222,'TAR FIN'!$A$1:$O$85,15,0)),0,VLOOKUP($U$222,'TAR FIN'!$A$1:$O$85,15,0))</f>
        <v>112.89</v>
      </c>
      <c r="Y222" s="6"/>
      <c r="Z222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22" s="6">
        <f>('TE BE'!$AB$11+'TE BF'!$AB$11+'TE CVA'!$AB$11)*(1-CUSTOS!$M$34)</f>
        <v>111.98393034267845</v>
      </c>
      <c r="AB222" s="6">
        <f t="shared" si="18"/>
        <v>0</v>
      </c>
      <c r="AC222" s="6">
        <f>(L222-M222)*(W222+X222)+($W$298+$X$298-$W$222-$X$222)*(L222)</f>
        <v>141586.0416</v>
      </c>
      <c r="AD222" s="6">
        <f t="shared" si="20"/>
        <v>0</v>
      </c>
      <c r="AE222" s="6">
        <f ca="1">(L222-M222)*(Z222+AA222)+($Z$298+$AA$298-$Z$222-$AA$222)*(L222)</f>
        <v>147789.56027847831</v>
      </c>
      <c r="AF222" s="4" t="s">
        <v>849</v>
      </c>
    </row>
    <row r="223" spans="1:32" ht="11.25" customHeight="1" x14ac:dyDescent="0.25">
      <c r="A223" s="4" t="s">
        <v>27</v>
      </c>
      <c r="B223" s="4" t="s">
        <v>22</v>
      </c>
      <c r="C223" s="4" t="s">
        <v>23</v>
      </c>
      <c r="D223" s="4" t="s">
        <v>24</v>
      </c>
      <c r="E223" s="4" t="s">
        <v>29</v>
      </c>
      <c r="F223" s="4" t="s">
        <v>25</v>
      </c>
      <c r="G223" s="4" t="s">
        <v>25</v>
      </c>
      <c r="H223" s="4" t="s">
        <v>25</v>
      </c>
      <c r="I223" s="5">
        <v>44682</v>
      </c>
      <c r="J223" s="6">
        <v>0</v>
      </c>
      <c r="K223" s="6">
        <v>0</v>
      </c>
      <c r="L223" s="6">
        <v>0.12</v>
      </c>
      <c r="M223" s="6">
        <v>0.12</v>
      </c>
      <c r="N223" s="6">
        <v>0.12</v>
      </c>
      <c r="O223" s="6">
        <v>0.12</v>
      </c>
      <c r="P223" s="6">
        <v>1</v>
      </c>
      <c r="Q223" s="4" t="s">
        <v>26</v>
      </c>
      <c r="R223" s="4">
        <v>0</v>
      </c>
      <c r="S223" s="4">
        <v>0</v>
      </c>
      <c r="T223" s="4">
        <v>17</v>
      </c>
      <c r="U223" s="4">
        <v>54</v>
      </c>
      <c r="V223" s="6">
        <f>IF(ISERROR(VLOOKUP($S$223,'TAR FIN'!$A$1:$O$85,15,0)),0,VLOOKUP($S$223,'TAR FIN'!$A$1:$O$85,15,0))</f>
        <v>0</v>
      </c>
      <c r="W223" s="6">
        <f>IF(ISERROR(VLOOKUP($T$223,'TAR FIN'!$A$1:$O$85,15,0)),0,VLOOKUP($T$223,'TAR FIN'!$A$1:$O$85,15,0))</f>
        <v>91.27</v>
      </c>
      <c r="X223" s="6">
        <f>IF(ISERROR(VLOOKUP($U$223,'TAR FIN'!$A$1:$O$85,15,0)),0,VLOOKUP($U$223,'TAR FIN'!$A$1:$O$85,15,0))</f>
        <v>112.89</v>
      </c>
      <c r="Y223" s="6"/>
      <c r="Z223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23" s="6">
        <f>('TE BE'!$AB$11+'TE BF'!$AB$11+'TE CVA'!$AB$11)*(1-CUSTOS!$M$34)</f>
        <v>111.98393034267845</v>
      </c>
      <c r="AB223" s="6">
        <f t="shared" si="18"/>
        <v>0</v>
      </c>
      <c r="AC223" s="6">
        <f>(L223-M223)*(W223+X223)+($W$298+$X$298-$W$223-$X$223)*(L223)</f>
        <v>45.496799999999993</v>
      </c>
      <c r="AD223" s="6">
        <f t="shared" si="20"/>
        <v>0</v>
      </c>
      <c r="AE223" s="6">
        <f ca="1">(L223-M223)*(Z223+AA223)+($Z$298+$AA$298-$Z$223-$AA$223)*(L223)</f>
        <v>47.490218598482741</v>
      </c>
      <c r="AF223" s="4" t="s">
        <v>849</v>
      </c>
    </row>
    <row r="224" spans="1:32" ht="11.25" customHeight="1" x14ac:dyDescent="0.25">
      <c r="A224" s="4" t="s">
        <v>28</v>
      </c>
      <c r="B224" s="4" t="s">
        <v>22</v>
      </c>
      <c r="C224" s="4" t="s">
        <v>23</v>
      </c>
      <c r="D224" s="4" t="s">
        <v>24</v>
      </c>
      <c r="E224" s="4" t="s">
        <v>29</v>
      </c>
      <c r="F224" s="4" t="s">
        <v>25</v>
      </c>
      <c r="G224" s="4" t="s">
        <v>25</v>
      </c>
      <c r="H224" s="4" t="s">
        <v>25</v>
      </c>
      <c r="I224" s="5">
        <v>44682</v>
      </c>
      <c r="J224" s="6">
        <v>0</v>
      </c>
      <c r="K224" s="6">
        <v>0</v>
      </c>
      <c r="L224" s="6">
        <v>4.92</v>
      </c>
      <c r="M224" s="6">
        <v>4.92</v>
      </c>
      <c r="N224" s="6">
        <v>4.92</v>
      </c>
      <c r="O224" s="6">
        <v>4.92</v>
      </c>
      <c r="P224" s="6">
        <v>17</v>
      </c>
      <c r="Q224" s="4" t="s">
        <v>26</v>
      </c>
      <c r="R224" s="4">
        <v>0</v>
      </c>
      <c r="S224" s="4">
        <v>0</v>
      </c>
      <c r="T224" s="4">
        <v>17</v>
      </c>
      <c r="U224" s="4">
        <v>54</v>
      </c>
      <c r="V224" s="6">
        <f>IF(ISERROR(VLOOKUP($S$224,'TAR FIN'!$A$1:$O$85,15,0)),0,VLOOKUP($S$224,'TAR FIN'!$A$1:$O$85,15,0))</f>
        <v>0</v>
      </c>
      <c r="W224" s="6">
        <f>IF(ISERROR(VLOOKUP($T$224,'TAR FIN'!$A$1:$O$85,15,0)),0,VLOOKUP($T$224,'TAR FIN'!$A$1:$O$85,15,0))</f>
        <v>91.27</v>
      </c>
      <c r="X224" s="6">
        <f>IF(ISERROR(VLOOKUP($U$224,'TAR FIN'!$A$1:$O$85,15,0)),0,VLOOKUP($U$224,'TAR FIN'!$A$1:$O$85,15,0))</f>
        <v>112.89</v>
      </c>
      <c r="Y224" s="6"/>
      <c r="Z224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24" s="6">
        <f>('TE BE'!$AB$11+'TE BF'!$AB$11+'TE CVA'!$AB$11)*(1-CUSTOS!$M$34)</f>
        <v>111.98393034267845</v>
      </c>
      <c r="AB224" s="6">
        <f t="shared" si="18"/>
        <v>0</v>
      </c>
      <c r="AC224" s="6">
        <f>(L224-M224)*(W224+X224)+($W$298+$X$298-$W$224-$X$224)*(L224)</f>
        <v>1865.3688</v>
      </c>
      <c r="AD224" s="6">
        <f t="shared" si="20"/>
        <v>0</v>
      </c>
      <c r="AE224" s="6">
        <f ca="1">(L224-M224)*(Z224+AA224)+($Z$298+$AA$298-$Z$224-$AA$224)*(L224)</f>
        <v>1947.0989625377924</v>
      </c>
      <c r="AF224" s="4" t="s">
        <v>849</v>
      </c>
    </row>
    <row r="225" spans="1:32" ht="11.25" customHeight="1" x14ac:dyDescent="0.25">
      <c r="A225" s="4" t="s">
        <v>21</v>
      </c>
      <c r="B225" s="4" t="s">
        <v>22</v>
      </c>
      <c r="C225" s="4" t="s">
        <v>23</v>
      </c>
      <c r="D225" s="4" t="s">
        <v>24</v>
      </c>
      <c r="E225" s="4" t="s">
        <v>29</v>
      </c>
      <c r="F225" s="4" t="s">
        <v>25</v>
      </c>
      <c r="G225" s="4" t="s">
        <v>25</v>
      </c>
      <c r="H225" s="4" t="s">
        <v>25</v>
      </c>
      <c r="I225" s="5">
        <v>44713</v>
      </c>
      <c r="J225" s="6">
        <v>0</v>
      </c>
      <c r="K225" s="6">
        <v>0</v>
      </c>
      <c r="L225" s="6">
        <v>393.57</v>
      </c>
      <c r="M225" s="6">
        <v>393.57</v>
      </c>
      <c r="N225" s="6">
        <v>393.57</v>
      </c>
      <c r="O225" s="6">
        <v>393.57</v>
      </c>
      <c r="P225" s="6">
        <v>524</v>
      </c>
      <c r="Q225" s="4" t="s">
        <v>26</v>
      </c>
      <c r="R225" s="4">
        <v>0</v>
      </c>
      <c r="S225" s="4">
        <v>0</v>
      </c>
      <c r="T225" s="4">
        <v>17</v>
      </c>
      <c r="U225" s="4">
        <v>54</v>
      </c>
      <c r="V225" s="6">
        <f>IF(ISERROR(VLOOKUP($S$225,'TAR FIN'!$A$1:$O$85,15,0)),0,VLOOKUP($S$225,'TAR FIN'!$A$1:$O$85,15,0))</f>
        <v>0</v>
      </c>
      <c r="W225" s="6">
        <f>IF(ISERROR(VLOOKUP($T$225,'TAR FIN'!$A$1:$O$85,15,0)),0,VLOOKUP($T$225,'TAR FIN'!$A$1:$O$85,15,0))</f>
        <v>91.27</v>
      </c>
      <c r="X225" s="6">
        <f>IF(ISERROR(VLOOKUP($U$225,'TAR FIN'!$A$1:$O$85,15,0)),0,VLOOKUP($U$225,'TAR FIN'!$A$1:$O$85,15,0))</f>
        <v>112.89</v>
      </c>
      <c r="Y225" s="6"/>
      <c r="Z225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25" s="6">
        <f>('TE BE'!$AB$11+'TE BF'!$AB$11+'TE CVA'!$AB$11)*(1-CUSTOS!$M$34)</f>
        <v>111.98393034267845</v>
      </c>
      <c r="AB225" s="6">
        <f t="shared" si="18"/>
        <v>0</v>
      </c>
      <c r="AC225" s="6">
        <f>(L225-M225)*(W225+X225)+($W$298+$X$298-$W$225-$X$225)*(L225)</f>
        <v>149218.1298</v>
      </c>
      <c r="AD225" s="6">
        <f t="shared" si="20"/>
        <v>0</v>
      </c>
      <c r="AE225" s="6">
        <f ca="1">(L225-M225)*(Z225+AA225)+($Z$298+$AA$298-$Z$225-$AA$225)*(L225)</f>
        <v>155756.04444837378</v>
      </c>
      <c r="AF225" s="4" t="s">
        <v>849</v>
      </c>
    </row>
    <row r="226" spans="1:32" ht="11.25" customHeight="1" x14ac:dyDescent="0.25">
      <c r="A226" s="4" t="s">
        <v>27</v>
      </c>
      <c r="B226" s="4" t="s">
        <v>22</v>
      </c>
      <c r="C226" s="4" t="s">
        <v>23</v>
      </c>
      <c r="D226" s="4" t="s">
        <v>24</v>
      </c>
      <c r="E226" s="4" t="s">
        <v>29</v>
      </c>
      <c r="F226" s="4" t="s">
        <v>25</v>
      </c>
      <c r="G226" s="4" t="s">
        <v>25</v>
      </c>
      <c r="H226" s="4" t="s">
        <v>25</v>
      </c>
      <c r="I226" s="5">
        <v>44713</v>
      </c>
      <c r="J226" s="6">
        <v>0</v>
      </c>
      <c r="K226" s="6">
        <v>0</v>
      </c>
      <c r="L226" s="6">
        <v>0.12</v>
      </c>
      <c r="M226" s="6">
        <v>0.12</v>
      </c>
      <c r="N226" s="6">
        <v>0.12</v>
      </c>
      <c r="O226" s="6">
        <v>0.12</v>
      </c>
      <c r="P226" s="6">
        <v>2</v>
      </c>
      <c r="Q226" s="4" t="s">
        <v>26</v>
      </c>
      <c r="R226" s="4">
        <v>0</v>
      </c>
      <c r="S226" s="4">
        <v>0</v>
      </c>
      <c r="T226" s="4">
        <v>17</v>
      </c>
      <c r="U226" s="4">
        <v>54</v>
      </c>
      <c r="V226" s="6">
        <f>IF(ISERROR(VLOOKUP($S$226,'TAR FIN'!$A$1:$O$85,15,0)),0,VLOOKUP($S$226,'TAR FIN'!$A$1:$O$85,15,0))</f>
        <v>0</v>
      </c>
      <c r="W226" s="6">
        <f>IF(ISERROR(VLOOKUP($T$226,'TAR FIN'!$A$1:$O$85,15,0)),0,VLOOKUP($T$226,'TAR FIN'!$A$1:$O$85,15,0))</f>
        <v>91.27</v>
      </c>
      <c r="X226" s="6">
        <f>IF(ISERROR(VLOOKUP($U$226,'TAR FIN'!$A$1:$O$85,15,0)),0,VLOOKUP($U$226,'TAR FIN'!$A$1:$O$85,15,0))</f>
        <v>112.89</v>
      </c>
      <c r="Y226" s="6"/>
      <c r="Z226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26" s="6">
        <f>('TE BE'!$AB$11+'TE BF'!$AB$11+'TE CVA'!$AB$11)*(1-CUSTOS!$M$34)</f>
        <v>111.98393034267845</v>
      </c>
      <c r="AB226" s="6">
        <f t="shared" si="18"/>
        <v>0</v>
      </c>
      <c r="AC226" s="6">
        <f>(L226-M226)*(W226+X226)+($W$298+$X$298-$W$226-$X$226)*(L226)</f>
        <v>45.496799999999993</v>
      </c>
      <c r="AD226" s="6">
        <f t="shared" si="20"/>
        <v>0</v>
      </c>
      <c r="AE226" s="6">
        <f ca="1">(L226-M226)*(Z226+AA226)+($Z$298+$AA$298-$Z$226-$AA$226)*(L226)</f>
        <v>47.490218598482741</v>
      </c>
      <c r="AF226" s="4" t="s">
        <v>849</v>
      </c>
    </row>
    <row r="227" spans="1:32" ht="11.25" customHeight="1" x14ac:dyDescent="0.25">
      <c r="A227" s="4" t="s">
        <v>28</v>
      </c>
      <c r="B227" s="4" t="s">
        <v>22</v>
      </c>
      <c r="C227" s="4" t="s">
        <v>23</v>
      </c>
      <c r="D227" s="4" t="s">
        <v>24</v>
      </c>
      <c r="E227" s="4" t="s">
        <v>29</v>
      </c>
      <c r="F227" s="4" t="s">
        <v>25</v>
      </c>
      <c r="G227" s="4" t="s">
        <v>25</v>
      </c>
      <c r="H227" s="4" t="s">
        <v>25</v>
      </c>
      <c r="I227" s="5">
        <v>44713</v>
      </c>
      <c r="J227" s="6">
        <v>0</v>
      </c>
      <c r="K227" s="6">
        <v>0</v>
      </c>
      <c r="L227" s="6">
        <v>5.25</v>
      </c>
      <c r="M227" s="6">
        <v>5.25</v>
      </c>
      <c r="N227" s="6">
        <v>5.25</v>
      </c>
      <c r="O227" s="6">
        <v>5.25</v>
      </c>
      <c r="P227" s="6">
        <v>20</v>
      </c>
      <c r="Q227" s="4" t="s">
        <v>26</v>
      </c>
      <c r="R227" s="4">
        <v>0</v>
      </c>
      <c r="S227" s="4">
        <v>0</v>
      </c>
      <c r="T227" s="4">
        <v>17</v>
      </c>
      <c r="U227" s="4">
        <v>54</v>
      </c>
      <c r="V227" s="6">
        <f>IF(ISERROR(VLOOKUP($S$227,'TAR FIN'!$A$1:$O$85,15,0)),0,VLOOKUP($S$227,'TAR FIN'!$A$1:$O$85,15,0))</f>
        <v>0</v>
      </c>
      <c r="W227" s="6">
        <f>IF(ISERROR(VLOOKUP($T$227,'TAR FIN'!$A$1:$O$85,15,0)),0,VLOOKUP($T$227,'TAR FIN'!$A$1:$O$85,15,0))</f>
        <v>91.27</v>
      </c>
      <c r="X227" s="6">
        <f>IF(ISERROR(VLOOKUP($U$227,'TAR FIN'!$A$1:$O$85,15,0)),0,VLOOKUP($U$227,'TAR FIN'!$A$1:$O$85,15,0))</f>
        <v>112.89</v>
      </c>
      <c r="Y227" s="6"/>
      <c r="Z227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27" s="6">
        <f>('TE BE'!$AB$11+'TE BF'!$AB$11+'TE CVA'!$AB$11)*(1-CUSTOS!$M$34)</f>
        <v>111.98393034267845</v>
      </c>
      <c r="AB227" s="6">
        <f t="shared" si="18"/>
        <v>0</v>
      </c>
      <c r="AC227" s="6">
        <f>(L227-M227)*(W227+X227)+($W$298+$X$298-$W$227-$X$227)*(L227)</f>
        <v>1990.4849999999999</v>
      </c>
      <c r="AD227" s="6">
        <f t="shared" si="20"/>
        <v>0</v>
      </c>
      <c r="AE227" s="6">
        <f ca="1">(L227-M227)*(Z227+AA227)+($Z$298+$AA$298-$Z$227-$AA$227)*(L227)</f>
        <v>2077.6970636836199</v>
      </c>
      <c r="AF227" s="4" t="s">
        <v>849</v>
      </c>
    </row>
    <row r="228" spans="1:32" ht="11.25" customHeight="1" x14ac:dyDescent="0.25">
      <c r="A228" s="4" t="s">
        <v>21</v>
      </c>
      <c r="B228" s="4" t="s">
        <v>22</v>
      </c>
      <c r="C228" s="4" t="s">
        <v>23</v>
      </c>
      <c r="D228" s="4" t="s">
        <v>24</v>
      </c>
      <c r="E228" s="4" t="s">
        <v>29</v>
      </c>
      <c r="F228" s="4" t="s">
        <v>25</v>
      </c>
      <c r="G228" s="4" t="s">
        <v>25</v>
      </c>
      <c r="H228" s="4" t="s">
        <v>25</v>
      </c>
      <c r="I228" s="5">
        <v>44743</v>
      </c>
      <c r="J228" s="6">
        <v>0</v>
      </c>
      <c r="K228" s="6">
        <v>0</v>
      </c>
      <c r="L228" s="6">
        <v>332.52</v>
      </c>
      <c r="M228" s="6">
        <v>332.52</v>
      </c>
      <c r="N228" s="6">
        <v>332.52</v>
      </c>
      <c r="O228" s="6">
        <v>332.52</v>
      </c>
      <c r="P228" s="6">
        <v>445</v>
      </c>
      <c r="Q228" s="4" t="s">
        <v>26</v>
      </c>
      <c r="R228" s="4">
        <v>0</v>
      </c>
      <c r="S228" s="4">
        <v>0</v>
      </c>
      <c r="T228" s="4">
        <v>17</v>
      </c>
      <c r="U228" s="4">
        <v>54</v>
      </c>
      <c r="V228" s="6">
        <f>IF(ISERROR(VLOOKUP($S$228,'TAR FIN'!$A$1:$O$85,15,0)),0,VLOOKUP($S$228,'TAR FIN'!$A$1:$O$85,15,0))</f>
        <v>0</v>
      </c>
      <c r="W228" s="6">
        <f>IF(ISERROR(VLOOKUP($T$228,'TAR FIN'!$A$1:$O$85,15,0)),0,VLOOKUP($T$228,'TAR FIN'!$A$1:$O$85,15,0))</f>
        <v>91.27</v>
      </c>
      <c r="X228" s="6">
        <f>IF(ISERROR(VLOOKUP($U$228,'TAR FIN'!$A$1:$O$85,15,0)),0,VLOOKUP($U$228,'TAR FIN'!$A$1:$O$85,15,0))</f>
        <v>112.89</v>
      </c>
      <c r="Y228" s="6"/>
      <c r="Z228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28" s="6">
        <f>('TE BE'!$AB$11+'TE BF'!$AB$11+'TE CVA'!$AB$11)*(1-CUSTOS!$M$34)</f>
        <v>111.98393034267845</v>
      </c>
      <c r="AB228" s="6">
        <f t="shared" si="18"/>
        <v>0</v>
      </c>
      <c r="AC228" s="6">
        <f>(L228-M228)*(W228+X228)+($W$298+$X$298-$W$228-$X$228)*(L228)</f>
        <v>126071.63279999999</v>
      </c>
      <c r="AD228" s="6">
        <f t="shared" si="20"/>
        <v>0</v>
      </c>
      <c r="AE228" s="6">
        <f ca="1">(L228-M228)*(Z228+AA228)+($Z$298+$AA$298-$Z$228-$AA$228)*(L228)</f>
        <v>131595.39573639567</v>
      </c>
      <c r="AF228" s="4" t="s">
        <v>849</v>
      </c>
    </row>
    <row r="229" spans="1:32" ht="11.25" customHeight="1" x14ac:dyDescent="0.25">
      <c r="A229" s="4" t="s">
        <v>27</v>
      </c>
      <c r="B229" s="4" t="s">
        <v>22</v>
      </c>
      <c r="C229" s="4" t="s">
        <v>23</v>
      </c>
      <c r="D229" s="4" t="s">
        <v>24</v>
      </c>
      <c r="E229" s="4" t="s">
        <v>29</v>
      </c>
      <c r="F229" s="4" t="s">
        <v>25</v>
      </c>
      <c r="G229" s="4" t="s">
        <v>25</v>
      </c>
      <c r="H229" s="4" t="s">
        <v>25</v>
      </c>
      <c r="I229" s="5">
        <v>44743</v>
      </c>
      <c r="J229" s="6">
        <v>0</v>
      </c>
      <c r="K229" s="6">
        <v>0</v>
      </c>
      <c r="L229" s="6">
        <v>0.18</v>
      </c>
      <c r="M229" s="6">
        <v>0.18</v>
      </c>
      <c r="N229" s="6">
        <v>0.18</v>
      </c>
      <c r="O229" s="6">
        <v>0.18</v>
      </c>
      <c r="P229" s="6">
        <v>4</v>
      </c>
      <c r="Q229" s="4" t="s">
        <v>26</v>
      </c>
      <c r="R229" s="4">
        <v>0</v>
      </c>
      <c r="S229" s="4">
        <v>0</v>
      </c>
      <c r="T229" s="4">
        <v>17</v>
      </c>
      <c r="U229" s="4">
        <v>54</v>
      </c>
      <c r="V229" s="6">
        <f>IF(ISERROR(VLOOKUP($S$229,'TAR FIN'!$A$1:$O$85,15,0)),0,VLOOKUP($S$229,'TAR FIN'!$A$1:$O$85,15,0))</f>
        <v>0</v>
      </c>
      <c r="W229" s="6">
        <f>IF(ISERROR(VLOOKUP($T$229,'TAR FIN'!$A$1:$O$85,15,0)),0,VLOOKUP($T$229,'TAR FIN'!$A$1:$O$85,15,0))</f>
        <v>91.27</v>
      </c>
      <c r="X229" s="6">
        <f>IF(ISERROR(VLOOKUP($U$229,'TAR FIN'!$A$1:$O$85,15,0)),0,VLOOKUP($U$229,'TAR FIN'!$A$1:$O$85,15,0))</f>
        <v>112.89</v>
      </c>
      <c r="Y229" s="6"/>
      <c r="Z229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29" s="6">
        <f>('TE BE'!$AB$11+'TE BF'!$AB$11+'TE CVA'!$AB$11)*(1-CUSTOS!$M$34)</f>
        <v>111.98393034267845</v>
      </c>
      <c r="AB229" s="6">
        <f t="shared" si="18"/>
        <v>0</v>
      </c>
      <c r="AC229" s="6">
        <f>(L229-M229)*(W229+X229)+($W$298+$X$298-$W$229-$X$229)*(L229)</f>
        <v>68.245199999999997</v>
      </c>
      <c r="AD229" s="6">
        <f t="shared" si="20"/>
        <v>0</v>
      </c>
      <c r="AE229" s="6">
        <f ca="1">(L229-M229)*(Z229+AA229)+($Z$298+$AA$298-$Z$229-$AA$229)*(L229)</f>
        <v>71.235327897724119</v>
      </c>
      <c r="AF229" s="4" t="s">
        <v>849</v>
      </c>
    </row>
    <row r="230" spans="1:32" ht="11.25" customHeight="1" x14ac:dyDescent="0.25">
      <c r="A230" s="4" t="s">
        <v>28</v>
      </c>
      <c r="B230" s="4" t="s">
        <v>22</v>
      </c>
      <c r="C230" s="4" t="s">
        <v>23</v>
      </c>
      <c r="D230" s="4" t="s">
        <v>24</v>
      </c>
      <c r="E230" s="4" t="s">
        <v>29</v>
      </c>
      <c r="F230" s="4" t="s">
        <v>25</v>
      </c>
      <c r="G230" s="4" t="s">
        <v>25</v>
      </c>
      <c r="H230" s="4" t="s">
        <v>25</v>
      </c>
      <c r="I230" s="5">
        <v>44743</v>
      </c>
      <c r="J230" s="6">
        <v>0</v>
      </c>
      <c r="K230" s="6">
        <v>0</v>
      </c>
      <c r="L230" s="6">
        <v>4.5</v>
      </c>
      <c r="M230" s="6">
        <v>4.5</v>
      </c>
      <c r="N230" s="6">
        <v>4.5</v>
      </c>
      <c r="O230" s="6">
        <v>4.5</v>
      </c>
      <c r="P230" s="6">
        <v>16</v>
      </c>
      <c r="Q230" s="4" t="s">
        <v>26</v>
      </c>
      <c r="R230" s="4">
        <v>0</v>
      </c>
      <c r="S230" s="4">
        <v>0</v>
      </c>
      <c r="T230" s="4">
        <v>17</v>
      </c>
      <c r="U230" s="4">
        <v>54</v>
      </c>
      <c r="V230" s="6">
        <f>IF(ISERROR(VLOOKUP($S$230,'TAR FIN'!$A$1:$O$85,15,0)),0,VLOOKUP($S$230,'TAR FIN'!$A$1:$O$85,15,0))</f>
        <v>0</v>
      </c>
      <c r="W230" s="6">
        <f>IF(ISERROR(VLOOKUP($T$230,'TAR FIN'!$A$1:$O$85,15,0)),0,VLOOKUP($T$230,'TAR FIN'!$A$1:$O$85,15,0))</f>
        <v>91.27</v>
      </c>
      <c r="X230" s="6">
        <f>IF(ISERROR(VLOOKUP($U$230,'TAR FIN'!$A$1:$O$85,15,0)),0,VLOOKUP($U$230,'TAR FIN'!$A$1:$O$85,15,0))</f>
        <v>112.89</v>
      </c>
      <c r="Y230" s="6"/>
      <c r="Z230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30" s="6">
        <f>('TE BE'!$AB$11+'TE BF'!$AB$11+'TE CVA'!$AB$11)*(1-CUSTOS!$M$34)</f>
        <v>111.98393034267845</v>
      </c>
      <c r="AB230" s="6">
        <f t="shared" si="18"/>
        <v>0</v>
      </c>
      <c r="AC230" s="6">
        <f>(L230-M230)*(W230+X230)+($W$298+$X$298-$W$230-$X$230)*(L230)</f>
        <v>1706.1299999999999</v>
      </c>
      <c r="AD230" s="6">
        <f t="shared" si="20"/>
        <v>0</v>
      </c>
      <c r="AE230" s="6">
        <f ca="1">(L230-M230)*(Z230+AA230)+($Z$298+$AA$298-$Z$230-$AA$230)*(L230)</f>
        <v>1780.883197443103</v>
      </c>
      <c r="AF230" s="4" t="s">
        <v>849</v>
      </c>
    </row>
    <row r="231" spans="1:32" ht="11.25" customHeight="1" x14ac:dyDescent="0.25">
      <c r="A231" s="4" t="s">
        <v>56</v>
      </c>
      <c r="B231" s="4" t="s">
        <v>22</v>
      </c>
      <c r="C231" s="4" t="s">
        <v>23</v>
      </c>
      <c r="D231" s="4" t="s">
        <v>24</v>
      </c>
      <c r="E231" s="4" t="s">
        <v>29</v>
      </c>
      <c r="F231" s="4" t="s">
        <v>25</v>
      </c>
      <c r="G231" s="4" t="s">
        <v>25</v>
      </c>
      <c r="H231" s="4" t="s">
        <v>25</v>
      </c>
      <c r="I231" s="5">
        <v>44774</v>
      </c>
      <c r="J231" s="6">
        <v>0</v>
      </c>
      <c r="K231" s="6">
        <v>0</v>
      </c>
      <c r="L231" s="6">
        <v>332.52</v>
      </c>
      <c r="M231" s="6">
        <v>332.52</v>
      </c>
      <c r="N231" s="6">
        <v>332.52</v>
      </c>
      <c r="O231" s="6">
        <v>332.52</v>
      </c>
      <c r="P231" s="6">
        <v>445</v>
      </c>
      <c r="Q231" s="4" t="s">
        <v>26</v>
      </c>
      <c r="R231" s="4">
        <v>0</v>
      </c>
      <c r="S231" s="4">
        <v>0</v>
      </c>
      <c r="T231" s="4">
        <v>17</v>
      </c>
      <c r="U231" s="4">
        <v>54</v>
      </c>
      <c r="V231" s="6">
        <f>IF(ISERROR(VLOOKUP($S$231,'TAR FIN'!$A$1:$O$85,15,0)),0,VLOOKUP($S$231,'TAR FIN'!$A$1:$O$85,15,0))</f>
        <v>0</v>
      </c>
      <c r="W231" s="6">
        <f>IF(ISERROR(VLOOKUP($T$231,'TAR FIN'!$A$1:$O$85,15,0)),0,VLOOKUP($T$231,'TAR FIN'!$A$1:$O$85,15,0))</f>
        <v>91.27</v>
      </c>
      <c r="X231" s="6">
        <f>IF(ISERROR(VLOOKUP($U$231,'TAR FIN'!$A$1:$O$85,15,0)),0,VLOOKUP($U$231,'TAR FIN'!$A$1:$O$85,15,0))</f>
        <v>112.89</v>
      </c>
      <c r="Y231" s="6"/>
      <c r="Z231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31" s="6">
        <f>('TE BE'!$AB$11+'TE BF'!$AB$11+'TE CVA'!$AB$11)*(1-CUSTOS!$M$34)</f>
        <v>111.98393034267845</v>
      </c>
      <c r="AB231" s="6">
        <f t="shared" si="18"/>
        <v>0</v>
      </c>
      <c r="AC231" s="6">
        <f>(L231-M231)*(W231+X231)+($W$298+$X$298-$W$231-$X$231)*(L231)</f>
        <v>126071.63279999999</v>
      </c>
      <c r="AD231" s="6">
        <f t="shared" si="20"/>
        <v>0</v>
      </c>
      <c r="AE231" s="6">
        <f ca="1">(L231-M231)*(Z231+AA231)+($Z$298+$AA$298-$Z$231-$AA$231)*(L231)</f>
        <v>131595.39573639567</v>
      </c>
      <c r="AF231" s="4" t="s">
        <v>849</v>
      </c>
    </row>
    <row r="232" spans="1:32" ht="11.25" customHeight="1" x14ac:dyDescent="0.25">
      <c r="A232" s="4" t="s">
        <v>56</v>
      </c>
      <c r="B232" s="4" t="s">
        <v>22</v>
      </c>
      <c r="C232" s="4" t="s">
        <v>23</v>
      </c>
      <c r="D232" s="4" t="s">
        <v>24</v>
      </c>
      <c r="E232" s="4" t="s">
        <v>29</v>
      </c>
      <c r="F232" s="4" t="s">
        <v>25</v>
      </c>
      <c r="G232" s="4" t="s">
        <v>25</v>
      </c>
      <c r="H232" s="4" t="s">
        <v>25</v>
      </c>
      <c r="I232" s="5">
        <v>44774</v>
      </c>
      <c r="J232" s="6">
        <v>0</v>
      </c>
      <c r="K232" s="6">
        <v>0</v>
      </c>
      <c r="L232" s="6">
        <v>0.18</v>
      </c>
      <c r="M232" s="6">
        <v>0.18</v>
      </c>
      <c r="N232" s="6">
        <v>0.18</v>
      </c>
      <c r="O232" s="6">
        <v>0.18</v>
      </c>
      <c r="P232" s="6">
        <v>4</v>
      </c>
      <c r="Q232" s="4" t="s">
        <v>26</v>
      </c>
      <c r="R232" s="4">
        <v>0</v>
      </c>
      <c r="S232" s="4">
        <v>0</v>
      </c>
      <c r="T232" s="4">
        <v>17</v>
      </c>
      <c r="U232" s="4">
        <v>54</v>
      </c>
      <c r="V232" s="6">
        <f>IF(ISERROR(VLOOKUP($S$232,'TAR FIN'!$A$1:$O$85,15,0)),0,VLOOKUP($S$232,'TAR FIN'!$A$1:$O$85,15,0))</f>
        <v>0</v>
      </c>
      <c r="W232" s="6">
        <f>IF(ISERROR(VLOOKUP($T$232,'TAR FIN'!$A$1:$O$85,15,0)),0,VLOOKUP($T$232,'TAR FIN'!$A$1:$O$85,15,0))</f>
        <v>91.27</v>
      </c>
      <c r="X232" s="6">
        <f>IF(ISERROR(VLOOKUP($U$232,'TAR FIN'!$A$1:$O$85,15,0)),0,VLOOKUP($U$232,'TAR FIN'!$A$1:$O$85,15,0))</f>
        <v>112.89</v>
      </c>
      <c r="Y232" s="6"/>
      <c r="Z232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32" s="6">
        <f>('TE BE'!$AB$11+'TE BF'!$AB$11+'TE CVA'!$AB$11)*(1-CUSTOS!$M$34)</f>
        <v>111.98393034267845</v>
      </c>
      <c r="AB232" s="6">
        <f t="shared" si="18"/>
        <v>0</v>
      </c>
      <c r="AC232" s="6">
        <f>(L232-M232)*(W232+X232)+($W$298+$X$298-$W$232-$X$232)*(L232)</f>
        <v>68.245199999999997</v>
      </c>
      <c r="AD232" s="6">
        <f t="shared" si="20"/>
        <v>0</v>
      </c>
      <c r="AE232" s="6">
        <f ca="1">(L232-M232)*(Z232+AA232)+($Z$298+$AA$298-$Z$232-$AA$232)*(L232)</f>
        <v>71.235327897724119</v>
      </c>
      <c r="AF232" s="4" t="s">
        <v>849</v>
      </c>
    </row>
    <row r="233" spans="1:32" ht="11.25" customHeight="1" x14ac:dyDescent="0.25">
      <c r="A233" s="4" t="s">
        <v>56</v>
      </c>
      <c r="B233" s="4" t="s">
        <v>22</v>
      </c>
      <c r="C233" s="4" t="s">
        <v>23</v>
      </c>
      <c r="D233" s="4" t="s">
        <v>24</v>
      </c>
      <c r="E233" s="4" t="s">
        <v>29</v>
      </c>
      <c r="F233" s="4" t="s">
        <v>25</v>
      </c>
      <c r="G233" s="4" t="s">
        <v>25</v>
      </c>
      <c r="H233" s="4" t="s">
        <v>25</v>
      </c>
      <c r="I233" s="5">
        <v>44774</v>
      </c>
      <c r="J233" s="6">
        <v>0</v>
      </c>
      <c r="K233" s="6">
        <v>0</v>
      </c>
      <c r="L233" s="6">
        <v>4.5</v>
      </c>
      <c r="M233" s="6">
        <v>4.5</v>
      </c>
      <c r="N233" s="6">
        <v>4.5</v>
      </c>
      <c r="O233" s="6">
        <v>4.5</v>
      </c>
      <c r="P233" s="6">
        <v>16</v>
      </c>
      <c r="Q233" s="4" t="s">
        <v>26</v>
      </c>
      <c r="R233" s="4">
        <v>0</v>
      </c>
      <c r="S233" s="4">
        <v>0</v>
      </c>
      <c r="T233" s="4">
        <v>17</v>
      </c>
      <c r="U233" s="4">
        <v>54</v>
      </c>
      <c r="V233" s="6">
        <f>IF(ISERROR(VLOOKUP($S$233,'TAR FIN'!$A$1:$O$85,15,0)),0,VLOOKUP($S$233,'TAR FIN'!$A$1:$O$85,15,0))</f>
        <v>0</v>
      </c>
      <c r="W233" s="6">
        <f>IF(ISERROR(VLOOKUP($T$233,'TAR FIN'!$A$1:$O$85,15,0)),0,VLOOKUP($T$233,'TAR FIN'!$A$1:$O$85,15,0))</f>
        <v>91.27</v>
      </c>
      <c r="X233" s="6">
        <f>IF(ISERROR(VLOOKUP($U$233,'TAR FIN'!$A$1:$O$85,15,0)),0,VLOOKUP($U$233,'TAR FIN'!$A$1:$O$85,15,0))</f>
        <v>112.89</v>
      </c>
      <c r="Y233" s="6"/>
      <c r="Z233" s="6">
        <f ca="1">('TUSD BE'!$AM$21+'TUSD BF'!$AM$21+'TUSD CVA'!$AM$21-('TUSD BE'!$P$21+'TUSD BF'!$P$21+'TUSD CVA'!$P$21)-('TUSD BE'!$Q$21+'TUSD BF'!$Q$21+'TUSD CVA'!$Q$21)-('TUSD BE'!$R$21+'TUSD BF'!$R$21+'TUSD CVA'!$R$21))*(1-CUSTOS!$M$34)</f>
        <v>101.11320439410312</v>
      </c>
      <c r="AA233" s="6">
        <f>('TE BE'!$AB$11+'TE BF'!$AB$11+'TE CVA'!$AB$11)*(1-CUSTOS!$M$34)</f>
        <v>111.98393034267845</v>
      </c>
      <c r="AB233" s="6">
        <f t="shared" si="18"/>
        <v>0</v>
      </c>
      <c r="AC233" s="6">
        <f>(L233-M233)*(W233+X233)+($W$298+$X$298-$W$233-$X$233)*(L233)</f>
        <v>1706.1299999999999</v>
      </c>
      <c r="AD233" s="6">
        <f t="shared" si="20"/>
        <v>0</v>
      </c>
      <c r="AE233" s="6">
        <f ca="1">(L233-M233)*(Z233+AA233)+($Z$298+$AA$298-$Z$233-$AA$233)*(L233)</f>
        <v>1780.883197443103</v>
      </c>
      <c r="AF233" s="4" t="s">
        <v>849</v>
      </c>
    </row>
    <row r="234" spans="1:32" ht="11.25" customHeight="1" x14ac:dyDescent="0.25">
      <c r="A234" s="4" t="s">
        <v>21</v>
      </c>
      <c r="B234" s="4" t="s">
        <v>22</v>
      </c>
      <c r="C234" s="4" t="s">
        <v>23</v>
      </c>
      <c r="D234" s="4" t="s">
        <v>24</v>
      </c>
      <c r="E234" s="4" t="s">
        <v>30</v>
      </c>
      <c r="F234" s="4" t="s">
        <v>25</v>
      </c>
      <c r="G234" s="4" t="s">
        <v>25</v>
      </c>
      <c r="H234" s="4" t="s">
        <v>25</v>
      </c>
      <c r="I234" s="5">
        <v>44440</v>
      </c>
      <c r="J234" s="6">
        <v>0</v>
      </c>
      <c r="K234" s="6">
        <v>0</v>
      </c>
      <c r="L234" s="6">
        <v>597.149</v>
      </c>
      <c r="M234" s="6">
        <v>597.149</v>
      </c>
      <c r="N234" s="6">
        <v>597.149</v>
      </c>
      <c r="O234" s="6">
        <v>597.149</v>
      </c>
      <c r="P234" s="6">
        <v>2679</v>
      </c>
      <c r="Q234" s="4" t="s">
        <v>26</v>
      </c>
      <c r="R234" s="4">
        <v>0</v>
      </c>
      <c r="S234" s="4">
        <v>0</v>
      </c>
      <c r="T234" s="4">
        <v>18</v>
      </c>
      <c r="U234" s="4">
        <v>55</v>
      </c>
      <c r="V234" s="6">
        <f>IF(ISERROR(VLOOKUP($S$234,'TAR FIN'!$A$1:$O$85,15,0)),0,VLOOKUP($S$234,'TAR FIN'!$A$1:$O$85,15,0))</f>
        <v>0</v>
      </c>
      <c r="W234" s="6">
        <f>IF(ISERROR(VLOOKUP($T$234,'TAR FIN'!$A$1:$O$85,15,0)),0,VLOOKUP($T$234,'TAR FIN'!$A$1:$O$85,15,0))</f>
        <v>156.46</v>
      </c>
      <c r="X234" s="6">
        <f>IF(ISERROR(VLOOKUP($U$234,'TAR FIN'!$A$1:$O$85,15,0)),0,VLOOKUP($U$234,'TAR FIN'!$A$1:$O$85,15,0))</f>
        <v>193.53</v>
      </c>
      <c r="Y234" s="6"/>
      <c r="Z234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34" s="6">
        <f>('TE BE'!$AB$12+'TE BF'!$AB$12+'TE CVA'!$AB$12)*(1-CUSTOS!$M$35)</f>
        <v>191.97245201602018</v>
      </c>
      <c r="AB234" s="6">
        <f t="shared" si="18"/>
        <v>0</v>
      </c>
      <c r="AC234" s="6">
        <f>(L234-M234)*(W234+X234)+($W$298+$X$298-$W$234-$X$234)*(L234)</f>
        <v>139320.83318999995</v>
      </c>
      <c r="AD234" s="6">
        <f t="shared" si="20"/>
        <v>0</v>
      </c>
      <c r="AE234" s="6">
        <f ca="1">(L234-M234)*(Z234+AA234)+($Z$298+$AA$298-$Z$234-$AA$234)*(L234)</f>
        <v>145429.41818392498</v>
      </c>
      <c r="AF234" s="4" t="s">
        <v>849</v>
      </c>
    </row>
    <row r="235" spans="1:32" ht="11.25" customHeight="1" x14ac:dyDescent="0.25">
      <c r="A235" s="4" t="s">
        <v>28</v>
      </c>
      <c r="B235" s="4" t="s">
        <v>22</v>
      </c>
      <c r="C235" s="4" t="s">
        <v>23</v>
      </c>
      <c r="D235" s="4" t="s">
        <v>24</v>
      </c>
      <c r="E235" s="4" t="s">
        <v>30</v>
      </c>
      <c r="F235" s="4" t="s">
        <v>25</v>
      </c>
      <c r="G235" s="4" t="s">
        <v>25</v>
      </c>
      <c r="H235" s="4" t="s">
        <v>25</v>
      </c>
      <c r="I235" s="5">
        <v>44440</v>
      </c>
      <c r="J235" s="6">
        <v>0</v>
      </c>
      <c r="K235" s="6">
        <v>0</v>
      </c>
      <c r="L235" s="6">
        <v>8.1050000000000004</v>
      </c>
      <c r="M235" s="6">
        <v>8.1050000000000004</v>
      </c>
      <c r="N235" s="6">
        <v>8.1050000000000004</v>
      </c>
      <c r="O235" s="6">
        <v>8.1050000000000004</v>
      </c>
      <c r="P235" s="6">
        <v>66</v>
      </c>
      <c r="Q235" s="4" t="s">
        <v>26</v>
      </c>
      <c r="R235" s="4">
        <v>0</v>
      </c>
      <c r="S235" s="4">
        <v>0</v>
      </c>
      <c r="T235" s="4">
        <v>18</v>
      </c>
      <c r="U235" s="4">
        <v>55</v>
      </c>
      <c r="V235" s="6">
        <f>IF(ISERROR(VLOOKUP($S$235,'TAR FIN'!$A$1:$O$85,15,0)),0,VLOOKUP($S$235,'TAR FIN'!$A$1:$O$85,15,0))</f>
        <v>0</v>
      </c>
      <c r="W235" s="6">
        <f>IF(ISERROR(VLOOKUP($T$235,'TAR FIN'!$A$1:$O$85,15,0)),0,VLOOKUP($T$235,'TAR FIN'!$A$1:$O$85,15,0))</f>
        <v>156.46</v>
      </c>
      <c r="X235" s="6">
        <f>IF(ISERROR(VLOOKUP($U$235,'TAR FIN'!$A$1:$O$85,15,0)),0,VLOOKUP($U$235,'TAR FIN'!$A$1:$O$85,15,0))</f>
        <v>193.53</v>
      </c>
      <c r="Y235" s="6"/>
      <c r="Z235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35" s="6">
        <f>('TE BE'!$AB$12+'TE BF'!$AB$12+'TE CVA'!$AB$12)*(1-CUSTOS!$M$35)</f>
        <v>191.97245201602018</v>
      </c>
      <c r="AB235" s="6">
        <f t="shared" si="18"/>
        <v>0</v>
      </c>
      <c r="AC235" s="6">
        <f>(L235-M235)*(W235+X235)+($W$298+$X$298-$W$235-$X$235)*(L235)</f>
        <v>1890.9775499999994</v>
      </c>
      <c r="AD235" s="6">
        <f t="shared" si="20"/>
        <v>0</v>
      </c>
      <c r="AE235" s="6">
        <f ca="1">(L235-M235)*(Z235+AA235)+($Z$298+$AA$298-$Z$235-$AA$235)*(L235)</f>
        <v>1973.8883166189878</v>
      </c>
      <c r="AF235" s="4" t="s">
        <v>849</v>
      </c>
    </row>
    <row r="236" spans="1:32" ht="11.25" customHeight="1" x14ac:dyDescent="0.25">
      <c r="A236" s="4" t="s">
        <v>21</v>
      </c>
      <c r="B236" s="4" t="s">
        <v>22</v>
      </c>
      <c r="C236" s="4" t="s">
        <v>23</v>
      </c>
      <c r="D236" s="4" t="s">
        <v>24</v>
      </c>
      <c r="E236" s="4" t="s">
        <v>30</v>
      </c>
      <c r="F236" s="4" t="s">
        <v>25</v>
      </c>
      <c r="G236" s="4" t="s">
        <v>25</v>
      </c>
      <c r="H236" s="4" t="s">
        <v>25</v>
      </c>
      <c r="I236" s="5">
        <v>44470</v>
      </c>
      <c r="J236" s="6">
        <v>0</v>
      </c>
      <c r="K236" s="6">
        <v>0</v>
      </c>
      <c r="L236" s="6">
        <v>615.96799999999996</v>
      </c>
      <c r="M236" s="6">
        <v>615.96799999999996</v>
      </c>
      <c r="N236" s="6">
        <v>615.96799999999996</v>
      </c>
      <c r="O236" s="6">
        <v>615.96799999999996</v>
      </c>
      <c r="P236" s="6">
        <v>2497</v>
      </c>
      <c r="Q236" s="4" t="s">
        <v>26</v>
      </c>
      <c r="R236" s="4">
        <v>0</v>
      </c>
      <c r="S236" s="4">
        <v>0</v>
      </c>
      <c r="T236" s="4">
        <v>18</v>
      </c>
      <c r="U236" s="4">
        <v>55</v>
      </c>
      <c r="V236" s="6">
        <f>IF(ISERROR(VLOOKUP($S$236,'TAR FIN'!$A$1:$O$85,15,0)),0,VLOOKUP($S$236,'TAR FIN'!$A$1:$O$85,15,0))</f>
        <v>0</v>
      </c>
      <c r="W236" s="6">
        <f>IF(ISERROR(VLOOKUP($T$236,'TAR FIN'!$A$1:$O$85,15,0)),0,VLOOKUP($T$236,'TAR FIN'!$A$1:$O$85,15,0))</f>
        <v>156.46</v>
      </c>
      <c r="X236" s="6">
        <f>IF(ISERROR(VLOOKUP($U$236,'TAR FIN'!$A$1:$O$85,15,0)),0,VLOOKUP($U$236,'TAR FIN'!$A$1:$O$85,15,0))</f>
        <v>193.53</v>
      </c>
      <c r="Y236" s="6"/>
      <c r="Z236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36" s="6">
        <f>('TE BE'!$AB$12+'TE BF'!$AB$12+'TE CVA'!$AB$12)*(1-CUSTOS!$M$35)</f>
        <v>191.97245201602018</v>
      </c>
      <c r="AB236" s="6">
        <f t="shared" si="18"/>
        <v>0</v>
      </c>
      <c r="AC236" s="6">
        <f>(L236-M236)*(W236+X236)+($W$298+$X$298-$W$236-$X$236)*(L236)</f>
        <v>143711.49407999995</v>
      </c>
      <c r="AD236" s="6">
        <f t="shared" si="20"/>
        <v>0</v>
      </c>
      <c r="AE236" s="6">
        <f ca="1">(L236-M236)*(Z236+AA236)+($Z$298+$AA$298-$Z$236-$AA$236)*(L236)</f>
        <v>150012.58958805239</v>
      </c>
      <c r="AF236" s="4" t="s">
        <v>849</v>
      </c>
    </row>
    <row r="237" spans="1:32" ht="11.25" customHeight="1" x14ac:dyDescent="0.25">
      <c r="A237" s="4" t="s">
        <v>28</v>
      </c>
      <c r="B237" s="4" t="s">
        <v>22</v>
      </c>
      <c r="C237" s="4" t="s">
        <v>23</v>
      </c>
      <c r="D237" s="4" t="s">
        <v>24</v>
      </c>
      <c r="E237" s="4" t="s">
        <v>30</v>
      </c>
      <c r="F237" s="4" t="s">
        <v>25</v>
      </c>
      <c r="G237" s="4" t="s">
        <v>25</v>
      </c>
      <c r="H237" s="4" t="s">
        <v>25</v>
      </c>
      <c r="I237" s="5">
        <v>44470</v>
      </c>
      <c r="J237" s="6">
        <v>0</v>
      </c>
      <c r="K237" s="6">
        <v>0</v>
      </c>
      <c r="L237" s="6">
        <v>8.7520000000000007</v>
      </c>
      <c r="M237" s="6">
        <v>8.7520000000000007</v>
      </c>
      <c r="N237" s="6">
        <v>8.7520000000000007</v>
      </c>
      <c r="O237" s="6">
        <v>8.7520000000000007</v>
      </c>
      <c r="P237" s="6">
        <v>60</v>
      </c>
      <c r="Q237" s="4" t="s">
        <v>26</v>
      </c>
      <c r="R237" s="4">
        <v>0</v>
      </c>
      <c r="S237" s="4">
        <v>0</v>
      </c>
      <c r="T237" s="4">
        <v>18</v>
      </c>
      <c r="U237" s="4">
        <v>55</v>
      </c>
      <c r="V237" s="6">
        <f>IF(ISERROR(VLOOKUP($S$237,'TAR FIN'!$A$1:$O$85,15,0)),0,VLOOKUP($S$237,'TAR FIN'!$A$1:$O$85,15,0))</f>
        <v>0</v>
      </c>
      <c r="W237" s="6">
        <f>IF(ISERROR(VLOOKUP($T$237,'TAR FIN'!$A$1:$O$85,15,0)),0,VLOOKUP($T$237,'TAR FIN'!$A$1:$O$85,15,0))</f>
        <v>156.46</v>
      </c>
      <c r="X237" s="6">
        <f>IF(ISERROR(VLOOKUP($U$237,'TAR FIN'!$A$1:$O$85,15,0)),0,VLOOKUP($U$237,'TAR FIN'!$A$1:$O$85,15,0))</f>
        <v>193.53</v>
      </c>
      <c r="Y237" s="6"/>
      <c r="Z237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37" s="6">
        <f>('TE BE'!$AB$12+'TE BF'!$AB$12+'TE CVA'!$AB$12)*(1-CUSTOS!$M$35)</f>
        <v>191.97245201602018</v>
      </c>
      <c r="AB237" s="6">
        <f t="shared" si="18"/>
        <v>0</v>
      </c>
      <c r="AC237" s="6">
        <f>(L237-M237)*(W237+X237)+($W$298+$X$298-$W$237-$X$237)*(L237)</f>
        <v>2041.9291199999993</v>
      </c>
      <c r="AD237" s="6">
        <f t="shared" si="20"/>
        <v>0</v>
      </c>
      <c r="AE237" s="6">
        <f ca="1">(L237-M237)*(Z237+AA237)+($Z$298+$AA$298-$Z$237-$AA$237)*(L237)</f>
        <v>2131.4584265329281</v>
      </c>
      <c r="AF237" s="4" t="s">
        <v>849</v>
      </c>
    </row>
    <row r="238" spans="1:32" ht="11.25" customHeight="1" x14ac:dyDescent="0.25">
      <c r="A238" s="4" t="s">
        <v>21</v>
      </c>
      <c r="B238" s="4" t="s">
        <v>22</v>
      </c>
      <c r="C238" s="4" t="s">
        <v>23</v>
      </c>
      <c r="D238" s="4" t="s">
        <v>24</v>
      </c>
      <c r="E238" s="4" t="s">
        <v>30</v>
      </c>
      <c r="F238" s="4" t="s">
        <v>25</v>
      </c>
      <c r="G238" s="4" t="s">
        <v>25</v>
      </c>
      <c r="H238" s="4" t="s">
        <v>25</v>
      </c>
      <c r="I238" s="5">
        <v>44501</v>
      </c>
      <c r="J238" s="6">
        <v>0</v>
      </c>
      <c r="K238" s="6">
        <v>0</v>
      </c>
      <c r="L238" s="6">
        <v>626.92399999999998</v>
      </c>
      <c r="M238" s="6">
        <v>626.92399999999998</v>
      </c>
      <c r="N238" s="6">
        <v>626.92399999999998</v>
      </c>
      <c r="O238" s="6">
        <v>626.92399999999998</v>
      </c>
      <c r="P238" s="6">
        <v>2712</v>
      </c>
      <c r="Q238" s="4" t="s">
        <v>26</v>
      </c>
      <c r="R238" s="4">
        <v>0</v>
      </c>
      <c r="S238" s="4">
        <v>0</v>
      </c>
      <c r="T238" s="4">
        <v>18</v>
      </c>
      <c r="U238" s="4">
        <v>55</v>
      </c>
      <c r="V238" s="6">
        <f>IF(ISERROR(VLOOKUP($S$238,'TAR FIN'!$A$1:$O$85,15,0)),0,VLOOKUP($S$238,'TAR FIN'!$A$1:$O$85,15,0))</f>
        <v>0</v>
      </c>
      <c r="W238" s="6">
        <f>IF(ISERROR(VLOOKUP($T$238,'TAR FIN'!$A$1:$O$85,15,0)),0,VLOOKUP($T$238,'TAR FIN'!$A$1:$O$85,15,0))</f>
        <v>156.46</v>
      </c>
      <c r="X238" s="6">
        <f>IF(ISERROR(VLOOKUP($U$238,'TAR FIN'!$A$1:$O$85,15,0)),0,VLOOKUP($U$238,'TAR FIN'!$A$1:$O$85,15,0))</f>
        <v>193.53</v>
      </c>
      <c r="Y238" s="6"/>
      <c r="Z238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38" s="6">
        <f>('TE BE'!$AB$12+'TE BF'!$AB$12+'TE CVA'!$AB$12)*(1-CUSTOS!$M$35)</f>
        <v>191.97245201602018</v>
      </c>
      <c r="AB238" s="6">
        <f t="shared" si="18"/>
        <v>0</v>
      </c>
      <c r="AC238" s="6">
        <f>(L238-M238)*(W238+X238)+($W$298+$X$298-$W$238-$X$238)*(L238)</f>
        <v>146267.63843999995</v>
      </c>
      <c r="AD238" s="6">
        <f t="shared" si="20"/>
        <v>0</v>
      </c>
      <c r="AE238" s="6">
        <f ca="1">(L238-M238)*(Z238+AA238)+($Z$298+$AA$298-$Z$238-$AA$238)*(L238)</f>
        <v>152680.80925453943</v>
      </c>
      <c r="AF238" s="4" t="s">
        <v>849</v>
      </c>
    </row>
    <row r="239" spans="1:32" ht="11.25" customHeight="1" x14ac:dyDescent="0.25">
      <c r="A239" s="4" t="s">
        <v>27</v>
      </c>
      <c r="B239" s="4" t="s">
        <v>22</v>
      </c>
      <c r="C239" s="4" t="s">
        <v>23</v>
      </c>
      <c r="D239" s="4" t="s">
        <v>24</v>
      </c>
      <c r="E239" s="4" t="s">
        <v>30</v>
      </c>
      <c r="F239" s="4" t="s">
        <v>25</v>
      </c>
      <c r="G239" s="4" t="s">
        <v>25</v>
      </c>
      <c r="H239" s="4" t="s">
        <v>25</v>
      </c>
      <c r="I239" s="5">
        <v>44501</v>
      </c>
      <c r="J239" s="6">
        <v>0</v>
      </c>
      <c r="K239" s="6">
        <v>0</v>
      </c>
      <c r="L239" s="6">
        <v>3.1E-2</v>
      </c>
      <c r="M239" s="6">
        <v>3.1E-2</v>
      </c>
      <c r="N239" s="6">
        <v>3.1E-2</v>
      </c>
      <c r="O239" s="6">
        <v>3.1E-2</v>
      </c>
      <c r="P239" s="6">
        <v>1</v>
      </c>
      <c r="Q239" s="4" t="s">
        <v>26</v>
      </c>
      <c r="R239" s="4">
        <v>0</v>
      </c>
      <c r="S239" s="4">
        <v>0</v>
      </c>
      <c r="T239" s="4">
        <v>18</v>
      </c>
      <c r="U239" s="4">
        <v>55</v>
      </c>
      <c r="V239" s="6">
        <f>IF(ISERROR(VLOOKUP($S$239,'TAR FIN'!$A$1:$O$85,15,0)),0,VLOOKUP($S$239,'TAR FIN'!$A$1:$O$85,15,0))</f>
        <v>0</v>
      </c>
      <c r="W239" s="6">
        <f>IF(ISERROR(VLOOKUP($T$239,'TAR FIN'!$A$1:$O$85,15,0)),0,VLOOKUP($T$239,'TAR FIN'!$A$1:$O$85,15,0))</f>
        <v>156.46</v>
      </c>
      <c r="X239" s="6">
        <f>IF(ISERROR(VLOOKUP($U$239,'TAR FIN'!$A$1:$O$85,15,0)),0,VLOOKUP($U$239,'TAR FIN'!$A$1:$O$85,15,0))</f>
        <v>193.53</v>
      </c>
      <c r="Y239" s="6"/>
      <c r="Z239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39" s="6">
        <f>('TE BE'!$AB$12+'TE BF'!$AB$12+'TE CVA'!$AB$12)*(1-CUSTOS!$M$35)</f>
        <v>191.97245201602018</v>
      </c>
      <c r="AB239" s="6">
        <f t="shared" si="18"/>
        <v>0</v>
      </c>
      <c r="AC239" s="6">
        <f>(L239-M239)*(W239+X239)+($W$298+$X$298-$W$239-$X$239)*(L239)</f>
        <v>7.2326099999999975</v>
      </c>
      <c r="AD239" s="6">
        <f t="shared" si="20"/>
        <v>0</v>
      </c>
      <c r="AE239" s="6">
        <f ca="1">(L239-M239)*(Z239+AA239)+($Z$298+$AA$298-$Z$239-$AA$239)*(L239)</f>
        <v>7.5497270592459733</v>
      </c>
      <c r="AF239" s="4" t="s">
        <v>849</v>
      </c>
    </row>
    <row r="240" spans="1:32" ht="11.25" customHeight="1" x14ac:dyDescent="0.25">
      <c r="A240" s="4" t="s">
        <v>28</v>
      </c>
      <c r="B240" s="4" t="s">
        <v>22</v>
      </c>
      <c r="C240" s="4" t="s">
        <v>23</v>
      </c>
      <c r="D240" s="4" t="s">
        <v>24</v>
      </c>
      <c r="E240" s="4" t="s">
        <v>30</v>
      </c>
      <c r="F240" s="4" t="s">
        <v>25</v>
      </c>
      <c r="G240" s="4" t="s">
        <v>25</v>
      </c>
      <c r="H240" s="4" t="s">
        <v>25</v>
      </c>
      <c r="I240" s="5">
        <v>44501</v>
      </c>
      <c r="J240" s="6">
        <v>0</v>
      </c>
      <c r="K240" s="6">
        <v>0</v>
      </c>
      <c r="L240" s="6">
        <v>8.3179999999999996</v>
      </c>
      <c r="M240" s="6">
        <v>8.3179999999999996</v>
      </c>
      <c r="N240" s="6">
        <v>8.3179999999999996</v>
      </c>
      <c r="O240" s="6">
        <v>8.3179999999999996</v>
      </c>
      <c r="P240" s="6">
        <v>68</v>
      </c>
      <c r="Q240" s="4" t="s">
        <v>26</v>
      </c>
      <c r="R240" s="4">
        <v>0</v>
      </c>
      <c r="S240" s="4">
        <v>0</v>
      </c>
      <c r="T240" s="4">
        <v>18</v>
      </c>
      <c r="U240" s="4">
        <v>55</v>
      </c>
      <c r="V240" s="6">
        <f>IF(ISERROR(VLOOKUP($S$240,'TAR FIN'!$A$1:$O$85,15,0)),0,VLOOKUP($S$240,'TAR FIN'!$A$1:$O$85,15,0))</f>
        <v>0</v>
      </c>
      <c r="W240" s="6">
        <f>IF(ISERROR(VLOOKUP($T$240,'TAR FIN'!$A$1:$O$85,15,0)),0,VLOOKUP($T$240,'TAR FIN'!$A$1:$O$85,15,0))</f>
        <v>156.46</v>
      </c>
      <c r="X240" s="6">
        <f>IF(ISERROR(VLOOKUP($U$240,'TAR FIN'!$A$1:$O$85,15,0)),0,VLOOKUP($U$240,'TAR FIN'!$A$1:$O$85,15,0))</f>
        <v>193.53</v>
      </c>
      <c r="Y240" s="6"/>
      <c r="Z240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40" s="6">
        <f>('TE BE'!$AB$12+'TE BF'!$AB$12+'TE CVA'!$AB$12)*(1-CUSTOS!$M$35)</f>
        <v>191.97245201602018</v>
      </c>
      <c r="AB240" s="6">
        <f t="shared" si="18"/>
        <v>0</v>
      </c>
      <c r="AC240" s="6">
        <f>(L240-M240)*(W240+X240)+($W$298+$X$298-$W$240-$X$240)*(L240)</f>
        <v>1940.6725799999992</v>
      </c>
      <c r="AD240" s="6">
        <f t="shared" si="20"/>
        <v>0</v>
      </c>
      <c r="AE240" s="6">
        <f ca="1">(L240-M240)*(Z240+AA240)+($Z$298+$AA$298-$Z$240-$AA$240)*(L240)</f>
        <v>2025.762247703484</v>
      </c>
      <c r="AF240" s="4" t="s">
        <v>849</v>
      </c>
    </row>
    <row r="241" spans="1:32" ht="11.25" customHeight="1" x14ac:dyDescent="0.25">
      <c r="A241" s="4" t="s">
        <v>21</v>
      </c>
      <c r="B241" s="4" t="s">
        <v>22</v>
      </c>
      <c r="C241" s="4" t="s">
        <v>23</v>
      </c>
      <c r="D241" s="4" t="s">
        <v>24</v>
      </c>
      <c r="E241" s="4" t="s">
        <v>30</v>
      </c>
      <c r="F241" s="4" t="s">
        <v>25</v>
      </c>
      <c r="G241" s="4" t="s">
        <v>25</v>
      </c>
      <c r="H241" s="4" t="s">
        <v>25</v>
      </c>
      <c r="I241" s="5">
        <v>44531</v>
      </c>
      <c r="J241" s="6">
        <v>0</v>
      </c>
      <c r="K241" s="6">
        <v>0</v>
      </c>
      <c r="L241" s="6">
        <v>646.73</v>
      </c>
      <c r="M241" s="6">
        <v>646.73</v>
      </c>
      <c r="N241" s="6">
        <v>646.73</v>
      </c>
      <c r="O241" s="6">
        <v>646.73</v>
      </c>
      <c r="P241" s="6">
        <v>2623</v>
      </c>
      <c r="Q241" s="4" t="s">
        <v>26</v>
      </c>
      <c r="R241" s="4">
        <v>0</v>
      </c>
      <c r="S241" s="4">
        <v>0</v>
      </c>
      <c r="T241" s="4">
        <v>18</v>
      </c>
      <c r="U241" s="4">
        <v>55</v>
      </c>
      <c r="V241" s="6">
        <f>IF(ISERROR(VLOOKUP($S$241,'TAR FIN'!$A$1:$O$85,15,0)),0,VLOOKUP($S$241,'TAR FIN'!$A$1:$O$85,15,0))</f>
        <v>0</v>
      </c>
      <c r="W241" s="6">
        <f>IF(ISERROR(VLOOKUP($T$241,'TAR FIN'!$A$1:$O$85,15,0)),0,VLOOKUP($T$241,'TAR FIN'!$A$1:$O$85,15,0))</f>
        <v>156.46</v>
      </c>
      <c r="X241" s="6">
        <f>IF(ISERROR(VLOOKUP($U$241,'TAR FIN'!$A$1:$O$85,15,0)),0,VLOOKUP($U$241,'TAR FIN'!$A$1:$O$85,15,0))</f>
        <v>193.53</v>
      </c>
      <c r="Y241" s="6"/>
      <c r="Z241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41" s="6">
        <f>('TE BE'!$AB$12+'TE BF'!$AB$12+'TE CVA'!$AB$12)*(1-CUSTOS!$M$35)</f>
        <v>191.97245201602018</v>
      </c>
      <c r="AB241" s="6">
        <f t="shared" si="18"/>
        <v>0</v>
      </c>
      <c r="AC241" s="6">
        <f>(L241-M241)*(W241+X241)+($W$298+$X$298-$W$241-$X$241)*(L241)</f>
        <v>150888.57629999996</v>
      </c>
      <c r="AD241" s="6">
        <f t="shared" si="20"/>
        <v>0</v>
      </c>
      <c r="AE241" s="6">
        <f ca="1">(L241-M241)*(Z241+AA241)+($Z$298+$AA$298-$Z$241-$AA$241)*(L241)</f>
        <v>157504.35422664997</v>
      </c>
      <c r="AF241" s="4" t="s">
        <v>849</v>
      </c>
    </row>
    <row r="242" spans="1:32" ht="11.25" customHeight="1" x14ac:dyDescent="0.25">
      <c r="A242" s="4" t="s">
        <v>27</v>
      </c>
      <c r="B242" s="4" t="s">
        <v>22</v>
      </c>
      <c r="C242" s="4" t="s">
        <v>23</v>
      </c>
      <c r="D242" s="4" t="s">
        <v>24</v>
      </c>
      <c r="E242" s="4" t="s">
        <v>30</v>
      </c>
      <c r="F242" s="4" t="s">
        <v>25</v>
      </c>
      <c r="G242" s="4" t="s">
        <v>25</v>
      </c>
      <c r="H242" s="4" t="s">
        <v>25</v>
      </c>
      <c r="I242" s="5">
        <v>44531</v>
      </c>
      <c r="J242" s="6">
        <v>0</v>
      </c>
      <c r="K242" s="6">
        <v>0</v>
      </c>
      <c r="L242" s="6">
        <v>0.26400000000000001</v>
      </c>
      <c r="M242" s="6">
        <v>0.26400000000000001</v>
      </c>
      <c r="N242" s="6">
        <v>0.26400000000000001</v>
      </c>
      <c r="O242" s="6">
        <v>0.26400000000000001</v>
      </c>
      <c r="P242" s="6">
        <v>14</v>
      </c>
      <c r="Q242" s="4" t="s">
        <v>26</v>
      </c>
      <c r="R242" s="4">
        <v>0</v>
      </c>
      <c r="S242" s="4">
        <v>0</v>
      </c>
      <c r="T242" s="4">
        <v>18</v>
      </c>
      <c r="U242" s="4">
        <v>55</v>
      </c>
      <c r="V242" s="6">
        <f>IF(ISERROR(VLOOKUP($S$242,'TAR FIN'!$A$1:$O$85,15,0)),0,VLOOKUP($S$242,'TAR FIN'!$A$1:$O$85,15,0))</f>
        <v>0</v>
      </c>
      <c r="W242" s="6">
        <f>IF(ISERROR(VLOOKUP($T$242,'TAR FIN'!$A$1:$O$85,15,0)),0,VLOOKUP($T$242,'TAR FIN'!$A$1:$O$85,15,0))</f>
        <v>156.46</v>
      </c>
      <c r="X242" s="6">
        <f>IF(ISERROR(VLOOKUP($U$242,'TAR FIN'!$A$1:$O$85,15,0)),0,VLOOKUP($U$242,'TAR FIN'!$A$1:$O$85,15,0))</f>
        <v>193.53</v>
      </c>
      <c r="Y242" s="6"/>
      <c r="Z242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42" s="6">
        <f>('TE BE'!$AB$12+'TE BF'!$AB$12+'TE CVA'!$AB$12)*(1-CUSTOS!$M$35)</f>
        <v>191.97245201602018</v>
      </c>
      <c r="AB242" s="6">
        <f t="shared" si="18"/>
        <v>0</v>
      </c>
      <c r="AC242" s="6">
        <f>(L242-M242)*(W242+X242)+($W$298+$X$298-$W$242-$X$242)*(L242)</f>
        <v>61.593839999999979</v>
      </c>
      <c r="AD242" s="6">
        <f t="shared" si="20"/>
        <v>0</v>
      </c>
      <c r="AE242" s="6">
        <f ca="1">(L242-M242)*(Z242+AA242)+($Z$298+$AA$298-$Z$242-$AA$242)*(L242)</f>
        <v>64.294449794868939</v>
      </c>
      <c r="AF242" s="4" t="s">
        <v>849</v>
      </c>
    </row>
    <row r="243" spans="1:32" ht="11.25" customHeight="1" x14ac:dyDescent="0.25">
      <c r="A243" s="4" t="s">
        <v>28</v>
      </c>
      <c r="B243" s="4" t="s">
        <v>22</v>
      </c>
      <c r="C243" s="4" t="s">
        <v>23</v>
      </c>
      <c r="D243" s="4" t="s">
        <v>24</v>
      </c>
      <c r="E243" s="4" t="s">
        <v>30</v>
      </c>
      <c r="F243" s="4" t="s">
        <v>25</v>
      </c>
      <c r="G243" s="4" t="s">
        <v>25</v>
      </c>
      <c r="H243" s="4" t="s">
        <v>25</v>
      </c>
      <c r="I243" s="5">
        <v>44531</v>
      </c>
      <c r="J243" s="6">
        <v>0</v>
      </c>
      <c r="K243" s="6">
        <v>0</v>
      </c>
      <c r="L243" s="6">
        <v>8.0549999999999997</v>
      </c>
      <c r="M243" s="6">
        <v>8.0549999999999997</v>
      </c>
      <c r="N243" s="6">
        <v>8.0549999999999997</v>
      </c>
      <c r="O243" s="6">
        <v>8.0549999999999997</v>
      </c>
      <c r="P243" s="6">
        <v>71</v>
      </c>
      <c r="Q243" s="4" t="s">
        <v>26</v>
      </c>
      <c r="R243" s="4">
        <v>0</v>
      </c>
      <c r="S243" s="4">
        <v>0</v>
      </c>
      <c r="T243" s="4">
        <v>18</v>
      </c>
      <c r="U243" s="4">
        <v>55</v>
      </c>
      <c r="V243" s="6">
        <f>IF(ISERROR(VLOOKUP($S$243,'TAR FIN'!$A$1:$O$85,15,0)),0,VLOOKUP($S$243,'TAR FIN'!$A$1:$O$85,15,0))</f>
        <v>0</v>
      </c>
      <c r="W243" s="6">
        <f>IF(ISERROR(VLOOKUP($T$243,'TAR FIN'!$A$1:$O$85,15,0)),0,VLOOKUP($T$243,'TAR FIN'!$A$1:$O$85,15,0))</f>
        <v>156.46</v>
      </c>
      <c r="X243" s="6">
        <f>IF(ISERROR(VLOOKUP($U$243,'TAR FIN'!$A$1:$O$85,15,0)),0,VLOOKUP($U$243,'TAR FIN'!$A$1:$O$85,15,0))</f>
        <v>193.53</v>
      </c>
      <c r="Y243" s="6"/>
      <c r="Z243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43" s="6">
        <f>('TE BE'!$AB$12+'TE BF'!$AB$12+'TE CVA'!$AB$12)*(1-CUSTOS!$M$35)</f>
        <v>191.97245201602018</v>
      </c>
      <c r="AB243" s="6">
        <f t="shared" si="18"/>
        <v>0</v>
      </c>
      <c r="AC243" s="6">
        <f>(L243-M243)*(W243+X243)+($W$298+$X$298-$W$243-$X$243)*(L243)</f>
        <v>1879.3120499999993</v>
      </c>
      <c r="AD243" s="6">
        <f t="shared" si="20"/>
        <v>0</v>
      </c>
      <c r="AE243" s="6">
        <f ca="1">(L243-M243)*(Z243+AA243)+($Z$298+$AA$298-$Z$243-$AA$243)*(L243)</f>
        <v>1961.7113374911714</v>
      </c>
      <c r="AF243" s="4" t="s">
        <v>849</v>
      </c>
    </row>
    <row r="244" spans="1:32" ht="11.25" customHeight="1" x14ac:dyDescent="0.25">
      <c r="A244" s="4" t="s">
        <v>21</v>
      </c>
      <c r="B244" s="4" t="s">
        <v>22</v>
      </c>
      <c r="C244" s="4" t="s">
        <v>23</v>
      </c>
      <c r="D244" s="4" t="s">
        <v>24</v>
      </c>
      <c r="E244" s="4" t="s">
        <v>30</v>
      </c>
      <c r="F244" s="4" t="s">
        <v>25</v>
      </c>
      <c r="G244" s="4" t="s">
        <v>25</v>
      </c>
      <c r="H244" s="4" t="s">
        <v>25</v>
      </c>
      <c r="I244" s="5">
        <v>44562</v>
      </c>
      <c r="J244" s="6">
        <v>0</v>
      </c>
      <c r="K244" s="6">
        <v>0</v>
      </c>
      <c r="L244" s="6">
        <v>668.20899999999995</v>
      </c>
      <c r="M244" s="6">
        <v>668.20899999999995</v>
      </c>
      <c r="N244" s="6">
        <v>668.20899999999995</v>
      </c>
      <c r="O244" s="6">
        <v>668.20899999999995</v>
      </c>
      <c r="P244" s="6">
        <v>2371</v>
      </c>
      <c r="Q244" s="4" t="s">
        <v>26</v>
      </c>
      <c r="R244" s="4">
        <v>0</v>
      </c>
      <c r="S244" s="4">
        <v>0</v>
      </c>
      <c r="T244" s="4">
        <v>18</v>
      </c>
      <c r="U244" s="4">
        <v>55</v>
      </c>
      <c r="V244" s="6">
        <f>IF(ISERROR(VLOOKUP($S$244,'TAR FIN'!$A$1:$O$85,15,0)),0,VLOOKUP($S$244,'TAR FIN'!$A$1:$O$85,15,0))</f>
        <v>0</v>
      </c>
      <c r="W244" s="6">
        <f>IF(ISERROR(VLOOKUP($T$244,'TAR FIN'!$A$1:$O$85,15,0)),0,VLOOKUP($T$244,'TAR FIN'!$A$1:$O$85,15,0))</f>
        <v>156.46</v>
      </c>
      <c r="X244" s="6">
        <f>IF(ISERROR(VLOOKUP($U$244,'TAR FIN'!$A$1:$O$85,15,0)),0,VLOOKUP($U$244,'TAR FIN'!$A$1:$O$85,15,0))</f>
        <v>193.53</v>
      </c>
      <c r="Y244" s="6"/>
      <c r="Z244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44" s="6">
        <f>('TE BE'!$AB$12+'TE BF'!$AB$12+'TE CVA'!$AB$12)*(1-CUSTOS!$M$35)</f>
        <v>191.97245201602018</v>
      </c>
      <c r="AB244" s="6">
        <f t="shared" si="18"/>
        <v>0</v>
      </c>
      <c r="AC244" s="6">
        <f>(L244-M244)*(W244+X244)+($W$298+$X$298-$W$244-$X$244)*(L244)</f>
        <v>155899.84178999992</v>
      </c>
      <c r="AD244" s="6">
        <f t="shared" si="20"/>
        <v>0</v>
      </c>
      <c r="AE244" s="6">
        <f ca="1">(L244-M244)*(Z244+AA244)+($Z$298+$AA$298-$Z$244-$AA$244)*(L244)</f>
        <v>162735.34092037717</v>
      </c>
      <c r="AF244" s="4" t="s">
        <v>849</v>
      </c>
    </row>
    <row r="245" spans="1:32" ht="11.25" customHeight="1" x14ac:dyDescent="0.25">
      <c r="A245" s="4" t="s">
        <v>27</v>
      </c>
      <c r="B245" s="4" t="s">
        <v>22</v>
      </c>
      <c r="C245" s="4" t="s">
        <v>23</v>
      </c>
      <c r="D245" s="4" t="s">
        <v>24</v>
      </c>
      <c r="E245" s="4" t="s">
        <v>30</v>
      </c>
      <c r="F245" s="4" t="s">
        <v>25</v>
      </c>
      <c r="G245" s="4" t="s">
        <v>25</v>
      </c>
      <c r="H245" s="4" t="s">
        <v>25</v>
      </c>
      <c r="I245" s="5">
        <v>44562</v>
      </c>
      <c r="J245" s="6">
        <v>0</v>
      </c>
      <c r="K245" s="6">
        <v>0</v>
      </c>
      <c r="L245" s="6">
        <v>9.7000000000000003E-2</v>
      </c>
      <c r="M245" s="6">
        <v>9.7000000000000003E-2</v>
      </c>
      <c r="N245" s="6">
        <v>9.7000000000000003E-2</v>
      </c>
      <c r="O245" s="6">
        <v>9.7000000000000003E-2</v>
      </c>
      <c r="P245" s="6">
        <v>2</v>
      </c>
      <c r="Q245" s="4" t="s">
        <v>26</v>
      </c>
      <c r="R245" s="4">
        <v>0</v>
      </c>
      <c r="S245" s="4">
        <v>0</v>
      </c>
      <c r="T245" s="4">
        <v>18</v>
      </c>
      <c r="U245" s="4">
        <v>55</v>
      </c>
      <c r="V245" s="6">
        <f>IF(ISERROR(VLOOKUP($S$245,'TAR FIN'!$A$1:$O$85,15,0)),0,VLOOKUP($S$245,'TAR FIN'!$A$1:$O$85,15,0))</f>
        <v>0</v>
      </c>
      <c r="W245" s="6">
        <f>IF(ISERROR(VLOOKUP($T$245,'TAR FIN'!$A$1:$O$85,15,0)),0,VLOOKUP($T$245,'TAR FIN'!$A$1:$O$85,15,0))</f>
        <v>156.46</v>
      </c>
      <c r="X245" s="6">
        <f>IF(ISERROR(VLOOKUP($U$245,'TAR FIN'!$A$1:$O$85,15,0)),0,VLOOKUP($U$245,'TAR FIN'!$A$1:$O$85,15,0))</f>
        <v>193.53</v>
      </c>
      <c r="Y245" s="6"/>
      <c r="Z245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45" s="6">
        <f>('TE BE'!$AB$12+'TE BF'!$AB$12+'TE CVA'!$AB$12)*(1-CUSTOS!$M$35)</f>
        <v>191.97245201602018</v>
      </c>
      <c r="AB245" s="6">
        <f t="shared" si="18"/>
        <v>0</v>
      </c>
      <c r="AC245" s="6">
        <f>(L245-M245)*(W245+X245)+($W$298+$X$298-$W$245-$X$245)*(L245)</f>
        <v>22.631069999999994</v>
      </c>
      <c r="AD245" s="6">
        <f t="shared" si="20"/>
        <v>0</v>
      </c>
      <c r="AE245" s="6">
        <f ca="1">(L245-M245)*(Z245+AA245)+($Z$298+$AA$298-$Z$245-$AA$245)*(L245)</f>
        <v>23.623339507963209</v>
      </c>
      <c r="AF245" s="4" t="s">
        <v>849</v>
      </c>
    </row>
    <row r="246" spans="1:32" ht="11.25" customHeight="1" x14ac:dyDescent="0.25">
      <c r="A246" s="4" t="s">
        <v>28</v>
      </c>
      <c r="B246" s="4" t="s">
        <v>22</v>
      </c>
      <c r="C246" s="4" t="s">
        <v>23</v>
      </c>
      <c r="D246" s="4" t="s">
        <v>24</v>
      </c>
      <c r="E246" s="4" t="s">
        <v>30</v>
      </c>
      <c r="F246" s="4" t="s">
        <v>25</v>
      </c>
      <c r="G246" s="4" t="s">
        <v>25</v>
      </c>
      <c r="H246" s="4" t="s">
        <v>25</v>
      </c>
      <c r="I246" s="5">
        <v>44562</v>
      </c>
      <c r="J246" s="6">
        <v>0</v>
      </c>
      <c r="K246" s="6">
        <v>0</v>
      </c>
      <c r="L246" s="6">
        <v>9.0340000000000007</v>
      </c>
      <c r="M246" s="6">
        <v>9.0340000000000007</v>
      </c>
      <c r="N246" s="6">
        <v>9.0340000000000007</v>
      </c>
      <c r="O246" s="6">
        <v>9.0340000000000007</v>
      </c>
      <c r="P246" s="6">
        <v>65</v>
      </c>
      <c r="Q246" s="4" t="s">
        <v>26</v>
      </c>
      <c r="R246" s="4">
        <v>0</v>
      </c>
      <c r="S246" s="4">
        <v>0</v>
      </c>
      <c r="T246" s="4">
        <v>18</v>
      </c>
      <c r="U246" s="4">
        <v>55</v>
      </c>
      <c r="V246" s="6">
        <f>IF(ISERROR(VLOOKUP($S$246,'TAR FIN'!$A$1:$O$85,15,0)),0,VLOOKUP($S$246,'TAR FIN'!$A$1:$O$85,15,0))</f>
        <v>0</v>
      </c>
      <c r="W246" s="6">
        <f>IF(ISERROR(VLOOKUP($T$246,'TAR FIN'!$A$1:$O$85,15,0)),0,VLOOKUP($T$246,'TAR FIN'!$A$1:$O$85,15,0))</f>
        <v>156.46</v>
      </c>
      <c r="X246" s="6">
        <f>IF(ISERROR(VLOOKUP($U$246,'TAR FIN'!$A$1:$O$85,15,0)),0,VLOOKUP($U$246,'TAR FIN'!$A$1:$O$85,15,0))</f>
        <v>193.53</v>
      </c>
      <c r="Y246" s="6"/>
      <c r="Z246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46" s="6">
        <f>('TE BE'!$AB$12+'TE BF'!$AB$12+'TE CVA'!$AB$12)*(1-CUSTOS!$M$35)</f>
        <v>191.97245201602018</v>
      </c>
      <c r="AB246" s="6">
        <f t="shared" si="18"/>
        <v>0</v>
      </c>
      <c r="AC246" s="6">
        <f>(L246-M246)*(W246+X246)+($W$298+$X$298-$W$246-$X$246)*(L246)</f>
        <v>2107.7225399999993</v>
      </c>
      <c r="AD246" s="6">
        <f t="shared" si="20"/>
        <v>0</v>
      </c>
      <c r="AE246" s="6">
        <f ca="1">(L246-M246)*(Z246+AA246)+($Z$298+$AA$298-$Z$246-$AA$246)*(L246)</f>
        <v>2200.1365888138107</v>
      </c>
      <c r="AF246" s="4" t="s">
        <v>849</v>
      </c>
    </row>
    <row r="247" spans="1:32" ht="11.25" customHeight="1" x14ac:dyDescent="0.25">
      <c r="A247" s="4" t="s">
        <v>21</v>
      </c>
      <c r="B247" s="4" t="s">
        <v>22</v>
      </c>
      <c r="C247" s="4" t="s">
        <v>23</v>
      </c>
      <c r="D247" s="4" t="s">
        <v>24</v>
      </c>
      <c r="E247" s="4" t="s">
        <v>30</v>
      </c>
      <c r="F247" s="4" t="s">
        <v>25</v>
      </c>
      <c r="G247" s="4" t="s">
        <v>25</v>
      </c>
      <c r="H247" s="4" t="s">
        <v>25</v>
      </c>
      <c r="I247" s="5">
        <v>44593</v>
      </c>
      <c r="J247" s="6">
        <v>0</v>
      </c>
      <c r="K247" s="6">
        <v>0</v>
      </c>
      <c r="L247" s="6">
        <v>690.976</v>
      </c>
      <c r="M247" s="6">
        <v>690.976</v>
      </c>
      <c r="N247" s="6">
        <v>690.976</v>
      </c>
      <c r="O247" s="6">
        <v>690.976</v>
      </c>
      <c r="P247" s="6">
        <v>2199</v>
      </c>
      <c r="Q247" s="4" t="s">
        <v>26</v>
      </c>
      <c r="R247" s="4">
        <v>0</v>
      </c>
      <c r="S247" s="4">
        <v>0</v>
      </c>
      <c r="T247" s="4">
        <v>18</v>
      </c>
      <c r="U247" s="4">
        <v>55</v>
      </c>
      <c r="V247" s="6">
        <f>IF(ISERROR(VLOOKUP($S$247,'TAR FIN'!$A$1:$O$85,15,0)),0,VLOOKUP($S$247,'TAR FIN'!$A$1:$O$85,15,0))</f>
        <v>0</v>
      </c>
      <c r="W247" s="6">
        <f>IF(ISERROR(VLOOKUP($T$247,'TAR FIN'!$A$1:$O$85,15,0)),0,VLOOKUP($T$247,'TAR FIN'!$A$1:$O$85,15,0))</f>
        <v>156.46</v>
      </c>
      <c r="X247" s="6">
        <f>IF(ISERROR(VLOOKUP($U$247,'TAR FIN'!$A$1:$O$85,15,0)),0,VLOOKUP($U$247,'TAR FIN'!$A$1:$O$85,15,0))</f>
        <v>193.53</v>
      </c>
      <c r="Y247" s="6"/>
      <c r="Z247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47" s="6">
        <f>('TE BE'!$AB$12+'TE BF'!$AB$12+'TE CVA'!$AB$12)*(1-CUSTOS!$M$35)</f>
        <v>191.97245201602018</v>
      </c>
      <c r="AB247" s="6">
        <f t="shared" si="18"/>
        <v>0</v>
      </c>
      <c r="AC247" s="6">
        <f>(L247-M247)*(W247+X247)+($W$298+$X$298-$W$247-$X$247)*(L247)</f>
        <v>161211.61055999994</v>
      </c>
      <c r="AD247" s="6">
        <f t="shared" si="20"/>
        <v>0</v>
      </c>
      <c r="AE247" s="6">
        <f ca="1">(L247-M247)*(Z247+AA247)+($Z$298+$AA$298-$Z$247-$AA$247)*(L247)</f>
        <v>168280.00659643696</v>
      </c>
      <c r="AF247" s="4" t="s">
        <v>849</v>
      </c>
    </row>
    <row r="248" spans="1:32" ht="11.25" customHeight="1" x14ac:dyDescent="0.25">
      <c r="A248" s="4" t="s">
        <v>27</v>
      </c>
      <c r="B248" s="4" t="s">
        <v>22</v>
      </c>
      <c r="C248" s="4" t="s">
        <v>23</v>
      </c>
      <c r="D248" s="4" t="s">
        <v>24</v>
      </c>
      <c r="E248" s="4" t="s">
        <v>30</v>
      </c>
      <c r="F248" s="4" t="s">
        <v>25</v>
      </c>
      <c r="G248" s="4" t="s">
        <v>25</v>
      </c>
      <c r="H248" s="4" t="s">
        <v>25</v>
      </c>
      <c r="I248" s="5">
        <v>44593</v>
      </c>
      <c r="J248" s="6">
        <v>0</v>
      </c>
      <c r="K248" s="6">
        <v>0</v>
      </c>
      <c r="L248" s="6">
        <v>6.0000000000000001E-3</v>
      </c>
      <c r="M248" s="6">
        <v>6.0000000000000001E-3</v>
      </c>
      <c r="N248" s="6">
        <v>6.0000000000000001E-3</v>
      </c>
      <c r="O248" s="6">
        <v>6.0000000000000001E-3</v>
      </c>
      <c r="P248" s="6">
        <v>1</v>
      </c>
      <c r="Q248" s="4" t="s">
        <v>26</v>
      </c>
      <c r="R248" s="4">
        <v>0</v>
      </c>
      <c r="S248" s="4">
        <v>0</v>
      </c>
      <c r="T248" s="4">
        <v>18</v>
      </c>
      <c r="U248" s="4">
        <v>55</v>
      </c>
      <c r="V248" s="6">
        <f>IF(ISERROR(VLOOKUP($S$248,'TAR FIN'!$A$1:$O$85,15,0)),0,VLOOKUP($S$248,'TAR FIN'!$A$1:$O$85,15,0))</f>
        <v>0</v>
      </c>
      <c r="W248" s="6">
        <f>IF(ISERROR(VLOOKUP($T$248,'TAR FIN'!$A$1:$O$85,15,0)),0,VLOOKUP($T$248,'TAR FIN'!$A$1:$O$85,15,0))</f>
        <v>156.46</v>
      </c>
      <c r="X248" s="6">
        <f>IF(ISERROR(VLOOKUP($U$248,'TAR FIN'!$A$1:$O$85,15,0)),0,VLOOKUP($U$248,'TAR FIN'!$A$1:$O$85,15,0))</f>
        <v>193.53</v>
      </c>
      <c r="Y248" s="6"/>
      <c r="Z248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48" s="6">
        <f>('TE BE'!$AB$12+'TE BF'!$AB$12+'TE CVA'!$AB$12)*(1-CUSTOS!$M$35)</f>
        <v>191.97245201602018</v>
      </c>
      <c r="AB248" s="6">
        <f t="shared" si="18"/>
        <v>0</v>
      </c>
      <c r="AC248" s="6">
        <f>(L248-M248)*(W248+X248)+($W$298+$X$298-$W$248-$X$248)*(L248)</f>
        <v>1.3998599999999994</v>
      </c>
      <c r="AD248" s="6">
        <f t="shared" si="20"/>
        <v>0</v>
      </c>
      <c r="AE248" s="6">
        <f ca="1">(L248-M248)*(Z248+AA248)+($Z$298+$AA$298-$Z$248-$AA$248)*(L248)</f>
        <v>1.4612374953379303</v>
      </c>
      <c r="AF248" s="4" t="s">
        <v>849</v>
      </c>
    </row>
    <row r="249" spans="1:32" ht="11.25" customHeight="1" x14ac:dyDescent="0.25">
      <c r="A249" s="4" t="s">
        <v>28</v>
      </c>
      <c r="B249" s="4" t="s">
        <v>22</v>
      </c>
      <c r="C249" s="4" t="s">
        <v>23</v>
      </c>
      <c r="D249" s="4" t="s">
        <v>24</v>
      </c>
      <c r="E249" s="4" t="s">
        <v>30</v>
      </c>
      <c r="F249" s="4" t="s">
        <v>25</v>
      </c>
      <c r="G249" s="4" t="s">
        <v>25</v>
      </c>
      <c r="H249" s="4" t="s">
        <v>25</v>
      </c>
      <c r="I249" s="5">
        <v>44593</v>
      </c>
      <c r="J249" s="6">
        <v>0</v>
      </c>
      <c r="K249" s="6">
        <v>0</v>
      </c>
      <c r="L249" s="6">
        <v>8.9779999999999998</v>
      </c>
      <c r="M249" s="6">
        <v>8.9779999999999998</v>
      </c>
      <c r="N249" s="6">
        <v>8.9779999999999998</v>
      </c>
      <c r="O249" s="6">
        <v>8.9779999999999998</v>
      </c>
      <c r="P249" s="6">
        <v>56</v>
      </c>
      <c r="Q249" s="4" t="s">
        <v>26</v>
      </c>
      <c r="R249" s="4">
        <v>0</v>
      </c>
      <c r="S249" s="4">
        <v>0</v>
      </c>
      <c r="T249" s="4">
        <v>18</v>
      </c>
      <c r="U249" s="4">
        <v>55</v>
      </c>
      <c r="V249" s="6">
        <f>IF(ISERROR(VLOOKUP($S$249,'TAR FIN'!$A$1:$O$85,15,0)),0,VLOOKUP($S$249,'TAR FIN'!$A$1:$O$85,15,0))</f>
        <v>0</v>
      </c>
      <c r="W249" s="6">
        <f>IF(ISERROR(VLOOKUP($T$249,'TAR FIN'!$A$1:$O$85,15,0)),0,VLOOKUP($T$249,'TAR FIN'!$A$1:$O$85,15,0))</f>
        <v>156.46</v>
      </c>
      <c r="X249" s="6">
        <f>IF(ISERROR(VLOOKUP($U$249,'TAR FIN'!$A$1:$O$85,15,0)),0,VLOOKUP($U$249,'TAR FIN'!$A$1:$O$85,15,0))</f>
        <v>193.53</v>
      </c>
      <c r="Y249" s="6"/>
      <c r="Z249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49" s="6">
        <f>('TE BE'!$AB$12+'TE BF'!$AB$12+'TE CVA'!$AB$12)*(1-CUSTOS!$M$35)</f>
        <v>191.97245201602018</v>
      </c>
      <c r="AB249" s="6">
        <f t="shared" si="18"/>
        <v>0</v>
      </c>
      <c r="AC249" s="6">
        <f>(L249-M249)*(W249+X249)+($W$298+$X$298-$W$249-$X$249)*(L249)</f>
        <v>2094.6571799999992</v>
      </c>
      <c r="AD249" s="6">
        <f t="shared" si="20"/>
        <v>0</v>
      </c>
      <c r="AE249" s="6">
        <f ca="1">(L249-M249)*(Z249+AA249)+($Z$298+$AA$298-$Z$249-$AA$249)*(L249)</f>
        <v>2186.4983721906565</v>
      </c>
      <c r="AF249" s="4" t="s">
        <v>849</v>
      </c>
    </row>
    <row r="250" spans="1:32" ht="11.25" customHeight="1" x14ac:dyDescent="0.25">
      <c r="A250" s="4" t="s">
        <v>21</v>
      </c>
      <c r="B250" s="4" t="s">
        <v>22</v>
      </c>
      <c r="C250" s="4" t="s">
        <v>23</v>
      </c>
      <c r="D250" s="4" t="s">
        <v>24</v>
      </c>
      <c r="E250" s="4" t="s">
        <v>30</v>
      </c>
      <c r="F250" s="4" t="s">
        <v>25</v>
      </c>
      <c r="G250" s="4" t="s">
        <v>25</v>
      </c>
      <c r="H250" s="4" t="s">
        <v>25</v>
      </c>
      <c r="I250" s="5">
        <v>44621</v>
      </c>
      <c r="J250" s="6">
        <v>0</v>
      </c>
      <c r="K250" s="6">
        <v>0</v>
      </c>
      <c r="L250" s="6">
        <v>826.26599999999996</v>
      </c>
      <c r="M250" s="6">
        <v>826.26599999999996</v>
      </c>
      <c r="N250" s="6">
        <v>826.26599999999996</v>
      </c>
      <c r="O250" s="6">
        <v>826.26599999999996</v>
      </c>
      <c r="P250" s="6">
        <v>2738</v>
      </c>
      <c r="Q250" s="4" t="s">
        <v>26</v>
      </c>
      <c r="R250" s="4">
        <v>0</v>
      </c>
      <c r="S250" s="4">
        <v>0</v>
      </c>
      <c r="T250" s="4">
        <v>18</v>
      </c>
      <c r="U250" s="4">
        <v>55</v>
      </c>
      <c r="V250" s="6">
        <f>IF(ISERROR(VLOOKUP($S$250,'TAR FIN'!$A$1:$O$85,15,0)),0,VLOOKUP($S$250,'TAR FIN'!$A$1:$O$85,15,0))</f>
        <v>0</v>
      </c>
      <c r="W250" s="6">
        <f>IF(ISERROR(VLOOKUP($T$250,'TAR FIN'!$A$1:$O$85,15,0)),0,VLOOKUP($T$250,'TAR FIN'!$A$1:$O$85,15,0))</f>
        <v>156.46</v>
      </c>
      <c r="X250" s="6">
        <f>IF(ISERROR(VLOOKUP($U$250,'TAR FIN'!$A$1:$O$85,15,0)),0,VLOOKUP($U$250,'TAR FIN'!$A$1:$O$85,15,0))</f>
        <v>193.53</v>
      </c>
      <c r="Y250" s="6"/>
      <c r="Z250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50" s="6">
        <f>('TE BE'!$AB$12+'TE BF'!$AB$12+'TE CVA'!$AB$12)*(1-CUSTOS!$M$35)</f>
        <v>191.97245201602018</v>
      </c>
      <c r="AB250" s="6">
        <f t="shared" si="18"/>
        <v>0</v>
      </c>
      <c r="AC250" s="6">
        <f>(L250-M250)*(W250+X250)+($W$298+$X$298-$W$250-$X$250)*(L250)</f>
        <v>192776.12045999992</v>
      </c>
      <c r="AD250" s="6">
        <f t="shared" si="20"/>
        <v>0</v>
      </c>
      <c r="AE250" s="6">
        <f ca="1">(L250-M250)*(Z250+AA250)+($Z$298+$AA$298-$Z$250-$AA$250)*(L250)</f>
        <v>201228.47672048173</v>
      </c>
      <c r="AF250" s="4" t="s">
        <v>849</v>
      </c>
    </row>
    <row r="251" spans="1:32" ht="11.25" customHeight="1" x14ac:dyDescent="0.25">
      <c r="A251" s="4" t="s">
        <v>27</v>
      </c>
      <c r="B251" s="4" t="s">
        <v>22</v>
      </c>
      <c r="C251" s="4" t="s">
        <v>23</v>
      </c>
      <c r="D251" s="4" t="s">
        <v>24</v>
      </c>
      <c r="E251" s="4" t="s">
        <v>30</v>
      </c>
      <c r="F251" s="4" t="s">
        <v>25</v>
      </c>
      <c r="G251" s="4" t="s">
        <v>25</v>
      </c>
      <c r="H251" s="4" t="s">
        <v>25</v>
      </c>
      <c r="I251" s="5">
        <v>44621</v>
      </c>
      <c r="J251" s="6">
        <v>0</v>
      </c>
      <c r="K251" s="6">
        <v>0</v>
      </c>
      <c r="L251" s="6">
        <v>0.20300000000000001</v>
      </c>
      <c r="M251" s="6">
        <v>0.20300000000000001</v>
      </c>
      <c r="N251" s="6">
        <v>0.20300000000000001</v>
      </c>
      <c r="O251" s="6">
        <v>0.20300000000000001</v>
      </c>
      <c r="P251" s="6">
        <v>3</v>
      </c>
      <c r="Q251" s="4" t="s">
        <v>26</v>
      </c>
      <c r="R251" s="4">
        <v>0</v>
      </c>
      <c r="S251" s="4">
        <v>0</v>
      </c>
      <c r="T251" s="4">
        <v>18</v>
      </c>
      <c r="U251" s="4">
        <v>55</v>
      </c>
      <c r="V251" s="6">
        <f>IF(ISERROR(VLOOKUP($S$251,'TAR FIN'!$A$1:$O$85,15,0)),0,VLOOKUP($S$251,'TAR FIN'!$A$1:$O$85,15,0))</f>
        <v>0</v>
      </c>
      <c r="W251" s="6">
        <f>IF(ISERROR(VLOOKUP($T$251,'TAR FIN'!$A$1:$O$85,15,0)),0,VLOOKUP($T$251,'TAR FIN'!$A$1:$O$85,15,0))</f>
        <v>156.46</v>
      </c>
      <c r="X251" s="6">
        <f>IF(ISERROR(VLOOKUP($U$251,'TAR FIN'!$A$1:$O$85,15,0)),0,VLOOKUP($U$251,'TAR FIN'!$A$1:$O$85,15,0))</f>
        <v>193.53</v>
      </c>
      <c r="Y251" s="6"/>
      <c r="Z251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51" s="6">
        <f>('TE BE'!$AB$12+'TE BF'!$AB$12+'TE CVA'!$AB$12)*(1-CUSTOS!$M$35)</f>
        <v>191.97245201602018</v>
      </c>
      <c r="AB251" s="6">
        <f t="shared" si="18"/>
        <v>0</v>
      </c>
      <c r="AC251" s="6">
        <f>(L251-M251)*(W251+X251)+($W$298+$X$298-$W$251-$X$251)*(L251)</f>
        <v>47.361929999999987</v>
      </c>
      <c r="AD251" s="6">
        <f t="shared" si="20"/>
        <v>0</v>
      </c>
      <c r="AE251" s="6">
        <f ca="1">(L251-M251)*(Z251+AA251)+($Z$298+$AA$298-$Z$251-$AA$251)*(L251)</f>
        <v>49.438535258933314</v>
      </c>
      <c r="AF251" s="4" t="s">
        <v>849</v>
      </c>
    </row>
    <row r="252" spans="1:32" ht="11.25" customHeight="1" x14ac:dyDescent="0.25">
      <c r="A252" s="4" t="s">
        <v>28</v>
      </c>
      <c r="B252" s="4" t="s">
        <v>22</v>
      </c>
      <c r="C252" s="4" t="s">
        <v>23</v>
      </c>
      <c r="D252" s="4" t="s">
        <v>24</v>
      </c>
      <c r="E252" s="4" t="s">
        <v>30</v>
      </c>
      <c r="F252" s="4" t="s">
        <v>25</v>
      </c>
      <c r="G252" s="4" t="s">
        <v>25</v>
      </c>
      <c r="H252" s="4" t="s">
        <v>25</v>
      </c>
      <c r="I252" s="5">
        <v>44621</v>
      </c>
      <c r="J252" s="6">
        <v>0</v>
      </c>
      <c r="K252" s="6">
        <v>0</v>
      </c>
      <c r="L252" s="6">
        <v>9.8320000000000007</v>
      </c>
      <c r="M252" s="6">
        <v>9.8320000000000007</v>
      </c>
      <c r="N252" s="6">
        <v>9.8320000000000007</v>
      </c>
      <c r="O252" s="6">
        <v>9.8320000000000007</v>
      </c>
      <c r="P252" s="6">
        <v>65</v>
      </c>
      <c r="Q252" s="4" t="s">
        <v>26</v>
      </c>
      <c r="R252" s="4">
        <v>0</v>
      </c>
      <c r="S252" s="4">
        <v>0</v>
      </c>
      <c r="T252" s="4">
        <v>18</v>
      </c>
      <c r="U252" s="4">
        <v>55</v>
      </c>
      <c r="V252" s="6">
        <f>IF(ISERROR(VLOOKUP($S$252,'TAR FIN'!$A$1:$O$85,15,0)),0,VLOOKUP($S$252,'TAR FIN'!$A$1:$O$85,15,0))</f>
        <v>0</v>
      </c>
      <c r="W252" s="6">
        <f>IF(ISERROR(VLOOKUP($T$252,'TAR FIN'!$A$1:$O$85,15,0)),0,VLOOKUP($T$252,'TAR FIN'!$A$1:$O$85,15,0))</f>
        <v>156.46</v>
      </c>
      <c r="X252" s="6">
        <f>IF(ISERROR(VLOOKUP($U$252,'TAR FIN'!$A$1:$O$85,15,0)),0,VLOOKUP($U$252,'TAR FIN'!$A$1:$O$85,15,0))</f>
        <v>193.53</v>
      </c>
      <c r="Y252" s="6"/>
      <c r="Z252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52" s="6">
        <f>('TE BE'!$AB$12+'TE BF'!$AB$12+'TE CVA'!$AB$12)*(1-CUSTOS!$M$35)</f>
        <v>191.97245201602018</v>
      </c>
      <c r="AB252" s="6">
        <f t="shared" si="18"/>
        <v>0</v>
      </c>
      <c r="AC252" s="6">
        <f>(L252-M252)*(W252+X252)+($W$298+$X$298-$W$252-$X$252)*(L252)</f>
        <v>2293.9039199999993</v>
      </c>
      <c r="AD252" s="6">
        <f t="shared" si="20"/>
        <v>0</v>
      </c>
      <c r="AE252" s="6">
        <f ca="1">(L252-M252)*(Z252+AA252)+($Z$298+$AA$298-$Z$252-$AA$252)*(L252)</f>
        <v>2394.4811756937556</v>
      </c>
      <c r="AF252" s="4" t="s">
        <v>849</v>
      </c>
    </row>
    <row r="253" spans="1:32" ht="11.25" customHeight="1" x14ac:dyDescent="0.25">
      <c r="A253" s="4" t="s">
        <v>21</v>
      </c>
      <c r="B253" s="4" t="s">
        <v>22</v>
      </c>
      <c r="C253" s="4" t="s">
        <v>23</v>
      </c>
      <c r="D253" s="4" t="s">
        <v>24</v>
      </c>
      <c r="E253" s="4" t="s">
        <v>30</v>
      </c>
      <c r="F253" s="4" t="s">
        <v>25</v>
      </c>
      <c r="G253" s="4" t="s">
        <v>25</v>
      </c>
      <c r="H253" s="4" t="s">
        <v>25</v>
      </c>
      <c r="I253" s="5">
        <v>44652</v>
      </c>
      <c r="J253" s="6">
        <v>0</v>
      </c>
      <c r="K253" s="6">
        <v>0</v>
      </c>
      <c r="L253" s="6">
        <v>844.17399999999998</v>
      </c>
      <c r="M253" s="6">
        <v>844.17399999999998</v>
      </c>
      <c r="N253" s="6">
        <v>844.17399999999998</v>
      </c>
      <c r="O253" s="6">
        <v>844.17399999999998</v>
      </c>
      <c r="P253" s="6">
        <v>2802</v>
      </c>
      <c r="Q253" s="4" t="s">
        <v>26</v>
      </c>
      <c r="R253" s="4">
        <v>0</v>
      </c>
      <c r="S253" s="4">
        <v>0</v>
      </c>
      <c r="T253" s="4">
        <v>18</v>
      </c>
      <c r="U253" s="4">
        <v>55</v>
      </c>
      <c r="V253" s="6">
        <f>IF(ISERROR(VLOOKUP($S$253,'TAR FIN'!$A$1:$O$85,15,0)),0,VLOOKUP($S$253,'TAR FIN'!$A$1:$O$85,15,0))</f>
        <v>0</v>
      </c>
      <c r="W253" s="6">
        <f>IF(ISERROR(VLOOKUP($T$253,'TAR FIN'!$A$1:$O$85,15,0)),0,VLOOKUP($T$253,'TAR FIN'!$A$1:$O$85,15,0))</f>
        <v>156.46</v>
      </c>
      <c r="X253" s="6">
        <f>IF(ISERROR(VLOOKUP($U$253,'TAR FIN'!$A$1:$O$85,15,0)),0,VLOOKUP($U$253,'TAR FIN'!$A$1:$O$85,15,0))</f>
        <v>193.53</v>
      </c>
      <c r="Y253" s="6"/>
      <c r="Z253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53" s="6">
        <f>('TE BE'!$AB$12+'TE BF'!$AB$12+'TE CVA'!$AB$12)*(1-CUSTOS!$M$35)</f>
        <v>191.97245201602018</v>
      </c>
      <c r="AB253" s="6">
        <f t="shared" si="18"/>
        <v>0</v>
      </c>
      <c r="AC253" s="6">
        <f>(L253-M253)*(W253+X253)+($W$298+$X$298-$W$253-$X$253)*(L253)</f>
        <v>196954.23593999993</v>
      </c>
      <c r="AD253" s="6">
        <f t="shared" si="20"/>
        <v>0</v>
      </c>
      <c r="AE253" s="6">
        <f ca="1">(L253-M253)*(Z253+AA253)+($Z$298+$AA$298-$Z$253-$AA$253)*(L253)</f>
        <v>205589.78356490034</v>
      </c>
      <c r="AF253" s="4" t="s">
        <v>849</v>
      </c>
    </row>
    <row r="254" spans="1:32" ht="11.25" customHeight="1" x14ac:dyDescent="0.25">
      <c r="A254" s="4" t="s">
        <v>27</v>
      </c>
      <c r="B254" s="4" t="s">
        <v>22</v>
      </c>
      <c r="C254" s="4" t="s">
        <v>23</v>
      </c>
      <c r="D254" s="4" t="s">
        <v>24</v>
      </c>
      <c r="E254" s="4" t="s">
        <v>30</v>
      </c>
      <c r="F254" s="4" t="s">
        <v>25</v>
      </c>
      <c r="G254" s="4" t="s">
        <v>25</v>
      </c>
      <c r="H254" s="4" t="s">
        <v>25</v>
      </c>
      <c r="I254" s="5">
        <v>44652</v>
      </c>
      <c r="J254" s="6">
        <v>0</v>
      </c>
      <c r="K254" s="6">
        <v>0</v>
      </c>
      <c r="L254" s="6">
        <v>0.17</v>
      </c>
      <c r="M254" s="6">
        <v>0.17</v>
      </c>
      <c r="N254" s="6">
        <v>0.17</v>
      </c>
      <c r="O254" s="6">
        <v>0.17</v>
      </c>
      <c r="P254" s="6">
        <v>4</v>
      </c>
      <c r="Q254" s="4" t="s">
        <v>26</v>
      </c>
      <c r="R254" s="4">
        <v>0</v>
      </c>
      <c r="S254" s="4">
        <v>0</v>
      </c>
      <c r="T254" s="4">
        <v>18</v>
      </c>
      <c r="U254" s="4">
        <v>55</v>
      </c>
      <c r="V254" s="6">
        <f>IF(ISERROR(VLOOKUP($S$254,'TAR FIN'!$A$1:$O$85,15,0)),0,VLOOKUP($S$254,'TAR FIN'!$A$1:$O$85,15,0))</f>
        <v>0</v>
      </c>
      <c r="W254" s="6">
        <f>IF(ISERROR(VLOOKUP($T$254,'TAR FIN'!$A$1:$O$85,15,0)),0,VLOOKUP($T$254,'TAR FIN'!$A$1:$O$85,15,0))</f>
        <v>156.46</v>
      </c>
      <c r="X254" s="6">
        <f>IF(ISERROR(VLOOKUP($U$254,'TAR FIN'!$A$1:$O$85,15,0)),0,VLOOKUP($U$254,'TAR FIN'!$A$1:$O$85,15,0))</f>
        <v>193.53</v>
      </c>
      <c r="Y254" s="6"/>
      <c r="Z254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54" s="6">
        <f>('TE BE'!$AB$12+'TE BF'!$AB$12+'TE CVA'!$AB$12)*(1-CUSTOS!$M$35)</f>
        <v>191.97245201602018</v>
      </c>
      <c r="AB254" s="6">
        <f t="shared" si="18"/>
        <v>0</v>
      </c>
      <c r="AC254" s="6">
        <f>(L254-M254)*(W254+X254)+($W$298+$X$298-$W$254-$X$254)*(L254)</f>
        <v>39.662699999999987</v>
      </c>
      <c r="AD254" s="6">
        <f t="shared" si="20"/>
        <v>0</v>
      </c>
      <c r="AE254" s="6">
        <f ca="1">(L254-M254)*(Z254+AA254)+($Z$298+$AA$298-$Z$254-$AA$254)*(L254)</f>
        <v>41.4017290345747</v>
      </c>
      <c r="AF254" s="4" t="s">
        <v>849</v>
      </c>
    </row>
    <row r="255" spans="1:32" ht="11.25" customHeight="1" x14ac:dyDescent="0.25">
      <c r="A255" s="4" t="s">
        <v>28</v>
      </c>
      <c r="B255" s="4" t="s">
        <v>22</v>
      </c>
      <c r="C255" s="4" t="s">
        <v>23</v>
      </c>
      <c r="D255" s="4" t="s">
        <v>24</v>
      </c>
      <c r="E255" s="4" t="s">
        <v>30</v>
      </c>
      <c r="F255" s="4" t="s">
        <v>25</v>
      </c>
      <c r="G255" s="4" t="s">
        <v>25</v>
      </c>
      <c r="H255" s="4" t="s">
        <v>25</v>
      </c>
      <c r="I255" s="5">
        <v>44652</v>
      </c>
      <c r="J255" s="6">
        <v>0</v>
      </c>
      <c r="K255" s="6">
        <v>0</v>
      </c>
      <c r="L255" s="6">
        <v>9.8450000000000006</v>
      </c>
      <c r="M255" s="6">
        <v>9.8450000000000006</v>
      </c>
      <c r="N255" s="6">
        <v>9.8450000000000006</v>
      </c>
      <c r="O255" s="6">
        <v>9.8450000000000006</v>
      </c>
      <c r="P255" s="6">
        <v>62</v>
      </c>
      <c r="Q255" s="4" t="s">
        <v>26</v>
      </c>
      <c r="R255" s="4">
        <v>0</v>
      </c>
      <c r="S255" s="4">
        <v>0</v>
      </c>
      <c r="T255" s="4">
        <v>18</v>
      </c>
      <c r="U255" s="4">
        <v>55</v>
      </c>
      <c r="V255" s="6">
        <f>IF(ISERROR(VLOOKUP($S$255,'TAR FIN'!$A$1:$O$85,15,0)),0,VLOOKUP($S$255,'TAR FIN'!$A$1:$O$85,15,0))</f>
        <v>0</v>
      </c>
      <c r="W255" s="6">
        <f>IF(ISERROR(VLOOKUP($T$255,'TAR FIN'!$A$1:$O$85,15,0)),0,VLOOKUP($T$255,'TAR FIN'!$A$1:$O$85,15,0))</f>
        <v>156.46</v>
      </c>
      <c r="X255" s="6">
        <f>IF(ISERROR(VLOOKUP($U$255,'TAR FIN'!$A$1:$O$85,15,0)),0,VLOOKUP($U$255,'TAR FIN'!$A$1:$O$85,15,0))</f>
        <v>193.53</v>
      </c>
      <c r="Y255" s="6"/>
      <c r="Z255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55" s="6">
        <f>('TE BE'!$AB$12+'TE BF'!$AB$12+'TE CVA'!$AB$12)*(1-CUSTOS!$M$35)</f>
        <v>191.97245201602018</v>
      </c>
      <c r="AB255" s="6">
        <f t="shared" si="18"/>
        <v>0</v>
      </c>
      <c r="AC255" s="6">
        <f>(L255-M255)*(W255+X255)+($W$298+$X$298-$W$255-$X$255)*(L255)</f>
        <v>2296.9369499999993</v>
      </c>
      <c r="AD255" s="6">
        <f t="shared" si="20"/>
        <v>0</v>
      </c>
      <c r="AE255" s="6">
        <f ca="1">(L255-M255)*(Z255+AA255)+($Z$298+$AA$298-$Z$255-$AA$255)*(L255)</f>
        <v>2397.6471902669878</v>
      </c>
      <c r="AF255" s="4" t="s">
        <v>849</v>
      </c>
    </row>
    <row r="256" spans="1:32" ht="11.25" customHeight="1" x14ac:dyDescent="0.25">
      <c r="A256" s="4" t="s">
        <v>21</v>
      </c>
      <c r="B256" s="4" t="s">
        <v>22</v>
      </c>
      <c r="C256" s="4" t="s">
        <v>23</v>
      </c>
      <c r="D256" s="4" t="s">
        <v>24</v>
      </c>
      <c r="E256" s="4" t="s">
        <v>30</v>
      </c>
      <c r="F256" s="4" t="s">
        <v>25</v>
      </c>
      <c r="G256" s="4" t="s">
        <v>25</v>
      </c>
      <c r="H256" s="4" t="s">
        <v>25</v>
      </c>
      <c r="I256" s="5">
        <v>44682</v>
      </c>
      <c r="J256" s="6">
        <v>0</v>
      </c>
      <c r="K256" s="6">
        <v>0</v>
      </c>
      <c r="L256" s="6">
        <v>744.93399999999997</v>
      </c>
      <c r="M256" s="6">
        <v>744.93399999999997</v>
      </c>
      <c r="N256" s="6">
        <v>744.93399999999997</v>
      </c>
      <c r="O256" s="6">
        <v>744.93399999999997</v>
      </c>
      <c r="P256" s="6">
        <v>3418</v>
      </c>
      <c r="Q256" s="4" t="s">
        <v>26</v>
      </c>
      <c r="R256" s="4">
        <v>0</v>
      </c>
      <c r="S256" s="4">
        <v>0</v>
      </c>
      <c r="T256" s="4">
        <v>18</v>
      </c>
      <c r="U256" s="4">
        <v>55</v>
      </c>
      <c r="V256" s="6">
        <f>IF(ISERROR(VLOOKUP($S$256,'TAR FIN'!$A$1:$O$85,15,0)),0,VLOOKUP($S$256,'TAR FIN'!$A$1:$O$85,15,0))</f>
        <v>0</v>
      </c>
      <c r="W256" s="6">
        <f>IF(ISERROR(VLOOKUP($T$256,'TAR FIN'!$A$1:$O$85,15,0)),0,VLOOKUP($T$256,'TAR FIN'!$A$1:$O$85,15,0))</f>
        <v>156.46</v>
      </c>
      <c r="X256" s="6">
        <f>IF(ISERROR(VLOOKUP($U$256,'TAR FIN'!$A$1:$O$85,15,0)),0,VLOOKUP($U$256,'TAR FIN'!$A$1:$O$85,15,0))</f>
        <v>193.53</v>
      </c>
      <c r="Y256" s="6"/>
      <c r="Z256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56" s="6">
        <f>('TE BE'!$AB$12+'TE BF'!$AB$12+'TE CVA'!$AB$12)*(1-CUSTOS!$M$35)</f>
        <v>191.97245201602018</v>
      </c>
      <c r="AB256" s="6">
        <f t="shared" si="18"/>
        <v>0</v>
      </c>
      <c r="AC256" s="6">
        <f>(L256-M256)*(W256+X256)+($W$298+$X$298-$W$256-$X$256)*(L256)</f>
        <v>173800.55153999993</v>
      </c>
      <c r="AD256" s="6">
        <f t="shared" si="20"/>
        <v>0</v>
      </c>
      <c r="AE256" s="6">
        <f ca="1">(L256-M256)*(Z256+AA256)+($Z$298+$AA$298-$Z$256-$AA$256)*(L256)</f>
        <v>181420.91539201097</v>
      </c>
      <c r="AF256" s="4" t="s">
        <v>849</v>
      </c>
    </row>
    <row r="257" spans="1:32" ht="11.25" customHeight="1" x14ac:dyDescent="0.25">
      <c r="A257" s="4" t="s">
        <v>27</v>
      </c>
      <c r="B257" s="4" t="s">
        <v>22</v>
      </c>
      <c r="C257" s="4" t="s">
        <v>23</v>
      </c>
      <c r="D257" s="4" t="s">
        <v>24</v>
      </c>
      <c r="E257" s="4" t="s">
        <v>30</v>
      </c>
      <c r="F257" s="4" t="s">
        <v>25</v>
      </c>
      <c r="G257" s="4" t="s">
        <v>25</v>
      </c>
      <c r="H257" s="4" t="s">
        <v>25</v>
      </c>
      <c r="I257" s="5">
        <v>44682</v>
      </c>
      <c r="J257" s="6">
        <v>0</v>
      </c>
      <c r="K257" s="6">
        <v>0</v>
      </c>
      <c r="L257" s="6">
        <v>0.09</v>
      </c>
      <c r="M257" s="6">
        <v>0.09</v>
      </c>
      <c r="N257" s="6">
        <v>0.09</v>
      </c>
      <c r="O257" s="6">
        <v>0.09</v>
      </c>
      <c r="P257" s="6">
        <v>3</v>
      </c>
      <c r="Q257" s="4" t="s">
        <v>26</v>
      </c>
      <c r="R257" s="4">
        <v>0</v>
      </c>
      <c r="S257" s="4">
        <v>0</v>
      </c>
      <c r="T257" s="4">
        <v>18</v>
      </c>
      <c r="U257" s="4">
        <v>55</v>
      </c>
      <c r="V257" s="6">
        <f>IF(ISERROR(VLOOKUP($S$257,'TAR FIN'!$A$1:$O$85,15,0)),0,VLOOKUP($S$257,'TAR FIN'!$A$1:$O$85,15,0))</f>
        <v>0</v>
      </c>
      <c r="W257" s="6">
        <f>IF(ISERROR(VLOOKUP($T$257,'TAR FIN'!$A$1:$O$85,15,0)),0,VLOOKUP($T$257,'TAR FIN'!$A$1:$O$85,15,0))</f>
        <v>156.46</v>
      </c>
      <c r="X257" s="6">
        <f>IF(ISERROR(VLOOKUP($U$257,'TAR FIN'!$A$1:$O$85,15,0)),0,VLOOKUP($U$257,'TAR FIN'!$A$1:$O$85,15,0))</f>
        <v>193.53</v>
      </c>
      <c r="Y257" s="6"/>
      <c r="Z257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57" s="6">
        <f>('TE BE'!$AB$12+'TE BF'!$AB$12+'TE CVA'!$AB$12)*(1-CUSTOS!$M$35)</f>
        <v>191.97245201602018</v>
      </c>
      <c r="AB257" s="6">
        <f t="shared" si="18"/>
        <v>0</v>
      </c>
      <c r="AC257" s="6">
        <f>(L257-M257)*(W257+X257)+($W$298+$X$298-$W$257-$X$257)*(L257)</f>
        <v>20.997899999999991</v>
      </c>
      <c r="AD257" s="6">
        <f t="shared" si="20"/>
        <v>0</v>
      </c>
      <c r="AE257" s="6">
        <f ca="1">(L257-M257)*(Z257+AA257)+($Z$298+$AA$298-$Z$257-$AA$257)*(L257)</f>
        <v>21.918562430068956</v>
      </c>
      <c r="AF257" s="4" t="s">
        <v>849</v>
      </c>
    </row>
    <row r="258" spans="1:32" ht="11.25" customHeight="1" x14ac:dyDescent="0.25">
      <c r="A258" s="4" t="s">
        <v>28</v>
      </c>
      <c r="B258" s="4" t="s">
        <v>22</v>
      </c>
      <c r="C258" s="4" t="s">
        <v>23</v>
      </c>
      <c r="D258" s="4" t="s">
        <v>24</v>
      </c>
      <c r="E258" s="4" t="s">
        <v>30</v>
      </c>
      <c r="F258" s="4" t="s">
        <v>25</v>
      </c>
      <c r="G258" s="4" t="s">
        <v>25</v>
      </c>
      <c r="H258" s="4" t="s">
        <v>25</v>
      </c>
      <c r="I258" s="5">
        <v>44682</v>
      </c>
      <c r="J258" s="6">
        <v>0</v>
      </c>
      <c r="K258" s="6">
        <v>0</v>
      </c>
      <c r="L258" s="6">
        <v>8.3629999999999995</v>
      </c>
      <c r="M258" s="6">
        <v>8.3629999999999995</v>
      </c>
      <c r="N258" s="6">
        <v>8.3629999999999995</v>
      </c>
      <c r="O258" s="6">
        <v>8.3629999999999995</v>
      </c>
      <c r="P258" s="6">
        <v>72</v>
      </c>
      <c r="Q258" s="4" t="s">
        <v>26</v>
      </c>
      <c r="R258" s="4">
        <v>0</v>
      </c>
      <c r="S258" s="4">
        <v>0</v>
      </c>
      <c r="T258" s="4">
        <v>18</v>
      </c>
      <c r="U258" s="4">
        <v>55</v>
      </c>
      <c r="V258" s="6">
        <f>IF(ISERROR(VLOOKUP($S$258,'TAR FIN'!$A$1:$O$85,15,0)),0,VLOOKUP($S$258,'TAR FIN'!$A$1:$O$85,15,0))</f>
        <v>0</v>
      </c>
      <c r="W258" s="6">
        <f>IF(ISERROR(VLOOKUP($T$258,'TAR FIN'!$A$1:$O$85,15,0)),0,VLOOKUP($T$258,'TAR FIN'!$A$1:$O$85,15,0))</f>
        <v>156.46</v>
      </c>
      <c r="X258" s="6">
        <f>IF(ISERROR(VLOOKUP($U$258,'TAR FIN'!$A$1:$O$85,15,0)),0,VLOOKUP($U$258,'TAR FIN'!$A$1:$O$85,15,0))</f>
        <v>193.53</v>
      </c>
      <c r="Y258" s="6"/>
      <c r="Z258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58" s="6">
        <f>('TE BE'!$AB$12+'TE BF'!$AB$12+'TE CVA'!$AB$12)*(1-CUSTOS!$M$35)</f>
        <v>191.97245201602018</v>
      </c>
      <c r="AB258" s="6">
        <f t="shared" ref="AB258:AB321" si="22">(J258-K258)*V258</f>
        <v>0</v>
      </c>
      <c r="AC258" s="6">
        <f>(L258-M258)*(W258+X258)+($W$298+$X$298-$W$258-$X$258)*(L258)</f>
        <v>1951.1715299999992</v>
      </c>
      <c r="AD258" s="6">
        <f t="shared" ref="AD258:AD321" si="23">(J258-K258)*Y258</f>
        <v>0</v>
      </c>
      <c r="AE258" s="6">
        <f ca="1">(L258-M258)*(Z258+AA258)+($Z$298+$AA$298-$Z$258-$AA$258)*(L258)</f>
        <v>2036.7215289185185</v>
      </c>
      <c r="AF258" s="4" t="s">
        <v>849</v>
      </c>
    </row>
    <row r="259" spans="1:32" ht="11.25" customHeight="1" x14ac:dyDescent="0.25">
      <c r="A259" s="4" t="s">
        <v>21</v>
      </c>
      <c r="B259" s="4" t="s">
        <v>22</v>
      </c>
      <c r="C259" s="4" t="s">
        <v>23</v>
      </c>
      <c r="D259" s="4" t="s">
        <v>24</v>
      </c>
      <c r="E259" s="4" t="s">
        <v>30</v>
      </c>
      <c r="F259" s="4" t="s">
        <v>25</v>
      </c>
      <c r="G259" s="4" t="s">
        <v>25</v>
      </c>
      <c r="H259" s="4" t="s">
        <v>25</v>
      </c>
      <c r="I259" s="5">
        <v>44713</v>
      </c>
      <c r="J259" s="6">
        <v>0</v>
      </c>
      <c r="K259" s="6">
        <v>0</v>
      </c>
      <c r="L259" s="6">
        <v>760.18700000000001</v>
      </c>
      <c r="M259" s="6">
        <v>760.18700000000001</v>
      </c>
      <c r="N259" s="6">
        <v>760.18700000000001</v>
      </c>
      <c r="O259" s="6">
        <v>760.18700000000001</v>
      </c>
      <c r="P259" s="6">
        <v>4296</v>
      </c>
      <c r="Q259" s="4" t="s">
        <v>26</v>
      </c>
      <c r="R259" s="4">
        <v>0</v>
      </c>
      <c r="S259" s="4">
        <v>0</v>
      </c>
      <c r="T259" s="4">
        <v>18</v>
      </c>
      <c r="U259" s="4">
        <v>55</v>
      </c>
      <c r="V259" s="6">
        <f>IF(ISERROR(VLOOKUP($S$259,'TAR FIN'!$A$1:$O$85,15,0)),0,VLOOKUP($S$259,'TAR FIN'!$A$1:$O$85,15,0))</f>
        <v>0</v>
      </c>
      <c r="W259" s="6">
        <f>IF(ISERROR(VLOOKUP($T$259,'TAR FIN'!$A$1:$O$85,15,0)),0,VLOOKUP($T$259,'TAR FIN'!$A$1:$O$85,15,0))</f>
        <v>156.46</v>
      </c>
      <c r="X259" s="6">
        <f>IF(ISERROR(VLOOKUP($U$259,'TAR FIN'!$A$1:$O$85,15,0)),0,VLOOKUP($U$259,'TAR FIN'!$A$1:$O$85,15,0))</f>
        <v>193.53</v>
      </c>
      <c r="Y259" s="6"/>
      <c r="Z259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59" s="6">
        <f>('TE BE'!$AB$12+'TE BF'!$AB$12+'TE CVA'!$AB$12)*(1-CUSTOS!$M$35)</f>
        <v>191.97245201602018</v>
      </c>
      <c r="AB259" s="6">
        <f t="shared" si="22"/>
        <v>0</v>
      </c>
      <c r="AC259" s="6">
        <f>(L259-M259)*(W259+X259)+($W$298+$X$298-$W$259-$X$259)*(L259)</f>
        <v>177359.22896999994</v>
      </c>
      <c r="AD259" s="6">
        <f t="shared" si="23"/>
        <v>0</v>
      </c>
      <c r="AE259" s="6">
        <f ca="1">(L259-M259)*(Z259+AA259)+($Z$298+$AA$298-$Z$259-$AA$259)*(L259)</f>
        <v>185135.62464474255</v>
      </c>
      <c r="AF259" s="4" t="s">
        <v>849</v>
      </c>
    </row>
    <row r="260" spans="1:32" ht="11.25" customHeight="1" x14ac:dyDescent="0.25">
      <c r="A260" s="4" t="s">
        <v>27</v>
      </c>
      <c r="B260" s="4" t="s">
        <v>22</v>
      </c>
      <c r="C260" s="4" t="s">
        <v>23</v>
      </c>
      <c r="D260" s="4" t="s">
        <v>24</v>
      </c>
      <c r="E260" s="4" t="s">
        <v>30</v>
      </c>
      <c r="F260" s="4" t="s">
        <v>25</v>
      </c>
      <c r="G260" s="4" t="s">
        <v>25</v>
      </c>
      <c r="H260" s="4" t="s">
        <v>25</v>
      </c>
      <c r="I260" s="5">
        <v>44713</v>
      </c>
      <c r="J260" s="6">
        <v>0</v>
      </c>
      <c r="K260" s="6">
        <v>0</v>
      </c>
      <c r="L260" s="6">
        <v>0.03</v>
      </c>
      <c r="M260" s="6">
        <v>0.03</v>
      </c>
      <c r="N260" s="6">
        <v>0.03</v>
      </c>
      <c r="O260" s="6">
        <v>0.03</v>
      </c>
      <c r="P260" s="6">
        <v>2</v>
      </c>
      <c r="Q260" s="4" t="s">
        <v>26</v>
      </c>
      <c r="R260" s="4">
        <v>0</v>
      </c>
      <c r="S260" s="4">
        <v>0</v>
      </c>
      <c r="T260" s="4">
        <v>18</v>
      </c>
      <c r="U260" s="4">
        <v>55</v>
      </c>
      <c r="V260" s="6">
        <f>IF(ISERROR(VLOOKUP($S$260,'TAR FIN'!$A$1:$O$85,15,0)),0,VLOOKUP($S$260,'TAR FIN'!$A$1:$O$85,15,0))</f>
        <v>0</v>
      </c>
      <c r="W260" s="6">
        <f>IF(ISERROR(VLOOKUP($T$260,'TAR FIN'!$A$1:$O$85,15,0)),0,VLOOKUP($T$260,'TAR FIN'!$A$1:$O$85,15,0))</f>
        <v>156.46</v>
      </c>
      <c r="X260" s="6">
        <f>IF(ISERROR(VLOOKUP($U$260,'TAR FIN'!$A$1:$O$85,15,0)),0,VLOOKUP($U$260,'TAR FIN'!$A$1:$O$85,15,0))</f>
        <v>193.53</v>
      </c>
      <c r="Y260" s="6"/>
      <c r="Z260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60" s="6">
        <f>('TE BE'!$AB$12+'TE BF'!$AB$12+'TE CVA'!$AB$12)*(1-CUSTOS!$M$35)</f>
        <v>191.97245201602018</v>
      </c>
      <c r="AB260" s="6">
        <f t="shared" si="22"/>
        <v>0</v>
      </c>
      <c r="AC260" s="6">
        <f>(L260-M260)*(W260+X260)+($W$298+$X$298-$W$260-$X$260)*(L260)</f>
        <v>6.9992999999999972</v>
      </c>
      <c r="AD260" s="6">
        <f t="shared" si="23"/>
        <v>0</v>
      </c>
      <c r="AE260" s="6">
        <f ca="1">(L260-M260)*(Z260+AA260)+($Z$298+$AA$298-$Z$260-$AA$260)*(L260)</f>
        <v>7.3061874766896517</v>
      </c>
      <c r="AF260" s="4" t="s">
        <v>849</v>
      </c>
    </row>
    <row r="261" spans="1:32" ht="11.25" customHeight="1" x14ac:dyDescent="0.25">
      <c r="A261" s="4" t="s">
        <v>28</v>
      </c>
      <c r="B261" s="4" t="s">
        <v>22</v>
      </c>
      <c r="C261" s="4" t="s">
        <v>23</v>
      </c>
      <c r="D261" s="4" t="s">
        <v>24</v>
      </c>
      <c r="E261" s="4" t="s">
        <v>30</v>
      </c>
      <c r="F261" s="4" t="s">
        <v>25</v>
      </c>
      <c r="G261" s="4" t="s">
        <v>25</v>
      </c>
      <c r="H261" s="4" t="s">
        <v>25</v>
      </c>
      <c r="I261" s="5">
        <v>44713</v>
      </c>
      <c r="J261" s="6">
        <v>0</v>
      </c>
      <c r="K261" s="6">
        <v>0</v>
      </c>
      <c r="L261" s="6">
        <v>8.2219999999999995</v>
      </c>
      <c r="M261" s="6">
        <v>8.2219999999999995</v>
      </c>
      <c r="N261" s="6">
        <v>8.2219999999999995</v>
      </c>
      <c r="O261" s="6">
        <v>8.2219999999999995</v>
      </c>
      <c r="P261" s="6">
        <v>87</v>
      </c>
      <c r="Q261" s="4" t="s">
        <v>26</v>
      </c>
      <c r="R261" s="4">
        <v>0</v>
      </c>
      <c r="S261" s="4">
        <v>0</v>
      </c>
      <c r="T261" s="4">
        <v>18</v>
      </c>
      <c r="U261" s="4">
        <v>55</v>
      </c>
      <c r="V261" s="6">
        <f>IF(ISERROR(VLOOKUP($S$261,'TAR FIN'!$A$1:$O$85,15,0)),0,VLOOKUP($S$261,'TAR FIN'!$A$1:$O$85,15,0))</f>
        <v>0</v>
      </c>
      <c r="W261" s="6">
        <f>IF(ISERROR(VLOOKUP($T$261,'TAR FIN'!$A$1:$O$85,15,0)),0,VLOOKUP($T$261,'TAR FIN'!$A$1:$O$85,15,0))</f>
        <v>156.46</v>
      </c>
      <c r="X261" s="6">
        <f>IF(ISERROR(VLOOKUP($U$261,'TAR FIN'!$A$1:$O$85,15,0)),0,VLOOKUP($U$261,'TAR FIN'!$A$1:$O$85,15,0))</f>
        <v>193.53</v>
      </c>
      <c r="Y261" s="6"/>
      <c r="Z261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61" s="6">
        <f>('TE BE'!$AB$12+'TE BF'!$AB$12+'TE CVA'!$AB$12)*(1-CUSTOS!$M$35)</f>
        <v>191.97245201602018</v>
      </c>
      <c r="AB261" s="6">
        <f t="shared" si="22"/>
        <v>0</v>
      </c>
      <c r="AC261" s="6">
        <f>(L261-M261)*(W261+X261)+($W$298+$X$298-$W$261-$X$261)*(L261)</f>
        <v>1918.2748199999992</v>
      </c>
      <c r="AD261" s="6">
        <f t="shared" si="23"/>
        <v>0</v>
      </c>
      <c r="AE261" s="6">
        <f ca="1">(L261-M261)*(Z261+AA261)+($Z$298+$AA$298-$Z$261-$AA$261)*(L261)</f>
        <v>2002.3824477780772</v>
      </c>
      <c r="AF261" s="4" t="s">
        <v>849</v>
      </c>
    </row>
    <row r="262" spans="1:32" ht="11.25" customHeight="1" x14ac:dyDescent="0.25">
      <c r="A262" s="4" t="s">
        <v>21</v>
      </c>
      <c r="B262" s="4" t="s">
        <v>22</v>
      </c>
      <c r="C262" s="4" t="s">
        <v>23</v>
      </c>
      <c r="D262" s="4" t="s">
        <v>24</v>
      </c>
      <c r="E262" s="4" t="s">
        <v>30</v>
      </c>
      <c r="F262" s="4" t="s">
        <v>25</v>
      </c>
      <c r="G262" s="4" t="s">
        <v>25</v>
      </c>
      <c r="H262" s="4" t="s">
        <v>25</v>
      </c>
      <c r="I262" s="5">
        <v>44743</v>
      </c>
      <c r="J262" s="6">
        <v>0</v>
      </c>
      <c r="K262" s="6">
        <v>0</v>
      </c>
      <c r="L262" s="6">
        <v>627.928</v>
      </c>
      <c r="M262" s="6">
        <v>627.928</v>
      </c>
      <c r="N262" s="6">
        <v>627.928</v>
      </c>
      <c r="O262" s="6">
        <v>627.928</v>
      </c>
      <c r="P262" s="6">
        <v>4086</v>
      </c>
      <c r="Q262" s="4" t="s">
        <v>26</v>
      </c>
      <c r="R262" s="4">
        <v>0</v>
      </c>
      <c r="S262" s="4">
        <v>0</v>
      </c>
      <c r="T262" s="4">
        <v>18</v>
      </c>
      <c r="U262" s="4">
        <v>55</v>
      </c>
      <c r="V262" s="6">
        <f>IF(ISERROR(VLOOKUP($S$262,'TAR FIN'!$A$1:$O$85,15,0)),0,VLOOKUP($S$262,'TAR FIN'!$A$1:$O$85,15,0))</f>
        <v>0</v>
      </c>
      <c r="W262" s="6">
        <f>IF(ISERROR(VLOOKUP($T$262,'TAR FIN'!$A$1:$O$85,15,0)),0,VLOOKUP($T$262,'TAR FIN'!$A$1:$O$85,15,0))</f>
        <v>156.46</v>
      </c>
      <c r="X262" s="6">
        <f>IF(ISERROR(VLOOKUP($U$262,'TAR FIN'!$A$1:$O$85,15,0)),0,VLOOKUP($U$262,'TAR FIN'!$A$1:$O$85,15,0))</f>
        <v>193.53</v>
      </c>
      <c r="Y262" s="6"/>
      <c r="Z262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62" s="6">
        <f>('TE BE'!$AB$12+'TE BF'!$AB$12+'TE CVA'!$AB$12)*(1-CUSTOS!$M$35)</f>
        <v>191.97245201602018</v>
      </c>
      <c r="AB262" s="6">
        <f t="shared" si="22"/>
        <v>0</v>
      </c>
      <c r="AC262" s="6">
        <f>(L262-M262)*(W262+X262)+($W$298+$X$298-$W$262-$X$262)*(L262)</f>
        <v>146501.88167999993</v>
      </c>
      <c r="AD262" s="6">
        <f t="shared" si="23"/>
        <v>0</v>
      </c>
      <c r="AE262" s="6">
        <f ca="1">(L262-M262)*(Z262+AA262)+($Z$298+$AA$298-$Z$262-$AA$262)*(L262)</f>
        <v>152925.32299542599</v>
      </c>
      <c r="AF262" s="4" t="s">
        <v>849</v>
      </c>
    </row>
    <row r="263" spans="1:32" ht="11.25" customHeight="1" x14ac:dyDescent="0.25">
      <c r="A263" s="4" t="s">
        <v>27</v>
      </c>
      <c r="B263" s="4" t="s">
        <v>22</v>
      </c>
      <c r="C263" s="4" t="s">
        <v>23</v>
      </c>
      <c r="D263" s="4" t="s">
        <v>24</v>
      </c>
      <c r="E263" s="4" t="s">
        <v>30</v>
      </c>
      <c r="F263" s="4" t="s">
        <v>25</v>
      </c>
      <c r="G263" s="4" t="s">
        <v>25</v>
      </c>
      <c r="H263" s="4" t="s">
        <v>25</v>
      </c>
      <c r="I263" s="5">
        <v>44743</v>
      </c>
      <c r="J263" s="6">
        <v>0</v>
      </c>
      <c r="K263" s="6">
        <v>0</v>
      </c>
      <c r="L263" s="6">
        <v>9.8000000000000004E-2</v>
      </c>
      <c r="M263" s="6">
        <v>9.8000000000000004E-2</v>
      </c>
      <c r="N263" s="6">
        <v>9.8000000000000004E-2</v>
      </c>
      <c r="O263" s="6">
        <v>9.8000000000000004E-2</v>
      </c>
      <c r="P263" s="6">
        <v>1</v>
      </c>
      <c r="Q263" s="4" t="s">
        <v>26</v>
      </c>
      <c r="R263" s="4">
        <v>0</v>
      </c>
      <c r="S263" s="4">
        <v>0</v>
      </c>
      <c r="T263" s="4">
        <v>18</v>
      </c>
      <c r="U263" s="4">
        <v>55</v>
      </c>
      <c r="V263" s="6">
        <f>IF(ISERROR(VLOOKUP($S$263,'TAR FIN'!$A$1:$O$85,15,0)),0,VLOOKUP($S$263,'TAR FIN'!$A$1:$O$85,15,0))</f>
        <v>0</v>
      </c>
      <c r="W263" s="6">
        <f>IF(ISERROR(VLOOKUP($T$263,'TAR FIN'!$A$1:$O$85,15,0)),0,VLOOKUP($T$263,'TAR FIN'!$A$1:$O$85,15,0))</f>
        <v>156.46</v>
      </c>
      <c r="X263" s="6">
        <f>IF(ISERROR(VLOOKUP($U$263,'TAR FIN'!$A$1:$O$85,15,0)),0,VLOOKUP($U$263,'TAR FIN'!$A$1:$O$85,15,0))</f>
        <v>193.53</v>
      </c>
      <c r="Y263" s="6"/>
      <c r="Z263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63" s="6">
        <f>('TE BE'!$AB$12+'TE BF'!$AB$12+'TE CVA'!$AB$12)*(1-CUSTOS!$M$35)</f>
        <v>191.97245201602018</v>
      </c>
      <c r="AB263" s="6">
        <f t="shared" si="22"/>
        <v>0</v>
      </c>
      <c r="AC263" s="6">
        <f>(L263-M263)*(W263+X263)+($W$298+$X$298-$W$263-$X$263)*(L263)</f>
        <v>22.864379999999993</v>
      </c>
      <c r="AD263" s="6">
        <f t="shared" si="23"/>
        <v>0</v>
      </c>
      <c r="AE263" s="6">
        <f ca="1">(L263-M263)*(Z263+AA263)+($Z$298+$AA$298-$Z$263-$AA$263)*(L263)</f>
        <v>23.866879090519532</v>
      </c>
      <c r="AF263" s="4" t="s">
        <v>849</v>
      </c>
    </row>
    <row r="264" spans="1:32" ht="11.25" customHeight="1" x14ac:dyDescent="0.25">
      <c r="A264" s="4" t="s">
        <v>28</v>
      </c>
      <c r="B264" s="4" t="s">
        <v>22</v>
      </c>
      <c r="C264" s="4" t="s">
        <v>23</v>
      </c>
      <c r="D264" s="4" t="s">
        <v>24</v>
      </c>
      <c r="E264" s="4" t="s">
        <v>30</v>
      </c>
      <c r="F264" s="4" t="s">
        <v>25</v>
      </c>
      <c r="G264" s="4" t="s">
        <v>25</v>
      </c>
      <c r="H264" s="4" t="s">
        <v>25</v>
      </c>
      <c r="I264" s="5">
        <v>44743</v>
      </c>
      <c r="J264" s="6">
        <v>0</v>
      </c>
      <c r="K264" s="6">
        <v>0</v>
      </c>
      <c r="L264" s="6">
        <v>7.0810000000000004</v>
      </c>
      <c r="M264" s="6">
        <v>7.0810000000000004</v>
      </c>
      <c r="N264" s="6">
        <v>7.0810000000000004</v>
      </c>
      <c r="O264" s="6">
        <v>7.0810000000000004</v>
      </c>
      <c r="P264" s="6">
        <v>72</v>
      </c>
      <c r="Q264" s="4" t="s">
        <v>26</v>
      </c>
      <c r="R264" s="4">
        <v>0</v>
      </c>
      <c r="S264" s="4">
        <v>0</v>
      </c>
      <c r="T264" s="4">
        <v>18</v>
      </c>
      <c r="U264" s="4">
        <v>55</v>
      </c>
      <c r="V264" s="6">
        <f>IF(ISERROR(VLOOKUP($S$264,'TAR FIN'!$A$1:$O$85,15,0)),0,VLOOKUP($S$264,'TAR FIN'!$A$1:$O$85,15,0))</f>
        <v>0</v>
      </c>
      <c r="W264" s="6">
        <f>IF(ISERROR(VLOOKUP($T$264,'TAR FIN'!$A$1:$O$85,15,0)),0,VLOOKUP($T$264,'TAR FIN'!$A$1:$O$85,15,0))</f>
        <v>156.46</v>
      </c>
      <c r="X264" s="6">
        <f>IF(ISERROR(VLOOKUP($U$264,'TAR FIN'!$A$1:$O$85,15,0)),0,VLOOKUP($U$264,'TAR FIN'!$A$1:$O$85,15,0))</f>
        <v>193.53</v>
      </c>
      <c r="Y264" s="6"/>
      <c r="Z264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64" s="6">
        <f>('TE BE'!$AB$12+'TE BF'!$AB$12+'TE CVA'!$AB$12)*(1-CUSTOS!$M$35)</f>
        <v>191.97245201602018</v>
      </c>
      <c r="AB264" s="6">
        <f t="shared" si="22"/>
        <v>0</v>
      </c>
      <c r="AC264" s="6">
        <f>(L264-M264)*(W264+X264)+($W$298+$X$298-$W$264-$X$264)*(L264)</f>
        <v>1652.0681099999995</v>
      </c>
      <c r="AD264" s="6">
        <f t="shared" si="23"/>
        <v>0</v>
      </c>
      <c r="AE264" s="6">
        <f ca="1">(L264-M264)*(Z264+AA264)+($Z$298+$AA$298-$Z$264-$AA$264)*(L264)</f>
        <v>1724.5037840813143</v>
      </c>
      <c r="AF264" s="4" t="s">
        <v>849</v>
      </c>
    </row>
    <row r="265" spans="1:32" ht="11.25" customHeight="1" x14ac:dyDescent="0.25">
      <c r="A265" s="4" t="s">
        <v>56</v>
      </c>
      <c r="B265" s="4" t="s">
        <v>22</v>
      </c>
      <c r="C265" s="4" t="s">
        <v>23</v>
      </c>
      <c r="D265" s="4" t="s">
        <v>24</v>
      </c>
      <c r="E265" s="4" t="s">
        <v>30</v>
      </c>
      <c r="F265" s="4" t="s">
        <v>25</v>
      </c>
      <c r="G265" s="4" t="s">
        <v>25</v>
      </c>
      <c r="H265" s="4" t="s">
        <v>25</v>
      </c>
      <c r="I265" s="5">
        <v>44774</v>
      </c>
      <c r="J265" s="6">
        <v>0</v>
      </c>
      <c r="K265" s="6">
        <v>0</v>
      </c>
      <c r="L265" s="6">
        <v>627.928</v>
      </c>
      <c r="M265" s="6">
        <v>627.928</v>
      </c>
      <c r="N265" s="6">
        <v>627.928</v>
      </c>
      <c r="O265" s="6">
        <v>627.928</v>
      </c>
      <c r="P265" s="6">
        <v>4086</v>
      </c>
      <c r="Q265" s="4" t="s">
        <v>26</v>
      </c>
      <c r="R265" s="4">
        <v>0</v>
      </c>
      <c r="S265" s="4">
        <v>0</v>
      </c>
      <c r="T265" s="4">
        <v>18</v>
      </c>
      <c r="U265" s="4">
        <v>55</v>
      </c>
      <c r="V265" s="6">
        <f>IF(ISERROR(VLOOKUP($S$265,'TAR FIN'!$A$1:$O$85,15,0)),0,VLOOKUP($S$265,'TAR FIN'!$A$1:$O$85,15,0))</f>
        <v>0</v>
      </c>
      <c r="W265" s="6">
        <f>IF(ISERROR(VLOOKUP($T$265,'TAR FIN'!$A$1:$O$85,15,0)),0,VLOOKUP($T$265,'TAR FIN'!$A$1:$O$85,15,0))</f>
        <v>156.46</v>
      </c>
      <c r="X265" s="6">
        <f>IF(ISERROR(VLOOKUP($U$265,'TAR FIN'!$A$1:$O$85,15,0)),0,VLOOKUP($U$265,'TAR FIN'!$A$1:$O$85,15,0))</f>
        <v>193.53</v>
      </c>
      <c r="Y265" s="6"/>
      <c r="Z265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65" s="6">
        <f>('TE BE'!$AB$12+'TE BF'!$AB$12+'TE CVA'!$AB$12)*(1-CUSTOS!$M$35)</f>
        <v>191.97245201602018</v>
      </c>
      <c r="AB265" s="6">
        <f t="shared" si="22"/>
        <v>0</v>
      </c>
      <c r="AC265" s="6">
        <f>(L265-M265)*(W265+X265)+($W$298+$X$298-$W$265-$X$265)*(L265)</f>
        <v>146501.88167999993</v>
      </c>
      <c r="AD265" s="6">
        <f t="shared" si="23"/>
        <v>0</v>
      </c>
      <c r="AE265" s="6">
        <f ca="1">(L265-M265)*(Z265+AA265)+($Z$298+$AA$298-$Z$265-$AA$265)*(L265)</f>
        <v>152925.32299542599</v>
      </c>
      <c r="AF265" s="4" t="s">
        <v>849</v>
      </c>
    </row>
    <row r="266" spans="1:32" ht="11.25" customHeight="1" x14ac:dyDescent="0.25">
      <c r="A266" s="4" t="s">
        <v>56</v>
      </c>
      <c r="B266" s="4" t="s">
        <v>22</v>
      </c>
      <c r="C266" s="4" t="s">
        <v>23</v>
      </c>
      <c r="D266" s="4" t="s">
        <v>24</v>
      </c>
      <c r="E266" s="4" t="s">
        <v>30</v>
      </c>
      <c r="F266" s="4" t="s">
        <v>25</v>
      </c>
      <c r="G266" s="4" t="s">
        <v>25</v>
      </c>
      <c r="H266" s="4" t="s">
        <v>25</v>
      </c>
      <c r="I266" s="5">
        <v>44774</v>
      </c>
      <c r="J266" s="6">
        <v>0</v>
      </c>
      <c r="K266" s="6">
        <v>0</v>
      </c>
      <c r="L266" s="6">
        <v>9.8000000000000004E-2</v>
      </c>
      <c r="M266" s="6">
        <v>9.8000000000000004E-2</v>
      </c>
      <c r="N266" s="6">
        <v>9.8000000000000004E-2</v>
      </c>
      <c r="O266" s="6">
        <v>9.8000000000000004E-2</v>
      </c>
      <c r="P266" s="6">
        <v>1</v>
      </c>
      <c r="Q266" s="4" t="s">
        <v>26</v>
      </c>
      <c r="R266" s="4">
        <v>0</v>
      </c>
      <c r="S266" s="4">
        <v>0</v>
      </c>
      <c r="T266" s="4">
        <v>18</v>
      </c>
      <c r="U266" s="4">
        <v>55</v>
      </c>
      <c r="V266" s="6">
        <f>IF(ISERROR(VLOOKUP($S$266,'TAR FIN'!$A$1:$O$85,15,0)),0,VLOOKUP($S$266,'TAR FIN'!$A$1:$O$85,15,0))</f>
        <v>0</v>
      </c>
      <c r="W266" s="6">
        <f>IF(ISERROR(VLOOKUP($T$266,'TAR FIN'!$A$1:$O$85,15,0)),0,VLOOKUP($T$266,'TAR FIN'!$A$1:$O$85,15,0))</f>
        <v>156.46</v>
      </c>
      <c r="X266" s="6">
        <f>IF(ISERROR(VLOOKUP($U$266,'TAR FIN'!$A$1:$O$85,15,0)),0,VLOOKUP($U$266,'TAR FIN'!$A$1:$O$85,15,0))</f>
        <v>193.53</v>
      </c>
      <c r="Y266" s="6"/>
      <c r="Z266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66" s="6">
        <f>('TE BE'!$AB$12+'TE BF'!$AB$12+'TE CVA'!$AB$12)*(1-CUSTOS!$M$35)</f>
        <v>191.97245201602018</v>
      </c>
      <c r="AB266" s="6">
        <f t="shared" si="22"/>
        <v>0</v>
      </c>
      <c r="AC266" s="6">
        <f>(L266-M266)*(W266+X266)+($W$298+$X$298-$W$266-$X$266)*(L266)</f>
        <v>22.864379999999993</v>
      </c>
      <c r="AD266" s="6">
        <f t="shared" si="23"/>
        <v>0</v>
      </c>
      <c r="AE266" s="6">
        <f ca="1">(L266-M266)*(Z266+AA266)+($Z$298+$AA$298-$Z$266-$AA$266)*(L266)</f>
        <v>23.866879090519532</v>
      </c>
      <c r="AF266" s="4" t="s">
        <v>849</v>
      </c>
    </row>
    <row r="267" spans="1:32" ht="11.25" customHeight="1" x14ac:dyDescent="0.25">
      <c r="A267" s="4" t="s">
        <v>56</v>
      </c>
      <c r="B267" s="4" t="s">
        <v>22</v>
      </c>
      <c r="C267" s="4" t="s">
        <v>23</v>
      </c>
      <c r="D267" s="4" t="s">
        <v>24</v>
      </c>
      <c r="E267" s="4" t="s">
        <v>30</v>
      </c>
      <c r="F267" s="4" t="s">
        <v>25</v>
      </c>
      <c r="G267" s="4" t="s">
        <v>25</v>
      </c>
      <c r="H267" s="4" t="s">
        <v>25</v>
      </c>
      <c r="I267" s="5">
        <v>44774</v>
      </c>
      <c r="J267" s="6">
        <v>0</v>
      </c>
      <c r="K267" s="6">
        <v>0</v>
      </c>
      <c r="L267" s="6">
        <v>7.0810000000000004</v>
      </c>
      <c r="M267" s="6">
        <v>7.0810000000000004</v>
      </c>
      <c r="N267" s="6">
        <v>7.0810000000000004</v>
      </c>
      <c r="O267" s="6">
        <v>7.0810000000000004</v>
      </c>
      <c r="P267" s="6">
        <v>72</v>
      </c>
      <c r="Q267" s="4" t="s">
        <v>26</v>
      </c>
      <c r="R267" s="4">
        <v>0</v>
      </c>
      <c r="S267" s="4">
        <v>0</v>
      </c>
      <c r="T267" s="4">
        <v>18</v>
      </c>
      <c r="U267" s="4">
        <v>55</v>
      </c>
      <c r="V267" s="6">
        <f>IF(ISERROR(VLOOKUP($S$267,'TAR FIN'!$A$1:$O$85,15,0)),0,VLOOKUP($S$267,'TAR FIN'!$A$1:$O$85,15,0))</f>
        <v>0</v>
      </c>
      <c r="W267" s="6">
        <f>IF(ISERROR(VLOOKUP($T$267,'TAR FIN'!$A$1:$O$85,15,0)),0,VLOOKUP($T$267,'TAR FIN'!$A$1:$O$85,15,0))</f>
        <v>156.46</v>
      </c>
      <c r="X267" s="6">
        <f>IF(ISERROR(VLOOKUP($U$267,'TAR FIN'!$A$1:$O$85,15,0)),0,VLOOKUP($U$267,'TAR FIN'!$A$1:$O$85,15,0))</f>
        <v>193.53</v>
      </c>
      <c r="Y267" s="6"/>
      <c r="Z267" s="6">
        <f ca="1">('TUSD BE'!$AM$22+'TUSD BF'!$AM$22+'TUSD CVA'!$AM$22-('TUSD BE'!$P$22+'TUSD BF'!$P$22+'TUSD CVA'!$P$22)-('TUSD BE'!$Q$22+'TUSD BF'!$Q$22+'TUSD CVA'!$Q$22)-('TUSD BE'!$R$22+'TUSD BF'!$R$22+'TUSD CVA'!$R$22))*(1-CUSTOS!$M$35)</f>
        <v>173.33692181846251</v>
      </c>
      <c r="AA267" s="6">
        <f>('TE BE'!$AB$12+'TE BF'!$AB$12+'TE CVA'!$AB$12)*(1-CUSTOS!$M$35)</f>
        <v>191.97245201602018</v>
      </c>
      <c r="AB267" s="6">
        <f t="shared" si="22"/>
        <v>0</v>
      </c>
      <c r="AC267" s="6">
        <f>(L267-M267)*(W267+X267)+($W$298+$X$298-$W$267-$X$267)*(L267)</f>
        <v>1652.0681099999995</v>
      </c>
      <c r="AD267" s="6">
        <f t="shared" si="23"/>
        <v>0</v>
      </c>
      <c r="AE267" s="6">
        <f ca="1">(L267-M267)*(Z267+AA267)+($Z$298+$AA$298-$Z$267-$AA$267)*(L267)</f>
        <v>1724.5037840813143</v>
      </c>
      <c r="AF267" s="4" t="s">
        <v>849</v>
      </c>
    </row>
    <row r="268" spans="1:32" ht="11.25" customHeight="1" x14ac:dyDescent="0.25">
      <c r="A268" s="4" t="s">
        <v>21</v>
      </c>
      <c r="B268" s="4" t="s">
        <v>22</v>
      </c>
      <c r="C268" s="4" t="s">
        <v>23</v>
      </c>
      <c r="D268" s="4" t="s">
        <v>24</v>
      </c>
      <c r="E268" s="4" t="s">
        <v>31</v>
      </c>
      <c r="F268" s="4" t="s">
        <v>25</v>
      </c>
      <c r="G268" s="4" t="s">
        <v>25</v>
      </c>
      <c r="H268" s="4" t="s">
        <v>25</v>
      </c>
      <c r="I268" s="5">
        <v>44440</v>
      </c>
      <c r="J268" s="6">
        <v>0</v>
      </c>
      <c r="K268" s="6">
        <v>0</v>
      </c>
      <c r="L268" s="6">
        <v>450.00700000000001</v>
      </c>
      <c r="M268" s="6">
        <v>450.00700000000001</v>
      </c>
      <c r="N268" s="6">
        <v>450.00700000000001</v>
      </c>
      <c r="O268" s="6">
        <v>450.00700000000001</v>
      </c>
      <c r="P268" s="6">
        <v>5438</v>
      </c>
      <c r="Q268" s="4" t="s">
        <v>26</v>
      </c>
      <c r="R268" s="4">
        <v>0</v>
      </c>
      <c r="S268" s="4">
        <v>0</v>
      </c>
      <c r="T268" s="4">
        <v>19</v>
      </c>
      <c r="U268" s="4">
        <v>56</v>
      </c>
      <c r="V268" s="6">
        <f>IF(ISERROR(VLOOKUP($S$268,'TAR FIN'!$A$1:$O$85,15,0)),0,VLOOKUP($S$268,'TAR FIN'!$A$1:$O$85,15,0))</f>
        <v>0</v>
      </c>
      <c r="W268" s="6">
        <f>IF(ISERROR(VLOOKUP($T$268,'TAR FIN'!$A$1:$O$85,15,0)),0,VLOOKUP($T$268,'TAR FIN'!$A$1:$O$85,15,0))</f>
        <v>234.68</v>
      </c>
      <c r="X268" s="6">
        <f>IF(ISERROR(VLOOKUP($U$268,'TAR FIN'!$A$1:$O$85,15,0)),0,VLOOKUP($U$268,'TAR FIN'!$A$1:$O$85,15,0))</f>
        <v>290.29000000000002</v>
      </c>
      <c r="Y268" s="6"/>
      <c r="Z268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68" s="6">
        <f>('TE BE'!$AB$13+'TE BF'!$AB$13+'TE CVA'!$AB$13)*(1-CUSTOS!$M$36)</f>
        <v>287.95867802403029</v>
      </c>
      <c r="AB268" s="6">
        <f t="shared" si="22"/>
        <v>0</v>
      </c>
      <c r="AC268" s="6">
        <f>(L268-M268)*(W268+X268)+($W$298+$X$298-$W$268-$X$268)*(L268)</f>
        <v>26248.908309999966</v>
      </c>
      <c r="AD268" s="6">
        <f t="shared" si="23"/>
        <v>0</v>
      </c>
      <c r="AE268" s="6">
        <f ca="1">(L268-M268)*(Z268+AA268)+($Z$298+$AA$298-$Z$268-$AA$268)*(L268)</f>
        <v>27398.629231855659</v>
      </c>
      <c r="AF268" s="4" t="s">
        <v>849</v>
      </c>
    </row>
    <row r="269" spans="1:32" ht="11.25" customHeight="1" x14ac:dyDescent="0.25">
      <c r="A269" s="4" t="s">
        <v>28</v>
      </c>
      <c r="B269" s="4" t="s">
        <v>22</v>
      </c>
      <c r="C269" s="4" t="s">
        <v>23</v>
      </c>
      <c r="D269" s="4" t="s">
        <v>24</v>
      </c>
      <c r="E269" s="4" t="s">
        <v>31</v>
      </c>
      <c r="F269" s="4" t="s">
        <v>25</v>
      </c>
      <c r="G269" s="4" t="s">
        <v>25</v>
      </c>
      <c r="H269" s="4" t="s">
        <v>25</v>
      </c>
      <c r="I269" s="5">
        <v>44440</v>
      </c>
      <c r="J269" s="6">
        <v>0</v>
      </c>
      <c r="K269" s="6">
        <v>0</v>
      </c>
      <c r="L269" s="6">
        <v>4.25</v>
      </c>
      <c r="M269" s="6">
        <v>4.25</v>
      </c>
      <c r="N269" s="6">
        <v>4.25</v>
      </c>
      <c r="O269" s="6">
        <v>4.25</v>
      </c>
      <c r="P269" s="6">
        <v>75</v>
      </c>
      <c r="Q269" s="4" t="s">
        <v>26</v>
      </c>
      <c r="R269" s="4">
        <v>0</v>
      </c>
      <c r="S269" s="4">
        <v>0</v>
      </c>
      <c r="T269" s="4">
        <v>19</v>
      </c>
      <c r="U269" s="4">
        <v>56</v>
      </c>
      <c r="V269" s="6">
        <f>IF(ISERROR(VLOOKUP($S$269,'TAR FIN'!$A$1:$O$85,15,0)),0,VLOOKUP($S$269,'TAR FIN'!$A$1:$O$85,15,0))</f>
        <v>0</v>
      </c>
      <c r="W269" s="6">
        <f>IF(ISERROR(VLOOKUP($T$269,'TAR FIN'!$A$1:$O$85,15,0)),0,VLOOKUP($T$269,'TAR FIN'!$A$1:$O$85,15,0))</f>
        <v>234.68</v>
      </c>
      <c r="X269" s="6">
        <f>IF(ISERROR(VLOOKUP($U$269,'TAR FIN'!$A$1:$O$85,15,0)),0,VLOOKUP($U$269,'TAR FIN'!$A$1:$O$85,15,0))</f>
        <v>290.29000000000002</v>
      </c>
      <c r="Y269" s="6"/>
      <c r="Z269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69" s="6">
        <f>('TE BE'!$AB$13+'TE BF'!$AB$13+'TE CVA'!$AB$13)*(1-CUSTOS!$M$36)</f>
        <v>287.95867802403029</v>
      </c>
      <c r="AB269" s="6">
        <f t="shared" si="22"/>
        <v>0</v>
      </c>
      <c r="AC269" s="6">
        <f>(L269-M269)*(W269+X269)+($W$298+$X$298-$W$269-$X$269)*(L269)</f>
        <v>247.90249999999969</v>
      </c>
      <c r="AD269" s="6">
        <f t="shared" si="23"/>
        <v>0</v>
      </c>
      <c r="AE269" s="6">
        <f ca="1">(L269-M269)*(Z269+AA269)+($Z$298+$AA$298-$Z$269-$AA$269)*(L269)</f>
        <v>258.76080646609176</v>
      </c>
      <c r="AF269" s="4" t="s">
        <v>849</v>
      </c>
    </row>
    <row r="270" spans="1:32" ht="11.25" customHeight="1" x14ac:dyDescent="0.25">
      <c r="A270" s="4" t="s">
        <v>21</v>
      </c>
      <c r="B270" s="4" t="s">
        <v>22</v>
      </c>
      <c r="C270" s="4" t="s">
        <v>23</v>
      </c>
      <c r="D270" s="4" t="s">
        <v>24</v>
      </c>
      <c r="E270" s="4" t="s">
        <v>31</v>
      </c>
      <c r="F270" s="4" t="s">
        <v>25</v>
      </c>
      <c r="G270" s="4" t="s">
        <v>25</v>
      </c>
      <c r="H270" s="4" t="s">
        <v>25</v>
      </c>
      <c r="I270" s="5">
        <v>44470</v>
      </c>
      <c r="J270" s="6">
        <v>0</v>
      </c>
      <c r="K270" s="6">
        <v>0</v>
      </c>
      <c r="L270" s="6">
        <v>491.18599999999998</v>
      </c>
      <c r="M270" s="6">
        <v>491.18599999999998</v>
      </c>
      <c r="N270" s="6">
        <v>491.18599999999998</v>
      </c>
      <c r="O270" s="6">
        <v>491.18599999999998</v>
      </c>
      <c r="P270" s="6">
        <v>5567</v>
      </c>
      <c r="Q270" s="4" t="s">
        <v>26</v>
      </c>
      <c r="R270" s="4">
        <v>0</v>
      </c>
      <c r="S270" s="4">
        <v>0</v>
      </c>
      <c r="T270" s="4">
        <v>19</v>
      </c>
      <c r="U270" s="4">
        <v>56</v>
      </c>
      <c r="V270" s="6">
        <f>IF(ISERROR(VLOOKUP($S$270,'TAR FIN'!$A$1:$O$85,15,0)),0,VLOOKUP($S$270,'TAR FIN'!$A$1:$O$85,15,0))</f>
        <v>0</v>
      </c>
      <c r="W270" s="6">
        <f>IF(ISERROR(VLOOKUP($T$270,'TAR FIN'!$A$1:$O$85,15,0)),0,VLOOKUP($T$270,'TAR FIN'!$A$1:$O$85,15,0))</f>
        <v>234.68</v>
      </c>
      <c r="X270" s="6">
        <f>IF(ISERROR(VLOOKUP($U$270,'TAR FIN'!$A$1:$O$85,15,0)),0,VLOOKUP($U$270,'TAR FIN'!$A$1:$O$85,15,0))</f>
        <v>290.29000000000002</v>
      </c>
      <c r="Y270" s="6"/>
      <c r="Z270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70" s="6">
        <f>('TE BE'!$AB$13+'TE BF'!$AB$13+'TE CVA'!$AB$13)*(1-CUSTOS!$M$36)</f>
        <v>287.95867802403029</v>
      </c>
      <c r="AB270" s="6">
        <f t="shared" si="22"/>
        <v>0</v>
      </c>
      <c r="AC270" s="6">
        <f>(L270-M270)*(W270+X270)+($W$298+$X$298-$W$270-$X$270)*(L270)</f>
        <v>28650.879379999962</v>
      </c>
      <c r="AD270" s="6">
        <f t="shared" si="23"/>
        <v>0</v>
      </c>
      <c r="AE270" s="6">
        <f ca="1">(L270-M270)*(Z270+AA270)+($Z$298+$AA$298-$Z$270-$AA$270)*(L270)</f>
        <v>29905.808349377348</v>
      </c>
      <c r="AF270" s="4" t="s">
        <v>849</v>
      </c>
    </row>
    <row r="271" spans="1:32" ht="11.25" customHeight="1" x14ac:dyDescent="0.25">
      <c r="A271" s="4" t="s">
        <v>28</v>
      </c>
      <c r="B271" s="4" t="s">
        <v>22</v>
      </c>
      <c r="C271" s="4" t="s">
        <v>23</v>
      </c>
      <c r="D271" s="4" t="s">
        <v>24</v>
      </c>
      <c r="E271" s="4" t="s">
        <v>31</v>
      </c>
      <c r="F271" s="4" t="s">
        <v>25</v>
      </c>
      <c r="G271" s="4" t="s">
        <v>25</v>
      </c>
      <c r="H271" s="4" t="s">
        <v>25</v>
      </c>
      <c r="I271" s="5">
        <v>44470</v>
      </c>
      <c r="J271" s="6">
        <v>0</v>
      </c>
      <c r="K271" s="6">
        <v>0</v>
      </c>
      <c r="L271" s="6">
        <v>5.4349999999999996</v>
      </c>
      <c r="M271" s="6">
        <v>5.4349999999999996</v>
      </c>
      <c r="N271" s="6">
        <v>5.4349999999999996</v>
      </c>
      <c r="O271" s="6">
        <v>5.4349999999999996</v>
      </c>
      <c r="P271" s="6">
        <v>78</v>
      </c>
      <c r="Q271" s="4" t="s">
        <v>26</v>
      </c>
      <c r="R271" s="4">
        <v>0</v>
      </c>
      <c r="S271" s="4">
        <v>0</v>
      </c>
      <c r="T271" s="4">
        <v>19</v>
      </c>
      <c r="U271" s="4">
        <v>56</v>
      </c>
      <c r="V271" s="6">
        <f>IF(ISERROR(VLOOKUP($S$271,'TAR FIN'!$A$1:$O$85,15,0)),0,VLOOKUP($S$271,'TAR FIN'!$A$1:$O$85,15,0))</f>
        <v>0</v>
      </c>
      <c r="W271" s="6">
        <f>IF(ISERROR(VLOOKUP($T$271,'TAR FIN'!$A$1:$O$85,15,0)),0,VLOOKUP($T$271,'TAR FIN'!$A$1:$O$85,15,0))</f>
        <v>234.68</v>
      </c>
      <c r="X271" s="6">
        <f>IF(ISERROR(VLOOKUP($U$271,'TAR FIN'!$A$1:$O$85,15,0)),0,VLOOKUP($U$271,'TAR FIN'!$A$1:$O$85,15,0))</f>
        <v>290.29000000000002</v>
      </c>
      <c r="Y271" s="6"/>
      <c r="Z271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71" s="6">
        <f>('TE BE'!$AB$13+'TE BF'!$AB$13+'TE CVA'!$AB$13)*(1-CUSTOS!$M$36)</f>
        <v>287.95867802403029</v>
      </c>
      <c r="AB271" s="6">
        <f t="shared" si="22"/>
        <v>0</v>
      </c>
      <c r="AC271" s="6">
        <f>(L271-M271)*(W271+X271)+($W$298+$X$298-$W$271-$X$271)*(L271)</f>
        <v>317.0235499999996</v>
      </c>
      <c r="AD271" s="6">
        <f t="shared" si="23"/>
        <v>0</v>
      </c>
      <c r="AE271" s="6">
        <f ca="1">(L271-M271)*(Z271+AA271)+($Z$298+$AA$298-$Z$271-$AA$271)*(L271)</f>
        <v>330.90940779840201</v>
      </c>
      <c r="AF271" s="4" t="s">
        <v>849</v>
      </c>
    </row>
    <row r="272" spans="1:32" ht="11.25" customHeight="1" x14ac:dyDescent="0.25">
      <c r="A272" s="4" t="s">
        <v>21</v>
      </c>
      <c r="B272" s="4" t="s">
        <v>22</v>
      </c>
      <c r="C272" s="4" t="s">
        <v>23</v>
      </c>
      <c r="D272" s="4" t="s">
        <v>24</v>
      </c>
      <c r="E272" s="4" t="s">
        <v>31</v>
      </c>
      <c r="F272" s="4" t="s">
        <v>25</v>
      </c>
      <c r="G272" s="4" t="s">
        <v>25</v>
      </c>
      <c r="H272" s="4" t="s">
        <v>25</v>
      </c>
      <c r="I272" s="5">
        <v>44501</v>
      </c>
      <c r="J272" s="6">
        <v>0</v>
      </c>
      <c r="K272" s="6">
        <v>0</v>
      </c>
      <c r="L272" s="6">
        <v>483.25599999999997</v>
      </c>
      <c r="M272" s="6">
        <v>483.25599999999997</v>
      </c>
      <c r="N272" s="6">
        <v>483.25599999999997</v>
      </c>
      <c r="O272" s="6">
        <v>483.25599999999997</v>
      </c>
      <c r="P272" s="6">
        <v>5716</v>
      </c>
      <c r="Q272" s="4" t="s">
        <v>26</v>
      </c>
      <c r="R272" s="4">
        <v>0</v>
      </c>
      <c r="S272" s="4">
        <v>0</v>
      </c>
      <c r="T272" s="4">
        <v>19</v>
      </c>
      <c r="U272" s="4">
        <v>56</v>
      </c>
      <c r="V272" s="6">
        <f>IF(ISERROR(VLOOKUP($S$272,'TAR FIN'!$A$1:$O$85,15,0)),0,VLOOKUP($S$272,'TAR FIN'!$A$1:$O$85,15,0))</f>
        <v>0</v>
      </c>
      <c r="W272" s="6">
        <f>IF(ISERROR(VLOOKUP($T$272,'TAR FIN'!$A$1:$O$85,15,0)),0,VLOOKUP($T$272,'TAR FIN'!$A$1:$O$85,15,0))</f>
        <v>234.68</v>
      </c>
      <c r="X272" s="6">
        <f>IF(ISERROR(VLOOKUP($U$272,'TAR FIN'!$A$1:$O$85,15,0)),0,VLOOKUP($U$272,'TAR FIN'!$A$1:$O$85,15,0))</f>
        <v>290.29000000000002</v>
      </c>
      <c r="Y272" s="6"/>
      <c r="Z272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72" s="6">
        <f>('TE BE'!$AB$13+'TE BF'!$AB$13+'TE CVA'!$AB$13)*(1-CUSTOS!$M$36)</f>
        <v>287.95867802403029</v>
      </c>
      <c r="AB272" s="6">
        <f t="shared" si="22"/>
        <v>0</v>
      </c>
      <c r="AC272" s="6">
        <f>(L272-M272)*(W272+X272)+($W$298+$X$298-$W$272-$X$272)*(L272)</f>
        <v>28188.322479999963</v>
      </c>
      <c r="AD272" s="6">
        <f t="shared" si="23"/>
        <v>0</v>
      </c>
      <c r="AE272" s="6">
        <f ca="1">(L272-M272)*(Z272+AA272)+($Z$298+$AA$298-$Z$272-$AA$272)*(L272)</f>
        <v>29422.991126959441</v>
      </c>
      <c r="AF272" s="4" t="s">
        <v>849</v>
      </c>
    </row>
    <row r="273" spans="1:32" ht="11.25" customHeight="1" x14ac:dyDescent="0.25">
      <c r="A273" s="4" t="s">
        <v>28</v>
      </c>
      <c r="B273" s="4" t="s">
        <v>22</v>
      </c>
      <c r="C273" s="4" t="s">
        <v>23</v>
      </c>
      <c r="D273" s="4" t="s">
        <v>24</v>
      </c>
      <c r="E273" s="4" t="s">
        <v>31</v>
      </c>
      <c r="F273" s="4" t="s">
        <v>25</v>
      </c>
      <c r="G273" s="4" t="s">
        <v>25</v>
      </c>
      <c r="H273" s="4" t="s">
        <v>25</v>
      </c>
      <c r="I273" s="5">
        <v>44501</v>
      </c>
      <c r="J273" s="6">
        <v>0</v>
      </c>
      <c r="K273" s="6">
        <v>0</v>
      </c>
      <c r="L273" s="6">
        <v>4.3049999999999997</v>
      </c>
      <c r="M273" s="6">
        <v>4.3049999999999997</v>
      </c>
      <c r="N273" s="6">
        <v>4.3049999999999997</v>
      </c>
      <c r="O273" s="6">
        <v>4.3049999999999997</v>
      </c>
      <c r="P273" s="6">
        <v>78</v>
      </c>
      <c r="Q273" s="4" t="s">
        <v>26</v>
      </c>
      <c r="R273" s="4">
        <v>0</v>
      </c>
      <c r="S273" s="4">
        <v>0</v>
      </c>
      <c r="T273" s="4">
        <v>19</v>
      </c>
      <c r="U273" s="4">
        <v>56</v>
      </c>
      <c r="V273" s="6">
        <f>IF(ISERROR(VLOOKUP($S$273,'TAR FIN'!$A$1:$O$85,15,0)),0,VLOOKUP($S$273,'TAR FIN'!$A$1:$O$85,15,0))</f>
        <v>0</v>
      </c>
      <c r="W273" s="6">
        <f>IF(ISERROR(VLOOKUP($T$273,'TAR FIN'!$A$1:$O$85,15,0)),0,VLOOKUP($T$273,'TAR FIN'!$A$1:$O$85,15,0))</f>
        <v>234.68</v>
      </c>
      <c r="X273" s="6">
        <f>IF(ISERROR(VLOOKUP($U$273,'TAR FIN'!$A$1:$O$85,15,0)),0,VLOOKUP($U$273,'TAR FIN'!$A$1:$O$85,15,0))</f>
        <v>290.29000000000002</v>
      </c>
      <c r="Y273" s="6"/>
      <c r="Z273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73" s="6">
        <f>('TE BE'!$AB$13+'TE BF'!$AB$13+'TE CVA'!$AB$13)*(1-CUSTOS!$M$36)</f>
        <v>287.95867802403029</v>
      </c>
      <c r="AB273" s="6">
        <f t="shared" si="22"/>
        <v>0</v>
      </c>
      <c r="AC273" s="6">
        <f>(L273-M273)*(W273+X273)+($W$298+$X$298-$W$273-$X$273)*(L273)</f>
        <v>251.11064999999968</v>
      </c>
      <c r="AD273" s="6">
        <f t="shared" si="23"/>
        <v>0</v>
      </c>
      <c r="AE273" s="6">
        <f ca="1">(L273-M273)*(Z273+AA273)+($Z$298+$AA$298-$Z$273-$AA$273)*(L273)</f>
        <v>262.10947572624116</v>
      </c>
      <c r="AF273" s="4" t="s">
        <v>849</v>
      </c>
    </row>
    <row r="274" spans="1:32" ht="11.25" customHeight="1" x14ac:dyDescent="0.25">
      <c r="A274" s="4" t="s">
        <v>21</v>
      </c>
      <c r="B274" s="4" t="s">
        <v>22</v>
      </c>
      <c r="C274" s="4" t="s">
        <v>23</v>
      </c>
      <c r="D274" s="4" t="s">
        <v>24</v>
      </c>
      <c r="E274" s="4" t="s">
        <v>31</v>
      </c>
      <c r="F274" s="4" t="s">
        <v>25</v>
      </c>
      <c r="G274" s="4" t="s">
        <v>25</v>
      </c>
      <c r="H274" s="4" t="s">
        <v>25</v>
      </c>
      <c r="I274" s="5">
        <v>44531</v>
      </c>
      <c r="J274" s="6">
        <v>0</v>
      </c>
      <c r="K274" s="6">
        <v>0</v>
      </c>
      <c r="L274" s="6">
        <v>512.75900000000001</v>
      </c>
      <c r="M274" s="6">
        <v>512.75900000000001</v>
      </c>
      <c r="N274" s="6">
        <v>512.75900000000001</v>
      </c>
      <c r="O274" s="6">
        <v>512.75900000000001</v>
      </c>
      <c r="P274" s="6">
        <v>5890</v>
      </c>
      <c r="Q274" s="4" t="s">
        <v>26</v>
      </c>
      <c r="R274" s="4">
        <v>0</v>
      </c>
      <c r="S274" s="4">
        <v>0</v>
      </c>
      <c r="T274" s="4">
        <v>19</v>
      </c>
      <c r="U274" s="4">
        <v>56</v>
      </c>
      <c r="V274" s="6">
        <f>IF(ISERROR(VLOOKUP($S$274,'TAR FIN'!$A$1:$O$85,15,0)),0,VLOOKUP($S$274,'TAR FIN'!$A$1:$O$85,15,0))</f>
        <v>0</v>
      </c>
      <c r="W274" s="6">
        <f>IF(ISERROR(VLOOKUP($T$274,'TAR FIN'!$A$1:$O$85,15,0)),0,VLOOKUP($T$274,'TAR FIN'!$A$1:$O$85,15,0))</f>
        <v>234.68</v>
      </c>
      <c r="X274" s="6">
        <f>IF(ISERROR(VLOOKUP($U$274,'TAR FIN'!$A$1:$O$85,15,0)),0,VLOOKUP($U$274,'TAR FIN'!$A$1:$O$85,15,0))</f>
        <v>290.29000000000002</v>
      </c>
      <c r="Y274" s="6"/>
      <c r="Z274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74" s="6">
        <f>('TE BE'!$AB$13+'TE BF'!$AB$13+'TE CVA'!$AB$13)*(1-CUSTOS!$M$36)</f>
        <v>287.95867802403029</v>
      </c>
      <c r="AB274" s="6">
        <f t="shared" si="22"/>
        <v>0</v>
      </c>
      <c r="AC274" s="6">
        <f>(L274-M274)*(W274+X274)+($W$298+$X$298-$W$274-$X$274)*(L274)</f>
        <v>29909.232469999963</v>
      </c>
      <c r="AD274" s="6">
        <f t="shared" si="23"/>
        <v>0</v>
      </c>
      <c r="AE274" s="6">
        <f ca="1">(L274-M274)*(Z274+AA274)+($Z$298+$AA$298-$Z$274-$AA$274)*(L274)</f>
        <v>31219.278202999234</v>
      </c>
      <c r="AF274" s="4" t="s">
        <v>849</v>
      </c>
    </row>
    <row r="275" spans="1:32" ht="11.25" customHeight="1" x14ac:dyDescent="0.25">
      <c r="A275" s="4" t="s">
        <v>27</v>
      </c>
      <c r="B275" s="4" t="s">
        <v>22</v>
      </c>
      <c r="C275" s="4" t="s">
        <v>23</v>
      </c>
      <c r="D275" s="4" t="s">
        <v>24</v>
      </c>
      <c r="E275" s="4" t="s">
        <v>31</v>
      </c>
      <c r="F275" s="4" t="s">
        <v>25</v>
      </c>
      <c r="G275" s="4" t="s">
        <v>25</v>
      </c>
      <c r="H275" s="4" t="s">
        <v>25</v>
      </c>
      <c r="I275" s="5">
        <v>44531</v>
      </c>
      <c r="J275" s="6">
        <v>0</v>
      </c>
      <c r="K275" s="6">
        <v>0</v>
      </c>
      <c r="L275" s="6">
        <v>-9.7000000000000003E-2</v>
      </c>
      <c r="M275" s="6">
        <v>-9.7000000000000003E-2</v>
      </c>
      <c r="N275" s="6">
        <v>-9.7000000000000003E-2</v>
      </c>
      <c r="O275" s="6">
        <v>-9.7000000000000003E-2</v>
      </c>
      <c r="P275" s="6">
        <v>3</v>
      </c>
      <c r="Q275" s="4" t="s">
        <v>26</v>
      </c>
      <c r="R275" s="4">
        <v>0</v>
      </c>
      <c r="S275" s="4">
        <v>0</v>
      </c>
      <c r="T275" s="4">
        <v>19</v>
      </c>
      <c r="U275" s="4">
        <v>56</v>
      </c>
      <c r="V275" s="6">
        <f>IF(ISERROR(VLOOKUP($S$275,'TAR FIN'!$A$1:$O$85,15,0)),0,VLOOKUP($S$275,'TAR FIN'!$A$1:$O$85,15,0))</f>
        <v>0</v>
      </c>
      <c r="W275" s="6">
        <f>IF(ISERROR(VLOOKUP($T$275,'TAR FIN'!$A$1:$O$85,15,0)),0,VLOOKUP($T$275,'TAR FIN'!$A$1:$O$85,15,0))</f>
        <v>234.68</v>
      </c>
      <c r="X275" s="6">
        <f>IF(ISERROR(VLOOKUP($U$275,'TAR FIN'!$A$1:$O$85,15,0)),0,VLOOKUP($U$275,'TAR FIN'!$A$1:$O$85,15,0))</f>
        <v>290.29000000000002</v>
      </c>
      <c r="Y275" s="6"/>
      <c r="Z275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75" s="6">
        <f>('TE BE'!$AB$13+'TE BF'!$AB$13+'TE CVA'!$AB$13)*(1-CUSTOS!$M$36)</f>
        <v>287.95867802403029</v>
      </c>
      <c r="AB275" s="6">
        <f t="shared" si="22"/>
        <v>0</v>
      </c>
      <c r="AC275" s="6">
        <f>(L275-M275)*(W275+X275)+($W$298+$X$298-$W$275-$X$275)*(L275)</f>
        <v>-5.6580099999999929</v>
      </c>
      <c r="AD275" s="6">
        <f t="shared" si="23"/>
        <v>0</v>
      </c>
      <c r="AE275" s="6">
        <f ca="1">(L275-M275)*(Z275+AA275)+($Z$298+$AA$298-$Z$275-$AA$275)*(L275)</f>
        <v>-5.9058348769908005</v>
      </c>
      <c r="AF275" s="4" t="s">
        <v>849</v>
      </c>
    </row>
    <row r="276" spans="1:32" ht="11.25" customHeight="1" x14ac:dyDescent="0.25">
      <c r="A276" s="4" t="s">
        <v>28</v>
      </c>
      <c r="B276" s="4" t="s">
        <v>22</v>
      </c>
      <c r="C276" s="4" t="s">
        <v>23</v>
      </c>
      <c r="D276" s="4" t="s">
        <v>24</v>
      </c>
      <c r="E276" s="4" t="s">
        <v>31</v>
      </c>
      <c r="F276" s="4" t="s">
        <v>25</v>
      </c>
      <c r="G276" s="4" t="s">
        <v>25</v>
      </c>
      <c r="H276" s="4" t="s">
        <v>25</v>
      </c>
      <c r="I276" s="5">
        <v>44531</v>
      </c>
      <c r="J276" s="6">
        <v>0</v>
      </c>
      <c r="K276" s="6">
        <v>0</v>
      </c>
      <c r="L276" s="6">
        <v>3.9460000000000002</v>
      </c>
      <c r="M276" s="6">
        <v>3.9460000000000002</v>
      </c>
      <c r="N276" s="6">
        <v>3.9460000000000002</v>
      </c>
      <c r="O276" s="6">
        <v>3.9460000000000002</v>
      </c>
      <c r="P276" s="6">
        <v>71</v>
      </c>
      <c r="Q276" s="4" t="s">
        <v>26</v>
      </c>
      <c r="R276" s="4">
        <v>0</v>
      </c>
      <c r="S276" s="4">
        <v>0</v>
      </c>
      <c r="T276" s="4">
        <v>19</v>
      </c>
      <c r="U276" s="4">
        <v>56</v>
      </c>
      <c r="V276" s="6">
        <f>IF(ISERROR(VLOOKUP($S$276,'TAR FIN'!$A$1:$O$85,15,0)),0,VLOOKUP($S$276,'TAR FIN'!$A$1:$O$85,15,0))</f>
        <v>0</v>
      </c>
      <c r="W276" s="6">
        <f>IF(ISERROR(VLOOKUP($T$276,'TAR FIN'!$A$1:$O$85,15,0)),0,VLOOKUP($T$276,'TAR FIN'!$A$1:$O$85,15,0))</f>
        <v>234.68</v>
      </c>
      <c r="X276" s="6">
        <f>IF(ISERROR(VLOOKUP($U$276,'TAR FIN'!$A$1:$O$85,15,0)),0,VLOOKUP($U$276,'TAR FIN'!$A$1:$O$85,15,0))</f>
        <v>290.29000000000002</v>
      </c>
      <c r="Y276" s="6"/>
      <c r="Z276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76" s="6">
        <f>('TE BE'!$AB$13+'TE BF'!$AB$13+'TE CVA'!$AB$13)*(1-CUSTOS!$M$36)</f>
        <v>287.95867802403029</v>
      </c>
      <c r="AB276" s="6">
        <f t="shared" si="22"/>
        <v>0</v>
      </c>
      <c r="AC276" s="6">
        <f>(L276-M276)*(W276+X276)+($W$298+$X$298-$W$276-$X$276)*(L276)</f>
        <v>230.17017999999973</v>
      </c>
      <c r="AD276" s="6">
        <f t="shared" si="23"/>
        <v>0</v>
      </c>
      <c r="AE276" s="6">
        <f ca="1">(L276-M276)*(Z276+AA276)+($Z$298+$AA$298-$Z$276-$AA$276)*(L276)</f>
        <v>240.2517981918113</v>
      </c>
      <c r="AF276" s="4" t="s">
        <v>849</v>
      </c>
    </row>
    <row r="277" spans="1:32" ht="11.25" customHeight="1" x14ac:dyDescent="0.25">
      <c r="A277" s="4" t="s">
        <v>21</v>
      </c>
      <c r="B277" s="4" t="s">
        <v>22</v>
      </c>
      <c r="C277" s="4" t="s">
        <v>23</v>
      </c>
      <c r="D277" s="4" t="s">
        <v>24</v>
      </c>
      <c r="E277" s="4" t="s">
        <v>31</v>
      </c>
      <c r="F277" s="4" t="s">
        <v>25</v>
      </c>
      <c r="G277" s="4" t="s">
        <v>25</v>
      </c>
      <c r="H277" s="4" t="s">
        <v>25</v>
      </c>
      <c r="I277" s="5">
        <v>44562</v>
      </c>
      <c r="J277" s="6">
        <v>0</v>
      </c>
      <c r="K277" s="6">
        <v>0</v>
      </c>
      <c r="L277" s="6">
        <v>575.22</v>
      </c>
      <c r="M277" s="6">
        <v>575.22</v>
      </c>
      <c r="N277" s="6">
        <v>575.22</v>
      </c>
      <c r="O277" s="6">
        <v>575.22</v>
      </c>
      <c r="P277" s="6">
        <v>5935</v>
      </c>
      <c r="Q277" s="4" t="s">
        <v>26</v>
      </c>
      <c r="R277" s="4">
        <v>0</v>
      </c>
      <c r="S277" s="4">
        <v>0</v>
      </c>
      <c r="T277" s="4">
        <v>19</v>
      </c>
      <c r="U277" s="4">
        <v>56</v>
      </c>
      <c r="V277" s="6">
        <f>IF(ISERROR(VLOOKUP($S$277,'TAR FIN'!$A$1:$O$85,15,0)),0,VLOOKUP($S$277,'TAR FIN'!$A$1:$O$85,15,0))</f>
        <v>0</v>
      </c>
      <c r="W277" s="6">
        <f>IF(ISERROR(VLOOKUP($T$277,'TAR FIN'!$A$1:$O$85,15,0)),0,VLOOKUP($T$277,'TAR FIN'!$A$1:$O$85,15,0))</f>
        <v>234.68</v>
      </c>
      <c r="X277" s="6">
        <f>IF(ISERROR(VLOOKUP($U$277,'TAR FIN'!$A$1:$O$85,15,0)),0,VLOOKUP($U$277,'TAR FIN'!$A$1:$O$85,15,0))</f>
        <v>290.29000000000002</v>
      </c>
      <c r="Y277" s="6"/>
      <c r="Z277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77" s="6">
        <f>('TE BE'!$AB$13+'TE BF'!$AB$13+'TE CVA'!$AB$13)*(1-CUSTOS!$M$36)</f>
        <v>287.95867802403029</v>
      </c>
      <c r="AB277" s="6">
        <f t="shared" si="22"/>
        <v>0</v>
      </c>
      <c r="AC277" s="6">
        <f>(L277-M277)*(W277+X277)+($W$298+$X$298-$W$277-$X$277)*(L277)</f>
        <v>33552.582599999958</v>
      </c>
      <c r="AD277" s="6">
        <f t="shared" si="23"/>
        <v>0</v>
      </c>
      <c r="AE277" s="6">
        <f ca="1">(L277-M277)*(Z277+AA277)+($Z$298+$AA$298-$Z$277-$AA$277)*(L277)</f>
        <v>35022.209669511838</v>
      </c>
      <c r="AF277" s="4" t="s">
        <v>849</v>
      </c>
    </row>
    <row r="278" spans="1:32" ht="11.25" customHeight="1" x14ac:dyDescent="0.25">
      <c r="A278" s="4" t="s">
        <v>27</v>
      </c>
      <c r="B278" s="4" t="s">
        <v>22</v>
      </c>
      <c r="C278" s="4" t="s">
        <v>23</v>
      </c>
      <c r="D278" s="4" t="s">
        <v>24</v>
      </c>
      <c r="E278" s="4" t="s">
        <v>31</v>
      </c>
      <c r="F278" s="4" t="s">
        <v>25</v>
      </c>
      <c r="G278" s="4" t="s">
        <v>25</v>
      </c>
      <c r="H278" s="4" t="s">
        <v>25</v>
      </c>
      <c r="I278" s="5">
        <v>44562</v>
      </c>
      <c r="J278" s="6">
        <v>0</v>
      </c>
      <c r="K278" s="6">
        <v>0</v>
      </c>
      <c r="L278" s="6">
        <v>2.1000000000000001E-2</v>
      </c>
      <c r="M278" s="6">
        <v>2.1000000000000001E-2</v>
      </c>
      <c r="N278" s="6">
        <v>2.1000000000000001E-2</v>
      </c>
      <c r="O278" s="6">
        <v>2.1000000000000001E-2</v>
      </c>
      <c r="P278" s="6">
        <v>2</v>
      </c>
      <c r="Q278" s="4" t="s">
        <v>26</v>
      </c>
      <c r="R278" s="4">
        <v>0</v>
      </c>
      <c r="S278" s="4">
        <v>0</v>
      </c>
      <c r="T278" s="4">
        <v>19</v>
      </c>
      <c r="U278" s="4">
        <v>56</v>
      </c>
      <c r="V278" s="6">
        <f>IF(ISERROR(VLOOKUP($S$278,'TAR FIN'!$A$1:$O$85,15,0)),0,VLOOKUP($S$278,'TAR FIN'!$A$1:$O$85,15,0))</f>
        <v>0</v>
      </c>
      <c r="W278" s="6">
        <f>IF(ISERROR(VLOOKUP($T$278,'TAR FIN'!$A$1:$O$85,15,0)),0,VLOOKUP($T$278,'TAR FIN'!$A$1:$O$85,15,0))</f>
        <v>234.68</v>
      </c>
      <c r="X278" s="6">
        <f>IF(ISERROR(VLOOKUP($U$278,'TAR FIN'!$A$1:$O$85,15,0)),0,VLOOKUP($U$278,'TAR FIN'!$A$1:$O$85,15,0))</f>
        <v>290.29000000000002</v>
      </c>
      <c r="Y278" s="6"/>
      <c r="Z278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78" s="6">
        <f>('TE BE'!$AB$13+'TE BF'!$AB$13+'TE CVA'!$AB$13)*(1-CUSTOS!$M$36)</f>
        <v>287.95867802403029</v>
      </c>
      <c r="AB278" s="6">
        <f t="shared" si="22"/>
        <v>0</v>
      </c>
      <c r="AC278" s="6">
        <f>(L278-M278)*(W278+X278)+($W$298+$X$298-$W$278-$X$278)*(L278)</f>
        <v>1.2249299999999985</v>
      </c>
      <c r="AD278" s="6">
        <f t="shared" si="23"/>
        <v>0</v>
      </c>
      <c r="AE278" s="6">
        <f ca="1">(L278-M278)*(Z278+AA278)+($Z$298+$AA$298-$Z$278-$AA$278)*(L278)</f>
        <v>1.2785828084206887</v>
      </c>
      <c r="AF278" s="4" t="s">
        <v>849</v>
      </c>
    </row>
    <row r="279" spans="1:32" ht="11.25" customHeight="1" x14ac:dyDescent="0.25">
      <c r="A279" s="4" t="s">
        <v>28</v>
      </c>
      <c r="B279" s="4" t="s">
        <v>22</v>
      </c>
      <c r="C279" s="4" t="s">
        <v>23</v>
      </c>
      <c r="D279" s="4" t="s">
        <v>24</v>
      </c>
      <c r="E279" s="4" t="s">
        <v>31</v>
      </c>
      <c r="F279" s="4" t="s">
        <v>25</v>
      </c>
      <c r="G279" s="4" t="s">
        <v>25</v>
      </c>
      <c r="H279" s="4" t="s">
        <v>25</v>
      </c>
      <c r="I279" s="5">
        <v>44562</v>
      </c>
      <c r="J279" s="6">
        <v>0</v>
      </c>
      <c r="K279" s="6">
        <v>0</v>
      </c>
      <c r="L279" s="6">
        <v>5.07</v>
      </c>
      <c r="M279" s="6">
        <v>5.07</v>
      </c>
      <c r="N279" s="6">
        <v>5.07</v>
      </c>
      <c r="O279" s="6">
        <v>5.07</v>
      </c>
      <c r="P279" s="6">
        <v>75</v>
      </c>
      <c r="Q279" s="4" t="s">
        <v>26</v>
      </c>
      <c r="R279" s="4">
        <v>0</v>
      </c>
      <c r="S279" s="4">
        <v>0</v>
      </c>
      <c r="T279" s="4">
        <v>19</v>
      </c>
      <c r="U279" s="4">
        <v>56</v>
      </c>
      <c r="V279" s="6">
        <f>IF(ISERROR(VLOOKUP($S$279,'TAR FIN'!$A$1:$O$85,15,0)),0,VLOOKUP($S$279,'TAR FIN'!$A$1:$O$85,15,0))</f>
        <v>0</v>
      </c>
      <c r="W279" s="6">
        <f>IF(ISERROR(VLOOKUP($T$279,'TAR FIN'!$A$1:$O$85,15,0)),0,VLOOKUP($T$279,'TAR FIN'!$A$1:$O$85,15,0))</f>
        <v>234.68</v>
      </c>
      <c r="X279" s="6">
        <f>IF(ISERROR(VLOOKUP($U$279,'TAR FIN'!$A$1:$O$85,15,0)),0,VLOOKUP($U$279,'TAR FIN'!$A$1:$O$85,15,0))</f>
        <v>290.29000000000002</v>
      </c>
      <c r="Y279" s="6"/>
      <c r="Z279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79" s="6">
        <f>('TE BE'!$AB$13+'TE BF'!$AB$13+'TE CVA'!$AB$13)*(1-CUSTOS!$M$36)</f>
        <v>287.95867802403029</v>
      </c>
      <c r="AB279" s="6">
        <f t="shared" si="22"/>
        <v>0</v>
      </c>
      <c r="AC279" s="6">
        <f>(L279-M279)*(W279+X279)+($W$298+$X$298-$W$279-$X$279)*(L279)</f>
        <v>295.73309999999964</v>
      </c>
      <c r="AD279" s="6">
        <f t="shared" si="23"/>
        <v>0</v>
      </c>
      <c r="AE279" s="6">
        <f ca="1">(L279-M279)*(Z279+AA279)+($Z$298+$AA$298-$Z$279-$AA$279)*(L279)</f>
        <v>308.6864208901377</v>
      </c>
      <c r="AF279" s="4" t="s">
        <v>849</v>
      </c>
    </row>
    <row r="280" spans="1:32" ht="11.25" customHeight="1" x14ac:dyDescent="0.25">
      <c r="A280" s="4" t="s">
        <v>21</v>
      </c>
      <c r="B280" s="4" t="s">
        <v>22</v>
      </c>
      <c r="C280" s="4" t="s">
        <v>23</v>
      </c>
      <c r="D280" s="4" t="s">
        <v>24</v>
      </c>
      <c r="E280" s="4" t="s">
        <v>31</v>
      </c>
      <c r="F280" s="4" t="s">
        <v>25</v>
      </c>
      <c r="G280" s="4" t="s">
        <v>25</v>
      </c>
      <c r="H280" s="4" t="s">
        <v>25</v>
      </c>
      <c r="I280" s="5">
        <v>44593</v>
      </c>
      <c r="J280" s="6">
        <v>0</v>
      </c>
      <c r="K280" s="6">
        <v>0</v>
      </c>
      <c r="L280" s="6">
        <v>631.27800000000002</v>
      </c>
      <c r="M280" s="6">
        <v>631.27800000000002</v>
      </c>
      <c r="N280" s="6">
        <v>631.27800000000002</v>
      </c>
      <c r="O280" s="6">
        <v>631.27800000000002</v>
      </c>
      <c r="P280" s="6">
        <v>5962</v>
      </c>
      <c r="Q280" s="4" t="s">
        <v>26</v>
      </c>
      <c r="R280" s="4">
        <v>0</v>
      </c>
      <c r="S280" s="4">
        <v>0</v>
      </c>
      <c r="T280" s="4">
        <v>19</v>
      </c>
      <c r="U280" s="4">
        <v>56</v>
      </c>
      <c r="V280" s="6">
        <f>IF(ISERROR(VLOOKUP($S$280,'TAR FIN'!$A$1:$O$85,15,0)),0,VLOOKUP($S$280,'TAR FIN'!$A$1:$O$85,15,0))</f>
        <v>0</v>
      </c>
      <c r="W280" s="6">
        <f>IF(ISERROR(VLOOKUP($T$280,'TAR FIN'!$A$1:$O$85,15,0)),0,VLOOKUP($T$280,'TAR FIN'!$A$1:$O$85,15,0))</f>
        <v>234.68</v>
      </c>
      <c r="X280" s="6">
        <f>IF(ISERROR(VLOOKUP($U$280,'TAR FIN'!$A$1:$O$85,15,0)),0,VLOOKUP($U$280,'TAR FIN'!$A$1:$O$85,15,0))</f>
        <v>290.29000000000002</v>
      </c>
      <c r="Y280" s="6"/>
      <c r="Z280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80" s="6">
        <f>('TE BE'!$AB$13+'TE BF'!$AB$13+'TE CVA'!$AB$13)*(1-CUSTOS!$M$36)</f>
        <v>287.95867802403029</v>
      </c>
      <c r="AB280" s="6">
        <f t="shared" si="22"/>
        <v>0</v>
      </c>
      <c r="AC280" s="6">
        <f>(L280-M280)*(W280+X280)+($W$298+$X$298-$W$280-$X$280)*(L280)</f>
        <v>36822.445739999952</v>
      </c>
      <c r="AD280" s="6">
        <f t="shared" si="23"/>
        <v>0</v>
      </c>
      <c r="AE280" s="6">
        <f ca="1">(L280-M280)*(Z280+AA280)+($Z$298+$AA$298-$Z$280-$AA$280)*(L280)</f>
        <v>38435.295149247402</v>
      </c>
      <c r="AF280" s="4" t="s">
        <v>849</v>
      </c>
    </row>
    <row r="281" spans="1:32" ht="11.25" customHeight="1" x14ac:dyDescent="0.25">
      <c r="A281" s="4" t="s">
        <v>28</v>
      </c>
      <c r="B281" s="4" t="s">
        <v>22</v>
      </c>
      <c r="C281" s="4" t="s">
        <v>23</v>
      </c>
      <c r="D281" s="4" t="s">
        <v>24</v>
      </c>
      <c r="E281" s="4" t="s">
        <v>31</v>
      </c>
      <c r="F281" s="4" t="s">
        <v>25</v>
      </c>
      <c r="G281" s="4" t="s">
        <v>25</v>
      </c>
      <c r="H281" s="4" t="s">
        <v>25</v>
      </c>
      <c r="I281" s="5">
        <v>44593</v>
      </c>
      <c r="J281" s="6">
        <v>0</v>
      </c>
      <c r="K281" s="6">
        <v>0</v>
      </c>
      <c r="L281" s="6">
        <v>5.9489999999999998</v>
      </c>
      <c r="M281" s="6">
        <v>5.9489999999999998</v>
      </c>
      <c r="N281" s="6">
        <v>5.9489999999999998</v>
      </c>
      <c r="O281" s="6">
        <v>5.9489999999999998</v>
      </c>
      <c r="P281" s="6">
        <v>83</v>
      </c>
      <c r="Q281" s="4" t="s">
        <v>26</v>
      </c>
      <c r="R281" s="4">
        <v>0</v>
      </c>
      <c r="S281" s="4">
        <v>0</v>
      </c>
      <c r="T281" s="4">
        <v>19</v>
      </c>
      <c r="U281" s="4">
        <v>56</v>
      </c>
      <c r="V281" s="6">
        <f>IF(ISERROR(VLOOKUP($S$281,'TAR FIN'!$A$1:$O$85,15,0)),0,VLOOKUP($S$281,'TAR FIN'!$A$1:$O$85,15,0))</f>
        <v>0</v>
      </c>
      <c r="W281" s="6">
        <f>IF(ISERROR(VLOOKUP($T$281,'TAR FIN'!$A$1:$O$85,15,0)),0,VLOOKUP($T$281,'TAR FIN'!$A$1:$O$85,15,0))</f>
        <v>234.68</v>
      </c>
      <c r="X281" s="6">
        <f>IF(ISERROR(VLOOKUP($U$281,'TAR FIN'!$A$1:$O$85,15,0)),0,VLOOKUP($U$281,'TAR FIN'!$A$1:$O$85,15,0))</f>
        <v>290.29000000000002</v>
      </c>
      <c r="Y281" s="6"/>
      <c r="Z281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81" s="6">
        <f>('TE BE'!$AB$13+'TE BF'!$AB$13+'TE CVA'!$AB$13)*(1-CUSTOS!$M$36)</f>
        <v>287.95867802403029</v>
      </c>
      <c r="AB281" s="6">
        <f t="shared" si="22"/>
        <v>0</v>
      </c>
      <c r="AC281" s="6">
        <f>(L281-M281)*(W281+X281)+($W$298+$X$298-$W$281-$X$281)*(L281)</f>
        <v>347.00516999999957</v>
      </c>
      <c r="AD281" s="6">
        <f t="shared" si="23"/>
        <v>0</v>
      </c>
      <c r="AE281" s="6">
        <f ca="1">(L281-M281)*(Z281+AA281)+($Z$298+$AA$298-$Z$281-$AA$281)*(L281)</f>
        <v>362.20424415688939</v>
      </c>
      <c r="AF281" s="4" t="s">
        <v>849</v>
      </c>
    </row>
    <row r="282" spans="1:32" ht="11.25" customHeight="1" x14ac:dyDescent="0.25">
      <c r="A282" s="4" t="s">
        <v>21</v>
      </c>
      <c r="B282" s="4" t="s">
        <v>22</v>
      </c>
      <c r="C282" s="4" t="s">
        <v>23</v>
      </c>
      <c r="D282" s="4" t="s">
        <v>24</v>
      </c>
      <c r="E282" s="4" t="s">
        <v>31</v>
      </c>
      <c r="F282" s="4" t="s">
        <v>25</v>
      </c>
      <c r="G282" s="4" t="s">
        <v>25</v>
      </c>
      <c r="H282" s="4" t="s">
        <v>25</v>
      </c>
      <c r="I282" s="5">
        <v>44621</v>
      </c>
      <c r="J282" s="6">
        <v>0</v>
      </c>
      <c r="K282" s="6">
        <v>0</v>
      </c>
      <c r="L282" s="6">
        <v>761.79200000000003</v>
      </c>
      <c r="M282" s="6">
        <v>761.79200000000003</v>
      </c>
      <c r="N282" s="6">
        <v>761.79200000000003</v>
      </c>
      <c r="O282" s="6">
        <v>761.79200000000003</v>
      </c>
      <c r="P282" s="6">
        <v>6963</v>
      </c>
      <c r="Q282" s="4" t="s">
        <v>26</v>
      </c>
      <c r="R282" s="4">
        <v>0</v>
      </c>
      <c r="S282" s="4">
        <v>0</v>
      </c>
      <c r="T282" s="4">
        <v>19</v>
      </c>
      <c r="U282" s="4">
        <v>56</v>
      </c>
      <c r="V282" s="6">
        <f>IF(ISERROR(VLOOKUP($S$282,'TAR FIN'!$A$1:$O$85,15,0)),0,VLOOKUP($S$282,'TAR FIN'!$A$1:$O$85,15,0))</f>
        <v>0</v>
      </c>
      <c r="W282" s="6">
        <f>IF(ISERROR(VLOOKUP($T$282,'TAR FIN'!$A$1:$O$85,15,0)),0,VLOOKUP($T$282,'TAR FIN'!$A$1:$O$85,15,0))</f>
        <v>234.68</v>
      </c>
      <c r="X282" s="6">
        <f>IF(ISERROR(VLOOKUP($U$282,'TAR FIN'!$A$1:$O$85,15,0)),0,VLOOKUP($U$282,'TAR FIN'!$A$1:$O$85,15,0))</f>
        <v>290.29000000000002</v>
      </c>
      <c r="Y282" s="6"/>
      <c r="Z282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82" s="6">
        <f>('TE BE'!$AB$13+'TE BF'!$AB$13+'TE CVA'!$AB$13)*(1-CUSTOS!$M$36)</f>
        <v>287.95867802403029</v>
      </c>
      <c r="AB282" s="6">
        <f t="shared" si="22"/>
        <v>0</v>
      </c>
      <c r="AC282" s="6">
        <f>(L282-M282)*(W282+X282)+($W$298+$X$298-$W$282-$X$282)*(L282)</f>
        <v>44435.327359999945</v>
      </c>
      <c r="AD282" s="6">
        <f t="shared" si="23"/>
        <v>0</v>
      </c>
      <c r="AE282" s="6">
        <f ca="1">(L282-M282)*(Z282+AA282)+($Z$298+$AA$298-$Z$282-$AA$282)*(L282)</f>
        <v>46381.626418686348</v>
      </c>
      <c r="AF282" s="4" t="s">
        <v>849</v>
      </c>
    </row>
    <row r="283" spans="1:32" ht="11.25" customHeight="1" x14ac:dyDescent="0.25">
      <c r="A283" s="4" t="s">
        <v>27</v>
      </c>
      <c r="B283" s="4" t="s">
        <v>22</v>
      </c>
      <c r="C283" s="4" t="s">
        <v>23</v>
      </c>
      <c r="D283" s="4" t="s">
        <v>24</v>
      </c>
      <c r="E283" s="4" t="s">
        <v>31</v>
      </c>
      <c r="F283" s="4" t="s">
        <v>25</v>
      </c>
      <c r="G283" s="4" t="s">
        <v>25</v>
      </c>
      <c r="H283" s="4" t="s">
        <v>25</v>
      </c>
      <c r="I283" s="5">
        <v>44621</v>
      </c>
      <c r="J283" s="6">
        <v>0</v>
      </c>
      <c r="K283" s="6">
        <v>0</v>
      </c>
      <c r="L283" s="6">
        <v>0.13600000000000001</v>
      </c>
      <c r="M283" s="6">
        <v>0.13600000000000001</v>
      </c>
      <c r="N283" s="6">
        <v>0.13600000000000001</v>
      </c>
      <c r="O283" s="6">
        <v>0.13600000000000001</v>
      </c>
      <c r="P283" s="6">
        <v>2</v>
      </c>
      <c r="Q283" s="4" t="s">
        <v>26</v>
      </c>
      <c r="R283" s="4">
        <v>0</v>
      </c>
      <c r="S283" s="4">
        <v>0</v>
      </c>
      <c r="T283" s="4">
        <v>19</v>
      </c>
      <c r="U283" s="4">
        <v>56</v>
      </c>
      <c r="V283" s="6">
        <f>IF(ISERROR(VLOOKUP($S$283,'TAR FIN'!$A$1:$O$85,15,0)),0,VLOOKUP($S$283,'TAR FIN'!$A$1:$O$85,15,0))</f>
        <v>0</v>
      </c>
      <c r="W283" s="6">
        <f>IF(ISERROR(VLOOKUP($T$283,'TAR FIN'!$A$1:$O$85,15,0)),0,VLOOKUP($T$283,'TAR FIN'!$A$1:$O$85,15,0))</f>
        <v>234.68</v>
      </c>
      <c r="X283" s="6">
        <f>IF(ISERROR(VLOOKUP($U$283,'TAR FIN'!$A$1:$O$85,15,0)),0,VLOOKUP($U$283,'TAR FIN'!$A$1:$O$85,15,0))</f>
        <v>290.29000000000002</v>
      </c>
      <c r="Y283" s="6"/>
      <c r="Z283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83" s="6">
        <f>('TE BE'!$AB$13+'TE BF'!$AB$13+'TE CVA'!$AB$13)*(1-CUSTOS!$M$36)</f>
        <v>287.95867802403029</v>
      </c>
      <c r="AB283" s="6">
        <f t="shared" si="22"/>
        <v>0</v>
      </c>
      <c r="AC283" s="6">
        <f>(L283-M283)*(W283+X283)+($W$298+$X$298-$W$283-$X$283)*(L283)</f>
        <v>7.932879999999991</v>
      </c>
      <c r="AD283" s="6">
        <f t="shared" si="23"/>
        <v>0</v>
      </c>
      <c r="AE283" s="6">
        <f ca="1">(L283-M283)*(Z283+AA283)+($Z$298+$AA$298-$Z$283-$AA$283)*(L283)</f>
        <v>8.2803458069149372</v>
      </c>
      <c r="AF283" s="4" t="s">
        <v>849</v>
      </c>
    </row>
    <row r="284" spans="1:32" ht="11.25" customHeight="1" x14ac:dyDescent="0.25">
      <c r="A284" s="4" t="s">
        <v>28</v>
      </c>
      <c r="B284" s="4" t="s">
        <v>22</v>
      </c>
      <c r="C284" s="4" t="s">
        <v>23</v>
      </c>
      <c r="D284" s="4" t="s">
        <v>24</v>
      </c>
      <c r="E284" s="4" t="s">
        <v>31</v>
      </c>
      <c r="F284" s="4" t="s">
        <v>25</v>
      </c>
      <c r="G284" s="4" t="s">
        <v>25</v>
      </c>
      <c r="H284" s="4" t="s">
        <v>25</v>
      </c>
      <c r="I284" s="5">
        <v>44621</v>
      </c>
      <c r="J284" s="6">
        <v>0</v>
      </c>
      <c r="K284" s="6">
        <v>0</v>
      </c>
      <c r="L284" s="6">
        <v>5.52</v>
      </c>
      <c r="M284" s="6">
        <v>5.52</v>
      </c>
      <c r="N284" s="6">
        <v>5.52</v>
      </c>
      <c r="O284" s="6">
        <v>5.52</v>
      </c>
      <c r="P284" s="6">
        <v>82</v>
      </c>
      <c r="Q284" s="4" t="s">
        <v>26</v>
      </c>
      <c r="R284" s="4">
        <v>0</v>
      </c>
      <c r="S284" s="4">
        <v>0</v>
      </c>
      <c r="T284" s="4">
        <v>19</v>
      </c>
      <c r="U284" s="4">
        <v>56</v>
      </c>
      <c r="V284" s="6">
        <f>IF(ISERROR(VLOOKUP($S$284,'TAR FIN'!$A$1:$O$85,15,0)),0,VLOOKUP($S$284,'TAR FIN'!$A$1:$O$85,15,0))</f>
        <v>0</v>
      </c>
      <c r="W284" s="6">
        <f>IF(ISERROR(VLOOKUP($T$284,'TAR FIN'!$A$1:$O$85,15,0)),0,VLOOKUP($T$284,'TAR FIN'!$A$1:$O$85,15,0))</f>
        <v>234.68</v>
      </c>
      <c r="X284" s="6">
        <f>IF(ISERROR(VLOOKUP($U$284,'TAR FIN'!$A$1:$O$85,15,0)),0,VLOOKUP($U$284,'TAR FIN'!$A$1:$O$85,15,0))</f>
        <v>290.29000000000002</v>
      </c>
      <c r="Y284" s="6"/>
      <c r="Z284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84" s="6">
        <f>('TE BE'!$AB$13+'TE BF'!$AB$13+'TE CVA'!$AB$13)*(1-CUSTOS!$M$36)</f>
        <v>287.95867802403029</v>
      </c>
      <c r="AB284" s="6">
        <f t="shared" si="22"/>
        <v>0</v>
      </c>
      <c r="AC284" s="6">
        <f>(L284-M284)*(W284+X284)+($W$298+$X$298-$W$284-$X$284)*(L284)</f>
        <v>321.98159999999956</v>
      </c>
      <c r="AD284" s="6">
        <f t="shared" si="23"/>
        <v>0</v>
      </c>
      <c r="AE284" s="6">
        <f ca="1">(L284-M284)*(Z284+AA284)+($Z$298+$AA$298-$Z$284-$AA$284)*(L284)</f>
        <v>336.08462392772384</v>
      </c>
      <c r="AF284" s="4" t="s">
        <v>849</v>
      </c>
    </row>
    <row r="285" spans="1:32" ht="11.25" customHeight="1" x14ac:dyDescent="0.25">
      <c r="A285" s="4" t="s">
        <v>21</v>
      </c>
      <c r="B285" s="4" t="s">
        <v>22</v>
      </c>
      <c r="C285" s="4" t="s">
        <v>23</v>
      </c>
      <c r="D285" s="4" t="s">
        <v>24</v>
      </c>
      <c r="E285" s="4" t="s">
        <v>31</v>
      </c>
      <c r="F285" s="4" t="s">
        <v>25</v>
      </c>
      <c r="G285" s="4" t="s">
        <v>25</v>
      </c>
      <c r="H285" s="4" t="s">
        <v>25</v>
      </c>
      <c r="I285" s="5">
        <v>44652</v>
      </c>
      <c r="J285" s="6">
        <v>0</v>
      </c>
      <c r="K285" s="6">
        <v>0</v>
      </c>
      <c r="L285" s="6">
        <v>773.93899999999996</v>
      </c>
      <c r="M285" s="6">
        <v>773.93899999999996</v>
      </c>
      <c r="N285" s="6">
        <v>773.93899999999996</v>
      </c>
      <c r="O285" s="6">
        <v>773.93899999999996</v>
      </c>
      <c r="P285" s="6">
        <v>7117</v>
      </c>
      <c r="Q285" s="4" t="s">
        <v>26</v>
      </c>
      <c r="R285" s="4">
        <v>0</v>
      </c>
      <c r="S285" s="4">
        <v>0</v>
      </c>
      <c r="T285" s="4">
        <v>19</v>
      </c>
      <c r="U285" s="4">
        <v>56</v>
      </c>
      <c r="V285" s="6">
        <f>IF(ISERROR(VLOOKUP($S$285,'TAR FIN'!$A$1:$O$85,15,0)),0,VLOOKUP($S$285,'TAR FIN'!$A$1:$O$85,15,0))</f>
        <v>0</v>
      </c>
      <c r="W285" s="6">
        <f>IF(ISERROR(VLOOKUP($T$285,'TAR FIN'!$A$1:$O$85,15,0)),0,VLOOKUP($T$285,'TAR FIN'!$A$1:$O$85,15,0))</f>
        <v>234.68</v>
      </c>
      <c r="X285" s="6">
        <f>IF(ISERROR(VLOOKUP($U$285,'TAR FIN'!$A$1:$O$85,15,0)),0,VLOOKUP($U$285,'TAR FIN'!$A$1:$O$85,15,0))</f>
        <v>290.29000000000002</v>
      </c>
      <c r="Y285" s="6"/>
      <c r="Z285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85" s="6">
        <f>('TE BE'!$AB$13+'TE BF'!$AB$13+'TE CVA'!$AB$13)*(1-CUSTOS!$M$36)</f>
        <v>287.95867802403029</v>
      </c>
      <c r="AB285" s="6">
        <f t="shared" si="22"/>
        <v>0</v>
      </c>
      <c r="AC285" s="6">
        <f>(L285-M285)*(W285+X285)+($W$298+$X$298-$W$285-$X$285)*(L285)</f>
        <v>45143.861869999942</v>
      </c>
      <c r="AD285" s="6">
        <f t="shared" si="23"/>
        <v>0</v>
      </c>
      <c r="AE285" s="6">
        <f ca="1">(L285-M285)*(Z285+AA285)+($Z$298+$AA$298-$Z$285-$AA$285)*(L285)</f>
        <v>47121.195246014249</v>
      </c>
      <c r="AF285" s="4" t="s">
        <v>849</v>
      </c>
    </row>
    <row r="286" spans="1:32" ht="11.25" customHeight="1" x14ac:dyDescent="0.25">
      <c r="A286" s="4" t="s">
        <v>28</v>
      </c>
      <c r="B286" s="4" t="s">
        <v>22</v>
      </c>
      <c r="C286" s="4" t="s">
        <v>23</v>
      </c>
      <c r="D286" s="4" t="s">
        <v>24</v>
      </c>
      <c r="E286" s="4" t="s">
        <v>31</v>
      </c>
      <c r="F286" s="4" t="s">
        <v>25</v>
      </c>
      <c r="G286" s="4" t="s">
        <v>25</v>
      </c>
      <c r="H286" s="4" t="s">
        <v>25</v>
      </c>
      <c r="I286" s="5">
        <v>44652</v>
      </c>
      <c r="J286" s="6">
        <v>0</v>
      </c>
      <c r="K286" s="6">
        <v>0</v>
      </c>
      <c r="L286" s="6">
        <v>5.9610000000000003</v>
      </c>
      <c r="M286" s="6">
        <v>5.9610000000000003</v>
      </c>
      <c r="N286" s="6">
        <v>5.9610000000000003</v>
      </c>
      <c r="O286" s="6">
        <v>5.9610000000000003</v>
      </c>
      <c r="P286" s="6">
        <v>86</v>
      </c>
      <c r="Q286" s="4" t="s">
        <v>26</v>
      </c>
      <c r="R286" s="4">
        <v>0</v>
      </c>
      <c r="S286" s="4">
        <v>0</v>
      </c>
      <c r="T286" s="4">
        <v>19</v>
      </c>
      <c r="U286" s="4">
        <v>56</v>
      </c>
      <c r="V286" s="6">
        <f>IF(ISERROR(VLOOKUP($S$286,'TAR FIN'!$A$1:$O$85,15,0)),0,VLOOKUP($S$286,'TAR FIN'!$A$1:$O$85,15,0))</f>
        <v>0</v>
      </c>
      <c r="W286" s="6">
        <f>IF(ISERROR(VLOOKUP($T$286,'TAR FIN'!$A$1:$O$85,15,0)),0,VLOOKUP($T$286,'TAR FIN'!$A$1:$O$85,15,0))</f>
        <v>234.68</v>
      </c>
      <c r="X286" s="6">
        <f>IF(ISERROR(VLOOKUP($U$286,'TAR FIN'!$A$1:$O$85,15,0)),0,VLOOKUP($U$286,'TAR FIN'!$A$1:$O$85,15,0))</f>
        <v>290.29000000000002</v>
      </c>
      <c r="Y286" s="6"/>
      <c r="Z286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86" s="6">
        <f>('TE BE'!$AB$13+'TE BF'!$AB$13+'TE CVA'!$AB$13)*(1-CUSTOS!$M$36)</f>
        <v>287.95867802403029</v>
      </c>
      <c r="AB286" s="6">
        <f t="shared" si="22"/>
        <v>0</v>
      </c>
      <c r="AC286" s="6">
        <f>(L286-M286)*(W286+X286)+($W$298+$X$298-$W$286-$X$286)*(L286)</f>
        <v>347.7051299999996</v>
      </c>
      <c r="AD286" s="6">
        <f t="shared" si="23"/>
        <v>0</v>
      </c>
      <c r="AE286" s="6">
        <f ca="1">(L286-M286)*(Z286+AA286)+($Z$298+$AA$298-$Z$286-$AA$286)*(L286)</f>
        <v>362.93486290455837</v>
      </c>
      <c r="AF286" s="4" t="s">
        <v>849</v>
      </c>
    </row>
    <row r="287" spans="1:32" ht="11.25" customHeight="1" x14ac:dyDescent="0.25">
      <c r="A287" s="4" t="s">
        <v>21</v>
      </c>
      <c r="B287" s="4" t="s">
        <v>22</v>
      </c>
      <c r="C287" s="4" t="s">
        <v>23</v>
      </c>
      <c r="D287" s="4" t="s">
        <v>24</v>
      </c>
      <c r="E287" s="4" t="s">
        <v>31</v>
      </c>
      <c r="F287" s="4" t="s">
        <v>25</v>
      </c>
      <c r="G287" s="4" t="s">
        <v>25</v>
      </c>
      <c r="H287" s="4" t="s">
        <v>25</v>
      </c>
      <c r="I287" s="5">
        <v>44682</v>
      </c>
      <c r="J287" s="6">
        <v>0</v>
      </c>
      <c r="K287" s="6">
        <v>0</v>
      </c>
      <c r="L287" s="6">
        <v>578.27800000000002</v>
      </c>
      <c r="M287" s="6">
        <v>578.27800000000002</v>
      </c>
      <c r="N287" s="6">
        <v>578.27800000000002</v>
      </c>
      <c r="O287" s="6">
        <v>578.27800000000002</v>
      </c>
      <c r="P287" s="6">
        <v>6538</v>
      </c>
      <c r="Q287" s="4" t="s">
        <v>26</v>
      </c>
      <c r="R287" s="4">
        <v>0</v>
      </c>
      <c r="S287" s="4">
        <v>0</v>
      </c>
      <c r="T287" s="4">
        <v>19</v>
      </c>
      <c r="U287" s="4">
        <v>56</v>
      </c>
      <c r="V287" s="6">
        <f>IF(ISERROR(VLOOKUP($S$287,'TAR FIN'!$A$1:$O$85,15,0)),0,VLOOKUP($S$287,'TAR FIN'!$A$1:$O$85,15,0))</f>
        <v>0</v>
      </c>
      <c r="W287" s="6">
        <f>IF(ISERROR(VLOOKUP($T$287,'TAR FIN'!$A$1:$O$85,15,0)),0,VLOOKUP($T$287,'TAR FIN'!$A$1:$O$85,15,0))</f>
        <v>234.68</v>
      </c>
      <c r="X287" s="6">
        <f>IF(ISERROR(VLOOKUP($U$287,'TAR FIN'!$A$1:$O$85,15,0)),0,VLOOKUP($U$287,'TAR FIN'!$A$1:$O$85,15,0))</f>
        <v>290.29000000000002</v>
      </c>
      <c r="Y287" s="6"/>
      <c r="Z287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87" s="6">
        <f>('TE BE'!$AB$13+'TE BF'!$AB$13+'TE CVA'!$AB$13)*(1-CUSTOS!$M$36)</f>
        <v>287.95867802403029</v>
      </c>
      <c r="AB287" s="6">
        <f t="shared" si="22"/>
        <v>0</v>
      </c>
      <c r="AC287" s="6">
        <f>(L287-M287)*(W287+X287)+($W$298+$X$298-$W$287-$X$287)*(L287)</f>
        <v>33730.955739999961</v>
      </c>
      <c r="AD287" s="6">
        <f t="shared" si="23"/>
        <v>0</v>
      </c>
      <c r="AE287" s="6">
        <f ca="1">(L287-M287)*(Z287+AA287)+($Z$298+$AA$298-$Z$287-$AA$287)*(L287)</f>
        <v>35208.395680376147</v>
      </c>
      <c r="AF287" s="4" t="s">
        <v>849</v>
      </c>
    </row>
    <row r="288" spans="1:32" ht="11.25" customHeight="1" x14ac:dyDescent="0.25">
      <c r="A288" s="4" t="s">
        <v>27</v>
      </c>
      <c r="B288" s="4" t="s">
        <v>22</v>
      </c>
      <c r="C288" s="4" t="s">
        <v>23</v>
      </c>
      <c r="D288" s="4" t="s">
        <v>24</v>
      </c>
      <c r="E288" s="4" t="s">
        <v>31</v>
      </c>
      <c r="F288" s="4" t="s">
        <v>25</v>
      </c>
      <c r="G288" s="4" t="s">
        <v>25</v>
      </c>
      <c r="H288" s="4" t="s">
        <v>25</v>
      </c>
      <c r="I288" s="5">
        <v>44682</v>
      </c>
      <c r="J288" s="6">
        <v>0</v>
      </c>
      <c r="K288" s="6">
        <v>0</v>
      </c>
      <c r="L288" s="6">
        <v>-7.3999999999999996E-2</v>
      </c>
      <c r="M288" s="6">
        <v>-7.3999999999999996E-2</v>
      </c>
      <c r="N288" s="6">
        <v>-7.3999999999999996E-2</v>
      </c>
      <c r="O288" s="6">
        <v>-7.3999999999999996E-2</v>
      </c>
      <c r="P288" s="6">
        <v>0</v>
      </c>
      <c r="Q288" s="4" t="s">
        <v>26</v>
      </c>
      <c r="R288" s="4">
        <v>0</v>
      </c>
      <c r="S288" s="4">
        <v>0</v>
      </c>
      <c r="T288" s="4">
        <v>19</v>
      </c>
      <c r="U288" s="4">
        <v>56</v>
      </c>
      <c r="V288" s="6">
        <f>IF(ISERROR(VLOOKUP($S$288,'TAR FIN'!$A$1:$O$85,15,0)),0,VLOOKUP($S$288,'TAR FIN'!$A$1:$O$85,15,0))</f>
        <v>0</v>
      </c>
      <c r="W288" s="6">
        <f>IF(ISERROR(VLOOKUP($T$288,'TAR FIN'!$A$1:$O$85,15,0)),0,VLOOKUP($T$288,'TAR FIN'!$A$1:$O$85,15,0))</f>
        <v>234.68</v>
      </c>
      <c r="X288" s="6">
        <f>IF(ISERROR(VLOOKUP($U$288,'TAR FIN'!$A$1:$O$85,15,0)),0,VLOOKUP($U$288,'TAR FIN'!$A$1:$O$85,15,0))</f>
        <v>290.29000000000002</v>
      </c>
      <c r="Y288" s="6"/>
      <c r="Z288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88" s="6">
        <f>('TE BE'!$AB$13+'TE BF'!$AB$13+'TE CVA'!$AB$13)*(1-CUSTOS!$M$36)</f>
        <v>287.95867802403029</v>
      </c>
      <c r="AB288" s="6">
        <f t="shared" si="22"/>
        <v>0</v>
      </c>
      <c r="AC288" s="6">
        <f>(L288-M288)*(W288+X288)+($W$298+$X$298-$W$288-$X$288)*(L288)</f>
        <v>-4.3164199999999946</v>
      </c>
      <c r="AD288" s="6">
        <f t="shared" si="23"/>
        <v>0</v>
      </c>
      <c r="AE288" s="6">
        <f ca="1">(L288-M288)*(Z288+AA288)+($Z$298+$AA$298-$Z$288-$AA$288)*(L288)</f>
        <v>-4.5054822772919501</v>
      </c>
      <c r="AF288" s="4" t="s">
        <v>849</v>
      </c>
    </row>
    <row r="289" spans="1:32" ht="11.25" customHeight="1" x14ac:dyDescent="0.25">
      <c r="A289" s="4" t="s">
        <v>28</v>
      </c>
      <c r="B289" s="4" t="s">
        <v>22</v>
      </c>
      <c r="C289" s="4" t="s">
        <v>23</v>
      </c>
      <c r="D289" s="4" t="s">
        <v>24</v>
      </c>
      <c r="E289" s="4" t="s">
        <v>31</v>
      </c>
      <c r="F289" s="4" t="s">
        <v>25</v>
      </c>
      <c r="G289" s="4" t="s">
        <v>25</v>
      </c>
      <c r="H289" s="4" t="s">
        <v>25</v>
      </c>
      <c r="I289" s="5">
        <v>44682</v>
      </c>
      <c r="J289" s="6">
        <v>0</v>
      </c>
      <c r="K289" s="6">
        <v>0</v>
      </c>
      <c r="L289" s="6">
        <v>4.4569999999999999</v>
      </c>
      <c r="M289" s="6">
        <v>4.4569999999999999</v>
      </c>
      <c r="N289" s="6">
        <v>4.4569999999999999</v>
      </c>
      <c r="O289" s="6">
        <v>4.4569999999999999</v>
      </c>
      <c r="P289" s="6">
        <v>60</v>
      </c>
      <c r="Q289" s="4" t="s">
        <v>26</v>
      </c>
      <c r="R289" s="4">
        <v>0</v>
      </c>
      <c r="S289" s="4">
        <v>0</v>
      </c>
      <c r="T289" s="4">
        <v>19</v>
      </c>
      <c r="U289" s="4">
        <v>56</v>
      </c>
      <c r="V289" s="6">
        <f>IF(ISERROR(VLOOKUP($S$289,'TAR FIN'!$A$1:$O$85,15,0)),0,VLOOKUP($S$289,'TAR FIN'!$A$1:$O$85,15,0))</f>
        <v>0</v>
      </c>
      <c r="W289" s="6">
        <f>IF(ISERROR(VLOOKUP($T$289,'TAR FIN'!$A$1:$O$85,15,0)),0,VLOOKUP($T$289,'TAR FIN'!$A$1:$O$85,15,0))</f>
        <v>234.68</v>
      </c>
      <c r="X289" s="6">
        <f>IF(ISERROR(VLOOKUP($U$289,'TAR FIN'!$A$1:$O$85,15,0)),0,VLOOKUP($U$289,'TAR FIN'!$A$1:$O$85,15,0))</f>
        <v>290.29000000000002</v>
      </c>
      <c r="Y289" s="6"/>
      <c r="Z289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89" s="6">
        <f>('TE BE'!$AB$13+'TE BF'!$AB$13+'TE CVA'!$AB$13)*(1-CUSTOS!$M$36)</f>
        <v>287.95867802403029</v>
      </c>
      <c r="AB289" s="6">
        <f t="shared" si="22"/>
        <v>0</v>
      </c>
      <c r="AC289" s="6">
        <f>(L289-M289)*(W289+X289)+($W$298+$X$298-$W$289-$X$289)*(L289)</f>
        <v>259.97680999999966</v>
      </c>
      <c r="AD289" s="6">
        <f t="shared" si="23"/>
        <v>0</v>
      </c>
      <c r="AE289" s="6">
        <f ca="1">(L289-M289)*(Z289+AA289)+($Z$298+$AA$298-$Z$289-$AA$289)*(L289)</f>
        <v>271.36397986338136</v>
      </c>
      <c r="AF289" s="4" t="s">
        <v>849</v>
      </c>
    </row>
    <row r="290" spans="1:32" ht="11.25" customHeight="1" x14ac:dyDescent="0.25">
      <c r="A290" s="4" t="s">
        <v>21</v>
      </c>
      <c r="B290" s="4" t="s">
        <v>22</v>
      </c>
      <c r="C290" s="4" t="s">
        <v>23</v>
      </c>
      <c r="D290" s="4" t="s">
        <v>24</v>
      </c>
      <c r="E290" s="4" t="s">
        <v>31</v>
      </c>
      <c r="F290" s="4" t="s">
        <v>25</v>
      </c>
      <c r="G290" s="4" t="s">
        <v>25</v>
      </c>
      <c r="H290" s="4" t="s">
        <v>25</v>
      </c>
      <c r="I290" s="5">
        <v>44713</v>
      </c>
      <c r="J290" s="6">
        <v>0</v>
      </c>
      <c r="K290" s="6">
        <v>0</v>
      </c>
      <c r="L290" s="6">
        <v>508.09199999999998</v>
      </c>
      <c r="M290" s="6">
        <v>508.09199999999998</v>
      </c>
      <c r="N290" s="6">
        <v>508.09199999999998</v>
      </c>
      <c r="O290" s="6">
        <v>508.09199999999998</v>
      </c>
      <c r="P290" s="6">
        <v>6780</v>
      </c>
      <c r="Q290" s="4" t="s">
        <v>26</v>
      </c>
      <c r="R290" s="4">
        <v>0</v>
      </c>
      <c r="S290" s="4">
        <v>0</v>
      </c>
      <c r="T290" s="4">
        <v>19</v>
      </c>
      <c r="U290" s="4">
        <v>56</v>
      </c>
      <c r="V290" s="6">
        <f>IF(ISERROR(VLOOKUP($S$290,'TAR FIN'!$A$1:$O$85,15,0)),0,VLOOKUP($S$290,'TAR FIN'!$A$1:$O$85,15,0))</f>
        <v>0</v>
      </c>
      <c r="W290" s="6">
        <f>IF(ISERROR(VLOOKUP($T$290,'TAR FIN'!$A$1:$O$85,15,0)),0,VLOOKUP($T$290,'TAR FIN'!$A$1:$O$85,15,0))</f>
        <v>234.68</v>
      </c>
      <c r="X290" s="6">
        <f>IF(ISERROR(VLOOKUP($U$290,'TAR FIN'!$A$1:$O$85,15,0)),0,VLOOKUP($U$290,'TAR FIN'!$A$1:$O$85,15,0))</f>
        <v>290.29000000000002</v>
      </c>
      <c r="Y290" s="6"/>
      <c r="Z290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90" s="6">
        <f>('TE BE'!$AB$13+'TE BF'!$AB$13+'TE CVA'!$AB$13)*(1-CUSTOS!$M$36)</f>
        <v>287.95867802403029</v>
      </c>
      <c r="AB290" s="6">
        <f t="shared" si="22"/>
        <v>0</v>
      </c>
      <c r="AC290" s="6">
        <f>(L290-M290)*(W290+X290)+($W$298+$X$298-$W$290-$X$290)*(L290)</f>
        <v>29637.006359999963</v>
      </c>
      <c r="AD290" s="6">
        <f t="shared" si="23"/>
        <v>0</v>
      </c>
      <c r="AE290" s="6">
        <f ca="1">(L290-M290)*(Z290+AA290)+($Z$298+$AA$298-$Z$290-$AA$290)*(L290)</f>
        <v>30935.128395051644</v>
      </c>
      <c r="AF290" s="4" t="s">
        <v>849</v>
      </c>
    </row>
    <row r="291" spans="1:32" ht="11.25" customHeight="1" x14ac:dyDescent="0.25">
      <c r="A291" s="4" t="s">
        <v>28</v>
      </c>
      <c r="B291" s="4" t="s">
        <v>22</v>
      </c>
      <c r="C291" s="4" t="s">
        <v>23</v>
      </c>
      <c r="D291" s="4" t="s">
        <v>24</v>
      </c>
      <c r="E291" s="4" t="s">
        <v>31</v>
      </c>
      <c r="F291" s="4" t="s">
        <v>25</v>
      </c>
      <c r="G291" s="4" t="s">
        <v>25</v>
      </c>
      <c r="H291" s="4" t="s">
        <v>25</v>
      </c>
      <c r="I291" s="5">
        <v>44713</v>
      </c>
      <c r="J291" s="6">
        <v>0</v>
      </c>
      <c r="K291" s="6">
        <v>0</v>
      </c>
      <c r="L291" s="6">
        <v>3.7810000000000001</v>
      </c>
      <c r="M291" s="6">
        <v>3.7810000000000001</v>
      </c>
      <c r="N291" s="6">
        <v>3.7810000000000001</v>
      </c>
      <c r="O291" s="6">
        <v>3.7810000000000001</v>
      </c>
      <c r="P291" s="6">
        <v>59</v>
      </c>
      <c r="Q291" s="4" t="s">
        <v>26</v>
      </c>
      <c r="R291" s="4">
        <v>0</v>
      </c>
      <c r="S291" s="4">
        <v>0</v>
      </c>
      <c r="T291" s="4">
        <v>19</v>
      </c>
      <c r="U291" s="4">
        <v>56</v>
      </c>
      <c r="V291" s="6">
        <f>IF(ISERROR(VLOOKUP($S$291,'TAR FIN'!$A$1:$O$85,15,0)),0,VLOOKUP($S$291,'TAR FIN'!$A$1:$O$85,15,0))</f>
        <v>0</v>
      </c>
      <c r="W291" s="6">
        <f>IF(ISERROR(VLOOKUP($T$291,'TAR FIN'!$A$1:$O$85,15,0)),0,VLOOKUP($T$291,'TAR FIN'!$A$1:$O$85,15,0))</f>
        <v>234.68</v>
      </c>
      <c r="X291" s="6">
        <f>IF(ISERROR(VLOOKUP($U$291,'TAR FIN'!$A$1:$O$85,15,0)),0,VLOOKUP($U$291,'TAR FIN'!$A$1:$O$85,15,0))</f>
        <v>290.29000000000002</v>
      </c>
      <c r="Y291" s="6"/>
      <c r="Z291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91" s="6">
        <f>('TE BE'!$AB$13+'TE BF'!$AB$13+'TE CVA'!$AB$13)*(1-CUSTOS!$M$36)</f>
        <v>287.95867802403029</v>
      </c>
      <c r="AB291" s="6">
        <f t="shared" si="22"/>
        <v>0</v>
      </c>
      <c r="AC291" s="6">
        <f>(L291-M291)*(W291+X291)+($W$298+$X$298-$W$291-$X$291)*(L291)</f>
        <v>220.54572999999974</v>
      </c>
      <c r="AD291" s="6">
        <f t="shared" si="23"/>
        <v>0</v>
      </c>
      <c r="AE291" s="6">
        <f ca="1">(L291-M291)*(Z291+AA291)+($Z$298+$AA$298-$Z$291-$AA$291)*(L291)</f>
        <v>230.20579041136304</v>
      </c>
      <c r="AF291" s="4" t="s">
        <v>849</v>
      </c>
    </row>
    <row r="292" spans="1:32" ht="11.25" customHeight="1" x14ac:dyDescent="0.25">
      <c r="A292" s="4" t="s">
        <v>21</v>
      </c>
      <c r="B292" s="4" t="s">
        <v>22</v>
      </c>
      <c r="C292" s="4" t="s">
        <v>23</v>
      </c>
      <c r="D292" s="4" t="s">
        <v>24</v>
      </c>
      <c r="E292" s="4" t="s">
        <v>31</v>
      </c>
      <c r="F292" s="4" t="s">
        <v>25</v>
      </c>
      <c r="G292" s="4" t="s">
        <v>25</v>
      </c>
      <c r="H292" s="4" t="s">
        <v>25</v>
      </c>
      <c r="I292" s="5">
        <v>44743</v>
      </c>
      <c r="J292" s="6">
        <v>0</v>
      </c>
      <c r="K292" s="6">
        <v>0</v>
      </c>
      <c r="L292" s="6">
        <v>372.983</v>
      </c>
      <c r="M292" s="6">
        <v>372.983</v>
      </c>
      <c r="N292" s="6">
        <v>372.983</v>
      </c>
      <c r="O292" s="6">
        <v>372.983</v>
      </c>
      <c r="P292" s="6">
        <v>5580</v>
      </c>
      <c r="Q292" s="4" t="s">
        <v>26</v>
      </c>
      <c r="R292" s="4">
        <v>0</v>
      </c>
      <c r="S292" s="4">
        <v>0</v>
      </c>
      <c r="T292" s="4">
        <v>19</v>
      </c>
      <c r="U292" s="4">
        <v>56</v>
      </c>
      <c r="V292" s="6">
        <f>IF(ISERROR(VLOOKUP($S$292,'TAR FIN'!$A$1:$O$85,15,0)),0,VLOOKUP($S$292,'TAR FIN'!$A$1:$O$85,15,0))</f>
        <v>0</v>
      </c>
      <c r="W292" s="6">
        <f>IF(ISERROR(VLOOKUP($T$292,'TAR FIN'!$A$1:$O$85,15,0)),0,VLOOKUP($T$292,'TAR FIN'!$A$1:$O$85,15,0))</f>
        <v>234.68</v>
      </c>
      <c r="X292" s="6">
        <f>IF(ISERROR(VLOOKUP($U$292,'TAR FIN'!$A$1:$O$85,15,0)),0,VLOOKUP($U$292,'TAR FIN'!$A$1:$O$85,15,0))</f>
        <v>290.29000000000002</v>
      </c>
      <c r="Y292" s="6"/>
      <c r="Z292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92" s="6">
        <f>('TE BE'!$AB$13+'TE BF'!$AB$13+'TE CVA'!$AB$13)*(1-CUSTOS!$M$36)</f>
        <v>287.95867802403029</v>
      </c>
      <c r="AB292" s="6">
        <f t="shared" si="22"/>
        <v>0</v>
      </c>
      <c r="AC292" s="6">
        <f>(L292-M292)*(W292+X292)+($W$298+$X$298-$W$292-$X$292)*(L292)</f>
        <v>21756.098389999974</v>
      </c>
      <c r="AD292" s="6">
        <f t="shared" si="23"/>
        <v>0</v>
      </c>
      <c r="AE292" s="6">
        <f ca="1">(L292-M292)*(Z292+AA292)+($Z$298+$AA$298-$Z$292-$AA$292)*(L292)</f>
        <v>22709.031030151131</v>
      </c>
      <c r="AF292" s="4" t="s">
        <v>849</v>
      </c>
    </row>
    <row r="293" spans="1:32" ht="11.25" customHeight="1" x14ac:dyDescent="0.25">
      <c r="A293" s="4" t="s">
        <v>27</v>
      </c>
      <c r="B293" s="4" t="s">
        <v>22</v>
      </c>
      <c r="C293" s="4" t="s">
        <v>23</v>
      </c>
      <c r="D293" s="4" t="s">
        <v>24</v>
      </c>
      <c r="E293" s="4" t="s">
        <v>31</v>
      </c>
      <c r="F293" s="4" t="s">
        <v>25</v>
      </c>
      <c r="G293" s="4" t="s">
        <v>25</v>
      </c>
      <c r="H293" s="4" t="s">
        <v>25</v>
      </c>
      <c r="I293" s="5">
        <v>44743</v>
      </c>
      <c r="J293" s="6">
        <v>0</v>
      </c>
      <c r="K293" s="6">
        <v>0</v>
      </c>
      <c r="L293" s="6">
        <v>4.2000000000000003E-2</v>
      </c>
      <c r="M293" s="6">
        <v>4.2000000000000003E-2</v>
      </c>
      <c r="N293" s="6">
        <v>4.2000000000000003E-2</v>
      </c>
      <c r="O293" s="6">
        <v>4.2000000000000003E-2</v>
      </c>
      <c r="P293" s="6">
        <v>1</v>
      </c>
      <c r="Q293" s="4" t="s">
        <v>26</v>
      </c>
      <c r="R293" s="4">
        <v>0</v>
      </c>
      <c r="S293" s="4">
        <v>0</v>
      </c>
      <c r="T293" s="4">
        <v>19</v>
      </c>
      <c r="U293" s="4">
        <v>56</v>
      </c>
      <c r="V293" s="6">
        <f>IF(ISERROR(VLOOKUP($S$293,'TAR FIN'!$A$1:$O$85,15,0)),0,VLOOKUP($S$293,'TAR FIN'!$A$1:$O$85,15,0))</f>
        <v>0</v>
      </c>
      <c r="W293" s="6">
        <f>IF(ISERROR(VLOOKUP($T$293,'TAR FIN'!$A$1:$O$85,15,0)),0,VLOOKUP($T$293,'TAR FIN'!$A$1:$O$85,15,0))</f>
        <v>234.68</v>
      </c>
      <c r="X293" s="6">
        <f>IF(ISERROR(VLOOKUP($U$293,'TAR FIN'!$A$1:$O$85,15,0)),0,VLOOKUP($U$293,'TAR FIN'!$A$1:$O$85,15,0))</f>
        <v>290.29000000000002</v>
      </c>
      <c r="Y293" s="6"/>
      <c r="Z293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93" s="6">
        <f>('TE BE'!$AB$13+'TE BF'!$AB$13+'TE CVA'!$AB$13)*(1-CUSTOS!$M$36)</f>
        <v>287.95867802403029</v>
      </c>
      <c r="AB293" s="6">
        <f t="shared" si="22"/>
        <v>0</v>
      </c>
      <c r="AC293" s="6">
        <f>(L293-M293)*(W293+X293)+($W$298+$X$298-$W$293-$X$293)*(L293)</f>
        <v>2.449859999999997</v>
      </c>
      <c r="AD293" s="6">
        <f t="shared" si="23"/>
        <v>0</v>
      </c>
      <c r="AE293" s="6">
        <f ca="1">(L293-M293)*(Z293+AA293)+($Z$298+$AA$298-$Z$293-$AA$293)*(L293)</f>
        <v>2.5571656168413774</v>
      </c>
      <c r="AF293" s="4" t="s">
        <v>849</v>
      </c>
    </row>
    <row r="294" spans="1:32" ht="11.25" customHeight="1" x14ac:dyDescent="0.25">
      <c r="A294" s="4" t="s">
        <v>28</v>
      </c>
      <c r="B294" s="4" t="s">
        <v>22</v>
      </c>
      <c r="C294" s="4" t="s">
        <v>23</v>
      </c>
      <c r="D294" s="4" t="s">
        <v>24</v>
      </c>
      <c r="E294" s="4" t="s">
        <v>31</v>
      </c>
      <c r="F294" s="4" t="s">
        <v>25</v>
      </c>
      <c r="G294" s="4" t="s">
        <v>25</v>
      </c>
      <c r="H294" s="4" t="s">
        <v>25</v>
      </c>
      <c r="I294" s="5">
        <v>44743</v>
      </c>
      <c r="J294" s="6">
        <v>0</v>
      </c>
      <c r="K294" s="6">
        <v>0</v>
      </c>
      <c r="L294" s="6">
        <v>3.3650000000000002</v>
      </c>
      <c r="M294" s="6">
        <v>3.3650000000000002</v>
      </c>
      <c r="N294" s="6">
        <v>3.3650000000000002</v>
      </c>
      <c r="O294" s="6">
        <v>3.3650000000000002</v>
      </c>
      <c r="P294" s="6">
        <v>54</v>
      </c>
      <c r="Q294" s="4" t="s">
        <v>26</v>
      </c>
      <c r="R294" s="4">
        <v>0</v>
      </c>
      <c r="S294" s="4">
        <v>0</v>
      </c>
      <c r="T294" s="4">
        <v>19</v>
      </c>
      <c r="U294" s="4">
        <v>56</v>
      </c>
      <c r="V294" s="6">
        <f>IF(ISERROR(VLOOKUP($S$294,'TAR FIN'!$A$1:$O$85,15,0)),0,VLOOKUP($S$294,'TAR FIN'!$A$1:$O$85,15,0))</f>
        <v>0</v>
      </c>
      <c r="W294" s="6">
        <f>IF(ISERROR(VLOOKUP($T$294,'TAR FIN'!$A$1:$O$85,15,0)),0,VLOOKUP($T$294,'TAR FIN'!$A$1:$O$85,15,0))</f>
        <v>234.68</v>
      </c>
      <c r="X294" s="6">
        <f>IF(ISERROR(VLOOKUP($U$294,'TAR FIN'!$A$1:$O$85,15,0)),0,VLOOKUP($U$294,'TAR FIN'!$A$1:$O$85,15,0))</f>
        <v>290.29000000000002</v>
      </c>
      <c r="Y294" s="6"/>
      <c r="Z294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94" s="6">
        <f>('TE BE'!$AB$13+'TE BF'!$AB$13+'TE CVA'!$AB$13)*(1-CUSTOS!$M$36)</f>
        <v>287.95867802403029</v>
      </c>
      <c r="AB294" s="6">
        <f t="shared" si="22"/>
        <v>0</v>
      </c>
      <c r="AC294" s="6">
        <f>(L294-M294)*(W294+X294)+($W$298+$X$298-$W$294-$X$294)*(L294)</f>
        <v>196.28044999999977</v>
      </c>
      <c r="AD294" s="6">
        <f t="shared" si="23"/>
        <v>0</v>
      </c>
      <c r="AE294" s="6">
        <f ca="1">(L294-M294)*(Z294+AA294)+($Z$298+$AA$298-$Z$294-$AA$294)*(L294)</f>
        <v>204.87767382550561</v>
      </c>
      <c r="AF294" s="4" t="s">
        <v>849</v>
      </c>
    </row>
    <row r="295" spans="1:32" ht="11.25" customHeight="1" x14ac:dyDescent="0.25">
      <c r="A295" s="4" t="s">
        <v>56</v>
      </c>
      <c r="B295" s="4" t="s">
        <v>22</v>
      </c>
      <c r="C295" s="4" t="s">
        <v>23</v>
      </c>
      <c r="D295" s="4" t="s">
        <v>24</v>
      </c>
      <c r="E295" s="4" t="s">
        <v>31</v>
      </c>
      <c r="F295" s="4" t="s">
        <v>25</v>
      </c>
      <c r="G295" s="4" t="s">
        <v>25</v>
      </c>
      <c r="H295" s="4" t="s">
        <v>25</v>
      </c>
      <c r="I295" s="5">
        <v>44774</v>
      </c>
      <c r="J295" s="6">
        <v>0</v>
      </c>
      <c r="K295" s="6">
        <v>0</v>
      </c>
      <c r="L295" s="6">
        <v>372.983</v>
      </c>
      <c r="M295" s="6">
        <v>372.983</v>
      </c>
      <c r="N295" s="6">
        <v>372.983</v>
      </c>
      <c r="O295" s="6">
        <v>372.983</v>
      </c>
      <c r="P295" s="6">
        <v>5580</v>
      </c>
      <c r="Q295" s="4" t="s">
        <v>26</v>
      </c>
      <c r="R295" s="4">
        <v>0</v>
      </c>
      <c r="S295" s="4">
        <v>0</v>
      </c>
      <c r="T295" s="4">
        <v>19</v>
      </c>
      <c r="U295" s="4">
        <v>56</v>
      </c>
      <c r="V295" s="6">
        <f>IF(ISERROR(VLOOKUP($S$295,'TAR FIN'!$A$1:$O$85,15,0)),0,VLOOKUP($S$295,'TAR FIN'!$A$1:$O$85,15,0))</f>
        <v>0</v>
      </c>
      <c r="W295" s="6">
        <f>IF(ISERROR(VLOOKUP($T$295,'TAR FIN'!$A$1:$O$85,15,0)),0,VLOOKUP($T$295,'TAR FIN'!$A$1:$O$85,15,0))</f>
        <v>234.68</v>
      </c>
      <c r="X295" s="6">
        <f>IF(ISERROR(VLOOKUP($U$295,'TAR FIN'!$A$1:$O$85,15,0)),0,VLOOKUP($U$295,'TAR FIN'!$A$1:$O$85,15,0))</f>
        <v>290.29000000000002</v>
      </c>
      <c r="Y295" s="6"/>
      <c r="Z295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95" s="6">
        <f>('TE BE'!$AB$13+'TE BF'!$AB$13+'TE CVA'!$AB$13)*(1-CUSTOS!$M$36)</f>
        <v>287.95867802403029</v>
      </c>
      <c r="AB295" s="6">
        <f t="shared" si="22"/>
        <v>0</v>
      </c>
      <c r="AC295" s="6">
        <f>(L295-M295)*(W295+X295)+($W$298+$X$298-$W$295-$X$295)*(L295)</f>
        <v>21756.098389999974</v>
      </c>
      <c r="AD295" s="6">
        <f t="shared" si="23"/>
        <v>0</v>
      </c>
      <c r="AE295" s="6">
        <f ca="1">(L295-M295)*(Z295+AA295)+($Z$298+$AA$298-$Z$295-$AA$295)*(L295)</f>
        <v>22709.031030151131</v>
      </c>
      <c r="AF295" s="4" t="s">
        <v>849</v>
      </c>
    </row>
    <row r="296" spans="1:32" ht="11.25" customHeight="1" x14ac:dyDescent="0.25">
      <c r="A296" s="4" t="s">
        <v>56</v>
      </c>
      <c r="B296" s="4" t="s">
        <v>22</v>
      </c>
      <c r="C296" s="4" t="s">
        <v>23</v>
      </c>
      <c r="D296" s="4" t="s">
        <v>24</v>
      </c>
      <c r="E296" s="4" t="s">
        <v>31</v>
      </c>
      <c r="F296" s="4" t="s">
        <v>25</v>
      </c>
      <c r="G296" s="4" t="s">
        <v>25</v>
      </c>
      <c r="H296" s="4" t="s">
        <v>25</v>
      </c>
      <c r="I296" s="5">
        <v>44774</v>
      </c>
      <c r="J296" s="6">
        <v>0</v>
      </c>
      <c r="K296" s="6">
        <v>0</v>
      </c>
      <c r="L296" s="6">
        <v>4.2000000000000003E-2</v>
      </c>
      <c r="M296" s="6">
        <v>4.2000000000000003E-2</v>
      </c>
      <c r="N296" s="6">
        <v>4.2000000000000003E-2</v>
      </c>
      <c r="O296" s="6">
        <v>4.2000000000000003E-2</v>
      </c>
      <c r="P296" s="6">
        <v>1</v>
      </c>
      <c r="Q296" s="4" t="s">
        <v>26</v>
      </c>
      <c r="R296" s="4">
        <v>0</v>
      </c>
      <c r="S296" s="4">
        <v>0</v>
      </c>
      <c r="T296" s="4">
        <v>19</v>
      </c>
      <c r="U296" s="4">
        <v>56</v>
      </c>
      <c r="V296" s="6">
        <f>IF(ISERROR(VLOOKUP($S$296,'TAR FIN'!$A$1:$O$85,15,0)),0,VLOOKUP($S$296,'TAR FIN'!$A$1:$O$85,15,0))</f>
        <v>0</v>
      </c>
      <c r="W296" s="6">
        <f>IF(ISERROR(VLOOKUP($T$296,'TAR FIN'!$A$1:$O$85,15,0)),0,VLOOKUP($T$296,'TAR FIN'!$A$1:$O$85,15,0))</f>
        <v>234.68</v>
      </c>
      <c r="X296" s="6">
        <f>IF(ISERROR(VLOOKUP($U$296,'TAR FIN'!$A$1:$O$85,15,0)),0,VLOOKUP($U$296,'TAR FIN'!$A$1:$O$85,15,0))</f>
        <v>290.29000000000002</v>
      </c>
      <c r="Y296" s="6"/>
      <c r="Z296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96" s="6">
        <f>('TE BE'!$AB$13+'TE BF'!$AB$13+'TE CVA'!$AB$13)*(1-CUSTOS!$M$36)</f>
        <v>287.95867802403029</v>
      </c>
      <c r="AB296" s="6">
        <f t="shared" si="22"/>
        <v>0</v>
      </c>
      <c r="AC296" s="6">
        <f>(L296-M296)*(W296+X296)+($W$298+$X$298-$W$296-$X$296)*(L296)</f>
        <v>2.449859999999997</v>
      </c>
      <c r="AD296" s="6">
        <f t="shared" si="23"/>
        <v>0</v>
      </c>
      <c r="AE296" s="6">
        <f ca="1">(L296-M296)*(Z296+AA296)+($Z$298+$AA$298-$Z$296-$AA$296)*(L296)</f>
        <v>2.5571656168413774</v>
      </c>
      <c r="AF296" s="4" t="s">
        <v>849</v>
      </c>
    </row>
    <row r="297" spans="1:32" ht="11.25" customHeight="1" x14ac:dyDescent="0.25">
      <c r="A297" s="4" t="s">
        <v>56</v>
      </c>
      <c r="B297" s="4" t="s">
        <v>22</v>
      </c>
      <c r="C297" s="4" t="s">
        <v>23</v>
      </c>
      <c r="D297" s="4" t="s">
        <v>24</v>
      </c>
      <c r="E297" s="4" t="s">
        <v>31</v>
      </c>
      <c r="F297" s="4" t="s">
        <v>25</v>
      </c>
      <c r="G297" s="4" t="s">
        <v>25</v>
      </c>
      <c r="H297" s="4" t="s">
        <v>25</v>
      </c>
      <c r="I297" s="5">
        <v>44774</v>
      </c>
      <c r="J297" s="6">
        <v>0</v>
      </c>
      <c r="K297" s="6">
        <v>0</v>
      </c>
      <c r="L297" s="6">
        <v>3.3650000000000002</v>
      </c>
      <c r="M297" s="6">
        <v>3.3650000000000002</v>
      </c>
      <c r="N297" s="6">
        <v>3.3650000000000002</v>
      </c>
      <c r="O297" s="6">
        <v>3.3650000000000002</v>
      </c>
      <c r="P297" s="6">
        <v>54</v>
      </c>
      <c r="Q297" s="4" t="s">
        <v>26</v>
      </c>
      <c r="R297" s="4">
        <v>0</v>
      </c>
      <c r="S297" s="4">
        <v>0</v>
      </c>
      <c r="T297" s="4">
        <v>19</v>
      </c>
      <c r="U297" s="4">
        <v>56</v>
      </c>
      <c r="V297" s="6">
        <f>IF(ISERROR(VLOOKUP($S$297,'TAR FIN'!$A$1:$O$85,15,0)),0,VLOOKUP($S$297,'TAR FIN'!$A$1:$O$85,15,0))</f>
        <v>0</v>
      </c>
      <c r="W297" s="6">
        <f>IF(ISERROR(VLOOKUP($T$297,'TAR FIN'!$A$1:$O$85,15,0)),0,VLOOKUP($T$297,'TAR FIN'!$A$1:$O$85,15,0))</f>
        <v>234.68</v>
      </c>
      <c r="X297" s="6">
        <f>IF(ISERROR(VLOOKUP($U$297,'TAR FIN'!$A$1:$O$85,15,0)),0,VLOOKUP($U$297,'TAR FIN'!$A$1:$O$85,15,0))</f>
        <v>290.29000000000002</v>
      </c>
      <c r="Y297" s="6"/>
      <c r="Z297" s="6">
        <f ca="1">('TUSD BE'!$AM$23+'TUSD BF'!$AM$23+'TUSD CVA'!$AM$23-('TUSD BE'!$P$23+'TUSD BF'!$P$23+'TUSD CVA'!$P$23)-('TUSD BE'!$Q$23+'TUSD BF'!$Q$23+'TUSD CVA'!$Q$23)-('TUSD BE'!$R$23+'TUSD BF'!$R$23+'TUSD CVA'!$R$23))*(1-CUSTOS!$M$36)</f>
        <v>260.00538272769376</v>
      </c>
      <c r="AA297" s="6">
        <f>('TE BE'!$AB$13+'TE BF'!$AB$13+'TE CVA'!$AB$13)*(1-CUSTOS!$M$36)</f>
        <v>287.95867802403029</v>
      </c>
      <c r="AB297" s="6">
        <f t="shared" si="22"/>
        <v>0</v>
      </c>
      <c r="AC297" s="6">
        <f>(L297-M297)*(W297+X297)+($W$298+$X$298-$W$297-$X$297)*(L297)</f>
        <v>196.28044999999977</v>
      </c>
      <c r="AD297" s="6">
        <f t="shared" si="23"/>
        <v>0</v>
      </c>
      <c r="AE297" s="6">
        <f ca="1">(L297-M297)*(Z297+AA297)+($Z$298+$AA$298-$Z$297-$AA$297)*(L297)</f>
        <v>204.87767382550561</v>
      </c>
      <c r="AF297" s="4" t="s">
        <v>849</v>
      </c>
    </row>
    <row r="298" spans="1:32" ht="11.25" customHeight="1" x14ac:dyDescent="0.25">
      <c r="A298" s="4" t="s">
        <v>21</v>
      </c>
      <c r="B298" s="4" t="s">
        <v>22</v>
      </c>
      <c r="C298" s="4" t="s">
        <v>23</v>
      </c>
      <c r="D298" s="4" t="s">
        <v>24</v>
      </c>
      <c r="E298" s="4" t="s">
        <v>32</v>
      </c>
      <c r="F298" s="4" t="s">
        <v>25</v>
      </c>
      <c r="G298" s="4" t="s">
        <v>25</v>
      </c>
      <c r="H298" s="4" t="s">
        <v>25</v>
      </c>
      <c r="I298" s="5">
        <v>44440</v>
      </c>
      <c r="J298" s="6">
        <v>0</v>
      </c>
      <c r="K298" s="6">
        <v>0</v>
      </c>
      <c r="L298" s="6">
        <v>109.006</v>
      </c>
      <c r="M298" s="6">
        <v>109.006</v>
      </c>
      <c r="N298" s="6">
        <v>109.006</v>
      </c>
      <c r="O298" s="6">
        <v>109.006</v>
      </c>
      <c r="P298" s="6">
        <v>1450</v>
      </c>
      <c r="Q298" s="4" t="s">
        <v>26</v>
      </c>
      <c r="R298" s="4">
        <v>0</v>
      </c>
      <c r="S298" s="4">
        <v>0</v>
      </c>
      <c r="T298" s="4">
        <v>20</v>
      </c>
      <c r="U298" s="4">
        <v>57</v>
      </c>
      <c r="V298" s="6">
        <f>IF(ISERROR(VLOOKUP($S$298,'TAR FIN'!$A$1:$O$85,15,0)),0,VLOOKUP($S$298,'TAR FIN'!$A$1:$O$85,15,0))</f>
        <v>0</v>
      </c>
      <c r="W298" s="6">
        <f>IF(ISERROR(VLOOKUP($T$298,'TAR FIN'!$A$1:$O$85,15,0)),0,VLOOKUP($T$298,'TAR FIN'!$A$1:$O$85,15,0))</f>
        <v>260.76</v>
      </c>
      <c r="X298" s="6">
        <f>IF(ISERROR(VLOOKUP($U$298,'TAR FIN'!$A$1:$O$85,15,0)),0,VLOOKUP($U$298,'TAR FIN'!$A$1:$O$85,15,0))</f>
        <v>322.54000000000002</v>
      </c>
      <c r="Y298" s="6"/>
      <c r="Z298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298" s="6">
        <f>('TE BE'!$AB$14+'TE BF'!$AB$14+'TE CVA'!$AB$14)*(1-CUSTOS!$M$37)</f>
        <v>319.954086693367</v>
      </c>
      <c r="AB298" s="6">
        <f t="shared" si="22"/>
        <v>0</v>
      </c>
      <c r="AC298" s="6">
        <f>(L298-M298)*(W298+X298)+($W$298+$X$298-$W$298-$X$298)*(L298)</f>
        <v>-6.1962737163412385E-12</v>
      </c>
      <c r="AD298" s="6">
        <f t="shared" si="23"/>
        <v>0</v>
      </c>
      <c r="AE298" s="6">
        <f ca="1">(L298-M298)*(Z298+AA298)+($Z$298+$AA$298-$Z$298-$AA$298)*(L298)</f>
        <v>-6.1962737163412385E-12</v>
      </c>
      <c r="AF298" s="4" t="s">
        <v>849</v>
      </c>
    </row>
    <row r="299" spans="1:32" ht="11.25" customHeight="1" x14ac:dyDescent="0.25">
      <c r="A299" s="4" t="s">
        <v>28</v>
      </c>
      <c r="B299" s="4" t="s">
        <v>22</v>
      </c>
      <c r="C299" s="4" t="s">
        <v>23</v>
      </c>
      <c r="D299" s="4" t="s">
        <v>24</v>
      </c>
      <c r="E299" s="4" t="s">
        <v>32</v>
      </c>
      <c r="F299" s="4" t="s">
        <v>25</v>
      </c>
      <c r="G299" s="4" t="s">
        <v>25</v>
      </c>
      <c r="H299" s="4" t="s">
        <v>25</v>
      </c>
      <c r="I299" s="5">
        <v>44440</v>
      </c>
      <c r="J299" s="6">
        <v>0</v>
      </c>
      <c r="K299" s="6">
        <v>0</v>
      </c>
      <c r="L299" s="6">
        <v>0.191</v>
      </c>
      <c r="M299" s="6">
        <v>0.191</v>
      </c>
      <c r="N299" s="6">
        <v>0.191</v>
      </c>
      <c r="O299" s="6">
        <v>0.191</v>
      </c>
      <c r="P299" s="6">
        <v>6</v>
      </c>
      <c r="Q299" s="4" t="s">
        <v>26</v>
      </c>
      <c r="R299" s="4">
        <v>0</v>
      </c>
      <c r="S299" s="4">
        <v>0</v>
      </c>
      <c r="T299" s="4">
        <v>20</v>
      </c>
      <c r="U299" s="4">
        <v>57</v>
      </c>
      <c r="V299" s="6">
        <f>IF(ISERROR(VLOOKUP($S$299,'TAR FIN'!$A$1:$O$85,15,0)),0,VLOOKUP($S$299,'TAR FIN'!$A$1:$O$85,15,0))</f>
        <v>0</v>
      </c>
      <c r="W299" s="6">
        <f>IF(ISERROR(VLOOKUP($T$299,'TAR FIN'!$A$1:$O$85,15,0)),0,VLOOKUP($T$299,'TAR FIN'!$A$1:$O$85,15,0))</f>
        <v>260.76</v>
      </c>
      <c r="X299" s="6">
        <f>IF(ISERROR(VLOOKUP($U$299,'TAR FIN'!$A$1:$O$85,15,0)),0,VLOOKUP($U$299,'TAR FIN'!$A$1:$O$85,15,0))</f>
        <v>322.54000000000002</v>
      </c>
      <c r="Y299" s="6"/>
      <c r="Z299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299" s="6">
        <f>('TE BE'!$AB$14+'TE BF'!$AB$14+'TE CVA'!$AB$14)*(1-CUSTOS!$M$37)</f>
        <v>319.954086693367</v>
      </c>
      <c r="AB299" s="6">
        <f t="shared" si="22"/>
        <v>0</v>
      </c>
      <c r="AC299" s="6">
        <f>(L299-M299)*(W299+X299)+($W$298+$X$298-$W$299-$X$299)*(L299)</f>
        <v>-1.0857093002414331E-14</v>
      </c>
      <c r="AD299" s="6">
        <f t="shared" si="23"/>
        <v>0</v>
      </c>
      <c r="AE299" s="6">
        <f ca="1">(L299-M299)*(Z299+AA299)+($Z$298+$AA$298-$Z$299-$AA$299)*(L299)</f>
        <v>-1.0857093002414331E-14</v>
      </c>
      <c r="AF299" s="4" t="s">
        <v>849</v>
      </c>
    </row>
    <row r="300" spans="1:32" ht="11.25" customHeight="1" x14ac:dyDescent="0.25">
      <c r="A300" s="4" t="s">
        <v>21</v>
      </c>
      <c r="B300" s="4" t="s">
        <v>22</v>
      </c>
      <c r="C300" s="4" t="s">
        <v>23</v>
      </c>
      <c r="D300" s="4" t="s">
        <v>24</v>
      </c>
      <c r="E300" s="4" t="s">
        <v>32</v>
      </c>
      <c r="F300" s="4" t="s">
        <v>25</v>
      </c>
      <c r="G300" s="4" t="s">
        <v>25</v>
      </c>
      <c r="H300" s="4" t="s">
        <v>25</v>
      </c>
      <c r="I300" s="5">
        <v>44470</v>
      </c>
      <c r="J300" s="6">
        <v>0</v>
      </c>
      <c r="K300" s="6">
        <v>0</v>
      </c>
      <c r="L300" s="6">
        <v>127.86799999999999</v>
      </c>
      <c r="M300" s="6">
        <v>127.86799999999999</v>
      </c>
      <c r="N300" s="6">
        <v>127.86799999999999</v>
      </c>
      <c r="O300" s="6">
        <v>127.86799999999999</v>
      </c>
      <c r="P300" s="6">
        <v>1675</v>
      </c>
      <c r="Q300" s="4" t="s">
        <v>26</v>
      </c>
      <c r="R300" s="4">
        <v>0</v>
      </c>
      <c r="S300" s="4">
        <v>0</v>
      </c>
      <c r="T300" s="4">
        <v>20</v>
      </c>
      <c r="U300" s="4">
        <v>57</v>
      </c>
      <c r="V300" s="6">
        <f>IF(ISERROR(VLOOKUP($S$300,'TAR FIN'!$A$1:$O$85,15,0)),0,VLOOKUP($S$300,'TAR FIN'!$A$1:$O$85,15,0))</f>
        <v>0</v>
      </c>
      <c r="W300" s="6">
        <f>IF(ISERROR(VLOOKUP($T$300,'TAR FIN'!$A$1:$O$85,15,0)),0,VLOOKUP($T$300,'TAR FIN'!$A$1:$O$85,15,0))</f>
        <v>260.76</v>
      </c>
      <c r="X300" s="6">
        <f>IF(ISERROR(VLOOKUP($U$300,'TAR FIN'!$A$1:$O$85,15,0)),0,VLOOKUP($U$300,'TAR FIN'!$A$1:$O$85,15,0))</f>
        <v>322.54000000000002</v>
      </c>
      <c r="Y300" s="6"/>
      <c r="Z300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00" s="6">
        <f>('TE BE'!$AB$14+'TE BF'!$AB$14+'TE CVA'!$AB$14)*(1-CUSTOS!$M$37)</f>
        <v>319.954086693367</v>
      </c>
      <c r="AB300" s="6">
        <f t="shared" si="22"/>
        <v>0</v>
      </c>
      <c r="AC300" s="6">
        <f>(L300-M300)*(W300+X300)+($W$298+$X$298-$W$300-$X$300)*(L300)</f>
        <v>-7.268454282893799E-12</v>
      </c>
      <c r="AD300" s="6">
        <f t="shared" si="23"/>
        <v>0</v>
      </c>
      <c r="AE300" s="6">
        <f ca="1">(L300-M300)*(Z300+AA300)+($Z$298+$AA$298-$Z$300-$AA$300)*(L300)</f>
        <v>-7.268454282893799E-12</v>
      </c>
      <c r="AF300" s="4" t="s">
        <v>849</v>
      </c>
    </row>
    <row r="301" spans="1:32" ht="11.25" customHeight="1" x14ac:dyDescent="0.25">
      <c r="A301" s="4" t="s">
        <v>28</v>
      </c>
      <c r="B301" s="4" t="s">
        <v>22</v>
      </c>
      <c r="C301" s="4" t="s">
        <v>23</v>
      </c>
      <c r="D301" s="4" t="s">
        <v>24</v>
      </c>
      <c r="E301" s="4" t="s">
        <v>32</v>
      </c>
      <c r="F301" s="4" t="s">
        <v>25</v>
      </c>
      <c r="G301" s="4" t="s">
        <v>25</v>
      </c>
      <c r="H301" s="4" t="s">
        <v>25</v>
      </c>
      <c r="I301" s="5">
        <v>44470</v>
      </c>
      <c r="J301" s="6">
        <v>0</v>
      </c>
      <c r="K301" s="6">
        <v>0</v>
      </c>
      <c r="L301" s="6">
        <v>0.46899999999999997</v>
      </c>
      <c r="M301" s="6">
        <v>0.46899999999999997</v>
      </c>
      <c r="N301" s="6">
        <v>0.46899999999999997</v>
      </c>
      <c r="O301" s="6">
        <v>0.46899999999999997</v>
      </c>
      <c r="P301" s="6">
        <v>12</v>
      </c>
      <c r="Q301" s="4" t="s">
        <v>26</v>
      </c>
      <c r="R301" s="4">
        <v>0</v>
      </c>
      <c r="S301" s="4">
        <v>0</v>
      </c>
      <c r="T301" s="4">
        <v>20</v>
      </c>
      <c r="U301" s="4">
        <v>57</v>
      </c>
      <c r="V301" s="6">
        <f>IF(ISERROR(VLOOKUP($S$301,'TAR FIN'!$A$1:$O$85,15,0)),0,VLOOKUP($S$301,'TAR FIN'!$A$1:$O$85,15,0))</f>
        <v>0</v>
      </c>
      <c r="W301" s="6">
        <f>IF(ISERROR(VLOOKUP($T$301,'TAR FIN'!$A$1:$O$85,15,0)),0,VLOOKUP($T$301,'TAR FIN'!$A$1:$O$85,15,0))</f>
        <v>260.76</v>
      </c>
      <c r="X301" s="6">
        <f>IF(ISERROR(VLOOKUP($U$301,'TAR FIN'!$A$1:$O$85,15,0)),0,VLOOKUP($U$301,'TAR FIN'!$A$1:$O$85,15,0))</f>
        <v>322.54000000000002</v>
      </c>
      <c r="Y301" s="6"/>
      <c r="Z301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01" s="6">
        <f>('TE BE'!$AB$14+'TE BF'!$AB$14+'TE CVA'!$AB$14)*(1-CUSTOS!$M$37)</f>
        <v>319.954086693367</v>
      </c>
      <c r="AB301" s="6">
        <f t="shared" si="22"/>
        <v>0</v>
      </c>
      <c r="AC301" s="6">
        <f>(L301-M301)*(W301+X301)+($W$298+$X$298-$W$301-$X$301)*(L301)</f>
        <v>-2.6659563445718957E-14</v>
      </c>
      <c r="AD301" s="6">
        <f t="shared" si="23"/>
        <v>0</v>
      </c>
      <c r="AE301" s="6">
        <f ca="1">(L301-M301)*(Z301+AA301)+($Z$298+$AA$298-$Z$301-$AA$301)*(L301)</f>
        <v>-2.6659563445718957E-14</v>
      </c>
      <c r="AF301" s="4" t="s">
        <v>849</v>
      </c>
    </row>
    <row r="302" spans="1:32" ht="11.25" customHeight="1" x14ac:dyDescent="0.25">
      <c r="A302" s="4" t="s">
        <v>21</v>
      </c>
      <c r="B302" s="4" t="s">
        <v>22</v>
      </c>
      <c r="C302" s="4" t="s">
        <v>23</v>
      </c>
      <c r="D302" s="4" t="s">
        <v>24</v>
      </c>
      <c r="E302" s="4" t="s">
        <v>32</v>
      </c>
      <c r="F302" s="4" t="s">
        <v>25</v>
      </c>
      <c r="G302" s="4" t="s">
        <v>25</v>
      </c>
      <c r="H302" s="4" t="s">
        <v>25</v>
      </c>
      <c r="I302" s="5">
        <v>44501</v>
      </c>
      <c r="J302" s="6">
        <v>0</v>
      </c>
      <c r="K302" s="6">
        <v>0</v>
      </c>
      <c r="L302" s="6">
        <v>118.97799999999999</v>
      </c>
      <c r="M302" s="6">
        <v>118.97799999999999</v>
      </c>
      <c r="N302" s="6">
        <v>118.97799999999999</v>
      </c>
      <c r="O302" s="6">
        <v>118.97799999999999</v>
      </c>
      <c r="P302" s="6">
        <v>1569</v>
      </c>
      <c r="Q302" s="4" t="s">
        <v>26</v>
      </c>
      <c r="R302" s="4">
        <v>0</v>
      </c>
      <c r="S302" s="4">
        <v>0</v>
      </c>
      <c r="T302" s="4">
        <v>20</v>
      </c>
      <c r="U302" s="4">
        <v>57</v>
      </c>
      <c r="V302" s="6">
        <f>IF(ISERROR(VLOOKUP($S$302,'TAR FIN'!$A$1:$O$85,15,0)),0,VLOOKUP($S$302,'TAR FIN'!$A$1:$O$85,15,0))</f>
        <v>0</v>
      </c>
      <c r="W302" s="6">
        <f>IF(ISERROR(VLOOKUP($T$302,'TAR FIN'!$A$1:$O$85,15,0)),0,VLOOKUP($T$302,'TAR FIN'!$A$1:$O$85,15,0))</f>
        <v>260.76</v>
      </c>
      <c r="X302" s="6">
        <f>IF(ISERROR(VLOOKUP($U$302,'TAR FIN'!$A$1:$O$85,15,0)),0,VLOOKUP($U$302,'TAR FIN'!$A$1:$O$85,15,0))</f>
        <v>322.54000000000002</v>
      </c>
      <c r="Y302" s="6"/>
      <c r="Z302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02" s="6">
        <f>('TE BE'!$AB$14+'TE BF'!$AB$14+'TE CVA'!$AB$14)*(1-CUSTOS!$M$37)</f>
        <v>319.954086693367</v>
      </c>
      <c r="AB302" s="6">
        <f t="shared" si="22"/>
        <v>0</v>
      </c>
      <c r="AC302" s="6">
        <f>(L302-M302)*(W302+X302)+($W$298+$X$298-$W$302-$X$302)*(L302)</f>
        <v>-6.7631162892212157E-12</v>
      </c>
      <c r="AD302" s="6">
        <f t="shared" si="23"/>
        <v>0</v>
      </c>
      <c r="AE302" s="6">
        <f ca="1">(L302-M302)*(Z302+AA302)+($Z$298+$AA$298-$Z$302-$AA$302)*(L302)</f>
        <v>-6.7631162892212157E-12</v>
      </c>
      <c r="AF302" s="4" t="s">
        <v>849</v>
      </c>
    </row>
    <row r="303" spans="1:32" ht="11.25" customHeight="1" x14ac:dyDescent="0.25">
      <c r="A303" s="4" t="s">
        <v>28</v>
      </c>
      <c r="B303" s="4" t="s">
        <v>22</v>
      </c>
      <c r="C303" s="4" t="s">
        <v>23</v>
      </c>
      <c r="D303" s="4" t="s">
        <v>24</v>
      </c>
      <c r="E303" s="4" t="s">
        <v>32</v>
      </c>
      <c r="F303" s="4" t="s">
        <v>25</v>
      </c>
      <c r="G303" s="4" t="s">
        <v>25</v>
      </c>
      <c r="H303" s="4" t="s">
        <v>25</v>
      </c>
      <c r="I303" s="5">
        <v>44501</v>
      </c>
      <c r="J303" s="6">
        <v>0</v>
      </c>
      <c r="K303" s="6">
        <v>0</v>
      </c>
      <c r="L303" s="6">
        <v>0.182</v>
      </c>
      <c r="M303" s="6">
        <v>0.182</v>
      </c>
      <c r="N303" s="6">
        <v>0.182</v>
      </c>
      <c r="O303" s="6">
        <v>0.182</v>
      </c>
      <c r="P303" s="6">
        <v>3</v>
      </c>
      <c r="Q303" s="4" t="s">
        <v>26</v>
      </c>
      <c r="R303" s="4">
        <v>0</v>
      </c>
      <c r="S303" s="4">
        <v>0</v>
      </c>
      <c r="T303" s="4">
        <v>20</v>
      </c>
      <c r="U303" s="4">
        <v>57</v>
      </c>
      <c r="V303" s="6">
        <f>IF(ISERROR(VLOOKUP($S$303,'TAR FIN'!$A$1:$O$85,15,0)),0,VLOOKUP($S$303,'TAR FIN'!$A$1:$O$85,15,0))</f>
        <v>0</v>
      </c>
      <c r="W303" s="6">
        <f>IF(ISERROR(VLOOKUP($T$303,'TAR FIN'!$A$1:$O$85,15,0)),0,VLOOKUP($T$303,'TAR FIN'!$A$1:$O$85,15,0))</f>
        <v>260.76</v>
      </c>
      <c r="X303" s="6">
        <f>IF(ISERROR(VLOOKUP($U$303,'TAR FIN'!$A$1:$O$85,15,0)),0,VLOOKUP($U$303,'TAR FIN'!$A$1:$O$85,15,0))</f>
        <v>322.54000000000002</v>
      </c>
      <c r="Y303" s="6"/>
      <c r="Z303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03" s="6">
        <f>('TE BE'!$AB$14+'TE BF'!$AB$14+'TE CVA'!$AB$14)*(1-CUSTOS!$M$37)</f>
        <v>319.954086693367</v>
      </c>
      <c r="AB303" s="6">
        <f t="shared" si="22"/>
        <v>0</v>
      </c>
      <c r="AC303" s="6">
        <f>(L303-M303)*(W303+X303)+($W$298+$X$298-$W$303-$X$303)*(L303)</f>
        <v>-1.0345502232667058E-14</v>
      </c>
      <c r="AD303" s="6">
        <f t="shared" si="23"/>
        <v>0</v>
      </c>
      <c r="AE303" s="6">
        <f ca="1">(L303-M303)*(Z303+AA303)+($Z$298+$AA$298-$Z$303-$AA$303)*(L303)</f>
        <v>-1.0345502232667058E-14</v>
      </c>
      <c r="AF303" s="4" t="s">
        <v>849</v>
      </c>
    </row>
    <row r="304" spans="1:32" ht="11.25" customHeight="1" x14ac:dyDescent="0.25">
      <c r="A304" s="4" t="s">
        <v>21</v>
      </c>
      <c r="B304" s="4" t="s">
        <v>22</v>
      </c>
      <c r="C304" s="4" t="s">
        <v>23</v>
      </c>
      <c r="D304" s="4" t="s">
        <v>24</v>
      </c>
      <c r="E304" s="4" t="s">
        <v>32</v>
      </c>
      <c r="F304" s="4" t="s">
        <v>25</v>
      </c>
      <c r="G304" s="4" t="s">
        <v>25</v>
      </c>
      <c r="H304" s="4" t="s">
        <v>25</v>
      </c>
      <c r="I304" s="5">
        <v>44531</v>
      </c>
      <c r="J304" s="6">
        <v>0</v>
      </c>
      <c r="K304" s="6">
        <v>0</v>
      </c>
      <c r="L304" s="6">
        <v>128.209</v>
      </c>
      <c r="M304" s="6">
        <v>128.209</v>
      </c>
      <c r="N304" s="6">
        <v>128.209</v>
      </c>
      <c r="O304" s="6">
        <v>128.209</v>
      </c>
      <c r="P304" s="6">
        <v>1730</v>
      </c>
      <c r="Q304" s="4" t="s">
        <v>26</v>
      </c>
      <c r="R304" s="4">
        <v>0</v>
      </c>
      <c r="S304" s="4">
        <v>0</v>
      </c>
      <c r="T304" s="4">
        <v>20</v>
      </c>
      <c r="U304" s="4">
        <v>57</v>
      </c>
      <c r="V304" s="6">
        <f>IF(ISERROR(VLOOKUP($S$304,'TAR FIN'!$A$1:$O$85,15,0)),0,VLOOKUP($S$304,'TAR FIN'!$A$1:$O$85,15,0))</f>
        <v>0</v>
      </c>
      <c r="W304" s="6">
        <f>IF(ISERROR(VLOOKUP($T$304,'TAR FIN'!$A$1:$O$85,15,0)),0,VLOOKUP($T$304,'TAR FIN'!$A$1:$O$85,15,0))</f>
        <v>260.76</v>
      </c>
      <c r="X304" s="6">
        <f>IF(ISERROR(VLOOKUP($U$304,'TAR FIN'!$A$1:$O$85,15,0)),0,VLOOKUP($U$304,'TAR FIN'!$A$1:$O$85,15,0))</f>
        <v>322.54000000000002</v>
      </c>
      <c r="Y304" s="6"/>
      <c r="Z304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04" s="6">
        <f>('TE BE'!$AB$14+'TE BF'!$AB$14+'TE CVA'!$AB$14)*(1-CUSTOS!$M$37)</f>
        <v>319.954086693367</v>
      </c>
      <c r="AB304" s="6">
        <f t="shared" si="22"/>
        <v>0</v>
      </c>
      <c r="AC304" s="6">
        <f>(L304-M304)*(W304+X304)+($W$298+$X$298-$W$304-$X$304)*(L304)</f>
        <v>-7.287837888725335E-12</v>
      </c>
      <c r="AD304" s="6">
        <f t="shared" si="23"/>
        <v>0</v>
      </c>
      <c r="AE304" s="6">
        <f ca="1">(L304-M304)*(Z304+AA304)+($Z$298+$AA$298-$Z$304-$AA$304)*(L304)</f>
        <v>-7.287837888725335E-12</v>
      </c>
      <c r="AF304" s="4" t="s">
        <v>849</v>
      </c>
    </row>
    <row r="305" spans="1:32" ht="11.25" customHeight="1" x14ac:dyDescent="0.25">
      <c r="A305" s="4" t="s">
        <v>27</v>
      </c>
      <c r="B305" s="4" t="s">
        <v>22</v>
      </c>
      <c r="C305" s="4" t="s">
        <v>23</v>
      </c>
      <c r="D305" s="4" t="s">
        <v>24</v>
      </c>
      <c r="E305" s="4" t="s">
        <v>32</v>
      </c>
      <c r="F305" s="4" t="s">
        <v>25</v>
      </c>
      <c r="G305" s="4" t="s">
        <v>25</v>
      </c>
      <c r="H305" s="4" t="s">
        <v>25</v>
      </c>
      <c r="I305" s="5">
        <v>44531</v>
      </c>
      <c r="J305" s="6">
        <v>0</v>
      </c>
      <c r="K305" s="6">
        <v>0</v>
      </c>
      <c r="L305" s="6">
        <v>-7.8E-2</v>
      </c>
      <c r="M305" s="6">
        <v>-7.8E-2</v>
      </c>
      <c r="N305" s="6">
        <v>-7.8E-2</v>
      </c>
      <c r="O305" s="6">
        <v>-7.8E-2</v>
      </c>
      <c r="P305" s="6">
        <v>-2</v>
      </c>
      <c r="Q305" s="4" t="s">
        <v>26</v>
      </c>
      <c r="R305" s="4">
        <v>0</v>
      </c>
      <c r="S305" s="4">
        <v>0</v>
      </c>
      <c r="T305" s="4">
        <v>20</v>
      </c>
      <c r="U305" s="4">
        <v>57</v>
      </c>
      <c r="V305" s="6">
        <f>IF(ISERROR(VLOOKUP($S$305,'TAR FIN'!$A$1:$O$85,15,0)),0,VLOOKUP($S$305,'TAR FIN'!$A$1:$O$85,15,0))</f>
        <v>0</v>
      </c>
      <c r="W305" s="6">
        <f>IF(ISERROR(VLOOKUP($T$305,'TAR FIN'!$A$1:$O$85,15,0)),0,VLOOKUP($T$305,'TAR FIN'!$A$1:$O$85,15,0))</f>
        <v>260.76</v>
      </c>
      <c r="X305" s="6">
        <f>IF(ISERROR(VLOOKUP($U$305,'TAR FIN'!$A$1:$O$85,15,0)),0,VLOOKUP($U$305,'TAR FIN'!$A$1:$O$85,15,0))</f>
        <v>322.54000000000002</v>
      </c>
      <c r="Y305" s="6"/>
      <c r="Z305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05" s="6">
        <f>('TE BE'!$AB$14+'TE BF'!$AB$14+'TE CVA'!$AB$14)*(1-CUSTOS!$M$37)</f>
        <v>319.954086693367</v>
      </c>
      <c r="AB305" s="6">
        <f t="shared" si="22"/>
        <v>0</v>
      </c>
      <c r="AC305" s="6">
        <f>(L305-M305)*(W305+X305)+($W$298+$X$298-$W$305-$X$305)*(L305)</f>
        <v>4.4337866711430252E-15</v>
      </c>
      <c r="AD305" s="6">
        <f t="shared" si="23"/>
        <v>0</v>
      </c>
      <c r="AE305" s="6">
        <f ca="1">(L305-M305)*(Z305+AA305)+($Z$298+$AA$298-$Z$305-$AA$305)*(L305)</f>
        <v>4.4337866711430252E-15</v>
      </c>
      <c r="AF305" s="4" t="s">
        <v>849</v>
      </c>
    </row>
    <row r="306" spans="1:32" ht="11.25" customHeight="1" x14ac:dyDescent="0.25">
      <c r="A306" s="4" t="s">
        <v>28</v>
      </c>
      <c r="B306" s="4" t="s">
        <v>22</v>
      </c>
      <c r="C306" s="4" t="s">
        <v>23</v>
      </c>
      <c r="D306" s="4" t="s">
        <v>24</v>
      </c>
      <c r="E306" s="4" t="s">
        <v>32</v>
      </c>
      <c r="F306" s="4" t="s">
        <v>25</v>
      </c>
      <c r="G306" s="4" t="s">
        <v>25</v>
      </c>
      <c r="H306" s="4" t="s">
        <v>25</v>
      </c>
      <c r="I306" s="5">
        <v>44531</v>
      </c>
      <c r="J306" s="6">
        <v>0</v>
      </c>
      <c r="K306" s="6">
        <v>0</v>
      </c>
      <c r="L306" s="6">
        <v>0.28799999999999998</v>
      </c>
      <c r="M306" s="6">
        <v>0.28799999999999998</v>
      </c>
      <c r="N306" s="6">
        <v>0.28799999999999998</v>
      </c>
      <c r="O306" s="6">
        <v>0.28799999999999998</v>
      </c>
      <c r="P306" s="6">
        <v>5</v>
      </c>
      <c r="Q306" s="4" t="s">
        <v>26</v>
      </c>
      <c r="R306" s="4">
        <v>0</v>
      </c>
      <c r="S306" s="4">
        <v>0</v>
      </c>
      <c r="T306" s="4">
        <v>20</v>
      </c>
      <c r="U306" s="4">
        <v>57</v>
      </c>
      <c r="V306" s="6">
        <f>IF(ISERROR(VLOOKUP($S$306,'TAR FIN'!$A$1:$O$85,15,0)),0,VLOOKUP($S$306,'TAR FIN'!$A$1:$O$85,15,0))</f>
        <v>0</v>
      </c>
      <c r="W306" s="6">
        <f>IF(ISERROR(VLOOKUP($T$306,'TAR FIN'!$A$1:$O$85,15,0)),0,VLOOKUP($T$306,'TAR FIN'!$A$1:$O$85,15,0))</f>
        <v>260.76</v>
      </c>
      <c r="X306" s="6">
        <f>IF(ISERROR(VLOOKUP($U$306,'TAR FIN'!$A$1:$O$85,15,0)),0,VLOOKUP($U$306,'TAR FIN'!$A$1:$O$85,15,0))</f>
        <v>322.54000000000002</v>
      </c>
      <c r="Y306" s="6"/>
      <c r="Z306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06" s="6">
        <f>('TE BE'!$AB$14+'TE BF'!$AB$14+'TE CVA'!$AB$14)*(1-CUSTOS!$M$37)</f>
        <v>319.954086693367</v>
      </c>
      <c r="AB306" s="6">
        <f t="shared" si="22"/>
        <v>0</v>
      </c>
      <c r="AC306" s="6">
        <f>(L306-M306)*(W306+X306)+($W$298+$X$298-$W$306-$X$306)*(L306)</f>
        <v>-1.6370904631912707E-14</v>
      </c>
      <c r="AD306" s="6">
        <f t="shared" si="23"/>
        <v>0</v>
      </c>
      <c r="AE306" s="6">
        <f ca="1">(L306-M306)*(Z306+AA306)+($Z$298+$AA$298-$Z$306-$AA$306)*(L306)</f>
        <v>-1.6370904631912707E-14</v>
      </c>
      <c r="AF306" s="4" t="s">
        <v>849</v>
      </c>
    </row>
    <row r="307" spans="1:32" ht="11.25" customHeight="1" x14ac:dyDescent="0.25">
      <c r="A307" s="4" t="s">
        <v>21</v>
      </c>
      <c r="B307" s="4" t="s">
        <v>22</v>
      </c>
      <c r="C307" s="4" t="s">
        <v>23</v>
      </c>
      <c r="D307" s="4" t="s">
        <v>24</v>
      </c>
      <c r="E307" s="4" t="s">
        <v>32</v>
      </c>
      <c r="F307" s="4" t="s">
        <v>25</v>
      </c>
      <c r="G307" s="4" t="s">
        <v>25</v>
      </c>
      <c r="H307" s="4" t="s">
        <v>25</v>
      </c>
      <c r="I307" s="5">
        <v>44562</v>
      </c>
      <c r="J307" s="6">
        <v>0</v>
      </c>
      <c r="K307" s="6">
        <v>0</v>
      </c>
      <c r="L307" s="6">
        <v>168.92099999999999</v>
      </c>
      <c r="M307" s="6">
        <v>168.92099999999999</v>
      </c>
      <c r="N307" s="6">
        <v>168.92099999999999</v>
      </c>
      <c r="O307" s="6">
        <v>168.92099999999999</v>
      </c>
      <c r="P307" s="6">
        <v>2126</v>
      </c>
      <c r="Q307" s="4" t="s">
        <v>26</v>
      </c>
      <c r="R307" s="4">
        <v>0</v>
      </c>
      <c r="S307" s="4">
        <v>0</v>
      </c>
      <c r="T307" s="4">
        <v>20</v>
      </c>
      <c r="U307" s="4">
        <v>57</v>
      </c>
      <c r="V307" s="6">
        <f>IF(ISERROR(VLOOKUP($S$307,'TAR FIN'!$A$1:$O$85,15,0)),0,VLOOKUP($S$307,'TAR FIN'!$A$1:$O$85,15,0))</f>
        <v>0</v>
      </c>
      <c r="W307" s="6">
        <f>IF(ISERROR(VLOOKUP($T$307,'TAR FIN'!$A$1:$O$85,15,0)),0,VLOOKUP($T$307,'TAR FIN'!$A$1:$O$85,15,0))</f>
        <v>260.76</v>
      </c>
      <c r="X307" s="6">
        <f>IF(ISERROR(VLOOKUP($U$307,'TAR FIN'!$A$1:$O$85,15,0)),0,VLOOKUP($U$307,'TAR FIN'!$A$1:$O$85,15,0))</f>
        <v>322.54000000000002</v>
      </c>
      <c r="Y307" s="6"/>
      <c r="Z307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07" s="6">
        <f>('TE BE'!$AB$14+'TE BF'!$AB$14+'TE CVA'!$AB$14)*(1-CUSTOS!$M$37)</f>
        <v>319.954086693367</v>
      </c>
      <c r="AB307" s="6">
        <f t="shared" si="22"/>
        <v>0</v>
      </c>
      <c r="AC307" s="6">
        <f>(L307-M307)*(W307+X307)+($W$298+$X$298-$W$307-$X$307)*(L307)</f>
        <v>-9.6020471573865502E-12</v>
      </c>
      <c r="AD307" s="6">
        <f t="shared" si="23"/>
        <v>0</v>
      </c>
      <c r="AE307" s="6">
        <f ca="1">(L307-M307)*(Z307+AA307)+($Z$298+$AA$298-$Z$307-$AA$307)*(L307)</f>
        <v>-9.6020471573865502E-12</v>
      </c>
      <c r="AF307" s="4" t="s">
        <v>849</v>
      </c>
    </row>
    <row r="308" spans="1:32" ht="11.25" customHeight="1" x14ac:dyDescent="0.25">
      <c r="A308" s="4" t="s">
        <v>27</v>
      </c>
      <c r="B308" s="4" t="s">
        <v>22</v>
      </c>
      <c r="C308" s="4" t="s">
        <v>23</v>
      </c>
      <c r="D308" s="4" t="s">
        <v>24</v>
      </c>
      <c r="E308" s="4" t="s">
        <v>32</v>
      </c>
      <c r="F308" s="4" t="s">
        <v>25</v>
      </c>
      <c r="G308" s="4" t="s">
        <v>25</v>
      </c>
      <c r="H308" s="4" t="s">
        <v>25</v>
      </c>
      <c r="I308" s="5">
        <v>44562</v>
      </c>
      <c r="J308" s="6">
        <v>0</v>
      </c>
      <c r="K308" s="6">
        <v>0</v>
      </c>
      <c r="L308" s="6">
        <v>-0.88200000000000001</v>
      </c>
      <c r="M308" s="6">
        <v>-0.88200000000000001</v>
      </c>
      <c r="N308" s="6">
        <v>-0.88200000000000001</v>
      </c>
      <c r="O308" s="6">
        <v>-0.88200000000000001</v>
      </c>
      <c r="P308" s="6">
        <v>-1</v>
      </c>
      <c r="Q308" s="4" t="s">
        <v>26</v>
      </c>
      <c r="R308" s="4">
        <v>0</v>
      </c>
      <c r="S308" s="4">
        <v>0</v>
      </c>
      <c r="T308" s="4">
        <v>20</v>
      </c>
      <c r="U308" s="4">
        <v>57</v>
      </c>
      <c r="V308" s="6">
        <f>IF(ISERROR(VLOOKUP($S$308,'TAR FIN'!$A$1:$O$85,15,0)),0,VLOOKUP($S$308,'TAR FIN'!$A$1:$O$85,15,0))</f>
        <v>0</v>
      </c>
      <c r="W308" s="6">
        <f>IF(ISERROR(VLOOKUP($T$308,'TAR FIN'!$A$1:$O$85,15,0)),0,VLOOKUP($T$308,'TAR FIN'!$A$1:$O$85,15,0))</f>
        <v>260.76</v>
      </c>
      <c r="X308" s="6">
        <f>IF(ISERROR(VLOOKUP($U$308,'TAR FIN'!$A$1:$O$85,15,0)),0,VLOOKUP($U$308,'TAR FIN'!$A$1:$O$85,15,0))</f>
        <v>322.54000000000002</v>
      </c>
      <c r="Y308" s="6"/>
      <c r="Z308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08" s="6">
        <f>('TE BE'!$AB$14+'TE BF'!$AB$14+'TE CVA'!$AB$14)*(1-CUSTOS!$M$37)</f>
        <v>319.954086693367</v>
      </c>
      <c r="AB308" s="6">
        <f t="shared" si="22"/>
        <v>0</v>
      </c>
      <c r="AC308" s="6">
        <f>(L308-M308)*(W308+X308)+($W$298+$X$298-$W$308-$X$308)*(L308)</f>
        <v>5.0135895435232669E-14</v>
      </c>
      <c r="AD308" s="6">
        <f t="shared" si="23"/>
        <v>0</v>
      </c>
      <c r="AE308" s="6">
        <f ca="1">(L308-M308)*(Z308+AA308)+($Z$298+$AA$298-$Z$308-$AA$308)*(L308)</f>
        <v>5.0135895435232669E-14</v>
      </c>
      <c r="AF308" s="4" t="s">
        <v>849</v>
      </c>
    </row>
    <row r="309" spans="1:32" ht="11.25" customHeight="1" x14ac:dyDescent="0.25">
      <c r="A309" s="4" t="s">
        <v>28</v>
      </c>
      <c r="B309" s="4" t="s">
        <v>22</v>
      </c>
      <c r="C309" s="4" t="s">
        <v>23</v>
      </c>
      <c r="D309" s="4" t="s">
        <v>24</v>
      </c>
      <c r="E309" s="4" t="s">
        <v>32</v>
      </c>
      <c r="F309" s="4" t="s">
        <v>25</v>
      </c>
      <c r="G309" s="4" t="s">
        <v>25</v>
      </c>
      <c r="H309" s="4" t="s">
        <v>25</v>
      </c>
      <c r="I309" s="5">
        <v>44562</v>
      </c>
      <c r="J309" s="6">
        <v>0</v>
      </c>
      <c r="K309" s="6">
        <v>0</v>
      </c>
      <c r="L309" s="6">
        <v>0.61</v>
      </c>
      <c r="M309" s="6">
        <v>0.61</v>
      </c>
      <c r="N309" s="6">
        <v>0.61</v>
      </c>
      <c r="O309" s="6">
        <v>0.61</v>
      </c>
      <c r="P309" s="6">
        <v>14</v>
      </c>
      <c r="Q309" s="4" t="s">
        <v>26</v>
      </c>
      <c r="R309" s="4">
        <v>0</v>
      </c>
      <c r="S309" s="4">
        <v>0</v>
      </c>
      <c r="T309" s="4">
        <v>20</v>
      </c>
      <c r="U309" s="4">
        <v>57</v>
      </c>
      <c r="V309" s="6">
        <f>IF(ISERROR(VLOOKUP($S$309,'TAR FIN'!$A$1:$O$85,15,0)),0,VLOOKUP($S$309,'TAR FIN'!$A$1:$O$85,15,0))</f>
        <v>0</v>
      </c>
      <c r="W309" s="6">
        <f>IF(ISERROR(VLOOKUP($T$309,'TAR FIN'!$A$1:$O$85,15,0)),0,VLOOKUP($T$309,'TAR FIN'!$A$1:$O$85,15,0))</f>
        <v>260.76</v>
      </c>
      <c r="X309" s="6">
        <f>IF(ISERROR(VLOOKUP($U$309,'TAR FIN'!$A$1:$O$85,15,0)),0,VLOOKUP($U$309,'TAR FIN'!$A$1:$O$85,15,0))</f>
        <v>322.54000000000002</v>
      </c>
      <c r="Y309" s="6"/>
      <c r="Z309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09" s="6">
        <f>('TE BE'!$AB$14+'TE BF'!$AB$14+'TE CVA'!$AB$14)*(1-CUSTOS!$M$37)</f>
        <v>319.954086693367</v>
      </c>
      <c r="AB309" s="6">
        <f t="shared" si="22"/>
        <v>0</v>
      </c>
      <c r="AC309" s="6">
        <f>(L309-M309)*(W309+X309)+($W$298+$X$298-$W$309-$X$309)*(L309)</f>
        <v>-3.4674485505092888E-14</v>
      </c>
      <c r="AD309" s="6">
        <f t="shared" si="23"/>
        <v>0</v>
      </c>
      <c r="AE309" s="6">
        <f ca="1">(L309-M309)*(Z309+AA309)+($Z$298+$AA$298-$Z$309-$AA$309)*(L309)</f>
        <v>-3.4674485505092888E-14</v>
      </c>
      <c r="AF309" s="4" t="s">
        <v>849</v>
      </c>
    </row>
    <row r="310" spans="1:32" ht="11.25" customHeight="1" x14ac:dyDescent="0.25">
      <c r="A310" s="4" t="s">
        <v>21</v>
      </c>
      <c r="B310" s="4" t="s">
        <v>22</v>
      </c>
      <c r="C310" s="4" t="s">
        <v>23</v>
      </c>
      <c r="D310" s="4" t="s">
        <v>24</v>
      </c>
      <c r="E310" s="4" t="s">
        <v>32</v>
      </c>
      <c r="F310" s="4" t="s">
        <v>25</v>
      </c>
      <c r="G310" s="4" t="s">
        <v>25</v>
      </c>
      <c r="H310" s="4" t="s">
        <v>25</v>
      </c>
      <c r="I310" s="5">
        <v>44593</v>
      </c>
      <c r="J310" s="6">
        <v>0</v>
      </c>
      <c r="K310" s="6">
        <v>0</v>
      </c>
      <c r="L310" s="6">
        <v>222.44399999999999</v>
      </c>
      <c r="M310" s="6">
        <v>222.44399999999999</v>
      </c>
      <c r="N310" s="6">
        <v>222.44399999999999</v>
      </c>
      <c r="O310" s="6">
        <v>222.44399999999999</v>
      </c>
      <c r="P310" s="6">
        <v>2526</v>
      </c>
      <c r="Q310" s="4" t="s">
        <v>26</v>
      </c>
      <c r="R310" s="4">
        <v>0</v>
      </c>
      <c r="S310" s="4">
        <v>0</v>
      </c>
      <c r="T310" s="4">
        <v>20</v>
      </c>
      <c r="U310" s="4">
        <v>57</v>
      </c>
      <c r="V310" s="6">
        <f>IF(ISERROR(VLOOKUP($S$310,'TAR FIN'!$A$1:$O$85,15,0)),0,VLOOKUP($S$310,'TAR FIN'!$A$1:$O$85,15,0))</f>
        <v>0</v>
      </c>
      <c r="W310" s="6">
        <f>IF(ISERROR(VLOOKUP($T$310,'TAR FIN'!$A$1:$O$85,15,0)),0,VLOOKUP($T$310,'TAR FIN'!$A$1:$O$85,15,0))</f>
        <v>260.76</v>
      </c>
      <c r="X310" s="6">
        <f>IF(ISERROR(VLOOKUP($U$310,'TAR FIN'!$A$1:$O$85,15,0)),0,VLOOKUP($U$310,'TAR FIN'!$A$1:$O$85,15,0))</f>
        <v>322.54000000000002</v>
      </c>
      <c r="Y310" s="6"/>
      <c r="Z310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10" s="6">
        <f>('TE BE'!$AB$14+'TE BF'!$AB$14+'TE CVA'!$AB$14)*(1-CUSTOS!$M$37)</f>
        <v>319.954086693367</v>
      </c>
      <c r="AB310" s="6">
        <f t="shared" si="22"/>
        <v>0</v>
      </c>
      <c r="AC310" s="6">
        <f>(L310-M310)*(W310+X310)+($W$298+$X$298-$W$310-$X$310)*(L310)</f>
        <v>-1.2644477465073577E-11</v>
      </c>
      <c r="AD310" s="6">
        <f t="shared" si="23"/>
        <v>0</v>
      </c>
      <c r="AE310" s="6">
        <f ca="1">(L310-M310)*(Z310+AA310)+($Z$298+$AA$298-$Z$310-$AA$310)*(L310)</f>
        <v>-1.2644477465073577E-11</v>
      </c>
      <c r="AF310" s="4" t="s">
        <v>849</v>
      </c>
    </row>
    <row r="311" spans="1:32" ht="11.25" customHeight="1" x14ac:dyDescent="0.25">
      <c r="A311" s="4" t="s">
        <v>28</v>
      </c>
      <c r="B311" s="4" t="s">
        <v>22</v>
      </c>
      <c r="C311" s="4" t="s">
        <v>23</v>
      </c>
      <c r="D311" s="4" t="s">
        <v>24</v>
      </c>
      <c r="E311" s="4" t="s">
        <v>32</v>
      </c>
      <c r="F311" s="4" t="s">
        <v>25</v>
      </c>
      <c r="G311" s="4" t="s">
        <v>25</v>
      </c>
      <c r="H311" s="4" t="s">
        <v>25</v>
      </c>
      <c r="I311" s="5">
        <v>44593</v>
      </c>
      <c r="J311" s="6">
        <v>0</v>
      </c>
      <c r="K311" s="6">
        <v>0</v>
      </c>
      <c r="L311" s="6">
        <v>0.68100000000000005</v>
      </c>
      <c r="M311" s="6">
        <v>0.68100000000000005</v>
      </c>
      <c r="N311" s="6">
        <v>0.68100000000000005</v>
      </c>
      <c r="O311" s="6">
        <v>0.68100000000000005</v>
      </c>
      <c r="P311" s="6">
        <v>13</v>
      </c>
      <c r="Q311" s="4" t="s">
        <v>26</v>
      </c>
      <c r="R311" s="4">
        <v>0</v>
      </c>
      <c r="S311" s="4">
        <v>0</v>
      </c>
      <c r="T311" s="4">
        <v>20</v>
      </c>
      <c r="U311" s="4">
        <v>57</v>
      </c>
      <c r="V311" s="6">
        <f>IF(ISERROR(VLOOKUP($S$311,'TAR FIN'!$A$1:$O$85,15,0)),0,VLOOKUP($S$311,'TAR FIN'!$A$1:$O$85,15,0))</f>
        <v>0</v>
      </c>
      <c r="W311" s="6">
        <f>IF(ISERROR(VLOOKUP($T$311,'TAR FIN'!$A$1:$O$85,15,0)),0,VLOOKUP($T$311,'TAR FIN'!$A$1:$O$85,15,0))</f>
        <v>260.76</v>
      </c>
      <c r="X311" s="6">
        <f>IF(ISERROR(VLOOKUP($U$311,'TAR FIN'!$A$1:$O$85,15,0)),0,VLOOKUP($U$311,'TAR FIN'!$A$1:$O$85,15,0))</f>
        <v>322.54000000000002</v>
      </c>
      <c r="Y311" s="6"/>
      <c r="Z311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11" s="6">
        <f>('TE BE'!$AB$14+'TE BF'!$AB$14+'TE CVA'!$AB$14)*(1-CUSTOS!$M$37)</f>
        <v>319.954086693367</v>
      </c>
      <c r="AB311" s="6">
        <f t="shared" si="22"/>
        <v>0</v>
      </c>
      <c r="AC311" s="6">
        <f>(L311-M311)*(W311+X311)+($W$298+$X$298-$W$311-$X$311)*(L311)</f>
        <v>-3.8710368244210261E-14</v>
      </c>
      <c r="AD311" s="6">
        <f t="shared" si="23"/>
        <v>0</v>
      </c>
      <c r="AE311" s="6">
        <f ca="1">(L311-M311)*(Z311+AA311)+($Z$298+$AA$298-$Z$311-$AA$311)*(L311)</f>
        <v>-3.8710368244210261E-14</v>
      </c>
      <c r="AF311" s="4" t="s">
        <v>849</v>
      </c>
    </row>
    <row r="312" spans="1:32" ht="11.25" customHeight="1" x14ac:dyDescent="0.25">
      <c r="A312" s="4" t="s">
        <v>21</v>
      </c>
      <c r="B312" s="4" t="s">
        <v>22</v>
      </c>
      <c r="C312" s="4" t="s">
        <v>23</v>
      </c>
      <c r="D312" s="4" t="s">
        <v>24</v>
      </c>
      <c r="E312" s="4" t="s">
        <v>32</v>
      </c>
      <c r="F312" s="4" t="s">
        <v>25</v>
      </c>
      <c r="G312" s="4" t="s">
        <v>25</v>
      </c>
      <c r="H312" s="4" t="s">
        <v>25</v>
      </c>
      <c r="I312" s="5">
        <v>44621</v>
      </c>
      <c r="J312" s="6">
        <v>0</v>
      </c>
      <c r="K312" s="6">
        <v>0</v>
      </c>
      <c r="L312" s="6">
        <v>285.83800000000002</v>
      </c>
      <c r="M312" s="6">
        <v>285.83800000000002</v>
      </c>
      <c r="N312" s="6">
        <v>285.83800000000002</v>
      </c>
      <c r="O312" s="6">
        <v>285.83800000000002</v>
      </c>
      <c r="P312" s="6">
        <v>3123</v>
      </c>
      <c r="Q312" s="4" t="s">
        <v>26</v>
      </c>
      <c r="R312" s="4">
        <v>0</v>
      </c>
      <c r="S312" s="4">
        <v>0</v>
      </c>
      <c r="T312" s="4">
        <v>20</v>
      </c>
      <c r="U312" s="4">
        <v>57</v>
      </c>
      <c r="V312" s="6">
        <f>IF(ISERROR(VLOOKUP($S$312,'TAR FIN'!$A$1:$O$85,15,0)),0,VLOOKUP($S$312,'TAR FIN'!$A$1:$O$85,15,0))</f>
        <v>0</v>
      </c>
      <c r="W312" s="6">
        <f>IF(ISERROR(VLOOKUP($T$312,'TAR FIN'!$A$1:$O$85,15,0)),0,VLOOKUP($T$312,'TAR FIN'!$A$1:$O$85,15,0))</f>
        <v>260.76</v>
      </c>
      <c r="X312" s="6">
        <f>IF(ISERROR(VLOOKUP($U$312,'TAR FIN'!$A$1:$O$85,15,0)),0,VLOOKUP($U$312,'TAR FIN'!$A$1:$O$85,15,0))</f>
        <v>322.54000000000002</v>
      </c>
      <c r="Y312" s="6"/>
      <c r="Z312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12" s="6">
        <f>('TE BE'!$AB$14+'TE BF'!$AB$14+'TE CVA'!$AB$14)*(1-CUSTOS!$M$37)</f>
        <v>319.954086693367</v>
      </c>
      <c r="AB312" s="6">
        <f t="shared" si="22"/>
        <v>0</v>
      </c>
      <c r="AC312" s="6">
        <f>(L312-M312)*(W312+X312)+($W$298+$X$298-$W$312-$X$312)*(L312)</f>
        <v>-1.6248009160335643E-11</v>
      </c>
      <c r="AD312" s="6">
        <f t="shared" si="23"/>
        <v>0</v>
      </c>
      <c r="AE312" s="6">
        <f ca="1">(L312-M312)*(Z312+AA312)+($Z$298+$AA$298-$Z$312-$AA$312)*(L312)</f>
        <v>-1.6248009160335643E-11</v>
      </c>
      <c r="AF312" s="4" t="s">
        <v>849</v>
      </c>
    </row>
    <row r="313" spans="1:32" ht="11.25" customHeight="1" x14ac:dyDescent="0.25">
      <c r="A313" s="4" t="s">
        <v>28</v>
      </c>
      <c r="B313" s="4" t="s">
        <v>22</v>
      </c>
      <c r="C313" s="4" t="s">
        <v>23</v>
      </c>
      <c r="D313" s="4" t="s">
        <v>24</v>
      </c>
      <c r="E313" s="4" t="s">
        <v>32</v>
      </c>
      <c r="F313" s="4" t="s">
        <v>25</v>
      </c>
      <c r="G313" s="4" t="s">
        <v>25</v>
      </c>
      <c r="H313" s="4" t="s">
        <v>25</v>
      </c>
      <c r="I313" s="5">
        <v>44621</v>
      </c>
      <c r="J313" s="6">
        <v>0</v>
      </c>
      <c r="K313" s="6">
        <v>0</v>
      </c>
      <c r="L313" s="6">
        <v>1.347</v>
      </c>
      <c r="M313" s="6">
        <v>1.347</v>
      </c>
      <c r="N313" s="6">
        <v>1.347</v>
      </c>
      <c r="O313" s="6">
        <v>1.347</v>
      </c>
      <c r="P313" s="6">
        <v>16</v>
      </c>
      <c r="Q313" s="4" t="s">
        <v>26</v>
      </c>
      <c r="R313" s="4">
        <v>0</v>
      </c>
      <c r="S313" s="4">
        <v>0</v>
      </c>
      <c r="T313" s="4">
        <v>20</v>
      </c>
      <c r="U313" s="4">
        <v>57</v>
      </c>
      <c r="V313" s="6">
        <f>IF(ISERROR(VLOOKUP($S$313,'TAR FIN'!$A$1:$O$85,15,0)),0,VLOOKUP($S$313,'TAR FIN'!$A$1:$O$85,15,0))</f>
        <v>0</v>
      </c>
      <c r="W313" s="6">
        <f>IF(ISERROR(VLOOKUP($T$313,'TAR FIN'!$A$1:$O$85,15,0)),0,VLOOKUP($T$313,'TAR FIN'!$A$1:$O$85,15,0))</f>
        <v>260.76</v>
      </c>
      <c r="X313" s="6">
        <f>IF(ISERROR(VLOOKUP($U$313,'TAR FIN'!$A$1:$O$85,15,0)),0,VLOOKUP($U$313,'TAR FIN'!$A$1:$O$85,15,0))</f>
        <v>322.54000000000002</v>
      </c>
      <c r="Y313" s="6"/>
      <c r="Z313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13" s="6">
        <f>('TE BE'!$AB$14+'TE BF'!$AB$14+'TE CVA'!$AB$14)*(1-CUSTOS!$M$37)</f>
        <v>319.954086693367</v>
      </c>
      <c r="AB313" s="6">
        <f t="shared" si="22"/>
        <v>0</v>
      </c>
      <c r="AC313" s="6">
        <f>(L313-M313)*(W313+X313)+($W$298+$X$298-$W$313-$X$313)*(L313)</f>
        <v>-7.6568085205508395E-14</v>
      </c>
      <c r="AD313" s="6">
        <f t="shared" si="23"/>
        <v>0</v>
      </c>
      <c r="AE313" s="6">
        <f ca="1">(L313-M313)*(Z313+AA313)+($Z$298+$AA$298-$Z$313-$AA$313)*(L313)</f>
        <v>-7.6568085205508395E-14</v>
      </c>
      <c r="AF313" s="4" t="s">
        <v>849</v>
      </c>
    </row>
    <row r="314" spans="1:32" ht="11.25" customHeight="1" x14ac:dyDescent="0.25">
      <c r="A314" s="4" t="s">
        <v>21</v>
      </c>
      <c r="B314" s="4" t="s">
        <v>22</v>
      </c>
      <c r="C314" s="4" t="s">
        <v>23</v>
      </c>
      <c r="D314" s="4" t="s">
        <v>24</v>
      </c>
      <c r="E314" s="4" t="s">
        <v>32</v>
      </c>
      <c r="F314" s="4" t="s">
        <v>25</v>
      </c>
      <c r="G314" s="4" t="s">
        <v>25</v>
      </c>
      <c r="H314" s="4" t="s">
        <v>25</v>
      </c>
      <c r="I314" s="5">
        <v>44652</v>
      </c>
      <c r="J314" s="6">
        <v>0</v>
      </c>
      <c r="K314" s="6">
        <v>0</v>
      </c>
      <c r="L314" s="6">
        <v>292.87</v>
      </c>
      <c r="M314" s="6">
        <v>292.87</v>
      </c>
      <c r="N314" s="6">
        <v>292.87</v>
      </c>
      <c r="O314" s="6">
        <v>292.87</v>
      </c>
      <c r="P314" s="6">
        <v>3184</v>
      </c>
      <c r="Q314" s="4" t="s">
        <v>26</v>
      </c>
      <c r="R314" s="4">
        <v>0</v>
      </c>
      <c r="S314" s="4">
        <v>0</v>
      </c>
      <c r="T314" s="4">
        <v>20</v>
      </c>
      <c r="U314" s="4">
        <v>57</v>
      </c>
      <c r="V314" s="6">
        <f>IF(ISERROR(VLOOKUP($S$314,'TAR FIN'!$A$1:$O$85,15,0)),0,VLOOKUP($S$314,'TAR FIN'!$A$1:$O$85,15,0))</f>
        <v>0</v>
      </c>
      <c r="W314" s="6">
        <f>IF(ISERROR(VLOOKUP($T$314,'TAR FIN'!$A$1:$O$85,15,0)),0,VLOOKUP($T$314,'TAR FIN'!$A$1:$O$85,15,0))</f>
        <v>260.76</v>
      </c>
      <c r="X314" s="6">
        <f>IF(ISERROR(VLOOKUP($U$314,'TAR FIN'!$A$1:$O$85,15,0)),0,VLOOKUP($U$314,'TAR FIN'!$A$1:$O$85,15,0))</f>
        <v>322.54000000000002</v>
      </c>
      <c r="Y314" s="6"/>
      <c r="Z314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14" s="6">
        <f>('TE BE'!$AB$14+'TE BF'!$AB$14+'TE CVA'!$AB$14)*(1-CUSTOS!$M$37)</f>
        <v>319.954086693367</v>
      </c>
      <c r="AB314" s="6">
        <f t="shared" si="22"/>
        <v>0</v>
      </c>
      <c r="AC314" s="6">
        <f>(L314-M314)*(W314+X314)+($W$298+$X$298-$W$314-$X$314)*(L314)</f>
        <v>-1.6647732081764844E-11</v>
      </c>
      <c r="AD314" s="6">
        <f t="shared" si="23"/>
        <v>0</v>
      </c>
      <c r="AE314" s="6">
        <f ca="1">(L314-M314)*(Z314+AA314)+($Z$298+$AA$298-$Z$314-$AA$314)*(L314)</f>
        <v>-1.6647732081764844E-11</v>
      </c>
      <c r="AF314" s="4" t="s">
        <v>849</v>
      </c>
    </row>
    <row r="315" spans="1:32" ht="11.25" customHeight="1" x14ac:dyDescent="0.25">
      <c r="A315" s="4" t="s">
        <v>28</v>
      </c>
      <c r="B315" s="4" t="s">
        <v>22</v>
      </c>
      <c r="C315" s="4" t="s">
        <v>23</v>
      </c>
      <c r="D315" s="4" t="s">
        <v>24</v>
      </c>
      <c r="E315" s="4" t="s">
        <v>32</v>
      </c>
      <c r="F315" s="4" t="s">
        <v>25</v>
      </c>
      <c r="G315" s="4" t="s">
        <v>25</v>
      </c>
      <c r="H315" s="4" t="s">
        <v>25</v>
      </c>
      <c r="I315" s="5">
        <v>44652</v>
      </c>
      <c r="J315" s="6">
        <v>0</v>
      </c>
      <c r="K315" s="6">
        <v>0</v>
      </c>
      <c r="L315" s="6">
        <v>1.137</v>
      </c>
      <c r="M315" s="6">
        <v>1.137</v>
      </c>
      <c r="N315" s="6">
        <v>1.137</v>
      </c>
      <c r="O315" s="6">
        <v>1.137</v>
      </c>
      <c r="P315" s="6">
        <v>15</v>
      </c>
      <c r="Q315" s="4" t="s">
        <v>26</v>
      </c>
      <c r="R315" s="4">
        <v>0</v>
      </c>
      <c r="S315" s="4">
        <v>0</v>
      </c>
      <c r="T315" s="4">
        <v>20</v>
      </c>
      <c r="U315" s="4">
        <v>57</v>
      </c>
      <c r="V315" s="6">
        <f>IF(ISERROR(VLOOKUP($S$315,'TAR FIN'!$A$1:$O$85,15,0)),0,VLOOKUP($S$315,'TAR FIN'!$A$1:$O$85,15,0))</f>
        <v>0</v>
      </c>
      <c r="W315" s="6">
        <f>IF(ISERROR(VLOOKUP($T$315,'TAR FIN'!$A$1:$O$85,15,0)),0,VLOOKUP($T$315,'TAR FIN'!$A$1:$O$85,15,0))</f>
        <v>260.76</v>
      </c>
      <c r="X315" s="6">
        <f>IF(ISERROR(VLOOKUP($U$315,'TAR FIN'!$A$1:$O$85,15,0)),0,VLOOKUP($U$315,'TAR FIN'!$A$1:$O$85,15,0))</f>
        <v>322.54000000000002</v>
      </c>
      <c r="Y315" s="6"/>
      <c r="Z315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15" s="6">
        <f>('TE BE'!$AB$14+'TE BF'!$AB$14+'TE CVA'!$AB$14)*(1-CUSTOS!$M$37)</f>
        <v>319.954086693367</v>
      </c>
      <c r="AB315" s="6">
        <f t="shared" si="22"/>
        <v>0</v>
      </c>
      <c r="AC315" s="6">
        <f>(L315-M315)*(W315+X315)+($W$298+$X$298-$W$315-$X$315)*(L315)</f>
        <v>-6.4630967244738714E-14</v>
      </c>
      <c r="AD315" s="6">
        <f t="shared" si="23"/>
        <v>0</v>
      </c>
      <c r="AE315" s="6">
        <f ca="1">(L315-M315)*(Z315+AA315)+($Z$298+$AA$298-$Z$315-$AA$315)*(L315)</f>
        <v>-6.4630967244738714E-14</v>
      </c>
      <c r="AF315" s="4" t="s">
        <v>849</v>
      </c>
    </row>
    <row r="316" spans="1:32" ht="11.25" customHeight="1" x14ac:dyDescent="0.25">
      <c r="A316" s="4" t="s">
        <v>21</v>
      </c>
      <c r="B316" s="4" t="s">
        <v>22</v>
      </c>
      <c r="C316" s="4" t="s">
        <v>23</v>
      </c>
      <c r="D316" s="4" t="s">
        <v>24</v>
      </c>
      <c r="E316" s="4" t="s">
        <v>32</v>
      </c>
      <c r="F316" s="4" t="s">
        <v>25</v>
      </c>
      <c r="G316" s="4" t="s">
        <v>25</v>
      </c>
      <c r="H316" s="4" t="s">
        <v>25</v>
      </c>
      <c r="I316" s="5">
        <v>44682</v>
      </c>
      <c r="J316" s="6">
        <v>0</v>
      </c>
      <c r="K316" s="6">
        <v>0</v>
      </c>
      <c r="L316" s="6">
        <v>169.56299999999999</v>
      </c>
      <c r="M316" s="6">
        <v>169.56299999999999</v>
      </c>
      <c r="N316" s="6">
        <v>169.56299999999999</v>
      </c>
      <c r="O316" s="6">
        <v>169.56299999999999</v>
      </c>
      <c r="P316" s="6">
        <v>2030</v>
      </c>
      <c r="Q316" s="4" t="s">
        <v>26</v>
      </c>
      <c r="R316" s="4">
        <v>0</v>
      </c>
      <c r="S316" s="4">
        <v>0</v>
      </c>
      <c r="T316" s="4">
        <v>20</v>
      </c>
      <c r="U316" s="4">
        <v>57</v>
      </c>
      <c r="V316" s="6">
        <f>IF(ISERROR(VLOOKUP($S$316,'TAR FIN'!$A$1:$O$85,15,0)),0,VLOOKUP($S$316,'TAR FIN'!$A$1:$O$85,15,0))</f>
        <v>0</v>
      </c>
      <c r="W316" s="6">
        <f>IF(ISERROR(VLOOKUP($T$316,'TAR FIN'!$A$1:$O$85,15,0)),0,VLOOKUP($T$316,'TAR FIN'!$A$1:$O$85,15,0))</f>
        <v>260.76</v>
      </c>
      <c r="X316" s="6">
        <f>IF(ISERROR(VLOOKUP($U$316,'TAR FIN'!$A$1:$O$85,15,0)),0,VLOOKUP($U$316,'TAR FIN'!$A$1:$O$85,15,0))</f>
        <v>322.54000000000002</v>
      </c>
      <c r="Y316" s="6"/>
      <c r="Z316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16" s="6">
        <f>('TE BE'!$AB$14+'TE BF'!$AB$14+'TE CVA'!$AB$14)*(1-CUSTOS!$M$37)</f>
        <v>319.954086693367</v>
      </c>
      <c r="AB316" s="6">
        <f t="shared" si="22"/>
        <v>0</v>
      </c>
      <c r="AC316" s="6">
        <f>(L316-M316)*(W316+X316)+($W$298+$X$298-$W$316-$X$316)*(L316)</f>
        <v>-9.6385406322951888E-12</v>
      </c>
      <c r="AD316" s="6">
        <f t="shared" si="23"/>
        <v>0</v>
      </c>
      <c r="AE316" s="6">
        <f ca="1">(L316-M316)*(Z316+AA316)+($Z$298+$AA$298-$Z$316-$AA$316)*(L316)</f>
        <v>-9.6385406322951888E-12</v>
      </c>
      <c r="AF316" s="4" t="s">
        <v>849</v>
      </c>
    </row>
    <row r="317" spans="1:32" ht="11.25" customHeight="1" x14ac:dyDescent="0.25">
      <c r="A317" s="4" t="s">
        <v>28</v>
      </c>
      <c r="B317" s="4" t="s">
        <v>22</v>
      </c>
      <c r="C317" s="4" t="s">
        <v>23</v>
      </c>
      <c r="D317" s="4" t="s">
        <v>24</v>
      </c>
      <c r="E317" s="4" t="s">
        <v>32</v>
      </c>
      <c r="F317" s="4" t="s">
        <v>25</v>
      </c>
      <c r="G317" s="4" t="s">
        <v>25</v>
      </c>
      <c r="H317" s="4" t="s">
        <v>25</v>
      </c>
      <c r="I317" s="5">
        <v>44682</v>
      </c>
      <c r="J317" s="6">
        <v>0</v>
      </c>
      <c r="K317" s="6">
        <v>0</v>
      </c>
      <c r="L317" s="6">
        <v>1.4379999999999999</v>
      </c>
      <c r="M317" s="6">
        <v>1.4379999999999999</v>
      </c>
      <c r="N317" s="6">
        <v>1.4379999999999999</v>
      </c>
      <c r="O317" s="6">
        <v>1.4379999999999999</v>
      </c>
      <c r="P317" s="6">
        <v>15</v>
      </c>
      <c r="Q317" s="4" t="s">
        <v>26</v>
      </c>
      <c r="R317" s="4">
        <v>0</v>
      </c>
      <c r="S317" s="4">
        <v>0</v>
      </c>
      <c r="T317" s="4">
        <v>20</v>
      </c>
      <c r="U317" s="4">
        <v>57</v>
      </c>
      <c r="V317" s="6">
        <f>IF(ISERROR(VLOOKUP($S$317,'TAR FIN'!$A$1:$O$85,15,0)),0,VLOOKUP($S$317,'TAR FIN'!$A$1:$O$85,15,0))</f>
        <v>0</v>
      </c>
      <c r="W317" s="6">
        <f>IF(ISERROR(VLOOKUP($T$317,'TAR FIN'!$A$1:$O$85,15,0)),0,VLOOKUP($T$317,'TAR FIN'!$A$1:$O$85,15,0))</f>
        <v>260.76</v>
      </c>
      <c r="X317" s="6">
        <f>IF(ISERROR(VLOOKUP($U$317,'TAR FIN'!$A$1:$O$85,15,0)),0,VLOOKUP($U$317,'TAR FIN'!$A$1:$O$85,15,0))</f>
        <v>322.54000000000002</v>
      </c>
      <c r="Y317" s="6"/>
      <c r="Z317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17" s="6">
        <f>('TE BE'!$AB$14+'TE BF'!$AB$14+'TE CVA'!$AB$14)*(1-CUSTOS!$M$37)</f>
        <v>319.954086693367</v>
      </c>
      <c r="AB317" s="6">
        <f t="shared" si="22"/>
        <v>0</v>
      </c>
      <c r="AC317" s="6">
        <f>(L317-M317)*(W317+X317)+($W$298+$X$298-$W$317-$X$317)*(L317)</f>
        <v>-8.1740836321841922E-14</v>
      </c>
      <c r="AD317" s="6">
        <f t="shared" si="23"/>
        <v>0</v>
      </c>
      <c r="AE317" s="6">
        <f ca="1">(L317-M317)*(Z317+AA317)+($Z$298+$AA$298-$Z$317-$AA$317)*(L317)</f>
        <v>-8.1740836321841922E-14</v>
      </c>
      <c r="AF317" s="4" t="s">
        <v>849</v>
      </c>
    </row>
    <row r="318" spans="1:32" ht="11.25" customHeight="1" x14ac:dyDescent="0.25">
      <c r="A318" s="4" t="s">
        <v>21</v>
      </c>
      <c r="B318" s="4" t="s">
        <v>22</v>
      </c>
      <c r="C318" s="4" t="s">
        <v>23</v>
      </c>
      <c r="D318" s="4" t="s">
        <v>24</v>
      </c>
      <c r="E318" s="4" t="s">
        <v>32</v>
      </c>
      <c r="F318" s="4" t="s">
        <v>25</v>
      </c>
      <c r="G318" s="4" t="s">
        <v>25</v>
      </c>
      <c r="H318" s="4" t="s">
        <v>25</v>
      </c>
      <c r="I318" s="5">
        <v>44713</v>
      </c>
      <c r="J318" s="6">
        <v>0</v>
      </c>
      <c r="K318" s="6">
        <v>0</v>
      </c>
      <c r="L318" s="6">
        <v>114.813</v>
      </c>
      <c r="M318" s="6">
        <v>114.813</v>
      </c>
      <c r="N318" s="6">
        <v>114.813</v>
      </c>
      <c r="O318" s="6">
        <v>114.813</v>
      </c>
      <c r="P318" s="6">
        <v>1519</v>
      </c>
      <c r="Q318" s="4" t="s">
        <v>26</v>
      </c>
      <c r="R318" s="4">
        <v>0</v>
      </c>
      <c r="S318" s="4">
        <v>0</v>
      </c>
      <c r="T318" s="4">
        <v>20</v>
      </c>
      <c r="U318" s="4">
        <v>57</v>
      </c>
      <c r="V318" s="6">
        <f>IF(ISERROR(VLOOKUP($S$318,'TAR FIN'!$A$1:$O$85,15,0)),0,VLOOKUP($S$318,'TAR FIN'!$A$1:$O$85,15,0))</f>
        <v>0</v>
      </c>
      <c r="W318" s="6">
        <f>IF(ISERROR(VLOOKUP($T$318,'TAR FIN'!$A$1:$O$85,15,0)),0,VLOOKUP($T$318,'TAR FIN'!$A$1:$O$85,15,0))</f>
        <v>260.76</v>
      </c>
      <c r="X318" s="6">
        <f>IF(ISERROR(VLOOKUP($U$318,'TAR FIN'!$A$1:$O$85,15,0)),0,VLOOKUP($U$318,'TAR FIN'!$A$1:$O$85,15,0))</f>
        <v>322.54000000000002</v>
      </c>
      <c r="Y318" s="6"/>
      <c r="Z318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18" s="6">
        <f>('TE BE'!$AB$14+'TE BF'!$AB$14+'TE CVA'!$AB$14)*(1-CUSTOS!$M$37)</f>
        <v>319.954086693367</v>
      </c>
      <c r="AB318" s="6">
        <f t="shared" si="22"/>
        <v>0</v>
      </c>
      <c r="AC318" s="6">
        <f>(L318-M318)*(W318+X318)+($W$298+$X$298-$W$318-$X$318)*(L318)</f>
        <v>-6.5263634496659507E-12</v>
      </c>
      <c r="AD318" s="6">
        <f t="shared" si="23"/>
        <v>0</v>
      </c>
      <c r="AE318" s="6">
        <f ca="1">(L318-M318)*(Z318+AA318)+($Z$298+$AA$298-$Z$318-$AA$318)*(L318)</f>
        <v>-6.5263634496659507E-12</v>
      </c>
      <c r="AF318" s="4" t="s">
        <v>849</v>
      </c>
    </row>
    <row r="319" spans="1:32" ht="11.25" customHeight="1" x14ac:dyDescent="0.25">
      <c r="A319" s="4" t="s">
        <v>28</v>
      </c>
      <c r="B319" s="4" t="s">
        <v>22</v>
      </c>
      <c r="C319" s="4" t="s">
        <v>23</v>
      </c>
      <c r="D319" s="4" t="s">
        <v>24</v>
      </c>
      <c r="E319" s="4" t="s">
        <v>32</v>
      </c>
      <c r="F319" s="4" t="s">
        <v>25</v>
      </c>
      <c r="G319" s="4" t="s">
        <v>25</v>
      </c>
      <c r="H319" s="4" t="s">
        <v>25</v>
      </c>
      <c r="I319" s="5">
        <v>44713</v>
      </c>
      <c r="J319" s="6">
        <v>0</v>
      </c>
      <c r="K319" s="6">
        <v>0</v>
      </c>
      <c r="L319" s="6">
        <v>0.79500000000000004</v>
      </c>
      <c r="M319" s="6">
        <v>0.79500000000000004</v>
      </c>
      <c r="N319" s="6">
        <v>0.79500000000000004</v>
      </c>
      <c r="O319" s="6">
        <v>0.79500000000000004</v>
      </c>
      <c r="P319" s="6">
        <v>9</v>
      </c>
      <c r="Q319" s="4" t="s">
        <v>26</v>
      </c>
      <c r="R319" s="4">
        <v>0</v>
      </c>
      <c r="S319" s="4">
        <v>0</v>
      </c>
      <c r="T319" s="4">
        <v>20</v>
      </c>
      <c r="U319" s="4">
        <v>57</v>
      </c>
      <c r="V319" s="6">
        <f>IF(ISERROR(VLOOKUP($S$319,'TAR FIN'!$A$1:$O$85,15,0)),0,VLOOKUP($S$319,'TAR FIN'!$A$1:$O$85,15,0))</f>
        <v>0</v>
      </c>
      <c r="W319" s="6">
        <f>IF(ISERROR(VLOOKUP($T$319,'TAR FIN'!$A$1:$O$85,15,0)),0,VLOOKUP($T$319,'TAR FIN'!$A$1:$O$85,15,0))</f>
        <v>260.76</v>
      </c>
      <c r="X319" s="6">
        <f>IF(ISERROR(VLOOKUP($U$319,'TAR FIN'!$A$1:$O$85,15,0)),0,VLOOKUP($U$319,'TAR FIN'!$A$1:$O$85,15,0))</f>
        <v>322.54000000000002</v>
      </c>
      <c r="Y319" s="6"/>
      <c r="Z319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19" s="6">
        <f>('TE BE'!$AB$14+'TE BF'!$AB$14+'TE CVA'!$AB$14)*(1-CUSTOS!$M$37)</f>
        <v>319.954086693367</v>
      </c>
      <c r="AB319" s="6">
        <f t="shared" si="22"/>
        <v>0</v>
      </c>
      <c r="AC319" s="6">
        <f>(L319-M319)*(W319+X319)+($W$298+$X$298-$W$319-$X$319)*(L319)</f>
        <v>-4.5190517994342374E-14</v>
      </c>
      <c r="AD319" s="6">
        <f t="shared" si="23"/>
        <v>0</v>
      </c>
      <c r="AE319" s="6">
        <f ca="1">(L319-M319)*(Z319+AA319)+($Z$298+$AA$298-$Z$319-$AA$319)*(L319)</f>
        <v>-4.5190517994342374E-14</v>
      </c>
      <c r="AF319" s="4" t="s">
        <v>849</v>
      </c>
    </row>
    <row r="320" spans="1:32" ht="11.25" customHeight="1" x14ac:dyDescent="0.25">
      <c r="A320" s="4" t="s">
        <v>21</v>
      </c>
      <c r="B320" s="4" t="s">
        <v>22</v>
      </c>
      <c r="C320" s="4" t="s">
        <v>23</v>
      </c>
      <c r="D320" s="4" t="s">
        <v>24</v>
      </c>
      <c r="E320" s="4" t="s">
        <v>32</v>
      </c>
      <c r="F320" s="4" t="s">
        <v>25</v>
      </c>
      <c r="G320" s="4" t="s">
        <v>25</v>
      </c>
      <c r="H320" s="4" t="s">
        <v>25</v>
      </c>
      <c r="I320" s="5">
        <v>44743</v>
      </c>
      <c r="J320" s="6">
        <v>0</v>
      </c>
      <c r="K320" s="6">
        <v>0</v>
      </c>
      <c r="L320" s="6">
        <v>66.433999999999997</v>
      </c>
      <c r="M320" s="6">
        <v>66.433999999999997</v>
      </c>
      <c r="N320" s="6">
        <v>66.433999999999997</v>
      </c>
      <c r="O320" s="6">
        <v>66.433999999999997</v>
      </c>
      <c r="P320" s="6">
        <v>973</v>
      </c>
      <c r="Q320" s="4" t="s">
        <v>26</v>
      </c>
      <c r="R320" s="4">
        <v>0</v>
      </c>
      <c r="S320" s="4">
        <v>0</v>
      </c>
      <c r="T320" s="4">
        <v>20</v>
      </c>
      <c r="U320" s="4">
        <v>57</v>
      </c>
      <c r="V320" s="6">
        <f>IF(ISERROR(VLOOKUP($S$320,'TAR FIN'!$A$1:$O$85,15,0)),0,VLOOKUP($S$320,'TAR FIN'!$A$1:$O$85,15,0))</f>
        <v>0</v>
      </c>
      <c r="W320" s="6">
        <f>IF(ISERROR(VLOOKUP($T$320,'TAR FIN'!$A$1:$O$85,15,0)),0,VLOOKUP($T$320,'TAR FIN'!$A$1:$O$85,15,0))</f>
        <v>260.76</v>
      </c>
      <c r="X320" s="6">
        <f>IF(ISERROR(VLOOKUP($U$320,'TAR FIN'!$A$1:$O$85,15,0)),0,VLOOKUP($U$320,'TAR FIN'!$A$1:$O$85,15,0))</f>
        <v>322.54000000000002</v>
      </c>
      <c r="Y320" s="6"/>
      <c r="Z320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20" s="6">
        <f>('TE BE'!$AB$14+'TE BF'!$AB$14+'TE CVA'!$AB$14)*(1-CUSTOS!$M$37)</f>
        <v>319.954086693367</v>
      </c>
      <c r="AB320" s="6">
        <f t="shared" si="22"/>
        <v>0</v>
      </c>
      <c r="AC320" s="6">
        <f>(L320-M320)*(W320+X320)+($W$298+$X$298-$W$320-$X$320)*(L320)</f>
        <v>-3.7763356885989195E-12</v>
      </c>
      <c r="AD320" s="6">
        <f t="shared" si="23"/>
        <v>0</v>
      </c>
      <c r="AE320" s="6">
        <f ca="1">(L320-M320)*(Z320+AA320)+($Z$298+$AA$298-$Z$320-$AA$320)*(L320)</f>
        <v>-3.7763356885989195E-12</v>
      </c>
      <c r="AF320" s="4" t="s">
        <v>849</v>
      </c>
    </row>
    <row r="321" spans="1:32" ht="11.25" customHeight="1" x14ac:dyDescent="0.25">
      <c r="A321" s="4" t="s">
        <v>28</v>
      </c>
      <c r="B321" s="4" t="s">
        <v>22</v>
      </c>
      <c r="C321" s="4" t="s">
        <v>23</v>
      </c>
      <c r="D321" s="4" t="s">
        <v>24</v>
      </c>
      <c r="E321" s="4" t="s">
        <v>32</v>
      </c>
      <c r="F321" s="4" t="s">
        <v>25</v>
      </c>
      <c r="G321" s="4" t="s">
        <v>25</v>
      </c>
      <c r="H321" s="4" t="s">
        <v>25</v>
      </c>
      <c r="I321" s="5">
        <v>44743</v>
      </c>
      <c r="J321" s="6">
        <v>0</v>
      </c>
      <c r="K321" s="6">
        <v>0</v>
      </c>
      <c r="L321" s="6">
        <v>0.56399999999999995</v>
      </c>
      <c r="M321" s="6">
        <v>0.56399999999999995</v>
      </c>
      <c r="N321" s="6">
        <v>0.56399999999999995</v>
      </c>
      <c r="O321" s="6">
        <v>0.56399999999999995</v>
      </c>
      <c r="P321" s="6">
        <v>8</v>
      </c>
      <c r="Q321" s="4" t="s">
        <v>26</v>
      </c>
      <c r="R321" s="4">
        <v>0</v>
      </c>
      <c r="S321" s="4">
        <v>0</v>
      </c>
      <c r="T321" s="4">
        <v>20</v>
      </c>
      <c r="U321" s="4">
        <v>57</v>
      </c>
      <c r="V321" s="6">
        <f>IF(ISERROR(VLOOKUP($S$321,'TAR FIN'!$A$1:$O$85,15,0)),0,VLOOKUP($S$321,'TAR FIN'!$A$1:$O$85,15,0))</f>
        <v>0</v>
      </c>
      <c r="W321" s="6">
        <f>IF(ISERROR(VLOOKUP($T$321,'TAR FIN'!$A$1:$O$85,15,0)),0,VLOOKUP($T$321,'TAR FIN'!$A$1:$O$85,15,0))</f>
        <v>260.76</v>
      </c>
      <c r="X321" s="6">
        <f>IF(ISERROR(VLOOKUP($U$321,'TAR FIN'!$A$1:$O$85,15,0)),0,VLOOKUP($U$321,'TAR FIN'!$A$1:$O$85,15,0))</f>
        <v>322.54000000000002</v>
      </c>
      <c r="Y321" s="6"/>
      <c r="Z321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21" s="6">
        <f>('TE BE'!$AB$14+'TE BF'!$AB$14+'TE CVA'!$AB$14)*(1-CUSTOS!$M$37)</f>
        <v>319.954086693367</v>
      </c>
      <c r="AB321" s="6">
        <f t="shared" si="22"/>
        <v>0</v>
      </c>
      <c r="AC321" s="6">
        <f>(L321-M321)*(W321+X321)+($W$298+$X$298-$W$321-$X$321)*(L321)</f>
        <v>-3.2059688237495717E-14</v>
      </c>
      <c r="AD321" s="6">
        <f t="shared" si="23"/>
        <v>0</v>
      </c>
      <c r="AE321" s="6">
        <f ca="1">(L321-M321)*(Z321+AA321)+($Z$298+$AA$298-$Z$321-$AA$321)*(L321)</f>
        <v>-3.2059688237495717E-14</v>
      </c>
      <c r="AF321" s="4" t="s">
        <v>849</v>
      </c>
    </row>
    <row r="322" spans="1:32" ht="11.25" customHeight="1" x14ac:dyDescent="0.25">
      <c r="A322" s="4" t="s">
        <v>56</v>
      </c>
      <c r="B322" s="4" t="s">
        <v>22</v>
      </c>
      <c r="C322" s="4" t="s">
        <v>23</v>
      </c>
      <c r="D322" s="4" t="s">
        <v>24</v>
      </c>
      <c r="E322" s="4" t="s">
        <v>32</v>
      </c>
      <c r="F322" s="4" t="s">
        <v>25</v>
      </c>
      <c r="G322" s="4" t="s">
        <v>25</v>
      </c>
      <c r="H322" s="4" t="s">
        <v>25</v>
      </c>
      <c r="I322" s="5">
        <v>44774</v>
      </c>
      <c r="J322" s="6">
        <v>0</v>
      </c>
      <c r="K322" s="6">
        <v>0</v>
      </c>
      <c r="L322" s="6">
        <v>66.433999999999997</v>
      </c>
      <c r="M322" s="6">
        <v>66.433999999999997</v>
      </c>
      <c r="N322" s="6">
        <v>66.433999999999997</v>
      </c>
      <c r="O322" s="6">
        <v>66.433999999999997</v>
      </c>
      <c r="P322" s="6">
        <v>973</v>
      </c>
      <c r="Q322" s="4" t="s">
        <v>26</v>
      </c>
      <c r="R322" s="4">
        <v>0</v>
      </c>
      <c r="S322" s="4">
        <v>0</v>
      </c>
      <c r="T322" s="4">
        <v>20</v>
      </c>
      <c r="U322" s="4">
        <v>57</v>
      </c>
      <c r="V322" s="6">
        <f>IF(ISERROR(VLOOKUP($S$322,'TAR FIN'!$A$1:$O$85,15,0)),0,VLOOKUP($S$322,'TAR FIN'!$A$1:$O$85,15,0))</f>
        <v>0</v>
      </c>
      <c r="W322" s="6">
        <f>IF(ISERROR(VLOOKUP($T$322,'TAR FIN'!$A$1:$O$85,15,0)),0,VLOOKUP($T$322,'TAR FIN'!$A$1:$O$85,15,0))</f>
        <v>260.76</v>
      </c>
      <c r="X322" s="6">
        <f>IF(ISERROR(VLOOKUP($U$322,'TAR FIN'!$A$1:$O$85,15,0)),0,VLOOKUP($U$322,'TAR FIN'!$A$1:$O$85,15,0))</f>
        <v>322.54000000000002</v>
      </c>
      <c r="Y322" s="6"/>
      <c r="Z322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22" s="6">
        <f>('TE BE'!$AB$14+'TE BF'!$AB$14+'TE CVA'!$AB$14)*(1-CUSTOS!$M$37)</f>
        <v>319.954086693367</v>
      </c>
      <c r="AB322" s="6">
        <f t="shared" ref="AB322:AB385" si="24">(J322-K322)*V322</f>
        <v>0</v>
      </c>
      <c r="AC322" s="6">
        <f>(L322-M322)*(W322+X322)+($W$298+$X$298-$W$322-$X$322)*(L322)</f>
        <v>-3.7763356885989195E-12</v>
      </c>
      <c r="AD322" s="6">
        <f t="shared" ref="AD322:AD385" si="25">(J322-K322)*Y322</f>
        <v>0</v>
      </c>
      <c r="AE322" s="6">
        <f ca="1">(L322-M322)*(Z322+AA322)+($Z$298+$AA$298-$Z$322-$AA$322)*(L322)</f>
        <v>-3.7763356885989195E-12</v>
      </c>
      <c r="AF322" s="4" t="s">
        <v>849</v>
      </c>
    </row>
    <row r="323" spans="1:32" ht="11.25" customHeight="1" x14ac:dyDescent="0.25">
      <c r="A323" s="4" t="s">
        <v>56</v>
      </c>
      <c r="B323" s="4" t="s">
        <v>22</v>
      </c>
      <c r="C323" s="4" t="s">
        <v>23</v>
      </c>
      <c r="D323" s="4" t="s">
        <v>24</v>
      </c>
      <c r="E323" s="4" t="s">
        <v>32</v>
      </c>
      <c r="F323" s="4" t="s">
        <v>25</v>
      </c>
      <c r="G323" s="4" t="s">
        <v>25</v>
      </c>
      <c r="H323" s="4" t="s">
        <v>25</v>
      </c>
      <c r="I323" s="5">
        <v>44774</v>
      </c>
      <c r="J323" s="6">
        <v>0</v>
      </c>
      <c r="K323" s="6">
        <v>0</v>
      </c>
      <c r="L323" s="6">
        <v>0.56399999999999995</v>
      </c>
      <c r="M323" s="6">
        <v>0.56399999999999995</v>
      </c>
      <c r="N323" s="6">
        <v>0.56399999999999995</v>
      </c>
      <c r="O323" s="6">
        <v>0.56399999999999995</v>
      </c>
      <c r="P323" s="6">
        <v>8</v>
      </c>
      <c r="Q323" s="4" t="s">
        <v>26</v>
      </c>
      <c r="R323" s="4">
        <v>0</v>
      </c>
      <c r="S323" s="4">
        <v>0</v>
      </c>
      <c r="T323" s="4">
        <v>20</v>
      </c>
      <c r="U323" s="4">
        <v>57</v>
      </c>
      <c r="V323" s="6">
        <f>IF(ISERROR(VLOOKUP($S$323,'TAR FIN'!$A$1:$O$85,15,0)),0,VLOOKUP($S$323,'TAR FIN'!$A$1:$O$85,15,0))</f>
        <v>0</v>
      </c>
      <c r="W323" s="6">
        <f>IF(ISERROR(VLOOKUP($T$323,'TAR FIN'!$A$1:$O$85,15,0)),0,VLOOKUP($T$323,'TAR FIN'!$A$1:$O$85,15,0))</f>
        <v>260.76</v>
      </c>
      <c r="X323" s="6">
        <f>IF(ISERROR(VLOOKUP($U$323,'TAR FIN'!$A$1:$O$85,15,0)),0,VLOOKUP($U$323,'TAR FIN'!$A$1:$O$85,15,0))</f>
        <v>322.54000000000002</v>
      </c>
      <c r="Y323" s="6"/>
      <c r="Z323" s="6">
        <f ca="1">('TUSD BE'!$AM$24+'TUSD BF'!$AM$24+'TUSD CVA'!$AM$24-('TUSD BE'!$P$24+'TUSD BF'!$P$24+'TUSD CVA'!$P$24)-('TUSD BE'!$Q$24+'TUSD BF'!$Q$24+'TUSD CVA'!$Q$24)-('TUSD BE'!$R$24+'TUSD BF'!$R$24+'TUSD CVA'!$R$24))*(1-CUSTOS!$M$37)</f>
        <v>288.89486969743751</v>
      </c>
      <c r="AA323" s="6">
        <f>('TE BE'!$AB$14+'TE BF'!$AB$14+'TE CVA'!$AB$14)*(1-CUSTOS!$M$37)</f>
        <v>319.954086693367</v>
      </c>
      <c r="AB323" s="6">
        <f t="shared" si="24"/>
        <v>0</v>
      </c>
      <c r="AC323" s="6">
        <f>(L323-M323)*(W323+X323)+($W$298+$X$298-$W$323-$X$323)*(L323)</f>
        <v>-3.2059688237495717E-14</v>
      </c>
      <c r="AD323" s="6">
        <f t="shared" si="25"/>
        <v>0</v>
      </c>
      <c r="AE323" s="6">
        <f ca="1">(L323-M323)*(Z323+AA323)+($Z$298+$AA$298-$Z$323-$AA$323)*(L323)</f>
        <v>-3.2059688237495717E-14</v>
      </c>
      <c r="AF323" s="4" t="s">
        <v>849</v>
      </c>
    </row>
    <row r="324" spans="1:32" ht="11.25" customHeight="1" x14ac:dyDescent="0.25">
      <c r="A324" s="4" t="s">
        <v>21</v>
      </c>
      <c r="B324" s="4" t="s">
        <v>43</v>
      </c>
      <c r="C324" s="4" t="s">
        <v>33</v>
      </c>
      <c r="D324" s="4" t="s">
        <v>44</v>
      </c>
      <c r="E324" s="4" t="s">
        <v>25</v>
      </c>
      <c r="F324" s="4" t="s">
        <v>25</v>
      </c>
      <c r="G324" s="4" t="s">
        <v>25</v>
      </c>
      <c r="H324" s="4" t="s">
        <v>35</v>
      </c>
      <c r="I324" s="5">
        <v>44440</v>
      </c>
      <c r="J324" s="6">
        <v>0</v>
      </c>
      <c r="K324" s="6">
        <v>0</v>
      </c>
      <c r="L324" s="6">
        <v>0.439</v>
      </c>
      <c r="M324" s="6">
        <v>0.439</v>
      </c>
      <c r="N324" s="6">
        <v>0.439</v>
      </c>
      <c r="O324" s="6">
        <v>0.439</v>
      </c>
      <c r="P324" s="6">
        <v>0</v>
      </c>
      <c r="Q324" s="4" t="s">
        <v>26</v>
      </c>
      <c r="R324" s="4">
        <v>0</v>
      </c>
      <c r="S324" s="4">
        <v>0</v>
      </c>
      <c r="T324" s="4">
        <v>28</v>
      </c>
      <c r="U324" s="4">
        <v>65</v>
      </c>
      <c r="V324" s="6">
        <f>IF(ISERROR(VLOOKUP($S$324,'TAR FIN'!$A$1:$O$85,15,0)),0,VLOOKUP($S$324,'TAR FIN'!$A$1:$O$85,15,0))</f>
        <v>0</v>
      </c>
      <c r="W324" s="6">
        <f>IF(ISERROR(VLOOKUP($T$324,'TAR FIN'!$A$1:$O$85,15,0)),0,VLOOKUP($T$324,'TAR FIN'!$A$1:$O$85,15,0))</f>
        <v>228.11</v>
      </c>
      <c r="X324" s="6">
        <f>IF(ISERROR(VLOOKUP($U$324,'TAR FIN'!$A$1:$O$85,15,0)),0,VLOOKUP($U$324,'TAR FIN'!$A$1:$O$85,15,0))</f>
        <v>270.23</v>
      </c>
      <c r="Y324" s="6"/>
      <c r="Z324" s="6">
        <f ca="1">('TUSD BE'!$AM$32+'TUSD BF'!$AM$32+'TUSD CVA'!$AM$32)*(1-CUSTOS!$M$38)</f>
        <v>340.798072066354</v>
      </c>
      <c r="AA324" s="6">
        <f>('TE BE'!$AB$22+'TE BF'!$AB$22+'TE CVA'!$AB$22)*(1-CUSTOS!$M$38)</f>
        <v>286.57806182434155</v>
      </c>
      <c r="AB324" s="6">
        <f t="shared" si="24"/>
        <v>0</v>
      </c>
      <c r="AC324" s="6">
        <f>(L324*W324+M324*X324)/(1-CUSTOS!$M$38)*CUSTOS!$M$38</f>
        <v>13.964122978723406</v>
      </c>
      <c r="AD324" s="6">
        <f t="shared" si="25"/>
        <v>0</v>
      </c>
      <c r="AE324" s="6">
        <f ca="1">(L324*Z324+N324*AA324)/(1-CUSTOS!$M$38)*CUSTOS!$M$38</f>
        <v>17.579880177320128</v>
      </c>
      <c r="AF324" s="4" t="s">
        <v>846</v>
      </c>
    </row>
    <row r="325" spans="1:32" ht="11.25" customHeight="1" x14ac:dyDescent="0.25">
      <c r="A325" s="4" t="s">
        <v>21</v>
      </c>
      <c r="B325" s="4" t="s">
        <v>43</v>
      </c>
      <c r="C325" s="4" t="s">
        <v>33</v>
      </c>
      <c r="D325" s="4" t="s">
        <v>44</v>
      </c>
      <c r="E325" s="4" t="s">
        <v>25</v>
      </c>
      <c r="F325" s="4" t="s">
        <v>25</v>
      </c>
      <c r="G325" s="4" t="s">
        <v>25</v>
      </c>
      <c r="H325" s="4" t="s">
        <v>35</v>
      </c>
      <c r="I325" s="5">
        <v>44470</v>
      </c>
      <c r="J325" s="6">
        <v>0</v>
      </c>
      <c r="K325" s="6">
        <v>0</v>
      </c>
      <c r="L325" s="6">
        <v>0.68200000000000005</v>
      </c>
      <c r="M325" s="6">
        <v>0.68200000000000005</v>
      </c>
      <c r="N325" s="6">
        <v>0.68200000000000005</v>
      </c>
      <c r="O325" s="6">
        <v>0.68200000000000005</v>
      </c>
      <c r="P325" s="6">
        <v>0</v>
      </c>
      <c r="Q325" s="4" t="s">
        <v>26</v>
      </c>
      <c r="R325" s="4">
        <v>0</v>
      </c>
      <c r="S325" s="4">
        <v>0</v>
      </c>
      <c r="T325" s="4">
        <v>28</v>
      </c>
      <c r="U325" s="4">
        <v>65</v>
      </c>
      <c r="V325" s="6">
        <f>IF(ISERROR(VLOOKUP($S$325,'TAR FIN'!$A$1:$O$85,15,0)),0,VLOOKUP($S$325,'TAR FIN'!$A$1:$O$85,15,0))</f>
        <v>0</v>
      </c>
      <c r="W325" s="6">
        <f>IF(ISERROR(VLOOKUP($T$325,'TAR FIN'!$A$1:$O$85,15,0)),0,VLOOKUP($T$325,'TAR FIN'!$A$1:$O$85,15,0))</f>
        <v>228.11</v>
      </c>
      <c r="X325" s="6">
        <f>IF(ISERROR(VLOOKUP($U$325,'TAR FIN'!$A$1:$O$85,15,0)),0,VLOOKUP($U$325,'TAR FIN'!$A$1:$O$85,15,0))</f>
        <v>270.23</v>
      </c>
      <c r="Y325" s="6"/>
      <c r="Z325" s="6">
        <f ca="1">('TUSD BE'!$AM$32+'TUSD BF'!$AM$32+'TUSD CVA'!$AM$32)*(1-CUSTOS!$M$38)</f>
        <v>340.798072066354</v>
      </c>
      <c r="AA325" s="6">
        <f>('TE BE'!$AB$22+'TE BF'!$AB$22+'TE CVA'!$AB$22)*(1-CUSTOS!$M$38)</f>
        <v>286.57806182434155</v>
      </c>
      <c r="AB325" s="6">
        <f t="shared" si="24"/>
        <v>0</v>
      </c>
      <c r="AC325" s="6">
        <f>(L325*W325+M325*X325)/(1-CUSTOS!$M$38)*CUSTOS!$M$38</f>
        <v>21.693694468085113</v>
      </c>
      <c r="AD325" s="6">
        <f t="shared" si="25"/>
        <v>0</v>
      </c>
      <c r="AE325" s="6">
        <f ca="1">(L325*Z325+N325*AA325)/(1-CUSTOS!$M$38)*CUSTOS!$M$38</f>
        <v>27.310884466816237</v>
      </c>
      <c r="AF325" s="4" t="s">
        <v>846</v>
      </c>
    </row>
    <row r="326" spans="1:32" ht="11.25" customHeight="1" x14ac:dyDescent="0.25">
      <c r="A326" s="4" t="s">
        <v>21</v>
      </c>
      <c r="B326" s="4" t="s">
        <v>43</v>
      </c>
      <c r="C326" s="4" t="s">
        <v>33</v>
      </c>
      <c r="D326" s="4" t="s">
        <v>44</v>
      </c>
      <c r="E326" s="4" t="s">
        <v>25</v>
      </c>
      <c r="F326" s="4" t="s">
        <v>25</v>
      </c>
      <c r="G326" s="4" t="s">
        <v>25</v>
      </c>
      <c r="H326" s="4" t="s">
        <v>35</v>
      </c>
      <c r="I326" s="5">
        <v>44501</v>
      </c>
      <c r="J326" s="6">
        <v>0</v>
      </c>
      <c r="K326" s="6">
        <v>0</v>
      </c>
      <c r="L326" s="6">
        <v>0.317</v>
      </c>
      <c r="M326" s="6">
        <v>0.317</v>
      </c>
      <c r="N326" s="6">
        <v>0.317</v>
      </c>
      <c r="O326" s="6">
        <v>0.317</v>
      </c>
      <c r="P326" s="6">
        <v>0</v>
      </c>
      <c r="Q326" s="4" t="s">
        <v>26</v>
      </c>
      <c r="R326" s="4">
        <v>0</v>
      </c>
      <c r="S326" s="4">
        <v>0</v>
      </c>
      <c r="T326" s="4">
        <v>28</v>
      </c>
      <c r="U326" s="4">
        <v>65</v>
      </c>
      <c r="V326" s="6">
        <f>IF(ISERROR(VLOOKUP($S$326,'TAR FIN'!$A$1:$O$85,15,0)),0,VLOOKUP($S$326,'TAR FIN'!$A$1:$O$85,15,0))</f>
        <v>0</v>
      </c>
      <c r="W326" s="6">
        <f>IF(ISERROR(VLOOKUP($T$326,'TAR FIN'!$A$1:$O$85,15,0)),0,VLOOKUP($T$326,'TAR FIN'!$A$1:$O$85,15,0))</f>
        <v>228.11</v>
      </c>
      <c r="X326" s="6">
        <f>IF(ISERROR(VLOOKUP($U$326,'TAR FIN'!$A$1:$O$85,15,0)),0,VLOOKUP($U$326,'TAR FIN'!$A$1:$O$85,15,0))</f>
        <v>270.23</v>
      </c>
      <c r="Y326" s="6"/>
      <c r="Z326" s="6">
        <f ca="1">('TUSD BE'!$AM$32+'TUSD BF'!$AM$32+'TUSD CVA'!$AM$32)*(1-CUSTOS!$M$38)</f>
        <v>340.798072066354</v>
      </c>
      <c r="AA326" s="6">
        <f>('TE BE'!$AB$22+'TE BF'!$AB$22+'TE CVA'!$AB$22)*(1-CUSTOS!$M$38)</f>
        <v>286.57806182434155</v>
      </c>
      <c r="AB326" s="6">
        <f t="shared" si="24"/>
        <v>0</v>
      </c>
      <c r="AC326" s="6">
        <f>(L326*W326+M326*X326)/(1-CUSTOS!$M$38)*CUSTOS!$M$38</f>
        <v>10.083432765957451</v>
      </c>
      <c r="AD326" s="6">
        <f t="shared" si="25"/>
        <v>0</v>
      </c>
      <c r="AE326" s="6">
        <f ca="1">(L326*Z326+N326*AA326)/(1-CUSTOS!$M$38)*CUSTOS!$M$38</f>
        <v>12.694355390001096</v>
      </c>
      <c r="AF326" s="4" t="s">
        <v>846</v>
      </c>
    </row>
    <row r="327" spans="1:32" ht="11.25" customHeight="1" x14ac:dyDescent="0.25">
      <c r="A327" s="4" t="s">
        <v>21</v>
      </c>
      <c r="B327" s="4" t="s">
        <v>43</v>
      </c>
      <c r="C327" s="4" t="s">
        <v>33</v>
      </c>
      <c r="D327" s="4" t="s">
        <v>44</v>
      </c>
      <c r="E327" s="4" t="s">
        <v>25</v>
      </c>
      <c r="F327" s="4" t="s">
        <v>25</v>
      </c>
      <c r="G327" s="4" t="s">
        <v>25</v>
      </c>
      <c r="H327" s="4" t="s">
        <v>35</v>
      </c>
      <c r="I327" s="5">
        <v>44531</v>
      </c>
      <c r="J327" s="6">
        <v>0</v>
      </c>
      <c r="K327" s="6">
        <v>0</v>
      </c>
      <c r="L327" s="6">
        <v>0.26200000000000001</v>
      </c>
      <c r="M327" s="6">
        <v>0.26200000000000001</v>
      </c>
      <c r="N327" s="6">
        <v>0.26200000000000001</v>
      </c>
      <c r="O327" s="6">
        <v>0.26200000000000001</v>
      </c>
      <c r="P327" s="6">
        <v>0</v>
      </c>
      <c r="Q327" s="4" t="s">
        <v>26</v>
      </c>
      <c r="R327" s="4">
        <v>0</v>
      </c>
      <c r="S327" s="4">
        <v>0</v>
      </c>
      <c r="T327" s="4">
        <v>28</v>
      </c>
      <c r="U327" s="4">
        <v>65</v>
      </c>
      <c r="V327" s="6">
        <f>IF(ISERROR(VLOOKUP($S$327,'TAR FIN'!$A$1:$O$85,15,0)),0,VLOOKUP($S$327,'TAR FIN'!$A$1:$O$85,15,0))</f>
        <v>0</v>
      </c>
      <c r="W327" s="6">
        <f>IF(ISERROR(VLOOKUP($T$327,'TAR FIN'!$A$1:$O$85,15,0)),0,VLOOKUP($T$327,'TAR FIN'!$A$1:$O$85,15,0))</f>
        <v>228.11</v>
      </c>
      <c r="X327" s="6">
        <f>IF(ISERROR(VLOOKUP($U$327,'TAR FIN'!$A$1:$O$85,15,0)),0,VLOOKUP($U$327,'TAR FIN'!$A$1:$O$85,15,0))</f>
        <v>270.23</v>
      </c>
      <c r="Y327" s="6"/>
      <c r="Z327" s="6">
        <f ca="1">('TUSD BE'!$AM$32+'TUSD BF'!$AM$32+'TUSD CVA'!$AM$32)*(1-CUSTOS!$M$38)</f>
        <v>340.798072066354</v>
      </c>
      <c r="AA327" s="6">
        <f>('TE BE'!$AB$22+'TE BF'!$AB$22+'TE CVA'!$AB$22)*(1-CUSTOS!$M$38)</f>
        <v>286.57806182434155</v>
      </c>
      <c r="AB327" s="6">
        <f t="shared" si="24"/>
        <v>0</v>
      </c>
      <c r="AC327" s="6">
        <f>(L327*W327+M327*X327)/(1-CUSTOS!$M$38)*CUSTOS!$M$38</f>
        <v>8.3339412765957466</v>
      </c>
      <c r="AD327" s="6">
        <f t="shared" si="25"/>
        <v>0</v>
      </c>
      <c r="AE327" s="6">
        <f ca="1">(L327*Z327+N327*AA327)/(1-CUSTOS!$M$38)*CUSTOS!$M$38</f>
        <v>10.491864707193335</v>
      </c>
      <c r="AF327" s="4" t="s">
        <v>846</v>
      </c>
    </row>
    <row r="328" spans="1:32" ht="11.25" customHeight="1" x14ac:dyDescent="0.25">
      <c r="A328" s="4" t="s">
        <v>21</v>
      </c>
      <c r="B328" s="4" t="s">
        <v>43</v>
      </c>
      <c r="C328" s="4" t="s">
        <v>33</v>
      </c>
      <c r="D328" s="4" t="s">
        <v>44</v>
      </c>
      <c r="E328" s="4" t="s">
        <v>25</v>
      </c>
      <c r="F328" s="4" t="s">
        <v>25</v>
      </c>
      <c r="G328" s="4" t="s">
        <v>25</v>
      </c>
      <c r="H328" s="4" t="s">
        <v>35</v>
      </c>
      <c r="I328" s="5">
        <v>44562</v>
      </c>
      <c r="J328" s="6">
        <v>0</v>
      </c>
      <c r="K328" s="6">
        <v>0</v>
      </c>
      <c r="L328" s="6">
        <v>0.42599999999999999</v>
      </c>
      <c r="M328" s="6">
        <v>0.42599999999999999</v>
      </c>
      <c r="N328" s="6">
        <v>0.42599999999999999</v>
      </c>
      <c r="O328" s="6">
        <v>0.42599999999999999</v>
      </c>
      <c r="P328" s="6">
        <v>0</v>
      </c>
      <c r="Q328" s="4" t="s">
        <v>26</v>
      </c>
      <c r="R328" s="4">
        <v>0</v>
      </c>
      <c r="S328" s="4">
        <v>0</v>
      </c>
      <c r="T328" s="4">
        <v>28</v>
      </c>
      <c r="U328" s="4">
        <v>65</v>
      </c>
      <c r="V328" s="6">
        <f>IF(ISERROR(VLOOKUP($S$328,'TAR FIN'!$A$1:$O$85,15,0)),0,VLOOKUP($S$328,'TAR FIN'!$A$1:$O$85,15,0))</f>
        <v>0</v>
      </c>
      <c r="W328" s="6">
        <f>IF(ISERROR(VLOOKUP($T$328,'TAR FIN'!$A$1:$O$85,15,0)),0,VLOOKUP($T$328,'TAR FIN'!$A$1:$O$85,15,0))</f>
        <v>228.11</v>
      </c>
      <c r="X328" s="6">
        <f>IF(ISERROR(VLOOKUP($U$328,'TAR FIN'!$A$1:$O$85,15,0)),0,VLOOKUP($U$328,'TAR FIN'!$A$1:$O$85,15,0))</f>
        <v>270.23</v>
      </c>
      <c r="Y328" s="6"/>
      <c r="Z328" s="6">
        <f ca="1">('TUSD BE'!$AM$32+'TUSD BF'!$AM$32+'TUSD CVA'!$AM$32)*(1-CUSTOS!$M$38)</f>
        <v>340.798072066354</v>
      </c>
      <c r="AA328" s="6">
        <f>('TE BE'!$AB$22+'TE BF'!$AB$22+'TE CVA'!$AB$22)*(1-CUSTOS!$M$38)</f>
        <v>286.57806182434155</v>
      </c>
      <c r="AB328" s="6">
        <f t="shared" si="24"/>
        <v>0</v>
      </c>
      <c r="AC328" s="6">
        <f>(L328*W328+M328*X328)/(1-CUSTOS!$M$38)*CUSTOS!$M$38</f>
        <v>13.55060680851064</v>
      </c>
      <c r="AD328" s="6">
        <f t="shared" si="25"/>
        <v>0</v>
      </c>
      <c r="AE328" s="6">
        <f ca="1">(L328*Z328+N328*AA328)/(1-CUSTOS!$M$38)*CUSTOS!$M$38</f>
        <v>17.059291470474658</v>
      </c>
      <c r="AF328" s="4" t="s">
        <v>846</v>
      </c>
    </row>
    <row r="329" spans="1:32" ht="11.25" customHeight="1" x14ac:dyDescent="0.25">
      <c r="A329" s="4" t="s">
        <v>21</v>
      </c>
      <c r="B329" s="4" t="s">
        <v>43</v>
      </c>
      <c r="C329" s="4" t="s">
        <v>33</v>
      </c>
      <c r="D329" s="4" t="s">
        <v>44</v>
      </c>
      <c r="E329" s="4" t="s">
        <v>25</v>
      </c>
      <c r="F329" s="4" t="s">
        <v>25</v>
      </c>
      <c r="G329" s="4" t="s">
        <v>25</v>
      </c>
      <c r="H329" s="4" t="s">
        <v>35</v>
      </c>
      <c r="I329" s="5">
        <v>44593</v>
      </c>
      <c r="J329" s="6">
        <v>0</v>
      </c>
      <c r="K329" s="6">
        <v>0</v>
      </c>
      <c r="L329" s="6">
        <v>0.34699999999999998</v>
      </c>
      <c r="M329" s="6">
        <v>0.34699999999999998</v>
      </c>
      <c r="N329" s="6">
        <v>0.34699999999999998</v>
      </c>
      <c r="O329" s="6">
        <v>0.34699999999999998</v>
      </c>
      <c r="P329" s="6">
        <v>0</v>
      </c>
      <c r="Q329" s="4" t="s">
        <v>26</v>
      </c>
      <c r="R329" s="4">
        <v>0</v>
      </c>
      <c r="S329" s="4">
        <v>0</v>
      </c>
      <c r="T329" s="4">
        <v>28</v>
      </c>
      <c r="U329" s="4">
        <v>65</v>
      </c>
      <c r="V329" s="6">
        <f>IF(ISERROR(VLOOKUP($S$329,'TAR FIN'!$A$1:$O$85,15,0)),0,VLOOKUP($S$329,'TAR FIN'!$A$1:$O$85,15,0))</f>
        <v>0</v>
      </c>
      <c r="W329" s="6">
        <f>IF(ISERROR(VLOOKUP($T$329,'TAR FIN'!$A$1:$O$85,15,0)),0,VLOOKUP($T$329,'TAR FIN'!$A$1:$O$85,15,0))</f>
        <v>228.11</v>
      </c>
      <c r="X329" s="6">
        <f>IF(ISERROR(VLOOKUP($U$329,'TAR FIN'!$A$1:$O$85,15,0)),0,VLOOKUP($U$329,'TAR FIN'!$A$1:$O$85,15,0))</f>
        <v>270.23</v>
      </c>
      <c r="Y329" s="6"/>
      <c r="Z329" s="6">
        <f ca="1">('TUSD BE'!$AM$32+'TUSD BF'!$AM$32+'TUSD CVA'!$AM$32)*(1-CUSTOS!$M$38)</f>
        <v>340.798072066354</v>
      </c>
      <c r="AA329" s="6">
        <f>('TE BE'!$AB$22+'TE BF'!$AB$22+'TE CVA'!$AB$22)*(1-CUSTOS!$M$38)</f>
        <v>286.57806182434155</v>
      </c>
      <c r="AB329" s="6">
        <f t="shared" si="24"/>
        <v>0</v>
      </c>
      <c r="AC329" s="6">
        <f>(L329*W329+M329*X329)/(1-CUSTOS!$M$38)*CUSTOS!$M$38</f>
        <v>11.037700851063828</v>
      </c>
      <c r="AD329" s="6">
        <f t="shared" si="25"/>
        <v>0</v>
      </c>
      <c r="AE329" s="6">
        <f ca="1">(L329*Z329+N329*AA329)/(1-CUSTOS!$M$38)*CUSTOS!$M$38</f>
        <v>13.895713944259873</v>
      </c>
      <c r="AF329" s="4" t="s">
        <v>846</v>
      </c>
    </row>
    <row r="330" spans="1:32" ht="11.25" customHeight="1" x14ac:dyDescent="0.25">
      <c r="A330" s="4" t="s">
        <v>21</v>
      </c>
      <c r="B330" s="4" t="s">
        <v>43</v>
      </c>
      <c r="C330" s="4" t="s">
        <v>33</v>
      </c>
      <c r="D330" s="4" t="s">
        <v>44</v>
      </c>
      <c r="E330" s="4" t="s">
        <v>25</v>
      </c>
      <c r="F330" s="4" t="s">
        <v>25</v>
      </c>
      <c r="G330" s="4" t="s">
        <v>25</v>
      </c>
      <c r="H330" s="4" t="s">
        <v>35</v>
      </c>
      <c r="I330" s="5">
        <v>44621</v>
      </c>
      <c r="J330" s="6">
        <v>0</v>
      </c>
      <c r="K330" s="6">
        <v>0</v>
      </c>
      <c r="L330" s="6">
        <v>0.35099999999999998</v>
      </c>
      <c r="M330" s="6">
        <v>0.35099999999999998</v>
      </c>
      <c r="N330" s="6">
        <v>0.35099999999999998</v>
      </c>
      <c r="O330" s="6">
        <v>0.35099999999999998</v>
      </c>
      <c r="P330" s="6">
        <v>0</v>
      </c>
      <c r="Q330" s="4" t="s">
        <v>26</v>
      </c>
      <c r="R330" s="4">
        <v>0</v>
      </c>
      <c r="S330" s="4">
        <v>0</v>
      </c>
      <c r="T330" s="4">
        <v>28</v>
      </c>
      <c r="U330" s="4">
        <v>65</v>
      </c>
      <c r="V330" s="6">
        <f>IF(ISERROR(VLOOKUP($S$330,'TAR FIN'!$A$1:$O$85,15,0)),0,VLOOKUP($S$330,'TAR FIN'!$A$1:$O$85,15,0))</f>
        <v>0</v>
      </c>
      <c r="W330" s="6">
        <f>IF(ISERROR(VLOOKUP($T$330,'TAR FIN'!$A$1:$O$85,15,0)),0,VLOOKUP($T$330,'TAR FIN'!$A$1:$O$85,15,0))</f>
        <v>228.11</v>
      </c>
      <c r="X330" s="6">
        <f>IF(ISERROR(VLOOKUP($U$330,'TAR FIN'!$A$1:$O$85,15,0)),0,VLOOKUP($U$330,'TAR FIN'!$A$1:$O$85,15,0))</f>
        <v>270.23</v>
      </c>
      <c r="Y330" s="6"/>
      <c r="Z330" s="6">
        <f ca="1">('TUSD BE'!$AM$32+'TUSD BF'!$AM$32+'TUSD CVA'!$AM$32)*(1-CUSTOS!$M$38)</f>
        <v>340.798072066354</v>
      </c>
      <c r="AA330" s="6">
        <f>('TE BE'!$AB$22+'TE BF'!$AB$22+'TE CVA'!$AB$22)*(1-CUSTOS!$M$38)</f>
        <v>286.57806182434155</v>
      </c>
      <c r="AB330" s="6">
        <f t="shared" si="24"/>
        <v>0</v>
      </c>
      <c r="AC330" s="6">
        <f>(L330*W330+M330*X330)/(1-CUSTOS!$M$38)*CUSTOS!$M$38</f>
        <v>11.164936595744679</v>
      </c>
      <c r="AD330" s="6">
        <f t="shared" si="25"/>
        <v>0</v>
      </c>
      <c r="AE330" s="6">
        <f ca="1">(L330*Z330+N330*AA330)/(1-CUSTOS!$M$38)*CUSTOS!$M$38</f>
        <v>14.055895084827709</v>
      </c>
      <c r="AF330" s="4" t="s">
        <v>846</v>
      </c>
    </row>
    <row r="331" spans="1:32" ht="11.25" customHeight="1" x14ac:dyDescent="0.25">
      <c r="A331" s="4" t="s">
        <v>21</v>
      </c>
      <c r="B331" s="4" t="s">
        <v>43</v>
      </c>
      <c r="C331" s="4" t="s">
        <v>33</v>
      </c>
      <c r="D331" s="4" t="s">
        <v>44</v>
      </c>
      <c r="E331" s="4" t="s">
        <v>25</v>
      </c>
      <c r="F331" s="4" t="s">
        <v>25</v>
      </c>
      <c r="G331" s="4" t="s">
        <v>25</v>
      </c>
      <c r="H331" s="4" t="s">
        <v>35</v>
      </c>
      <c r="I331" s="5">
        <v>44652</v>
      </c>
      <c r="J331" s="6">
        <v>0</v>
      </c>
      <c r="K331" s="6">
        <v>0</v>
      </c>
      <c r="L331" s="6">
        <v>0.30199999999999999</v>
      </c>
      <c r="M331" s="6">
        <v>0.30199999999999999</v>
      </c>
      <c r="N331" s="6">
        <v>0.30199999999999999</v>
      </c>
      <c r="O331" s="6">
        <v>0.30199999999999999</v>
      </c>
      <c r="P331" s="6">
        <v>0</v>
      </c>
      <c r="Q331" s="4" t="s">
        <v>26</v>
      </c>
      <c r="R331" s="4">
        <v>0</v>
      </c>
      <c r="S331" s="4">
        <v>0</v>
      </c>
      <c r="T331" s="4">
        <v>28</v>
      </c>
      <c r="U331" s="4">
        <v>65</v>
      </c>
      <c r="V331" s="6">
        <f>IF(ISERROR(VLOOKUP($S$331,'TAR FIN'!$A$1:$O$85,15,0)),0,VLOOKUP($S$331,'TAR FIN'!$A$1:$O$85,15,0))</f>
        <v>0</v>
      </c>
      <c r="W331" s="6">
        <f>IF(ISERROR(VLOOKUP($T$331,'TAR FIN'!$A$1:$O$85,15,0)),0,VLOOKUP($T$331,'TAR FIN'!$A$1:$O$85,15,0))</f>
        <v>228.11</v>
      </c>
      <c r="X331" s="6">
        <f>IF(ISERROR(VLOOKUP($U$331,'TAR FIN'!$A$1:$O$85,15,0)),0,VLOOKUP($U$331,'TAR FIN'!$A$1:$O$85,15,0))</f>
        <v>270.23</v>
      </c>
      <c r="Y331" s="6"/>
      <c r="Z331" s="6">
        <f ca="1">('TUSD BE'!$AM$32+'TUSD BF'!$AM$32+'TUSD CVA'!$AM$32)*(1-CUSTOS!$M$38)</f>
        <v>340.798072066354</v>
      </c>
      <c r="AA331" s="6">
        <f>('TE BE'!$AB$22+'TE BF'!$AB$22+'TE CVA'!$AB$22)*(1-CUSTOS!$M$38)</f>
        <v>286.57806182434155</v>
      </c>
      <c r="AB331" s="6">
        <f t="shared" si="24"/>
        <v>0</v>
      </c>
      <c r="AC331" s="6">
        <f>(L331*W331+M331*X331)/(1-CUSTOS!$M$38)*CUSTOS!$M$38</f>
        <v>9.6062987234042545</v>
      </c>
      <c r="AD331" s="6">
        <f t="shared" si="25"/>
        <v>0</v>
      </c>
      <c r="AE331" s="6">
        <f ca="1">(L331*Z331+N331*AA331)/(1-CUSTOS!$M$38)*CUSTOS!$M$38</f>
        <v>12.093676112871705</v>
      </c>
      <c r="AF331" s="4" t="s">
        <v>846</v>
      </c>
    </row>
    <row r="332" spans="1:32" ht="11.25" customHeight="1" x14ac:dyDescent="0.25">
      <c r="A332" s="4" t="s">
        <v>21</v>
      </c>
      <c r="B332" s="4" t="s">
        <v>43</v>
      </c>
      <c r="C332" s="4" t="s">
        <v>33</v>
      </c>
      <c r="D332" s="4" t="s">
        <v>44</v>
      </c>
      <c r="E332" s="4" t="s">
        <v>25</v>
      </c>
      <c r="F332" s="4" t="s">
        <v>25</v>
      </c>
      <c r="G332" s="4" t="s">
        <v>25</v>
      </c>
      <c r="H332" s="4" t="s">
        <v>35</v>
      </c>
      <c r="I332" s="5">
        <v>44682</v>
      </c>
      <c r="J332" s="6">
        <v>0</v>
      </c>
      <c r="K332" s="6">
        <v>0</v>
      </c>
      <c r="L332" s="6">
        <v>0.54500000000000004</v>
      </c>
      <c r="M332" s="6">
        <v>0.54500000000000004</v>
      </c>
      <c r="N332" s="6">
        <v>0.54500000000000004</v>
      </c>
      <c r="O332" s="6">
        <v>0.54500000000000004</v>
      </c>
      <c r="P332" s="6">
        <v>0</v>
      </c>
      <c r="Q332" s="4" t="s">
        <v>26</v>
      </c>
      <c r="R332" s="4">
        <v>0</v>
      </c>
      <c r="S332" s="4">
        <v>0</v>
      </c>
      <c r="T332" s="4">
        <v>28</v>
      </c>
      <c r="U332" s="4">
        <v>65</v>
      </c>
      <c r="V332" s="6">
        <f>IF(ISERROR(VLOOKUP($S$332,'TAR FIN'!$A$1:$O$85,15,0)),0,VLOOKUP($S$332,'TAR FIN'!$A$1:$O$85,15,0))</f>
        <v>0</v>
      </c>
      <c r="W332" s="6">
        <f>IF(ISERROR(VLOOKUP($T$332,'TAR FIN'!$A$1:$O$85,15,0)),0,VLOOKUP($T$332,'TAR FIN'!$A$1:$O$85,15,0))</f>
        <v>228.11</v>
      </c>
      <c r="X332" s="6">
        <f>IF(ISERROR(VLOOKUP($U$332,'TAR FIN'!$A$1:$O$85,15,0)),0,VLOOKUP($U$332,'TAR FIN'!$A$1:$O$85,15,0))</f>
        <v>270.23</v>
      </c>
      <c r="Y332" s="6"/>
      <c r="Z332" s="6">
        <f ca="1">('TUSD BE'!$AM$32+'TUSD BF'!$AM$32+'TUSD CVA'!$AM$32)*(1-CUSTOS!$M$38)</f>
        <v>340.798072066354</v>
      </c>
      <c r="AA332" s="6">
        <f>('TE BE'!$AB$22+'TE BF'!$AB$22+'TE CVA'!$AB$22)*(1-CUSTOS!$M$38)</f>
        <v>286.57806182434155</v>
      </c>
      <c r="AB332" s="6">
        <f t="shared" si="24"/>
        <v>0</v>
      </c>
      <c r="AC332" s="6">
        <f>(L332*W332+M332*X332)/(1-CUSTOS!$M$38)*CUSTOS!$M$38</f>
        <v>17.335870212765965</v>
      </c>
      <c r="AD332" s="6">
        <f t="shared" si="25"/>
        <v>0</v>
      </c>
      <c r="AE332" s="6">
        <f ca="1">(L332*Z332+N332*AA332)/(1-CUSTOS!$M$38)*CUSTOS!$M$38</f>
        <v>21.824680402367818</v>
      </c>
      <c r="AF332" s="4" t="s">
        <v>846</v>
      </c>
    </row>
    <row r="333" spans="1:32" ht="11.25" customHeight="1" x14ac:dyDescent="0.25">
      <c r="A333" s="4" t="s">
        <v>21</v>
      </c>
      <c r="B333" s="4" t="s">
        <v>43</v>
      </c>
      <c r="C333" s="4" t="s">
        <v>33</v>
      </c>
      <c r="D333" s="4" t="s">
        <v>44</v>
      </c>
      <c r="E333" s="4" t="s">
        <v>25</v>
      </c>
      <c r="F333" s="4" t="s">
        <v>25</v>
      </c>
      <c r="G333" s="4" t="s">
        <v>25</v>
      </c>
      <c r="H333" s="4" t="s">
        <v>35</v>
      </c>
      <c r="I333" s="5">
        <v>44713</v>
      </c>
      <c r="J333" s="6">
        <v>0</v>
      </c>
      <c r="K333" s="6">
        <v>0</v>
      </c>
      <c r="L333" s="6">
        <v>0.55300000000000005</v>
      </c>
      <c r="M333" s="6">
        <v>0.55300000000000005</v>
      </c>
      <c r="N333" s="6">
        <v>0.55300000000000005</v>
      </c>
      <c r="O333" s="6">
        <v>0.55300000000000005</v>
      </c>
      <c r="P333" s="6">
        <v>0</v>
      </c>
      <c r="Q333" s="4" t="s">
        <v>26</v>
      </c>
      <c r="R333" s="4">
        <v>0</v>
      </c>
      <c r="S333" s="4">
        <v>0</v>
      </c>
      <c r="T333" s="4">
        <v>28</v>
      </c>
      <c r="U333" s="4">
        <v>65</v>
      </c>
      <c r="V333" s="6">
        <f>IF(ISERROR(VLOOKUP($S$333,'TAR FIN'!$A$1:$O$85,15,0)),0,VLOOKUP($S$333,'TAR FIN'!$A$1:$O$85,15,0))</f>
        <v>0</v>
      </c>
      <c r="W333" s="6">
        <f>IF(ISERROR(VLOOKUP($T$333,'TAR FIN'!$A$1:$O$85,15,0)),0,VLOOKUP($T$333,'TAR FIN'!$A$1:$O$85,15,0))</f>
        <v>228.11</v>
      </c>
      <c r="X333" s="6">
        <f>IF(ISERROR(VLOOKUP($U$333,'TAR FIN'!$A$1:$O$85,15,0)),0,VLOOKUP($U$333,'TAR FIN'!$A$1:$O$85,15,0))</f>
        <v>270.23</v>
      </c>
      <c r="Y333" s="6"/>
      <c r="Z333" s="6">
        <f ca="1">('TUSD BE'!$AM$32+'TUSD BF'!$AM$32+'TUSD CVA'!$AM$32)*(1-CUSTOS!$M$38)</f>
        <v>340.798072066354</v>
      </c>
      <c r="AA333" s="6">
        <f>('TE BE'!$AB$22+'TE BF'!$AB$22+'TE CVA'!$AB$22)*(1-CUSTOS!$M$38)</f>
        <v>286.57806182434155</v>
      </c>
      <c r="AB333" s="6">
        <f t="shared" si="24"/>
        <v>0</v>
      </c>
      <c r="AC333" s="6">
        <f>(L333*W333+M333*X333)/(1-CUSTOS!$M$38)*CUSTOS!$M$38</f>
        <v>17.590341702127663</v>
      </c>
      <c r="AD333" s="6">
        <f t="shared" si="25"/>
        <v>0</v>
      </c>
      <c r="AE333" s="6">
        <f ca="1">(L333*Z333+N333*AA333)/(1-CUSTOS!$M$38)*CUSTOS!$M$38</f>
        <v>22.14504268350349</v>
      </c>
      <c r="AF333" s="4" t="s">
        <v>846</v>
      </c>
    </row>
    <row r="334" spans="1:32" ht="11.25" customHeight="1" x14ac:dyDescent="0.25">
      <c r="A334" s="4" t="s">
        <v>21</v>
      </c>
      <c r="B334" s="4" t="s">
        <v>43</v>
      </c>
      <c r="C334" s="4" t="s">
        <v>33</v>
      </c>
      <c r="D334" s="4" t="s">
        <v>44</v>
      </c>
      <c r="E334" s="4" t="s">
        <v>25</v>
      </c>
      <c r="F334" s="4" t="s">
        <v>25</v>
      </c>
      <c r="G334" s="4" t="s">
        <v>25</v>
      </c>
      <c r="H334" s="4" t="s">
        <v>35</v>
      </c>
      <c r="I334" s="5">
        <v>44743</v>
      </c>
      <c r="J334" s="6">
        <v>0</v>
      </c>
      <c r="K334" s="6">
        <v>0</v>
      </c>
      <c r="L334" s="6">
        <v>0.59</v>
      </c>
      <c r="M334" s="6">
        <v>0.59</v>
      </c>
      <c r="N334" s="6">
        <v>0.59</v>
      </c>
      <c r="O334" s="6">
        <v>0.59</v>
      </c>
      <c r="P334" s="6">
        <v>0</v>
      </c>
      <c r="Q334" s="4" t="s">
        <v>26</v>
      </c>
      <c r="R334" s="4">
        <v>0</v>
      </c>
      <c r="S334" s="4">
        <v>0</v>
      </c>
      <c r="T334" s="4">
        <v>28</v>
      </c>
      <c r="U334" s="4">
        <v>65</v>
      </c>
      <c r="V334" s="6">
        <f>IF(ISERROR(VLOOKUP($S$334,'TAR FIN'!$A$1:$O$85,15,0)),0,VLOOKUP($S$334,'TAR FIN'!$A$1:$O$85,15,0))</f>
        <v>0</v>
      </c>
      <c r="W334" s="6">
        <f>IF(ISERROR(VLOOKUP($T$334,'TAR FIN'!$A$1:$O$85,15,0)),0,VLOOKUP($T$334,'TAR FIN'!$A$1:$O$85,15,0))</f>
        <v>228.11</v>
      </c>
      <c r="X334" s="6">
        <f>IF(ISERROR(VLOOKUP($U$334,'TAR FIN'!$A$1:$O$85,15,0)),0,VLOOKUP($U$334,'TAR FIN'!$A$1:$O$85,15,0))</f>
        <v>270.23</v>
      </c>
      <c r="Y334" s="6"/>
      <c r="Z334" s="6">
        <f ca="1">('TUSD BE'!$AM$32+'TUSD BF'!$AM$32+'TUSD CVA'!$AM$32)*(1-CUSTOS!$M$38)</f>
        <v>340.798072066354</v>
      </c>
      <c r="AA334" s="6">
        <f>('TE BE'!$AB$22+'TE BF'!$AB$22+'TE CVA'!$AB$22)*(1-CUSTOS!$M$38)</f>
        <v>286.57806182434155</v>
      </c>
      <c r="AB334" s="6">
        <f t="shared" si="24"/>
        <v>0</v>
      </c>
      <c r="AC334" s="6">
        <f>(L334*W334+M334*X334)/(1-CUSTOS!$M$38)*CUSTOS!$M$38</f>
        <v>18.767272340425531</v>
      </c>
      <c r="AD334" s="6">
        <f t="shared" si="25"/>
        <v>0</v>
      </c>
      <c r="AE334" s="6">
        <f ca="1">(L334*Z334+N334*AA334)/(1-CUSTOS!$M$38)*CUSTOS!$M$38</f>
        <v>23.62671823375598</v>
      </c>
      <c r="AF334" s="4" t="s">
        <v>846</v>
      </c>
    </row>
    <row r="335" spans="1:32" ht="11.25" customHeight="1" x14ac:dyDescent="0.25">
      <c r="A335" s="4" t="s">
        <v>56</v>
      </c>
      <c r="B335" s="4" t="s">
        <v>43</v>
      </c>
      <c r="C335" s="4" t="s">
        <v>33</v>
      </c>
      <c r="D335" s="4" t="s">
        <v>44</v>
      </c>
      <c r="E335" s="4" t="s">
        <v>25</v>
      </c>
      <c r="F335" s="4" t="s">
        <v>25</v>
      </c>
      <c r="G335" s="4" t="s">
        <v>25</v>
      </c>
      <c r="H335" s="4" t="s">
        <v>35</v>
      </c>
      <c r="I335" s="5">
        <v>44774</v>
      </c>
      <c r="J335" s="6">
        <v>0</v>
      </c>
      <c r="K335" s="6">
        <v>0</v>
      </c>
      <c r="L335" s="6">
        <v>0.59</v>
      </c>
      <c r="M335" s="6">
        <v>0.59</v>
      </c>
      <c r="N335" s="6">
        <v>0.59</v>
      </c>
      <c r="O335" s="6">
        <v>0.59</v>
      </c>
      <c r="P335" s="6">
        <v>0</v>
      </c>
      <c r="Q335" s="4" t="s">
        <v>26</v>
      </c>
      <c r="R335" s="4">
        <v>0</v>
      </c>
      <c r="S335" s="4">
        <v>0</v>
      </c>
      <c r="T335" s="4">
        <v>28</v>
      </c>
      <c r="U335" s="4">
        <v>65</v>
      </c>
      <c r="V335" s="6">
        <f>IF(ISERROR(VLOOKUP($S$335,'TAR FIN'!$A$1:$O$85,15,0)),0,VLOOKUP($S$335,'TAR FIN'!$A$1:$O$85,15,0))</f>
        <v>0</v>
      </c>
      <c r="W335" s="6">
        <f>IF(ISERROR(VLOOKUP($T$335,'TAR FIN'!$A$1:$O$85,15,0)),0,VLOOKUP($T$335,'TAR FIN'!$A$1:$O$85,15,0))</f>
        <v>228.11</v>
      </c>
      <c r="X335" s="6">
        <f>IF(ISERROR(VLOOKUP($U$335,'TAR FIN'!$A$1:$O$85,15,0)),0,VLOOKUP($U$335,'TAR FIN'!$A$1:$O$85,15,0))</f>
        <v>270.23</v>
      </c>
      <c r="Y335" s="6"/>
      <c r="Z335" s="6">
        <f ca="1">('TUSD BE'!$AM$32+'TUSD BF'!$AM$32+'TUSD CVA'!$AM$32)*(1-CUSTOS!$M$38)</f>
        <v>340.798072066354</v>
      </c>
      <c r="AA335" s="6">
        <f>('TE BE'!$AB$22+'TE BF'!$AB$22+'TE CVA'!$AB$22)*(1-CUSTOS!$M$38)</f>
        <v>286.57806182434155</v>
      </c>
      <c r="AB335" s="6">
        <f t="shared" si="24"/>
        <v>0</v>
      </c>
      <c r="AC335" s="6">
        <f>(L335*W335+M335*X335)/(1-CUSTOS!$M$38)*CUSTOS!$M$38</f>
        <v>18.767272340425531</v>
      </c>
      <c r="AD335" s="6">
        <f t="shared" si="25"/>
        <v>0</v>
      </c>
      <c r="AE335" s="6">
        <f ca="1">(L335*Z335+N335*AA335)/(1-CUSTOS!$M$38)*CUSTOS!$M$38</f>
        <v>23.62671823375598</v>
      </c>
      <c r="AF335" s="4" t="s">
        <v>846</v>
      </c>
    </row>
    <row r="336" spans="1:32" ht="11.25" customHeight="1" x14ac:dyDescent="0.25">
      <c r="A336" s="4" t="s">
        <v>21</v>
      </c>
      <c r="B336" s="4" t="s">
        <v>43</v>
      </c>
      <c r="C336" s="4" t="s">
        <v>33</v>
      </c>
      <c r="D336" s="4" t="s">
        <v>44</v>
      </c>
      <c r="E336" s="4" t="s">
        <v>25</v>
      </c>
      <c r="F336" s="4" t="s">
        <v>25</v>
      </c>
      <c r="G336" s="4" t="s">
        <v>25</v>
      </c>
      <c r="H336" s="4" t="s">
        <v>36</v>
      </c>
      <c r="I336" s="5">
        <v>44440</v>
      </c>
      <c r="J336" s="6">
        <v>0</v>
      </c>
      <c r="K336" s="6">
        <v>0</v>
      </c>
      <c r="L336" s="6">
        <v>1.4E-2</v>
      </c>
      <c r="M336" s="6">
        <v>1.4E-2</v>
      </c>
      <c r="N336" s="6">
        <v>1.4E-2</v>
      </c>
      <c r="O336" s="6">
        <v>1.4E-2</v>
      </c>
      <c r="P336" s="6">
        <v>0</v>
      </c>
      <c r="Q336" s="4" t="s">
        <v>26</v>
      </c>
      <c r="R336" s="4">
        <v>0</v>
      </c>
      <c r="S336" s="4">
        <v>0</v>
      </c>
      <c r="T336" s="4">
        <v>27</v>
      </c>
      <c r="U336" s="4">
        <v>64</v>
      </c>
      <c r="V336" s="6">
        <f>IF(ISERROR(VLOOKUP($S$336,'TAR FIN'!$A$1:$O$85,15,0)),0,VLOOKUP($S$336,'TAR FIN'!$A$1:$O$85,15,0))</f>
        <v>0</v>
      </c>
      <c r="W336" s="6">
        <f>IF(ISERROR(VLOOKUP($T$336,'TAR FIN'!$A$1:$O$85,15,0)),0,VLOOKUP($T$336,'TAR FIN'!$A$1:$O$85,15,0))</f>
        <v>511.06</v>
      </c>
      <c r="X336" s="6">
        <f>IF(ISERROR(VLOOKUP($U$336,'TAR FIN'!$A$1:$O$85,15,0)),0,VLOOKUP($U$336,'TAR FIN'!$A$1:$O$85,15,0))</f>
        <v>270.23</v>
      </c>
      <c r="Y336" s="6"/>
      <c r="Z336" s="6">
        <f ca="1">('TUSD BE'!$AM$31+'TUSD BF'!$AM$31+'TUSD CVA'!$AM$31)*(1-CUSTOS!$M$38)</f>
        <v>673.35624808231341</v>
      </c>
      <c r="AA336" s="6">
        <f>('TE BE'!$AB$21+'TE BF'!$AB$21+'TE CVA'!$AB$21)*(1-CUSTOS!$M$38)</f>
        <v>286.57806182434155</v>
      </c>
      <c r="AB336" s="6">
        <f t="shared" si="24"/>
        <v>0</v>
      </c>
      <c r="AC336" s="6">
        <f>(L336*W336+M336*X336)/(1-CUSTOS!$M$38)*CUSTOS!$M$38</f>
        <v>0.6981740425531916</v>
      </c>
      <c r="AD336" s="6">
        <f t="shared" si="25"/>
        <v>0</v>
      </c>
      <c r="AE336" s="6">
        <f ca="1">(L336*Z336+N336*AA336)/(1-CUSTOS!$M$38)*CUSTOS!$M$38</f>
        <v>0.85781363863998961</v>
      </c>
      <c r="AF336" s="4" t="s">
        <v>846</v>
      </c>
    </row>
    <row r="337" spans="1:32" ht="11.25" customHeight="1" x14ac:dyDescent="0.25">
      <c r="A337" s="4" t="s">
        <v>21</v>
      </c>
      <c r="B337" s="4" t="s">
        <v>43</v>
      </c>
      <c r="C337" s="4" t="s">
        <v>33</v>
      </c>
      <c r="D337" s="4" t="s">
        <v>44</v>
      </c>
      <c r="E337" s="4" t="s">
        <v>25</v>
      </c>
      <c r="F337" s="4" t="s">
        <v>25</v>
      </c>
      <c r="G337" s="4" t="s">
        <v>25</v>
      </c>
      <c r="H337" s="4" t="s">
        <v>36</v>
      </c>
      <c r="I337" s="5">
        <v>44470</v>
      </c>
      <c r="J337" s="6">
        <v>0</v>
      </c>
      <c r="K337" s="6">
        <v>0</v>
      </c>
      <c r="L337" s="6">
        <v>1.7000000000000001E-2</v>
      </c>
      <c r="M337" s="6">
        <v>1.7000000000000001E-2</v>
      </c>
      <c r="N337" s="6">
        <v>1.7000000000000001E-2</v>
      </c>
      <c r="O337" s="6">
        <v>1.7000000000000001E-2</v>
      </c>
      <c r="P337" s="6">
        <v>0</v>
      </c>
      <c r="Q337" s="4" t="s">
        <v>26</v>
      </c>
      <c r="R337" s="4">
        <v>0</v>
      </c>
      <c r="S337" s="4">
        <v>0</v>
      </c>
      <c r="T337" s="4">
        <v>27</v>
      </c>
      <c r="U337" s="4">
        <v>64</v>
      </c>
      <c r="V337" s="6">
        <f>IF(ISERROR(VLOOKUP($S$337,'TAR FIN'!$A$1:$O$85,15,0)),0,VLOOKUP($S$337,'TAR FIN'!$A$1:$O$85,15,0))</f>
        <v>0</v>
      </c>
      <c r="W337" s="6">
        <f>IF(ISERROR(VLOOKUP($T$337,'TAR FIN'!$A$1:$O$85,15,0)),0,VLOOKUP($T$337,'TAR FIN'!$A$1:$O$85,15,0))</f>
        <v>511.06</v>
      </c>
      <c r="X337" s="6">
        <f>IF(ISERROR(VLOOKUP($U$337,'TAR FIN'!$A$1:$O$85,15,0)),0,VLOOKUP($U$337,'TAR FIN'!$A$1:$O$85,15,0))</f>
        <v>270.23</v>
      </c>
      <c r="Y337" s="6"/>
      <c r="Z337" s="6">
        <f ca="1">('TUSD BE'!$AM$31+'TUSD BF'!$AM$31+'TUSD CVA'!$AM$31)*(1-CUSTOS!$M$38)</f>
        <v>673.35624808231341</v>
      </c>
      <c r="AA337" s="6">
        <f>('TE BE'!$AB$21+'TE BF'!$AB$21+'TE CVA'!$AB$21)*(1-CUSTOS!$M$38)</f>
        <v>286.57806182434155</v>
      </c>
      <c r="AB337" s="6">
        <f t="shared" si="24"/>
        <v>0</v>
      </c>
      <c r="AC337" s="6">
        <f>(L337*W337+M337*X337)/(1-CUSTOS!$M$38)*CUSTOS!$M$38</f>
        <v>0.84778276595744684</v>
      </c>
      <c r="AD337" s="6">
        <f t="shared" si="25"/>
        <v>0</v>
      </c>
      <c r="AE337" s="6">
        <f ca="1">(L337*Z337+N337*AA337)/(1-CUSTOS!$M$38)*CUSTOS!$M$38</f>
        <v>1.0416308469199875</v>
      </c>
      <c r="AF337" s="4" t="s">
        <v>846</v>
      </c>
    </row>
    <row r="338" spans="1:32" ht="11.25" customHeight="1" x14ac:dyDescent="0.25">
      <c r="A338" s="4" t="s">
        <v>21</v>
      </c>
      <c r="B338" s="4" t="s">
        <v>43</v>
      </c>
      <c r="C338" s="4" t="s">
        <v>33</v>
      </c>
      <c r="D338" s="4" t="s">
        <v>44</v>
      </c>
      <c r="E338" s="4" t="s">
        <v>25</v>
      </c>
      <c r="F338" s="4" t="s">
        <v>25</v>
      </c>
      <c r="G338" s="4" t="s">
        <v>25</v>
      </c>
      <c r="H338" s="4" t="s">
        <v>36</v>
      </c>
      <c r="I338" s="5">
        <v>44501</v>
      </c>
      <c r="J338" s="6">
        <v>0</v>
      </c>
      <c r="K338" s="6">
        <v>0</v>
      </c>
      <c r="L338" s="6">
        <v>1.6E-2</v>
      </c>
      <c r="M338" s="6">
        <v>1.6E-2</v>
      </c>
      <c r="N338" s="6">
        <v>1.6E-2</v>
      </c>
      <c r="O338" s="6">
        <v>1.6E-2</v>
      </c>
      <c r="P338" s="6">
        <v>0</v>
      </c>
      <c r="Q338" s="4" t="s">
        <v>26</v>
      </c>
      <c r="R338" s="4">
        <v>0</v>
      </c>
      <c r="S338" s="4">
        <v>0</v>
      </c>
      <c r="T338" s="4">
        <v>27</v>
      </c>
      <c r="U338" s="4">
        <v>64</v>
      </c>
      <c r="V338" s="6">
        <f>IF(ISERROR(VLOOKUP($S$338,'TAR FIN'!$A$1:$O$85,15,0)),0,VLOOKUP($S$338,'TAR FIN'!$A$1:$O$85,15,0))</f>
        <v>0</v>
      </c>
      <c r="W338" s="6">
        <f>IF(ISERROR(VLOOKUP($T$338,'TAR FIN'!$A$1:$O$85,15,0)),0,VLOOKUP($T$338,'TAR FIN'!$A$1:$O$85,15,0))</f>
        <v>511.06</v>
      </c>
      <c r="X338" s="6">
        <f>IF(ISERROR(VLOOKUP($U$338,'TAR FIN'!$A$1:$O$85,15,0)),0,VLOOKUP($U$338,'TAR FIN'!$A$1:$O$85,15,0))</f>
        <v>270.23</v>
      </c>
      <c r="Y338" s="6"/>
      <c r="Z338" s="6">
        <f ca="1">('TUSD BE'!$AM$31+'TUSD BF'!$AM$31+'TUSD CVA'!$AM$31)*(1-CUSTOS!$M$38)</f>
        <v>673.35624808231341</v>
      </c>
      <c r="AA338" s="6">
        <f>('TE BE'!$AB$21+'TE BF'!$AB$21+'TE CVA'!$AB$21)*(1-CUSTOS!$M$38)</f>
        <v>286.57806182434155</v>
      </c>
      <c r="AB338" s="6">
        <f t="shared" si="24"/>
        <v>0</v>
      </c>
      <c r="AC338" s="6">
        <f>(L338*W338+M338*X338)/(1-CUSTOS!$M$38)*CUSTOS!$M$38</f>
        <v>0.79791319148936179</v>
      </c>
      <c r="AD338" s="6">
        <f t="shared" si="25"/>
        <v>0</v>
      </c>
      <c r="AE338" s="6">
        <f ca="1">(L338*Z338+N338*AA338)/(1-CUSTOS!$M$38)*CUSTOS!$M$38</f>
        <v>0.98035844415998796</v>
      </c>
      <c r="AF338" s="4" t="s">
        <v>846</v>
      </c>
    </row>
    <row r="339" spans="1:32" ht="11.25" customHeight="1" x14ac:dyDescent="0.25">
      <c r="A339" s="4" t="s">
        <v>21</v>
      </c>
      <c r="B339" s="4" t="s">
        <v>43</v>
      </c>
      <c r="C339" s="4" t="s">
        <v>33</v>
      </c>
      <c r="D339" s="4" t="s">
        <v>44</v>
      </c>
      <c r="E339" s="4" t="s">
        <v>25</v>
      </c>
      <c r="F339" s="4" t="s">
        <v>25</v>
      </c>
      <c r="G339" s="4" t="s">
        <v>25</v>
      </c>
      <c r="H339" s="4" t="s">
        <v>36</v>
      </c>
      <c r="I339" s="5">
        <v>44531</v>
      </c>
      <c r="J339" s="6">
        <v>0</v>
      </c>
      <c r="K339" s="6">
        <v>0</v>
      </c>
      <c r="L339" s="6">
        <v>1.4999999999999999E-2</v>
      </c>
      <c r="M339" s="6">
        <v>1.4999999999999999E-2</v>
      </c>
      <c r="N339" s="6">
        <v>1.4999999999999999E-2</v>
      </c>
      <c r="O339" s="6">
        <v>1.4999999999999999E-2</v>
      </c>
      <c r="P339" s="6">
        <v>0</v>
      </c>
      <c r="Q339" s="4" t="s">
        <v>26</v>
      </c>
      <c r="R339" s="4">
        <v>0</v>
      </c>
      <c r="S339" s="4">
        <v>0</v>
      </c>
      <c r="T339" s="4">
        <v>27</v>
      </c>
      <c r="U339" s="4">
        <v>64</v>
      </c>
      <c r="V339" s="6">
        <f>IF(ISERROR(VLOOKUP($S$339,'TAR FIN'!$A$1:$O$85,15,0)),0,VLOOKUP($S$339,'TAR FIN'!$A$1:$O$85,15,0))</f>
        <v>0</v>
      </c>
      <c r="W339" s="6">
        <f>IF(ISERROR(VLOOKUP($T$339,'TAR FIN'!$A$1:$O$85,15,0)),0,VLOOKUP($T$339,'TAR FIN'!$A$1:$O$85,15,0))</f>
        <v>511.06</v>
      </c>
      <c r="X339" s="6">
        <f>IF(ISERROR(VLOOKUP($U$339,'TAR FIN'!$A$1:$O$85,15,0)),0,VLOOKUP($U$339,'TAR FIN'!$A$1:$O$85,15,0))</f>
        <v>270.23</v>
      </c>
      <c r="Y339" s="6"/>
      <c r="Z339" s="6">
        <f ca="1">('TUSD BE'!$AM$31+'TUSD BF'!$AM$31+'TUSD CVA'!$AM$31)*(1-CUSTOS!$M$38)</f>
        <v>673.35624808231341</v>
      </c>
      <c r="AA339" s="6">
        <f>('TE BE'!$AB$21+'TE BF'!$AB$21+'TE CVA'!$AB$21)*(1-CUSTOS!$M$38)</f>
        <v>286.57806182434155</v>
      </c>
      <c r="AB339" s="6">
        <f t="shared" si="24"/>
        <v>0</v>
      </c>
      <c r="AC339" s="6">
        <f>(L339*W339+M339*X339)/(1-CUSTOS!$M$38)*CUSTOS!$M$38</f>
        <v>0.74804361702127653</v>
      </c>
      <c r="AD339" s="6">
        <f t="shared" si="25"/>
        <v>0</v>
      </c>
      <c r="AE339" s="6">
        <f ca="1">(L339*Z339+N339*AA339)/(1-CUSTOS!$M$38)*CUSTOS!$M$38</f>
        <v>0.91908604139998873</v>
      </c>
      <c r="AF339" s="4" t="s">
        <v>846</v>
      </c>
    </row>
    <row r="340" spans="1:32" ht="11.25" customHeight="1" x14ac:dyDescent="0.25">
      <c r="A340" s="4" t="s">
        <v>21</v>
      </c>
      <c r="B340" s="4" t="s">
        <v>43</v>
      </c>
      <c r="C340" s="4" t="s">
        <v>33</v>
      </c>
      <c r="D340" s="4" t="s">
        <v>44</v>
      </c>
      <c r="E340" s="4" t="s">
        <v>25</v>
      </c>
      <c r="F340" s="4" t="s">
        <v>25</v>
      </c>
      <c r="G340" s="4" t="s">
        <v>25</v>
      </c>
      <c r="H340" s="4" t="s">
        <v>36</v>
      </c>
      <c r="I340" s="5">
        <v>44562</v>
      </c>
      <c r="J340" s="6">
        <v>0</v>
      </c>
      <c r="K340" s="6">
        <v>0</v>
      </c>
      <c r="L340" s="6">
        <v>1.7000000000000001E-2</v>
      </c>
      <c r="M340" s="6">
        <v>1.7000000000000001E-2</v>
      </c>
      <c r="N340" s="6">
        <v>1.7000000000000001E-2</v>
      </c>
      <c r="O340" s="6">
        <v>1.7000000000000001E-2</v>
      </c>
      <c r="P340" s="6">
        <v>0</v>
      </c>
      <c r="Q340" s="4" t="s">
        <v>26</v>
      </c>
      <c r="R340" s="4">
        <v>0</v>
      </c>
      <c r="S340" s="4">
        <v>0</v>
      </c>
      <c r="T340" s="4">
        <v>27</v>
      </c>
      <c r="U340" s="4">
        <v>64</v>
      </c>
      <c r="V340" s="6">
        <f>IF(ISERROR(VLOOKUP($S$340,'TAR FIN'!$A$1:$O$85,15,0)),0,VLOOKUP($S$340,'TAR FIN'!$A$1:$O$85,15,0))</f>
        <v>0</v>
      </c>
      <c r="W340" s="6">
        <f>IF(ISERROR(VLOOKUP($T$340,'TAR FIN'!$A$1:$O$85,15,0)),0,VLOOKUP($T$340,'TAR FIN'!$A$1:$O$85,15,0))</f>
        <v>511.06</v>
      </c>
      <c r="X340" s="6">
        <f>IF(ISERROR(VLOOKUP($U$340,'TAR FIN'!$A$1:$O$85,15,0)),0,VLOOKUP($U$340,'TAR FIN'!$A$1:$O$85,15,0))</f>
        <v>270.23</v>
      </c>
      <c r="Y340" s="6"/>
      <c r="Z340" s="6">
        <f ca="1">('TUSD BE'!$AM$31+'TUSD BF'!$AM$31+'TUSD CVA'!$AM$31)*(1-CUSTOS!$M$38)</f>
        <v>673.35624808231341</v>
      </c>
      <c r="AA340" s="6">
        <f>('TE BE'!$AB$21+'TE BF'!$AB$21+'TE CVA'!$AB$21)*(1-CUSTOS!$M$38)</f>
        <v>286.57806182434155</v>
      </c>
      <c r="AB340" s="6">
        <f t="shared" si="24"/>
        <v>0</v>
      </c>
      <c r="AC340" s="6">
        <f>(L340*W340+M340*X340)/(1-CUSTOS!$M$38)*CUSTOS!$M$38</f>
        <v>0.84778276595744684</v>
      </c>
      <c r="AD340" s="6">
        <f t="shared" si="25"/>
        <v>0</v>
      </c>
      <c r="AE340" s="6">
        <f ca="1">(L340*Z340+N340*AA340)/(1-CUSTOS!$M$38)*CUSTOS!$M$38</f>
        <v>1.0416308469199875</v>
      </c>
      <c r="AF340" s="4" t="s">
        <v>846</v>
      </c>
    </row>
    <row r="341" spans="1:32" ht="11.25" customHeight="1" x14ac:dyDescent="0.25">
      <c r="A341" s="4" t="s">
        <v>21</v>
      </c>
      <c r="B341" s="4" t="s">
        <v>43</v>
      </c>
      <c r="C341" s="4" t="s">
        <v>33</v>
      </c>
      <c r="D341" s="4" t="s">
        <v>44</v>
      </c>
      <c r="E341" s="4" t="s">
        <v>25</v>
      </c>
      <c r="F341" s="4" t="s">
        <v>25</v>
      </c>
      <c r="G341" s="4" t="s">
        <v>25</v>
      </c>
      <c r="H341" s="4" t="s">
        <v>36</v>
      </c>
      <c r="I341" s="5">
        <v>44593</v>
      </c>
      <c r="J341" s="6">
        <v>0</v>
      </c>
      <c r="K341" s="6">
        <v>0</v>
      </c>
      <c r="L341" s="6">
        <v>1.6E-2</v>
      </c>
      <c r="M341" s="6">
        <v>1.6E-2</v>
      </c>
      <c r="N341" s="6">
        <v>1.6E-2</v>
      </c>
      <c r="O341" s="6">
        <v>1.6E-2</v>
      </c>
      <c r="P341" s="6">
        <v>0</v>
      </c>
      <c r="Q341" s="4" t="s">
        <v>26</v>
      </c>
      <c r="R341" s="4">
        <v>0</v>
      </c>
      <c r="S341" s="4">
        <v>0</v>
      </c>
      <c r="T341" s="4">
        <v>27</v>
      </c>
      <c r="U341" s="4">
        <v>64</v>
      </c>
      <c r="V341" s="6">
        <f>IF(ISERROR(VLOOKUP($S$341,'TAR FIN'!$A$1:$O$85,15,0)),0,VLOOKUP($S$341,'TAR FIN'!$A$1:$O$85,15,0))</f>
        <v>0</v>
      </c>
      <c r="W341" s="6">
        <f>IF(ISERROR(VLOOKUP($T$341,'TAR FIN'!$A$1:$O$85,15,0)),0,VLOOKUP($T$341,'TAR FIN'!$A$1:$O$85,15,0))</f>
        <v>511.06</v>
      </c>
      <c r="X341" s="6">
        <f>IF(ISERROR(VLOOKUP($U$341,'TAR FIN'!$A$1:$O$85,15,0)),0,VLOOKUP($U$341,'TAR FIN'!$A$1:$O$85,15,0))</f>
        <v>270.23</v>
      </c>
      <c r="Y341" s="6"/>
      <c r="Z341" s="6">
        <f ca="1">('TUSD BE'!$AM$31+'TUSD BF'!$AM$31+'TUSD CVA'!$AM$31)*(1-CUSTOS!$M$38)</f>
        <v>673.35624808231341</v>
      </c>
      <c r="AA341" s="6">
        <f>('TE BE'!$AB$21+'TE BF'!$AB$21+'TE CVA'!$AB$21)*(1-CUSTOS!$M$38)</f>
        <v>286.57806182434155</v>
      </c>
      <c r="AB341" s="6">
        <f t="shared" si="24"/>
        <v>0</v>
      </c>
      <c r="AC341" s="6">
        <f>(L341*W341+M341*X341)/(1-CUSTOS!$M$38)*CUSTOS!$M$38</f>
        <v>0.79791319148936179</v>
      </c>
      <c r="AD341" s="6">
        <f t="shared" si="25"/>
        <v>0</v>
      </c>
      <c r="AE341" s="6">
        <f ca="1">(L341*Z341+N341*AA341)/(1-CUSTOS!$M$38)*CUSTOS!$M$38</f>
        <v>0.98035844415998796</v>
      </c>
      <c r="AF341" s="4" t="s">
        <v>846</v>
      </c>
    </row>
    <row r="342" spans="1:32" ht="11.25" customHeight="1" x14ac:dyDescent="0.25">
      <c r="A342" s="4" t="s">
        <v>21</v>
      </c>
      <c r="B342" s="4" t="s">
        <v>43</v>
      </c>
      <c r="C342" s="4" t="s">
        <v>33</v>
      </c>
      <c r="D342" s="4" t="s">
        <v>44</v>
      </c>
      <c r="E342" s="4" t="s">
        <v>25</v>
      </c>
      <c r="F342" s="4" t="s">
        <v>25</v>
      </c>
      <c r="G342" s="4" t="s">
        <v>25</v>
      </c>
      <c r="H342" s="4" t="s">
        <v>36</v>
      </c>
      <c r="I342" s="5">
        <v>44621</v>
      </c>
      <c r="J342" s="6">
        <v>0</v>
      </c>
      <c r="K342" s="6">
        <v>0</v>
      </c>
      <c r="L342" s="6">
        <v>1.6E-2</v>
      </c>
      <c r="M342" s="6">
        <v>1.6E-2</v>
      </c>
      <c r="N342" s="6">
        <v>1.6E-2</v>
      </c>
      <c r="O342" s="6">
        <v>1.6E-2</v>
      </c>
      <c r="P342" s="6">
        <v>0</v>
      </c>
      <c r="Q342" s="4" t="s">
        <v>26</v>
      </c>
      <c r="R342" s="4">
        <v>0</v>
      </c>
      <c r="S342" s="4">
        <v>0</v>
      </c>
      <c r="T342" s="4">
        <v>27</v>
      </c>
      <c r="U342" s="4">
        <v>64</v>
      </c>
      <c r="V342" s="6">
        <f>IF(ISERROR(VLOOKUP($S$342,'TAR FIN'!$A$1:$O$85,15,0)),0,VLOOKUP($S$342,'TAR FIN'!$A$1:$O$85,15,0))</f>
        <v>0</v>
      </c>
      <c r="W342" s="6">
        <f>IF(ISERROR(VLOOKUP($T$342,'TAR FIN'!$A$1:$O$85,15,0)),0,VLOOKUP($T$342,'TAR FIN'!$A$1:$O$85,15,0))</f>
        <v>511.06</v>
      </c>
      <c r="X342" s="6">
        <f>IF(ISERROR(VLOOKUP($U$342,'TAR FIN'!$A$1:$O$85,15,0)),0,VLOOKUP($U$342,'TAR FIN'!$A$1:$O$85,15,0))</f>
        <v>270.23</v>
      </c>
      <c r="Y342" s="6"/>
      <c r="Z342" s="6">
        <f ca="1">('TUSD BE'!$AM$31+'TUSD BF'!$AM$31+'TUSD CVA'!$AM$31)*(1-CUSTOS!$M$38)</f>
        <v>673.35624808231341</v>
      </c>
      <c r="AA342" s="6">
        <f>('TE BE'!$AB$21+'TE BF'!$AB$21+'TE CVA'!$AB$21)*(1-CUSTOS!$M$38)</f>
        <v>286.57806182434155</v>
      </c>
      <c r="AB342" s="6">
        <f t="shared" si="24"/>
        <v>0</v>
      </c>
      <c r="AC342" s="6">
        <f>(L342*W342+M342*X342)/(1-CUSTOS!$M$38)*CUSTOS!$M$38</f>
        <v>0.79791319148936179</v>
      </c>
      <c r="AD342" s="6">
        <f t="shared" si="25"/>
        <v>0</v>
      </c>
      <c r="AE342" s="6">
        <f ca="1">(L342*Z342+N342*AA342)/(1-CUSTOS!$M$38)*CUSTOS!$M$38</f>
        <v>0.98035844415998796</v>
      </c>
      <c r="AF342" s="4" t="s">
        <v>846</v>
      </c>
    </row>
    <row r="343" spans="1:32" ht="11.25" customHeight="1" x14ac:dyDescent="0.25">
      <c r="A343" s="4" t="s">
        <v>21</v>
      </c>
      <c r="B343" s="4" t="s">
        <v>43</v>
      </c>
      <c r="C343" s="4" t="s">
        <v>33</v>
      </c>
      <c r="D343" s="4" t="s">
        <v>44</v>
      </c>
      <c r="E343" s="4" t="s">
        <v>25</v>
      </c>
      <c r="F343" s="4" t="s">
        <v>25</v>
      </c>
      <c r="G343" s="4" t="s">
        <v>25</v>
      </c>
      <c r="H343" s="4" t="s">
        <v>36</v>
      </c>
      <c r="I343" s="5">
        <v>44652</v>
      </c>
      <c r="J343" s="6">
        <v>0</v>
      </c>
      <c r="K343" s="6">
        <v>0</v>
      </c>
      <c r="L343" s="6">
        <v>2.1999999999999999E-2</v>
      </c>
      <c r="M343" s="6">
        <v>2.1999999999999999E-2</v>
      </c>
      <c r="N343" s="6">
        <v>2.1999999999999999E-2</v>
      </c>
      <c r="O343" s="6">
        <v>2.1999999999999999E-2</v>
      </c>
      <c r="P343" s="6">
        <v>0</v>
      </c>
      <c r="Q343" s="4" t="s">
        <v>26</v>
      </c>
      <c r="R343" s="4">
        <v>0</v>
      </c>
      <c r="S343" s="4">
        <v>0</v>
      </c>
      <c r="T343" s="4">
        <v>27</v>
      </c>
      <c r="U343" s="4">
        <v>64</v>
      </c>
      <c r="V343" s="6">
        <f>IF(ISERROR(VLOOKUP($S$343,'TAR FIN'!$A$1:$O$85,15,0)),0,VLOOKUP($S$343,'TAR FIN'!$A$1:$O$85,15,0))</f>
        <v>0</v>
      </c>
      <c r="W343" s="6">
        <f>IF(ISERROR(VLOOKUP($T$343,'TAR FIN'!$A$1:$O$85,15,0)),0,VLOOKUP($T$343,'TAR FIN'!$A$1:$O$85,15,0))</f>
        <v>511.06</v>
      </c>
      <c r="X343" s="6">
        <f>IF(ISERROR(VLOOKUP($U$343,'TAR FIN'!$A$1:$O$85,15,0)),0,VLOOKUP($U$343,'TAR FIN'!$A$1:$O$85,15,0))</f>
        <v>270.23</v>
      </c>
      <c r="Y343" s="6"/>
      <c r="Z343" s="6">
        <f ca="1">('TUSD BE'!$AM$31+'TUSD BF'!$AM$31+'TUSD CVA'!$AM$31)*(1-CUSTOS!$M$38)</f>
        <v>673.35624808231341</v>
      </c>
      <c r="AA343" s="6">
        <f>('TE BE'!$AB$21+'TE BF'!$AB$21+'TE CVA'!$AB$21)*(1-CUSTOS!$M$38)</f>
        <v>286.57806182434155</v>
      </c>
      <c r="AB343" s="6">
        <f t="shared" si="24"/>
        <v>0</v>
      </c>
      <c r="AC343" s="6">
        <f>(L343*W343+M343*X343)/(1-CUSTOS!$M$38)*CUSTOS!$M$38</f>
        <v>1.0971306382978723</v>
      </c>
      <c r="AD343" s="6">
        <f t="shared" si="25"/>
        <v>0</v>
      </c>
      <c r="AE343" s="6">
        <f ca="1">(L343*Z343+N343*AA343)/(1-CUSTOS!$M$38)*CUSTOS!$M$38</f>
        <v>1.3479928607199834</v>
      </c>
      <c r="AF343" s="4" t="s">
        <v>846</v>
      </c>
    </row>
    <row r="344" spans="1:32" ht="11.25" customHeight="1" x14ac:dyDescent="0.25">
      <c r="A344" s="4" t="s">
        <v>21</v>
      </c>
      <c r="B344" s="4" t="s">
        <v>43</v>
      </c>
      <c r="C344" s="4" t="s">
        <v>33</v>
      </c>
      <c r="D344" s="4" t="s">
        <v>44</v>
      </c>
      <c r="E344" s="4" t="s">
        <v>25</v>
      </c>
      <c r="F344" s="4" t="s">
        <v>25</v>
      </c>
      <c r="G344" s="4" t="s">
        <v>25</v>
      </c>
      <c r="H344" s="4" t="s">
        <v>36</v>
      </c>
      <c r="I344" s="5">
        <v>44682</v>
      </c>
      <c r="J344" s="6">
        <v>0</v>
      </c>
      <c r="K344" s="6">
        <v>0</v>
      </c>
      <c r="L344" s="6">
        <v>2.3E-2</v>
      </c>
      <c r="M344" s="6">
        <v>2.3E-2</v>
      </c>
      <c r="N344" s="6">
        <v>2.3E-2</v>
      </c>
      <c r="O344" s="6">
        <v>2.3E-2</v>
      </c>
      <c r="P344" s="6">
        <v>0</v>
      </c>
      <c r="Q344" s="4" t="s">
        <v>26</v>
      </c>
      <c r="R344" s="4">
        <v>0</v>
      </c>
      <c r="S344" s="4">
        <v>0</v>
      </c>
      <c r="T344" s="4">
        <v>27</v>
      </c>
      <c r="U344" s="4">
        <v>64</v>
      </c>
      <c r="V344" s="6">
        <f>IF(ISERROR(VLOOKUP($S$344,'TAR FIN'!$A$1:$O$85,15,0)),0,VLOOKUP($S$344,'TAR FIN'!$A$1:$O$85,15,0))</f>
        <v>0</v>
      </c>
      <c r="W344" s="6">
        <f>IF(ISERROR(VLOOKUP($T$344,'TAR FIN'!$A$1:$O$85,15,0)),0,VLOOKUP($T$344,'TAR FIN'!$A$1:$O$85,15,0))</f>
        <v>511.06</v>
      </c>
      <c r="X344" s="6">
        <f>IF(ISERROR(VLOOKUP($U$344,'TAR FIN'!$A$1:$O$85,15,0)),0,VLOOKUP($U$344,'TAR FIN'!$A$1:$O$85,15,0))</f>
        <v>270.23</v>
      </c>
      <c r="Y344" s="6"/>
      <c r="Z344" s="6">
        <f ca="1">('TUSD BE'!$AM$31+'TUSD BF'!$AM$31+'TUSD CVA'!$AM$31)*(1-CUSTOS!$M$38)</f>
        <v>673.35624808231341</v>
      </c>
      <c r="AA344" s="6">
        <f>('TE BE'!$AB$21+'TE BF'!$AB$21+'TE CVA'!$AB$21)*(1-CUSTOS!$M$38)</f>
        <v>286.57806182434155</v>
      </c>
      <c r="AB344" s="6">
        <f t="shared" si="24"/>
        <v>0</v>
      </c>
      <c r="AC344" s="6">
        <f>(L344*W344+M344*X344)/(1-CUSTOS!$M$38)*CUSTOS!$M$38</f>
        <v>1.1470002127659575</v>
      </c>
      <c r="AD344" s="6">
        <f t="shared" si="25"/>
        <v>0</v>
      </c>
      <c r="AE344" s="6">
        <f ca="1">(L344*Z344+N344*AA344)/(1-CUSTOS!$M$38)*CUSTOS!$M$38</f>
        <v>1.4092652634799829</v>
      </c>
      <c r="AF344" s="4" t="s">
        <v>846</v>
      </c>
    </row>
    <row r="345" spans="1:32" ht="11.25" customHeight="1" x14ac:dyDescent="0.25">
      <c r="A345" s="4" t="s">
        <v>21</v>
      </c>
      <c r="B345" s="4" t="s">
        <v>43</v>
      </c>
      <c r="C345" s="4" t="s">
        <v>33</v>
      </c>
      <c r="D345" s="4" t="s">
        <v>44</v>
      </c>
      <c r="E345" s="4" t="s">
        <v>25</v>
      </c>
      <c r="F345" s="4" t="s">
        <v>25</v>
      </c>
      <c r="G345" s="4" t="s">
        <v>25</v>
      </c>
      <c r="H345" s="4" t="s">
        <v>36</v>
      </c>
      <c r="I345" s="5">
        <v>44713</v>
      </c>
      <c r="J345" s="6">
        <v>0</v>
      </c>
      <c r="K345" s="6">
        <v>0</v>
      </c>
      <c r="L345" s="6">
        <v>1.7000000000000001E-2</v>
      </c>
      <c r="M345" s="6">
        <v>1.7000000000000001E-2</v>
      </c>
      <c r="N345" s="6">
        <v>1.7000000000000001E-2</v>
      </c>
      <c r="O345" s="6">
        <v>1.7000000000000001E-2</v>
      </c>
      <c r="P345" s="6">
        <v>0</v>
      </c>
      <c r="Q345" s="4" t="s">
        <v>26</v>
      </c>
      <c r="R345" s="4">
        <v>0</v>
      </c>
      <c r="S345" s="4">
        <v>0</v>
      </c>
      <c r="T345" s="4">
        <v>27</v>
      </c>
      <c r="U345" s="4">
        <v>64</v>
      </c>
      <c r="V345" s="6">
        <f>IF(ISERROR(VLOOKUP($S$345,'TAR FIN'!$A$1:$O$85,15,0)),0,VLOOKUP($S$345,'TAR FIN'!$A$1:$O$85,15,0))</f>
        <v>0</v>
      </c>
      <c r="W345" s="6">
        <f>IF(ISERROR(VLOOKUP($T$345,'TAR FIN'!$A$1:$O$85,15,0)),0,VLOOKUP($T$345,'TAR FIN'!$A$1:$O$85,15,0))</f>
        <v>511.06</v>
      </c>
      <c r="X345" s="6">
        <f>IF(ISERROR(VLOOKUP($U$345,'TAR FIN'!$A$1:$O$85,15,0)),0,VLOOKUP($U$345,'TAR FIN'!$A$1:$O$85,15,0))</f>
        <v>270.23</v>
      </c>
      <c r="Y345" s="6"/>
      <c r="Z345" s="6">
        <f ca="1">('TUSD BE'!$AM$31+'TUSD BF'!$AM$31+'TUSD CVA'!$AM$31)*(1-CUSTOS!$M$38)</f>
        <v>673.35624808231341</v>
      </c>
      <c r="AA345" s="6">
        <f>('TE BE'!$AB$21+'TE BF'!$AB$21+'TE CVA'!$AB$21)*(1-CUSTOS!$M$38)</f>
        <v>286.57806182434155</v>
      </c>
      <c r="AB345" s="6">
        <f t="shared" si="24"/>
        <v>0</v>
      </c>
      <c r="AC345" s="6">
        <f>(L345*W345+M345*X345)/(1-CUSTOS!$M$38)*CUSTOS!$M$38</f>
        <v>0.84778276595744684</v>
      </c>
      <c r="AD345" s="6">
        <f t="shared" si="25"/>
        <v>0</v>
      </c>
      <c r="AE345" s="6">
        <f ca="1">(L345*Z345+N345*AA345)/(1-CUSTOS!$M$38)*CUSTOS!$M$38</f>
        <v>1.0416308469199875</v>
      </c>
      <c r="AF345" s="4" t="s">
        <v>846</v>
      </c>
    </row>
    <row r="346" spans="1:32" ht="11.25" customHeight="1" x14ac:dyDescent="0.25">
      <c r="A346" s="4" t="s">
        <v>21</v>
      </c>
      <c r="B346" s="4" t="s">
        <v>43</v>
      </c>
      <c r="C346" s="4" t="s">
        <v>33</v>
      </c>
      <c r="D346" s="4" t="s">
        <v>44</v>
      </c>
      <c r="E346" s="4" t="s">
        <v>25</v>
      </c>
      <c r="F346" s="4" t="s">
        <v>25</v>
      </c>
      <c r="G346" s="4" t="s">
        <v>25</v>
      </c>
      <c r="H346" s="4" t="s">
        <v>36</v>
      </c>
      <c r="I346" s="5">
        <v>44743</v>
      </c>
      <c r="J346" s="6">
        <v>0</v>
      </c>
      <c r="K346" s="6">
        <v>0</v>
      </c>
      <c r="L346" s="6">
        <v>1.4E-2</v>
      </c>
      <c r="M346" s="6">
        <v>1.4E-2</v>
      </c>
      <c r="N346" s="6">
        <v>1.4E-2</v>
      </c>
      <c r="O346" s="6">
        <v>1.4E-2</v>
      </c>
      <c r="P346" s="6">
        <v>0</v>
      </c>
      <c r="Q346" s="4" t="s">
        <v>26</v>
      </c>
      <c r="R346" s="4">
        <v>0</v>
      </c>
      <c r="S346" s="4">
        <v>0</v>
      </c>
      <c r="T346" s="4">
        <v>27</v>
      </c>
      <c r="U346" s="4">
        <v>64</v>
      </c>
      <c r="V346" s="6">
        <f>IF(ISERROR(VLOOKUP($S$346,'TAR FIN'!$A$1:$O$85,15,0)),0,VLOOKUP($S$346,'TAR FIN'!$A$1:$O$85,15,0))</f>
        <v>0</v>
      </c>
      <c r="W346" s="6">
        <f>IF(ISERROR(VLOOKUP($T$346,'TAR FIN'!$A$1:$O$85,15,0)),0,VLOOKUP($T$346,'TAR FIN'!$A$1:$O$85,15,0))</f>
        <v>511.06</v>
      </c>
      <c r="X346" s="6">
        <f>IF(ISERROR(VLOOKUP($U$346,'TAR FIN'!$A$1:$O$85,15,0)),0,VLOOKUP($U$346,'TAR FIN'!$A$1:$O$85,15,0))</f>
        <v>270.23</v>
      </c>
      <c r="Y346" s="6"/>
      <c r="Z346" s="6">
        <f ca="1">('TUSD BE'!$AM$31+'TUSD BF'!$AM$31+'TUSD CVA'!$AM$31)*(1-CUSTOS!$M$38)</f>
        <v>673.35624808231341</v>
      </c>
      <c r="AA346" s="6">
        <f>('TE BE'!$AB$21+'TE BF'!$AB$21+'TE CVA'!$AB$21)*(1-CUSTOS!$M$38)</f>
        <v>286.57806182434155</v>
      </c>
      <c r="AB346" s="6">
        <f t="shared" si="24"/>
        <v>0</v>
      </c>
      <c r="AC346" s="6">
        <f>(L346*W346+M346*X346)/(1-CUSTOS!$M$38)*CUSTOS!$M$38</f>
        <v>0.6981740425531916</v>
      </c>
      <c r="AD346" s="6">
        <f t="shared" si="25"/>
        <v>0</v>
      </c>
      <c r="AE346" s="6">
        <f ca="1">(L346*Z346+N346*AA346)/(1-CUSTOS!$M$38)*CUSTOS!$M$38</f>
        <v>0.85781363863998961</v>
      </c>
      <c r="AF346" s="4" t="s">
        <v>846</v>
      </c>
    </row>
    <row r="347" spans="1:32" ht="11.25" customHeight="1" x14ac:dyDescent="0.25">
      <c r="A347" s="4" t="s">
        <v>56</v>
      </c>
      <c r="B347" s="4" t="s">
        <v>43</v>
      </c>
      <c r="C347" s="4" t="s">
        <v>33</v>
      </c>
      <c r="D347" s="4" t="s">
        <v>44</v>
      </c>
      <c r="E347" s="4" t="s">
        <v>25</v>
      </c>
      <c r="F347" s="4" t="s">
        <v>25</v>
      </c>
      <c r="G347" s="4" t="s">
        <v>25</v>
      </c>
      <c r="H347" s="4" t="s">
        <v>36</v>
      </c>
      <c r="I347" s="5">
        <v>44774</v>
      </c>
      <c r="J347" s="6">
        <v>0</v>
      </c>
      <c r="K347" s="6">
        <v>0</v>
      </c>
      <c r="L347" s="6">
        <v>1.4E-2</v>
      </c>
      <c r="M347" s="6">
        <v>1.4E-2</v>
      </c>
      <c r="N347" s="6">
        <v>1.4E-2</v>
      </c>
      <c r="O347" s="6">
        <v>1.4E-2</v>
      </c>
      <c r="P347" s="6">
        <v>0</v>
      </c>
      <c r="Q347" s="4" t="s">
        <v>26</v>
      </c>
      <c r="R347" s="4">
        <v>0</v>
      </c>
      <c r="S347" s="4">
        <v>0</v>
      </c>
      <c r="T347" s="4">
        <v>27</v>
      </c>
      <c r="U347" s="4">
        <v>64</v>
      </c>
      <c r="V347" s="6">
        <f>IF(ISERROR(VLOOKUP($S$347,'TAR FIN'!$A$1:$O$85,15,0)),0,VLOOKUP($S$347,'TAR FIN'!$A$1:$O$85,15,0))</f>
        <v>0</v>
      </c>
      <c r="W347" s="6">
        <f>IF(ISERROR(VLOOKUP($T$347,'TAR FIN'!$A$1:$O$85,15,0)),0,VLOOKUP($T$347,'TAR FIN'!$A$1:$O$85,15,0))</f>
        <v>511.06</v>
      </c>
      <c r="X347" s="6">
        <f>IF(ISERROR(VLOOKUP($U$347,'TAR FIN'!$A$1:$O$85,15,0)),0,VLOOKUP($U$347,'TAR FIN'!$A$1:$O$85,15,0))</f>
        <v>270.23</v>
      </c>
      <c r="Y347" s="6"/>
      <c r="Z347" s="6">
        <f ca="1">('TUSD BE'!$AM$31+'TUSD BF'!$AM$31+'TUSD CVA'!$AM$31)*(1-CUSTOS!$M$38)</f>
        <v>673.35624808231341</v>
      </c>
      <c r="AA347" s="6">
        <f>('TE BE'!$AB$21+'TE BF'!$AB$21+'TE CVA'!$AB$21)*(1-CUSTOS!$M$38)</f>
        <v>286.57806182434155</v>
      </c>
      <c r="AB347" s="6">
        <f t="shared" si="24"/>
        <v>0</v>
      </c>
      <c r="AC347" s="6">
        <f>(L347*W347+M347*X347)/(1-CUSTOS!$M$38)*CUSTOS!$M$38</f>
        <v>0.6981740425531916</v>
      </c>
      <c r="AD347" s="6">
        <f t="shared" si="25"/>
        <v>0</v>
      </c>
      <c r="AE347" s="6">
        <f ca="1">(L347*Z347+N347*AA347)/(1-CUSTOS!$M$38)*CUSTOS!$M$38</f>
        <v>0.85781363863998961</v>
      </c>
      <c r="AF347" s="4" t="s">
        <v>846</v>
      </c>
    </row>
    <row r="348" spans="1:32" ht="11.25" customHeight="1" x14ac:dyDescent="0.25">
      <c r="A348" s="4" t="s">
        <v>21</v>
      </c>
      <c r="B348" s="4" t="s">
        <v>43</v>
      </c>
      <c r="C348" s="4" t="s">
        <v>33</v>
      </c>
      <c r="D348" s="4" t="s">
        <v>44</v>
      </c>
      <c r="E348" s="4" t="s">
        <v>25</v>
      </c>
      <c r="F348" s="4" t="s">
        <v>25</v>
      </c>
      <c r="G348" s="4" t="s">
        <v>25</v>
      </c>
      <c r="H348" s="4" t="s">
        <v>34</v>
      </c>
      <c r="I348" s="5">
        <v>44440</v>
      </c>
      <c r="J348" s="6">
        <v>0</v>
      </c>
      <c r="K348" s="6">
        <v>0</v>
      </c>
      <c r="L348" s="6">
        <v>1.9E-2</v>
      </c>
      <c r="M348" s="6">
        <v>1.9E-2</v>
      </c>
      <c r="N348" s="6">
        <v>1.9E-2</v>
      </c>
      <c r="O348" s="6">
        <v>1.9E-2</v>
      </c>
      <c r="P348" s="6">
        <v>0</v>
      </c>
      <c r="Q348" s="4" t="s">
        <v>26</v>
      </c>
      <c r="R348" s="4">
        <v>0</v>
      </c>
      <c r="S348" s="4">
        <v>0</v>
      </c>
      <c r="T348" s="4">
        <v>26</v>
      </c>
      <c r="U348" s="4">
        <v>63</v>
      </c>
      <c r="V348" s="6">
        <f>IF(ISERROR(VLOOKUP($S$348,'TAR FIN'!$A$1:$O$85,15,0)),0,VLOOKUP($S$348,'TAR FIN'!$A$1:$O$85,15,0))</f>
        <v>0</v>
      </c>
      <c r="W348" s="6">
        <f>IF(ISERROR(VLOOKUP($T$348,'TAR FIN'!$A$1:$O$85,15,0)),0,VLOOKUP($T$348,'TAR FIN'!$A$1:$O$85,15,0))</f>
        <v>794.02</v>
      </c>
      <c r="X348" s="6">
        <f>IF(ISERROR(VLOOKUP($U$348,'TAR FIN'!$A$1:$O$85,15,0)),0,VLOOKUP($U$348,'TAR FIN'!$A$1:$O$85,15,0))</f>
        <v>433.52</v>
      </c>
      <c r="Y348" s="6"/>
      <c r="Z348" s="6">
        <f ca="1">('TUSD BE'!$AM$30+'TUSD BF'!$AM$30+'TUSD CVA'!$AM$30)*(1-CUSTOS!$M$38)</f>
        <v>1005.914532129545</v>
      </c>
      <c r="AA348" s="6">
        <f>('TE BE'!$AB$20+'TE BF'!$AB$20+'TE CVA'!$AB$20)*(1-CUSTOS!$M$38)</f>
        <v>456.72341783342205</v>
      </c>
      <c r="AB348" s="6">
        <f t="shared" si="24"/>
        <v>0</v>
      </c>
      <c r="AC348" s="6">
        <f>(L348*W348+M348*X348)/(1-CUSTOS!$M$38)*CUSTOS!$M$38</f>
        <v>1.4887187234042554</v>
      </c>
      <c r="AD348" s="6">
        <f t="shared" si="25"/>
        <v>0</v>
      </c>
      <c r="AE348" s="6">
        <f ca="1">(L348*Z348+N348*AA348)/(1-CUSTOS!$M$38)*CUSTOS!$M$38</f>
        <v>1.773837513784875</v>
      </c>
      <c r="AF348" s="4" t="s">
        <v>846</v>
      </c>
    </row>
    <row r="349" spans="1:32" ht="11.25" customHeight="1" x14ac:dyDescent="0.25">
      <c r="A349" s="4" t="s">
        <v>21</v>
      </c>
      <c r="B349" s="4" t="s">
        <v>43</v>
      </c>
      <c r="C349" s="4" t="s">
        <v>33</v>
      </c>
      <c r="D349" s="4" t="s">
        <v>44</v>
      </c>
      <c r="E349" s="4" t="s">
        <v>25</v>
      </c>
      <c r="F349" s="4" t="s">
        <v>25</v>
      </c>
      <c r="G349" s="4" t="s">
        <v>25</v>
      </c>
      <c r="H349" s="4" t="s">
        <v>34</v>
      </c>
      <c r="I349" s="5">
        <v>44470</v>
      </c>
      <c r="J349" s="6">
        <v>0</v>
      </c>
      <c r="K349" s="6">
        <v>0</v>
      </c>
      <c r="L349" s="6">
        <v>0.02</v>
      </c>
      <c r="M349" s="6">
        <v>0.02</v>
      </c>
      <c r="N349" s="6">
        <v>0.02</v>
      </c>
      <c r="O349" s="6">
        <v>0.02</v>
      </c>
      <c r="P349" s="6">
        <v>0</v>
      </c>
      <c r="Q349" s="4" t="s">
        <v>26</v>
      </c>
      <c r="R349" s="4">
        <v>0</v>
      </c>
      <c r="S349" s="4">
        <v>0</v>
      </c>
      <c r="T349" s="4">
        <v>26</v>
      </c>
      <c r="U349" s="4">
        <v>63</v>
      </c>
      <c r="V349" s="6">
        <f>IF(ISERROR(VLOOKUP($S$349,'TAR FIN'!$A$1:$O$85,15,0)),0,VLOOKUP($S$349,'TAR FIN'!$A$1:$O$85,15,0))</f>
        <v>0</v>
      </c>
      <c r="W349" s="6">
        <f>IF(ISERROR(VLOOKUP($T$349,'TAR FIN'!$A$1:$O$85,15,0)),0,VLOOKUP($T$349,'TAR FIN'!$A$1:$O$85,15,0))</f>
        <v>794.02</v>
      </c>
      <c r="X349" s="6">
        <f>IF(ISERROR(VLOOKUP($U$349,'TAR FIN'!$A$1:$O$85,15,0)),0,VLOOKUP($U$349,'TAR FIN'!$A$1:$O$85,15,0))</f>
        <v>433.52</v>
      </c>
      <c r="Y349" s="6"/>
      <c r="Z349" s="6">
        <f ca="1">('TUSD BE'!$AM$30+'TUSD BF'!$AM$30+'TUSD CVA'!$AM$30)*(1-CUSTOS!$M$38)</f>
        <v>1005.914532129545</v>
      </c>
      <c r="AA349" s="6">
        <f>('TE BE'!$AB$20+'TE BF'!$AB$20+'TE CVA'!$AB$20)*(1-CUSTOS!$M$38)</f>
        <v>456.72341783342205</v>
      </c>
      <c r="AB349" s="6">
        <f t="shared" si="24"/>
        <v>0</v>
      </c>
      <c r="AC349" s="6">
        <f>(L349*W349+M349*X349)/(1-CUSTOS!$M$38)*CUSTOS!$M$38</f>
        <v>1.5670723404255318</v>
      </c>
      <c r="AD349" s="6">
        <f t="shared" si="25"/>
        <v>0</v>
      </c>
      <c r="AE349" s="6">
        <f ca="1">(L349*Z349+N349*AA349)/(1-CUSTOS!$M$38)*CUSTOS!$M$38</f>
        <v>1.8671973829314472</v>
      </c>
      <c r="AF349" s="4" t="s">
        <v>846</v>
      </c>
    </row>
    <row r="350" spans="1:32" ht="11.25" customHeight="1" x14ac:dyDescent="0.25">
      <c r="A350" s="4" t="s">
        <v>21</v>
      </c>
      <c r="B350" s="4" t="s">
        <v>43</v>
      </c>
      <c r="C350" s="4" t="s">
        <v>33</v>
      </c>
      <c r="D350" s="4" t="s">
        <v>44</v>
      </c>
      <c r="E350" s="4" t="s">
        <v>25</v>
      </c>
      <c r="F350" s="4" t="s">
        <v>25</v>
      </c>
      <c r="G350" s="4" t="s">
        <v>25</v>
      </c>
      <c r="H350" s="4" t="s">
        <v>34</v>
      </c>
      <c r="I350" s="5">
        <v>44501</v>
      </c>
      <c r="J350" s="6">
        <v>0</v>
      </c>
      <c r="K350" s="6">
        <v>0</v>
      </c>
      <c r="L350" s="6">
        <v>2.1000000000000001E-2</v>
      </c>
      <c r="M350" s="6">
        <v>2.1000000000000001E-2</v>
      </c>
      <c r="N350" s="6">
        <v>2.1000000000000001E-2</v>
      </c>
      <c r="O350" s="6">
        <v>2.1000000000000001E-2</v>
      </c>
      <c r="P350" s="6">
        <v>0</v>
      </c>
      <c r="Q350" s="4" t="s">
        <v>26</v>
      </c>
      <c r="R350" s="4">
        <v>0</v>
      </c>
      <c r="S350" s="4">
        <v>0</v>
      </c>
      <c r="T350" s="4">
        <v>26</v>
      </c>
      <c r="U350" s="4">
        <v>63</v>
      </c>
      <c r="V350" s="6">
        <f>IF(ISERROR(VLOOKUP($S$350,'TAR FIN'!$A$1:$O$85,15,0)),0,VLOOKUP($S$350,'TAR FIN'!$A$1:$O$85,15,0))</f>
        <v>0</v>
      </c>
      <c r="W350" s="6">
        <f>IF(ISERROR(VLOOKUP($T$350,'TAR FIN'!$A$1:$O$85,15,0)),0,VLOOKUP($T$350,'TAR FIN'!$A$1:$O$85,15,0))</f>
        <v>794.02</v>
      </c>
      <c r="X350" s="6">
        <f>IF(ISERROR(VLOOKUP($U$350,'TAR FIN'!$A$1:$O$85,15,0)),0,VLOOKUP($U$350,'TAR FIN'!$A$1:$O$85,15,0))</f>
        <v>433.52</v>
      </c>
      <c r="Y350" s="6"/>
      <c r="Z350" s="6">
        <f ca="1">('TUSD BE'!$AM$30+'TUSD BF'!$AM$30+'TUSD CVA'!$AM$30)*(1-CUSTOS!$M$38)</f>
        <v>1005.914532129545</v>
      </c>
      <c r="AA350" s="6">
        <f>('TE BE'!$AB$20+'TE BF'!$AB$20+'TE CVA'!$AB$20)*(1-CUSTOS!$M$38)</f>
        <v>456.72341783342205</v>
      </c>
      <c r="AB350" s="6">
        <f t="shared" si="24"/>
        <v>0</v>
      </c>
      <c r="AC350" s="6">
        <f>(L350*W350+M350*X350)/(1-CUSTOS!$M$38)*CUSTOS!$M$38</f>
        <v>1.6454259574468086</v>
      </c>
      <c r="AD350" s="6">
        <f t="shared" si="25"/>
        <v>0</v>
      </c>
      <c r="AE350" s="6">
        <f ca="1">(L350*Z350+N350*AA350)/(1-CUSTOS!$M$38)*CUSTOS!$M$38</f>
        <v>1.9605572520780197</v>
      </c>
      <c r="AF350" s="4" t="s">
        <v>846</v>
      </c>
    </row>
    <row r="351" spans="1:32" ht="11.25" customHeight="1" x14ac:dyDescent="0.25">
      <c r="A351" s="4" t="s">
        <v>21</v>
      </c>
      <c r="B351" s="4" t="s">
        <v>43</v>
      </c>
      <c r="C351" s="4" t="s">
        <v>33</v>
      </c>
      <c r="D351" s="4" t="s">
        <v>44</v>
      </c>
      <c r="E351" s="4" t="s">
        <v>25</v>
      </c>
      <c r="F351" s="4" t="s">
        <v>25</v>
      </c>
      <c r="G351" s="4" t="s">
        <v>25</v>
      </c>
      <c r="H351" s="4" t="s">
        <v>34</v>
      </c>
      <c r="I351" s="5">
        <v>44531</v>
      </c>
      <c r="J351" s="6">
        <v>0</v>
      </c>
      <c r="K351" s="6">
        <v>0</v>
      </c>
      <c r="L351" s="6">
        <v>0.02</v>
      </c>
      <c r="M351" s="6">
        <v>0.02</v>
      </c>
      <c r="N351" s="6">
        <v>0.02</v>
      </c>
      <c r="O351" s="6">
        <v>0.02</v>
      </c>
      <c r="P351" s="6">
        <v>0</v>
      </c>
      <c r="Q351" s="4" t="s">
        <v>26</v>
      </c>
      <c r="R351" s="4">
        <v>0</v>
      </c>
      <c r="S351" s="4">
        <v>0</v>
      </c>
      <c r="T351" s="4">
        <v>26</v>
      </c>
      <c r="U351" s="4">
        <v>63</v>
      </c>
      <c r="V351" s="6">
        <f>IF(ISERROR(VLOOKUP($S$351,'TAR FIN'!$A$1:$O$85,15,0)),0,VLOOKUP($S$351,'TAR FIN'!$A$1:$O$85,15,0))</f>
        <v>0</v>
      </c>
      <c r="W351" s="6">
        <f>IF(ISERROR(VLOOKUP($T$351,'TAR FIN'!$A$1:$O$85,15,0)),0,VLOOKUP($T$351,'TAR FIN'!$A$1:$O$85,15,0))</f>
        <v>794.02</v>
      </c>
      <c r="X351" s="6">
        <f>IF(ISERROR(VLOOKUP($U$351,'TAR FIN'!$A$1:$O$85,15,0)),0,VLOOKUP($U$351,'TAR FIN'!$A$1:$O$85,15,0))</f>
        <v>433.52</v>
      </c>
      <c r="Y351" s="6"/>
      <c r="Z351" s="6">
        <f ca="1">('TUSD BE'!$AM$30+'TUSD BF'!$AM$30+'TUSD CVA'!$AM$30)*(1-CUSTOS!$M$38)</f>
        <v>1005.914532129545</v>
      </c>
      <c r="AA351" s="6">
        <f>('TE BE'!$AB$20+'TE BF'!$AB$20+'TE CVA'!$AB$20)*(1-CUSTOS!$M$38)</f>
        <v>456.72341783342205</v>
      </c>
      <c r="AB351" s="6">
        <f t="shared" si="24"/>
        <v>0</v>
      </c>
      <c r="AC351" s="6">
        <f>(L351*W351+M351*X351)/(1-CUSTOS!$M$38)*CUSTOS!$M$38</f>
        <v>1.5670723404255318</v>
      </c>
      <c r="AD351" s="6">
        <f t="shared" si="25"/>
        <v>0</v>
      </c>
      <c r="AE351" s="6">
        <f ca="1">(L351*Z351+N351*AA351)/(1-CUSTOS!$M$38)*CUSTOS!$M$38</f>
        <v>1.8671973829314472</v>
      </c>
      <c r="AF351" s="4" t="s">
        <v>846</v>
      </c>
    </row>
    <row r="352" spans="1:32" ht="11.25" customHeight="1" x14ac:dyDescent="0.25">
      <c r="A352" s="4" t="s">
        <v>21</v>
      </c>
      <c r="B352" s="4" t="s">
        <v>43</v>
      </c>
      <c r="C352" s="4" t="s">
        <v>33</v>
      </c>
      <c r="D352" s="4" t="s">
        <v>44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44562</v>
      </c>
      <c r="J352" s="6">
        <v>0</v>
      </c>
      <c r="K352" s="6">
        <v>0</v>
      </c>
      <c r="L352" s="6">
        <v>2.1999999999999999E-2</v>
      </c>
      <c r="M352" s="6">
        <v>2.1999999999999999E-2</v>
      </c>
      <c r="N352" s="6">
        <v>2.1999999999999999E-2</v>
      </c>
      <c r="O352" s="6">
        <v>2.1999999999999999E-2</v>
      </c>
      <c r="P352" s="6">
        <v>0</v>
      </c>
      <c r="Q352" s="4" t="s">
        <v>26</v>
      </c>
      <c r="R352" s="4">
        <v>0</v>
      </c>
      <c r="S352" s="4">
        <v>0</v>
      </c>
      <c r="T352" s="4">
        <v>26</v>
      </c>
      <c r="U352" s="4">
        <v>63</v>
      </c>
      <c r="V352" s="6">
        <f>IF(ISERROR(VLOOKUP($S$352,'TAR FIN'!$A$1:$O$85,15,0)),0,VLOOKUP($S$352,'TAR FIN'!$A$1:$O$85,15,0))</f>
        <v>0</v>
      </c>
      <c r="W352" s="6">
        <f>IF(ISERROR(VLOOKUP($T$352,'TAR FIN'!$A$1:$O$85,15,0)),0,VLOOKUP($T$352,'TAR FIN'!$A$1:$O$85,15,0))</f>
        <v>794.02</v>
      </c>
      <c r="X352" s="6">
        <f>IF(ISERROR(VLOOKUP($U$352,'TAR FIN'!$A$1:$O$85,15,0)),0,VLOOKUP($U$352,'TAR FIN'!$A$1:$O$85,15,0))</f>
        <v>433.52</v>
      </c>
      <c r="Y352" s="6"/>
      <c r="Z352" s="6">
        <f ca="1">('TUSD BE'!$AM$30+'TUSD BF'!$AM$30+'TUSD CVA'!$AM$30)*(1-CUSTOS!$M$38)</f>
        <v>1005.914532129545</v>
      </c>
      <c r="AA352" s="6">
        <f>('TE BE'!$AB$20+'TE BF'!$AB$20+'TE CVA'!$AB$20)*(1-CUSTOS!$M$38)</f>
        <v>456.72341783342205</v>
      </c>
      <c r="AB352" s="6">
        <f t="shared" si="24"/>
        <v>0</v>
      </c>
      <c r="AC352" s="6">
        <f>(L352*W352+M352*X352)/(1-CUSTOS!$M$38)*CUSTOS!$M$38</f>
        <v>1.7237795744680851</v>
      </c>
      <c r="AD352" s="6">
        <f t="shared" si="25"/>
        <v>0</v>
      </c>
      <c r="AE352" s="6">
        <f ca="1">(L352*Z352+N352*AA352)/(1-CUSTOS!$M$38)*CUSTOS!$M$38</f>
        <v>2.0539171212245924</v>
      </c>
      <c r="AF352" s="4" t="s">
        <v>846</v>
      </c>
    </row>
    <row r="353" spans="1:32" ht="11.25" customHeight="1" x14ac:dyDescent="0.25">
      <c r="A353" s="4" t="s">
        <v>21</v>
      </c>
      <c r="B353" s="4" t="s">
        <v>43</v>
      </c>
      <c r="C353" s="4" t="s">
        <v>33</v>
      </c>
      <c r="D353" s="4" t="s">
        <v>44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44593</v>
      </c>
      <c r="J353" s="6">
        <v>0</v>
      </c>
      <c r="K353" s="6">
        <v>0</v>
      </c>
      <c r="L353" s="6">
        <v>2.1000000000000001E-2</v>
      </c>
      <c r="M353" s="6">
        <v>2.1000000000000001E-2</v>
      </c>
      <c r="N353" s="6">
        <v>2.1000000000000001E-2</v>
      </c>
      <c r="O353" s="6">
        <v>2.1000000000000001E-2</v>
      </c>
      <c r="P353" s="6">
        <v>0</v>
      </c>
      <c r="Q353" s="4" t="s">
        <v>26</v>
      </c>
      <c r="R353" s="4">
        <v>0</v>
      </c>
      <c r="S353" s="4">
        <v>0</v>
      </c>
      <c r="T353" s="4">
        <v>26</v>
      </c>
      <c r="U353" s="4">
        <v>63</v>
      </c>
      <c r="V353" s="6">
        <f>IF(ISERROR(VLOOKUP($S$353,'TAR FIN'!$A$1:$O$85,15,0)),0,VLOOKUP($S$353,'TAR FIN'!$A$1:$O$85,15,0))</f>
        <v>0</v>
      </c>
      <c r="W353" s="6">
        <f>IF(ISERROR(VLOOKUP($T$353,'TAR FIN'!$A$1:$O$85,15,0)),0,VLOOKUP($T$353,'TAR FIN'!$A$1:$O$85,15,0))</f>
        <v>794.02</v>
      </c>
      <c r="X353" s="6">
        <f>IF(ISERROR(VLOOKUP($U$353,'TAR FIN'!$A$1:$O$85,15,0)),0,VLOOKUP($U$353,'TAR FIN'!$A$1:$O$85,15,0))</f>
        <v>433.52</v>
      </c>
      <c r="Y353" s="6"/>
      <c r="Z353" s="6">
        <f ca="1">('TUSD BE'!$AM$30+'TUSD BF'!$AM$30+'TUSD CVA'!$AM$30)*(1-CUSTOS!$M$38)</f>
        <v>1005.914532129545</v>
      </c>
      <c r="AA353" s="6">
        <f>('TE BE'!$AB$20+'TE BF'!$AB$20+'TE CVA'!$AB$20)*(1-CUSTOS!$M$38)</f>
        <v>456.72341783342205</v>
      </c>
      <c r="AB353" s="6">
        <f t="shared" si="24"/>
        <v>0</v>
      </c>
      <c r="AC353" s="6">
        <f>(L353*W353+M353*X353)/(1-CUSTOS!$M$38)*CUSTOS!$M$38</f>
        <v>1.6454259574468086</v>
      </c>
      <c r="AD353" s="6">
        <f t="shared" si="25"/>
        <v>0</v>
      </c>
      <c r="AE353" s="6">
        <f ca="1">(L353*Z353+N353*AA353)/(1-CUSTOS!$M$38)*CUSTOS!$M$38</f>
        <v>1.9605572520780197</v>
      </c>
      <c r="AF353" s="4" t="s">
        <v>846</v>
      </c>
    </row>
    <row r="354" spans="1:32" ht="11.25" customHeight="1" x14ac:dyDescent="0.25">
      <c r="A354" s="4" t="s">
        <v>21</v>
      </c>
      <c r="B354" s="4" t="s">
        <v>43</v>
      </c>
      <c r="C354" s="4" t="s">
        <v>33</v>
      </c>
      <c r="D354" s="4" t="s">
        <v>44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44621</v>
      </c>
      <c r="J354" s="6">
        <v>0</v>
      </c>
      <c r="K354" s="6">
        <v>0</v>
      </c>
      <c r="L354" s="6">
        <v>1.9E-2</v>
      </c>
      <c r="M354" s="6">
        <v>1.9E-2</v>
      </c>
      <c r="N354" s="6">
        <v>1.9E-2</v>
      </c>
      <c r="O354" s="6">
        <v>1.9E-2</v>
      </c>
      <c r="P354" s="6">
        <v>0</v>
      </c>
      <c r="Q354" s="4" t="s">
        <v>26</v>
      </c>
      <c r="R354" s="4">
        <v>0</v>
      </c>
      <c r="S354" s="4">
        <v>0</v>
      </c>
      <c r="T354" s="4">
        <v>26</v>
      </c>
      <c r="U354" s="4">
        <v>63</v>
      </c>
      <c r="V354" s="6">
        <f>IF(ISERROR(VLOOKUP($S$354,'TAR FIN'!$A$1:$O$85,15,0)),0,VLOOKUP($S$354,'TAR FIN'!$A$1:$O$85,15,0))</f>
        <v>0</v>
      </c>
      <c r="W354" s="6">
        <f>IF(ISERROR(VLOOKUP($T$354,'TAR FIN'!$A$1:$O$85,15,0)),0,VLOOKUP($T$354,'TAR FIN'!$A$1:$O$85,15,0))</f>
        <v>794.02</v>
      </c>
      <c r="X354" s="6">
        <f>IF(ISERROR(VLOOKUP($U$354,'TAR FIN'!$A$1:$O$85,15,0)),0,VLOOKUP($U$354,'TAR FIN'!$A$1:$O$85,15,0))</f>
        <v>433.52</v>
      </c>
      <c r="Y354" s="6"/>
      <c r="Z354" s="6">
        <f ca="1">('TUSD BE'!$AM$30+'TUSD BF'!$AM$30+'TUSD CVA'!$AM$30)*(1-CUSTOS!$M$38)</f>
        <v>1005.914532129545</v>
      </c>
      <c r="AA354" s="6">
        <f>('TE BE'!$AB$20+'TE BF'!$AB$20+'TE CVA'!$AB$20)*(1-CUSTOS!$M$38)</f>
        <v>456.72341783342205</v>
      </c>
      <c r="AB354" s="6">
        <f t="shared" si="24"/>
        <v>0</v>
      </c>
      <c r="AC354" s="6">
        <f>(L354*W354+M354*X354)/(1-CUSTOS!$M$38)*CUSTOS!$M$38</f>
        <v>1.4887187234042554</v>
      </c>
      <c r="AD354" s="6">
        <f t="shared" si="25"/>
        <v>0</v>
      </c>
      <c r="AE354" s="6">
        <f ca="1">(L354*Z354+N354*AA354)/(1-CUSTOS!$M$38)*CUSTOS!$M$38</f>
        <v>1.773837513784875</v>
      </c>
      <c r="AF354" s="4" t="s">
        <v>846</v>
      </c>
    </row>
    <row r="355" spans="1:32" ht="11.25" customHeight="1" x14ac:dyDescent="0.25">
      <c r="A355" s="4" t="s">
        <v>21</v>
      </c>
      <c r="B355" s="4" t="s">
        <v>43</v>
      </c>
      <c r="C355" s="4" t="s">
        <v>33</v>
      </c>
      <c r="D355" s="4" t="s">
        <v>44</v>
      </c>
      <c r="E355" s="4" t="s">
        <v>25</v>
      </c>
      <c r="F355" s="4" t="s">
        <v>25</v>
      </c>
      <c r="G355" s="4" t="s">
        <v>25</v>
      </c>
      <c r="H355" s="4" t="s">
        <v>34</v>
      </c>
      <c r="I355" s="5">
        <v>44652</v>
      </c>
      <c r="J355" s="6">
        <v>0</v>
      </c>
      <c r="K355" s="6">
        <v>0</v>
      </c>
      <c r="L355" s="6">
        <v>3.3000000000000002E-2</v>
      </c>
      <c r="M355" s="6">
        <v>3.3000000000000002E-2</v>
      </c>
      <c r="N355" s="6">
        <v>3.3000000000000002E-2</v>
      </c>
      <c r="O355" s="6">
        <v>3.3000000000000002E-2</v>
      </c>
      <c r="P355" s="6">
        <v>0</v>
      </c>
      <c r="Q355" s="4" t="s">
        <v>26</v>
      </c>
      <c r="R355" s="4">
        <v>0</v>
      </c>
      <c r="S355" s="4">
        <v>0</v>
      </c>
      <c r="T355" s="4">
        <v>26</v>
      </c>
      <c r="U355" s="4">
        <v>63</v>
      </c>
      <c r="V355" s="6">
        <f>IF(ISERROR(VLOOKUP($S$355,'TAR FIN'!$A$1:$O$85,15,0)),0,VLOOKUP($S$355,'TAR FIN'!$A$1:$O$85,15,0))</f>
        <v>0</v>
      </c>
      <c r="W355" s="6">
        <f>IF(ISERROR(VLOOKUP($T$355,'TAR FIN'!$A$1:$O$85,15,0)),0,VLOOKUP($T$355,'TAR FIN'!$A$1:$O$85,15,0))</f>
        <v>794.02</v>
      </c>
      <c r="X355" s="6">
        <f>IF(ISERROR(VLOOKUP($U$355,'TAR FIN'!$A$1:$O$85,15,0)),0,VLOOKUP($U$355,'TAR FIN'!$A$1:$O$85,15,0))</f>
        <v>433.52</v>
      </c>
      <c r="Y355" s="6"/>
      <c r="Z355" s="6">
        <f ca="1">('TUSD BE'!$AM$30+'TUSD BF'!$AM$30+'TUSD CVA'!$AM$30)*(1-CUSTOS!$M$38)</f>
        <v>1005.914532129545</v>
      </c>
      <c r="AA355" s="6">
        <f>('TE BE'!$AB$20+'TE BF'!$AB$20+'TE CVA'!$AB$20)*(1-CUSTOS!$M$38)</f>
        <v>456.72341783342205</v>
      </c>
      <c r="AB355" s="6">
        <f t="shared" si="24"/>
        <v>0</v>
      </c>
      <c r="AC355" s="6">
        <f>(L355*W355+M355*X355)/(1-CUSTOS!$M$38)*CUSTOS!$M$38</f>
        <v>2.5856693617021276</v>
      </c>
      <c r="AD355" s="6">
        <f t="shared" si="25"/>
        <v>0</v>
      </c>
      <c r="AE355" s="6">
        <f ca="1">(L355*Z355+N355*AA355)/(1-CUSTOS!$M$38)*CUSTOS!$M$38</f>
        <v>3.0808756818368885</v>
      </c>
      <c r="AF355" s="4" t="s">
        <v>846</v>
      </c>
    </row>
    <row r="356" spans="1:32" ht="11.25" customHeight="1" x14ac:dyDescent="0.25">
      <c r="A356" s="4" t="s">
        <v>21</v>
      </c>
      <c r="B356" s="4" t="s">
        <v>43</v>
      </c>
      <c r="C356" s="4" t="s">
        <v>33</v>
      </c>
      <c r="D356" s="4" t="s">
        <v>44</v>
      </c>
      <c r="E356" s="4" t="s">
        <v>25</v>
      </c>
      <c r="F356" s="4" t="s">
        <v>25</v>
      </c>
      <c r="G356" s="4" t="s">
        <v>25</v>
      </c>
      <c r="H356" s="4" t="s">
        <v>34</v>
      </c>
      <c r="I356" s="5">
        <v>44682</v>
      </c>
      <c r="J356" s="6">
        <v>0</v>
      </c>
      <c r="K356" s="6">
        <v>0</v>
      </c>
      <c r="L356" s="6">
        <v>2.5999999999999999E-2</v>
      </c>
      <c r="M356" s="6">
        <v>2.5999999999999999E-2</v>
      </c>
      <c r="N356" s="6">
        <v>2.5999999999999999E-2</v>
      </c>
      <c r="O356" s="6">
        <v>2.5999999999999999E-2</v>
      </c>
      <c r="P356" s="6">
        <v>0</v>
      </c>
      <c r="Q356" s="4" t="s">
        <v>26</v>
      </c>
      <c r="R356" s="4">
        <v>0</v>
      </c>
      <c r="S356" s="4">
        <v>0</v>
      </c>
      <c r="T356" s="4">
        <v>26</v>
      </c>
      <c r="U356" s="4">
        <v>63</v>
      </c>
      <c r="V356" s="6">
        <f>IF(ISERROR(VLOOKUP($S$356,'TAR FIN'!$A$1:$O$85,15,0)),0,VLOOKUP($S$356,'TAR FIN'!$A$1:$O$85,15,0))</f>
        <v>0</v>
      </c>
      <c r="W356" s="6">
        <f>IF(ISERROR(VLOOKUP($T$356,'TAR FIN'!$A$1:$O$85,15,0)),0,VLOOKUP($T$356,'TAR FIN'!$A$1:$O$85,15,0))</f>
        <v>794.02</v>
      </c>
      <c r="X356" s="6">
        <f>IF(ISERROR(VLOOKUP($U$356,'TAR FIN'!$A$1:$O$85,15,0)),0,VLOOKUP($U$356,'TAR FIN'!$A$1:$O$85,15,0))</f>
        <v>433.52</v>
      </c>
      <c r="Y356" s="6"/>
      <c r="Z356" s="6">
        <f ca="1">('TUSD BE'!$AM$30+'TUSD BF'!$AM$30+'TUSD CVA'!$AM$30)*(1-CUSTOS!$M$38)</f>
        <v>1005.914532129545</v>
      </c>
      <c r="AA356" s="6">
        <f>('TE BE'!$AB$20+'TE BF'!$AB$20+'TE CVA'!$AB$20)*(1-CUSTOS!$M$38)</f>
        <v>456.72341783342205</v>
      </c>
      <c r="AB356" s="6">
        <f t="shared" si="24"/>
        <v>0</v>
      </c>
      <c r="AC356" s="6">
        <f>(L356*W356+M356*X356)/(1-CUSTOS!$M$38)*CUSTOS!$M$38</f>
        <v>2.0371940425531916</v>
      </c>
      <c r="AD356" s="6">
        <f t="shared" si="25"/>
        <v>0</v>
      </c>
      <c r="AE356" s="6">
        <f ca="1">(L356*Z356+N356*AA356)/(1-CUSTOS!$M$38)*CUSTOS!$M$38</f>
        <v>2.4273565978108813</v>
      </c>
      <c r="AF356" s="4" t="s">
        <v>846</v>
      </c>
    </row>
    <row r="357" spans="1:32" ht="11.25" customHeight="1" x14ac:dyDescent="0.25">
      <c r="A357" s="4" t="s">
        <v>21</v>
      </c>
      <c r="B357" s="4" t="s">
        <v>43</v>
      </c>
      <c r="C357" s="4" t="s">
        <v>33</v>
      </c>
      <c r="D357" s="4" t="s">
        <v>44</v>
      </c>
      <c r="E357" s="4" t="s">
        <v>25</v>
      </c>
      <c r="F357" s="4" t="s">
        <v>25</v>
      </c>
      <c r="G357" s="4" t="s">
        <v>25</v>
      </c>
      <c r="H357" s="4" t="s">
        <v>34</v>
      </c>
      <c r="I357" s="5">
        <v>44713</v>
      </c>
      <c r="J357" s="6">
        <v>0</v>
      </c>
      <c r="K357" s="6">
        <v>0</v>
      </c>
      <c r="L357" s="6">
        <v>2.5000000000000001E-2</v>
      </c>
      <c r="M357" s="6">
        <v>2.5000000000000001E-2</v>
      </c>
      <c r="N357" s="6">
        <v>2.5000000000000001E-2</v>
      </c>
      <c r="O357" s="6">
        <v>2.5000000000000001E-2</v>
      </c>
      <c r="P357" s="6">
        <v>0</v>
      </c>
      <c r="Q357" s="4" t="s">
        <v>26</v>
      </c>
      <c r="R357" s="4">
        <v>0</v>
      </c>
      <c r="S357" s="4">
        <v>0</v>
      </c>
      <c r="T357" s="4">
        <v>26</v>
      </c>
      <c r="U357" s="4">
        <v>63</v>
      </c>
      <c r="V357" s="6">
        <f>IF(ISERROR(VLOOKUP($S$357,'TAR FIN'!$A$1:$O$85,15,0)),0,VLOOKUP($S$357,'TAR FIN'!$A$1:$O$85,15,0))</f>
        <v>0</v>
      </c>
      <c r="W357" s="6">
        <f>IF(ISERROR(VLOOKUP($T$357,'TAR FIN'!$A$1:$O$85,15,0)),0,VLOOKUP($T$357,'TAR FIN'!$A$1:$O$85,15,0))</f>
        <v>794.02</v>
      </c>
      <c r="X357" s="6">
        <f>IF(ISERROR(VLOOKUP($U$357,'TAR FIN'!$A$1:$O$85,15,0)),0,VLOOKUP($U$357,'TAR FIN'!$A$1:$O$85,15,0))</f>
        <v>433.52</v>
      </c>
      <c r="Y357" s="6"/>
      <c r="Z357" s="6">
        <f ca="1">('TUSD BE'!$AM$30+'TUSD BF'!$AM$30+'TUSD CVA'!$AM$30)*(1-CUSTOS!$M$38)</f>
        <v>1005.914532129545</v>
      </c>
      <c r="AA357" s="6">
        <f>('TE BE'!$AB$20+'TE BF'!$AB$20+'TE CVA'!$AB$20)*(1-CUSTOS!$M$38)</f>
        <v>456.72341783342205</v>
      </c>
      <c r="AB357" s="6">
        <f t="shared" si="24"/>
        <v>0</v>
      </c>
      <c r="AC357" s="6">
        <f>(L357*W357+M357*X357)/(1-CUSTOS!$M$38)*CUSTOS!$M$38</f>
        <v>1.958840425531915</v>
      </c>
      <c r="AD357" s="6">
        <f t="shared" si="25"/>
        <v>0</v>
      </c>
      <c r="AE357" s="6">
        <f ca="1">(L357*Z357+N357*AA357)/(1-CUSTOS!$M$38)*CUSTOS!$M$38</f>
        <v>2.3339967286643093</v>
      </c>
      <c r="AF357" s="4" t="s">
        <v>846</v>
      </c>
    </row>
    <row r="358" spans="1:32" ht="11.25" customHeight="1" x14ac:dyDescent="0.25">
      <c r="A358" s="4" t="s">
        <v>21</v>
      </c>
      <c r="B358" s="4" t="s">
        <v>43</v>
      </c>
      <c r="C358" s="4" t="s">
        <v>33</v>
      </c>
      <c r="D358" s="4" t="s">
        <v>44</v>
      </c>
      <c r="E358" s="4" t="s">
        <v>25</v>
      </c>
      <c r="F358" s="4" t="s">
        <v>25</v>
      </c>
      <c r="G358" s="4" t="s">
        <v>25</v>
      </c>
      <c r="H358" s="4" t="s">
        <v>34</v>
      </c>
      <c r="I358" s="5">
        <v>44743</v>
      </c>
      <c r="J358" s="6">
        <v>0</v>
      </c>
      <c r="K358" s="6">
        <v>0</v>
      </c>
      <c r="L358" s="6">
        <v>2.3E-2</v>
      </c>
      <c r="M358" s="6">
        <v>2.3E-2</v>
      </c>
      <c r="N358" s="6">
        <v>2.3E-2</v>
      </c>
      <c r="O358" s="6">
        <v>2.3E-2</v>
      </c>
      <c r="P358" s="6">
        <v>0</v>
      </c>
      <c r="Q358" s="4" t="s">
        <v>26</v>
      </c>
      <c r="R358" s="4">
        <v>0</v>
      </c>
      <c r="S358" s="4">
        <v>0</v>
      </c>
      <c r="T358" s="4">
        <v>26</v>
      </c>
      <c r="U358" s="4">
        <v>63</v>
      </c>
      <c r="V358" s="6">
        <f>IF(ISERROR(VLOOKUP($S$358,'TAR FIN'!$A$1:$O$85,15,0)),0,VLOOKUP($S$358,'TAR FIN'!$A$1:$O$85,15,0))</f>
        <v>0</v>
      </c>
      <c r="W358" s="6">
        <f>IF(ISERROR(VLOOKUP($T$358,'TAR FIN'!$A$1:$O$85,15,0)),0,VLOOKUP($T$358,'TAR FIN'!$A$1:$O$85,15,0))</f>
        <v>794.02</v>
      </c>
      <c r="X358" s="6">
        <f>IF(ISERROR(VLOOKUP($U$358,'TAR FIN'!$A$1:$O$85,15,0)),0,VLOOKUP($U$358,'TAR FIN'!$A$1:$O$85,15,0))</f>
        <v>433.52</v>
      </c>
      <c r="Y358" s="6"/>
      <c r="Z358" s="6">
        <f ca="1">('TUSD BE'!$AM$30+'TUSD BF'!$AM$30+'TUSD CVA'!$AM$30)*(1-CUSTOS!$M$38)</f>
        <v>1005.914532129545</v>
      </c>
      <c r="AA358" s="6">
        <f>('TE BE'!$AB$20+'TE BF'!$AB$20+'TE CVA'!$AB$20)*(1-CUSTOS!$M$38)</f>
        <v>456.72341783342205</v>
      </c>
      <c r="AB358" s="6">
        <f t="shared" si="24"/>
        <v>0</v>
      </c>
      <c r="AC358" s="6">
        <f>(L358*W358+M358*X358)/(1-CUSTOS!$M$38)*CUSTOS!$M$38</f>
        <v>1.8021331914893619</v>
      </c>
      <c r="AD358" s="6">
        <f t="shared" si="25"/>
        <v>0</v>
      </c>
      <c r="AE358" s="6">
        <f ca="1">(L358*Z358+N358*AA358)/(1-CUSTOS!$M$38)*CUSTOS!$M$38</f>
        <v>2.1472769903711644</v>
      </c>
      <c r="AF358" s="4" t="s">
        <v>846</v>
      </c>
    </row>
    <row r="359" spans="1:32" ht="11.25" customHeight="1" x14ac:dyDescent="0.25">
      <c r="A359" s="4" t="s">
        <v>56</v>
      </c>
      <c r="B359" s="4" t="s">
        <v>43</v>
      </c>
      <c r="C359" s="4" t="s">
        <v>33</v>
      </c>
      <c r="D359" s="4" t="s">
        <v>44</v>
      </c>
      <c r="E359" s="4" t="s">
        <v>25</v>
      </c>
      <c r="F359" s="4" t="s">
        <v>25</v>
      </c>
      <c r="G359" s="4" t="s">
        <v>25</v>
      </c>
      <c r="H359" s="4" t="s">
        <v>34</v>
      </c>
      <c r="I359" s="5">
        <v>44774</v>
      </c>
      <c r="J359" s="6">
        <v>0</v>
      </c>
      <c r="K359" s="6">
        <v>0</v>
      </c>
      <c r="L359" s="6">
        <v>2.3E-2</v>
      </c>
      <c r="M359" s="6">
        <v>2.3E-2</v>
      </c>
      <c r="N359" s="6">
        <v>2.3E-2</v>
      </c>
      <c r="O359" s="6">
        <v>2.3E-2</v>
      </c>
      <c r="P359" s="6">
        <v>0</v>
      </c>
      <c r="Q359" s="4" t="s">
        <v>26</v>
      </c>
      <c r="R359" s="4">
        <v>0</v>
      </c>
      <c r="S359" s="4">
        <v>0</v>
      </c>
      <c r="T359" s="4">
        <v>26</v>
      </c>
      <c r="U359" s="4">
        <v>63</v>
      </c>
      <c r="V359" s="6">
        <f>IF(ISERROR(VLOOKUP($S$359,'TAR FIN'!$A$1:$O$85,15,0)),0,VLOOKUP($S$359,'TAR FIN'!$A$1:$O$85,15,0))</f>
        <v>0</v>
      </c>
      <c r="W359" s="6">
        <f>IF(ISERROR(VLOOKUP($T$359,'TAR FIN'!$A$1:$O$85,15,0)),0,VLOOKUP($T$359,'TAR FIN'!$A$1:$O$85,15,0))</f>
        <v>794.02</v>
      </c>
      <c r="X359" s="6">
        <f>IF(ISERROR(VLOOKUP($U$359,'TAR FIN'!$A$1:$O$85,15,0)),0,VLOOKUP($U$359,'TAR FIN'!$A$1:$O$85,15,0))</f>
        <v>433.52</v>
      </c>
      <c r="Y359" s="6"/>
      <c r="Z359" s="6">
        <f ca="1">('TUSD BE'!$AM$30+'TUSD BF'!$AM$30+'TUSD CVA'!$AM$30)*(1-CUSTOS!$M$38)</f>
        <v>1005.914532129545</v>
      </c>
      <c r="AA359" s="6">
        <f>('TE BE'!$AB$20+'TE BF'!$AB$20+'TE CVA'!$AB$20)*(1-CUSTOS!$M$38)</f>
        <v>456.72341783342205</v>
      </c>
      <c r="AB359" s="6">
        <f t="shared" si="24"/>
        <v>0</v>
      </c>
      <c r="AC359" s="6">
        <f>(L359*W359+M359*X359)/(1-CUSTOS!$M$38)*CUSTOS!$M$38</f>
        <v>1.8021331914893619</v>
      </c>
      <c r="AD359" s="6">
        <f t="shared" si="25"/>
        <v>0</v>
      </c>
      <c r="AE359" s="6">
        <f ca="1">(L359*Z359+N359*AA359)/(1-CUSTOS!$M$38)*CUSTOS!$M$38</f>
        <v>2.1472769903711644</v>
      </c>
      <c r="AF359" s="4" t="s">
        <v>846</v>
      </c>
    </row>
    <row r="360" spans="1:32" ht="11.25" customHeight="1" x14ac:dyDescent="0.25">
      <c r="A360" s="4" t="s">
        <v>21</v>
      </c>
      <c r="B360" s="4" t="s">
        <v>43</v>
      </c>
      <c r="C360" s="4" t="s">
        <v>23</v>
      </c>
      <c r="D360" s="4" t="s">
        <v>44</v>
      </c>
      <c r="E360" s="4" t="s">
        <v>52</v>
      </c>
      <c r="F360" s="4" t="s">
        <v>53</v>
      </c>
      <c r="G360" s="4" t="s">
        <v>25</v>
      </c>
      <c r="H360" s="4" t="s">
        <v>25</v>
      </c>
      <c r="I360" s="5">
        <v>44440</v>
      </c>
      <c r="J360" s="6">
        <v>0</v>
      </c>
      <c r="K360" s="6">
        <v>0</v>
      </c>
      <c r="L360" s="6">
        <v>4221.4189999999999</v>
      </c>
      <c r="M360" s="6">
        <v>4221.4189999999999</v>
      </c>
      <c r="N360" s="6">
        <v>4221.4189999999999</v>
      </c>
      <c r="O360" s="6">
        <v>4221.4189999999999</v>
      </c>
      <c r="P360" s="6">
        <v>0</v>
      </c>
      <c r="Q360" s="4" t="s">
        <v>26</v>
      </c>
      <c r="R360" s="4">
        <v>0</v>
      </c>
      <c r="S360" s="4">
        <v>0</v>
      </c>
      <c r="T360" s="4">
        <v>29</v>
      </c>
      <c r="U360" s="4">
        <v>66</v>
      </c>
      <c r="V360" s="6">
        <f>IF(ISERROR(VLOOKUP($S$360,'TAR FIN'!$A$1:$O$85,15,0)),0,VLOOKUP($S$360,'TAR FIN'!$A$1:$O$85,15,0))</f>
        <v>0</v>
      </c>
      <c r="W360" s="6">
        <f>IF(ISERROR(VLOOKUP($T$360,'TAR FIN'!$A$1:$O$85,15,0)),0,VLOOKUP($T$360,'TAR FIN'!$A$1:$O$85,15,0))</f>
        <v>285.89</v>
      </c>
      <c r="X360" s="6">
        <f>IF(ISERROR(VLOOKUP($U$360,'TAR FIN'!$A$1:$O$85,15,0)),0,VLOOKUP($U$360,'TAR FIN'!$A$1:$O$85,15,0))</f>
        <v>283.83999999999997</v>
      </c>
      <c r="Y360" s="6"/>
      <c r="Z360" s="6">
        <f ca="1">('TUSD BE'!$AM$33+'TUSD BF'!$AM$33+'TUSD CVA'!$AM$33)*(1-CUSTOS!$M$38)</f>
        <v>408.71492269690788</v>
      </c>
      <c r="AA360" s="6">
        <f>('TE BE'!$AB$23+'TE BF'!$AB$23+'TE CVA'!$AB$23)*(1-CUSTOS!$M$38)</f>
        <v>300.75684149176499</v>
      </c>
      <c r="AB360" s="6">
        <f t="shared" si="24"/>
        <v>0</v>
      </c>
      <c r="AC360" s="6">
        <f>(L360-M360)*(W360+X360)+($W$198+$X$198-$W$360-$X$360)*(L360)</f>
        <v>327962.04211000045</v>
      </c>
      <c r="AD360" s="6">
        <f t="shared" si="25"/>
        <v>0</v>
      </c>
      <c r="AE360" s="6">
        <f ca="1">(L360-M360)*(Z360+AA360)+($Z$198+$AA$198-$Z$360-$AA$360)*(L360)</f>
        <v>191168.78204103731</v>
      </c>
      <c r="AF360" s="4" t="s">
        <v>846</v>
      </c>
    </row>
    <row r="361" spans="1:32" ht="11.25" customHeight="1" x14ac:dyDescent="0.25">
      <c r="A361" s="4" t="s">
        <v>27</v>
      </c>
      <c r="B361" s="4" t="s">
        <v>43</v>
      </c>
      <c r="C361" s="4" t="s">
        <v>23</v>
      </c>
      <c r="D361" s="4" t="s">
        <v>44</v>
      </c>
      <c r="E361" s="4" t="s">
        <v>52</v>
      </c>
      <c r="F361" s="4" t="s">
        <v>53</v>
      </c>
      <c r="G361" s="4" t="s">
        <v>25</v>
      </c>
      <c r="H361" s="4" t="s">
        <v>25</v>
      </c>
      <c r="I361" s="5">
        <v>44440</v>
      </c>
      <c r="J361" s="6">
        <v>0</v>
      </c>
      <c r="K361" s="6">
        <v>0</v>
      </c>
      <c r="L361" s="6">
        <v>-2.798</v>
      </c>
      <c r="M361" s="6">
        <v>-2.798</v>
      </c>
      <c r="N361" s="6">
        <v>-2.798</v>
      </c>
      <c r="O361" s="6">
        <v>-2.798</v>
      </c>
      <c r="P361" s="6">
        <v>0</v>
      </c>
      <c r="Q361" s="4" t="s">
        <v>26</v>
      </c>
      <c r="R361" s="4">
        <v>0</v>
      </c>
      <c r="S361" s="4">
        <v>0</v>
      </c>
      <c r="T361" s="4">
        <v>29</v>
      </c>
      <c r="U361" s="4">
        <v>66</v>
      </c>
      <c r="V361" s="6">
        <f>IF(ISERROR(VLOOKUP($S$361,'TAR FIN'!$A$1:$O$85,15,0)),0,VLOOKUP($S$361,'TAR FIN'!$A$1:$O$85,15,0))</f>
        <v>0</v>
      </c>
      <c r="W361" s="6">
        <f>IF(ISERROR(VLOOKUP($T$361,'TAR FIN'!$A$1:$O$85,15,0)),0,VLOOKUP($T$361,'TAR FIN'!$A$1:$O$85,15,0))</f>
        <v>285.89</v>
      </c>
      <c r="X361" s="6">
        <f>IF(ISERROR(VLOOKUP($U$361,'TAR FIN'!$A$1:$O$85,15,0)),0,VLOOKUP($U$361,'TAR FIN'!$A$1:$O$85,15,0))</f>
        <v>283.83999999999997</v>
      </c>
      <c r="Y361" s="6"/>
      <c r="Z361" s="6">
        <f ca="1">('TUSD BE'!$AM$33+'TUSD BF'!$AM$33+'TUSD CVA'!$AM$33)*(1-CUSTOS!$M$38)</f>
        <v>408.71492269690788</v>
      </c>
      <c r="AA361" s="6">
        <f>('TE BE'!$AB$23+'TE BF'!$AB$23+'TE CVA'!$AB$23)*(1-CUSTOS!$M$38)</f>
        <v>300.75684149176499</v>
      </c>
      <c r="AB361" s="6">
        <f t="shared" si="24"/>
        <v>0</v>
      </c>
      <c r="AC361" s="6">
        <f>(L361-M361)*(W361+X361)+($W$198+$X$198-$W$361-$X$361)*(L361)</f>
        <v>-217.37662000000032</v>
      </c>
      <c r="AD361" s="6">
        <f t="shared" si="25"/>
        <v>0</v>
      </c>
      <c r="AE361" s="6">
        <f ca="1">(L361-M361)*(Z361+AA361)+($Z$198+$AA$198-$Z$361-$AA$361)*(L361)</f>
        <v>-126.70863805531326</v>
      </c>
      <c r="AF361" s="4" t="s">
        <v>846</v>
      </c>
    </row>
    <row r="362" spans="1:32" ht="11.25" customHeight="1" x14ac:dyDescent="0.25">
      <c r="A362" s="4" t="s">
        <v>28</v>
      </c>
      <c r="B362" s="4" t="s">
        <v>43</v>
      </c>
      <c r="C362" s="4" t="s">
        <v>23</v>
      </c>
      <c r="D362" s="4" t="s">
        <v>44</v>
      </c>
      <c r="E362" s="4" t="s">
        <v>52</v>
      </c>
      <c r="F362" s="4" t="s">
        <v>53</v>
      </c>
      <c r="G362" s="4" t="s">
        <v>25</v>
      </c>
      <c r="H362" s="4" t="s">
        <v>25</v>
      </c>
      <c r="I362" s="5">
        <v>44440</v>
      </c>
      <c r="J362" s="6">
        <v>0</v>
      </c>
      <c r="K362" s="6">
        <v>0</v>
      </c>
      <c r="L362" s="6">
        <v>22.244</v>
      </c>
      <c r="M362" s="6">
        <v>22.244</v>
      </c>
      <c r="N362" s="6">
        <v>22.244</v>
      </c>
      <c r="O362" s="6">
        <v>22.244</v>
      </c>
      <c r="P362" s="6">
        <v>0</v>
      </c>
      <c r="Q362" s="4" t="s">
        <v>26</v>
      </c>
      <c r="R362" s="4">
        <v>0</v>
      </c>
      <c r="S362" s="4">
        <v>0</v>
      </c>
      <c r="T362" s="4">
        <v>29</v>
      </c>
      <c r="U362" s="4">
        <v>66</v>
      </c>
      <c r="V362" s="6">
        <f>IF(ISERROR(VLOOKUP($S$362,'TAR FIN'!$A$1:$O$85,15,0)),0,VLOOKUP($S$362,'TAR FIN'!$A$1:$O$85,15,0))</f>
        <v>0</v>
      </c>
      <c r="W362" s="6">
        <f>IF(ISERROR(VLOOKUP($T$362,'TAR FIN'!$A$1:$O$85,15,0)),0,VLOOKUP($T$362,'TAR FIN'!$A$1:$O$85,15,0))</f>
        <v>285.89</v>
      </c>
      <c r="X362" s="6">
        <f>IF(ISERROR(VLOOKUP($U$362,'TAR FIN'!$A$1:$O$85,15,0)),0,VLOOKUP($U$362,'TAR FIN'!$A$1:$O$85,15,0))</f>
        <v>283.83999999999997</v>
      </c>
      <c r="Y362" s="6"/>
      <c r="Z362" s="6">
        <f ca="1">('TUSD BE'!$AM$33+'TUSD BF'!$AM$33+'TUSD CVA'!$AM$33)*(1-CUSTOS!$M$38)</f>
        <v>408.71492269690788</v>
      </c>
      <c r="AA362" s="6">
        <f>('TE BE'!$AB$23+'TE BF'!$AB$23+'TE CVA'!$AB$23)*(1-CUSTOS!$M$38)</f>
        <v>300.75684149176499</v>
      </c>
      <c r="AB362" s="6">
        <f t="shared" si="24"/>
        <v>0</v>
      </c>
      <c r="AC362" s="6">
        <f>(L362-M362)*(W362+X362)+($W$198+$X$198-$W$362-$X$362)*(L362)</f>
        <v>1728.1363600000025</v>
      </c>
      <c r="AD362" s="6">
        <f t="shared" si="25"/>
        <v>0</v>
      </c>
      <c r="AE362" s="6">
        <f ca="1">(L362-M362)*(Z362+AA362)+($Z$198+$AA$198-$Z$362-$AA$362)*(L362)</f>
        <v>1007.3291439965648</v>
      </c>
      <c r="AF362" s="4" t="s">
        <v>846</v>
      </c>
    </row>
    <row r="363" spans="1:32" ht="11.25" customHeight="1" x14ac:dyDescent="0.25">
      <c r="A363" s="4" t="s">
        <v>21</v>
      </c>
      <c r="B363" s="4" t="s">
        <v>43</v>
      </c>
      <c r="C363" s="4" t="s">
        <v>23</v>
      </c>
      <c r="D363" s="4" t="s">
        <v>44</v>
      </c>
      <c r="E363" s="4" t="s">
        <v>52</v>
      </c>
      <c r="F363" s="4" t="s">
        <v>53</v>
      </c>
      <c r="G363" s="4" t="s">
        <v>25</v>
      </c>
      <c r="H363" s="4" t="s">
        <v>25</v>
      </c>
      <c r="I363" s="5">
        <v>44470</v>
      </c>
      <c r="J363" s="6">
        <v>0</v>
      </c>
      <c r="K363" s="6">
        <v>0</v>
      </c>
      <c r="L363" s="6">
        <v>4139.8969999999999</v>
      </c>
      <c r="M363" s="6">
        <v>4139.8969999999999</v>
      </c>
      <c r="N363" s="6">
        <v>4139.8969999999999</v>
      </c>
      <c r="O363" s="6">
        <v>4139.8969999999999</v>
      </c>
      <c r="P363" s="6">
        <v>0</v>
      </c>
      <c r="Q363" s="4" t="s">
        <v>26</v>
      </c>
      <c r="R363" s="4">
        <v>0</v>
      </c>
      <c r="S363" s="4">
        <v>0</v>
      </c>
      <c r="T363" s="4">
        <v>29</v>
      </c>
      <c r="U363" s="4">
        <v>66</v>
      </c>
      <c r="V363" s="6">
        <f>IF(ISERROR(VLOOKUP($S$363,'TAR FIN'!$A$1:$O$85,15,0)),0,VLOOKUP($S$363,'TAR FIN'!$A$1:$O$85,15,0))</f>
        <v>0</v>
      </c>
      <c r="W363" s="6">
        <f>IF(ISERROR(VLOOKUP($T$363,'TAR FIN'!$A$1:$O$85,15,0)),0,VLOOKUP($T$363,'TAR FIN'!$A$1:$O$85,15,0))</f>
        <v>285.89</v>
      </c>
      <c r="X363" s="6">
        <f>IF(ISERROR(VLOOKUP($U$363,'TAR FIN'!$A$1:$O$85,15,0)),0,VLOOKUP($U$363,'TAR FIN'!$A$1:$O$85,15,0))</f>
        <v>283.83999999999997</v>
      </c>
      <c r="Y363" s="6"/>
      <c r="Z363" s="6">
        <f ca="1">('TUSD BE'!$AM$33+'TUSD BF'!$AM$33+'TUSD CVA'!$AM$33)*(1-CUSTOS!$M$38)</f>
        <v>408.71492269690788</v>
      </c>
      <c r="AA363" s="6">
        <f>('TE BE'!$AB$23+'TE BF'!$AB$23+'TE CVA'!$AB$23)*(1-CUSTOS!$M$38)</f>
        <v>300.75684149176499</v>
      </c>
      <c r="AB363" s="6">
        <f t="shared" si="24"/>
        <v>0</v>
      </c>
      <c r="AC363" s="6">
        <f>(L363-M363)*(W363+X363)+($W$198+$X$198-$W$363-$X$363)*(L363)</f>
        <v>321628.59793000045</v>
      </c>
      <c r="AD363" s="6">
        <f t="shared" si="25"/>
        <v>0</v>
      </c>
      <c r="AE363" s="6">
        <f ca="1">(L363-M363)*(Z363+AA363)+($Z$198+$AA$198-$Z$363-$AA$363)*(L363)</f>
        <v>187477.02307336568</v>
      </c>
      <c r="AF363" s="4" t="s">
        <v>846</v>
      </c>
    </row>
    <row r="364" spans="1:32" ht="11.25" customHeight="1" x14ac:dyDescent="0.25">
      <c r="A364" s="4" t="s">
        <v>27</v>
      </c>
      <c r="B364" s="4" t="s">
        <v>43</v>
      </c>
      <c r="C364" s="4" t="s">
        <v>23</v>
      </c>
      <c r="D364" s="4" t="s">
        <v>44</v>
      </c>
      <c r="E364" s="4" t="s">
        <v>52</v>
      </c>
      <c r="F364" s="4" t="s">
        <v>53</v>
      </c>
      <c r="G364" s="4" t="s">
        <v>25</v>
      </c>
      <c r="H364" s="4" t="s">
        <v>25</v>
      </c>
      <c r="I364" s="5">
        <v>44470</v>
      </c>
      <c r="J364" s="6">
        <v>0</v>
      </c>
      <c r="K364" s="6">
        <v>0</v>
      </c>
      <c r="L364" s="6">
        <v>-0.50900000000000001</v>
      </c>
      <c r="M364" s="6">
        <v>-0.50900000000000001</v>
      </c>
      <c r="N364" s="6">
        <v>-0.50900000000000001</v>
      </c>
      <c r="O364" s="6">
        <v>-0.50900000000000001</v>
      </c>
      <c r="P364" s="6">
        <v>0</v>
      </c>
      <c r="Q364" s="4" t="s">
        <v>26</v>
      </c>
      <c r="R364" s="4">
        <v>0</v>
      </c>
      <c r="S364" s="4">
        <v>0</v>
      </c>
      <c r="T364" s="4">
        <v>29</v>
      </c>
      <c r="U364" s="4">
        <v>66</v>
      </c>
      <c r="V364" s="6">
        <f>IF(ISERROR(VLOOKUP($S$364,'TAR FIN'!$A$1:$O$85,15,0)),0,VLOOKUP($S$364,'TAR FIN'!$A$1:$O$85,15,0))</f>
        <v>0</v>
      </c>
      <c r="W364" s="6">
        <f>IF(ISERROR(VLOOKUP($T$364,'TAR FIN'!$A$1:$O$85,15,0)),0,VLOOKUP($T$364,'TAR FIN'!$A$1:$O$85,15,0))</f>
        <v>285.89</v>
      </c>
      <c r="X364" s="6">
        <f>IF(ISERROR(VLOOKUP($U$364,'TAR FIN'!$A$1:$O$85,15,0)),0,VLOOKUP($U$364,'TAR FIN'!$A$1:$O$85,15,0))</f>
        <v>283.83999999999997</v>
      </c>
      <c r="Y364" s="6"/>
      <c r="Z364" s="6">
        <f ca="1">('TUSD BE'!$AM$33+'TUSD BF'!$AM$33+'TUSD CVA'!$AM$33)*(1-CUSTOS!$M$38)</f>
        <v>408.71492269690788</v>
      </c>
      <c r="AA364" s="6">
        <f>('TE BE'!$AB$23+'TE BF'!$AB$23+'TE CVA'!$AB$23)*(1-CUSTOS!$M$38)</f>
        <v>300.75684149176499</v>
      </c>
      <c r="AB364" s="6">
        <f t="shared" si="24"/>
        <v>0</v>
      </c>
      <c r="AC364" s="6">
        <f>(L364-M364)*(W364+X364)+($W$198+$X$198-$W$364-$X$364)*(L364)</f>
        <v>-39.544210000000056</v>
      </c>
      <c r="AD364" s="6">
        <f t="shared" si="25"/>
        <v>0</v>
      </c>
      <c r="AE364" s="6">
        <f ca="1">(L364-M364)*(Z364+AA364)+($Z$198+$AA$198-$Z$364-$AA$364)*(L364)</f>
        <v>-23.050284764172428</v>
      </c>
      <c r="AF364" s="4" t="s">
        <v>846</v>
      </c>
    </row>
    <row r="365" spans="1:32" ht="11.25" customHeight="1" x14ac:dyDescent="0.25">
      <c r="A365" s="4" t="s">
        <v>28</v>
      </c>
      <c r="B365" s="4" t="s">
        <v>43</v>
      </c>
      <c r="C365" s="4" t="s">
        <v>23</v>
      </c>
      <c r="D365" s="4" t="s">
        <v>44</v>
      </c>
      <c r="E365" s="4" t="s">
        <v>52</v>
      </c>
      <c r="F365" s="4" t="s">
        <v>53</v>
      </c>
      <c r="G365" s="4" t="s">
        <v>25</v>
      </c>
      <c r="H365" s="4" t="s">
        <v>25</v>
      </c>
      <c r="I365" s="5">
        <v>44470</v>
      </c>
      <c r="J365" s="6">
        <v>0</v>
      </c>
      <c r="K365" s="6">
        <v>0</v>
      </c>
      <c r="L365" s="6">
        <v>24.475000000000001</v>
      </c>
      <c r="M365" s="6">
        <v>24.475000000000001</v>
      </c>
      <c r="N365" s="6">
        <v>24.475000000000001</v>
      </c>
      <c r="O365" s="6">
        <v>24.475000000000001</v>
      </c>
      <c r="P365" s="6">
        <v>0</v>
      </c>
      <c r="Q365" s="4" t="s">
        <v>26</v>
      </c>
      <c r="R365" s="4">
        <v>0</v>
      </c>
      <c r="S365" s="4">
        <v>0</v>
      </c>
      <c r="T365" s="4">
        <v>29</v>
      </c>
      <c r="U365" s="4">
        <v>66</v>
      </c>
      <c r="V365" s="6">
        <f>IF(ISERROR(VLOOKUP($S$365,'TAR FIN'!$A$1:$O$85,15,0)),0,VLOOKUP($S$365,'TAR FIN'!$A$1:$O$85,15,0))</f>
        <v>0</v>
      </c>
      <c r="W365" s="6">
        <f>IF(ISERROR(VLOOKUP($T$365,'TAR FIN'!$A$1:$O$85,15,0)),0,VLOOKUP($T$365,'TAR FIN'!$A$1:$O$85,15,0))</f>
        <v>285.89</v>
      </c>
      <c r="X365" s="6">
        <f>IF(ISERROR(VLOOKUP($U$365,'TAR FIN'!$A$1:$O$85,15,0)),0,VLOOKUP($U$365,'TAR FIN'!$A$1:$O$85,15,0))</f>
        <v>283.83999999999997</v>
      </c>
      <c r="Y365" s="6"/>
      <c r="Z365" s="6">
        <f ca="1">('TUSD BE'!$AM$33+'TUSD BF'!$AM$33+'TUSD CVA'!$AM$33)*(1-CUSTOS!$M$38)</f>
        <v>408.71492269690788</v>
      </c>
      <c r="AA365" s="6">
        <f>('TE BE'!$AB$23+'TE BF'!$AB$23+'TE CVA'!$AB$23)*(1-CUSTOS!$M$38)</f>
        <v>300.75684149176499</v>
      </c>
      <c r="AB365" s="6">
        <f t="shared" si="24"/>
        <v>0</v>
      </c>
      <c r="AC365" s="6">
        <f>(L365-M365)*(W365+X365)+($W$198+$X$198-$W$365-$X$365)*(L365)</f>
        <v>1901.4627500000029</v>
      </c>
      <c r="AD365" s="6">
        <f t="shared" si="25"/>
        <v>0</v>
      </c>
      <c r="AE365" s="6">
        <f ca="1">(L365-M365)*(Z365+AA365)+($Z$198+$AA$198-$Z$365-$AA$365)*(L365)</f>
        <v>1108.3609422458157</v>
      </c>
      <c r="AF365" s="4" t="s">
        <v>846</v>
      </c>
    </row>
    <row r="366" spans="1:32" ht="11.25" customHeight="1" x14ac:dyDescent="0.25">
      <c r="A366" s="4" t="s">
        <v>21</v>
      </c>
      <c r="B366" s="4" t="s">
        <v>43</v>
      </c>
      <c r="C366" s="4" t="s">
        <v>23</v>
      </c>
      <c r="D366" s="4" t="s">
        <v>44</v>
      </c>
      <c r="E366" s="4" t="s">
        <v>52</v>
      </c>
      <c r="F366" s="4" t="s">
        <v>53</v>
      </c>
      <c r="G366" s="4" t="s">
        <v>25</v>
      </c>
      <c r="H366" s="4" t="s">
        <v>25</v>
      </c>
      <c r="I366" s="5">
        <v>44501</v>
      </c>
      <c r="J366" s="6">
        <v>0</v>
      </c>
      <c r="K366" s="6">
        <v>0</v>
      </c>
      <c r="L366" s="6">
        <v>1158.2470000000001</v>
      </c>
      <c r="M366" s="6">
        <v>1158.2470000000001</v>
      </c>
      <c r="N366" s="6">
        <v>1158.2470000000001</v>
      </c>
      <c r="O366" s="6">
        <v>1158.2470000000001</v>
      </c>
      <c r="P366" s="6">
        <v>0</v>
      </c>
      <c r="Q366" s="4" t="s">
        <v>26</v>
      </c>
      <c r="R366" s="4">
        <v>0</v>
      </c>
      <c r="S366" s="4">
        <v>0</v>
      </c>
      <c r="T366" s="4">
        <v>29</v>
      </c>
      <c r="U366" s="4">
        <v>66</v>
      </c>
      <c r="V366" s="6">
        <f>IF(ISERROR(VLOOKUP($S$366,'TAR FIN'!$A$1:$O$85,15,0)),0,VLOOKUP($S$366,'TAR FIN'!$A$1:$O$85,15,0))</f>
        <v>0</v>
      </c>
      <c r="W366" s="6">
        <f>IF(ISERROR(VLOOKUP($T$366,'TAR FIN'!$A$1:$O$85,15,0)),0,VLOOKUP($T$366,'TAR FIN'!$A$1:$O$85,15,0))</f>
        <v>285.89</v>
      </c>
      <c r="X366" s="6">
        <f>IF(ISERROR(VLOOKUP($U$366,'TAR FIN'!$A$1:$O$85,15,0)),0,VLOOKUP($U$366,'TAR FIN'!$A$1:$O$85,15,0))</f>
        <v>283.83999999999997</v>
      </c>
      <c r="Y366" s="6"/>
      <c r="Z366" s="6">
        <f ca="1">('TUSD BE'!$AM$33+'TUSD BF'!$AM$33+'TUSD CVA'!$AM$33)*(1-CUSTOS!$M$38)</f>
        <v>408.71492269690788</v>
      </c>
      <c r="AA366" s="6">
        <f>('TE BE'!$AB$23+'TE BF'!$AB$23+'TE CVA'!$AB$23)*(1-CUSTOS!$M$38)</f>
        <v>300.75684149176499</v>
      </c>
      <c r="AB366" s="6">
        <f t="shared" si="24"/>
        <v>0</v>
      </c>
      <c r="AC366" s="6">
        <f>(L366-M366)*(W366+X366)+($W$198+$X$198-$W$366-$X$366)*(L366)</f>
        <v>89984.209430000134</v>
      </c>
      <c r="AD366" s="6">
        <f t="shared" si="25"/>
        <v>0</v>
      </c>
      <c r="AE366" s="6">
        <f ca="1">(L366-M366)*(Z366+AA366)+($Z$198+$AA$198-$Z$366-$AA$366)*(L366)</f>
        <v>52451.715475930105</v>
      </c>
      <c r="AF366" s="4" t="s">
        <v>846</v>
      </c>
    </row>
    <row r="367" spans="1:32" ht="11.25" customHeight="1" x14ac:dyDescent="0.25">
      <c r="A367" s="4" t="s">
        <v>27</v>
      </c>
      <c r="B367" s="4" t="s">
        <v>43</v>
      </c>
      <c r="C367" s="4" t="s">
        <v>23</v>
      </c>
      <c r="D367" s="4" t="s">
        <v>44</v>
      </c>
      <c r="E367" s="4" t="s">
        <v>52</v>
      </c>
      <c r="F367" s="4" t="s">
        <v>53</v>
      </c>
      <c r="G367" s="4" t="s">
        <v>25</v>
      </c>
      <c r="H367" s="4" t="s">
        <v>25</v>
      </c>
      <c r="I367" s="5">
        <v>44501</v>
      </c>
      <c r="J367" s="6">
        <v>0</v>
      </c>
      <c r="K367" s="6">
        <v>0</v>
      </c>
      <c r="L367" s="6">
        <v>-5.1230000000000002</v>
      </c>
      <c r="M367" s="6">
        <v>-5.1230000000000002</v>
      </c>
      <c r="N367" s="6">
        <v>-5.1230000000000002</v>
      </c>
      <c r="O367" s="6">
        <v>-5.1230000000000002</v>
      </c>
      <c r="P367" s="6">
        <v>0</v>
      </c>
      <c r="Q367" s="4" t="s">
        <v>26</v>
      </c>
      <c r="R367" s="4">
        <v>0</v>
      </c>
      <c r="S367" s="4">
        <v>0</v>
      </c>
      <c r="T367" s="4">
        <v>29</v>
      </c>
      <c r="U367" s="4">
        <v>66</v>
      </c>
      <c r="V367" s="6">
        <f>IF(ISERROR(VLOOKUP($S$367,'TAR FIN'!$A$1:$O$85,15,0)),0,VLOOKUP($S$367,'TAR FIN'!$A$1:$O$85,15,0))</f>
        <v>0</v>
      </c>
      <c r="W367" s="6">
        <f>IF(ISERROR(VLOOKUP($T$367,'TAR FIN'!$A$1:$O$85,15,0)),0,VLOOKUP($T$367,'TAR FIN'!$A$1:$O$85,15,0))</f>
        <v>285.89</v>
      </c>
      <c r="X367" s="6">
        <f>IF(ISERROR(VLOOKUP($U$367,'TAR FIN'!$A$1:$O$85,15,0)),0,VLOOKUP($U$367,'TAR FIN'!$A$1:$O$85,15,0))</f>
        <v>283.83999999999997</v>
      </c>
      <c r="Y367" s="6"/>
      <c r="Z367" s="6">
        <f ca="1">('TUSD BE'!$AM$33+'TUSD BF'!$AM$33+'TUSD CVA'!$AM$33)*(1-CUSTOS!$M$38)</f>
        <v>408.71492269690788</v>
      </c>
      <c r="AA367" s="6">
        <f>('TE BE'!$AB$23+'TE BF'!$AB$23+'TE CVA'!$AB$23)*(1-CUSTOS!$M$38)</f>
        <v>300.75684149176499</v>
      </c>
      <c r="AB367" s="6">
        <f t="shared" si="24"/>
        <v>0</v>
      </c>
      <c r="AC367" s="6">
        <f>(L367-M367)*(W367+X367)+($W$198+$X$198-$W$367-$X$367)*(L367)</f>
        <v>-398.00587000000058</v>
      </c>
      <c r="AD367" s="6">
        <f t="shared" si="25"/>
        <v>0</v>
      </c>
      <c r="AE367" s="6">
        <f ca="1">(L367-M367)*(Z367+AA367)+($Z$198+$AA$198-$Z$367-$AA$367)*(L367)</f>
        <v>-231.99726688969616</v>
      </c>
      <c r="AF367" s="4" t="s">
        <v>846</v>
      </c>
    </row>
    <row r="368" spans="1:32" ht="11.25" customHeight="1" x14ac:dyDescent="0.25">
      <c r="A368" s="4" t="s">
        <v>28</v>
      </c>
      <c r="B368" s="4" t="s">
        <v>43</v>
      </c>
      <c r="C368" s="4" t="s">
        <v>23</v>
      </c>
      <c r="D368" s="4" t="s">
        <v>44</v>
      </c>
      <c r="E368" s="4" t="s">
        <v>52</v>
      </c>
      <c r="F368" s="4" t="s">
        <v>53</v>
      </c>
      <c r="G368" s="4" t="s">
        <v>25</v>
      </c>
      <c r="H368" s="4" t="s">
        <v>25</v>
      </c>
      <c r="I368" s="5">
        <v>44501</v>
      </c>
      <c r="J368" s="6">
        <v>0</v>
      </c>
      <c r="K368" s="6">
        <v>0</v>
      </c>
      <c r="L368" s="6">
        <v>4.3579999999999997</v>
      </c>
      <c r="M368" s="6">
        <v>4.3579999999999997</v>
      </c>
      <c r="N368" s="6">
        <v>4.3579999999999997</v>
      </c>
      <c r="O368" s="6">
        <v>4.3579999999999997</v>
      </c>
      <c r="P368" s="6">
        <v>0</v>
      </c>
      <c r="Q368" s="4" t="s">
        <v>26</v>
      </c>
      <c r="R368" s="4">
        <v>0</v>
      </c>
      <c r="S368" s="4">
        <v>0</v>
      </c>
      <c r="T368" s="4">
        <v>29</v>
      </c>
      <c r="U368" s="4">
        <v>66</v>
      </c>
      <c r="V368" s="6">
        <f>IF(ISERROR(VLOOKUP($S$368,'TAR FIN'!$A$1:$O$85,15,0)),0,VLOOKUP($S$368,'TAR FIN'!$A$1:$O$85,15,0))</f>
        <v>0</v>
      </c>
      <c r="W368" s="6">
        <f>IF(ISERROR(VLOOKUP($T$368,'TAR FIN'!$A$1:$O$85,15,0)),0,VLOOKUP($T$368,'TAR FIN'!$A$1:$O$85,15,0))</f>
        <v>285.89</v>
      </c>
      <c r="X368" s="6">
        <f>IF(ISERROR(VLOOKUP($U$368,'TAR FIN'!$A$1:$O$85,15,0)),0,VLOOKUP($U$368,'TAR FIN'!$A$1:$O$85,15,0))</f>
        <v>283.83999999999997</v>
      </c>
      <c r="Y368" s="6"/>
      <c r="Z368" s="6">
        <f ca="1">('TUSD BE'!$AM$33+'TUSD BF'!$AM$33+'TUSD CVA'!$AM$33)*(1-CUSTOS!$M$38)</f>
        <v>408.71492269690788</v>
      </c>
      <c r="AA368" s="6">
        <f>('TE BE'!$AB$23+'TE BF'!$AB$23+'TE CVA'!$AB$23)*(1-CUSTOS!$M$38)</f>
        <v>300.75684149176499</v>
      </c>
      <c r="AB368" s="6">
        <f t="shared" si="24"/>
        <v>0</v>
      </c>
      <c r="AC368" s="6">
        <f>(L368-M368)*(W368+X368)+($W$198+$X$198-$W$368-$X$368)*(L368)</f>
        <v>338.57302000000044</v>
      </c>
      <c r="AD368" s="6">
        <f t="shared" si="25"/>
        <v>0</v>
      </c>
      <c r="AE368" s="6">
        <f ca="1">(L368-M368)*(Z368+AA368)+($Z$198+$AA$198-$Z$368-$AA$368)*(L368)</f>
        <v>197.3539115958024</v>
      </c>
      <c r="AF368" s="4" t="s">
        <v>846</v>
      </c>
    </row>
    <row r="369" spans="1:32" ht="11.25" customHeight="1" x14ac:dyDescent="0.25">
      <c r="A369" s="4" t="s">
        <v>21</v>
      </c>
      <c r="B369" s="4" t="s">
        <v>43</v>
      </c>
      <c r="C369" s="4" t="s">
        <v>23</v>
      </c>
      <c r="D369" s="4" t="s">
        <v>44</v>
      </c>
      <c r="E369" s="4" t="s">
        <v>52</v>
      </c>
      <c r="F369" s="4" t="s">
        <v>53</v>
      </c>
      <c r="G369" s="4" t="s">
        <v>25</v>
      </c>
      <c r="H369" s="4" t="s">
        <v>25</v>
      </c>
      <c r="I369" s="5">
        <v>44531</v>
      </c>
      <c r="J369" s="6">
        <v>0</v>
      </c>
      <c r="K369" s="6">
        <v>0</v>
      </c>
      <c r="L369" s="6">
        <v>855.24</v>
      </c>
      <c r="M369" s="6">
        <v>855.24</v>
      </c>
      <c r="N369" s="6">
        <v>855.24</v>
      </c>
      <c r="O369" s="6">
        <v>855.24</v>
      </c>
      <c r="P369" s="6">
        <v>0</v>
      </c>
      <c r="Q369" s="4" t="s">
        <v>26</v>
      </c>
      <c r="R369" s="4">
        <v>0</v>
      </c>
      <c r="S369" s="4">
        <v>0</v>
      </c>
      <c r="T369" s="4">
        <v>29</v>
      </c>
      <c r="U369" s="4">
        <v>66</v>
      </c>
      <c r="V369" s="6">
        <f>IF(ISERROR(VLOOKUP($S$369,'TAR FIN'!$A$1:$O$85,15,0)),0,VLOOKUP($S$369,'TAR FIN'!$A$1:$O$85,15,0))</f>
        <v>0</v>
      </c>
      <c r="W369" s="6">
        <f>IF(ISERROR(VLOOKUP($T$369,'TAR FIN'!$A$1:$O$85,15,0)),0,VLOOKUP($T$369,'TAR FIN'!$A$1:$O$85,15,0))</f>
        <v>285.89</v>
      </c>
      <c r="X369" s="6">
        <f>IF(ISERROR(VLOOKUP($U$369,'TAR FIN'!$A$1:$O$85,15,0)),0,VLOOKUP($U$369,'TAR FIN'!$A$1:$O$85,15,0))</f>
        <v>283.83999999999997</v>
      </c>
      <c r="Y369" s="6"/>
      <c r="Z369" s="6">
        <f ca="1">('TUSD BE'!$AM$33+'TUSD BF'!$AM$33+'TUSD CVA'!$AM$33)*(1-CUSTOS!$M$38)</f>
        <v>408.71492269690788</v>
      </c>
      <c r="AA369" s="6">
        <f>('TE BE'!$AB$23+'TE BF'!$AB$23+'TE CVA'!$AB$23)*(1-CUSTOS!$M$38)</f>
        <v>300.75684149176499</v>
      </c>
      <c r="AB369" s="6">
        <f t="shared" si="24"/>
        <v>0</v>
      </c>
      <c r="AC369" s="6">
        <f>(L369-M369)*(W369+X369)+($W$198+$X$198-$W$369-$X$369)*(L369)</f>
        <v>66443.595600000102</v>
      </c>
      <c r="AD369" s="6">
        <f t="shared" si="25"/>
        <v>0</v>
      </c>
      <c r="AE369" s="6">
        <f ca="1">(L369-M369)*(Z369+AA369)+($Z$198+$AA$198-$Z$369-$AA$369)*(L369)</f>
        <v>38729.912655620486</v>
      </c>
      <c r="AF369" s="4" t="s">
        <v>846</v>
      </c>
    </row>
    <row r="370" spans="1:32" ht="11.25" customHeight="1" x14ac:dyDescent="0.25">
      <c r="A370" s="4" t="s">
        <v>27</v>
      </c>
      <c r="B370" s="4" t="s">
        <v>43</v>
      </c>
      <c r="C370" s="4" t="s">
        <v>23</v>
      </c>
      <c r="D370" s="4" t="s">
        <v>44</v>
      </c>
      <c r="E370" s="4" t="s">
        <v>52</v>
      </c>
      <c r="F370" s="4" t="s">
        <v>53</v>
      </c>
      <c r="G370" s="4" t="s">
        <v>25</v>
      </c>
      <c r="H370" s="4" t="s">
        <v>25</v>
      </c>
      <c r="I370" s="5">
        <v>44531</v>
      </c>
      <c r="J370" s="6">
        <v>0</v>
      </c>
      <c r="K370" s="6">
        <v>0</v>
      </c>
      <c r="L370" s="6">
        <v>-4.3449999999999998</v>
      </c>
      <c r="M370" s="6">
        <v>-4.3449999999999998</v>
      </c>
      <c r="N370" s="6">
        <v>-4.3449999999999998</v>
      </c>
      <c r="O370" s="6">
        <v>-4.3449999999999998</v>
      </c>
      <c r="P370" s="6">
        <v>0</v>
      </c>
      <c r="Q370" s="4" t="s">
        <v>26</v>
      </c>
      <c r="R370" s="4">
        <v>0</v>
      </c>
      <c r="S370" s="4">
        <v>0</v>
      </c>
      <c r="T370" s="4">
        <v>29</v>
      </c>
      <c r="U370" s="4">
        <v>66</v>
      </c>
      <c r="V370" s="6">
        <f>IF(ISERROR(VLOOKUP($S$370,'TAR FIN'!$A$1:$O$85,15,0)),0,VLOOKUP($S$370,'TAR FIN'!$A$1:$O$85,15,0))</f>
        <v>0</v>
      </c>
      <c r="W370" s="6">
        <f>IF(ISERROR(VLOOKUP($T$370,'TAR FIN'!$A$1:$O$85,15,0)),0,VLOOKUP($T$370,'TAR FIN'!$A$1:$O$85,15,0))</f>
        <v>285.89</v>
      </c>
      <c r="X370" s="6">
        <f>IF(ISERROR(VLOOKUP($U$370,'TAR FIN'!$A$1:$O$85,15,0)),0,VLOOKUP($U$370,'TAR FIN'!$A$1:$O$85,15,0))</f>
        <v>283.83999999999997</v>
      </c>
      <c r="Y370" s="6"/>
      <c r="Z370" s="6">
        <f ca="1">('TUSD BE'!$AM$33+'TUSD BF'!$AM$33+'TUSD CVA'!$AM$33)*(1-CUSTOS!$M$38)</f>
        <v>408.71492269690788</v>
      </c>
      <c r="AA370" s="6">
        <f>('TE BE'!$AB$23+'TE BF'!$AB$23+'TE CVA'!$AB$23)*(1-CUSTOS!$M$38)</f>
        <v>300.75684149176499</v>
      </c>
      <c r="AB370" s="6">
        <f t="shared" si="24"/>
        <v>0</v>
      </c>
      <c r="AC370" s="6">
        <f>(L370-M370)*(W370+X370)+($W$198+$X$198-$W$370-$X$370)*(L370)</f>
        <v>-337.56305000000049</v>
      </c>
      <c r="AD370" s="6">
        <f t="shared" si="25"/>
        <v>0</v>
      </c>
      <c r="AE370" s="6">
        <f ca="1">(L370-M370)*(Z370+AA370)+($Z$198+$AA$198-$Z$370-$AA$370)*(L370)</f>
        <v>-196.76520098296501</v>
      </c>
      <c r="AF370" s="4" t="s">
        <v>846</v>
      </c>
    </row>
    <row r="371" spans="1:32" ht="11.25" customHeight="1" x14ac:dyDescent="0.25">
      <c r="A371" s="4" t="s">
        <v>28</v>
      </c>
      <c r="B371" s="4" t="s">
        <v>43</v>
      </c>
      <c r="C371" s="4" t="s">
        <v>23</v>
      </c>
      <c r="D371" s="4" t="s">
        <v>44</v>
      </c>
      <c r="E371" s="4" t="s">
        <v>52</v>
      </c>
      <c r="F371" s="4" t="s">
        <v>53</v>
      </c>
      <c r="G371" s="4" t="s">
        <v>25</v>
      </c>
      <c r="H371" s="4" t="s">
        <v>25</v>
      </c>
      <c r="I371" s="5">
        <v>44531</v>
      </c>
      <c r="J371" s="6">
        <v>0</v>
      </c>
      <c r="K371" s="6">
        <v>0</v>
      </c>
      <c r="L371" s="6">
        <v>4.9770000000000003</v>
      </c>
      <c r="M371" s="6">
        <v>4.9770000000000003</v>
      </c>
      <c r="N371" s="6">
        <v>4.9770000000000003</v>
      </c>
      <c r="O371" s="6">
        <v>4.9770000000000003</v>
      </c>
      <c r="P371" s="6">
        <v>0</v>
      </c>
      <c r="Q371" s="4" t="s">
        <v>26</v>
      </c>
      <c r="R371" s="4">
        <v>0</v>
      </c>
      <c r="S371" s="4">
        <v>0</v>
      </c>
      <c r="T371" s="4">
        <v>29</v>
      </c>
      <c r="U371" s="4">
        <v>66</v>
      </c>
      <c r="V371" s="6">
        <f>IF(ISERROR(VLOOKUP($S$371,'TAR FIN'!$A$1:$O$85,15,0)),0,VLOOKUP($S$371,'TAR FIN'!$A$1:$O$85,15,0))</f>
        <v>0</v>
      </c>
      <c r="W371" s="6">
        <f>IF(ISERROR(VLOOKUP($T$371,'TAR FIN'!$A$1:$O$85,15,0)),0,VLOOKUP($T$371,'TAR FIN'!$A$1:$O$85,15,0))</f>
        <v>285.89</v>
      </c>
      <c r="X371" s="6">
        <f>IF(ISERROR(VLOOKUP($U$371,'TAR FIN'!$A$1:$O$85,15,0)),0,VLOOKUP($U$371,'TAR FIN'!$A$1:$O$85,15,0))</f>
        <v>283.83999999999997</v>
      </c>
      <c r="Y371" s="6"/>
      <c r="Z371" s="6">
        <f ca="1">('TUSD BE'!$AM$33+'TUSD BF'!$AM$33+'TUSD CVA'!$AM$33)*(1-CUSTOS!$M$38)</f>
        <v>408.71492269690788</v>
      </c>
      <c r="AA371" s="6">
        <f>('TE BE'!$AB$23+'TE BF'!$AB$23+'TE CVA'!$AB$23)*(1-CUSTOS!$M$38)</f>
        <v>300.75684149176499</v>
      </c>
      <c r="AB371" s="6">
        <f t="shared" si="24"/>
        <v>0</v>
      </c>
      <c r="AC371" s="6">
        <f>(L371-M371)*(W371+X371)+($W$198+$X$198-$W$371-$X$371)*(L371)</f>
        <v>386.66313000000059</v>
      </c>
      <c r="AD371" s="6">
        <f t="shared" si="25"/>
        <v>0</v>
      </c>
      <c r="AE371" s="6">
        <f ca="1">(L371-M371)*(Z371+AA371)+($Z$198+$AA$198-$Z$371-$AA$371)*(L371)</f>
        <v>225.38559385321449</v>
      </c>
      <c r="AF371" s="4" t="s">
        <v>846</v>
      </c>
    </row>
    <row r="372" spans="1:32" ht="11.25" customHeight="1" x14ac:dyDescent="0.25">
      <c r="A372" s="4" t="s">
        <v>21</v>
      </c>
      <c r="B372" s="4" t="s">
        <v>43</v>
      </c>
      <c r="C372" s="4" t="s">
        <v>23</v>
      </c>
      <c r="D372" s="4" t="s">
        <v>44</v>
      </c>
      <c r="E372" s="4" t="s">
        <v>52</v>
      </c>
      <c r="F372" s="4" t="s">
        <v>53</v>
      </c>
      <c r="G372" s="4" t="s">
        <v>25</v>
      </c>
      <c r="H372" s="4" t="s">
        <v>25</v>
      </c>
      <c r="I372" s="5">
        <v>44562</v>
      </c>
      <c r="J372" s="6">
        <v>0</v>
      </c>
      <c r="K372" s="6">
        <v>0</v>
      </c>
      <c r="L372" s="6">
        <v>866.11800000000005</v>
      </c>
      <c r="M372" s="6">
        <v>866.11800000000005</v>
      </c>
      <c r="N372" s="6">
        <v>866.11800000000005</v>
      </c>
      <c r="O372" s="6">
        <v>866.11800000000005</v>
      </c>
      <c r="P372" s="6">
        <v>0</v>
      </c>
      <c r="Q372" s="4" t="s">
        <v>26</v>
      </c>
      <c r="R372" s="4">
        <v>0</v>
      </c>
      <c r="S372" s="4">
        <v>0</v>
      </c>
      <c r="T372" s="4">
        <v>29</v>
      </c>
      <c r="U372" s="4">
        <v>66</v>
      </c>
      <c r="V372" s="6">
        <f>IF(ISERROR(VLOOKUP($S$372,'TAR FIN'!$A$1:$O$85,15,0)),0,VLOOKUP($S$372,'TAR FIN'!$A$1:$O$85,15,0))</f>
        <v>0</v>
      </c>
      <c r="W372" s="6">
        <f>IF(ISERROR(VLOOKUP($T$372,'TAR FIN'!$A$1:$O$85,15,0)),0,VLOOKUP($T$372,'TAR FIN'!$A$1:$O$85,15,0))</f>
        <v>285.89</v>
      </c>
      <c r="X372" s="6">
        <f>IF(ISERROR(VLOOKUP($U$372,'TAR FIN'!$A$1:$O$85,15,0)),0,VLOOKUP($U$372,'TAR FIN'!$A$1:$O$85,15,0))</f>
        <v>283.83999999999997</v>
      </c>
      <c r="Y372" s="6"/>
      <c r="Z372" s="6">
        <f ca="1">('TUSD BE'!$AM$33+'TUSD BF'!$AM$33+'TUSD CVA'!$AM$33)*(1-CUSTOS!$M$38)</f>
        <v>408.71492269690788</v>
      </c>
      <c r="AA372" s="6">
        <f>('TE BE'!$AB$23+'TE BF'!$AB$23+'TE CVA'!$AB$23)*(1-CUSTOS!$M$38)</f>
        <v>300.75684149176499</v>
      </c>
      <c r="AB372" s="6">
        <f t="shared" si="24"/>
        <v>0</v>
      </c>
      <c r="AC372" s="6">
        <f>(L372-M372)*(W372+X372)+($W$198+$X$198-$W$372-$X$372)*(L372)</f>
        <v>67288.707420000093</v>
      </c>
      <c r="AD372" s="6">
        <f t="shared" si="25"/>
        <v>0</v>
      </c>
      <c r="AE372" s="6">
        <f ca="1">(L372-M372)*(Z372+AA372)+($Z$198+$AA$198-$Z$372-$AA$372)*(L372)</f>
        <v>39222.52758227013</v>
      </c>
      <c r="AF372" s="4" t="s">
        <v>846</v>
      </c>
    </row>
    <row r="373" spans="1:32" ht="11.25" customHeight="1" x14ac:dyDescent="0.25">
      <c r="A373" s="4" t="s">
        <v>27</v>
      </c>
      <c r="B373" s="4" t="s">
        <v>43</v>
      </c>
      <c r="C373" s="4" t="s">
        <v>23</v>
      </c>
      <c r="D373" s="4" t="s">
        <v>44</v>
      </c>
      <c r="E373" s="4" t="s">
        <v>52</v>
      </c>
      <c r="F373" s="4" t="s">
        <v>53</v>
      </c>
      <c r="G373" s="4" t="s">
        <v>25</v>
      </c>
      <c r="H373" s="4" t="s">
        <v>25</v>
      </c>
      <c r="I373" s="5">
        <v>44562</v>
      </c>
      <c r="J373" s="6">
        <v>0</v>
      </c>
      <c r="K373" s="6">
        <v>0</v>
      </c>
      <c r="L373" s="6">
        <v>-9.0739999999999998</v>
      </c>
      <c r="M373" s="6">
        <v>-9.0739999999999998</v>
      </c>
      <c r="N373" s="6">
        <v>-9.0739999999999998</v>
      </c>
      <c r="O373" s="6">
        <v>-9.0739999999999998</v>
      </c>
      <c r="P373" s="6">
        <v>0</v>
      </c>
      <c r="Q373" s="4" t="s">
        <v>26</v>
      </c>
      <c r="R373" s="4">
        <v>0</v>
      </c>
      <c r="S373" s="4">
        <v>0</v>
      </c>
      <c r="T373" s="4">
        <v>29</v>
      </c>
      <c r="U373" s="4">
        <v>66</v>
      </c>
      <c r="V373" s="6">
        <f>IF(ISERROR(VLOOKUP($S$373,'TAR FIN'!$A$1:$O$85,15,0)),0,VLOOKUP($S$373,'TAR FIN'!$A$1:$O$85,15,0))</f>
        <v>0</v>
      </c>
      <c r="W373" s="6">
        <f>IF(ISERROR(VLOOKUP($T$373,'TAR FIN'!$A$1:$O$85,15,0)),0,VLOOKUP($T$373,'TAR FIN'!$A$1:$O$85,15,0))</f>
        <v>285.89</v>
      </c>
      <c r="X373" s="6">
        <f>IF(ISERROR(VLOOKUP($U$373,'TAR FIN'!$A$1:$O$85,15,0)),0,VLOOKUP($U$373,'TAR FIN'!$A$1:$O$85,15,0))</f>
        <v>283.83999999999997</v>
      </c>
      <c r="Y373" s="6"/>
      <c r="Z373" s="6">
        <f ca="1">('TUSD BE'!$AM$33+'TUSD BF'!$AM$33+'TUSD CVA'!$AM$33)*(1-CUSTOS!$M$38)</f>
        <v>408.71492269690788</v>
      </c>
      <c r="AA373" s="6">
        <f>('TE BE'!$AB$23+'TE BF'!$AB$23+'TE CVA'!$AB$23)*(1-CUSTOS!$M$38)</f>
        <v>300.75684149176499</v>
      </c>
      <c r="AB373" s="6">
        <f t="shared" si="24"/>
        <v>0</v>
      </c>
      <c r="AC373" s="6">
        <f>(L373-M373)*(W373+X373)+($W$198+$X$198-$W$373-$X$373)*(L373)</f>
        <v>-704.95906000000105</v>
      </c>
      <c r="AD373" s="6">
        <f t="shared" si="25"/>
        <v>0</v>
      </c>
      <c r="AE373" s="6">
        <f ca="1">(L373-M373)*(Z373+AA373)+($Z$198+$AA$198-$Z$373-$AA$373)*(L373)</f>
        <v>-410.92000776051196</v>
      </c>
      <c r="AF373" s="4" t="s">
        <v>846</v>
      </c>
    </row>
    <row r="374" spans="1:32" ht="11.25" customHeight="1" x14ac:dyDescent="0.25">
      <c r="A374" s="4" t="s">
        <v>28</v>
      </c>
      <c r="B374" s="4" t="s">
        <v>43</v>
      </c>
      <c r="C374" s="4" t="s">
        <v>23</v>
      </c>
      <c r="D374" s="4" t="s">
        <v>44</v>
      </c>
      <c r="E374" s="4" t="s">
        <v>52</v>
      </c>
      <c r="F374" s="4" t="s">
        <v>53</v>
      </c>
      <c r="G374" s="4" t="s">
        <v>25</v>
      </c>
      <c r="H374" s="4" t="s">
        <v>25</v>
      </c>
      <c r="I374" s="5">
        <v>44562</v>
      </c>
      <c r="J374" s="6">
        <v>0</v>
      </c>
      <c r="K374" s="6">
        <v>0</v>
      </c>
      <c r="L374" s="6">
        <v>5.968</v>
      </c>
      <c r="M374" s="6">
        <v>5.968</v>
      </c>
      <c r="N374" s="6">
        <v>5.968</v>
      </c>
      <c r="O374" s="6">
        <v>5.968</v>
      </c>
      <c r="P374" s="6">
        <v>0</v>
      </c>
      <c r="Q374" s="4" t="s">
        <v>26</v>
      </c>
      <c r="R374" s="4">
        <v>0</v>
      </c>
      <c r="S374" s="4">
        <v>0</v>
      </c>
      <c r="T374" s="4">
        <v>29</v>
      </c>
      <c r="U374" s="4">
        <v>66</v>
      </c>
      <c r="V374" s="6">
        <f>IF(ISERROR(VLOOKUP($S$374,'TAR FIN'!$A$1:$O$85,15,0)),0,VLOOKUP($S$374,'TAR FIN'!$A$1:$O$85,15,0))</f>
        <v>0</v>
      </c>
      <c r="W374" s="6">
        <f>IF(ISERROR(VLOOKUP($T$374,'TAR FIN'!$A$1:$O$85,15,0)),0,VLOOKUP($T$374,'TAR FIN'!$A$1:$O$85,15,0))</f>
        <v>285.89</v>
      </c>
      <c r="X374" s="6">
        <f>IF(ISERROR(VLOOKUP($U$374,'TAR FIN'!$A$1:$O$85,15,0)),0,VLOOKUP($U$374,'TAR FIN'!$A$1:$O$85,15,0))</f>
        <v>283.83999999999997</v>
      </c>
      <c r="Y374" s="6"/>
      <c r="Z374" s="6">
        <f ca="1">('TUSD BE'!$AM$33+'TUSD BF'!$AM$33+'TUSD CVA'!$AM$33)*(1-CUSTOS!$M$38)</f>
        <v>408.71492269690788</v>
      </c>
      <c r="AA374" s="6">
        <f>('TE BE'!$AB$23+'TE BF'!$AB$23+'TE CVA'!$AB$23)*(1-CUSTOS!$M$38)</f>
        <v>300.75684149176499</v>
      </c>
      <c r="AB374" s="6">
        <f t="shared" si="24"/>
        <v>0</v>
      </c>
      <c r="AC374" s="6">
        <f>(L374-M374)*(W374+X374)+($W$198+$X$198-$W$374-$X$374)*(L374)</f>
        <v>463.65392000000065</v>
      </c>
      <c r="AD374" s="6">
        <f t="shared" si="25"/>
        <v>0</v>
      </c>
      <c r="AE374" s="6">
        <f ca="1">(L374-M374)*(Z374+AA374)+($Z$198+$AA$198-$Z$374-$AA$374)*(L374)</f>
        <v>270.26345672412776</v>
      </c>
      <c r="AF374" s="4" t="s">
        <v>846</v>
      </c>
    </row>
    <row r="375" spans="1:32" ht="11.25" customHeight="1" x14ac:dyDescent="0.25">
      <c r="A375" s="4" t="s">
        <v>21</v>
      </c>
      <c r="B375" s="4" t="s">
        <v>43</v>
      </c>
      <c r="C375" s="4" t="s">
        <v>23</v>
      </c>
      <c r="D375" s="4" t="s">
        <v>44</v>
      </c>
      <c r="E375" s="4" t="s">
        <v>52</v>
      </c>
      <c r="F375" s="4" t="s">
        <v>53</v>
      </c>
      <c r="G375" s="4" t="s">
        <v>25</v>
      </c>
      <c r="H375" s="4" t="s">
        <v>25</v>
      </c>
      <c r="I375" s="5">
        <v>44593</v>
      </c>
      <c r="J375" s="6">
        <v>0</v>
      </c>
      <c r="K375" s="6">
        <v>0</v>
      </c>
      <c r="L375" s="6">
        <v>1470.595</v>
      </c>
      <c r="M375" s="6">
        <v>1470.595</v>
      </c>
      <c r="N375" s="6">
        <v>1470.595</v>
      </c>
      <c r="O375" s="6">
        <v>1470.595</v>
      </c>
      <c r="P375" s="6">
        <v>0</v>
      </c>
      <c r="Q375" s="4" t="s">
        <v>26</v>
      </c>
      <c r="R375" s="4">
        <v>0</v>
      </c>
      <c r="S375" s="4">
        <v>0</v>
      </c>
      <c r="T375" s="4">
        <v>29</v>
      </c>
      <c r="U375" s="4">
        <v>66</v>
      </c>
      <c r="V375" s="6">
        <f>IF(ISERROR(VLOOKUP($S$375,'TAR FIN'!$A$1:$O$85,15,0)),0,VLOOKUP($S$375,'TAR FIN'!$A$1:$O$85,15,0))</f>
        <v>0</v>
      </c>
      <c r="W375" s="6">
        <f>IF(ISERROR(VLOOKUP($T$375,'TAR FIN'!$A$1:$O$85,15,0)),0,VLOOKUP($T$375,'TAR FIN'!$A$1:$O$85,15,0))</f>
        <v>285.89</v>
      </c>
      <c r="X375" s="6">
        <f>IF(ISERROR(VLOOKUP($U$375,'TAR FIN'!$A$1:$O$85,15,0)),0,VLOOKUP($U$375,'TAR FIN'!$A$1:$O$85,15,0))</f>
        <v>283.83999999999997</v>
      </c>
      <c r="Y375" s="6"/>
      <c r="Z375" s="6">
        <f ca="1">('TUSD BE'!$AM$33+'TUSD BF'!$AM$33+'TUSD CVA'!$AM$33)*(1-CUSTOS!$M$38)</f>
        <v>408.71492269690788</v>
      </c>
      <c r="AA375" s="6">
        <f>('TE BE'!$AB$23+'TE BF'!$AB$23+'TE CVA'!$AB$23)*(1-CUSTOS!$M$38)</f>
        <v>300.75684149176499</v>
      </c>
      <c r="AB375" s="6">
        <f t="shared" si="24"/>
        <v>0</v>
      </c>
      <c r="AC375" s="6">
        <f>(L375-M375)*(W375+X375)+($W$198+$X$198-$W$375-$X$375)*(L375)</f>
        <v>114250.52555000017</v>
      </c>
      <c r="AD375" s="6">
        <f t="shared" si="25"/>
        <v>0</v>
      </c>
      <c r="AE375" s="6">
        <f ca="1">(L375-M375)*(Z375+AA375)+($Z$198+$AA$198-$Z$375-$AA$375)*(L375)</f>
        <v>66596.529514279275</v>
      </c>
      <c r="AF375" s="4" t="s">
        <v>846</v>
      </c>
    </row>
    <row r="376" spans="1:32" ht="11.25" customHeight="1" x14ac:dyDescent="0.25">
      <c r="A376" s="4" t="s">
        <v>27</v>
      </c>
      <c r="B376" s="4" t="s">
        <v>43</v>
      </c>
      <c r="C376" s="4" t="s">
        <v>23</v>
      </c>
      <c r="D376" s="4" t="s">
        <v>44</v>
      </c>
      <c r="E376" s="4" t="s">
        <v>52</v>
      </c>
      <c r="F376" s="4" t="s">
        <v>53</v>
      </c>
      <c r="G376" s="4" t="s">
        <v>25</v>
      </c>
      <c r="H376" s="4" t="s">
        <v>25</v>
      </c>
      <c r="I376" s="5">
        <v>44593</v>
      </c>
      <c r="J376" s="6">
        <v>0</v>
      </c>
      <c r="K376" s="6">
        <v>0</v>
      </c>
      <c r="L376" s="6">
        <v>-8.4079999999999995</v>
      </c>
      <c r="M376" s="6">
        <v>-8.4079999999999995</v>
      </c>
      <c r="N376" s="6">
        <v>-8.4079999999999995</v>
      </c>
      <c r="O376" s="6">
        <v>-8.4079999999999995</v>
      </c>
      <c r="P376" s="6">
        <v>0</v>
      </c>
      <c r="Q376" s="4" t="s">
        <v>26</v>
      </c>
      <c r="R376" s="4">
        <v>0</v>
      </c>
      <c r="S376" s="4">
        <v>0</v>
      </c>
      <c r="T376" s="4">
        <v>29</v>
      </c>
      <c r="U376" s="4">
        <v>66</v>
      </c>
      <c r="V376" s="6">
        <f>IF(ISERROR(VLOOKUP($S$376,'TAR FIN'!$A$1:$O$85,15,0)),0,VLOOKUP($S$376,'TAR FIN'!$A$1:$O$85,15,0))</f>
        <v>0</v>
      </c>
      <c r="W376" s="6">
        <f>IF(ISERROR(VLOOKUP($T$376,'TAR FIN'!$A$1:$O$85,15,0)),0,VLOOKUP($T$376,'TAR FIN'!$A$1:$O$85,15,0))</f>
        <v>285.89</v>
      </c>
      <c r="X376" s="6">
        <f>IF(ISERROR(VLOOKUP($U$376,'TAR FIN'!$A$1:$O$85,15,0)),0,VLOOKUP($U$376,'TAR FIN'!$A$1:$O$85,15,0))</f>
        <v>283.83999999999997</v>
      </c>
      <c r="Y376" s="6"/>
      <c r="Z376" s="6">
        <f ca="1">('TUSD BE'!$AM$33+'TUSD BF'!$AM$33+'TUSD CVA'!$AM$33)*(1-CUSTOS!$M$38)</f>
        <v>408.71492269690788</v>
      </c>
      <c r="AA376" s="6">
        <f>('TE BE'!$AB$23+'TE BF'!$AB$23+'TE CVA'!$AB$23)*(1-CUSTOS!$M$38)</f>
        <v>300.75684149176499</v>
      </c>
      <c r="AB376" s="6">
        <f t="shared" si="24"/>
        <v>0</v>
      </c>
      <c r="AC376" s="6">
        <f>(L376-M376)*(W376+X376)+($W$198+$X$198-$W$376-$X$376)*(L376)</f>
        <v>-653.21752000000095</v>
      </c>
      <c r="AD376" s="6">
        <f t="shared" si="25"/>
        <v>0</v>
      </c>
      <c r="AE376" s="6">
        <f ca="1">(L376-M376)*(Z376+AA376)+($Z$198+$AA$198-$Z$376-$AA$376)*(L376)</f>
        <v>-380.75991021053392</v>
      </c>
      <c r="AF376" s="4" t="s">
        <v>846</v>
      </c>
    </row>
    <row r="377" spans="1:32" ht="11.25" customHeight="1" x14ac:dyDescent="0.25">
      <c r="A377" s="4" t="s">
        <v>28</v>
      </c>
      <c r="B377" s="4" t="s">
        <v>43</v>
      </c>
      <c r="C377" s="4" t="s">
        <v>23</v>
      </c>
      <c r="D377" s="4" t="s">
        <v>44</v>
      </c>
      <c r="E377" s="4" t="s">
        <v>52</v>
      </c>
      <c r="F377" s="4" t="s">
        <v>53</v>
      </c>
      <c r="G377" s="4" t="s">
        <v>25</v>
      </c>
      <c r="H377" s="4" t="s">
        <v>25</v>
      </c>
      <c r="I377" s="5">
        <v>44593</v>
      </c>
      <c r="J377" s="6">
        <v>0</v>
      </c>
      <c r="K377" s="6">
        <v>0</v>
      </c>
      <c r="L377" s="6">
        <v>7.8650000000000002</v>
      </c>
      <c r="M377" s="6">
        <v>7.8650000000000002</v>
      </c>
      <c r="N377" s="6">
        <v>7.8650000000000002</v>
      </c>
      <c r="O377" s="6">
        <v>7.8650000000000002</v>
      </c>
      <c r="P377" s="6">
        <v>0</v>
      </c>
      <c r="Q377" s="4" t="s">
        <v>26</v>
      </c>
      <c r="R377" s="4">
        <v>0</v>
      </c>
      <c r="S377" s="4">
        <v>0</v>
      </c>
      <c r="T377" s="4">
        <v>29</v>
      </c>
      <c r="U377" s="4">
        <v>66</v>
      </c>
      <c r="V377" s="6">
        <f>IF(ISERROR(VLOOKUP($S$377,'TAR FIN'!$A$1:$O$85,15,0)),0,VLOOKUP($S$377,'TAR FIN'!$A$1:$O$85,15,0))</f>
        <v>0</v>
      </c>
      <c r="W377" s="6">
        <f>IF(ISERROR(VLOOKUP($T$377,'TAR FIN'!$A$1:$O$85,15,0)),0,VLOOKUP($T$377,'TAR FIN'!$A$1:$O$85,15,0))</f>
        <v>285.89</v>
      </c>
      <c r="X377" s="6">
        <f>IF(ISERROR(VLOOKUP($U$377,'TAR FIN'!$A$1:$O$85,15,0)),0,VLOOKUP($U$377,'TAR FIN'!$A$1:$O$85,15,0))</f>
        <v>283.83999999999997</v>
      </c>
      <c r="Y377" s="6"/>
      <c r="Z377" s="6">
        <f ca="1">('TUSD BE'!$AM$33+'TUSD BF'!$AM$33+'TUSD CVA'!$AM$33)*(1-CUSTOS!$M$38)</f>
        <v>408.71492269690788</v>
      </c>
      <c r="AA377" s="6">
        <f>('TE BE'!$AB$23+'TE BF'!$AB$23+'TE CVA'!$AB$23)*(1-CUSTOS!$M$38)</f>
        <v>300.75684149176499</v>
      </c>
      <c r="AB377" s="6">
        <f t="shared" si="24"/>
        <v>0</v>
      </c>
      <c r="AC377" s="6">
        <f>(L377-M377)*(W377+X377)+($W$198+$X$198-$W$377-$X$377)*(L377)</f>
        <v>611.03185000000087</v>
      </c>
      <c r="AD377" s="6">
        <f t="shared" si="25"/>
        <v>0</v>
      </c>
      <c r="AE377" s="6">
        <f ca="1">(L377-M377)*(Z377+AA377)+($Z$198+$AA$198-$Z$377-$AA$377)*(L377)</f>
        <v>356.16992076663291</v>
      </c>
      <c r="AF377" s="4" t="s">
        <v>846</v>
      </c>
    </row>
    <row r="378" spans="1:32" ht="11.25" customHeight="1" x14ac:dyDescent="0.25">
      <c r="A378" s="4" t="s">
        <v>28</v>
      </c>
      <c r="B378" s="4" t="s">
        <v>43</v>
      </c>
      <c r="C378" s="4" t="s">
        <v>23</v>
      </c>
      <c r="D378" s="4" t="s">
        <v>44</v>
      </c>
      <c r="E378" s="4" t="s">
        <v>52</v>
      </c>
      <c r="F378" s="4" t="s">
        <v>53</v>
      </c>
      <c r="G378" s="4" t="s">
        <v>25</v>
      </c>
      <c r="H378" s="4" t="s">
        <v>25</v>
      </c>
      <c r="I378" s="5">
        <v>44593</v>
      </c>
      <c r="J378" s="6">
        <v>0</v>
      </c>
      <c r="K378" s="6">
        <v>0</v>
      </c>
      <c r="L378" s="6">
        <v>0.2</v>
      </c>
      <c r="M378" s="6">
        <v>0.2</v>
      </c>
      <c r="N378" s="6">
        <v>0.2</v>
      </c>
      <c r="O378" s="6">
        <v>0.2</v>
      </c>
      <c r="P378" s="6">
        <v>0</v>
      </c>
      <c r="Q378" s="4" t="s">
        <v>26</v>
      </c>
      <c r="R378" s="4">
        <v>0</v>
      </c>
      <c r="S378" s="4">
        <v>0</v>
      </c>
      <c r="T378" s="4">
        <v>29</v>
      </c>
      <c r="U378" s="4">
        <v>66</v>
      </c>
      <c r="V378" s="6">
        <f>IF(ISERROR(VLOOKUP($S$378,'TAR FIN'!$A$1:$O$85,15,0)),0,VLOOKUP($S$378,'TAR FIN'!$A$1:$O$85,15,0))</f>
        <v>0</v>
      </c>
      <c r="W378" s="6">
        <f>IF(ISERROR(VLOOKUP($T$378,'TAR FIN'!$A$1:$O$85,15,0)),0,VLOOKUP($T$378,'TAR FIN'!$A$1:$O$85,15,0))</f>
        <v>285.89</v>
      </c>
      <c r="X378" s="6">
        <f>IF(ISERROR(VLOOKUP($U$378,'TAR FIN'!$A$1:$O$85,15,0)),0,VLOOKUP($U$378,'TAR FIN'!$A$1:$O$85,15,0))</f>
        <v>283.83999999999997</v>
      </c>
      <c r="Y378" s="6"/>
      <c r="Z378" s="6">
        <f ca="1">('TUSD BE'!$AM$33+'TUSD BF'!$AM$33+'TUSD CVA'!$AM$33)*(1-CUSTOS!$M$38)</f>
        <v>408.71492269690788</v>
      </c>
      <c r="AA378" s="6">
        <f>('TE BE'!$AB$23+'TE BF'!$AB$23+'TE CVA'!$AB$23)*(1-CUSTOS!$M$38)</f>
        <v>300.75684149176499</v>
      </c>
      <c r="AB378" s="6">
        <f t="shared" si="24"/>
        <v>0</v>
      </c>
      <c r="AC378" s="6">
        <f>(L378-M378)*(W378+X378)+($W$198+$X$198-$W$378-$X$378)*(L378)</f>
        <v>15.538000000000023</v>
      </c>
      <c r="AD378" s="6">
        <f t="shared" si="25"/>
        <v>0</v>
      </c>
      <c r="AE378" s="6">
        <f ca="1">(L378-M378)*(Z378+AA378)+($Z$198+$AA$198-$Z$378-$AA$378)*(L378)</f>
        <v>9.0570863513447648</v>
      </c>
      <c r="AF378" s="4" t="s">
        <v>846</v>
      </c>
    </row>
    <row r="379" spans="1:32" ht="11.25" customHeight="1" x14ac:dyDescent="0.25">
      <c r="A379" s="4" t="s">
        <v>21</v>
      </c>
      <c r="B379" s="4" t="s">
        <v>43</v>
      </c>
      <c r="C379" s="4" t="s">
        <v>23</v>
      </c>
      <c r="D379" s="4" t="s">
        <v>44</v>
      </c>
      <c r="E379" s="4" t="s">
        <v>52</v>
      </c>
      <c r="F379" s="4" t="s">
        <v>53</v>
      </c>
      <c r="G379" s="4" t="s">
        <v>25</v>
      </c>
      <c r="H379" s="4" t="s">
        <v>25</v>
      </c>
      <c r="I379" s="5">
        <v>44621</v>
      </c>
      <c r="J379" s="6">
        <v>0</v>
      </c>
      <c r="K379" s="6">
        <v>0</v>
      </c>
      <c r="L379" s="6">
        <v>1109.2260000000001</v>
      </c>
      <c r="M379" s="6">
        <v>1109.2260000000001</v>
      </c>
      <c r="N379" s="6">
        <v>1109.2260000000001</v>
      </c>
      <c r="O379" s="6">
        <v>1109.2260000000001</v>
      </c>
      <c r="P379" s="6">
        <v>0</v>
      </c>
      <c r="Q379" s="4" t="s">
        <v>26</v>
      </c>
      <c r="R379" s="4">
        <v>0</v>
      </c>
      <c r="S379" s="4">
        <v>0</v>
      </c>
      <c r="T379" s="4">
        <v>29</v>
      </c>
      <c r="U379" s="4">
        <v>66</v>
      </c>
      <c r="V379" s="6">
        <f>IF(ISERROR(VLOOKUP($S$379,'TAR FIN'!$A$1:$O$85,15,0)),0,VLOOKUP($S$379,'TAR FIN'!$A$1:$O$85,15,0))</f>
        <v>0</v>
      </c>
      <c r="W379" s="6">
        <f>IF(ISERROR(VLOOKUP($T$379,'TAR FIN'!$A$1:$O$85,15,0)),0,VLOOKUP($T$379,'TAR FIN'!$A$1:$O$85,15,0))</f>
        <v>285.89</v>
      </c>
      <c r="X379" s="6">
        <f>IF(ISERROR(VLOOKUP($U$379,'TAR FIN'!$A$1:$O$85,15,0)),0,VLOOKUP($U$379,'TAR FIN'!$A$1:$O$85,15,0))</f>
        <v>283.83999999999997</v>
      </c>
      <c r="Y379" s="6"/>
      <c r="Z379" s="6">
        <f ca="1">('TUSD BE'!$AM$33+'TUSD BF'!$AM$33+'TUSD CVA'!$AM$33)*(1-CUSTOS!$M$38)</f>
        <v>408.71492269690788</v>
      </c>
      <c r="AA379" s="6">
        <f>('TE BE'!$AB$23+'TE BF'!$AB$23+'TE CVA'!$AB$23)*(1-CUSTOS!$M$38)</f>
        <v>300.75684149176499</v>
      </c>
      <c r="AB379" s="6">
        <f t="shared" si="24"/>
        <v>0</v>
      </c>
      <c r="AC379" s="6">
        <f>(L379-M379)*(W379+X379)+($W$198+$X$198-$W$379-$X$379)*(L379)</f>
        <v>86175.767940000136</v>
      </c>
      <c r="AD379" s="6">
        <f t="shared" si="25"/>
        <v>0</v>
      </c>
      <c r="AE379" s="6">
        <f ca="1">(L379-M379)*(Z379+AA379)+($Z$198+$AA$198-$Z$379-$AA$379)*(L379)</f>
        <v>50231.778325783744</v>
      </c>
      <c r="AF379" s="4" t="s">
        <v>846</v>
      </c>
    </row>
    <row r="380" spans="1:32" ht="11.25" customHeight="1" x14ac:dyDescent="0.25">
      <c r="A380" s="4" t="s">
        <v>27</v>
      </c>
      <c r="B380" s="4" t="s">
        <v>43</v>
      </c>
      <c r="C380" s="4" t="s">
        <v>23</v>
      </c>
      <c r="D380" s="4" t="s">
        <v>44</v>
      </c>
      <c r="E380" s="4" t="s">
        <v>52</v>
      </c>
      <c r="F380" s="4" t="s">
        <v>53</v>
      </c>
      <c r="G380" s="4" t="s">
        <v>25</v>
      </c>
      <c r="H380" s="4" t="s">
        <v>25</v>
      </c>
      <c r="I380" s="5">
        <v>44621</v>
      </c>
      <c r="J380" s="6">
        <v>0</v>
      </c>
      <c r="K380" s="6">
        <v>0</v>
      </c>
      <c r="L380" s="6">
        <v>-2.52</v>
      </c>
      <c r="M380" s="6">
        <v>-2.52</v>
      </c>
      <c r="N380" s="6">
        <v>-2.52</v>
      </c>
      <c r="O380" s="6">
        <v>-2.52</v>
      </c>
      <c r="P380" s="6">
        <v>0</v>
      </c>
      <c r="Q380" s="4" t="s">
        <v>26</v>
      </c>
      <c r="R380" s="4">
        <v>0</v>
      </c>
      <c r="S380" s="4">
        <v>0</v>
      </c>
      <c r="T380" s="4">
        <v>29</v>
      </c>
      <c r="U380" s="4">
        <v>66</v>
      </c>
      <c r="V380" s="6">
        <f>IF(ISERROR(VLOOKUP($S$380,'TAR FIN'!$A$1:$O$85,15,0)),0,VLOOKUP($S$380,'TAR FIN'!$A$1:$O$85,15,0))</f>
        <v>0</v>
      </c>
      <c r="W380" s="6">
        <f>IF(ISERROR(VLOOKUP($T$380,'TAR FIN'!$A$1:$O$85,15,0)),0,VLOOKUP($T$380,'TAR FIN'!$A$1:$O$85,15,0))</f>
        <v>285.89</v>
      </c>
      <c r="X380" s="6">
        <f>IF(ISERROR(VLOOKUP($U$380,'TAR FIN'!$A$1:$O$85,15,0)),0,VLOOKUP($U$380,'TAR FIN'!$A$1:$O$85,15,0))</f>
        <v>283.83999999999997</v>
      </c>
      <c r="Y380" s="6"/>
      <c r="Z380" s="6">
        <f ca="1">('TUSD BE'!$AM$33+'TUSD BF'!$AM$33+'TUSD CVA'!$AM$33)*(1-CUSTOS!$M$38)</f>
        <v>408.71492269690788</v>
      </c>
      <c r="AA380" s="6">
        <f>('TE BE'!$AB$23+'TE BF'!$AB$23+'TE CVA'!$AB$23)*(1-CUSTOS!$M$38)</f>
        <v>300.75684149176499</v>
      </c>
      <c r="AB380" s="6">
        <f t="shared" si="24"/>
        <v>0</v>
      </c>
      <c r="AC380" s="6">
        <f>(L380-M380)*(W380+X380)+($W$198+$X$198-$W$380-$X$380)*(L380)</f>
        <v>-195.77880000000027</v>
      </c>
      <c r="AD380" s="6">
        <f t="shared" si="25"/>
        <v>0</v>
      </c>
      <c r="AE380" s="6">
        <f ca="1">(L380-M380)*(Z380+AA380)+($Z$198+$AA$198-$Z$380-$AA$380)*(L380)</f>
        <v>-114.11928802694403</v>
      </c>
      <c r="AF380" s="4" t="s">
        <v>846</v>
      </c>
    </row>
    <row r="381" spans="1:32" ht="11.25" customHeight="1" x14ac:dyDescent="0.25">
      <c r="A381" s="4" t="s">
        <v>28</v>
      </c>
      <c r="B381" s="4" t="s">
        <v>43</v>
      </c>
      <c r="C381" s="4" t="s">
        <v>23</v>
      </c>
      <c r="D381" s="4" t="s">
        <v>44</v>
      </c>
      <c r="E381" s="4" t="s">
        <v>52</v>
      </c>
      <c r="F381" s="4" t="s">
        <v>53</v>
      </c>
      <c r="G381" s="4" t="s">
        <v>25</v>
      </c>
      <c r="H381" s="4" t="s">
        <v>25</v>
      </c>
      <c r="I381" s="5">
        <v>44621</v>
      </c>
      <c r="J381" s="6">
        <v>0</v>
      </c>
      <c r="K381" s="6">
        <v>0</v>
      </c>
      <c r="L381" s="6">
        <v>9.6630000000000003</v>
      </c>
      <c r="M381" s="6">
        <v>9.6630000000000003</v>
      </c>
      <c r="N381" s="6">
        <v>9.6630000000000003</v>
      </c>
      <c r="O381" s="6">
        <v>9.6630000000000003</v>
      </c>
      <c r="P381" s="6">
        <v>0</v>
      </c>
      <c r="Q381" s="4" t="s">
        <v>26</v>
      </c>
      <c r="R381" s="4">
        <v>0</v>
      </c>
      <c r="S381" s="4">
        <v>0</v>
      </c>
      <c r="T381" s="4">
        <v>29</v>
      </c>
      <c r="U381" s="4">
        <v>66</v>
      </c>
      <c r="V381" s="6">
        <f>IF(ISERROR(VLOOKUP($S$381,'TAR FIN'!$A$1:$O$85,15,0)),0,VLOOKUP($S$381,'TAR FIN'!$A$1:$O$85,15,0))</f>
        <v>0</v>
      </c>
      <c r="W381" s="6">
        <f>IF(ISERROR(VLOOKUP($T$381,'TAR FIN'!$A$1:$O$85,15,0)),0,VLOOKUP($T$381,'TAR FIN'!$A$1:$O$85,15,0))</f>
        <v>285.89</v>
      </c>
      <c r="X381" s="6">
        <f>IF(ISERROR(VLOOKUP($U$381,'TAR FIN'!$A$1:$O$85,15,0)),0,VLOOKUP($U$381,'TAR FIN'!$A$1:$O$85,15,0))</f>
        <v>283.83999999999997</v>
      </c>
      <c r="Y381" s="6"/>
      <c r="Z381" s="6">
        <f ca="1">('TUSD BE'!$AM$33+'TUSD BF'!$AM$33+'TUSD CVA'!$AM$33)*(1-CUSTOS!$M$38)</f>
        <v>408.71492269690788</v>
      </c>
      <c r="AA381" s="6">
        <f>('TE BE'!$AB$23+'TE BF'!$AB$23+'TE CVA'!$AB$23)*(1-CUSTOS!$M$38)</f>
        <v>300.75684149176499</v>
      </c>
      <c r="AB381" s="6">
        <f t="shared" si="24"/>
        <v>0</v>
      </c>
      <c r="AC381" s="6">
        <f>(L381-M381)*(W381+X381)+($W$198+$X$198-$W$381-$X$381)*(L381)</f>
        <v>750.71847000000105</v>
      </c>
      <c r="AD381" s="6">
        <f t="shared" si="25"/>
        <v>0</v>
      </c>
      <c r="AE381" s="6">
        <f ca="1">(L381-M381)*(Z381+AA381)+($Z$198+$AA$198-$Z$381-$AA$381)*(L381)</f>
        <v>437.59312706522235</v>
      </c>
      <c r="AF381" s="4" t="s">
        <v>846</v>
      </c>
    </row>
    <row r="382" spans="1:32" ht="11.25" customHeight="1" x14ac:dyDescent="0.25">
      <c r="A382" s="4" t="s">
        <v>28</v>
      </c>
      <c r="B382" s="4" t="s">
        <v>43</v>
      </c>
      <c r="C382" s="4" t="s">
        <v>23</v>
      </c>
      <c r="D382" s="4" t="s">
        <v>44</v>
      </c>
      <c r="E382" s="4" t="s">
        <v>52</v>
      </c>
      <c r="F382" s="4" t="s">
        <v>53</v>
      </c>
      <c r="G382" s="4" t="s">
        <v>25</v>
      </c>
      <c r="H382" s="4" t="s">
        <v>25</v>
      </c>
      <c r="I382" s="5">
        <v>44621</v>
      </c>
      <c r="J382" s="6">
        <v>0</v>
      </c>
      <c r="K382" s="6">
        <v>0</v>
      </c>
      <c r="L382" s="6">
        <v>0.1</v>
      </c>
      <c r="M382" s="6">
        <v>0.1</v>
      </c>
      <c r="N382" s="6">
        <v>0.1</v>
      </c>
      <c r="O382" s="6">
        <v>0.1</v>
      </c>
      <c r="P382" s="6">
        <v>0</v>
      </c>
      <c r="Q382" s="4" t="s">
        <v>26</v>
      </c>
      <c r="R382" s="4">
        <v>0</v>
      </c>
      <c r="S382" s="4">
        <v>0</v>
      </c>
      <c r="T382" s="4">
        <v>29</v>
      </c>
      <c r="U382" s="4">
        <v>66</v>
      </c>
      <c r="V382" s="6">
        <f>IF(ISERROR(VLOOKUP($S$382,'TAR FIN'!$A$1:$O$85,15,0)),0,VLOOKUP($S$382,'TAR FIN'!$A$1:$O$85,15,0))</f>
        <v>0</v>
      </c>
      <c r="W382" s="6">
        <f>IF(ISERROR(VLOOKUP($T$382,'TAR FIN'!$A$1:$O$85,15,0)),0,VLOOKUP($T$382,'TAR FIN'!$A$1:$O$85,15,0))</f>
        <v>285.89</v>
      </c>
      <c r="X382" s="6">
        <f>IF(ISERROR(VLOOKUP($U$382,'TAR FIN'!$A$1:$O$85,15,0)),0,VLOOKUP($U$382,'TAR FIN'!$A$1:$O$85,15,0))</f>
        <v>283.83999999999997</v>
      </c>
      <c r="Y382" s="6"/>
      <c r="Z382" s="6">
        <f ca="1">('TUSD BE'!$AM$33+'TUSD BF'!$AM$33+'TUSD CVA'!$AM$33)*(1-CUSTOS!$M$38)</f>
        <v>408.71492269690788</v>
      </c>
      <c r="AA382" s="6">
        <f>('TE BE'!$AB$23+'TE BF'!$AB$23+'TE CVA'!$AB$23)*(1-CUSTOS!$M$38)</f>
        <v>300.75684149176499</v>
      </c>
      <c r="AB382" s="6">
        <f t="shared" si="24"/>
        <v>0</v>
      </c>
      <c r="AC382" s="6">
        <f>(L382-M382)*(W382+X382)+($W$198+$X$198-$W$382-$X$382)*(L382)</f>
        <v>7.7690000000000117</v>
      </c>
      <c r="AD382" s="6">
        <f t="shared" si="25"/>
        <v>0</v>
      </c>
      <c r="AE382" s="6">
        <f ca="1">(L382-M382)*(Z382+AA382)+($Z$198+$AA$198-$Z$382-$AA$382)*(L382)</f>
        <v>4.5285431756723824</v>
      </c>
      <c r="AF382" s="4" t="s">
        <v>846</v>
      </c>
    </row>
    <row r="383" spans="1:32" ht="11.25" customHeight="1" x14ac:dyDescent="0.25">
      <c r="A383" s="4" t="s">
        <v>21</v>
      </c>
      <c r="B383" s="4" t="s">
        <v>43</v>
      </c>
      <c r="C383" s="4" t="s">
        <v>23</v>
      </c>
      <c r="D383" s="4" t="s">
        <v>44</v>
      </c>
      <c r="E383" s="4" t="s">
        <v>52</v>
      </c>
      <c r="F383" s="4" t="s">
        <v>53</v>
      </c>
      <c r="G383" s="4" t="s">
        <v>25</v>
      </c>
      <c r="H383" s="4" t="s">
        <v>25</v>
      </c>
      <c r="I383" s="5">
        <v>44652</v>
      </c>
      <c r="J383" s="6">
        <v>0</v>
      </c>
      <c r="K383" s="6">
        <v>0</v>
      </c>
      <c r="L383" s="6">
        <v>2171.328</v>
      </c>
      <c r="M383" s="6">
        <v>2171.328</v>
      </c>
      <c r="N383" s="6">
        <v>2171.328</v>
      </c>
      <c r="O383" s="6">
        <v>2171.328</v>
      </c>
      <c r="P383" s="6">
        <v>0</v>
      </c>
      <c r="Q383" s="4" t="s">
        <v>26</v>
      </c>
      <c r="R383" s="4">
        <v>0</v>
      </c>
      <c r="S383" s="4">
        <v>0</v>
      </c>
      <c r="T383" s="4">
        <v>29</v>
      </c>
      <c r="U383" s="4">
        <v>66</v>
      </c>
      <c r="V383" s="6">
        <f>IF(ISERROR(VLOOKUP($S$383,'TAR FIN'!$A$1:$O$85,15,0)),0,VLOOKUP($S$383,'TAR FIN'!$A$1:$O$85,15,0))</f>
        <v>0</v>
      </c>
      <c r="W383" s="6">
        <f>IF(ISERROR(VLOOKUP($T$383,'TAR FIN'!$A$1:$O$85,15,0)),0,VLOOKUP($T$383,'TAR FIN'!$A$1:$O$85,15,0))</f>
        <v>285.89</v>
      </c>
      <c r="X383" s="6">
        <f>IF(ISERROR(VLOOKUP($U$383,'TAR FIN'!$A$1:$O$85,15,0)),0,VLOOKUP($U$383,'TAR FIN'!$A$1:$O$85,15,0))</f>
        <v>283.83999999999997</v>
      </c>
      <c r="Y383" s="6"/>
      <c r="Z383" s="6">
        <f ca="1">('TUSD BE'!$AM$33+'TUSD BF'!$AM$33+'TUSD CVA'!$AM$33)*(1-CUSTOS!$M$38)</f>
        <v>408.71492269690788</v>
      </c>
      <c r="AA383" s="6">
        <f>('TE BE'!$AB$23+'TE BF'!$AB$23+'TE CVA'!$AB$23)*(1-CUSTOS!$M$38)</f>
        <v>300.75684149176499</v>
      </c>
      <c r="AB383" s="6">
        <f t="shared" si="24"/>
        <v>0</v>
      </c>
      <c r="AC383" s="6">
        <f>(L383-M383)*(W383+X383)+($W$198+$X$198-$W$383-$X$383)*(L383)</f>
        <v>168690.47232000023</v>
      </c>
      <c r="AD383" s="6">
        <f t="shared" si="25"/>
        <v>0</v>
      </c>
      <c r="AE383" s="6">
        <f ca="1">(L383-M383)*(Z383+AA383)+($Z$198+$AA$198-$Z$383-$AA$383)*(L383)</f>
        <v>98329.525965463632</v>
      </c>
      <c r="AF383" s="4" t="s">
        <v>846</v>
      </c>
    </row>
    <row r="384" spans="1:32" ht="11.25" customHeight="1" x14ac:dyDescent="0.25">
      <c r="A384" s="4" t="s">
        <v>27</v>
      </c>
      <c r="B384" s="4" t="s">
        <v>43</v>
      </c>
      <c r="C384" s="4" t="s">
        <v>23</v>
      </c>
      <c r="D384" s="4" t="s">
        <v>44</v>
      </c>
      <c r="E384" s="4" t="s">
        <v>52</v>
      </c>
      <c r="F384" s="4" t="s">
        <v>53</v>
      </c>
      <c r="G384" s="4" t="s">
        <v>25</v>
      </c>
      <c r="H384" s="4" t="s">
        <v>25</v>
      </c>
      <c r="I384" s="5">
        <v>44652</v>
      </c>
      <c r="J384" s="6">
        <v>0</v>
      </c>
      <c r="K384" s="6">
        <v>0</v>
      </c>
      <c r="L384" s="6">
        <v>-1.71</v>
      </c>
      <c r="M384" s="6">
        <v>-1.71</v>
      </c>
      <c r="N384" s="6">
        <v>-1.71</v>
      </c>
      <c r="O384" s="6">
        <v>-1.71</v>
      </c>
      <c r="P384" s="6">
        <v>0</v>
      </c>
      <c r="Q384" s="4" t="s">
        <v>26</v>
      </c>
      <c r="R384" s="4">
        <v>0</v>
      </c>
      <c r="S384" s="4">
        <v>0</v>
      </c>
      <c r="T384" s="4">
        <v>29</v>
      </c>
      <c r="U384" s="4">
        <v>66</v>
      </c>
      <c r="V384" s="6">
        <f>IF(ISERROR(VLOOKUP($S$384,'TAR FIN'!$A$1:$O$85,15,0)),0,VLOOKUP($S$384,'TAR FIN'!$A$1:$O$85,15,0))</f>
        <v>0</v>
      </c>
      <c r="W384" s="6">
        <f>IF(ISERROR(VLOOKUP($T$384,'TAR FIN'!$A$1:$O$85,15,0)),0,VLOOKUP($T$384,'TAR FIN'!$A$1:$O$85,15,0))</f>
        <v>285.89</v>
      </c>
      <c r="X384" s="6">
        <f>IF(ISERROR(VLOOKUP($U$384,'TAR FIN'!$A$1:$O$85,15,0)),0,VLOOKUP($U$384,'TAR FIN'!$A$1:$O$85,15,0))</f>
        <v>283.83999999999997</v>
      </c>
      <c r="Y384" s="6"/>
      <c r="Z384" s="6">
        <f ca="1">('TUSD BE'!$AM$33+'TUSD BF'!$AM$33+'TUSD CVA'!$AM$33)*(1-CUSTOS!$M$38)</f>
        <v>408.71492269690788</v>
      </c>
      <c r="AA384" s="6">
        <f>('TE BE'!$AB$23+'TE BF'!$AB$23+'TE CVA'!$AB$23)*(1-CUSTOS!$M$38)</f>
        <v>300.75684149176499</v>
      </c>
      <c r="AB384" s="6">
        <f t="shared" si="24"/>
        <v>0</v>
      </c>
      <c r="AC384" s="6">
        <f>(L384-M384)*(W384+X384)+($W$198+$X$198-$W$384-$X$384)*(L384)</f>
        <v>-132.84990000000019</v>
      </c>
      <c r="AD384" s="6">
        <f t="shared" si="25"/>
        <v>0</v>
      </c>
      <c r="AE384" s="6">
        <f ca="1">(L384-M384)*(Z384+AA384)+($Z$198+$AA$198-$Z$384-$AA$384)*(L384)</f>
        <v>-77.438088303997731</v>
      </c>
      <c r="AF384" s="4" t="s">
        <v>846</v>
      </c>
    </row>
    <row r="385" spans="1:32" ht="11.25" customHeight="1" x14ac:dyDescent="0.25">
      <c r="A385" s="4" t="s">
        <v>28</v>
      </c>
      <c r="B385" s="4" t="s">
        <v>43</v>
      </c>
      <c r="C385" s="4" t="s">
        <v>23</v>
      </c>
      <c r="D385" s="4" t="s">
        <v>44</v>
      </c>
      <c r="E385" s="4" t="s">
        <v>52</v>
      </c>
      <c r="F385" s="4" t="s">
        <v>53</v>
      </c>
      <c r="G385" s="4" t="s">
        <v>25</v>
      </c>
      <c r="H385" s="4" t="s">
        <v>25</v>
      </c>
      <c r="I385" s="5">
        <v>44652</v>
      </c>
      <c r="J385" s="6">
        <v>0</v>
      </c>
      <c r="K385" s="6">
        <v>0</v>
      </c>
      <c r="L385" s="6">
        <v>17.768000000000001</v>
      </c>
      <c r="M385" s="6">
        <v>17.768000000000001</v>
      </c>
      <c r="N385" s="6">
        <v>17.768000000000001</v>
      </c>
      <c r="O385" s="6">
        <v>17.768000000000001</v>
      </c>
      <c r="P385" s="6">
        <v>0</v>
      </c>
      <c r="Q385" s="4" t="s">
        <v>26</v>
      </c>
      <c r="R385" s="4">
        <v>0</v>
      </c>
      <c r="S385" s="4">
        <v>0</v>
      </c>
      <c r="T385" s="4">
        <v>29</v>
      </c>
      <c r="U385" s="4">
        <v>66</v>
      </c>
      <c r="V385" s="6">
        <f>IF(ISERROR(VLOOKUP($S$385,'TAR FIN'!$A$1:$O$85,15,0)),0,VLOOKUP($S$385,'TAR FIN'!$A$1:$O$85,15,0))</f>
        <v>0</v>
      </c>
      <c r="W385" s="6">
        <f>IF(ISERROR(VLOOKUP($T$385,'TAR FIN'!$A$1:$O$85,15,0)),0,VLOOKUP($T$385,'TAR FIN'!$A$1:$O$85,15,0))</f>
        <v>285.89</v>
      </c>
      <c r="X385" s="6">
        <f>IF(ISERROR(VLOOKUP($U$385,'TAR FIN'!$A$1:$O$85,15,0)),0,VLOOKUP($U$385,'TAR FIN'!$A$1:$O$85,15,0))</f>
        <v>283.83999999999997</v>
      </c>
      <c r="Y385" s="6"/>
      <c r="Z385" s="6">
        <f ca="1">('TUSD BE'!$AM$33+'TUSD BF'!$AM$33+'TUSD CVA'!$AM$33)*(1-CUSTOS!$M$38)</f>
        <v>408.71492269690788</v>
      </c>
      <c r="AA385" s="6">
        <f>('TE BE'!$AB$23+'TE BF'!$AB$23+'TE CVA'!$AB$23)*(1-CUSTOS!$M$38)</f>
        <v>300.75684149176499</v>
      </c>
      <c r="AB385" s="6">
        <f t="shared" si="24"/>
        <v>0</v>
      </c>
      <c r="AC385" s="6">
        <f>(L385-M385)*(W385+X385)+($W$198+$X$198-$W$385-$X$385)*(L385)</f>
        <v>1380.395920000002</v>
      </c>
      <c r="AD385" s="6">
        <f t="shared" si="25"/>
        <v>0</v>
      </c>
      <c r="AE385" s="6">
        <f ca="1">(L385-M385)*(Z385+AA385)+($Z$198+$AA$198-$Z$385-$AA$385)*(L385)</f>
        <v>804.63155145346889</v>
      </c>
      <c r="AF385" s="4" t="s">
        <v>846</v>
      </c>
    </row>
    <row r="386" spans="1:32" ht="11.25" customHeight="1" x14ac:dyDescent="0.25">
      <c r="A386" s="4" t="s">
        <v>21</v>
      </c>
      <c r="B386" s="4" t="s">
        <v>43</v>
      </c>
      <c r="C386" s="4" t="s">
        <v>23</v>
      </c>
      <c r="D386" s="4" t="s">
        <v>44</v>
      </c>
      <c r="E386" s="4" t="s">
        <v>52</v>
      </c>
      <c r="F386" s="4" t="s">
        <v>53</v>
      </c>
      <c r="G386" s="4" t="s">
        <v>25</v>
      </c>
      <c r="H386" s="4" t="s">
        <v>25</v>
      </c>
      <c r="I386" s="5">
        <v>44682</v>
      </c>
      <c r="J386" s="6">
        <v>0</v>
      </c>
      <c r="K386" s="6">
        <v>0</v>
      </c>
      <c r="L386" s="6">
        <v>3103.2150000000001</v>
      </c>
      <c r="M386" s="6">
        <v>3103.2150000000001</v>
      </c>
      <c r="N386" s="6">
        <v>3103.2150000000001</v>
      </c>
      <c r="O386" s="6">
        <v>3103.2150000000001</v>
      </c>
      <c r="P386" s="6">
        <v>0</v>
      </c>
      <c r="Q386" s="4" t="s">
        <v>26</v>
      </c>
      <c r="R386" s="4">
        <v>0</v>
      </c>
      <c r="S386" s="4">
        <v>0</v>
      </c>
      <c r="T386" s="4">
        <v>29</v>
      </c>
      <c r="U386" s="4">
        <v>66</v>
      </c>
      <c r="V386" s="6">
        <f>IF(ISERROR(VLOOKUP($S$386,'TAR FIN'!$A$1:$O$85,15,0)),0,VLOOKUP($S$386,'TAR FIN'!$A$1:$O$85,15,0))</f>
        <v>0</v>
      </c>
      <c r="W386" s="6">
        <f>IF(ISERROR(VLOOKUP($T$386,'TAR FIN'!$A$1:$O$85,15,0)),0,VLOOKUP($T$386,'TAR FIN'!$A$1:$O$85,15,0))</f>
        <v>285.89</v>
      </c>
      <c r="X386" s="6">
        <f>IF(ISERROR(VLOOKUP($U$386,'TAR FIN'!$A$1:$O$85,15,0)),0,VLOOKUP($U$386,'TAR FIN'!$A$1:$O$85,15,0))</f>
        <v>283.83999999999997</v>
      </c>
      <c r="Y386" s="6"/>
      <c r="Z386" s="6">
        <f ca="1">('TUSD BE'!$AM$33+'TUSD BF'!$AM$33+'TUSD CVA'!$AM$33)*(1-CUSTOS!$M$38)</f>
        <v>408.71492269690788</v>
      </c>
      <c r="AA386" s="6">
        <f>('TE BE'!$AB$23+'TE BF'!$AB$23+'TE CVA'!$AB$23)*(1-CUSTOS!$M$38)</f>
        <v>300.75684149176499</v>
      </c>
      <c r="AB386" s="6">
        <f t="shared" ref="AB386:AB449" si="26">(J386-K386)*V386</f>
        <v>0</v>
      </c>
      <c r="AC386" s="6">
        <f>(L386-M386)*(W386+X386)+($W$198+$X$198-$W$386-$X$386)*(L386)</f>
        <v>241088.77335000035</v>
      </c>
      <c r="AD386" s="6">
        <f t="shared" ref="AD386:AD449" si="27">(J386-K386)*Y386</f>
        <v>0</v>
      </c>
      <c r="AE386" s="6">
        <f ca="1">(L386-M386)*(Z386+AA386)+($Z$198+$AA$198-$Z$386-$AA$386)*(L386)</f>
        <v>140530.43110894173</v>
      </c>
      <c r="AF386" s="4" t="s">
        <v>846</v>
      </c>
    </row>
    <row r="387" spans="1:32" ht="11.25" customHeight="1" x14ac:dyDescent="0.25">
      <c r="A387" s="4" t="s">
        <v>27</v>
      </c>
      <c r="B387" s="4" t="s">
        <v>43</v>
      </c>
      <c r="C387" s="4" t="s">
        <v>23</v>
      </c>
      <c r="D387" s="4" t="s">
        <v>44</v>
      </c>
      <c r="E387" s="4" t="s">
        <v>52</v>
      </c>
      <c r="F387" s="4" t="s">
        <v>53</v>
      </c>
      <c r="G387" s="4" t="s">
        <v>25</v>
      </c>
      <c r="H387" s="4" t="s">
        <v>25</v>
      </c>
      <c r="I387" s="5">
        <v>44682</v>
      </c>
      <c r="J387" s="6">
        <v>0</v>
      </c>
      <c r="K387" s="6">
        <v>0</v>
      </c>
      <c r="L387" s="6">
        <v>-3.7570000000000001</v>
      </c>
      <c r="M387" s="6">
        <v>-3.7570000000000001</v>
      </c>
      <c r="N387" s="6">
        <v>-3.7570000000000001</v>
      </c>
      <c r="O387" s="6">
        <v>-3.7570000000000001</v>
      </c>
      <c r="P387" s="6">
        <v>0</v>
      </c>
      <c r="Q387" s="4" t="s">
        <v>26</v>
      </c>
      <c r="R387" s="4">
        <v>0</v>
      </c>
      <c r="S387" s="4">
        <v>0</v>
      </c>
      <c r="T387" s="4">
        <v>29</v>
      </c>
      <c r="U387" s="4">
        <v>66</v>
      </c>
      <c r="V387" s="6">
        <f>IF(ISERROR(VLOOKUP($S$387,'TAR FIN'!$A$1:$O$85,15,0)),0,VLOOKUP($S$387,'TAR FIN'!$A$1:$O$85,15,0))</f>
        <v>0</v>
      </c>
      <c r="W387" s="6">
        <f>IF(ISERROR(VLOOKUP($T$387,'TAR FIN'!$A$1:$O$85,15,0)),0,VLOOKUP($T$387,'TAR FIN'!$A$1:$O$85,15,0))</f>
        <v>285.89</v>
      </c>
      <c r="X387" s="6">
        <f>IF(ISERROR(VLOOKUP($U$387,'TAR FIN'!$A$1:$O$85,15,0)),0,VLOOKUP($U$387,'TAR FIN'!$A$1:$O$85,15,0))</f>
        <v>283.83999999999997</v>
      </c>
      <c r="Y387" s="6"/>
      <c r="Z387" s="6">
        <f ca="1">('TUSD BE'!$AM$33+'TUSD BF'!$AM$33+'TUSD CVA'!$AM$33)*(1-CUSTOS!$M$38)</f>
        <v>408.71492269690788</v>
      </c>
      <c r="AA387" s="6">
        <f>('TE BE'!$AB$23+'TE BF'!$AB$23+'TE CVA'!$AB$23)*(1-CUSTOS!$M$38)</f>
        <v>300.75684149176499</v>
      </c>
      <c r="AB387" s="6">
        <f t="shared" si="26"/>
        <v>0</v>
      </c>
      <c r="AC387" s="6">
        <f>(L387-M387)*(W387+X387)+($W$198+$X$198-$W$387-$X$387)*(L387)</f>
        <v>-291.88133000000045</v>
      </c>
      <c r="AD387" s="6">
        <f t="shared" si="27"/>
        <v>0</v>
      </c>
      <c r="AE387" s="6">
        <f ca="1">(L387-M387)*(Z387+AA387)+($Z$198+$AA$198-$Z$387-$AA$387)*(L387)</f>
        <v>-170.13736711001141</v>
      </c>
      <c r="AF387" s="4" t="s">
        <v>846</v>
      </c>
    </row>
    <row r="388" spans="1:32" ht="11.25" customHeight="1" x14ac:dyDescent="0.25">
      <c r="A388" s="4" t="s">
        <v>28</v>
      </c>
      <c r="B388" s="4" t="s">
        <v>43</v>
      </c>
      <c r="C388" s="4" t="s">
        <v>23</v>
      </c>
      <c r="D388" s="4" t="s">
        <v>44</v>
      </c>
      <c r="E388" s="4" t="s">
        <v>52</v>
      </c>
      <c r="F388" s="4" t="s">
        <v>53</v>
      </c>
      <c r="G388" s="4" t="s">
        <v>25</v>
      </c>
      <c r="H388" s="4" t="s">
        <v>25</v>
      </c>
      <c r="I388" s="5">
        <v>44682</v>
      </c>
      <c r="J388" s="6">
        <v>0</v>
      </c>
      <c r="K388" s="6">
        <v>0</v>
      </c>
      <c r="L388" s="6">
        <v>28.504999999999999</v>
      </c>
      <c r="M388" s="6">
        <v>28.504999999999999</v>
      </c>
      <c r="N388" s="6">
        <v>28.504999999999999</v>
      </c>
      <c r="O388" s="6">
        <v>28.504999999999999</v>
      </c>
      <c r="P388" s="6">
        <v>0</v>
      </c>
      <c r="Q388" s="4" t="s">
        <v>26</v>
      </c>
      <c r="R388" s="4">
        <v>0</v>
      </c>
      <c r="S388" s="4">
        <v>0</v>
      </c>
      <c r="T388" s="4">
        <v>29</v>
      </c>
      <c r="U388" s="4">
        <v>66</v>
      </c>
      <c r="V388" s="6">
        <f>IF(ISERROR(VLOOKUP($S$388,'TAR FIN'!$A$1:$O$85,15,0)),0,VLOOKUP($S$388,'TAR FIN'!$A$1:$O$85,15,0))</f>
        <v>0</v>
      </c>
      <c r="W388" s="6">
        <f>IF(ISERROR(VLOOKUP($T$388,'TAR FIN'!$A$1:$O$85,15,0)),0,VLOOKUP($T$388,'TAR FIN'!$A$1:$O$85,15,0))</f>
        <v>285.89</v>
      </c>
      <c r="X388" s="6">
        <f>IF(ISERROR(VLOOKUP($U$388,'TAR FIN'!$A$1:$O$85,15,0)),0,VLOOKUP($U$388,'TAR FIN'!$A$1:$O$85,15,0))</f>
        <v>283.83999999999997</v>
      </c>
      <c r="Y388" s="6"/>
      <c r="Z388" s="6">
        <f ca="1">('TUSD BE'!$AM$33+'TUSD BF'!$AM$33+'TUSD CVA'!$AM$33)*(1-CUSTOS!$M$38)</f>
        <v>408.71492269690788</v>
      </c>
      <c r="AA388" s="6">
        <f>('TE BE'!$AB$23+'TE BF'!$AB$23+'TE CVA'!$AB$23)*(1-CUSTOS!$M$38)</f>
        <v>300.75684149176499</v>
      </c>
      <c r="AB388" s="6">
        <f t="shared" si="26"/>
        <v>0</v>
      </c>
      <c r="AC388" s="6">
        <f>(L388-M388)*(W388+X388)+($W$198+$X$198-$W$388-$X$388)*(L388)</f>
        <v>2214.5534500000031</v>
      </c>
      <c r="AD388" s="6">
        <f t="shared" si="27"/>
        <v>0</v>
      </c>
      <c r="AE388" s="6">
        <f ca="1">(L388-M388)*(Z388+AA388)+($Z$198+$AA$198-$Z$388-$AA$388)*(L388)</f>
        <v>1290.8612322254126</v>
      </c>
      <c r="AF388" s="4" t="s">
        <v>846</v>
      </c>
    </row>
    <row r="389" spans="1:32" ht="11.25" customHeight="1" x14ac:dyDescent="0.25">
      <c r="A389" s="4" t="s">
        <v>21</v>
      </c>
      <c r="B389" s="4" t="s">
        <v>43</v>
      </c>
      <c r="C389" s="4" t="s">
        <v>23</v>
      </c>
      <c r="D389" s="4" t="s">
        <v>44</v>
      </c>
      <c r="E389" s="4" t="s">
        <v>52</v>
      </c>
      <c r="F389" s="4" t="s">
        <v>53</v>
      </c>
      <c r="G389" s="4" t="s">
        <v>25</v>
      </c>
      <c r="H389" s="4" t="s">
        <v>25</v>
      </c>
      <c r="I389" s="5">
        <v>44713</v>
      </c>
      <c r="J389" s="6">
        <v>0</v>
      </c>
      <c r="K389" s="6">
        <v>0</v>
      </c>
      <c r="L389" s="6">
        <v>2082.3110000000001</v>
      </c>
      <c r="M389" s="6">
        <v>2082.3110000000001</v>
      </c>
      <c r="N389" s="6">
        <v>2082.3110000000001</v>
      </c>
      <c r="O389" s="6">
        <v>2082.3110000000001</v>
      </c>
      <c r="P389" s="6">
        <v>0</v>
      </c>
      <c r="Q389" s="4" t="s">
        <v>26</v>
      </c>
      <c r="R389" s="4">
        <v>0</v>
      </c>
      <c r="S389" s="4">
        <v>0</v>
      </c>
      <c r="T389" s="4">
        <v>29</v>
      </c>
      <c r="U389" s="4">
        <v>66</v>
      </c>
      <c r="V389" s="6">
        <f>IF(ISERROR(VLOOKUP($S$389,'TAR FIN'!$A$1:$O$85,15,0)),0,VLOOKUP($S$389,'TAR FIN'!$A$1:$O$85,15,0))</f>
        <v>0</v>
      </c>
      <c r="W389" s="6">
        <f>IF(ISERROR(VLOOKUP($T$389,'TAR FIN'!$A$1:$O$85,15,0)),0,VLOOKUP($T$389,'TAR FIN'!$A$1:$O$85,15,0))</f>
        <v>285.89</v>
      </c>
      <c r="X389" s="6">
        <f>IF(ISERROR(VLOOKUP($U$389,'TAR FIN'!$A$1:$O$85,15,0)),0,VLOOKUP($U$389,'TAR FIN'!$A$1:$O$85,15,0))</f>
        <v>283.83999999999997</v>
      </c>
      <c r="Y389" s="6"/>
      <c r="Z389" s="6">
        <f ca="1">('TUSD BE'!$AM$33+'TUSD BF'!$AM$33+'TUSD CVA'!$AM$33)*(1-CUSTOS!$M$38)</f>
        <v>408.71492269690788</v>
      </c>
      <c r="AA389" s="6">
        <f>('TE BE'!$AB$23+'TE BF'!$AB$23+'TE CVA'!$AB$23)*(1-CUSTOS!$M$38)</f>
        <v>300.75684149176499</v>
      </c>
      <c r="AB389" s="6">
        <f t="shared" si="26"/>
        <v>0</v>
      </c>
      <c r="AC389" s="6">
        <f>(L389-M389)*(W389+X389)+($W$198+$X$198-$W$389-$X$389)*(L389)</f>
        <v>161774.74159000025</v>
      </c>
      <c r="AD389" s="6">
        <f t="shared" si="27"/>
        <v>0</v>
      </c>
      <c r="AE389" s="6">
        <f ca="1">(L389-M389)*(Z389+AA389)+($Z$198+$AA$198-$Z$389-$AA$389)*(L389)</f>
        <v>94298.352686775354</v>
      </c>
      <c r="AF389" s="4" t="s">
        <v>846</v>
      </c>
    </row>
    <row r="390" spans="1:32" ht="11.25" customHeight="1" x14ac:dyDescent="0.25">
      <c r="A390" s="4" t="s">
        <v>27</v>
      </c>
      <c r="B390" s="4" t="s">
        <v>43</v>
      </c>
      <c r="C390" s="4" t="s">
        <v>23</v>
      </c>
      <c r="D390" s="4" t="s">
        <v>44</v>
      </c>
      <c r="E390" s="4" t="s">
        <v>52</v>
      </c>
      <c r="F390" s="4" t="s">
        <v>53</v>
      </c>
      <c r="G390" s="4" t="s">
        <v>25</v>
      </c>
      <c r="H390" s="4" t="s">
        <v>25</v>
      </c>
      <c r="I390" s="5">
        <v>44713</v>
      </c>
      <c r="J390" s="6">
        <v>0</v>
      </c>
      <c r="K390" s="6">
        <v>0</v>
      </c>
      <c r="L390" s="6">
        <v>0.105</v>
      </c>
      <c r="M390" s="6">
        <v>0.105</v>
      </c>
      <c r="N390" s="6">
        <v>0.105</v>
      </c>
      <c r="O390" s="6">
        <v>0.105</v>
      </c>
      <c r="P390" s="6">
        <v>0</v>
      </c>
      <c r="Q390" s="4" t="s">
        <v>26</v>
      </c>
      <c r="R390" s="4">
        <v>0</v>
      </c>
      <c r="S390" s="4">
        <v>0</v>
      </c>
      <c r="T390" s="4">
        <v>29</v>
      </c>
      <c r="U390" s="4">
        <v>66</v>
      </c>
      <c r="V390" s="6">
        <f>IF(ISERROR(VLOOKUP($S$390,'TAR FIN'!$A$1:$O$85,15,0)),0,VLOOKUP($S$390,'TAR FIN'!$A$1:$O$85,15,0))</f>
        <v>0</v>
      </c>
      <c r="W390" s="6">
        <f>IF(ISERROR(VLOOKUP($T$390,'TAR FIN'!$A$1:$O$85,15,0)),0,VLOOKUP($T$390,'TAR FIN'!$A$1:$O$85,15,0))</f>
        <v>285.89</v>
      </c>
      <c r="X390" s="6">
        <f>IF(ISERROR(VLOOKUP($U$390,'TAR FIN'!$A$1:$O$85,15,0)),0,VLOOKUP($U$390,'TAR FIN'!$A$1:$O$85,15,0))</f>
        <v>283.83999999999997</v>
      </c>
      <c r="Y390" s="6"/>
      <c r="Z390" s="6">
        <f ca="1">('TUSD BE'!$AM$33+'TUSD BF'!$AM$33+'TUSD CVA'!$AM$33)*(1-CUSTOS!$M$38)</f>
        <v>408.71492269690788</v>
      </c>
      <c r="AA390" s="6">
        <f>('TE BE'!$AB$23+'TE BF'!$AB$23+'TE CVA'!$AB$23)*(1-CUSTOS!$M$38)</f>
        <v>300.75684149176499</v>
      </c>
      <c r="AB390" s="6">
        <f t="shared" si="26"/>
        <v>0</v>
      </c>
      <c r="AC390" s="6">
        <f>(L390-M390)*(W390+X390)+($W$198+$X$198-$W$390-$X$390)*(L390)</f>
        <v>8.1574500000000114</v>
      </c>
      <c r="AD390" s="6">
        <f t="shared" si="27"/>
        <v>0</v>
      </c>
      <c r="AE390" s="6">
        <f ca="1">(L390-M390)*(Z390+AA390)+($Z$198+$AA$198-$Z$390-$AA$390)*(L390)</f>
        <v>4.7549703344560017</v>
      </c>
      <c r="AF390" s="4" t="s">
        <v>846</v>
      </c>
    </row>
    <row r="391" spans="1:32" ht="11.25" customHeight="1" x14ac:dyDescent="0.25">
      <c r="A391" s="4" t="s">
        <v>28</v>
      </c>
      <c r="B391" s="4" t="s">
        <v>43</v>
      </c>
      <c r="C391" s="4" t="s">
        <v>23</v>
      </c>
      <c r="D391" s="4" t="s">
        <v>44</v>
      </c>
      <c r="E391" s="4" t="s">
        <v>52</v>
      </c>
      <c r="F391" s="4" t="s">
        <v>53</v>
      </c>
      <c r="G391" s="4" t="s">
        <v>25</v>
      </c>
      <c r="H391" s="4" t="s">
        <v>25</v>
      </c>
      <c r="I391" s="5">
        <v>44713</v>
      </c>
      <c r="J391" s="6">
        <v>0</v>
      </c>
      <c r="K391" s="6">
        <v>0</v>
      </c>
      <c r="L391" s="6">
        <v>19.702999999999999</v>
      </c>
      <c r="M391" s="6">
        <v>19.702999999999999</v>
      </c>
      <c r="N391" s="6">
        <v>19.702999999999999</v>
      </c>
      <c r="O391" s="6">
        <v>19.702999999999999</v>
      </c>
      <c r="P391" s="6">
        <v>0</v>
      </c>
      <c r="Q391" s="4" t="s">
        <v>26</v>
      </c>
      <c r="R391" s="4">
        <v>0</v>
      </c>
      <c r="S391" s="4">
        <v>0</v>
      </c>
      <c r="T391" s="4">
        <v>29</v>
      </c>
      <c r="U391" s="4">
        <v>66</v>
      </c>
      <c r="V391" s="6">
        <f>IF(ISERROR(VLOOKUP($S$391,'TAR FIN'!$A$1:$O$85,15,0)),0,VLOOKUP($S$391,'TAR FIN'!$A$1:$O$85,15,0))</f>
        <v>0</v>
      </c>
      <c r="W391" s="6">
        <f>IF(ISERROR(VLOOKUP($T$391,'TAR FIN'!$A$1:$O$85,15,0)),0,VLOOKUP($T$391,'TAR FIN'!$A$1:$O$85,15,0))</f>
        <v>285.89</v>
      </c>
      <c r="X391" s="6">
        <f>IF(ISERROR(VLOOKUP($U$391,'TAR FIN'!$A$1:$O$85,15,0)),0,VLOOKUP($U$391,'TAR FIN'!$A$1:$O$85,15,0))</f>
        <v>283.83999999999997</v>
      </c>
      <c r="Y391" s="6"/>
      <c r="Z391" s="6">
        <f ca="1">('TUSD BE'!$AM$33+'TUSD BF'!$AM$33+'TUSD CVA'!$AM$33)*(1-CUSTOS!$M$38)</f>
        <v>408.71492269690788</v>
      </c>
      <c r="AA391" s="6">
        <f>('TE BE'!$AB$23+'TE BF'!$AB$23+'TE CVA'!$AB$23)*(1-CUSTOS!$M$38)</f>
        <v>300.75684149176499</v>
      </c>
      <c r="AB391" s="6">
        <f t="shared" si="26"/>
        <v>0</v>
      </c>
      <c r="AC391" s="6">
        <f>(L391-M391)*(W391+X391)+($W$198+$X$198-$W$391-$X$391)*(L391)</f>
        <v>1530.7260700000022</v>
      </c>
      <c r="AD391" s="6">
        <f t="shared" si="27"/>
        <v>0</v>
      </c>
      <c r="AE391" s="6">
        <f ca="1">(L391-M391)*(Z391+AA391)+($Z$198+$AA$198-$Z$391-$AA$391)*(L391)</f>
        <v>892.25886190272945</v>
      </c>
      <c r="AF391" s="4" t="s">
        <v>846</v>
      </c>
    </row>
    <row r="392" spans="1:32" ht="11.25" customHeight="1" x14ac:dyDescent="0.25">
      <c r="A392" s="4" t="s">
        <v>21</v>
      </c>
      <c r="B392" s="4" t="s">
        <v>43</v>
      </c>
      <c r="C392" s="4" t="s">
        <v>23</v>
      </c>
      <c r="D392" s="4" t="s">
        <v>44</v>
      </c>
      <c r="E392" s="4" t="s">
        <v>52</v>
      </c>
      <c r="F392" s="4" t="s">
        <v>53</v>
      </c>
      <c r="G392" s="4" t="s">
        <v>25</v>
      </c>
      <c r="H392" s="4" t="s">
        <v>25</v>
      </c>
      <c r="I392" s="5">
        <v>44743</v>
      </c>
      <c r="J392" s="6">
        <v>0</v>
      </c>
      <c r="K392" s="6">
        <v>0</v>
      </c>
      <c r="L392" s="6">
        <v>2441.4639999999999</v>
      </c>
      <c r="M392" s="6">
        <v>2441.4639999999999</v>
      </c>
      <c r="N392" s="6">
        <v>2441.4639999999999</v>
      </c>
      <c r="O392" s="6">
        <v>2441.4639999999999</v>
      </c>
      <c r="P392" s="6">
        <v>0</v>
      </c>
      <c r="Q392" s="4" t="s">
        <v>26</v>
      </c>
      <c r="R392" s="4">
        <v>0</v>
      </c>
      <c r="S392" s="4">
        <v>0</v>
      </c>
      <c r="T392" s="4">
        <v>29</v>
      </c>
      <c r="U392" s="4">
        <v>66</v>
      </c>
      <c r="V392" s="6">
        <f>IF(ISERROR(VLOOKUP($S$392,'TAR FIN'!$A$1:$O$85,15,0)),0,VLOOKUP($S$392,'TAR FIN'!$A$1:$O$85,15,0))</f>
        <v>0</v>
      </c>
      <c r="W392" s="6">
        <f>IF(ISERROR(VLOOKUP($T$392,'TAR FIN'!$A$1:$O$85,15,0)),0,VLOOKUP($T$392,'TAR FIN'!$A$1:$O$85,15,0))</f>
        <v>285.89</v>
      </c>
      <c r="X392" s="6">
        <f>IF(ISERROR(VLOOKUP($U$392,'TAR FIN'!$A$1:$O$85,15,0)),0,VLOOKUP($U$392,'TAR FIN'!$A$1:$O$85,15,0))</f>
        <v>283.83999999999997</v>
      </c>
      <c r="Y392" s="6"/>
      <c r="Z392" s="6">
        <f ca="1">('TUSD BE'!$AM$33+'TUSD BF'!$AM$33+'TUSD CVA'!$AM$33)*(1-CUSTOS!$M$38)</f>
        <v>408.71492269690788</v>
      </c>
      <c r="AA392" s="6">
        <f>('TE BE'!$AB$23+'TE BF'!$AB$23+'TE CVA'!$AB$23)*(1-CUSTOS!$M$38)</f>
        <v>300.75684149176499</v>
      </c>
      <c r="AB392" s="6">
        <f t="shared" si="26"/>
        <v>0</v>
      </c>
      <c r="AC392" s="6">
        <f>(L392-M392)*(W392+X392)+($W$198+$X$198-$W$392-$X$392)*(L392)</f>
        <v>189677.33816000028</v>
      </c>
      <c r="AD392" s="6">
        <f t="shared" si="27"/>
        <v>0</v>
      </c>
      <c r="AE392" s="6">
        <f ca="1">(L392-M392)*(Z392+AA392)+($Z$198+$AA$198-$Z$392-$AA$392)*(L392)</f>
        <v>110562.75135849798</v>
      </c>
      <c r="AF392" s="4" t="s">
        <v>846</v>
      </c>
    </row>
    <row r="393" spans="1:32" ht="11.25" customHeight="1" x14ac:dyDescent="0.25">
      <c r="A393" s="4" t="s">
        <v>27</v>
      </c>
      <c r="B393" s="4" t="s">
        <v>43</v>
      </c>
      <c r="C393" s="4" t="s">
        <v>23</v>
      </c>
      <c r="D393" s="4" t="s">
        <v>44</v>
      </c>
      <c r="E393" s="4" t="s">
        <v>52</v>
      </c>
      <c r="F393" s="4" t="s">
        <v>53</v>
      </c>
      <c r="G393" s="4" t="s">
        <v>25</v>
      </c>
      <c r="H393" s="4" t="s">
        <v>25</v>
      </c>
      <c r="I393" s="5">
        <v>44743</v>
      </c>
      <c r="J393" s="6">
        <v>0</v>
      </c>
      <c r="K393" s="6">
        <v>0</v>
      </c>
      <c r="L393" s="6">
        <v>-4.4029999999999996</v>
      </c>
      <c r="M393" s="6">
        <v>-4.4029999999999996</v>
      </c>
      <c r="N393" s="6">
        <v>-4.4029999999999996</v>
      </c>
      <c r="O393" s="6">
        <v>-4.4029999999999996</v>
      </c>
      <c r="P393" s="6">
        <v>0</v>
      </c>
      <c r="Q393" s="4" t="s">
        <v>26</v>
      </c>
      <c r="R393" s="4">
        <v>0</v>
      </c>
      <c r="S393" s="4">
        <v>0</v>
      </c>
      <c r="T393" s="4">
        <v>29</v>
      </c>
      <c r="U393" s="4">
        <v>66</v>
      </c>
      <c r="V393" s="6">
        <f>IF(ISERROR(VLOOKUP($S$393,'TAR FIN'!$A$1:$O$85,15,0)),0,VLOOKUP($S$393,'TAR FIN'!$A$1:$O$85,15,0))</f>
        <v>0</v>
      </c>
      <c r="W393" s="6">
        <f>IF(ISERROR(VLOOKUP($T$393,'TAR FIN'!$A$1:$O$85,15,0)),0,VLOOKUP($T$393,'TAR FIN'!$A$1:$O$85,15,0))</f>
        <v>285.89</v>
      </c>
      <c r="X393" s="6">
        <f>IF(ISERROR(VLOOKUP($U$393,'TAR FIN'!$A$1:$O$85,15,0)),0,VLOOKUP($U$393,'TAR FIN'!$A$1:$O$85,15,0))</f>
        <v>283.83999999999997</v>
      </c>
      <c r="Y393" s="6"/>
      <c r="Z393" s="6">
        <f ca="1">('TUSD BE'!$AM$33+'TUSD BF'!$AM$33+'TUSD CVA'!$AM$33)*(1-CUSTOS!$M$38)</f>
        <v>408.71492269690788</v>
      </c>
      <c r="AA393" s="6">
        <f>('TE BE'!$AB$23+'TE BF'!$AB$23+'TE CVA'!$AB$23)*(1-CUSTOS!$M$38)</f>
        <v>300.75684149176499</v>
      </c>
      <c r="AB393" s="6">
        <f t="shared" si="26"/>
        <v>0</v>
      </c>
      <c r="AC393" s="6">
        <f>(L393-M393)*(W393+X393)+($W$198+$X$198-$W$393-$X$393)*(L393)</f>
        <v>-342.06907000000047</v>
      </c>
      <c r="AD393" s="6">
        <f t="shared" si="27"/>
        <v>0</v>
      </c>
      <c r="AE393" s="6">
        <f ca="1">(L393-M393)*(Z393+AA393)+($Z$198+$AA$198-$Z$393-$AA$393)*(L393)</f>
        <v>-199.39175602485497</v>
      </c>
      <c r="AF393" s="4" t="s">
        <v>846</v>
      </c>
    </row>
    <row r="394" spans="1:32" ht="11.25" customHeight="1" x14ac:dyDescent="0.25">
      <c r="A394" s="4" t="s">
        <v>28</v>
      </c>
      <c r="B394" s="4" t="s">
        <v>43</v>
      </c>
      <c r="C394" s="4" t="s">
        <v>23</v>
      </c>
      <c r="D394" s="4" t="s">
        <v>44</v>
      </c>
      <c r="E394" s="4" t="s">
        <v>52</v>
      </c>
      <c r="F394" s="4" t="s">
        <v>53</v>
      </c>
      <c r="G394" s="4" t="s">
        <v>25</v>
      </c>
      <c r="H394" s="4" t="s">
        <v>25</v>
      </c>
      <c r="I394" s="5">
        <v>44743</v>
      </c>
      <c r="J394" s="6">
        <v>0</v>
      </c>
      <c r="K394" s="6">
        <v>0</v>
      </c>
      <c r="L394" s="6">
        <v>30.4</v>
      </c>
      <c r="M394" s="6">
        <v>30.4</v>
      </c>
      <c r="N394" s="6">
        <v>30.4</v>
      </c>
      <c r="O394" s="6">
        <v>30.4</v>
      </c>
      <c r="P394" s="6">
        <v>0</v>
      </c>
      <c r="Q394" s="4" t="s">
        <v>26</v>
      </c>
      <c r="R394" s="4">
        <v>0</v>
      </c>
      <c r="S394" s="4">
        <v>0</v>
      </c>
      <c r="T394" s="4">
        <v>29</v>
      </c>
      <c r="U394" s="4">
        <v>66</v>
      </c>
      <c r="V394" s="6">
        <f>IF(ISERROR(VLOOKUP($S$394,'TAR FIN'!$A$1:$O$85,15,0)),0,VLOOKUP($S$394,'TAR FIN'!$A$1:$O$85,15,0))</f>
        <v>0</v>
      </c>
      <c r="W394" s="6">
        <f>IF(ISERROR(VLOOKUP($T$394,'TAR FIN'!$A$1:$O$85,15,0)),0,VLOOKUP($T$394,'TAR FIN'!$A$1:$O$85,15,0))</f>
        <v>285.89</v>
      </c>
      <c r="X394" s="6">
        <f>IF(ISERROR(VLOOKUP($U$394,'TAR FIN'!$A$1:$O$85,15,0)),0,VLOOKUP($U$394,'TAR FIN'!$A$1:$O$85,15,0))</f>
        <v>283.83999999999997</v>
      </c>
      <c r="Y394" s="6"/>
      <c r="Z394" s="6">
        <f ca="1">('TUSD BE'!$AM$33+'TUSD BF'!$AM$33+'TUSD CVA'!$AM$33)*(1-CUSTOS!$M$38)</f>
        <v>408.71492269690788</v>
      </c>
      <c r="AA394" s="6">
        <f>('TE BE'!$AB$23+'TE BF'!$AB$23+'TE CVA'!$AB$23)*(1-CUSTOS!$M$38)</f>
        <v>300.75684149176499</v>
      </c>
      <c r="AB394" s="6">
        <f t="shared" si="26"/>
        <v>0</v>
      </c>
      <c r="AC394" s="6">
        <f>(L394-M394)*(W394+X394)+($W$198+$X$198-$W$394-$X$394)*(L394)</f>
        <v>2361.7760000000035</v>
      </c>
      <c r="AD394" s="6">
        <f t="shared" si="27"/>
        <v>0</v>
      </c>
      <c r="AE394" s="6">
        <f ca="1">(L394-M394)*(Z394+AA394)+($Z$198+$AA$198-$Z$394-$AA$394)*(L394)</f>
        <v>1376.6771254044043</v>
      </c>
      <c r="AF394" s="4" t="s">
        <v>846</v>
      </c>
    </row>
    <row r="395" spans="1:32" ht="11.25" customHeight="1" x14ac:dyDescent="0.25">
      <c r="A395" s="4" t="s">
        <v>56</v>
      </c>
      <c r="B395" s="4" t="s">
        <v>43</v>
      </c>
      <c r="C395" s="4" t="s">
        <v>23</v>
      </c>
      <c r="D395" s="4" t="s">
        <v>44</v>
      </c>
      <c r="E395" s="4" t="s">
        <v>52</v>
      </c>
      <c r="F395" s="4" t="s">
        <v>53</v>
      </c>
      <c r="G395" s="4" t="s">
        <v>25</v>
      </c>
      <c r="H395" s="4" t="s">
        <v>25</v>
      </c>
      <c r="I395" s="5">
        <v>44774</v>
      </c>
      <c r="J395" s="6">
        <v>0</v>
      </c>
      <c r="K395" s="6">
        <v>0</v>
      </c>
      <c r="L395" s="6">
        <v>2441.4639999999999</v>
      </c>
      <c r="M395" s="6">
        <v>2441.4639999999999</v>
      </c>
      <c r="N395" s="6">
        <v>2441.4639999999999</v>
      </c>
      <c r="O395" s="6">
        <v>2441.4639999999999</v>
      </c>
      <c r="P395" s="6">
        <v>0</v>
      </c>
      <c r="Q395" s="4" t="s">
        <v>26</v>
      </c>
      <c r="R395" s="4">
        <v>0</v>
      </c>
      <c r="S395" s="4">
        <v>0</v>
      </c>
      <c r="T395" s="4">
        <v>29</v>
      </c>
      <c r="U395" s="4">
        <v>66</v>
      </c>
      <c r="V395" s="6">
        <f>IF(ISERROR(VLOOKUP($S$395,'TAR FIN'!$A$1:$O$85,15,0)),0,VLOOKUP($S$395,'TAR FIN'!$A$1:$O$85,15,0))</f>
        <v>0</v>
      </c>
      <c r="W395" s="6">
        <f>IF(ISERROR(VLOOKUP($T$395,'TAR FIN'!$A$1:$O$85,15,0)),0,VLOOKUP($T$395,'TAR FIN'!$A$1:$O$85,15,0))</f>
        <v>285.89</v>
      </c>
      <c r="X395" s="6">
        <f>IF(ISERROR(VLOOKUP($U$395,'TAR FIN'!$A$1:$O$85,15,0)),0,VLOOKUP($U$395,'TAR FIN'!$A$1:$O$85,15,0))</f>
        <v>283.83999999999997</v>
      </c>
      <c r="Y395" s="6"/>
      <c r="Z395" s="6">
        <f ca="1">('TUSD BE'!$AM$33+'TUSD BF'!$AM$33+'TUSD CVA'!$AM$33)*(1-CUSTOS!$M$38)</f>
        <v>408.71492269690788</v>
      </c>
      <c r="AA395" s="6">
        <f>('TE BE'!$AB$23+'TE BF'!$AB$23+'TE CVA'!$AB$23)*(1-CUSTOS!$M$38)</f>
        <v>300.75684149176499</v>
      </c>
      <c r="AB395" s="6">
        <f t="shared" si="26"/>
        <v>0</v>
      </c>
      <c r="AC395" s="6">
        <f>(L395-M395)*(W395+X395)+($W$198+$X$198-$W$395-$X$395)*(L395)</f>
        <v>189677.33816000028</v>
      </c>
      <c r="AD395" s="6">
        <f t="shared" si="27"/>
        <v>0</v>
      </c>
      <c r="AE395" s="6">
        <f ca="1">(L395-M395)*(Z395+AA395)+($Z$198+$AA$198-$Z$395-$AA$395)*(L395)</f>
        <v>110562.75135849798</v>
      </c>
      <c r="AF395" s="4" t="s">
        <v>846</v>
      </c>
    </row>
    <row r="396" spans="1:32" ht="11.25" customHeight="1" x14ac:dyDescent="0.25">
      <c r="A396" s="4" t="s">
        <v>56</v>
      </c>
      <c r="B396" s="4" t="s">
        <v>43</v>
      </c>
      <c r="C396" s="4" t="s">
        <v>23</v>
      </c>
      <c r="D396" s="4" t="s">
        <v>44</v>
      </c>
      <c r="E396" s="4" t="s">
        <v>52</v>
      </c>
      <c r="F396" s="4" t="s">
        <v>53</v>
      </c>
      <c r="G396" s="4" t="s">
        <v>25</v>
      </c>
      <c r="H396" s="4" t="s">
        <v>25</v>
      </c>
      <c r="I396" s="5">
        <v>44774</v>
      </c>
      <c r="J396" s="6">
        <v>0</v>
      </c>
      <c r="K396" s="6">
        <v>0</v>
      </c>
      <c r="L396" s="6">
        <v>-4.4029999999999996</v>
      </c>
      <c r="M396" s="6">
        <v>-4.4029999999999996</v>
      </c>
      <c r="N396" s="6">
        <v>-4.4029999999999996</v>
      </c>
      <c r="O396" s="6">
        <v>-4.4029999999999996</v>
      </c>
      <c r="P396" s="6">
        <v>0</v>
      </c>
      <c r="Q396" s="4" t="s">
        <v>26</v>
      </c>
      <c r="R396" s="4">
        <v>0</v>
      </c>
      <c r="S396" s="4">
        <v>0</v>
      </c>
      <c r="T396" s="4">
        <v>29</v>
      </c>
      <c r="U396" s="4">
        <v>66</v>
      </c>
      <c r="V396" s="6">
        <f>IF(ISERROR(VLOOKUP($S$396,'TAR FIN'!$A$1:$O$85,15,0)),0,VLOOKUP($S$396,'TAR FIN'!$A$1:$O$85,15,0))</f>
        <v>0</v>
      </c>
      <c r="W396" s="6">
        <f>IF(ISERROR(VLOOKUP($T$396,'TAR FIN'!$A$1:$O$85,15,0)),0,VLOOKUP($T$396,'TAR FIN'!$A$1:$O$85,15,0))</f>
        <v>285.89</v>
      </c>
      <c r="X396" s="6">
        <f>IF(ISERROR(VLOOKUP($U$396,'TAR FIN'!$A$1:$O$85,15,0)),0,VLOOKUP($U$396,'TAR FIN'!$A$1:$O$85,15,0))</f>
        <v>283.83999999999997</v>
      </c>
      <c r="Y396" s="6"/>
      <c r="Z396" s="6">
        <f ca="1">('TUSD BE'!$AM$33+'TUSD BF'!$AM$33+'TUSD CVA'!$AM$33)*(1-CUSTOS!$M$38)</f>
        <v>408.71492269690788</v>
      </c>
      <c r="AA396" s="6">
        <f>('TE BE'!$AB$23+'TE BF'!$AB$23+'TE CVA'!$AB$23)*(1-CUSTOS!$M$38)</f>
        <v>300.75684149176499</v>
      </c>
      <c r="AB396" s="6">
        <f t="shared" si="26"/>
        <v>0</v>
      </c>
      <c r="AC396" s="6">
        <f>(L396-M396)*(W396+X396)+($W$198+$X$198-$W$396-$X$396)*(L396)</f>
        <v>-342.06907000000047</v>
      </c>
      <c r="AD396" s="6">
        <f t="shared" si="27"/>
        <v>0</v>
      </c>
      <c r="AE396" s="6">
        <f ca="1">(L396-M396)*(Z396+AA396)+($Z$198+$AA$198-$Z$396-$AA$396)*(L396)</f>
        <v>-199.39175602485497</v>
      </c>
      <c r="AF396" s="4" t="s">
        <v>846</v>
      </c>
    </row>
    <row r="397" spans="1:32" ht="11.25" customHeight="1" x14ac:dyDescent="0.25">
      <c r="A397" s="4" t="s">
        <v>56</v>
      </c>
      <c r="B397" s="4" t="s">
        <v>43</v>
      </c>
      <c r="C397" s="4" t="s">
        <v>23</v>
      </c>
      <c r="D397" s="4" t="s">
        <v>44</v>
      </c>
      <c r="E397" s="4" t="s">
        <v>52</v>
      </c>
      <c r="F397" s="4" t="s">
        <v>53</v>
      </c>
      <c r="G397" s="4" t="s">
        <v>25</v>
      </c>
      <c r="H397" s="4" t="s">
        <v>25</v>
      </c>
      <c r="I397" s="5">
        <v>44774</v>
      </c>
      <c r="J397" s="6">
        <v>0</v>
      </c>
      <c r="K397" s="6">
        <v>0</v>
      </c>
      <c r="L397" s="6">
        <v>30.4</v>
      </c>
      <c r="M397" s="6">
        <v>30.4</v>
      </c>
      <c r="N397" s="6">
        <v>30.4</v>
      </c>
      <c r="O397" s="6">
        <v>30.4</v>
      </c>
      <c r="P397" s="6">
        <v>0</v>
      </c>
      <c r="Q397" s="4" t="s">
        <v>26</v>
      </c>
      <c r="R397" s="4">
        <v>0</v>
      </c>
      <c r="S397" s="4">
        <v>0</v>
      </c>
      <c r="T397" s="4">
        <v>29</v>
      </c>
      <c r="U397" s="4">
        <v>66</v>
      </c>
      <c r="V397" s="6">
        <f>IF(ISERROR(VLOOKUP($S$397,'TAR FIN'!$A$1:$O$85,15,0)),0,VLOOKUP($S$397,'TAR FIN'!$A$1:$O$85,15,0))</f>
        <v>0</v>
      </c>
      <c r="W397" s="6">
        <f>IF(ISERROR(VLOOKUP($T$397,'TAR FIN'!$A$1:$O$85,15,0)),0,VLOOKUP($T$397,'TAR FIN'!$A$1:$O$85,15,0))</f>
        <v>285.89</v>
      </c>
      <c r="X397" s="6">
        <f>IF(ISERROR(VLOOKUP($U$397,'TAR FIN'!$A$1:$O$85,15,0)),0,VLOOKUP($U$397,'TAR FIN'!$A$1:$O$85,15,0))</f>
        <v>283.83999999999997</v>
      </c>
      <c r="Y397" s="6"/>
      <c r="Z397" s="6">
        <f ca="1">('TUSD BE'!$AM$33+'TUSD BF'!$AM$33+'TUSD CVA'!$AM$33)*(1-CUSTOS!$M$38)</f>
        <v>408.71492269690788</v>
      </c>
      <c r="AA397" s="6">
        <f>('TE BE'!$AB$23+'TE BF'!$AB$23+'TE CVA'!$AB$23)*(1-CUSTOS!$M$38)</f>
        <v>300.75684149176499</v>
      </c>
      <c r="AB397" s="6">
        <f t="shared" si="26"/>
        <v>0</v>
      </c>
      <c r="AC397" s="6">
        <f>(L397-M397)*(W397+X397)+($W$198+$X$198-$W$397-$X$397)*(L397)</f>
        <v>2361.7760000000035</v>
      </c>
      <c r="AD397" s="6">
        <f t="shared" si="27"/>
        <v>0</v>
      </c>
      <c r="AE397" s="6">
        <f ca="1">(L397-M397)*(Z397+AA397)+($Z$198+$AA$198-$Z$397-$AA$397)*(L397)</f>
        <v>1376.6771254044043</v>
      </c>
      <c r="AF397" s="4" t="s">
        <v>846</v>
      </c>
    </row>
    <row r="398" spans="1:32" ht="11.25" customHeight="1" x14ac:dyDescent="0.25">
      <c r="A398" s="4" t="s">
        <v>21</v>
      </c>
      <c r="B398" s="4" t="s">
        <v>43</v>
      </c>
      <c r="C398" s="4" t="s">
        <v>23</v>
      </c>
      <c r="D398" s="4" t="s">
        <v>44</v>
      </c>
      <c r="E398" s="4" t="s">
        <v>52</v>
      </c>
      <c r="F398" s="4" t="s">
        <v>54</v>
      </c>
      <c r="G398" s="4" t="s">
        <v>25</v>
      </c>
      <c r="H398" s="4" t="s">
        <v>25</v>
      </c>
      <c r="I398" s="5">
        <v>44440</v>
      </c>
      <c r="J398" s="6">
        <v>0</v>
      </c>
      <c r="K398" s="6">
        <v>0</v>
      </c>
      <c r="L398" s="6">
        <v>9623.5360000000001</v>
      </c>
      <c r="M398" s="6">
        <v>2598.3547199999998</v>
      </c>
      <c r="N398" s="6">
        <v>9623.5360000000001</v>
      </c>
      <c r="O398" s="6">
        <v>2598.3547199999998</v>
      </c>
      <c r="P398" s="6">
        <v>0</v>
      </c>
      <c r="Q398" s="4" t="s">
        <v>26</v>
      </c>
      <c r="R398" s="4">
        <v>0</v>
      </c>
      <c r="S398" s="4">
        <v>0</v>
      </c>
      <c r="T398" s="4">
        <v>29</v>
      </c>
      <c r="U398" s="4">
        <v>66</v>
      </c>
      <c r="V398" s="6">
        <f>IF(ISERROR(VLOOKUP($S$398,'TAR FIN'!$A$1:$O$85,15,0)),0,VLOOKUP($S$398,'TAR FIN'!$A$1:$O$85,15,0))</f>
        <v>0</v>
      </c>
      <c r="W398" s="6">
        <f>IF(ISERROR(VLOOKUP($T$398,'TAR FIN'!$A$1:$O$85,15,0)),0,VLOOKUP($T$398,'TAR FIN'!$A$1:$O$85,15,0))</f>
        <v>285.89</v>
      </c>
      <c r="X398" s="6">
        <f>IF(ISERROR(VLOOKUP($U$398,'TAR FIN'!$A$1:$O$85,15,0)),0,VLOOKUP($U$398,'TAR FIN'!$A$1:$O$85,15,0))</f>
        <v>283.83999999999997</v>
      </c>
      <c r="Y398" s="6"/>
      <c r="Z398" s="6">
        <f ca="1">('TUSD BE'!$AM$33+'TUSD BF'!$AM$33+'TUSD CVA'!$AM$33)*(1-CUSTOS!$M$38)</f>
        <v>408.71492269690788</v>
      </c>
      <c r="AA398" s="6">
        <f>('TE BE'!$AB$23+'TE BF'!$AB$23+'TE CVA'!$AB$23)*(1-CUSTOS!$M$38)</f>
        <v>300.75684149176499</v>
      </c>
      <c r="AB398" s="6">
        <f t="shared" si="26"/>
        <v>0</v>
      </c>
      <c r="AC398" s="6">
        <f>(L398-M398)*(W398+X398)+($W$198+$X$198-$W$398-$X$398)*(L398)</f>
        <v>4750109.0424944013</v>
      </c>
      <c r="AD398" s="6">
        <f t="shared" si="27"/>
        <v>0</v>
      </c>
      <c r="AE398" s="6">
        <f ca="1">(L398-M398)*(Z398+AA398)+($Z$198+$AA$198-$Z$398-$AA$398)*(L398)</f>
        <v>5419973.7392532146</v>
      </c>
      <c r="AF398" s="4" t="s">
        <v>850</v>
      </c>
    </row>
    <row r="399" spans="1:32" ht="11.25" customHeight="1" x14ac:dyDescent="0.25">
      <c r="A399" s="4" t="s">
        <v>27</v>
      </c>
      <c r="B399" s="4" t="s">
        <v>43</v>
      </c>
      <c r="C399" s="4" t="s">
        <v>23</v>
      </c>
      <c r="D399" s="4" t="s">
        <v>44</v>
      </c>
      <c r="E399" s="4" t="s">
        <v>52</v>
      </c>
      <c r="F399" s="4" t="s">
        <v>54</v>
      </c>
      <c r="G399" s="4" t="s">
        <v>25</v>
      </c>
      <c r="H399" s="4" t="s">
        <v>25</v>
      </c>
      <c r="I399" s="5">
        <v>44440</v>
      </c>
      <c r="J399" s="6">
        <v>0</v>
      </c>
      <c r="K399" s="6">
        <v>0</v>
      </c>
      <c r="L399" s="6">
        <v>12.765000000000001</v>
      </c>
      <c r="M399" s="6">
        <v>3.4465499999999998</v>
      </c>
      <c r="N399" s="6">
        <v>12.765000000000001</v>
      </c>
      <c r="O399" s="6">
        <v>3.4465499999999998</v>
      </c>
      <c r="P399" s="6">
        <v>0</v>
      </c>
      <c r="Q399" s="4" t="s">
        <v>26</v>
      </c>
      <c r="R399" s="4">
        <v>0</v>
      </c>
      <c r="S399" s="4">
        <v>0</v>
      </c>
      <c r="T399" s="4">
        <v>29</v>
      </c>
      <c r="U399" s="4">
        <v>66</v>
      </c>
      <c r="V399" s="6">
        <f>IF(ISERROR(VLOOKUP($S$399,'TAR FIN'!$A$1:$O$85,15,0)),0,VLOOKUP($S$399,'TAR FIN'!$A$1:$O$85,15,0))</f>
        <v>0</v>
      </c>
      <c r="W399" s="6">
        <f>IF(ISERROR(VLOOKUP($T$399,'TAR FIN'!$A$1:$O$85,15,0)),0,VLOOKUP($T$399,'TAR FIN'!$A$1:$O$85,15,0))</f>
        <v>285.89</v>
      </c>
      <c r="X399" s="6">
        <f>IF(ISERROR(VLOOKUP($U$399,'TAR FIN'!$A$1:$O$85,15,0)),0,VLOOKUP($U$399,'TAR FIN'!$A$1:$O$85,15,0))</f>
        <v>283.83999999999997</v>
      </c>
      <c r="Y399" s="6"/>
      <c r="Z399" s="6">
        <f ca="1">('TUSD BE'!$AM$33+'TUSD BF'!$AM$33+'TUSD CVA'!$AM$33)*(1-CUSTOS!$M$38)</f>
        <v>408.71492269690788</v>
      </c>
      <c r="AA399" s="6">
        <f>('TE BE'!$AB$23+'TE BF'!$AB$23+'TE CVA'!$AB$23)*(1-CUSTOS!$M$38)</f>
        <v>300.75684149176499</v>
      </c>
      <c r="AB399" s="6">
        <f t="shared" si="26"/>
        <v>0</v>
      </c>
      <c r="AC399" s="6">
        <f>(L399-M399)*(W399+X399)+($W$198+$X$198-$W$399-$X$399)*(L399)</f>
        <v>6300.7133685000017</v>
      </c>
      <c r="AD399" s="6">
        <f t="shared" si="27"/>
        <v>0</v>
      </c>
      <c r="AE399" s="6">
        <f ca="1">(L399-M399)*(Z399+AA399)+($Z$198+$AA$198-$Z$399-$AA$399)*(L399)</f>
        <v>7189.2456973785183</v>
      </c>
      <c r="AF399" s="4" t="s">
        <v>850</v>
      </c>
    </row>
    <row r="400" spans="1:32" ht="11.25" customHeight="1" x14ac:dyDescent="0.25">
      <c r="A400" s="4" t="s">
        <v>28</v>
      </c>
      <c r="B400" s="4" t="s">
        <v>43</v>
      </c>
      <c r="C400" s="4" t="s">
        <v>23</v>
      </c>
      <c r="D400" s="4" t="s">
        <v>44</v>
      </c>
      <c r="E400" s="4" t="s">
        <v>52</v>
      </c>
      <c r="F400" s="4" t="s">
        <v>54</v>
      </c>
      <c r="G400" s="4" t="s">
        <v>25</v>
      </c>
      <c r="H400" s="4" t="s">
        <v>25</v>
      </c>
      <c r="I400" s="5">
        <v>44440</v>
      </c>
      <c r="J400" s="6">
        <v>0</v>
      </c>
      <c r="K400" s="6">
        <v>0</v>
      </c>
      <c r="L400" s="6">
        <v>43.823999999999998</v>
      </c>
      <c r="M400" s="6">
        <v>11.83248</v>
      </c>
      <c r="N400" s="6">
        <v>43.823999999999998</v>
      </c>
      <c r="O400" s="6">
        <v>11.83248</v>
      </c>
      <c r="P400" s="6">
        <v>0</v>
      </c>
      <c r="Q400" s="4" t="s">
        <v>26</v>
      </c>
      <c r="R400" s="4">
        <v>0</v>
      </c>
      <c r="S400" s="4">
        <v>0</v>
      </c>
      <c r="T400" s="4">
        <v>29</v>
      </c>
      <c r="U400" s="4">
        <v>66</v>
      </c>
      <c r="V400" s="6">
        <f>IF(ISERROR(VLOOKUP($S$400,'TAR FIN'!$A$1:$O$85,15,0)),0,VLOOKUP($S$400,'TAR FIN'!$A$1:$O$85,15,0))</f>
        <v>0</v>
      </c>
      <c r="W400" s="6">
        <f>IF(ISERROR(VLOOKUP($T$400,'TAR FIN'!$A$1:$O$85,15,0)),0,VLOOKUP($T$400,'TAR FIN'!$A$1:$O$85,15,0))</f>
        <v>285.89</v>
      </c>
      <c r="X400" s="6">
        <f>IF(ISERROR(VLOOKUP($U$400,'TAR FIN'!$A$1:$O$85,15,0)),0,VLOOKUP($U$400,'TAR FIN'!$A$1:$O$85,15,0))</f>
        <v>283.83999999999997</v>
      </c>
      <c r="Y400" s="6"/>
      <c r="Z400" s="6">
        <f ca="1">('TUSD BE'!$AM$33+'TUSD BF'!$AM$33+'TUSD CVA'!$AM$33)*(1-CUSTOS!$M$38)</f>
        <v>408.71492269690788</v>
      </c>
      <c r="AA400" s="6">
        <f>('TE BE'!$AB$23+'TE BF'!$AB$23+'TE CVA'!$AB$23)*(1-CUSTOS!$M$38)</f>
        <v>300.75684149176499</v>
      </c>
      <c r="AB400" s="6">
        <f t="shared" si="26"/>
        <v>0</v>
      </c>
      <c r="AC400" s="6">
        <f>(L400-M400)*(W400+X400)+($W$198+$X$198-$W$400-$X$400)*(L400)</f>
        <v>21631.215249600005</v>
      </c>
      <c r="AD400" s="6">
        <f t="shared" si="27"/>
        <v>0</v>
      </c>
      <c r="AE400" s="6">
        <f ca="1">(L400-M400)*(Z400+AA400)+($Z$198+$AA$198-$Z$400-$AA$400)*(L400)</f>
        <v>24681.668894783877</v>
      </c>
      <c r="AF400" s="4" t="s">
        <v>850</v>
      </c>
    </row>
    <row r="401" spans="1:32" ht="11.25" customHeight="1" x14ac:dyDescent="0.25">
      <c r="A401" s="4" t="s">
        <v>21</v>
      </c>
      <c r="B401" s="4" t="s">
        <v>43</v>
      </c>
      <c r="C401" s="4" t="s">
        <v>23</v>
      </c>
      <c r="D401" s="4" t="s">
        <v>44</v>
      </c>
      <c r="E401" s="4" t="s">
        <v>52</v>
      </c>
      <c r="F401" s="4" t="s">
        <v>54</v>
      </c>
      <c r="G401" s="4" t="s">
        <v>25</v>
      </c>
      <c r="H401" s="4" t="s">
        <v>25</v>
      </c>
      <c r="I401" s="5">
        <v>44470</v>
      </c>
      <c r="J401" s="6">
        <v>0</v>
      </c>
      <c r="K401" s="6">
        <v>0</v>
      </c>
      <c r="L401" s="6">
        <v>9792.9860000000008</v>
      </c>
      <c r="M401" s="6">
        <v>2644.1062200000001</v>
      </c>
      <c r="N401" s="6">
        <v>9792.9860000000008</v>
      </c>
      <c r="O401" s="6">
        <v>2644.1062200000001</v>
      </c>
      <c r="P401" s="6">
        <v>0</v>
      </c>
      <c r="Q401" s="4" t="s">
        <v>26</v>
      </c>
      <c r="R401" s="4">
        <v>0</v>
      </c>
      <c r="S401" s="4">
        <v>0</v>
      </c>
      <c r="T401" s="4">
        <v>29</v>
      </c>
      <c r="U401" s="4">
        <v>66</v>
      </c>
      <c r="V401" s="6">
        <f>IF(ISERROR(VLOOKUP($S$401,'TAR FIN'!$A$1:$O$85,15,0)),0,VLOOKUP($S$401,'TAR FIN'!$A$1:$O$85,15,0))</f>
        <v>0</v>
      </c>
      <c r="W401" s="6">
        <f>IF(ISERROR(VLOOKUP($T$401,'TAR FIN'!$A$1:$O$85,15,0)),0,VLOOKUP($T$401,'TAR FIN'!$A$1:$O$85,15,0))</f>
        <v>285.89</v>
      </c>
      <c r="X401" s="6">
        <f>IF(ISERROR(VLOOKUP($U$401,'TAR FIN'!$A$1:$O$85,15,0)),0,VLOOKUP($U$401,'TAR FIN'!$A$1:$O$85,15,0))</f>
        <v>283.83999999999997</v>
      </c>
      <c r="Y401" s="6"/>
      <c r="Z401" s="6">
        <f ca="1">('TUSD BE'!$AM$33+'TUSD BF'!$AM$33+'TUSD CVA'!$AM$33)*(1-CUSTOS!$M$38)</f>
        <v>408.71492269690788</v>
      </c>
      <c r="AA401" s="6">
        <f>('TE BE'!$AB$23+'TE BF'!$AB$23+'TE CVA'!$AB$23)*(1-CUSTOS!$M$38)</f>
        <v>300.75684149176499</v>
      </c>
      <c r="AB401" s="6">
        <f t="shared" si="26"/>
        <v>0</v>
      </c>
      <c r="AC401" s="6">
        <f>(L401-M401)*(W401+X401)+($W$198+$X$198-$W$401-$X$401)*(L401)</f>
        <v>4833748.3593994025</v>
      </c>
      <c r="AD401" s="6">
        <f t="shared" si="27"/>
        <v>0</v>
      </c>
      <c r="AE401" s="6">
        <f ca="1">(L401-M401)*(Z401+AA401)+($Z$198+$AA$198-$Z$401-$AA$401)*(L401)</f>
        <v>5515407.9486868838</v>
      </c>
      <c r="AF401" s="4" t="s">
        <v>850</v>
      </c>
    </row>
    <row r="402" spans="1:32" ht="11.25" customHeight="1" x14ac:dyDescent="0.25">
      <c r="A402" s="4" t="s">
        <v>27</v>
      </c>
      <c r="B402" s="4" t="s">
        <v>43</v>
      </c>
      <c r="C402" s="4" t="s">
        <v>23</v>
      </c>
      <c r="D402" s="4" t="s">
        <v>44</v>
      </c>
      <c r="E402" s="4" t="s">
        <v>52</v>
      </c>
      <c r="F402" s="4" t="s">
        <v>54</v>
      </c>
      <c r="G402" s="4" t="s">
        <v>25</v>
      </c>
      <c r="H402" s="4" t="s">
        <v>25</v>
      </c>
      <c r="I402" s="5">
        <v>44470</v>
      </c>
      <c r="J402" s="6">
        <v>0</v>
      </c>
      <c r="K402" s="6">
        <v>0</v>
      </c>
      <c r="L402" s="6">
        <v>1.034</v>
      </c>
      <c r="M402" s="6">
        <v>0.27917999999999998</v>
      </c>
      <c r="N402" s="6">
        <v>1.034</v>
      </c>
      <c r="O402" s="6">
        <v>0.27917999999999998</v>
      </c>
      <c r="P402" s="6">
        <v>0</v>
      </c>
      <c r="Q402" s="4" t="s">
        <v>26</v>
      </c>
      <c r="R402" s="4">
        <v>0</v>
      </c>
      <c r="S402" s="4">
        <v>0</v>
      </c>
      <c r="T402" s="4">
        <v>29</v>
      </c>
      <c r="U402" s="4">
        <v>66</v>
      </c>
      <c r="V402" s="6">
        <f>IF(ISERROR(VLOOKUP($S$402,'TAR FIN'!$A$1:$O$85,15,0)),0,VLOOKUP($S$402,'TAR FIN'!$A$1:$O$85,15,0))</f>
        <v>0</v>
      </c>
      <c r="W402" s="6">
        <f>IF(ISERROR(VLOOKUP($T$402,'TAR FIN'!$A$1:$O$85,15,0)),0,VLOOKUP($T$402,'TAR FIN'!$A$1:$O$85,15,0))</f>
        <v>285.89</v>
      </c>
      <c r="X402" s="6">
        <f>IF(ISERROR(VLOOKUP($U$402,'TAR FIN'!$A$1:$O$85,15,0)),0,VLOOKUP($U$402,'TAR FIN'!$A$1:$O$85,15,0))</f>
        <v>283.83999999999997</v>
      </c>
      <c r="Y402" s="6"/>
      <c r="Z402" s="6">
        <f ca="1">('TUSD BE'!$AM$33+'TUSD BF'!$AM$33+'TUSD CVA'!$AM$33)*(1-CUSTOS!$M$38)</f>
        <v>408.71492269690788</v>
      </c>
      <c r="AA402" s="6">
        <f>('TE BE'!$AB$23+'TE BF'!$AB$23+'TE CVA'!$AB$23)*(1-CUSTOS!$M$38)</f>
        <v>300.75684149176499</v>
      </c>
      <c r="AB402" s="6">
        <f t="shared" si="26"/>
        <v>0</v>
      </c>
      <c r="AC402" s="6">
        <f>(L402-M402)*(W402+X402)+($W$198+$X$198-$W$402-$X$402)*(L402)</f>
        <v>510.37505860000016</v>
      </c>
      <c r="AD402" s="6">
        <f t="shared" si="27"/>
        <v>0</v>
      </c>
      <c r="AE402" s="6">
        <f ca="1">(L402-M402)*(Z402+AA402)+($Z$198+$AA$198-$Z$402-$AA$402)*(L402)</f>
        <v>582.34861348134655</v>
      </c>
      <c r="AF402" s="4" t="s">
        <v>850</v>
      </c>
    </row>
    <row r="403" spans="1:32" ht="11.25" customHeight="1" x14ac:dyDescent="0.25">
      <c r="A403" s="4" t="s">
        <v>28</v>
      </c>
      <c r="B403" s="4" t="s">
        <v>43</v>
      </c>
      <c r="C403" s="4" t="s">
        <v>23</v>
      </c>
      <c r="D403" s="4" t="s">
        <v>44</v>
      </c>
      <c r="E403" s="4" t="s">
        <v>52</v>
      </c>
      <c r="F403" s="4" t="s">
        <v>54</v>
      </c>
      <c r="G403" s="4" t="s">
        <v>25</v>
      </c>
      <c r="H403" s="4" t="s">
        <v>25</v>
      </c>
      <c r="I403" s="5">
        <v>44470</v>
      </c>
      <c r="J403" s="6">
        <v>0</v>
      </c>
      <c r="K403" s="6">
        <v>0</v>
      </c>
      <c r="L403" s="6">
        <v>52.6</v>
      </c>
      <c r="M403" s="6">
        <v>14.202</v>
      </c>
      <c r="N403" s="6">
        <v>52.6</v>
      </c>
      <c r="O403" s="6">
        <v>14.202</v>
      </c>
      <c r="P403" s="6">
        <v>0</v>
      </c>
      <c r="Q403" s="4" t="s">
        <v>26</v>
      </c>
      <c r="R403" s="4">
        <v>0</v>
      </c>
      <c r="S403" s="4">
        <v>0</v>
      </c>
      <c r="T403" s="4">
        <v>29</v>
      </c>
      <c r="U403" s="4">
        <v>66</v>
      </c>
      <c r="V403" s="6">
        <f>IF(ISERROR(VLOOKUP($S$403,'TAR FIN'!$A$1:$O$85,15,0)),0,VLOOKUP($S$403,'TAR FIN'!$A$1:$O$85,15,0))</f>
        <v>0</v>
      </c>
      <c r="W403" s="6">
        <f>IF(ISERROR(VLOOKUP($T$403,'TAR FIN'!$A$1:$O$85,15,0)),0,VLOOKUP($T$403,'TAR FIN'!$A$1:$O$85,15,0))</f>
        <v>285.89</v>
      </c>
      <c r="X403" s="6">
        <f>IF(ISERROR(VLOOKUP($U$403,'TAR FIN'!$A$1:$O$85,15,0)),0,VLOOKUP($U$403,'TAR FIN'!$A$1:$O$85,15,0))</f>
        <v>283.83999999999997</v>
      </c>
      <c r="Y403" s="6"/>
      <c r="Z403" s="6">
        <f ca="1">('TUSD BE'!$AM$33+'TUSD BF'!$AM$33+'TUSD CVA'!$AM$33)*(1-CUSTOS!$M$38)</f>
        <v>408.71492269690788</v>
      </c>
      <c r="AA403" s="6">
        <f>('TE BE'!$AB$23+'TE BF'!$AB$23+'TE CVA'!$AB$23)*(1-CUSTOS!$M$38)</f>
        <v>300.75684149176499</v>
      </c>
      <c r="AB403" s="6">
        <f t="shared" si="26"/>
        <v>0</v>
      </c>
      <c r="AC403" s="6">
        <f>(L403-M403)*(W403+X403)+($W$198+$X$198-$W$403-$X$403)*(L403)</f>
        <v>25962.986540000009</v>
      </c>
      <c r="AD403" s="6">
        <f t="shared" si="27"/>
        <v>0</v>
      </c>
      <c r="AE403" s="6">
        <f ca="1">(L403-M403)*(Z403+AA403)+($Z$198+$AA$198-$Z$403-$AA$403)*(L403)</f>
        <v>29624.310511720338</v>
      </c>
      <c r="AF403" s="4" t="s">
        <v>850</v>
      </c>
    </row>
    <row r="404" spans="1:32" ht="11.25" customHeight="1" x14ac:dyDescent="0.25">
      <c r="A404" s="4" t="s">
        <v>21</v>
      </c>
      <c r="B404" s="4" t="s">
        <v>43</v>
      </c>
      <c r="C404" s="4" t="s">
        <v>23</v>
      </c>
      <c r="D404" s="4" t="s">
        <v>44</v>
      </c>
      <c r="E404" s="4" t="s">
        <v>52</v>
      </c>
      <c r="F404" s="4" t="s">
        <v>54</v>
      </c>
      <c r="G404" s="4" t="s">
        <v>25</v>
      </c>
      <c r="H404" s="4" t="s">
        <v>25</v>
      </c>
      <c r="I404" s="5">
        <v>44501</v>
      </c>
      <c r="J404" s="6">
        <v>0</v>
      </c>
      <c r="K404" s="6">
        <v>0</v>
      </c>
      <c r="L404" s="6">
        <v>1895.463</v>
      </c>
      <c r="M404" s="6">
        <v>511.77501000000001</v>
      </c>
      <c r="N404" s="6">
        <v>1895.463</v>
      </c>
      <c r="O404" s="6">
        <v>511.77501000000001</v>
      </c>
      <c r="P404" s="6">
        <v>0</v>
      </c>
      <c r="Q404" s="4" t="s">
        <v>26</v>
      </c>
      <c r="R404" s="4">
        <v>0</v>
      </c>
      <c r="S404" s="4">
        <v>0</v>
      </c>
      <c r="T404" s="4">
        <v>29</v>
      </c>
      <c r="U404" s="4">
        <v>66</v>
      </c>
      <c r="V404" s="6">
        <f>IF(ISERROR(VLOOKUP($S$404,'TAR FIN'!$A$1:$O$85,15,0)),0,VLOOKUP($S$404,'TAR FIN'!$A$1:$O$85,15,0))</f>
        <v>0</v>
      </c>
      <c r="W404" s="6">
        <f>IF(ISERROR(VLOOKUP($T$404,'TAR FIN'!$A$1:$O$85,15,0)),0,VLOOKUP($T$404,'TAR FIN'!$A$1:$O$85,15,0))</f>
        <v>285.89</v>
      </c>
      <c r="X404" s="6">
        <f>IF(ISERROR(VLOOKUP($U$404,'TAR FIN'!$A$1:$O$85,15,0)),0,VLOOKUP($U$404,'TAR FIN'!$A$1:$O$85,15,0))</f>
        <v>283.83999999999997</v>
      </c>
      <c r="Y404" s="6"/>
      <c r="Z404" s="6">
        <f ca="1">('TUSD BE'!$AM$33+'TUSD BF'!$AM$33+'TUSD CVA'!$AM$33)*(1-CUSTOS!$M$38)</f>
        <v>408.71492269690788</v>
      </c>
      <c r="AA404" s="6">
        <f>('TE BE'!$AB$23+'TE BF'!$AB$23+'TE CVA'!$AB$23)*(1-CUSTOS!$M$38)</f>
        <v>300.75684149176499</v>
      </c>
      <c r="AB404" s="6">
        <f t="shared" si="26"/>
        <v>0</v>
      </c>
      <c r="AC404" s="6">
        <f>(L404-M404)*(W404+X404)+($W$198+$X$198-$W$404-$X$404)*(L404)</f>
        <v>935587.07901270024</v>
      </c>
      <c r="AD404" s="6">
        <f t="shared" si="27"/>
        <v>0</v>
      </c>
      <c r="AE404" s="6">
        <f ca="1">(L404-M404)*(Z404+AA404)+($Z$198+$AA$198-$Z$404-$AA$404)*(L404)</f>
        <v>1067524.4196858737</v>
      </c>
      <c r="AF404" s="4" t="s">
        <v>850</v>
      </c>
    </row>
    <row r="405" spans="1:32" ht="11.25" customHeight="1" x14ac:dyDescent="0.25">
      <c r="A405" s="4" t="s">
        <v>27</v>
      </c>
      <c r="B405" s="4" t="s">
        <v>43</v>
      </c>
      <c r="C405" s="4" t="s">
        <v>23</v>
      </c>
      <c r="D405" s="4" t="s">
        <v>44</v>
      </c>
      <c r="E405" s="4" t="s">
        <v>52</v>
      </c>
      <c r="F405" s="4" t="s">
        <v>54</v>
      </c>
      <c r="G405" s="4" t="s">
        <v>25</v>
      </c>
      <c r="H405" s="4" t="s">
        <v>25</v>
      </c>
      <c r="I405" s="5">
        <v>44501</v>
      </c>
      <c r="J405" s="6">
        <v>0</v>
      </c>
      <c r="K405" s="6">
        <v>0</v>
      </c>
      <c r="L405" s="6">
        <v>4.5720000000000001</v>
      </c>
      <c r="M405" s="6">
        <v>1.23444</v>
      </c>
      <c r="N405" s="6">
        <v>4.5720000000000001</v>
      </c>
      <c r="O405" s="6">
        <v>1.23444</v>
      </c>
      <c r="P405" s="6">
        <v>0</v>
      </c>
      <c r="Q405" s="4" t="s">
        <v>26</v>
      </c>
      <c r="R405" s="4">
        <v>0</v>
      </c>
      <c r="S405" s="4">
        <v>0</v>
      </c>
      <c r="T405" s="4">
        <v>29</v>
      </c>
      <c r="U405" s="4">
        <v>66</v>
      </c>
      <c r="V405" s="6">
        <f>IF(ISERROR(VLOOKUP($S$405,'TAR FIN'!$A$1:$O$85,15,0)),0,VLOOKUP($S$405,'TAR FIN'!$A$1:$O$85,15,0))</f>
        <v>0</v>
      </c>
      <c r="W405" s="6">
        <f>IF(ISERROR(VLOOKUP($T$405,'TAR FIN'!$A$1:$O$85,15,0)),0,VLOOKUP($T$405,'TAR FIN'!$A$1:$O$85,15,0))</f>
        <v>285.89</v>
      </c>
      <c r="X405" s="6">
        <f>IF(ISERROR(VLOOKUP($U$405,'TAR FIN'!$A$1:$O$85,15,0)),0,VLOOKUP($U$405,'TAR FIN'!$A$1:$O$85,15,0))</f>
        <v>283.83999999999997</v>
      </c>
      <c r="Y405" s="6"/>
      <c r="Z405" s="6">
        <f ca="1">('TUSD BE'!$AM$33+'TUSD BF'!$AM$33+'TUSD CVA'!$AM$33)*(1-CUSTOS!$M$38)</f>
        <v>408.71492269690788</v>
      </c>
      <c r="AA405" s="6">
        <f>('TE BE'!$AB$23+'TE BF'!$AB$23+'TE CVA'!$AB$23)*(1-CUSTOS!$M$38)</f>
        <v>300.75684149176499</v>
      </c>
      <c r="AB405" s="6">
        <f t="shared" si="26"/>
        <v>0</v>
      </c>
      <c r="AC405" s="6">
        <f>(L405-M405)*(W405+X405)+($W$198+$X$198-$W$405-$X$405)*(L405)</f>
        <v>2256.7067388000005</v>
      </c>
      <c r="AD405" s="6">
        <f t="shared" si="27"/>
        <v>0</v>
      </c>
      <c r="AE405" s="6">
        <f ca="1">(L405-M405)*(Z405+AA405)+($Z$198+$AA$198-$Z$405-$AA$405)*(L405)</f>
        <v>2574.9495752772882</v>
      </c>
      <c r="AF405" s="4" t="s">
        <v>850</v>
      </c>
    </row>
    <row r="406" spans="1:32" ht="11.25" customHeight="1" x14ac:dyDescent="0.25">
      <c r="A406" s="4" t="s">
        <v>28</v>
      </c>
      <c r="B406" s="4" t="s">
        <v>43</v>
      </c>
      <c r="C406" s="4" t="s">
        <v>23</v>
      </c>
      <c r="D406" s="4" t="s">
        <v>44</v>
      </c>
      <c r="E406" s="4" t="s">
        <v>52</v>
      </c>
      <c r="F406" s="4" t="s">
        <v>54</v>
      </c>
      <c r="G406" s="4" t="s">
        <v>25</v>
      </c>
      <c r="H406" s="4" t="s">
        <v>25</v>
      </c>
      <c r="I406" s="5">
        <v>44501</v>
      </c>
      <c r="J406" s="6">
        <v>0</v>
      </c>
      <c r="K406" s="6">
        <v>0</v>
      </c>
      <c r="L406" s="6">
        <v>3.0859999999999999</v>
      </c>
      <c r="M406" s="6">
        <v>0.83321999999999996</v>
      </c>
      <c r="N406" s="6">
        <v>3.0859999999999999</v>
      </c>
      <c r="O406" s="6">
        <v>0.83321999999999996</v>
      </c>
      <c r="P406" s="6">
        <v>0</v>
      </c>
      <c r="Q406" s="4" t="s">
        <v>26</v>
      </c>
      <c r="R406" s="4">
        <v>0</v>
      </c>
      <c r="S406" s="4">
        <v>0</v>
      </c>
      <c r="T406" s="4">
        <v>29</v>
      </c>
      <c r="U406" s="4">
        <v>66</v>
      </c>
      <c r="V406" s="6">
        <f>IF(ISERROR(VLOOKUP($S$406,'TAR FIN'!$A$1:$O$85,15,0)),0,VLOOKUP($S$406,'TAR FIN'!$A$1:$O$85,15,0))</f>
        <v>0</v>
      </c>
      <c r="W406" s="6">
        <f>IF(ISERROR(VLOOKUP($T$406,'TAR FIN'!$A$1:$O$85,15,0)),0,VLOOKUP($T$406,'TAR FIN'!$A$1:$O$85,15,0))</f>
        <v>285.89</v>
      </c>
      <c r="X406" s="6">
        <f>IF(ISERROR(VLOOKUP($U$406,'TAR FIN'!$A$1:$O$85,15,0)),0,VLOOKUP($U$406,'TAR FIN'!$A$1:$O$85,15,0))</f>
        <v>283.83999999999997</v>
      </c>
      <c r="Y406" s="6"/>
      <c r="Z406" s="6">
        <f ca="1">('TUSD BE'!$AM$33+'TUSD BF'!$AM$33+'TUSD CVA'!$AM$33)*(1-CUSTOS!$M$38)</f>
        <v>408.71492269690788</v>
      </c>
      <c r="AA406" s="6">
        <f>('TE BE'!$AB$23+'TE BF'!$AB$23+'TE CVA'!$AB$23)*(1-CUSTOS!$M$38)</f>
        <v>300.75684149176499</v>
      </c>
      <c r="AB406" s="6">
        <f t="shared" si="26"/>
        <v>0</v>
      </c>
      <c r="AC406" s="6">
        <f>(L406-M406)*(W406+X406)+($W$198+$X$198-$W$406-$X$406)*(L406)</f>
        <v>1523.2276894000004</v>
      </c>
      <c r="AD406" s="6">
        <f t="shared" si="27"/>
        <v>0</v>
      </c>
      <c r="AE406" s="6">
        <f ca="1">(L406-M406)*(Z406+AA406)+($Z$198+$AA$198-$Z$406-$AA$406)*(L406)</f>
        <v>1738.0346433302082</v>
      </c>
      <c r="AF406" s="4" t="s">
        <v>850</v>
      </c>
    </row>
    <row r="407" spans="1:32" ht="11.25" customHeight="1" x14ac:dyDescent="0.25">
      <c r="A407" s="4" t="s">
        <v>21</v>
      </c>
      <c r="B407" s="4" t="s">
        <v>43</v>
      </c>
      <c r="C407" s="4" t="s">
        <v>23</v>
      </c>
      <c r="D407" s="4" t="s">
        <v>44</v>
      </c>
      <c r="E407" s="4" t="s">
        <v>52</v>
      </c>
      <c r="F407" s="4" t="s">
        <v>54</v>
      </c>
      <c r="G407" s="4" t="s">
        <v>25</v>
      </c>
      <c r="H407" s="4" t="s">
        <v>25</v>
      </c>
      <c r="I407" s="5">
        <v>44531</v>
      </c>
      <c r="J407" s="6">
        <v>0</v>
      </c>
      <c r="K407" s="6">
        <v>0</v>
      </c>
      <c r="L407" s="6">
        <v>1072.81</v>
      </c>
      <c r="M407" s="6">
        <v>289.65870000000001</v>
      </c>
      <c r="N407" s="6">
        <v>1072.81</v>
      </c>
      <c r="O407" s="6">
        <v>289.65870000000001</v>
      </c>
      <c r="P407" s="6">
        <v>0</v>
      </c>
      <c r="Q407" s="4" t="s">
        <v>26</v>
      </c>
      <c r="R407" s="4">
        <v>0</v>
      </c>
      <c r="S407" s="4">
        <v>0</v>
      </c>
      <c r="T407" s="4">
        <v>29</v>
      </c>
      <c r="U407" s="4">
        <v>66</v>
      </c>
      <c r="V407" s="6">
        <f>IF(ISERROR(VLOOKUP($S$407,'TAR FIN'!$A$1:$O$85,15,0)),0,VLOOKUP($S$407,'TAR FIN'!$A$1:$O$85,15,0))</f>
        <v>0</v>
      </c>
      <c r="W407" s="6">
        <f>IF(ISERROR(VLOOKUP($T$407,'TAR FIN'!$A$1:$O$85,15,0)),0,VLOOKUP($T$407,'TAR FIN'!$A$1:$O$85,15,0))</f>
        <v>285.89</v>
      </c>
      <c r="X407" s="6">
        <f>IF(ISERROR(VLOOKUP($U$407,'TAR FIN'!$A$1:$O$85,15,0)),0,VLOOKUP($U$407,'TAR FIN'!$A$1:$O$85,15,0))</f>
        <v>283.83999999999997</v>
      </c>
      <c r="Y407" s="6"/>
      <c r="Z407" s="6">
        <f ca="1">('TUSD BE'!$AM$33+'TUSD BF'!$AM$33+'TUSD CVA'!$AM$33)*(1-CUSTOS!$M$38)</f>
        <v>408.71492269690788</v>
      </c>
      <c r="AA407" s="6">
        <f>('TE BE'!$AB$23+'TE BF'!$AB$23+'TE CVA'!$AB$23)*(1-CUSTOS!$M$38)</f>
        <v>300.75684149176499</v>
      </c>
      <c r="AB407" s="6">
        <f t="shared" si="26"/>
        <v>0</v>
      </c>
      <c r="AC407" s="6">
        <f>(L407-M407)*(W407+X407)+($W$198+$X$198-$W$407-$X$407)*(L407)</f>
        <v>529531.39904900012</v>
      </c>
      <c r="AD407" s="6">
        <f t="shared" si="27"/>
        <v>0</v>
      </c>
      <c r="AE407" s="6">
        <f ca="1">(L407-M407)*(Z407+AA407)+($Z$198+$AA$198-$Z$407-$AA$407)*(L407)</f>
        <v>604206.39848058356</v>
      </c>
      <c r="AF407" s="4" t="s">
        <v>850</v>
      </c>
    </row>
    <row r="408" spans="1:32" ht="11.25" customHeight="1" x14ac:dyDescent="0.25">
      <c r="A408" s="4" t="s">
        <v>27</v>
      </c>
      <c r="B408" s="4" t="s">
        <v>43</v>
      </c>
      <c r="C408" s="4" t="s">
        <v>23</v>
      </c>
      <c r="D408" s="4" t="s">
        <v>44</v>
      </c>
      <c r="E408" s="4" t="s">
        <v>52</v>
      </c>
      <c r="F408" s="4" t="s">
        <v>54</v>
      </c>
      <c r="G408" s="4" t="s">
        <v>25</v>
      </c>
      <c r="H408" s="4" t="s">
        <v>25</v>
      </c>
      <c r="I408" s="5">
        <v>44531</v>
      </c>
      <c r="J408" s="6">
        <v>0</v>
      </c>
      <c r="K408" s="6">
        <v>0</v>
      </c>
      <c r="L408" s="6">
        <v>-7.9459999999999997</v>
      </c>
      <c r="M408" s="6">
        <v>-2.1454200000000001</v>
      </c>
      <c r="N408" s="6">
        <v>-7.9459999999999997</v>
      </c>
      <c r="O408" s="6">
        <v>-2.1454200000000001</v>
      </c>
      <c r="P408" s="6">
        <v>0</v>
      </c>
      <c r="Q408" s="4" t="s">
        <v>26</v>
      </c>
      <c r="R408" s="4">
        <v>0</v>
      </c>
      <c r="S408" s="4">
        <v>0</v>
      </c>
      <c r="T408" s="4">
        <v>29</v>
      </c>
      <c r="U408" s="4">
        <v>66</v>
      </c>
      <c r="V408" s="6">
        <f>IF(ISERROR(VLOOKUP($S$408,'TAR FIN'!$A$1:$O$85,15,0)),0,VLOOKUP($S$408,'TAR FIN'!$A$1:$O$85,15,0))</f>
        <v>0</v>
      </c>
      <c r="W408" s="6">
        <f>IF(ISERROR(VLOOKUP($T$408,'TAR FIN'!$A$1:$O$85,15,0)),0,VLOOKUP($T$408,'TAR FIN'!$A$1:$O$85,15,0))</f>
        <v>285.89</v>
      </c>
      <c r="X408" s="6">
        <f>IF(ISERROR(VLOOKUP($U$408,'TAR FIN'!$A$1:$O$85,15,0)),0,VLOOKUP($U$408,'TAR FIN'!$A$1:$O$85,15,0))</f>
        <v>283.83999999999997</v>
      </c>
      <c r="Y408" s="6"/>
      <c r="Z408" s="6">
        <f ca="1">('TUSD BE'!$AM$33+'TUSD BF'!$AM$33+'TUSD CVA'!$AM$33)*(1-CUSTOS!$M$38)</f>
        <v>408.71492269690788</v>
      </c>
      <c r="AA408" s="6">
        <f>('TE BE'!$AB$23+'TE BF'!$AB$23+'TE CVA'!$AB$23)*(1-CUSTOS!$M$38)</f>
        <v>300.75684149176499</v>
      </c>
      <c r="AB408" s="6">
        <f t="shared" si="26"/>
        <v>0</v>
      </c>
      <c r="AC408" s="6">
        <f>(L408-M408)*(W408+X408)+($W$198+$X$198-$W$408-$X$408)*(L408)</f>
        <v>-3922.0891834000013</v>
      </c>
      <c r="AD408" s="6">
        <f t="shared" si="27"/>
        <v>0</v>
      </c>
      <c r="AE408" s="6">
        <f ca="1">(L408-M408)*(Z408+AA408)+($Z$198+$AA$198-$Z$408-$AA$408)*(L408)</f>
        <v>-4475.1857666564601</v>
      </c>
      <c r="AF408" s="4" t="s">
        <v>850</v>
      </c>
    </row>
    <row r="409" spans="1:32" ht="11.25" customHeight="1" x14ac:dyDescent="0.25">
      <c r="A409" s="4" t="s">
        <v>28</v>
      </c>
      <c r="B409" s="4" t="s">
        <v>43</v>
      </c>
      <c r="C409" s="4" t="s">
        <v>23</v>
      </c>
      <c r="D409" s="4" t="s">
        <v>44</v>
      </c>
      <c r="E409" s="4" t="s">
        <v>52</v>
      </c>
      <c r="F409" s="4" t="s">
        <v>54</v>
      </c>
      <c r="G409" s="4" t="s">
        <v>25</v>
      </c>
      <c r="H409" s="4" t="s">
        <v>25</v>
      </c>
      <c r="I409" s="5">
        <v>44531</v>
      </c>
      <c r="J409" s="6">
        <v>0</v>
      </c>
      <c r="K409" s="6">
        <v>0</v>
      </c>
      <c r="L409" s="6">
        <v>7.1970000000000001</v>
      </c>
      <c r="M409" s="6">
        <v>1.94319</v>
      </c>
      <c r="N409" s="6">
        <v>7.1970000000000001</v>
      </c>
      <c r="O409" s="6">
        <v>1.94319</v>
      </c>
      <c r="P409" s="6">
        <v>0</v>
      </c>
      <c r="Q409" s="4" t="s">
        <v>26</v>
      </c>
      <c r="R409" s="4">
        <v>0</v>
      </c>
      <c r="S409" s="4">
        <v>0</v>
      </c>
      <c r="T409" s="4">
        <v>29</v>
      </c>
      <c r="U409" s="4">
        <v>66</v>
      </c>
      <c r="V409" s="6">
        <f>IF(ISERROR(VLOOKUP($S$409,'TAR FIN'!$A$1:$O$85,15,0)),0,VLOOKUP($S$409,'TAR FIN'!$A$1:$O$85,15,0))</f>
        <v>0</v>
      </c>
      <c r="W409" s="6">
        <f>IF(ISERROR(VLOOKUP($T$409,'TAR FIN'!$A$1:$O$85,15,0)),0,VLOOKUP($T$409,'TAR FIN'!$A$1:$O$85,15,0))</f>
        <v>285.89</v>
      </c>
      <c r="X409" s="6">
        <f>IF(ISERROR(VLOOKUP($U$409,'TAR FIN'!$A$1:$O$85,15,0)),0,VLOOKUP($U$409,'TAR FIN'!$A$1:$O$85,15,0))</f>
        <v>283.83999999999997</v>
      </c>
      <c r="Y409" s="6"/>
      <c r="Z409" s="6">
        <f ca="1">('TUSD BE'!$AM$33+'TUSD BF'!$AM$33+'TUSD CVA'!$AM$33)*(1-CUSTOS!$M$38)</f>
        <v>408.71492269690788</v>
      </c>
      <c r="AA409" s="6">
        <f>('TE BE'!$AB$23+'TE BF'!$AB$23+'TE CVA'!$AB$23)*(1-CUSTOS!$M$38)</f>
        <v>300.75684149176499</v>
      </c>
      <c r="AB409" s="6">
        <f t="shared" si="26"/>
        <v>0</v>
      </c>
      <c r="AC409" s="6">
        <f>(L409-M409)*(W409+X409)+($W$198+$X$198-$W$409-$X$409)*(L409)</f>
        <v>3552.3881013000009</v>
      </c>
      <c r="AD409" s="6">
        <f t="shared" si="27"/>
        <v>0</v>
      </c>
      <c r="AE409" s="6">
        <f ca="1">(L409-M409)*(Z409+AA409)+($Z$198+$AA$198-$Z$409-$AA$409)*(L409)</f>
        <v>4053.3491017652327</v>
      </c>
      <c r="AF409" s="4" t="s">
        <v>850</v>
      </c>
    </row>
    <row r="410" spans="1:32" ht="11.25" customHeight="1" x14ac:dyDescent="0.25">
      <c r="A410" s="4" t="s">
        <v>21</v>
      </c>
      <c r="B410" s="4" t="s">
        <v>43</v>
      </c>
      <c r="C410" s="4" t="s">
        <v>23</v>
      </c>
      <c r="D410" s="4" t="s">
        <v>44</v>
      </c>
      <c r="E410" s="4" t="s">
        <v>52</v>
      </c>
      <c r="F410" s="4" t="s">
        <v>54</v>
      </c>
      <c r="G410" s="4" t="s">
        <v>25</v>
      </c>
      <c r="H410" s="4" t="s">
        <v>25</v>
      </c>
      <c r="I410" s="5">
        <v>44562</v>
      </c>
      <c r="J410" s="6">
        <v>0</v>
      </c>
      <c r="K410" s="6">
        <v>0</v>
      </c>
      <c r="L410" s="6">
        <v>1094.652</v>
      </c>
      <c r="M410" s="6">
        <v>295.55604</v>
      </c>
      <c r="N410" s="6">
        <v>1094.652</v>
      </c>
      <c r="O410" s="6">
        <v>295.55604</v>
      </c>
      <c r="P410" s="6">
        <v>0</v>
      </c>
      <c r="Q410" s="4" t="s">
        <v>26</v>
      </c>
      <c r="R410" s="4">
        <v>0</v>
      </c>
      <c r="S410" s="4">
        <v>0</v>
      </c>
      <c r="T410" s="4">
        <v>29</v>
      </c>
      <c r="U410" s="4">
        <v>66</v>
      </c>
      <c r="V410" s="6">
        <f>IF(ISERROR(VLOOKUP($S$410,'TAR FIN'!$A$1:$O$85,15,0)),0,VLOOKUP($S$410,'TAR FIN'!$A$1:$O$85,15,0))</f>
        <v>0</v>
      </c>
      <c r="W410" s="6">
        <f>IF(ISERROR(VLOOKUP($T$410,'TAR FIN'!$A$1:$O$85,15,0)),0,VLOOKUP($T$410,'TAR FIN'!$A$1:$O$85,15,0))</f>
        <v>285.89</v>
      </c>
      <c r="X410" s="6">
        <f>IF(ISERROR(VLOOKUP($U$410,'TAR FIN'!$A$1:$O$85,15,0)),0,VLOOKUP($U$410,'TAR FIN'!$A$1:$O$85,15,0))</f>
        <v>283.83999999999997</v>
      </c>
      <c r="Y410" s="6"/>
      <c r="Z410" s="6">
        <f ca="1">('TUSD BE'!$AM$33+'TUSD BF'!$AM$33+'TUSD CVA'!$AM$33)*(1-CUSTOS!$M$38)</f>
        <v>408.71492269690788</v>
      </c>
      <c r="AA410" s="6">
        <f>('TE BE'!$AB$23+'TE BF'!$AB$23+'TE CVA'!$AB$23)*(1-CUSTOS!$M$38)</f>
        <v>300.75684149176499</v>
      </c>
      <c r="AB410" s="6">
        <f t="shared" si="26"/>
        <v>0</v>
      </c>
      <c r="AC410" s="6">
        <f>(L410-M410)*(W410+X410)+($W$198+$X$198-$W$410-$X$410)*(L410)</f>
        <v>540312.45517080021</v>
      </c>
      <c r="AD410" s="6">
        <f t="shared" si="27"/>
        <v>0</v>
      </c>
      <c r="AE410" s="6">
        <f ca="1">(L410-M410)*(Z410+AA410)+($Z$198+$AA$198-$Z$410-$AA$410)*(L410)</f>
        <v>616507.80894060258</v>
      </c>
      <c r="AF410" s="4" t="s">
        <v>850</v>
      </c>
    </row>
    <row r="411" spans="1:32" ht="11.25" customHeight="1" x14ac:dyDescent="0.25">
      <c r="A411" s="4" t="s">
        <v>27</v>
      </c>
      <c r="B411" s="4" t="s">
        <v>43</v>
      </c>
      <c r="C411" s="4" t="s">
        <v>23</v>
      </c>
      <c r="D411" s="4" t="s">
        <v>44</v>
      </c>
      <c r="E411" s="4" t="s">
        <v>52</v>
      </c>
      <c r="F411" s="4" t="s">
        <v>54</v>
      </c>
      <c r="G411" s="4" t="s">
        <v>25</v>
      </c>
      <c r="H411" s="4" t="s">
        <v>25</v>
      </c>
      <c r="I411" s="5">
        <v>44562</v>
      </c>
      <c r="J411" s="6">
        <v>0</v>
      </c>
      <c r="K411" s="6">
        <v>0</v>
      </c>
      <c r="L411" s="6">
        <v>-4.165</v>
      </c>
      <c r="M411" s="6">
        <v>-1.1245499999999999</v>
      </c>
      <c r="N411" s="6">
        <v>-4.165</v>
      </c>
      <c r="O411" s="6">
        <v>-1.1245499999999999</v>
      </c>
      <c r="P411" s="6">
        <v>0</v>
      </c>
      <c r="Q411" s="4" t="s">
        <v>26</v>
      </c>
      <c r="R411" s="4">
        <v>0</v>
      </c>
      <c r="S411" s="4">
        <v>0</v>
      </c>
      <c r="T411" s="4">
        <v>29</v>
      </c>
      <c r="U411" s="4">
        <v>66</v>
      </c>
      <c r="V411" s="6">
        <f>IF(ISERROR(VLOOKUP($S$411,'TAR FIN'!$A$1:$O$85,15,0)),0,VLOOKUP($S$411,'TAR FIN'!$A$1:$O$85,15,0))</f>
        <v>0</v>
      </c>
      <c r="W411" s="6">
        <f>IF(ISERROR(VLOOKUP($T$411,'TAR FIN'!$A$1:$O$85,15,0)),0,VLOOKUP($T$411,'TAR FIN'!$A$1:$O$85,15,0))</f>
        <v>285.89</v>
      </c>
      <c r="X411" s="6">
        <f>IF(ISERROR(VLOOKUP($U$411,'TAR FIN'!$A$1:$O$85,15,0)),0,VLOOKUP($U$411,'TAR FIN'!$A$1:$O$85,15,0))</f>
        <v>283.83999999999997</v>
      </c>
      <c r="Y411" s="6"/>
      <c r="Z411" s="6">
        <f ca="1">('TUSD BE'!$AM$33+'TUSD BF'!$AM$33+'TUSD CVA'!$AM$33)*(1-CUSTOS!$M$38)</f>
        <v>408.71492269690788</v>
      </c>
      <c r="AA411" s="6">
        <f>('TE BE'!$AB$23+'TE BF'!$AB$23+'TE CVA'!$AB$23)*(1-CUSTOS!$M$38)</f>
        <v>300.75684149176499</v>
      </c>
      <c r="AB411" s="6">
        <f t="shared" si="26"/>
        <v>0</v>
      </c>
      <c r="AC411" s="6">
        <f>(L411-M411)*(W411+X411)+($W$198+$X$198-$W$411-$X$411)*(L411)</f>
        <v>-2055.8144285000003</v>
      </c>
      <c r="AD411" s="6">
        <f t="shared" si="27"/>
        <v>0</v>
      </c>
      <c r="AE411" s="6">
        <f ca="1">(L411-M411)*(Z411+AA411)+($Z$198+$AA$198-$Z$411-$AA$411)*(L411)</f>
        <v>-2345.7272486942052</v>
      </c>
      <c r="AF411" s="4" t="s">
        <v>850</v>
      </c>
    </row>
    <row r="412" spans="1:32" ht="11.25" customHeight="1" x14ac:dyDescent="0.25">
      <c r="A412" s="4" t="s">
        <v>28</v>
      </c>
      <c r="B412" s="4" t="s">
        <v>43</v>
      </c>
      <c r="C412" s="4" t="s">
        <v>23</v>
      </c>
      <c r="D412" s="4" t="s">
        <v>44</v>
      </c>
      <c r="E412" s="4" t="s">
        <v>52</v>
      </c>
      <c r="F412" s="4" t="s">
        <v>54</v>
      </c>
      <c r="G412" s="4" t="s">
        <v>25</v>
      </c>
      <c r="H412" s="4" t="s">
        <v>25</v>
      </c>
      <c r="I412" s="5">
        <v>44562</v>
      </c>
      <c r="J412" s="6">
        <v>0</v>
      </c>
      <c r="K412" s="6">
        <v>0</v>
      </c>
      <c r="L412" s="6">
        <v>4.1390000000000002</v>
      </c>
      <c r="M412" s="6">
        <v>1.1175299999999999</v>
      </c>
      <c r="N412" s="6">
        <v>4.1390000000000002</v>
      </c>
      <c r="O412" s="6">
        <v>1.1175299999999999</v>
      </c>
      <c r="P412" s="6">
        <v>0</v>
      </c>
      <c r="Q412" s="4" t="s">
        <v>26</v>
      </c>
      <c r="R412" s="4">
        <v>0</v>
      </c>
      <c r="S412" s="4">
        <v>0</v>
      </c>
      <c r="T412" s="4">
        <v>29</v>
      </c>
      <c r="U412" s="4">
        <v>66</v>
      </c>
      <c r="V412" s="6">
        <f>IF(ISERROR(VLOOKUP($S$412,'TAR FIN'!$A$1:$O$85,15,0)),0,VLOOKUP($S$412,'TAR FIN'!$A$1:$O$85,15,0))</f>
        <v>0</v>
      </c>
      <c r="W412" s="6">
        <f>IF(ISERROR(VLOOKUP($T$412,'TAR FIN'!$A$1:$O$85,15,0)),0,VLOOKUP($T$412,'TAR FIN'!$A$1:$O$85,15,0))</f>
        <v>285.89</v>
      </c>
      <c r="X412" s="6">
        <f>IF(ISERROR(VLOOKUP($U$412,'TAR FIN'!$A$1:$O$85,15,0)),0,VLOOKUP($U$412,'TAR FIN'!$A$1:$O$85,15,0))</f>
        <v>283.83999999999997</v>
      </c>
      <c r="Y412" s="6"/>
      <c r="Z412" s="6">
        <f ca="1">('TUSD BE'!$AM$33+'TUSD BF'!$AM$33+'TUSD CVA'!$AM$33)*(1-CUSTOS!$M$38)</f>
        <v>408.71492269690788</v>
      </c>
      <c r="AA412" s="6">
        <f>('TE BE'!$AB$23+'TE BF'!$AB$23+'TE CVA'!$AB$23)*(1-CUSTOS!$M$38)</f>
        <v>300.75684149176499</v>
      </c>
      <c r="AB412" s="6">
        <f t="shared" si="26"/>
        <v>0</v>
      </c>
      <c r="AC412" s="6">
        <f>(L412-M412)*(W412+X412)+($W$198+$X$198-$W$412-$X$412)*(L412)</f>
        <v>2042.9810131000006</v>
      </c>
      <c r="AD412" s="6">
        <f t="shared" si="27"/>
        <v>0</v>
      </c>
      <c r="AE412" s="6">
        <f ca="1">(L412-M412)*(Z412+AA412)+($Z$198+$AA$198-$Z$412-$AA$412)*(L412)</f>
        <v>2331.0840533842297</v>
      </c>
      <c r="AF412" s="4" t="s">
        <v>850</v>
      </c>
    </row>
    <row r="413" spans="1:32" ht="11.25" customHeight="1" x14ac:dyDescent="0.25">
      <c r="A413" s="4" t="s">
        <v>28</v>
      </c>
      <c r="B413" s="4" t="s">
        <v>43</v>
      </c>
      <c r="C413" s="4" t="s">
        <v>23</v>
      </c>
      <c r="D413" s="4" t="s">
        <v>44</v>
      </c>
      <c r="E413" s="4" t="s">
        <v>52</v>
      </c>
      <c r="F413" s="4" t="s">
        <v>54</v>
      </c>
      <c r="G413" s="4" t="s">
        <v>25</v>
      </c>
      <c r="H413" s="4" t="s">
        <v>25</v>
      </c>
      <c r="I413" s="5">
        <v>44562</v>
      </c>
      <c r="J413" s="6">
        <v>0</v>
      </c>
      <c r="K413" s="6">
        <v>0</v>
      </c>
      <c r="L413" s="6">
        <v>0.51200000000000001</v>
      </c>
      <c r="M413" s="6">
        <v>0.13824</v>
      </c>
      <c r="N413" s="6">
        <v>0.51200000000000001</v>
      </c>
      <c r="O413" s="6">
        <v>0.13824</v>
      </c>
      <c r="P413" s="6">
        <v>0</v>
      </c>
      <c r="Q413" s="4" t="s">
        <v>26</v>
      </c>
      <c r="R413" s="4">
        <v>0</v>
      </c>
      <c r="S413" s="4">
        <v>0</v>
      </c>
      <c r="T413" s="4">
        <v>29</v>
      </c>
      <c r="U413" s="4">
        <v>66</v>
      </c>
      <c r="V413" s="6">
        <f>IF(ISERROR(VLOOKUP($S$413,'TAR FIN'!$A$1:$O$85,15,0)),0,VLOOKUP($S$413,'TAR FIN'!$A$1:$O$85,15,0))</f>
        <v>0</v>
      </c>
      <c r="W413" s="6">
        <f>IF(ISERROR(VLOOKUP($T$413,'TAR FIN'!$A$1:$O$85,15,0)),0,VLOOKUP($T$413,'TAR FIN'!$A$1:$O$85,15,0))</f>
        <v>285.89</v>
      </c>
      <c r="X413" s="6">
        <f>IF(ISERROR(VLOOKUP($U$413,'TAR FIN'!$A$1:$O$85,15,0)),0,VLOOKUP($U$413,'TAR FIN'!$A$1:$O$85,15,0))</f>
        <v>283.83999999999997</v>
      </c>
      <c r="Y413" s="6"/>
      <c r="Z413" s="6">
        <f ca="1">('TUSD BE'!$AM$33+'TUSD BF'!$AM$33+'TUSD CVA'!$AM$33)*(1-CUSTOS!$M$38)</f>
        <v>408.71492269690788</v>
      </c>
      <c r="AA413" s="6">
        <f>('TE BE'!$AB$23+'TE BF'!$AB$23+'TE CVA'!$AB$23)*(1-CUSTOS!$M$38)</f>
        <v>300.75684149176499</v>
      </c>
      <c r="AB413" s="6">
        <f t="shared" si="26"/>
        <v>0</v>
      </c>
      <c r="AC413" s="6">
        <f>(L413-M413)*(W413+X413)+($W$198+$X$198-$W$413-$X$413)*(L413)</f>
        <v>252.71956480000006</v>
      </c>
      <c r="AD413" s="6">
        <f t="shared" si="27"/>
        <v>0</v>
      </c>
      <c r="AE413" s="6">
        <f ca="1">(L413-M413)*(Z413+AA413)+($Z$198+$AA$198-$Z$413-$AA$413)*(L413)</f>
        <v>288.35830764260095</v>
      </c>
      <c r="AF413" s="4" t="s">
        <v>850</v>
      </c>
    </row>
    <row r="414" spans="1:32" ht="11.25" customHeight="1" x14ac:dyDescent="0.25">
      <c r="A414" s="4" t="s">
        <v>21</v>
      </c>
      <c r="B414" s="4" t="s">
        <v>43</v>
      </c>
      <c r="C414" s="4" t="s">
        <v>23</v>
      </c>
      <c r="D414" s="4" t="s">
        <v>44</v>
      </c>
      <c r="E414" s="4" t="s">
        <v>52</v>
      </c>
      <c r="F414" s="4" t="s">
        <v>54</v>
      </c>
      <c r="G414" s="4" t="s">
        <v>25</v>
      </c>
      <c r="H414" s="4" t="s">
        <v>25</v>
      </c>
      <c r="I414" s="5">
        <v>44593</v>
      </c>
      <c r="J414" s="6">
        <v>0</v>
      </c>
      <c r="K414" s="6">
        <v>0</v>
      </c>
      <c r="L414" s="6">
        <v>3305.2649999999999</v>
      </c>
      <c r="M414" s="6">
        <v>892.42155000000002</v>
      </c>
      <c r="N414" s="6">
        <v>3305.2649999999999</v>
      </c>
      <c r="O414" s="6">
        <v>892.42155000000002</v>
      </c>
      <c r="P414" s="6">
        <v>0</v>
      </c>
      <c r="Q414" s="4" t="s">
        <v>26</v>
      </c>
      <c r="R414" s="4">
        <v>0</v>
      </c>
      <c r="S414" s="4">
        <v>0</v>
      </c>
      <c r="T414" s="4">
        <v>29</v>
      </c>
      <c r="U414" s="4">
        <v>66</v>
      </c>
      <c r="V414" s="6">
        <f>IF(ISERROR(VLOOKUP($S$414,'TAR FIN'!$A$1:$O$85,15,0)),0,VLOOKUP($S$414,'TAR FIN'!$A$1:$O$85,15,0))</f>
        <v>0</v>
      </c>
      <c r="W414" s="6">
        <f>IF(ISERROR(VLOOKUP($T$414,'TAR FIN'!$A$1:$O$85,15,0)),0,VLOOKUP($T$414,'TAR FIN'!$A$1:$O$85,15,0))</f>
        <v>285.89</v>
      </c>
      <c r="X414" s="6">
        <f>IF(ISERROR(VLOOKUP($U$414,'TAR FIN'!$A$1:$O$85,15,0)),0,VLOOKUP($U$414,'TAR FIN'!$A$1:$O$85,15,0))</f>
        <v>283.83999999999997</v>
      </c>
      <c r="Y414" s="6"/>
      <c r="Z414" s="6">
        <f ca="1">('TUSD BE'!$AM$33+'TUSD BF'!$AM$33+'TUSD CVA'!$AM$33)*(1-CUSTOS!$M$38)</f>
        <v>408.71492269690788</v>
      </c>
      <c r="AA414" s="6">
        <f>('TE BE'!$AB$23+'TE BF'!$AB$23+'TE CVA'!$AB$23)*(1-CUSTOS!$M$38)</f>
        <v>300.75684149176499</v>
      </c>
      <c r="AB414" s="6">
        <f t="shared" si="26"/>
        <v>0</v>
      </c>
      <c r="AC414" s="6">
        <f>(L414-M414)*(W414+X414)+($W$198+$X$198-$W$414-$X$414)*(L414)</f>
        <v>1631455.3366185003</v>
      </c>
      <c r="AD414" s="6">
        <f t="shared" si="27"/>
        <v>0</v>
      </c>
      <c r="AE414" s="6">
        <f ca="1">(L414-M414)*(Z414+AA414)+($Z$198+$AA$198-$Z$414-$AA$414)*(L414)</f>
        <v>1861524.6517779715</v>
      </c>
      <c r="AF414" s="4" t="s">
        <v>850</v>
      </c>
    </row>
    <row r="415" spans="1:32" ht="11.25" customHeight="1" x14ac:dyDescent="0.25">
      <c r="A415" s="4" t="s">
        <v>27</v>
      </c>
      <c r="B415" s="4" t="s">
        <v>43</v>
      </c>
      <c r="C415" s="4" t="s">
        <v>23</v>
      </c>
      <c r="D415" s="4" t="s">
        <v>44</v>
      </c>
      <c r="E415" s="4" t="s">
        <v>52</v>
      </c>
      <c r="F415" s="4" t="s">
        <v>54</v>
      </c>
      <c r="G415" s="4" t="s">
        <v>25</v>
      </c>
      <c r="H415" s="4" t="s">
        <v>25</v>
      </c>
      <c r="I415" s="5">
        <v>44593</v>
      </c>
      <c r="J415" s="6">
        <v>0</v>
      </c>
      <c r="K415" s="6">
        <v>0</v>
      </c>
      <c r="L415" s="6">
        <v>-11.685</v>
      </c>
      <c r="M415" s="6">
        <v>-3.1549499999999999</v>
      </c>
      <c r="N415" s="6">
        <v>-11.685</v>
      </c>
      <c r="O415" s="6">
        <v>-3.1549499999999999</v>
      </c>
      <c r="P415" s="6">
        <v>0</v>
      </c>
      <c r="Q415" s="4" t="s">
        <v>26</v>
      </c>
      <c r="R415" s="4">
        <v>0</v>
      </c>
      <c r="S415" s="4">
        <v>0</v>
      </c>
      <c r="T415" s="4">
        <v>29</v>
      </c>
      <c r="U415" s="4">
        <v>66</v>
      </c>
      <c r="V415" s="6">
        <f>IF(ISERROR(VLOOKUP($S$415,'TAR FIN'!$A$1:$O$85,15,0)),0,VLOOKUP($S$415,'TAR FIN'!$A$1:$O$85,15,0))</f>
        <v>0</v>
      </c>
      <c r="W415" s="6">
        <f>IF(ISERROR(VLOOKUP($T$415,'TAR FIN'!$A$1:$O$85,15,0)),0,VLOOKUP($T$415,'TAR FIN'!$A$1:$O$85,15,0))</f>
        <v>285.89</v>
      </c>
      <c r="X415" s="6">
        <f>IF(ISERROR(VLOOKUP($U$415,'TAR FIN'!$A$1:$O$85,15,0)),0,VLOOKUP($U$415,'TAR FIN'!$A$1:$O$85,15,0))</f>
        <v>283.83999999999997</v>
      </c>
      <c r="Y415" s="6"/>
      <c r="Z415" s="6">
        <f ca="1">('TUSD BE'!$AM$33+'TUSD BF'!$AM$33+'TUSD CVA'!$AM$33)*(1-CUSTOS!$M$38)</f>
        <v>408.71492269690788</v>
      </c>
      <c r="AA415" s="6">
        <f>('TE BE'!$AB$23+'TE BF'!$AB$23+'TE CVA'!$AB$23)*(1-CUSTOS!$M$38)</f>
        <v>300.75684149176499</v>
      </c>
      <c r="AB415" s="6">
        <f t="shared" si="26"/>
        <v>0</v>
      </c>
      <c r="AC415" s="6">
        <f>(L415-M415)*(W415+X415)+($W$198+$X$198-$W$415-$X$415)*(L415)</f>
        <v>-5767.6330365000022</v>
      </c>
      <c r="AD415" s="6">
        <f t="shared" si="27"/>
        <v>0</v>
      </c>
      <c r="AE415" s="6">
        <f ca="1">(L415-M415)*(Z415+AA415)+($Z$198+$AA$198-$Z$415-$AA$415)*(L415)</f>
        <v>-6580.989892194908</v>
      </c>
      <c r="AF415" s="4" t="s">
        <v>850</v>
      </c>
    </row>
    <row r="416" spans="1:32" ht="11.25" customHeight="1" x14ac:dyDescent="0.25">
      <c r="A416" s="4" t="s">
        <v>28</v>
      </c>
      <c r="B416" s="4" t="s">
        <v>43</v>
      </c>
      <c r="C416" s="4" t="s">
        <v>23</v>
      </c>
      <c r="D416" s="4" t="s">
        <v>44</v>
      </c>
      <c r="E416" s="4" t="s">
        <v>52</v>
      </c>
      <c r="F416" s="4" t="s">
        <v>54</v>
      </c>
      <c r="G416" s="4" t="s">
        <v>25</v>
      </c>
      <c r="H416" s="4" t="s">
        <v>25</v>
      </c>
      <c r="I416" s="5">
        <v>44593</v>
      </c>
      <c r="J416" s="6">
        <v>0</v>
      </c>
      <c r="K416" s="6">
        <v>0</v>
      </c>
      <c r="L416" s="6">
        <v>13.602</v>
      </c>
      <c r="M416" s="6">
        <v>3.6725400000000001</v>
      </c>
      <c r="N416" s="6">
        <v>13.602</v>
      </c>
      <c r="O416" s="6">
        <v>3.6725400000000001</v>
      </c>
      <c r="P416" s="6">
        <v>0</v>
      </c>
      <c r="Q416" s="4" t="s">
        <v>26</v>
      </c>
      <c r="R416" s="4">
        <v>0</v>
      </c>
      <c r="S416" s="4">
        <v>0</v>
      </c>
      <c r="T416" s="4">
        <v>29</v>
      </c>
      <c r="U416" s="4">
        <v>66</v>
      </c>
      <c r="V416" s="6">
        <f>IF(ISERROR(VLOOKUP($S$416,'TAR FIN'!$A$1:$O$85,15,0)),0,VLOOKUP($S$416,'TAR FIN'!$A$1:$O$85,15,0))</f>
        <v>0</v>
      </c>
      <c r="W416" s="6">
        <f>IF(ISERROR(VLOOKUP($T$416,'TAR FIN'!$A$1:$O$85,15,0)),0,VLOOKUP($T$416,'TAR FIN'!$A$1:$O$85,15,0))</f>
        <v>285.89</v>
      </c>
      <c r="X416" s="6">
        <f>IF(ISERROR(VLOOKUP($U$416,'TAR FIN'!$A$1:$O$85,15,0)),0,VLOOKUP($U$416,'TAR FIN'!$A$1:$O$85,15,0))</f>
        <v>283.83999999999997</v>
      </c>
      <c r="Y416" s="6"/>
      <c r="Z416" s="6">
        <f ca="1">('TUSD BE'!$AM$33+'TUSD BF'!$AM$33+'TUSD CVA'!$AM$33)*(1-CUSTOS!$M$38)</f>
        <v>408.71492269690788</v>
      </c>
      <c r="AA416" s="6">
        <f>('TE BE'!$AB$23+'TE BF'!$AB$23+'TE CVA'!$AB$23)*(1-CUSTOS!$M$38)</f>
        <v>300.75684149176499</v>
      </c>
      <c r="AB416" s="6">
        <f t="shared" si="26"/>
        <v>0</v>
      </c>
      <c r="AC416" s="6">
        <f>(L416-M416)*(W416+X416)+($W$198+$X$198-$W$416-$X$416)*(L416)</f>
        <v>6713.8506258000025</v>
      </c>
      <c r="AD416" s="6">
        <f t="shared" si="27"/>
        <v>0</v>
      </c>
      <c r="AE416" s="6">
        <f ca="1">(L416-M416)*(Z416+AA416)+($Z$198+$AA$198-$Z$416-$AA$416)*(L416)</f>
        <v>7660.6439463958177</v>
      </c>
      <c r="AF416" s="4" t="s">
        <v>850</v>
      </c>
    </row>
    <row r="417" spans="1:32" ht="11.25" customHeight="1" x14ac:dyDescent="0.25">
      <c r="A417" s="4" t="s">
        <v>21</v>
      </c>
      <c r="B417" s="4" t="s">
        <v>43</v>
      </c>
      <c r="C417" s="4" t="s">
        <v>23</v>
      </c>
      <c r="D417" s="4" t="s">
        <v>44</v>
      </c>
      <c r="E417" s="4" t="s">
        <v>52</v>
      </c>
      <c r="F417" s="4" t="s">
        <v>54</v>
      </c>
      <c r="G417" s="4" t="s">
        <v>25</v>
      </c>
      <c r="H417" s="4" t="s">
        <v>25</v>
      </c>
      <c r="I417" s="5">
        <v>44621</v>
      </c>
      <c r="J417" s="6">
        <v>0</v>
      </c>
      <c r="K417" s="6">
        <v>0</v>
      </c>
      <c r="L417" s="6">
        <v>2070.011</v>
      </c>
      <c r="M417" s="6">
        <v>828.00440000000003</v>
      </c>
      <c r="N417" s="6">
        <v>2070.011</v>
      </c>
      <c r="O417" s="6">
        <v>828.00440000000003</v>
      </c>
      <c r="P417" s="6">
        <v>0</v>
      </c>
      <c r="Q417" s="4" t="s">
        <v>26</v>
      </c>
      <c r="R417" s="4">
        <v>0</v>
      </c>
      <c r="S417" s="4">
        <v>0</v>
      </c>
      <c r="T417" s="4">
        <v>29</v>
      </c>
      <c r="U417" s="4">
        <v>66</v>
      </c>
      <c r="V417" s="6">
        <f>IF(ISERROR(VLOOKUP($S$417,'TAR FIN'!$A$1:$O$85,15,0)),0,VLOOKUP($S$417,'TAR FIN'!$A$1:$O$85,15,0))</f>
        <v>0</v>
      </c>
      <c r="W417" s="6">
        <f>IF(ISERROR(VLOOKUP($T$417,'TAR FIN'!$A$1:$O$85,15,0)),0,VLOOKUP($T$417,'TAR FIN'!$A$1:$O$85,15,0))</f>
        <v>285.89</v>
      </c>
      <c r="X417" s="6">
        <f>IF(ISERROR(VLOOKUP($U$417,'TAR FIN'!$A$1:$O$85,15,0)),0,VLOOKUP($U$417,'TAR FIN'!$A$1:$O$85,15,0))</f>
        <v>283.83999999999997</v>
      </c>
      <c r="Y417" s="6"/>
      <c r="Z417" s="6">
        <f ca="1">('TUSD BE'!$AM$33+'TUSD BF'!$AM$33+'TUSD CVA'!$AM$33)*(1-CUSTOS!$M$38)</f>
        <v>408.71492269690788</v>
      </c>
      <c r="AA417" s="6">
        <f>('TE BE'!$AB$23+'TE BF'!$AB$23+'TE CVA'!$AB$23)*(1-CUSTOS!$M$38)</f>
        <v>300.75684149176499</v>
      </c>
      <c r="AB417" s="6">
        <f t="shared" si="26"/>
        <v>0</v>
      </c>
      <c r="AC417" s="6">
        <f>(L417-M417)*(W417+X417)+($W$198+$X$198-$W$417-$X$417)*(L417)</f>
        <v>868427.57480800012</v>
      </c>
      <c r="AD417" s="6">
        <f t="shared" si="27"/>
        <v>0</v>
      </c>
      <c r="AE417" s="6">
        <f ca="1">(L417-M417)*(Z417+AA417)+($Z$198+$AA$198-$Z$417-$AA$417)*(L417)</f>
        <v>974909.95551214297</v>
      </c>
      <c r="AF417" s="4" t="s">
        <v>850</v>
      </c>
    </row>
    <row r="418" spans="1:32" ht="11.25" customHeight="1" x14ac:dyDescent="0.25">
      <c r="A418" s="4" t="s">
        <v>27</v>
      </c>
      <c r="B418" s="4" t="s">
        <v>43</v>
      </c>
      <c r="C418" s="4" t="s">
        <v>23</v>
      </c>
      <c r="D418" s="4" t="s">
        <v>44</v>
      </c>
      <c r="E418" s="4" t="s">
        <v>52</v>
      </c>
      <c r="F418" s="4" t="s">
        <v>54</v>
      </c>
      <c r="G418" s="4" t="s">
        <v>25</v>
      </c>
      <c r="H418" s="4" t="s">
        <v>25</v>
      </c>
      <c r="I418" s="5">
        <v>44621</v>
      </c>
      <c r="J418" s="6">
        <v>0</v>
      </c>
      <c r="K418" s="6">
        <v>0</v>
      </c>
      <c r="L418" s="6">
        <v>-109.158</v>
      </c>
      <c r="M418" s="6">
        <v>-43.663200000000003</v>
      </c>
      <c r="N418" s="6">
        <v>-109.158</v>
      </c>
      <c r="O418" s="6">
        <v>-43.663200000000003</v>
      </c>
      <c r="P418" s="6">
        <v>0</v>
      </c>
      <c r="Q418" s="4" t="s">
        <v>26</v>
      </c>
      <c r="R418" s="4">
        <v>0</v>
      </c>
      <c r="S418" s="4">
        <v>0</v>
      </c>
      <c r="T418" s="4">
        <v>29</v>
      </c>
      <c r="U418" s="4">
        <v>66</v>
      </c>
      <c r="V418" s="6">
        <f>IF(ISERROR(VLOOKUP($S$418,'TAR FIN'!$A$1:$O$85,15,0)),0,VLOOKUP($S$418,'TAR FIN'!$A$1:$O$85,15,0))</f>
        <v>0</v>
      </c>
      <c r="W418" s="6">
        <f>IF(ISERROR(VLOOKUP($T$418,'TAR FIN'!$A$1:$O$85,15,0)),0,VLOOKUP($T$418,'TAR FIN'!$A$1:$O$85,15,0))</f>
        <v>285.89</v>
      </c>
      <c r="X418" s="6">
        <f>IF(ISERROR(VLOOKUP($U$418,'TAR FIN'!$A$1:$O$85,15,0)),0,VLOOKUP($U$418,'TAR FIN'!$A$1:$O$85,15,0))</f>
        <v>283.83999999999997</v>
      </c>
      <c r="Y418" s="6"/>
      <c r="Z418" s="6">
        <f ca="1">('TUSD BE'!$AM$33+'TUSD BF'!$AM$33+'TUSD CVA'!$AM$33)*(1-CUSTOS!$M$38)</f>
        <v>408.71492269690788</v>
      </c>
      <c r="AA418" s="6">
        <f>('TE BE'!$AB$23+'TE BF'!$AB$23+'TE CVA'!$AB$23)*(1-CUSTOS!$M$38)</f>
        <v>300.75684149176499</v>
      </c>
      <c r="AB418" s="6">
        <f t="shared" si="26"/>
        <v>0</v>
      </c>
      <c r="AC418" s="6">
        <f>(L418-M418)*(W418+X418)+($W$198+$X$198-$W$418-$X$418)*(L418)</f>
        <v>-45794.837424000012</v>
      </c>
      <c r="AD418" s="6">
        <f t="shared" si="27"/>
        <v>0</v>
      </c>
      <c r="AE418" s="6">
        <f ca="1">(L418-M418)*(Z418+AA418)+($Z$198+$AA$198-$Z$418-$AA$418)*(L418)</f>
        <v>-51409.978460884748</v>
      </c>
      <c r="AF418" s="4" t="s">
        <v>850</v>
      </c>
    </row>
    <row r="419" spans="1:32" ht="11.25" customHeight="1" x14ac:dyDescent="0.25">
      <c r="A419" s="4" t="s">
        <v>28</v>
      </c>
      <c r="B419" s="4" t="s">
        <v>43</v>
      </c>
      <c r="C419" s="4" t="s">
        <v>23</v>
      </c>
      <c r="D419" s="4" t="s">
        <v>44</v>
      </c>
      <c r="E419" s="4" t="s">
        <v>52</v>
      </c>
      <c r="F419" s="4" t="s">
        <v>54</v>
      </c>
      <c r="G419" s="4" t="s">
        <v>25</v>
      </c>
      <c r="H419" s="4" t="s">
        <v>25</v>
      </c>
      <c r="I419" s="5">
        <v>44621</v>
      </c>
      <c r="J419" s="6">
        <v>0</v>
      </c>
      <c r="K419" s="6">
        <v>0</v>
      </c>
      <c r="L419" s="6">
        <v>21.001999999999999</v>
      </c>
      <c r="M419" s="6">
        <v>8.4008000000000003</v>
      </c>
      <c r="N419" s="6">
        <v>21.001999999999999</v>
      </c>
      <c r="O419" s="6">
        <v>8.4008000000000003</v>
      </c>
      <c r="P419" s="6">
        <v>0</v>
      </c>
      <c r="Q419" s="4" t="s">
        <v>26</v>
      </c>
      <c r="R419" s="4">
        <v>0</v>
      </c>
      <c r="S419" s="4">
        <v>0</v>
      </c>
      <c r="T419" s="4">
        <v>29</v>
      </c>
      <c r="U419" s="4">
        <v>66</v>
      </c>
      <c r="V419" s="6">
        <f>IF(ISERROR(VLOOKUP($S$419,'TAR FIN'!$A$1:$O$85,15,0)),0,VLOOKUP($S$419,'TAR FIN'!$A$1:$O$85,15,0))</f>
        <v>0</v>
      </c>
      <c r="W419" s="6">
        <f>IF(ISERROR(VLOOKUP($T$419,'TAR FIN'!$A$1:$O$85,15,0)),0,VLOOKUP($T$419,'TAR FIN'!$A$1:$O$85,15,0))</f>
        <v>285.89</v>
      </c>
      <c r="X419" s="6">
        <f>IF(ISERROR(VLOOKUP($U$419,'TAR FIN'!$A$1:$O$85,15,0)),0,VLOOKUP($U$419,'TAR FIN'!$A$1:$O$85,15,0))</f>
        <v>283.83999999999997</v>
      </c>
      <c r="Y419" s="6"/>
      <c r="Z419" s="6">
        <f ca="1">('TUSD BE'!$AM$33+'TUSD BF'!$AM$33+'TUSD CVA'!$AM$33)*(1-CUSTOS!$M$38)</f>
        <v>408.71492269690788</v>
      </c>
      <c r="AA419" s="6">
        <f>('TE BE'!$AB$23+'TE BF'!$AB$23+'TE CVA'!$AB$23)*(1-CUSTOS!$M$38)</f>
        <v>300.75684149176499</v>
      </c>
      <c r="AB419" s="6">
        <f t="shared" si="26"/>
        <v>0</v>
      </c>
      <c r="AC419" s="6">
        <f>(L419-M419)*(W419+X419)+($W$198+$X$198-$W$419-$X$419)*(L419)</f>
        <v>8810.9270560000023</v>
      </c>
      <c r="AD419" s="6">
        <f t="shared" si="27"/>
        <v>0</v>
      </c>
      <c r="AE419" s="6">
        <f ca="1">(L419-M419)*(Z419+AA419)+($Z$198+$AA$198-$Z$419-$AA$419)*(L419)</f>
        <v>9891.2802326490164</v>
      </c>
      <c r="AF419" s="4" t="s">
        <v>850</v>
      </c>
    </row>
    <row r="420" spans="1:32" ht="11.25" customHeight="1" x14ac:dyDescent="0.25">
      <c r="A420" s="4" t="s">
        <v>28</v>
      </c>
      <c r="B420" s="4" t="s">
        <v>43</v>
      </c>
      <c r="C420" s="4" t="s">
        <v>23</v>
      </c>
      <c r="D420" s="4" t="s">
        <v>44</v>
      </c>
      <c r="E420" s="4" t="s">
        <v>52</v>
      </c>
      <c r="F420" s="4" t="s">
        <v>54</v>
      </c>
      <c r="G420" s="4" t="s">
        <v>25</v>
      </c>
      <c r="H420" s="4" t="s">
        <v>25</v>
      </c>
      <c r="I420" s="5">
        <v>44621</v>
      </c>
      <c r="J420" s="6">
        <v>0</v>
      </c>
      <c r="K420" s="6">
        <v>0</v>
      </c>
      <c r="L420" s="6">
        <v>7.3999999999999996E-2</v>
      </c>
      <c r="M420" s="6">
        <v>1.9980000000000001E-2</v>
      </c>
      <c r="N420" s="6">
        <v>7.3999999999999996E-2</v>
      </c>
      <c r="O420" s="6">
        <v>1.9980000000000001E-2</v>
      </c>
      <c r="P420" s="6">
        <v>0</v>
      </c>
      <c r="Q420" s="4" t="s">
        <v>26</v>
      </c>
      <c r="R420" s="4">
        <v>0</v>
      </c>
      <c r="S420" s="4">
        <v>0</v>
      </c>
      <c r="T420" s="4">
        <v>29</v>
      </c>
      <c r="U420" s="4">
        <v>66</v>
      </c>
      <c r="V420" s="6">
        <f>IF(ISERROR(VLOOKUP($S$420,'TAR FIN'!$A$1:$O$85,15,0)),0,VLOOKUP($S$420,'TAR FIN'!$A$1:$O$85,15,0))</f>
        <v>0</v>
      </c>
      <c r="W420" s="6">
        <f>IF(ISERROR(VLOOKUP($T$420,'TAR FIN'!$A$1:$O$85,15,0)),0,VLOOKUP($T$420,'TAR FIN'!$A$1:$O$85,15,0))</f>
        <v>285.89</v>
      </c>
      <c r="X420" s="6">
        <f>IF(ISERROR(VLOOKUP($U$420,'TAR FIN'!$A$1:$O$85,15,0)),0,VLOOKUP($U$420,'TAR FIN'!$A$1:$O$85,15,0))</f>
        <v>283.83999999999997</v>
      </c>
      <c r="Y420" s="6"/>
      <c r="Z420" s="6">
        <f ca="1">('TUSD BE'!$AM$33+'TUSD BF'!$AM$33+'TUSD CVA'!$AM$33)*(1-CUSTOS!$M$38)</f>
        <v>408.71492269690788</v>
      </c>
      <c r="AA420" s="6">
        <f>('TE BE'!$AB$23+'TE BF'!$AB$23+'TE CVA'!$AB$23)*(1-CUSTOS!$M$38)</f>
        <v>300.75684149176499</v>
      </c>
      <c r="AB420" s="6">
        <f t="shared" si="26"/>
        <v>0</v>
      </c>
      <c r="AC420" s="6">
        <f>(L420-M420)*(W420+X420)+($W$198+$X$198-$W$420-$X$420)*(L420)</f>
        <v>36.525874600000009</v>
      </c>
      <c r="AD420" s="6">
        <f t="shared" si="27"/>
        <v>0</v>
      </c>
      <c r="AE420" s="6">
        <f ca="1">(L420-M420)*(Z420+AA420)+($Z$198+$AA$198-$Z$420-$AA$420)*(L420)</f>
        <v>41.676786651469669</v>
      </c>
      <c r="AF420" s="4" t="s">
        <v>850</v>
      </c>
    </row>
    <row r="421" spans="1:32" ht="11.25" customHeight="1" x14ac:dyDescent="0.25">
      <c r="A421" s="4" t="s">
        <v>21</v>
      </c>
      <c r="B421" s="4" t="s">
        <v>43</v>
      </c>
      <c r="C421" s="4" t="s">
        <v>23</v>
      </c>
      <c r="D421" s="4" t="s">
        <v>44</v>
      </c>
      <c r="E421" s="4" t="s">
        <v>52</v>
      </c>
      <c r="F421" s="4" t="s">
        <v>54</v>
      </c>
      <c r="G421" s="4" t="s">
        <v>25</v>
      </c>
      <c r="H421" s="4" t="s">
        <v>25</v>
      </c>
      <c r="I421" s="5">
        <v>44652</v>
      </c>
      <c r="J421" s="6">
        <v>0</v>
      </c>
      <c r="K421" s="6">
        <v>0</v>
      </c>
      <c r="L421" s="6">
        <v>5306.0870000000004</v>
      </c>
      <c r="M421" s="6">
        <v>2122.4348</v>
      </c>
      <c r="N421" s="6">
        <v>5306.0870000000004</v>
      </c>
      <c r="O421" s="6">
        <v>2122.4348</v>
      </c>
      <c r="P421" s="6">
        <v>0</v>
      </c>
      <c r="Q421" s="4" t="s">
        <v>26</v>
      </c>
      <c r="R421" s="4">
        <v>0</v>
      </c>
      <c r="S421" s="4">
        <v>0</v>
      </c>
      <c r="T421" s="4">
        <v>29</v>
      </c>
      <c r="U421" s="4">
        <v>66</v>
      </c>
      <c r="V421" s="6">
        <f>IF(ISERROR(VLOOKUP($S$421,'TAR FIN'!$A$1:$O$85,15,0)),0,VLOOKUP($S$421,'TAR FIN'!$A$1:$O$85,15,0))</f>
        <v>0</v>
      </c>
      <c r="W421" s="6">
        <f>IF(ISERROR(VLOOKUP($T$421,'TAR FIN'!$A$1:$O$85,15,0)),0,VLOOKUP($T$421,'TAR FIN'!$A$1:$O$85,15,0))</f>
        <v>285.89</v>
      </c>
      <c r="X421" s="6">
        <f>IF(ISERROR(VLOOKUP($U$421,'TAR FIN'!$A$1:$O$85,15,0)),0,VLOOKUP($U$421,'TAR FIN'!$A$1:$O$85,15,0))</f>
        <v>283.83999999999997</v>
      </c>
      <c r="Y421" s="6"/>
      <c r="Z421" s="6">
        <f ca="1">('TUSD BE'!$AM$33+'TUSD BF'!$AM$33+'TUSD CVA'!$AM$33)*(1-CUSTOS!$M$38)</f>
        <v>408.71492269690788</v>
      </c>
      <c r="AA421" s="6">
        <f>('TE BE'!$AB$23+'TE BF'!$AB$23+'TE CVA'!$AB$23)*(1-CUSTOS!$M$38)</f>
        <v>300.75684149176499</v>
      </c>
      <c r="AB421" s="6">
        <f t="shared" si="26"/>
        <v>0</v>
      </c>
      <c r="AC421" s="6">
        <f>(L421-M421)*(W421+X421)+($W$198+$X$198-$W$421-$X$421)*(L421)</f>
        <v>2226052.0669360007</v>
      </c>
      <c r="AD421" s="6">
        <f t="shared" si="27"/>
        <v>0</v>
      </c>
      <c r="AE421" s="6">
        <f ca="1">(L421-M421)*(Z421+AA421)+($Z$198+$AA$198-$Z$421-$AA$421)*(L421)</f>
        <v>2498999.7836308894</v>
      </c>
      <c r="AF421" s="4" t="s">
        <v>850</v>
      </c>
    </row>
    <row r="422" spans="1:32" ht="11.25" customHeight="1" x14ac:dyDescent="0.25">
      <c r="A422" s="4" t="s">
        <v>27</v>
      </c>
      <c r="B422" s="4" t="s">
        <v>43</v>
      </c>
      <c r="C422" s="4" t="s">
        <v>23</v>
      </c>
      <c r="D422" s="4" t="s">
        <v>44</v>
      </c>
      <c r="E422" s="4" t="s">
        <v>52</v>
      </c>
      <c r="F422" s="4" t="s">
        <v>54</v>
      </c>
      <c r="G422" s="4" t="s">
        <v>25</v>
      </c>
      <c r="H422" s="4" t="s">
        <v>25</v>
      </c>
      <c r="I422" s="5">
        <v>44652</v>
      </c>
      <c r="J422" s="6">
        <v>0</v>
      </c>
      <c r="K422" s="6">
        <v>0</v>
      </c>
      <c r="L422" s="6">
        <v>-1.0529999999999999</v>
      </c>
      <c r="M422" s="6">
        <v>-0.42120000000000002</v>
      </c>
      <c r="N422" s="6">
        <v>-1.0529999999999999</v>
      </c>
      <c r="O422" s="6">
        <v>-0.42120000000000002</v>
      </c>
      <c r="P422" s="6">
        <v>0</v>
      </c>
      <c r="Q422" s="4" t="s">
        <v>26</v>
      </c>
      <c r="R422" s="4">
        <v>0</v>
      </c>
      <c r="S422" s="4">
        <v>0</v>
      </c>
      <c r="T422" s="4">
        <v>29</v>
      </c>
      <c r="U422" s="4">
        <v>66</v>
      </c>
      <c r="V422" s="6">
        <f>IF(ISERROR(VLOOKUP($S$422,'TAR FIN'!$A$1:$O$85,15,0)),0,VLOOKUP($S$422,'TAR FIN'!$A$1:$O$85,15,0))</f>
        <v>0</v>
      </c>
      <c r="W422" s="6">
        <f>IF(ISERROR(VLOOKUP($T$422,'TAR FIN'!$A$1:$O$85,15,0)),0,VLOOKUP($T$422,'TAR FIN'!$A$1:$O$85,15,0))</f>
        <v>285.89</v>
      </c>
      <c r="X422" s="6">
        <f>IF(ISERROR(VLOOKUP($U$422,'TAR FIN'!$A$1:$O$85,15,0)),0,VLOOKUP($U$422,'TAR FIN'!$A$1:$O$85,15,0))</f>
        <v>283.83999999999997</v>
      </c>
      <c r="Y422" s="6"/>
      <c r="Z422" s="6">
        <f ca="1">('TUSD BE'!$AM$33+'TUSD BF'!$AM$33+'TUSD CVA'!$AM$33)*(1-CUSTOS!$M$38)</f>
        <v>408.71492269690788</v>
      </c>
      <c r="AA422" s="6">
        <f>('TE BE'!$AB$23+'TE BF'!$AB$23+'TE CVA'!$AB$23)*(1-CUSTOS!$M$38)</f>
        <v>300.75684149176499</v>
      </c>
      <c r="AB422" s="6">
        <f t="shared" si="26"/>
        <v>0</v>
      </c>
      <c r="AC422" s="6">
        <f>(L422-M422)*(W422+X422)+($W$198+$X$198-$W$422-$X$422)*(L422)</f>
        <v>-441.76298400000007</v>
      </c>
      <c r="AD422" s="6">
        <f t="shared" si="27"/>
        <v>0</v>
      </c>
      <c r="AE422" s="6">
        <f ca="1">(L422-M422)*(Z422+AA422)+($Z$198+$AA$198-$Z$422-$AA$422)*(L422)</f>
        <v>-495.92982025423362</v>
      </c>
      <c r="AF422" s="4" t="s">
        <v>850</v>
      </c>
    </row>
    <row r="423" spans="1:32" ht="11.25" customHeight="1" x14ac:dyDescent="0.25">
      <c r="A423" s="4" t="s">
        <v>28</v>
      </c>
      <c r="B423" s="4" t="s">
        <v>43</v>
      </c>
      <c r="C423" s="4" t="s">
        <v>23</v>
      </c>
      <c r="D423" s="4" t="s">
        <v>44</v>
      </c>
      <c r="E423" s="4" t="s">
        <v>52</v>
      </c>
      <c r="F423" s="4" t="s">
        <v>54</v>
      </c>
      <c r="G423" s="4" t="s">
        <v>25</v>
      </c>
      <c r="H423" s="4" t="s">
        <v>25</v>
      </c>
      <c r="I423" s="5">
        <v>44652</v>
      </c>
      <c r="J423" s="6">
        <v>0</v>
      </c>
      <c r="K423" s="6">
        <v>0</v>
      </c>
      <c r="L423" s="6">
        <v>61.082999999999998</v>
      </c>
      <c r="M423" s="6">
        <v>24.433199999999999</v>
      </c>
      <c r="N423" s="6">
        <v>61.082999999999998</v>
      </c>
      <c r="O423" s="6">
        <v>24.433199999999999</v>
      </c>
      <c r="P423" s="6">
        <v>0</v>
      </c>
      <c r="Q423" s="4" t="s">
        <v>26</v>
      </c>
      <c r="R423" s="4">
        <v>0</v>
      </c>
      <c r="S423" s="4">
        <v>0</v>
      </c>
      <c r="T423" s="4">
        <v>29</v>
      </c>
      <c r="U423" s="4">
        <v>66</v>
      </c>
      <c r="V423" s="6">
        <f>IF(ISERROR(VLOOKUP($S$423,'TAR FIN'!$A$1:$O$85,15,0)),0,VLOOKUP($S$423,'TAR FIN'!$A$1:$O$85,15,0))</f>
        <v>0</v>
      </c>
      <c r="W423" s="6">
        <f>IF(ISERROR(VLOOKUP($T$423,'TAR FIN'!$A$1:$O$85,15,0)),0,VLOOKUP($T$423,'TAR FIN'!$A$1:$O$85,15,0))</f>
        <v>285.89</v>
      </c>
      <c r="X423" s="6">
        <f>IF(ISERROR(VLOOKUP($U$423,'TAR FIN'!$A$1:$O$85,15,0)),0,VLOOKUP($U$423,'TAR FIN'!$A$1:$O$85,15,0))</f>
        <v>283.83999999999997</v>
      </c>
      <c r="Y423" s="6"/>
      <c r="Z423" s="6">
        <f ca="1">('TUSD BE'!$AM$33+'TUSD BF'!$AM$33+'TUSD CVA'!$AM$33)*(1-CUSTOS!$M$38)</f>
        <v>408.71492269690788</v>
      </c>
      <c r="AA423" s="6">
        <f>('TE BE'!$AB$23+'TE BF'!$AB$23+'TE CVA'!$AB$23)*(1-CUSTOS!$M$38)</f>
        <v>300.75684149176499</v>
      </c>
      <c r="AB423" s="6">
        <f t="shared" si="26"/>
        <v>0</v>
      </c>
      <c r="AC423" s="6">
        <f>(L423-M423)*(W423+X423)+($W$198+$X$198-$W$423-$X$423)*(L423)</f>
        <v>25626.028824000008</v>
      </c>
      <c r="AD423" s="6">
        <f t="shared" si="27"/>
        <v>0</v>
      </c>
      <c r="AE423" s="6">
        <f ca="1">(L423-M423)*(Z423+AA423)+($Z$198+$AA$198-$Z$423-$AA$423)*(L423)</f>
        <v>28768.168291157985</v>
      </c>
      <c r="AF423" s="4" t="s">
        <v>850</v>
      </c>
    </row>
    <row r="424" spans="1:32" ht="11.25" customHeight="1" x14ac:dyDescent="0.25">
      <c r="A424" s="4" t="s">
        <v>21</v>
      </c>
      <c r="B424" s="4" t="s">
        <v>43</v>
      </c>
      <c r="C424" s="4" t="s">
        <v>23</v>
      </c>
      <c r="D424" s="4" t="s">
        <v>44</v>
      </c>
      <c r="E424" s="4" t="s">
        <v>52</v>
      </c>
      <c r="F424" s="4" t="s">
        <v>54</v>
      </c>
      <c r="G424" s="4" t="s">
        <v>25</v>
      </c>
      <c r="H424" s="4" t="s">
        <v>25</v>
      </c>
      <c r="I424" s="5">
        <v>44682</v>
      </c>
      <c r="J424" s="6">
        <v>0</v>
      </c>
      <c r="K424" s="6">
        <v>0</v>
      </c>
      <c r="L424" s="6">
        <v>8382.3169999999991</v>
      </c>
      <c r="M424" s="6">
        <v>3352.9268000000002</v>
      </c>
      <c r="N424" s="6">
        <v>8382.3169999999991</v>
      </c>
      <c r="O424" s="6">
        <v>3352.9268000000002</v>
      </c>
      <c r="P424" s="6">
        <v>0</v>
      </c>
      <c r="Q424" s="4" t="s">
        <v>26</v>
      </c>
      <c r="R424" s="4">
        <v>0</v>
      </c>
      <c r="S424" s="4">
        <v>0</v>
      </c>
      <c r="T424" s="4">
        <v>29</v>
      </c>
      <c r="U424" s="4">
        <v>66</v>
      </c>
      <c r="V424" s="6">
        <f>IF(ISERROR(VLOOKUP($S$424,'TAR FIN'!$A$1:$O$85,15,0)),0,VLOOKUP($S$424,'TAR FIN'!$A$1:$O$85,15,0))</f>
        <v>0</v>
      </c>
      <c r="W424" s="6">
        <f>IF(ISERROR(VLOOKUP($T$424,'TAR FIN'!$A$1:$O$85,15,0)),0,VLOOKUP($T$424,'TAR FIN'!$A$1:$O$85,15,0))</f>
        <v>285.89</v>
      </c>
      <c r="X424" s="6">
        <f>IF(ISERROR(VLOOKUP($U$424,'TAR FIN'!$A$1:$O$85,15,0)),0,VLOOKUP($U$424,'TAR FIN'!$A$1:$O$85,15,0))</f>
        <v>283.83999999999997</v>
      </c>
      <c r="Y424" s="6"/>
      <c r="Z424" s="6">
        <f ca="1">('TUSD BE'!$AM$33+'TUSD BF'!$AM$33+'TUSD CVA'!$AM$33)*(1-CUSTOS!$M$38)</f>
        <v>408.71492269690788</v>
      </c>
      <c r="AA424" s="6">
        <f>('TE BE'!$AB$23+'TE BF'!$AB$23+'TE CVA'!$AB$23)*(1-CUSTOS!$M$38)</f>
        <v>300.75684149176499</v>
      </c>
      <c r="AB424" s="6">
        <f t="shared" si="26"/>
        <v>0</v>
      </c>
      <c r="AC424" s="6">
        <f>(L424-M424)*(W424+X424)+($W$198+$X$198-$W$424-$X$424)*(L424)</f>
        <v>3516616.6863760003</v>
      </c>
      <c r="AD424" s="6">
        <f t="shared" si="27"/>
        <v>0</v>
      </c>
      <c r="AE424" s="6">
        <f ca="1">(L424-M424)*(Z424+AA424)+($Z$198+$AA$198-$Z$424-$AA$424)*(L424)</f>
        <v>3947807.1824539471</v>
      </c>
      <c r="AF424" s="4" t="s">
        <v>850</v>
      </c>
    </row>
    <row r="425" spans="1:32" ht="11.25" customHeight="1" x14ac:dyDescent="0.25">
      <c r="A425" s="4" t="s">
        <v>27</v>
      </c>
      <c r="B425" s="4" t="s">
        <v>43</v>
      </c>
      <c r="C425" s="4" t="s">
        <v>23</v>
      </c>
      <c r="D425" s="4" t="s">
        <v>44</v>
      </c>
      <c r="E425" s="4" t="s">
        <v>52</v>
      </c>
      <c r="F425" s="4" t="s">
        <v>54</v>
      </c>
      <c r="G425" s="4" t="s">
        <v>25</v>
      </c>
      <c r="H425" s="4" t="s">
        <v>25</v>
      </c>
      <c r="I425" s="5">
        <v>44682</v>
      </c>
      <c r="J425" s="6">
        <v>0</v>
      </c>
      <c r="K425" s="6">
        <v>0</v>
      </c>
      <c r="L425" s="6">
        <v>-0.59699999999999998</v>
      </c>
      <c r="M425" s="6">
        <v>-0.16119</v>
      </c>
      <c r="N425" s="6">
        <v>-0.59699999999999998</v>
      </c>
      <c r="O425" s="6">
        <v>-0.16119</v>
      </c>
      <c r="P425" s="6">
        <v>0</v>
      </c>
      <c r="Q425" s="4" t="s">
        <v>26</v>
      </c>
      <c r="R425" s="4">
        <v>0</v>
      </c>
      <c r="S425" s="4">
        <v>0</v>
      </c>
      <c r="T425" s="4">
        <v>29</v>
      </c>
      <c r="U425" s="4">
        <v>66</v>
      </c>
      <c r="V425" s="6">
        <f>IF(ISERROR(VLOOKUP($S$425,'TAR FIN'!$A$1:$O$85,15,0)),0,VLOOKUP($S$425,'TAR FIN'!$A$1:$O$85,15,0))</f>
        <v>0</v>
      </c>
      <c r="W425" s="6">
        <f>IF(ISERROR(VLOOKUP($T$425,'TAR FIN'!$A$1:$O$85,15,0)),0,VLOOKUP($T$425,'TAR FIN'!$A$1:$O$85,15,0))</f>
        <v>285.89</v>
      </c>
      <c r="X425" s="6">
        <f>IF(ISERROR(VLOOKUP($U$425,'TAR FIN'!$A$1:$O$85,15,0)),0,VLOOKUP($U$425,'TAR FIN'!$A$1:$O$85,15,0))</f>
        <v>283.83999999999997</v>
      </c>
      <c r="Y425" s="6"/>
      <c r="Z425" s="6">
        <f ca="1">('TUSD BE'!$AM$33+'TUSD BF'!$AM$33+'TUSD CVA'!$AM$33)*(1-CUSTOS!$M$38)</f>
        <v>408.71492269690788</v>
      </c>
      <c r="AA425" s="6">
        <f>('TE BE'!$AB$23+'TE BF'!$AB$23+'TE CVA'!$AB$23)*(1-CUSTOS!$M$38)</f>
        <v>300.75684149176499</v>
      </c>
      <c r="AB425" s="6">
        <f t="shared" si="26"/>
        <v>0</v>
      </c>
      <c r="AC425" s="6">
        <f>(L425-M425)*(W425+X425)+($W$198+$X$198-$W$425-$X$425)*(L425)</f>
        <v>-294.67496130000006</v>
      </c>
      <c r="AD425" s="6">
        <f t="shared" si="27"/>
        <v>0</v>
      </c>
      <c r="AE425" s="6">
        <f ca="1">(L425-M425)*(Z425+AA425)+($Z$198+$AA$198-$Z$425-$AA$425)*(L425)</f>
        <v>-336.23029230982962</v>
      </c>
      <c r="AF425" s="4" t="s">
        <v>850</v>
      </c>
    </row>
    <row r="426" spans="1:32" ht="11.25" customHeight="1" x14ac:dyDescent="0.25">
      <c r="A426" s="4" t="s">
        <v>28</v>
      </c>
      <c r="B426" s="4" t="s">
        <v>43</v>
      </c>
      <c r="C426" s="4" t="s">
        <v>23</v>
      </c>
      <c r="D426" s="4" t="s">
        <v>44</v>
      </c>
      <c r="E426" s="4" t="s">
        <v>52</v>
      </c>
      <c r="F426" s="4" t="s">
        <v>54</v>
      </c>
      <c r="G426" s="4" t="s">
        <v>25</v>
      </c>
      <c r="H426" s="4" t="s">
        <v>25</v>
      </c>
      <c r="I426" s="5">
        <v>44682</v>
      </c>
      <c r="J426" s="6">
        <v>0</v>
      </c>
      <c r="K426" s="6">
        <v>0</v>
      </c>
      <c r="L426" s="6">
        <v>127.547</v>
      </c>
      <c r="M426" s="6">
        <v>51.018799999999999</v>
      </c>
      <c r="N426" s="6">
        <v>127.547</v>
      </c>
      <c r="O426" s="6">
        <v>51.018799999999999</v>
      </c>
      <c r="P426" s="6">
        <v>0</v>
      </c>
      <c r="Q426" s="4" t="s">
        <v>26</v>
      </c>
      <c r="R426" s="4">
        <v>0</v>
      </c>
      <c r="S426" s="4">
        <v>0</v>
      </c>
      <c r="T426" s="4">
        <v>29</v>
      </c>
      <c r="U426" s="4">
        <v>66</v>
      </c>
      <c r="V426" s="6">
        <f>IF(ISERROR(VLOOKUP($S$426,'TAR FIN'!$A$1:$O$85,15,0)),0,VLOOKUP($S$426,'TAR FIN'!$A$1:$O$85,15,0))</f>
        <v>0</v>
      </c>
      <c r="W426" s="6">
        <f>IF(ISERROR(VLOOKUP($T$426,'TAR FIN'!$A$1:$O$85,15,0)),0,VLOOKUP($T$426,'TAR FIN'!$A$1:$O$85,15,0))</f>
        <v>285.89</v>
      </c>
      <c r="X426" s="6">
        <f>IF(ISERROR(VLOOKUP($U$426,'TAR FIN'!$A$1:$O$85,15,0)),0,VLOOKUP($U$426,'TAR FIN'!$A$1:$O$85,15,0))</f>
        <v>283.83999999999997</v>
      </c>
      <c r="Y426" s="6"/>
      <c r="Z426" s="6">
        <f ca="1">('TUSD BE'!$AM$33+'TUSD BF'!$AM$33+'TUSD CVA'!$AM$33)*(1-CUSTOS!$M$38)</f>
        <v>408.71492269690788</v>
      </c>
      <c r="AA426" s="6">
        <f>('TE BE'!$AB$23+'TE BF'!$AB$23+'TE CVA'!$AB$23)*(1-CUSTOS!$M$38)</f>
        <v>300.75684149176499</v>
      </c>
      <c r="AB426" s="6">
        <f t="shared" si="26"/>
        <v>0</v>
      </c>
      <c r="AC426" s="6">
        <f>(L426-M426)*(W426+X426)+($W$198+$X$198-$W$426-$X$426)*(L426)</f>
        <v>53509.537816000011</v>
      </c>
      <c r="AD426" s="6">
        <f t="shared" si="27"/>
        <v>0</v>
      </c>
      <c r="AE426" s="6">
        <f ca="1">(L426-M426)*(Z426+AA426)+($Z$198+$AA$198-$Z$426-$AA$426)*(L426)</f>
        <v>60070.618028458448</v>
      </c>
      <c r="AF426" s="4" t="s">
        <v>850</v>
      </c>
    </row>
    <row r="427" spans="1:32" ht="11.25" customHeight="1" x14ac:dyDescent="0.25">
      <c r="A427" s="4" t="s">
        <v>28</v>
      </c>
      <c r="B427" s="4" t="s">
        <v>43</v>
      </c>
      <c r="C427" s="4" t="s">
        <v>23</v>
      </c>
      <c r="D427" s="4" t="s">
        <v>44</v>
      </c>
      <c r="E427" s="4" t="s">
        <v>52</v>
      </c>
      <c r="F427" s="4" t="s">
        <v>54</v>
      </c>
      <c r="G427" s="4" t="s">
        <v>25</v>
      </c>
      <c r="H427" s="4" t="s">
        <v>25</v>
      </c>
      <c r="I427" s="5">
        <v>44682</v>
      </c>
      <c r="J427" s="6">
        <v>0</v>
      </c>
      <c r="K427" s="6">
        <v>0</v>
      </c>
      <c r="L427" s="6">
        <v>0.13</v>
      </c>
      <c r="M427" s="6">
        <v>3.5099999999999999E-2</v>
      </c>
      <c r="N427" s="6">
        <v>0.13</v>
      </c>
      <c r="O427" s="6">
        <v>3.5099999999999999E-2</v>
      </c>
      <c r="P427" s="6">
        <v>0</v>
      </c>
      <c r="Q427" s="4" t="s">
        <v>26</v>
      </c>
      <c r="R427" s="4">
        <v>0</v>
      </c>
      <c r="S427" s="4">
        <v>0</v>
      </c>
      <c r="T427" s="4">
        <v>29</v>
      </c>
      <c r="U427" s="4">
        <v>66</v>
      </c>
      <c r="V427" s="6">
        <f>IF(ISERROR(VLOOKUP($S$427,'TAR FIN'!$A$1:$O$85,15,0)),0,VLOOKUP($S$427,'TAR FIN'!$A$1:$O$85,15,0))</f>
        <v>0</v>
      </c>
      <c r="W427" s="6">
        <f>IF(ISERROR(VLOOKUP($T$427,'TAR FIN'!$A$1:$O$85,15,0)),0,VLOOKUP($T$427,'TAR FIN'!$A$1:$O$85,15,0))</f>
        <v>285.89</v>
      </c>
      <c r="X427" s="6">
        <f>IF(ISERROR(VLOOKUP($U$427,'TAR FIN'!$A$1:$O$85,15,0)),0,VLOOKUP($U$427,'TAR FIN'!$A$1:$O$85,15,0))</f>
        <v>283.83999999999997</v>
      </c>
      <c r="Y427" s="6"/>
      <c r="Z427" s="6">
        <f ca="1">('TUSD BE'!$AM$33+'TUSD BF'!$AM$33+'TUSD CVA'!$AM$33)*(1-CUSTOS!$M$38)</f>
        <v>408.71492269690788</v>
      </c>
      <c r="AA427" s="6">
        <f>('TE BE'!$AB$23+'TE BF'!$AB$23+'TE CVA'!$AB$23)*(1-CUSTOS!$M$38)</f>
        <v>300.75684149176499</v>
      </c>
      <c r="AB427" s="6">
        <f t="shared" si="26"/>
        <v>0</v>
      </c>
      <c r="AC427" s="6">
        <f>(L427-M427)*(W427+X427)+($W$198+$X$198-$W$427-$X$427)*(L427)</f>
        <v>64.16707700000002</v>
      </c>
      <c r="AD427" s="6">
        <f t="shared" si="27"/>
        <v>0</v>
      </c>
      <c r="AE427" s="6">
        <f ca="1">(L427-M427)*(Z427+AA427)+($Z$198+$AA$198-$Z$427-$AA$427)*(L427)</f>
        <v>73.215976549879159</v>
      </c>
      <c r="AF427" s="4" t="s">
        <v>850</v>
      </c>
    </row>
    <row r="428" spans="1:32" ht="11.25" customHeight="1" x14ac:dyDescent="0.25">
      <c r="A428" s="4" t="s">
        <v>21</v>
      </c>
      <c r="B428" s="4" t="s">
        <v>43</v>
      </c>
      <c r="C428" s="4" t="s">
        <v>23</v>
      </c>
      <c r="D428" s="4" t="s">
        <v>44</v>
      </c>
      <c r="E428" s="4" t="s">
        <v>52</v>
      </c>
      <c r="F428" s="4" t="s">
        <v>54</v>
      </c>
      <c r="G428" s="4" t="s">
        <v>25</v>
      </c>
      <c r="H428" s="4" t="s">
        <v>25</v>
      </c>
      <c r="I428" s="5">
        <v>44713</v>
      </c>
      <c r="J428" s="6">
        <v>0</v>
      </c>
      <c r="K428" s="6">
        <v>0</v>
      </c>
      <c r="L428" s="6">
        <v>6080.9279999999999</v>
      </c>
      <c r="M428" s="6">
        <v>2432.3712</v>
      </c>
      <c r="N428" s="6">
        <v>6080.9279999999999</v>
      </c>
      <c r="O428" s="6">
        <v>2432.3712</v>
      </c>
      <c r="P428" s="6">
        <v>0</v>
      </c>
      <c r="Q428" s="4" t="s">
        <v>26</v>
      </c>
      <c r="R428" s="4">
        <v>0</v>
      </c>
      <c r="S428" s="4">
        <v>0</v>
      </c>
      <c r="T428" s="4">
        <v>29</v>
      </c>
      <c r="U428" s="4">
        <v>66</v>
      </c>
      <c r="V428" s="6">
        <f>IF(ISERROR(VLOOKUP($S$428,'TAR FIN'!$A$1:$O$85,15,0)),0,VLOOKUP($S$428,'TAR FIN'!$A$1:$O$85,15,0))</f>
        <v>0</v>
      </c>
      <c r="W428" s="6">
        <f>IF(ISERROR(VLOOKUP($T$428,'TAR FIN'!$A$1:$O$85,15,0)),0,VLOOKUP($T$428,'TAR FIN'!$A$1:$O$85,15,0))</f>
        <v>285.89</v>
      </c>
      <c r="X428" s="6">
        <f>IF(ISERROR(VLOOKUP($U$428,'TAR FIN'!$A$1:$O$85,15,0)),0,VLOOKUP($U$428,'TAR FIN'!$A$1:$O$85,15,0))</f>
        <v>283.83999999999997</v>
      </c>
      <c r="Y428" s="6"/>
      <c r="Z428" s="6">
        <f ca="1">('TUSD BE'!$AM$33+'TUSD BF'!$AM$33+'TUSD CVA'!$AM$33)*(1-CUSTOS!$M$38)</f>
        <v>408.71492269690788</v>
      </c>
      <c r="AA428" s="6">
        <f>('TE BE'!$AB$23+'TE BF'!$AB$23+'TE CVA'!$AB$23)*(1-CUSTOS!$M$38)</f>
        <v>300.75684149176499</v>
      </c>
      <c r="AB428" s="6">
        <f t="shared" si="26"/>
        <v>0</v>
      </c>
      <c r="AC428" s="6">
        <f>(L428-M428)*(W428+X428)+($W$198+$X$198-$W$428-$X$428)*(L428)</f>
        <v>2551119.5619840007</v>
      </c>
      <c r="AD428" s="6">
        <f t="shared" si="27"/>
        <v>0</v>
      </c>
      <c r="AE428" s="6">
        <f ca="1">(L428-M428)*(Z428+AA428)+($Z$198+$AA$198-$Z$428-$AA$428)*(L428)</f>
        <v>2863925.4796001296</v>
      </c>
      <c r="AF428" s="4" t="s">
        <v>850</v>
      </c>
    </row>
    <row r="429" spans="1:32" ht="11.25" customHeight="1" x14ac:dyDescent="0.25">
      <c r="A429" s="4" t="s">
        <v>27</v>
      </c>
      <c r="B429" s="4" t="s">
        <v>43</v>
      </c>
      <c r="C429" s="4" t="s">
        <v>23</v>
      </c>
      <c r="D429" s="4" t="s">
        <v>44</v>
      </c>
      <c r="E429" s="4" t="s">
        <v>52</v>
      </c>
      <c r="F429" s="4" t="s">
        <v>54</v>
      </c>
      <c r="G429" s="4" t="s">
        <v>25</v>
      </c>
      <c r="H429" s="4" t="s">
        <v>25</v>
      </c>
      <c r="I429" s="5">
        <v>44713</v>
      </c>
      <c r="J429" s="6">
        <v>0</v>
      </c>
      <c r="K429" s="6">
        <v>0</v>
      </c>
      <c r="L429" s="6">
        <v>2.972</v>
      </c>
      <c r="M429" s="6">
        <v>0.80244000000000004</v>
      </c>
      <c r="N429" s="6">
        <v>2.972</v>
      </c>
      <c r="O429" s="6">
        <v>0.80244000000000004</v>
      </c>
      <c r="P429" s="6">
        <v>0</v>
      </c>
      <c r="Q429" s="4" t="s">
        <v>26</v>
      </c>
      <c r="R429" s="4">
        <v>0</v>
      </c>
      <c r="S429" s="4">
        <v>0</v>
      </c>
      <c r="T429" s="4">
        <v>29</v>
      </c>
      <c r="U429" s="4">
        <v>66</v>
      </c>
      <c r="V429" s="6">
        <f>IF(ISERROR(VLOOKUP($S$429,'TAR FIN'!$A$1:$O$85,15,0)),0,VLOOKUP($S$429,'TAR FIN'!$A$1:$O$85,15,0))</f>
        <v>0</v>
      </c>
      <c r="W429" s="6">
        <f>IF(ISERROR(VLOOKUP($T$429,'TAR FIN'!$A$1:$O$85,15,0)),0,VLOOKUP($T$429,'TAR FIN'!$A$1:$O$85,15,0))</f>
        <v>285.89</v>
      </c>
      <c r="X429" s="6">
        <f>IF(ISERROR(VLOOKUP($U$429,'TAR FIN'!$A$1:$O$85,15,0)),0,VLOOKUP($U$429,'TAR FIN'!$A$1:$O$85,15,0))</f>
        <v>283.83999999999997</v>
      </c>
      <c r="Y429" s="6"/>
      <c r="Z429" s="6">
        <f ca="1">('TUSD BE'!$AM$33+'TUSD BF'!$AM$33+'TUSD CVA'!$AM$33)*(1-CUSTOS!$M$38)</f>
        <v>408.71492269690788</v>
      </c>
      <c r="AA429" s="6">
        <f>('TE BE'!$AB$23+'TE BF'!$AB$23+'TE CVA'!$AB$23)*(1-CUSTOS!$M$38)</f>
        <v>300.75684149176499</v>
      </c>
      <c r="AB429" s="6">
        <f t="shared" si="26"/>
        <v>0</v>
      </c>
      <c r="AC429" s="6">
        <f>(L429-M429)*(W429+X429)+($W$198+$X$198-$W$429-$X$429)*(L429)</f>
        <v>1466.9580988000002</v>
      </c>
      <c r="AD429" s="6">
        <f t="shared" si="27"/>
        <v>0</v>
      </c>
      <c r="AE429" s="6">
        <f ca="1">(L429-M429)*(Z429+AA429)+($Z$198+$AA$198-$Z$429-$AA$429)*(L429)</f>
        <v>1673.8298638941601</v>
      </c>
      <c r="AF429" s="4" t="s">
        <v>850</v>
      </c>
    </row>
    <row r="430" spans="1:32" ht="11.25" customHeight="1" x14ac:dyDescent="0.25">
      <c r="A430" s="4" t="s">
        <v>28</v>
      </c>
      <c r="B430" s="4" t="s">
        <v>43</v>
      </c>
      <c r="C430" s="4" t="s">
        <v>23</v>
      </c>
      <c r="D430" s="4" t="s">
        <v>44</v>
      </c>
      <c r="E430" s="4" t="s">
        <v>52</v>
      </c>
      <c r="F430" s="4" t="s">
        <v>54</v>
      </c>
      <c r="G430" s="4" t="s">
        <v>25</v>
      </c>
      <c r="H430" s="4" t="s">
        <v>25</v>
      </c>
      <c r="I430" s="5">
        <v>44713</v>
      </c>
      <c r="J430" s="6">
        <v>0</v>
      </c>
      <c r="K430" s="6">
        <v>0</v>
      </c>
      <c r="L430" s="6">
        <v>75.545000000000002</v>
      </c>
      <c r="M430" s="6">
        <v>30.218</v>
      </c>
      <c r="N430" s="6">
        <v>75.545000000000002</v>
      </c>
      <c r="O430" s="6">
        <v>30.218</v>
      </c>
      <c r="P430" s="6">
        <v>0</v>
      </c>
      <c r="Q430" s="4" t="s">
        <v>26</v>
      </c>
      <c r="R430" s="4">
        <v>0</v>
      </c>
      <c r="S430" s="4">
        <v>0</v>
      </c>
      <c r="T430" s="4">
        <v>29</v>
      </c>
      <c r="U430" s="4">
        <v>66</v>
      </c>
      <c r="V430" s="6">
        <f>IF(ISERROR(VLOOKUP($S$430,'TAR FIN'!$A$1:$O$85,15,0)),0,VLOOKUP($S$430,'TAR FIN'!$A$1:$O$85,15,0))</f>
        <v>0</v>
      </c>
      <c r="W430" s="6">
        <f>IF(ISERROR(VLOOKUP($T$430,'TAR FIN'!$A$1:$O$85,15,0)),0,VLOOKUP($T$430,'TAR FIN'!$A$1:$O$85,15,0))</f>
        <v>285.89</v>
      </c>
      <c r="X430" s="6">
        <f>IF(ISERROR(VLOOKUP($U$430,'TAR FIN'!$A$1:$O$85,15,0)),0,VLOOKUP($U$430,'TAR FIN'!$A$1:$O$85,15,0))</f>
        <v>283.83999999999997</v>
      </c>
      <c r="Y430" s="6"/>
      <c r="Z430" s="6">
        <f ca="1">('TUSD BE'!$AM$33+'TUSD BF'!$AM$33+'TUSD CVA'!$AM$33)*(1-CUSTOS!$M$38)</f>
        <v>408.71492269690788</v>
      </c>
      <c r="AA430" s="6">
        <f>('TE BE'!$AB$23+'TE BF'!$AB$23+'TE CVA'!$AB$23)*(1-CUSTOS!$M$38)</f>
        <v>300.75684149176499</v>
      </c>
      <c r="AB430" s="6">
        <f t="shared" si="26"/>
        <v>0</v>
      </c>
      <c r="AC430" s="6">
        <f>(L430-M430)*(W430+X430)+($W$198+$X$198-$W$430-$X$430)*(L430)</f>
        <v>31693.242760000008</v>
      </c>
      <c r="AD430" s="6">
        <f t="shared" si="27"/>
        <v>0</v>
      </c>
      <c r="AE430" s="6">
        <f ca="1">(L430-M430)*(Z430+AA430)+($Z$198+$AA$198-$Z$430-$AA$430)*(L430)</f>
        <v>35579.314597441677</v>
      </c>
      <c r="AF430" s="4" t="s">
        <v>850</v>
      </c>
    </row>
    <row r="431" spans="1:32" ht="11.25" customHeight="1" x14ac:dyDescent="0.25">
      <c r="A431" s="4" t="s">
        <v>21</v>
      </c>
      <c r="B431" s="4" t="s">
        <v>43</v>
      </c>
      <c r="C431" s="4" t="s">
        <v>23</v>
      </c>
      <c r="D431" s="4" t="s">
        <v>44</v>
      </c>
      <c r="E431" s="4" t="s">
        <v>52</v>
      </c>
      <c r="F431" s="4" t="s">
        <v>54</v>
      </c>
      <c r="G431" s="4" t="s">
        <v>25</v>
      </c>
      <c r="H431" s="4" t="s">
        <v>25</v>
      </c>
      <c r="I431" s="5">
        <v>44743</v>
      </c>
      <c r="J431" s="6">
        <v>0</v>
      </c>
      <c r="K431" s="6">
        <v>0</v>
      </c>
      <c r="L431" s="6">
        <v>7343.5330000000004</v>
      </c>
      <c r="M431" s="6">
        <v>2937.4132</v>
      </c>
      <c r="N431" s="6">
        <v>7343.5330000000004</v>
      </c>
      <c r="O431" s="6">
        <v>2937.4132</v>
      </c>
      <c r="P431" s="6">
        <v>0</v>
      </c>
      <c r="Q431" s="4" t="s">
        <v>26</v>
      </c>
      <c r="R431" s="4">
        <v>0</v>
      </c>
      <c r="S431" s="4">
        <v>0</v>
      </c>
      <c r="T431" s="4">
        <v>29</v>
      </c>
      <c r="U431" s="4">
        <v>66</v>
      </c>
      <c r="V431" s="6">
        <f>IF(ISERROR(VLOOKUP($S$431,'TAR FIN'!$A$1:$O$85,15,0)),0,VLOOKUP($S$431,'TAR FIN'!$A$1:$O$85,15,0))</f>
        <v>0</v>
      </c>
      <c r="W431" s="6">
        <f>IF(ISERROR(VLOOKUP($T$431,'TAR FIN'!$A$1:$O$85,15,0)),0,VLOOKUP($T$431,'TAR FIN'!$A$1:$O$85,15,0))</f>
        <v>285.89</v>
      </c>
      <c r="X431" s="6">
        <f>IF(ISERROR(VLOOKUP($U$431,'TAR FIN'!$A$1:$O$85,15,0)),0,VLOOKUP($U$431,'TAR FIN'!$A$1:$O$85,15,0))</f>
        <v>283.83999999999997</v>
      </c>
      <c r="Y431" s="6"/>
      <c r="Z431" s="6">
        <f ca="1">('TUSD BE'!$AM$33+'TUSD BF'!$AM$33+'TUSD CVA'!$AM$33)*(1-CUSTOS!$M$38)</f>
        <v>408.71492269690788</v>
      </c>
      <c r="AA431" s="6">
        <f>('TE BE'!$AB$23+'TE BF'!$AB$23+'TE CVA'!$AB$23)*(1-CUSTOS!$M$38)</f>
        <v>300.75684149176499</v>
      </c>
      <c r="AB431" s="6">
        <f t="shared" si="26"/>
        <v>0</v>
      </c>
      <c r="AC431" s="6">
        <f>(L431-M431)*(W431+X431)+($W$198+$X$198-$W$431-$X$431)*(L431)</f>
        <v>3080817.7124240012</v>
      </c>
      <c r="AD431" s="6">
        <f t="shared" si="27"/>
        <v>0</v>
      </c>
      <c r="AE431" s="6">
        <f ca="1">(L431-M431)*(Z431+AA431)+($Z$198+$AA$198-$Z$431-$AA$431)*(L431)</f>
        <v>3458572.6502573923</v>
      </c>
      <c r="AF431" s="4" t="s">
        <v>850</v>
      </c>
    </row>
    <row r="432" spans="1:32" ht="11.25" customHeight="1" x14ac:dyDescent="0.25">
      <c r="A432" s="4" t="s">
        <v>27</v>
      </c>
      <c r="B432" s="4" t="s">
        <v>43</v>
      </c>
      <c r="C432" s="4" t="s">
        <v>23</v>
      </c>
      <c r="D432" s="4" t="s">
        <v>44</v>
      </c>
      <c r="E432" s="4" t="s">
        <v>52</v>
      </c>
      <c r="F432" s="4" t="s">
        <v>54</v>
      </c>
      <c r="G432" s="4" t="s">
        <v>25</v>
      </c>
      <c r="H432" s="4" t="s">
        <v>25</v>
      </c>
      <c r="I432" s="5">
        <v>44743</v>
      </c>
      <c r="J432" s="6">
        <v>0</v>
      </c>
      <c r="K432" s="6">
        <v>0</v>
      </c>
      <c r="L432" s="6">
        <v>10.722</v>
      </c>
      <c r="M432" s="6">
        <v>2.8949400000000001</v>
      </c>
      <c r="N432" s="6">
        <v>10.722</v>
      </c>
      <c r="O432" s="6">
        <v>2.8949400000000001</v>
      </c>
      <c r="P432" s="6">
        <v>0</v>
      </c>
      <c r="Q432" s="4" t="s">
        <v>26</v>
      </c>
      <c r="R432" s="4">
        <v>0</v>
      </c>
      <c r="S432" s="4">
        <v>0</v>
      </c>
      <c r="T432" s="4">
        <v>29</v>
      </c>
      <c r="U432" s="4">
        <v>66</v>
      </c>
      <c r="V432" s="6">
        <f>IF(ISERROR(VLOOKUP($S$432,'TAR FIN'!$A$1:$O$85,15,0)),0,VLOOKUP($S$432,'TAR FIN'!$A$1:$O$85,15,0))</f>
        <v>0</v>
      </c>
      <c r="W432" s="6">
        <f>IF(ISERROR(VLOOKUP($T$432,'TAR FIN'!$A$1:$O$85,15,0)),0,VLOOKUP($T$432,'TAR FIN'!$A$1:$O$85,15,0))</f>
        <v>285.89</v>
      </c>
      <c r="X432" s="6">
        <f>IF(ISERROR(VLOOKUP($U$432,'TAR FIN'!$A$1:$O$85,15,0)),0,VLOOKUP($U$432,'TAR FIN'!$A$1:$O$85,15,0))</f>
        <v>283.83999999999997</v>
      </c>
      <c r="Y432" s="6"/>
      <c r="Z432" s="6">
        <f ca="1">('TUSD BE'!$AM$33+'TUSD BF'!$AM$33+'TUSD CVA'!$AM$33)*(1-CUSTOS!$M$38)</f>
        <v>408.71492269690788</v>
      </c>
      <c r="AA432" s="6">
        <f>('TE BE'!$AB$23+'TE BF'!$AB$23+'TE CVA'!$AB$23)*(1-CUSTOS!$M$38)</f>
        <v>300.75684149176499</v>
      </c>
      <c r="AB432" s="6">
        <f t="shared" si="26"/>
        <v>0</v>
      </c>
      <c r="AC432" s="6">
        <f>(L432-M432)*(W432+X432)+($W$198+$X$198-$W$432-$X$432)*(L432)</f>
        <v>5292.3030738000007</v>
      </c>
      <c r="AD432" s="6">
        <f t="shared" si="27"/>
        <v>0</v>
      </c>
      <c r="AE432" s="6">
        <f ca="1">(L432-M432)*(Z432+AA432)+($Z$198+$AA$198-$Z$432-$AA$432)*(L432)</f>
        <v>6038.6284659061866</v>
      </c>
      <c r="AF432" s="4" t="s">
        <v>850</v>
      </c>
    </row>
    <row r="433" spans="1:32" ht="11.25" customHeight="1" x14ac:dyDescent="0.25">
      <c r="A433" s="4" t="s">
        <v>28</v>
      </c>
      <c r="B433" s="4" t="s">
        <v>43</v>
      </c>
      <c r="C433" s="4" t="s">
        <v>23</v>
      </c>
      <c r="D433" s="4" t="s">
        <v>44</v>
      </c>
      <c r="E433" s="4" t="s">
        <v>52</v>
      </c>
      <c r="F433" s="4" t="s">
        <v>54</v>
      </c>
      <c r="G433" s="4" t="s">
        <v>25</v>
      </c>
      <c r="H433" s="4" t="s">
        <v>25</v>
      </c>
      <c r="I433" s="5">
        <v>44743</v>
      </c>
      <c r="J433" s="6">
        <v>0</v>
      </c>
      <c r="K433" s="6">
        <v>0</v>
      </c>
      <c r="L433" s="6">
        <v>167.989</v>
      </c>
      <c r="M433" s="6">
        <v>67.195599999999999</v>
      </c>
      <c r="N433" s="6">
        <v>167.989</v>
      </c>
      <c r="O433" s="6">
        <v>67.195599999999999</v>
      </c>
      <c r="P433" s="6">
        <v>0</v>
      </c>
      <c r="Q433" s="4" t="s">
        <v>26</v>
      </c>
      <c r="R433" s="4">
        <v>0</v>
      </c>
      <c r="S433" s="4">
        <v>0</v>
      </c>
      <c r="T433" s="4">
        <v>29</v>
      </c>
      <c r="U433" s="4">
        <v>66</v>
      </c>
      <c r="V433" s="6">
        <f>IF(ISERROR(VLOOKUP($S$433,'TAR FIN'!$A$1:$O$85,15,0)),0,VLOOKUP($S$433,'TAR FIN'!$A$1:$O$85,15,0))</f>
        <v>0</v>
      </c>
      <c r="W433" s="6">
        <f>IF(ISERROR(VLOOKUP($T$433,'TAR FIN'!$A$1:$O$85,15,0)),0,VLOOKUP($T$433,'TAR FIN'!$A$1:$O$85,15,0))</f>
        <v>285.89</v>
      </c>
      <c r="X433" s="6">
        <f>IF(ISERROR(VLOOKUP($U$433,'TAR FIN'!$A$1:$O$85,15,0)),0,VLOOKUP($U$433,'TAR FIN'!$A$1:$O$85,15,0))</f>
        <v>283.83999999999997</v>
      </c>
      <c r="Y433" s="6"/>
      <c r="Z433" s="6">
        <f ca="1">('TUSD BE'!$AM$33+'TUSD BF'!$AM$33+'TUSD CVA'!$AM$33)*(1-CUSTOS!$M$38)</f>
        <v>408.71492269690788</v>
      </c>
      <c r="AA433" s="6">
        <f>('TE BE'!$AB$23+'TE BF'!$AB$23+'TE CVA'!$AB$23)*(1-CUSTOS!$M$38)</f>
        <v>300.75684149176499</v>
      </c>
      <c r="AB433" s="6">
        <f t="shared" si="26"/>
        <v>0</v>
      </c>
      <c r="AC433" s="6">
        <f>(L433-M433)*(W433+X433)+($W$198+$X$198-$W$433-$X$433)*(L433)</f>
        <v>70476.089192000029</v>
      </c>
      <c r="AD433" s="6">
        <f t="shared" si="27"/>
        <v>0</v>
      </c>
      <c r="AE433" s="6">
        <f ca="1">(L433-M433)*(Z433+AA433)+($Z$198+$AA$198-$Z$433-$AA$433)*(L433)</f>
        <v>79117.525711954862</v>
      </c>
      <c r="AF433" s="4" t="s">
        <v>850</v>
      </c>
    </row>
    <row r="434" spans="1:32" ht="11.25" customHeight="1" x14ac:dyDescent="0.25">
      <c r="A434" s="4" t="s">
        <v>56</v>
      </c>
      <c r="B434" s="4" t="s">
        <v>43</v>
      </c>
      <c r="C434" s="4" t="s">
        <v>23</v>
      </c>
      <c r="D434" s="4" t="s">
        <v>44</v>
      </c>
      <c r="E434" s="4" t="s">
        <v>52</v>
      </c>
      <c r="F434" s="4" t="s">
        <v>54</v>
      </c>
      <c r="G434" s="4" t="s">
        <v>25</v>
      </c>
      <c r="H434" s="4" t="s">
        <v>25</v>
      </c>
      <c r="I434" s="5">
        <v>44774</v>
      </c>
      <c r="J434" s="6">
        <v>0</v>
      </c>
      <c r="K434" s="6">
        <v>0</v>
      </c>
      <c r="L434" s="6">
        <v>7343.5330000000004</v>
      </c>
      <c r="M434" s="6">
        <v>2937.4132</v>
      </c>
      <c r="N434" s="6">
        <v>7343.5330000000004</v>
      </c>
      <c r="O434" s="6">
        <v>2937.4132</v>
      </c>
      <c r="P434" s="6">
        <v>0</v>
      </c>
      <c r="Q434" s="4" t="s">
        <v>26</v>
      </c>
      <c r="R434" s="4">
        <v>0</v>
      </c>
      <c r="S434" s="4">
        <v>0</v>
      </c>
      <c r="T434" s="4">
        <v>29</v>
      </c>
      <c r="U434" s="4">
        <v>66</v>
      </c>
      <c r="V434" s="6">
        <f>IF(ISERROR(VLOOKUP($S$434,'TAR FIN'!$A$1:$O$85,15,0)),0,VLOOKUP($S$434,'TAR FIN'!$A$1:$O$85,15,0))</f>
        <v>0</v>
      </c>
      <c r="W434" s="6">
        <f>IF(ISERROR(VLOOKUP($T$434,'TAR FIN'!$A$1:$O$85,15,0)),0,VLOOKUP($T$434,'TAR FIN'!$A$1:$O$85,15,0))</f>
        <v>285.89</v>
      </c>
      <c r="X434" s="6">
        <f>IF(ISERROR(VLOOKUP($U$434,'TAR FIN'!$A$1:$O$85,15,0)),0,VLOOKUP($U$434,'TAR FIN'!$A$1:$O$85,15,0))</f>
        <v>283.83999999999997</v>
      </c>
      <c r="Y434" s="6"/>
      <c r="Z434" s="6">
        <f ca="1">('TUSD BE'!$AM$33+'TUSD BF'!$AM$33+'TUSD CVA'!$AM$33)*(1-CUSTOS!$M$38)</f>
        <v>408.71492269690788</v>
      </c>
      <c r="AA434" s="6">
        <f>('TE BE'!$AB$23+'TE BF'!$AB$23+'TE CVA'!$AB$23)*(1-CUSTOS!$M$38)</f>
        <v>300.75684149176499</v>
      </c>
      <c r="AB434" s="6">
        <f t="shared" si="26"/>
        <v>0</v>
      </c>
      <c r="AC434" s="6">
        <f>(L434-M434)*(W434+X434)+($W$198+$X$198-$W$434-$X$434)*(L434)</f>
        <v>3080817.7124240012</v>
      </c>
      <c r="AD434" s="6">
        <f t="shared" si="27"/>
        <v>0</v>
      </c>
      <c r="AE434" s="6">
        <f ca="1">(L434-M434)*(Z434+AA434)+($Z$198+$AA$198-$Z$434-$AA$434)*(L434)</f>
        <v>3458572.6502573923</v>
      </c>
      <c r="AF434" s="4" t="s">
        <v>850</v>
      </c>
    </row>
    <row r="435" spans="1:32" ht="11.25" customHeight="1" x14ac:dyDescent="0.25">
      <c r="A435" s="4" t="s">
        <v>56</v>
      </c>
      <c r="B435" s="4" t="s">
        <v>43</v>
      </c>
      <c r="C435" s="4" t="s">
        <v>23</v>
      </c>
      <c r="D435" s="4" t="s">
        <v>44</v>
      </c>
      <c r="E435" s="4" t="s">
        <v>52</v>
      </c>
      <c r="F435" s="4" t="s">
        <v>54</v>
      </c>
      <c r="G435" s="4" t="s">
        <v>25</v>
      </c>
      <c r="H435" s="4" t="s">
        <v>25</v>
      </c>
      <c r="I435" s="5">
        <v>44774</v>
      </c>
      <c r="J435" s="6">
        <v>0</v>
      </c>
      <c r="K435" s="6">
        <v>0</v>
      </c>
      <c r="L435" s="6">
        <v>10.722</v>
      </c>
      <c r="M435" s="6">
        <v>2.8949400000000001</v>
      </c>
      <c r="N435" s="6">
        <v>10.722</v>
      </c>
      <c r="O435" s="6">
        <v>2.8949400000000001</v>
      </c>
      <c r="P435" s="6">
        <v>0</v>
      </c>
      <c r="Q435" s="4" t="s">
        <v>26</v>
      </c>
      <c r="R435" s="4">
        <v>0</v>
      </c>
      <c r="S435" s="4">
        <v>0</v>
      </c>
      <c r="T435" s="4">
        <v>29</v>
      </c>
      <c r="U435" s="4">
        <v>66</v>
      </c>
      <c r="V435" s="6">
        <f>IF(ISERROR(VLOOKUP($S$435,'TAR FIN'!$A$1:$O$85,15,0)),0,VLOOKUP($S$435,'TAR FIN'!$A$1:$O$85,15,0))</f>
        <v>0</v>
      </c>
      <c r="W435" s="6">
        <f>IF(ISERROR(VLOOKUP($T$435,'TAR FIN'!$A$1:$O$85,15,0)),0,VLOOKUP($T$435,'TAR FIN'!$A$1:$O$85,15,0))</f>
        <v>285.89</v>
      </c>
      <c r="X435" s="6">
        <f>IF(ISERROR(VLOOKUP($U$435,'TAR FIN'!$A$1:$O$85,15,0)),0,VLOOKUP($U$435,'TAR FIN'!$A$1:$O$85,15,0))</f>
        <v>283.83999999999997</v>
      </c>
      <c r="Y435" s="6"/>
      <c r="Z435" s="6">
        <f ca="1">('TUSD BE'!$AM$33+'TUSD BF'!$AM$33+'TUSD CVA'!$AM$33)*(1-CUSTOS!$M$38)</f>
        <v>408.71492269690788</v>
      </c>
      <c r="AA435" s="6">
        <f>('TE BE'!$AB$23+'TE BF'!$AB$23+'TE CVA'!$AB$23)*(1-CUSTOS!$M$38)</f>
        <v>300.75684149176499</v>
      </c>
      <c r="AB435" s="6">
        <f t="shared" si="26"/>
        <v>0</v>
      </c>
      <c r="AC435" s="6">
        <f>(L435-M435)*(W435+X435)+($W$198+$X$198-$W$435-$X$435)*(L435)</f>
        <v>5292.3030738000007</v>
      </c>
      <c r="AD435" s="6">
        <f t="shared" si="27"/>
        <v>0</v>
      </c>
      <c r="AE435" s="6">
        <f ca="1">(L435-M435)*(Z435+AA435)+($Z$198+$AA$198-$Z$435-$AA$435)*(L435)</f>
        <v>6038.6284659061866</v>
      </c>
      <c r="AF435" s="4" t="s">
        <v>850</v>
      </c>
    </row>
    <row r="436" spans="1:32" ht="11.25" customHeight="1" x14ac:dyDescent="0.25">
      <c r="A436" s="4" t="s">
        <v>56</v>
      </c>
      <c r="B436" s="4" t="s">
        <v>43</v>
      </c>
      <c r="C436" s="4" t="s">
        <v>23</v>
      </c>
      <c r="D436" s="4" t="s">
        <v>44</v>
      </c>
      <c r="E436" s="4" t="s">
        <v>52</v>
      </c>
      <c r="F436" s="4" t="s">
        <v>54</v>
      </c>
      <c r="G436" s="4" t="s">
        <v>25</v>
      </c>
      <c r="H436" s="4" t="s">
        <v>25</v>
      </c>
      <c r="I436" s="5">
        <v>44774</v>
      </c>
      <c r="J436" s="6">
        <v>0</v>
      </c>
      <c r="K436" s="6">
        <v>0</v>
      </c>
      <c r="L436" s="6">
        <v>167.989</v>
      </c>
      <c r="M436" s="6">
        <v>67.195599999999999</v>
      </c>
      <c r="N436" s="6">
        <v>167.989</v>
      </c>
      <c r="O436" s="6">
        <v>67.195599999999999</v>
      </c>
      <c r="P436" s="6">
        <v>0</v>
      </c>
      <c r="Q436" s="4" t="s">
        <v>26</v>
      </c>
      <c r="R436" s="4">
        <v>0</v>
      </c>
      <c r="S436" s="4">
        <v>0</v>
      </c>
      <c r="T436" s="4">
        <v>29</v>
      </c>
      <c r="U436" s="4">
        <v>66</v>
      </c>
      <c r="V436" s="6">
        <f>IF(ISERROR(VLOOKUP($S$436,'TAR FIN'!$A$1:$O$85,15,0)),0,VLOOKUP($S$436,'TAR FIN'!$A$1:$O$85,15,0))</f>
        <v>0</v>
      </c>
      <c r="W436" s="6">
        <f>IF(ISERROR(VLOOKUP($T$436,'TAR FIN'!$A$1:$O$85,15,0)),0,VLOOKUP($T$436,'TAR FIN'!$A$1:$O$85,15,0))</f>
        <v>285.89</v>
      </c>
      <c r="X436" s="6">
        <f>IF(ISERROR(VLOOKUP($U$436,'TAR FIN'!$A$1:$O$85,15,0)),0,VLOOKUP($U$436,'TAR FIN'!$A$1:$O$85,15,0))</f>
        <v>283.83999999999997</v>
      </c>
      <c r="Y436" s="6"/>
      <c r="Z436" s="6">
        <f ca="1">('TUSD BE'!$AM$33+'TUSD BF'!$AM$33+'TUSD CVA'!$AM$33)*(1-CUSTOS!$M$38)</f>
        <v>408.71492269690788</v>
      </c>
      <c r="AA436" s="6">
        <f>('TE BE'!$AB$23+'TE BF'!$AB$23+'TE CVA'!$AB$23)*(1-CUSTOS!$M$38)</f>
        <v>300.75684149176499</v>
      </c>
      <c r="AB436" s="6">
        <f t="shared" si="26"/>
        <v>0</v>
      </c>
      <c r="AC436" s="6">
        <f>(L436-M436)*(W436+X436)+($W$198+$X$198-$W$436-$X$436)*(L436)</f>
        <v>70476.089192000029</v>
      </c>
      <c r="AD436" s="6">
        <f t="shared" si="27"/>
        <v>0</v>
      </c>
      <c r="AE436" s="6">
        <f ca="1">(L436-M436)*(Z436+AA436)+($Z$198+$AA$198-$Z$436-$AA$436)*(L436)</f>
        <v>79117.525711954862</v>
      </c>
      <c r="AF436" s="4" t="s">
        <v>850</v>
      </c>
    </row>
    <row r="437" spans="1:32" ht="11.25" customHeight="1" x14ac:dyDescent="0.25">
      <c r="A437" s="4" t="s">
        <v>21</v>
      </c>
      <c r="B437" s="4" t="s">
        <v>43</v>
      </c>
      <c r="C437" s="4" t="s">
        <v>23</v>
      </c>
      <c r="D437" s="4" t="s">
        <v>44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44440</v>
      </c>
      <c r="J437" s="6">
        <v>0</v>
      </c>
      <c r="K437" s="6">
        <v>0</v>
      </c>
      <c r="L437" s="6">
        <v>7106.2569999999996</v>
      </c>
      <c r="M437" s="6">
        <v>7106.2569999999996</v>
      </c>
      <c r="N437" s="6">
        <v>7106.2569999999996</v>
      </c>
      <c r="O437" s="6">
        <v>7106.2569999999996</v>
      </c>
      <c r="P437" s="6">
        <v>24681</v>
      </c>
      <c r="Q437" s="4" t="s">
        <v>26</v>
      </c>
      <c r="R437" s="4">
        <v>0</v>
      </c>
      <c r="S437" s="4">
        <v>0</v>
      </c>
      <c r="T437" s="4">
        <v>29</v>
      </c>
      <c r="U437" s="4">
        <v>66</v>
      </c>
      <c r="V437" s="6">
        <f>IF(ISERROR(VLOOKUP($S$437,'TAR FIN'!$A$1:$O$85,15,0)),0,VLOOKUP($S$437,'TAR FIN'!$A$1:$O$85,15,0))</f>
        <v>0</v>
      </c>
      <c r="W437" s="6">
        <f>IF(ISERROR(VLOOKUP($T$437,'TAR FIN'!$A$1:$O$85,15,0)),0,VLOOKUP($T$437,'TAR FIN'!$A$1:$O$85,15,0))</f>
        <v>285.89</v>
      </c>
      <c r="X437" s="6">
        <f>IF(ISERROR(VLOOKUP($U$437,'TAR FIN'!$A$1:$O$85,15,0)),0,VLOOKUP($U$437,'TAR FIN'!$A$1:$O$85,15,0))</f>
        <v>283.83999999999997</v>
      </c>
      <c r="Y437" s="6"/>
      <c r="Z437" s="6">
        <f ca="1">('TUSD BE'!$AM$33+'TUSD BF'!$AM$33+'TUSD CVA'!$AM$33)*(1-CUSTOS!$M$38)</f>
        <v>408.71492269690788</v>
      </c>
      <c r="AA437" s="6">
        <f>('TE BE'!$AB$23+'TE BF'!$AB$23+'TE CVA'!$AB$23)*(1-CUSTOS!$M$38)</f>
        <v>300.75684149176499</v>
      </c>
      <c r="AB437" s="6">
        <f t="shared" si="26"/>
        <v>0</v>
      </c>
      <c r="AC437" s="6">
        <f>(L437-M437)*(W437+X437)+($W$198+$X$198-$W$437-$X$437)*(L437)</f>
        <v>552085.1063300008</v>
      </c>
      <c r="AD437" s="6">
        <f t="shared" si="27"/>
        <v>0</v>
      </c>
      <c r="AE437" s="6">
        <f ca="1">(L437-M437)*(Z437+AA437)+($Z$198+$AA$198-$Z$437-$AA$437)*(L437)</f>
        <v>321809.91641924094</v>
      </c>
      <c r="AF437" s="4" t="s">
        <v>846</v>
      </c>
    </row>
    <row r="438" spans="1:32" ht="11.25" customHeight="1" x14ac:dyDescent="0.25">
      <c r="A438" s="4" t="s">
        <v>27</v>
      </c>
      <c r="B438" s="4" t="s">
        <v>43</v>
      </c>
      <c r="C438" s="4" t="s">
        <v>23</v>
      </c>
      <c r="D438" s="4" t="s">
        <v>44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44440</v>
      </c>
      <c r="J438" s="6">
        <v>0</v>
      </c>
      <c r="K438" s="6">
        <v>0</v>
      </c>
      <c r="L438" s="6">
        <v>-1.9510000000000001</v>
      </c>
      <c r="M438" s="6">
        <v>-1.9510000000000001</v>
      </c>
      <c r="N438" s="6">
        <v>-1.9510000000000001</v>
      </c>
      <c r="O438" s="6">
        <v>-1.9510000000000001</v>
      </c>
      <c r="P438" s="6">
        <v>-7</v>
      </c>
      <c r="Q438" s="4" t="s">
        <v>26</v>
      </c>
      <c r="R438" s="4">
        <v>0</v>
      </c>
      <c r="S438" s="4">
        <v>0</v>
      </c>
      <c r="T438" s="4">
        <v>29</v>
      </c>
      <c r="U438" s="4">
        <v>66</v>
      </c>
      <c r="V438" s="6">
        <f>IF(ISERROR(VLOOKUP($S$438,'TAR FIN'!$A$1:$O$85,15,0)),0,VLOOKUP($S$438,'TAR FIN'!$A$1:$O$85,15,0))</f>
        <v>0</v>
      </c>
      <c r="W438" s="6">
        <f>IF(ISERROR(VLOOKUP($T$438,'TAR FIN'!$A$1:$O$85,15,0)),0,VLOOKUP($T$438,'TAR FIN'!$A$1:$O$85,15,0))</f>
        <v>285.89</v>
      </c>
      <c r="X438" s="6">
        <f>IF(ISERROR(VLOOKUP($U$438,'TAR FIN'!$A$1:$O$85,15,0)),0,VLOOKUP($U$438,'TAR FIN'!$A$1:$O$85,15,0))</f>
        <v>283.83999999999997</v>
      </c>
      <c r="Y438" s="6"/>
      <c r="Z438" s="6">
        <f ca="1">('TUSD BE'!$AM$33+'TUSD BF'!$AM$33+'TUSD CVA'!$AM$33)*(1-CUSTOS!$M$38)</f>
        <v>408.71492269690788</v>
      </c>
      <c r="AA438" s="6">
        <f>('TE BE'!$AB$23+'TE BF'!$AB$23+'TE CVA'!$AB$23)*(1-CUSTOS!$M$38)</f>
        <v>300.75684149176499</v>
      </c>
      <c r="AB438" s="6">
        <f t="shared" si="26"/>
        <v>0</v>
      </c>
      <c r="AC438" s="6">
        <f>(L438-M438)*(W438+X438)+($W$198+$X$198-$W$438-$X$438)*(L438)</f>
        <v>-151.57319000000021</v>
      </c>
      <c r="AD438" s="6">
        <f t="shared" si="27"/>
        <v>0</v>
      </c>
      <c r="AE438" s="6">
        <f ca="1">(L438-M438)*(Z438+AA438)+($Z$198+$AA$198-$Z$438-$AA$438)*(L438)</f>
        <v>-88.351877357368181</v>
      </c>
      <c r="AF438" s="4" t="s">
        <v>846</v>
      </c>
    </row>
    <row r="439" spans="1:32" ht="11.25" customHeight="1" x14ac:dyDescent="0.25">
      <c r="A439" s="4" t="s">
        <v>28</v>
      </c>
      <c r="B439" s="4" t="s">
        <v>43</v>
      </c>
      <c r="C439" s="4" t="s">
        <v>23</v>
      </c>
      <c r="D439" s="4" t="s">
        <v>44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44440</v>
      </c>
      <c r="J439" s="6">
        <v>0</v>
      </c>
      <c r="K439" s="6">
        <v>0</v>
      </c>
      <c r="L439" s="6">
        <v>49.664999999999999</v>
      </c>
      <c r="M439" s="6">
        <v>49.664999999999999</v>
      </c>
      <c r="N439" s="6">
        <v>49.664999999999999</v>
      </c>
      <c r="O439" s="6">
        <v>49.664999999999999</v>
      </c>
      <c r="P439" s="6">
        <v>201</v>
      </c>
      <c r="Q439" s="4" t="s">
        <v>26</v>
      </c>
      <c r="R439" s="4">
        <v>0</v>
      </c>
      <c r="S439" s="4">
        <v>0</v>
      </c>
      <c r="T439" s="4">
        <v>29</v>
      </c>
      <c r="U439" s="4">
        <v>66</v>
      </c>
      <c r="V439" s="6">
        <f>IF(ISERROR(VLOOKUP($S$439,'TAR FIN'!$A$1:$O$85,15,0)),0,VLOOKUP($S$439,'TAR FIN'!$A$1:$O$85,15,0))</f>
        <v>0</v>
      </c>
      <c r="W439" s="6">
        <f>IF(ISERROR(VLOOKUP($T$439,'TAR FIN'!$A$1:$O$85,15,0)),0,VLOOKUP($T$439,'TAR FIN'!$A$1:$O$85,15,0))</f>
        <v>285.89</v>
      </c>
      <c r="X439" s="6">
        <f>IF(ISERROR(VLOOKUP($U$439,'TAR FIN'!$A$1:$O$85,15,0)),0,VLOOKUP($U$439,'TAR FIN'!$A$1:$O$85,15,0))</f>
        <v>283.83999999999997</v>
      </c>
      <c r="Y439" s="6"/>
      <c r="Z439" s="6">
        <f ca="1">('TUSD BE'!$AM$33+'TUSD BF'!$AM$33+'TUSD CVA'!$AM$33)*(1-CUSTOS!$M$38)</f>
        <v>408.71492269690788</v>
      </c>
      <c r="AA439" s="6">
        <f>('TE BE'!$AB$23+'TE BF'!$AB$23+'TE CVA'!$AB$23)*(1-CUSTOS!$M$38)</f>
        <v>300.75684149176499</v>
      </c>
      <c r="AB439" s="6">
        <f t="shared" si="26"/>
        <v>0</v>
      </c>
      <c r="AC439" s="6">
        <f>(L439-M439)*(W439+X439)+($W$198+$X$198-$W$439-$X$439)*(L439)</f>
        <v>3858.4738500000053</v>
      </c>
      <c r="AD439" s="6">
        <f t="shared" si="27"/>
        <v>0</v>
      </c>
      <c r="AE439" s="6">
        <f ca="1">(L439-M439)*(Z439+AA439)+($Z$198+$AA$198-$Z$439-$AA$439)*(L439)</f>
        <v>2249.1009681976889</v>
      </c>
      <c r="AF439" s="4" t="s">
        <v>846</v>
      </c>
    </row>
    <row r="440" spans="1:32" ht="11.25" customHeight="1" x14ac:dyDescent="0.25">
      <c r="A440" s="4" t="s">
        <v>21</v>
      </c>
      <c r="B440" s="4" t="s">
        <v>43</v>
      </c>
      <c r="C440" s="4" t="s">
        <v>23</v>
      </c>
      <c r="D440" s="4" t="s">
        <v>44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44470</v>
      </c>
      <c r="J440" s="6">
        <v>0</v>
      </c>
      <c r="K440" s="6">
        <v>0</v>
      </c>
      <c r="L440" s="6">
        <v>7352.8180000000002</v>
      </c>
      <c r="M440" s="6">
        <v>7352.8180000000002</v>
      </c>
      <c r="N440" s="6">
        <v>7352.8180000000002</v>
      </c>
      <c r="O440" s="6">
        <v>7352.8180000000002</v>
      </c>
      <c r="P440" s="6">
        <v>24594</v>
      </c>
      <c r="Q440" s="4" t="s">
        <v>26</v>
      </c>
      <c r="R440" s="4">
        <v>0</v>
      </c>
      <c r="S440" s="4">
        <v>0</v>
      </c>
      <c r="T440" s="4">
        <v>29</v>
      </c>
      <c r="U440" s="4">
        <v>66</v>
      </c>
      <c r="V440" s="6">
        <f>IF(ISERROR(VLOOKUP($S$440,'TAR FIN'!$A$1:$O$85,15,0)),0,VLOOKUP($S$440,'TAR FIN'!$A$1:$O$85,15,0))</f>
        <v>0</v>
      </c>
      <c r="W440" s="6">
        <f>IF(ISERROR(VLOOKUP($T$440,'TAR FIN'!$A$1:$O$85,15,0)),0,VLOOKUP($T$440,'TAR FIN'!$A$1:$O$85,15,0))</f>
        <v>285.89</v>
      </c>
      <c r="X440" s="6">
        <f>IF(ISERROR(VLOOKUP($U$440,'TAR FIN'!$A$1:$O$85,15,0)),0,VLOOKUP($U$440,'TAR FIN'!$A$1:$O$85,15,0))</f>
        <v>283.83999999999997</v>
      </c>
      <c r="Y440" s="6"/>
      <c r="Z440" s="6">
        <f ca="1">('TUSD BE'!$AM$33+'TUSD BF'!$AM$33+'TUSD CVA'!$AM$33)*(1-CUSTOS!$M$38)</f>
        <v>408.71492269690788</v>
      </c>
      <c r="AA440" s="6">
        <f>('TE BE'!$AB$23+'TE BF'!$AB$23+'TE CVA'!$AB$23)*(1-CUSTOS!$M$38)</f>
        <v>300.75684149176499</v>
      </c>
      <c r="AB440" s="6">
        <f t="shared" si="26"/>
        <v>0</v>
      </c>
      <c r="AC440" s="6">
        <f>(L440-M440)*(W440+X440)+($W$198+$X$198-$W$440-$X$440)*(L440)</f>
        <v>571240.4304200008</v>
      </c>
      <c r="AD440" s="6">
        <f t="shared" si="27"/>
        <v>0</v>
      </c>
      <c r="AE440" s="6">
        <f ca="1">(L440-M440)*(Z440+AA440)+($Z$198+$AA$198-$Z$440-$AA$440)*(L440)</f>
        <v>332975.53775861056</v>
      </c>
      <c r="AF440" s="4" t="s">
        <v>846</v>
      </c>
    </row>
    <row r="441" spans="1:32" ht="11.25" customHeight="1" x14ac:dyDescent="0.25">
      <c r="A441" s="4" t="s">
        <v>27</v>
      </c>
      <c r="B441" s="4" t="s">
        <v>43</v>
      </c>
      <c r="C441" s="4" t="s">
        <v>23</v>
      </c>
      <c r="D441" s="4" t="s">
        <v>44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44470</v>
      </c>
      <c r="J441" s="6">
        <v>0</v>
      </c>
      <c r="K441" s="6">
        <v>0</v>
      </c>
      <c r="L441" s="6">
        <v>-2.5510000000000002</v>
      </c>
      <c r="M441" s="6">
        <v>-2.5510000000000002</v>
      </c>
      <c r="N441" s="6">
        <v>-2.5510000000000002</v>
      </c>
      <c r="O441" s="6">
        <v>-2.5510000000000002</v>
      </c>
      <c r="P441" s="6">
        <v>-16</v>
      </c>
      <c r="Q441" s="4" t="s">
        <v>26</v>
      </c>
      <c r="R441" s="4">
        <v>0</v>
      </c>
      <c r="S441" s="4">
        <v>0</v>
      </c>
      <c r="T441" s="4">
        <v>29</v>
      </c>
      <c r="U441" s="4">
        <v>66</v>
      </c>
      <c r="V441" s="6">
        <f>IF(ISERROR(VLOOKUP($S$441,'TAR FIN'!$A$1:$O$85,15,0)),0,VLOOKUP($S$441,'TAR FIN'!$A$1:$O$85,15,0))</f>
        <v>0</v>
      </c>
      <c r="W441" s="6">
        <f>IF(ISERROR(VLOOKUP($T$441,'TAR FIN'!$A$1:$O$85,15,0)),0,VLOOKUP($T$441,'TAR FIN'!$A$1:$O$85,15,0))</f>
        <v>285.89</v>
      </c>
      <c r="X441" s="6">
        <f>IF(ISERROR(VLOOKUP($U$441,'TAR FIN'!$A$1:$O$85,15,0)),0,VLOOKUP($U$441,'TAR FIN'!$A$1:$O$85,15,0))</f>
        <v>283.83999999999997</v>
      </c>
      <c r="Y441" s="6"/>
      <c r="Z441" s="6">
        <f ca="1">('TUSD BE'!$AM$33+'TUSD BF'!$AM$33+'TUSD CVA'!$AM$33)*(1-CUSTOS!$M$38)</f>
        <v>408.71492269690788</v>
      </c>
      <c r="AA441" s="6">
        <f>('TE BE'!$AB$23+'TE BF'!$AB$23+'TE CVA'!$AB$23)*(1-CUSTOS!$M$38)</f>
        <v>300.75684149176499</v>
      </c>
      <c r="AB441" s="6">
        <f t="shared" si="26"/>
        <v>0</v>
      </c>
      <c r="AC441" s="6">
        <f>(L441-M441)*(W441+X441)+($W$198+$X$198-$W$441-$X$441)*(L441)</f>
        <v>-198.1871900000003</v>
      </c>
      <c r="AD441" s="6">
        <f t="shared" si="27"/>
        <v>0</v>
      </c>
      <c r="AE441" s="6">
        <f ca="1">(L441-M441)*(Z441+AA441)+($Z$198+$AA$198-$Z$441-$AA$441)*(L441)</f>
        <v>-115.52313641140248</v>
      </c>
      <c r="AF441" s="4" t="s">
        <v>846</v>
      </c>
    </row>
    <row r="442" spans="1:32" ht="11.25" customHeight="1" x14ac:dyDescent="0.25">
      <c r="A442" s="4" t="s">
        <v>28</v>
      </c>
      <c r="B442" s="4" t="s">
        <v>43</v>
      </c>
      <c r="C442" s="4" t="s">
        <v>23</v>
      </c>
      <c r="D442" s="4" t="s">
        <v>44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44470</v>
      </c>
      <c r="J442" s="6">
        <v>0</v>
      </c>
      <c r="K442" s="6">
        <v>0</v>
      </c>
      <c r="L442" s="6">
        <v>58.216999999999999</v>
      </c>
      <c r="M442" s="6">
        <v>58.216999999999999</v>
      </c>
      <c r="N442" s="6">
        <v>58.216999999999999</v>
      </c>
      <c r="O442" s="6">
        <v>58.216999999999999</v>
      </c>
      <c r="P442" s="6">
        <v>227</v>
      </c>
      <c r="Q442" s="4" t="s">
        <v>26</v>
      </c>
      <c r="R442" s="4">
        <v>0</v>
      </c>
      <c r="S442" s="4">
        <v>0</v>
      </c>
      <c r="T442" s="4">
        <v>29</v>
      </c>
      <c r="U442" s="4">
        <v>66</v>
      </c>
      <c r="V442" s="6">
        <f>IF(ISERROR(VLOOKUP($S$442,'TAR FIN'!$A$1:$O$85,15,0)),0,VLOOKUP($S$442,'TAR FIN'!$A$1:$O$85,15,0))</f>
        <v>0</v>
      </c>
      <c r="W442" s="6">
        <f>IF(ISERROR(VLOOKUP($T$442,'TAR FIN'!$A$1:$O$85,15,0)),0,VLOOKUP($T$442,'TAR FIN'!$A$1:$O$85,15,0))</f>
        <v>285.89</v>
      </c>
      <c r="X442" s="6">
        <f>IF(ISERROR(VLOOKUP($U$442,'TAR FIN'!$A$1:$O$85,15,0)),0,VLOOKUP($U$442,'TAR FIN'!$A$1:$O$85,15,0))</f>
        <v>283.83999999999997</v>
      </c>
      <c r="Y442" s="6"/>
      <c r="Z442" s="6">
        <f ca="1">('TUSD BE'!$AM$33+'TUSD BF'!$AM$33+'TUSD CVA'!$AM$33)*(1-CUSTOS!$M$38)</f>
        <v>408.71492269690788</v>
      </c>
      <c r="AA442" s="6">
        <f>('TE BE'!$AB$23+'TE BF'!$AB$23+'TE CVA'!$AB$23)*(1-CUSTOS!$M$38)</f>
        <v>300.75684149176499</v>
      </c>
      <c r="AB442" s="6">
        <f t="shared" si="26"/>
        <v>0</v>
      </c>
      <c r="AC442" s="6">
        <f>(L442-M442)*(W442+X442)+($W$198+$X$198-$W$442-$X$442)*(L442)</f>
        <v>4522.8787300000067</v>
      </c>
      <c r="AD442" s="6">
        <f t="shared" si="27"/>
        <v>0</v>
      </c>
      <c r="AE442" s="6">
        <f ca="1">(L442-M442)*(Z442+AA442)+($Z$198+$AA$198-$Z$442-$AA$442)*(L442)</f>
        <v>2636.3819805811909</v>
      </c>
      <c r="AF442" s="4" t="s">
        <v>846</v>
      </c>
    </row>
    <row r="443" spans="1:32" ht="11.25" customHeight="1" x14ac:dyDescent="0.25">
      <c r="A443" s="4" t="s">
        <v>21</v>
      </c>
      <c r="B443" s="4" t="s">
        <v>43</v>
      </c>
      <c r="C443" s="4" t="s">
        <v>23</v>
      </c>
      <c r="D443" s="4" t="s">
        <v>44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44501</v>
      </c>
      <c r="J443" s="6">
        <v>0</v>
      </c>
      <c r="K443" s="6">
        <v>0</v>
      </c>
      <c r="L443" s="6">
        <v>6247.442</v>
      </c>
      <c r="M443" s="6">
        <v>6247.442</v>
      </c>
      <c r="N443" s="6">
        <v>6247.442</v>
      </c>
      <c r="O443" s="6">
        <v>6247.442</v>
      </c>
      <c r="P443" s="6">
        <v>26289</v>
      </c>
      <c r="Q443" s="4" t="s">
        <v>26</v>
      </c>
      <c r="R443" s="4">
        <v>0</v>
      </c>
      <c r="S443" s="4">
        <v>0</v>
      </c>
      <c r="T443" s="4">
        <v>29</v>
      </c>
      <c r="U443" s="4">
        <v>66</v>
      </c>
      <c r="V443" s="6">
        <f>IF(ISERROR(VLOOKUP($S$443,'TAR FIN'!$A$1:$O$85,15,0)),0,VLOOKUP($S$443,'TAR FIN'!$A$1:$O$85,15,0))</f>
        <v>0</v>
      </c>
      <c r="W443" s="6">
        <f>IF(ISERROR(VLOOKUP($T$443,'TAR FIN'!$A$1:$O$85,15,0)),0,VLOOKUP($T$443,'TAR FIN'!$A$1:$O$85,15,0))</f>
        <v>285.89</v>
      </c>
      <c r="X443" s="6">
        <f>IF(ISERROR(VLOOKUP($U$443,'TAR FIN'!$A$1:$O$85,15,0)),0,VLOOKUP($U$443,'TAR FIN'!$A$1:$O$85,15,0))</f>
        <v>283.83999999999997</v>
      </c>
      <c r="Y443" s="6"/>
      <c r="Z443" s="6">
        <f ca="1">('TUSD BE'!$AM$33+'TUSD BF'!$AM$33+'TUSD CVA'!$AM$33)*(1-CUSTOS!$M$38)</f>
        <v>408.71492269690788</v>
      </c>
      <c r="AA443" s="6">
        <f>('TE BE'!$AB$23+'TE BF'!$AB$23+'TE CVA'!$AB$23)*(1-CUSTOS!$M$38)</f>
        <v>300.75684149176499</v>
      </c>
      <c r="AB443" s="6">
        <f t="shared" si="26"/>
        <v>0</v>
      </c>
      <c r="AC443" s="6">
        <f>(L443-M443)*(W443+X443)+($W$198+$X$198-$W$443-$X$443)*(L443)</f>
        <v>485363.76898000069</v>
      </c>
      <c r="AD443" s="6">
        <f t="shared" si="27"/>
        <v>0</v>
      </c>
      <c r="AE443" s="6">
        <f ca="1">(L443-M443)*(Z443+AA443)+($Z$198+$AA$198-$Z$443-$AA$443)*(L443)</f>
        <v>282918.10834509018</v>
      </c>
      <c r="AF443" s="4" t="s">
        <v>846</v>
      </c>
    </row>
    <row r="444" spans="1:32" ht="11.25" customHeight="1" x14ac:dyDescent="0.25">
      <c r="A444" s="4" t="s">
        <v>27</v>
      </c>
      <c r="B444" s="4" t="s">
        <v>43</v>
      </c>
      <c r="C444" s="4" t="s">
        <v>23</v>
      </c>
      <c r="D444" s="4" t="s">
        <v>44</v>
      </c>
      <c r="E444" s="4" t="s">
        <v>25</v>
      </c>
      <c r="F444" s="4" t="s">
        <v>25</v>
      </c>
      <c r="G444" s="4" t="s">
        <v>25</v>
      </c>
      <c r="H444" s="4" t="s">
        <v>25</v>
      </c>
      <c r="I444" s="5">
        <v>44501</v>
      </c>
      <c r="J444" s="6">
        <v>0</v>
      </c>
      <c r="K444" s="6">
        <v>0</v>
      </c>
      <c r="L444" s="6">
        <v>-5.1539999999999999</v>
      </c>
      <c r="M444" s="6">
        <v>-5.1539999999999999</v>
      </c>
      <c r="N444" s="6">
        <v>-5.1539999999999999</v>
      </c>
      <c r="O444" s="6">
        <v>-5.1539999999999999</v>
      </c>
      <c r="P444" s="6">
        <v>-1</v>
      </c>
      <c r="Q444" s="4" t="s">
        <v>26</v>
      </c>
      <c r="R444" s="4">
        <v>0</v>
      </c>
      <c r="S444" s="4">
        <v>0</v>
      </c>
      <c r="T444" s="4">
        <v>29</v>
      </c>
      <c r="U444" s="4">
        <v>66</v>
      </c>
      <c r="V444" s="6">
        <f>IF(ISERROR(VLOOKUP($S$444,'TAR FIN'!$A$1:$O$85,15,0)),0,VLOOKUP($S$444,'TAR FIN'!$A$1:$O$85,15,0))</f>
        <v>0</v>
      </c>
      <c r="W444" s="6">
        <f>IF(ISERROR(VLOOKUP($T$444,'TAR FIN'!$A$1:$O$85,15,0)),0,VLOOKUP($T$444,'TAR FIN'!$A$1:$O$85,15,0))</f>
        <v>285.89</v>
      </c>
      <c r="X444" s="6">
        <f>IF(ISERROR(VLOOKUP($U$444,'TAR FIN'!$A$1:$O$85,15,0)),0,VLOOKUP($U$444,'TAR FIN'!$A$1:$O$85,15,0))</f>
        <v>283.83999999999997</v>
      </c>
      <c r="Y444" s="6"/>
      <c r="Z444" s="6">
        <f ca="1">('TUSD BE'!$AM$33+'TUSD BF'!$AM$33+'TUSD CVA'!$AM$33)*(1-CUSTOS!$M$38)</f>
        <v>408.71492269690788</v>
      </c>
      <c r="AA444" s="6">
        <f>('TE BE'!$AB$23+'TE BF'!$AB$23+'TE CVA'!$AB$23)*(1-CUSTOS!$M$38)</f>
        <v>300.75684149176499</v>
      </c>
      <c r="AB444" s="6">
        <f t="shared" si="26"/>
        <v>0</v>
      </c>
      <c r="AC444" s="6">
        <f>(L444-M444)*(W444+X444)+($W$198+$X$198-$W$444-$X$444)*(L444)</f>
        <v>-400.41426000000058</v>
      </c>
      <c r="AD444" s="6">
        <f t="shared" si="27"/>
        <v>0</v>
      </c>
      <c r="AE444" s="6">
        <f ca="1">(L444-M444)*(Z444+AA444)+($Z$198+$AA$198-$Z$444-$AA$444)*(L444)</f>
        <v>-233.40111527415459</v>
      </c>
      <c r="AF444" s="4" t="s">
        <v>846</v>
      </c>
    </row>
    <row r="445" spans="1:32" ht="11.25" customHeight="1" x14ac:dyDescent="0.25">
      <c r="A445" s="4" t="s">
        <v>28</v>
      </c>
      <c r="B445" s="4" t="s">
        <v>43</v>
      </c>
      <c r="C445" s="4" t="s">
        <v>23</v>
      </c>
      <c r="D445" s="4" t="s">
        <v>44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44501</v>
      </c>
      <c r="J445" s="6">
        <v>0</v>
      </c>
      <c r="K445" s="6">
        <v>0</v>
      </c>
      <c r="L445" s="6">
        <v>51.704000000000001</v>
      </c>
      <c r="M445" s="6">
        <v>51.704000000000001</v>
      </c>
      <c r="N445" s="6">
        <v>51.704000000000001</v>
      </c>
      <c r="O445" s="6">
        <v>51.704000000000001</v>
      </c>
      <c r="P445" s="6">
        <v>274</v>
      </c>
      <c r="Q445" s="4" t="s">
        <v>26</v>
      </c>
      <c r="R445" s="4">
        <v>0</v>
      </c>
      <c r="S445" s="4">
        <v>0</v>
      </c>
      <c r="T445" s="4">
        <v>29</v>
      </c>
      <c r="U445" s="4">
        <v>66</v>
      </c>
      <c r="V445" s="6">
        <f>IF(ISERROR(VLOOKUP($S$445,'TAR FIN'!$A$1:$O$85,15,0)),0,VLOOKUP($S$445,'TAR FIN'!$A$1:$O$85,15,0))</f>
        <v>0</v>
      </c>
      <c r="W445" s="6">
        <f>IF(ISERROR(VLOOKUP($T$445,'TAR FIN'!$A$1:$O$85,15,0)),0,VLOOKUP($T$445,'TAR FIN'!$A$1:$O$85,15,0))</f>
        <v>285.89</v>
      </c>
      <c r="X445" s="6">
        <f>IF(ISERROR(VLOOKUP($U$445,'TAR FIN'!$A$1:$O$85,15,0)),0,VLOOKUP($U$445,'TAR FIN'!$A$1:$O$85,15,0))</f>
        <v>283.83999999999997</v>
      </c>
      <c r="Y445" s="6"/>
      <c r="Z445" s="6">
        <f ca="1">('TUSD BE'!$AM$33+'TUSD BF'!$AM$33+'TUSD CVA'!$AM$33)*(1-CUSTOS!$M$38)</f>
        <v>408.71492269690788</v>
      </c>
      <c r="AA445" s="6">
        <f>('TE BE'!$AB$23+'TE BF'!$AB$23+'TE CVA'!$AB$23)*(1-CUSTOS!$M$38)</f>
        <v>300.75684149176499</v>
      </c>
      <c r="AB445" s="6">
        <f t="shared" si="26"/>
        <v>0</v>
      </c>
      <c r="AC445" s="6">
        <f>(L445-M445)*(W445+X445)+($W$198+$X$198-$W$445-$X$445)*(L445)</f>
        <v>4016.8837600000056</v>
      </c>
      <c r="AD445" s="6">
        <f t="shared" si="27"/>
        <v>0</v>
      </c>
      <c r="AE445" s="6">
        <f ca="1">(L445-M445)*(Z445+AA445)+($Z$198+$AA$198-$Z$445-$AA$445)*(L445)</f>
        <v>2341.4379635496484</v>
      </c>
      <c r="AF445" s="4" t="s">
        <v>846</v>
      </c>
    </row>
    <row r="446" spans="1:32" ht="11.25" customHeight="1" x14ac:dyDescent="0.25">
      <c r="A446" s="4" t="s">
        <v>21</v>
      </c>
      <c r="B446" s="4" t="s">
        <v>43</v>
      </c>
      <c r="C446" s="4" t="s">
        <v>23</v>
      </c>
      <c r="D446" s="4" t="s">
        <v>44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44531</v>
      </c>
      <c r="J446" s="6">
        <v>0</v>
      </c>
      <c r="K446" s="6">
        <v>0</v>
      </c>
      <c r="L446" s="6">
        <v>6314.4870000000001</v>
      </c>
      <c r="M446" s="6">
        <v>6314.4870000000001</v>
      </c>
      <c r="N446" s="6">
        <v>6314.4870000000001</v>
      </c>
      <c r="O446" s="6">
        <v>6314.4870000000001</v>
      </c>
      <c r="P446" s="6">
        <v>27205</v>
      </c>
      <c r="Q446" s="4" t="s">
        <v>26</v>
      </c>
      <c r="R446" s="4">
        <v>0</v>
      </c>
      <c r="S446" s="4">
        <v>0</v>
      </c>
      <c r="T446" s="4">
        <v>29</v>
      </c>
      <c r="U446" s="4">
        <v>66</v>
      </c>
      <c r="V446" s="6">
        <f>IF(ISERROR(VLOOKUP($S$446,'TAR FIN'!$A$1:$O$85,15,0)),0,VLOOKUP($S$446,'TAR FIN'!$A$1:$O$85,15,0))</f>
        <v>0</v>
      </c>
      <c r="W446" s="6">
        <f>IF(ISERROR(VLOOKUP($T$446,'TAR FIN'!$A$1:$O$85,15,0)),0,VLOOKUP($T$446,'TAR FIN'!$A$1:$O$85,15,0))</f>
        <v>285.89</v>
      </c>
      <c r="X446" s="6">
        <f>IF(ISERROR(VLOOKUP($U$446,'TAR FIN'!$A$1:$O$85,15,0)),0,VLOOKUP($U$446,'TAR FIN'!$A$1:$O$85,15,0))</f>
        <v>283.83999999999997</v>
      </c>
      <c r="Y446" s="6"/>
      <c r="Z446" s="6">
        <f ca="1">('TUSD BE'!$AM$33+'TUSD BF'!$AM$33+'TUSD CVA'!$AM$33)*(1-CUSTOS!$M$38)</f>
        <v>408.71492269690788</v>
      </c>
      <c r="AA446" s="6">
        <f>('TE BE'!$AB$23+'TE BF'!$AB$23+'TE CVA'!$AB$23)*(1-CUSTOS!$M$38)</f>
        <v>300.75684149176499</v>
      </c>
      <c r="AB446" s="6">
        <f t="shared" si="26"/>
        <v>0</v>
      </c>
      <c r="AC446" s="6">
        <f>(L446-M446)*(W446+X446)+($W$198+$X$198-$W$446-$X$446)*(L446)</f>
        <v>490572.49503000069</v>
      </c>
      <c r="AD446" s="6">
        <f t="shared" si="27"/>
        <v>0</v>
      </c>
      <c r="AE446" s="6">
        <f ca="1">(L446-M446)*(Z446+AA446)+($Z$198+$AA$198-$Z$446-$AA$446)*(L446)</f>
        <v>285954.27011721977</v>
      </c>
      <c r="AF446" s="4" t="s">
        <v>846</v>
      </c>
    </row>
    <row r="447" spans="1:32" ht="11.25" customHeight="1" x14ac:dyDescent="0.25">
      <c r="A447" s="4" t="s">
        <v>27</v>
      </c>
      <c r="B447" s="4" t="s">
        <v>43</v>
      </c>
      <c r="C447" s="4" t="s">
        <v>23</v>
      </c>
      <c r="D447" s="4" t="s">
        <v>44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44531</v>
      </c>
      <c r="J447" s="6">
        <v>0</v>
      </c>
      <c r="K447" s="6">
        <v>0</v>
      </c>
      <c r="L447" s="6">
        <v>-2.6829999999999998</v>
      </c>
      <c r="M447" s="6">
        <v>-2.6829999999999998</v>
      </c>
      <c r="N447" s="6">
        <v>-2.6829999999999998</v>
      </c>
      <c r="O447" s="6">
        <v>-2.6829999999999998</v>
      </c>
      <c r="P447" s="6">
        <v>4</v>
      </c>
      <c r="Q447" s="4" t="s">
        <v>26</v>
      </c>
      <c r="R447" s="4">
        <v>0</v>
      </c>
      <c r="S447" s="4">
        <v>0</v>
      </c>
      <c r="T447" s="4">
        <v>29</v>
      </c>
      <c r="U447" s="4">
        <v>66</v>
      </c>
      <c r="V447" s="6">
        <f>IF(ISERROR(VLOOKUP($S$447,'TAR FIN'!$A$1:$O$85,15,0)),0,VLOOKUP($S$447,'TAR FIN'!$A$1:$O$85,15,0))</f>
        <v>0</v>
      </c>
      <c r="W447" s="6">
        <f>IF(ISERROR(VLOOKUP($T$447,'TAR FIN'!$A$1:$O$85,15,0)),0,VLOOKUP($T$447,'TAR FIN'!$A$1:$O$85,15,0))</f>
        <v>285.89</v>
      </c>
      <c r="X447" s="6">
        <f>IF(ISERROR(VLOOKUP($U$447,'TAR FIN'!$A$1:$O$85,15,0)),0,VLOOKUP($U$447,'TAR FIN'!$A$1:$O$85,15,0))</f>
        <v>283.83999999999997</v>
      </c>
      <c r="Y447" s="6"/>
      <c r="Z447" s="6">
        <f ca="1">('TUSD BE'!$AM$33+'TUSD BF'!$AM$33+'TUSD CVA'!$AM$33)*(1-CUSTOS!$M$38)</f>
        <v>408.71492269690788</v>
      </c>
      <c r="AA447" s="6">
        <f>('TE BE'!$AB$23+'TE BF'!$AB$23+'TE CVA'!$AB$23)*(1-CUSTOS!$M$38)</f>
        <v>300.75684149176499</v>
      </c>
      <c r="AB447" s="6">
        <f t="shared" si="26"/>
        <v>0</v>
      </c>
      <c r="AC447" s="6">
        <f>(L447-M447)*(W447+X447)+($W$198+$X$198-$W$447-$X$447)*(L447)</f>
        <v>-208.44227000000029</v>
      </c>
      <c r="AD447" s="6">
        <f t="shared" si="27"/>
        <v>0</v>
      </c>
      <c r="AE447" s="6">
        <f ca="1">(L447-M447)*(Z447+AA447)+($Z$198+$AA$198-$Z$447-$AA$447)*(L447)</f>
        <v>-121.50081340329001</v>
      </c>
      <c r="AF447" s="4" t="s">
        <v>846</v>
      </c>
    </row>
    <row r="448" spans="1:32" ht="11.25" customHeight="1" x14ac:dyDescent="0.25">
      <c r="A448" s="4" t="s">
        <v>28</v>
      </c>
      <c r="B448" s="4" t="s">
        <v>43</v>
      </c>
      <c r="C448" s="4" t="s">
        <v>23</v>
      </c>
      <c r="D448" s="4" t="s">
        <v>44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44531</v>
      </c>
      <c r="J448" s="6">
        <v>0</v>
      </c>
      <c r="K448" s="6">
        <v>0</v>
      </c>
      <c r="L448" s="6">
        <v>50.966000000000001</v>
      </c>
      <c r="M448" s="6">
        <v>50.966000000000001</v>
      </c>
      <c r="N448" s="6">
        <v>50.966000000000001</v>
      </c>
      <c r="O448" s="6">
        <v>50.966000000000001</v>
      </c>
      <c r="P448" s="6">
        <v>325</v>
      </c>
      <c r="Q448" s="4" t="s">
        <v>26</v>
      </c>
      <c r="R448" s="4">
        <v>0</v>
      </c>
      <c r="S448" s="4">
        <v>0</v>
      </c>
      <c r="T448" s="4">
        <v>29</v>
      </c>
      <c r="U448" s="4">
        <v>66</v>
      </c>
      <c r="V448" s="6">
        <f>IF(ISERROR(VLOOKUP($S$448,'TAR FIN'!$A$1:$O$85,15,0)),0,VLOOKUP($S$448,'TAR FIN'!$A$1:$O$85,15,0))</f>
        <v>0</v>
      </c>
      <c r="W448" s="6">
        <f>IF(ISERROR(VLOOKUP($T$448,'TAR FIN'!$A$1:$O$85,15,0)),0,VLOOKUP($T$448,'TAR FIN'!$A$1:$O$85,15,0))</f>
        <v>285.89</v>
      </c>
      <c r="X448" s="6">
        <f>IF(ISERROR(VLOOKUP($U$448,'TAR FIN'!$A$1:$O$85,15,0)),0,VLOOKUP($U$448,'TAR FIN'!$A$1:$O$85,15,0))</f>
        <v>283.83999999999997</v>
      </c>
      <c r="Y448" s="6"/>
      <c r="Z448" s="6">
        <f ca="1">('TUSD BE'!$AM$33+'TUSD BF'!$AM$33+'TUSD CVA'!$AM$33)*(1-CUSTOS!$M$38)</f>
        <v>408.71492269690788</v>
      </c>
      <c r="AA448" s="6">
        <f>('TE BE'!$AB$23+'TE BF'!$AB$23+'TE CVA'!$AB$23)*(1-CUSTOS!$M$38)</f>
        <v>300.75684149176499</v>
      </c>
      <c r="AB448" s="6">
        <f t="shared" si="26"/>
        <v>0</v>
      </c>
      <c r="AC448" s="6">
        <f>(L448-M448)*(W448+X448)+($W$198+$X$198-$W$448-$X$448)*(L448)</f>
        <v>3959.5485400000057</v>
      </c>
      <c r="AD448" s="6">
        <f t="shared" si="27"/>
        <v>0</v>
      </c>
      <c r="AE448" s="6">
        <f ca="1">(L448-M448)*(Z448+AA448)+($Z$198+$AA$198-$Z$448-$AA$448)*(L448)</f>
        <v>2308.0173149131865</v>
      </c>
      <c r="AF448" s="4" t="s">
        <v>846</v>
      </c>
    </row>
    <row r="449" spans="1:32" ht="11.25" customHeight="1" x14ac:dyDescent="0.25">
      <c r="A449" s="4" t="s">
        <v>21</v>
      </c>
      <c r="B449" s="4" t="s">
        <v>43</v>
      </c>
      <c r="C449" s="4" t="s">
        <v>23</v>
      </c>
      <c r="D449" s="4" t="s">
        <v>44</v>
      </c>
      <c r="E449" s="4" t="s">
        <v>25</v>
      </c>
      <c r="F449" s="4" t="s">
        <v>25</v>
      </c>
      <c r="G449" s="4" t="s">
        <v>25</v>
      </c>
      <c r="H449" s="4" t="s">
        <v>25</v>
      </c>
      <c r="I449" s="5">
        <v>44562</v>
      </c>
      <c r="J449" s="6">
        <v>0</v>
      </c>
      <c r="K449" s="6">
        <v>0</v>
      </c>
      <c r="L449" s="6">
        <v>6613.875</v>
      </c>
      <c r="M449" s="6">
        <v>6613.875</v>
      </c>
      <c r="N449" s="6">
        <v>6613.875</v>
      </c>
      <c r="O449" s="6">
        <v>6613.875</v>
      </c>
      <c r="P449" s="6">
        <v>27060</v>
      </c>
      <c r="Q449" s="4" t="s">
        <v>26</v>
      </c>
      <c r="R449" s="4">
        <v>0</v>
      </c>
      <c r="S449" s="4">
        <v>0</v>
      </c>
      <c r="T449" s="4">
        <v>29</v>
      </c>
      <c r="U449" s="4">
        <v>66</v>
      </c>
      <c r="V449" s="6">
        <f>IF(ISERROR(VLOOKUP($S$449,'TAR FIN'!$A$1:$O$85,15,0)),0,VLOOKUP($S$449,'TAR FIN'!$A$1:$O$85,15,0))</f>
        <v>0</v>
      </c>
      <c r="W449" s="6">
        <f>IF(ISERROR(VLOOKUP($T$449,'TAR FIN'!$A$1:$O$85,15,0)),0,VLOOKUP($T$449,'TAR FIN'!$A$1:$O$85,15,0))</f>
        <v>285.89</v>
      </c>
      <c r="X449" s="6">
        <f>IF(ISERROR(VLOOKUP($U$449,'TAR FIN'!$A$1:$O$85,15,0)),0,VLOOKUP($U$449,'TAR FIN'!$A$1:$O$85,15,0))</f>
        <v>283.83999999999997</v>
      </c>
      <c r="Y449" s="6"/>
      <c r="Z449" s="6">
        <f ca="1">('TUSD BE'!$AM$33+'TUSD BF'!$AM$33+'TUSD CVA'!$AM$33)*(1-CUSTOS!$M$38)</f>
        <v>408.71492269690788</v>
      </c>
      <c r="AA449" s="6">
        <f>('TE BE'!$AB$23+'TE BF'!$AB$23+'TE CVA'!$AB$23)*(1-CUSTOS!$M$38)</f>
        <v>300.75684149176499</v>
      </c>
      <c r="AB449" s="6">
        <f t="shared" si="26"/>
        <v>0</v>
      </c>
      <c r="AC449" s="6">
        <f>(L449-M449)*(W449+X449)+($W$198+$X$198-$W$449-$X$449)*(L449)</f>
        <v>513831.94875000074</v>
      </c>
      <c r="AD449" s="6">
        <f t="shared" si="27"/>
        <v>0</v>
      </c>
      <c r="AE449" s="6">
        <f ca="1">(L449-M449)*(Z449+AA449)+($Z$198+$AA$198-$Z$449-$AA$449)*(L449)</f>
        <v>299512.18496000179</v>
      </c>
      <c r="AF449" s="4" t="s">
        <v>846</v>
      </c>
    </row>
    <row r="450" spans="1:32" ht="11.25" customHeight="1" x14ac:dyDescent="0.25">
      <c r="A450" s="4" t="s">
        <v>27</v>
      </c>
      <c r="B450" s="4" t="s">
        <v>43</v>
      </c>
      <c r="C450" s="4" t="s">
        <v>23</v>
      </c>
      <c r="D450" s="4" t="s">
        <v>44</v>
      </c>
      <c r="E450" s="4" t="s">
        <v>25</v>
      </c>
      <c r="F450" s="4" t="s">
        <v>25</v>
      </c>
      <c r="G450" s="4" t="s">
        <v>25</v>
      </c>
      <c r="H450" s="4" t="s">
        <v>25</v>
      </c>
      <c r="I450" s="5">
        <v>44562</v>
      </c>
      <c r="J450" s="6">
        <v>0</v>
      </c>
      <c r="K450" s="6">
        <v>0</v>
      </c>
      <c r="L450" s="6">
        <v>-9.1020000000000003</v>
      </c>
      <c r="M450" s="6">
        <v>-9.1020000000000003</v>
      </c>
      <c r="N450" s="6">
        <v>-9.1020000000000003</v>
      </c>
      <c r="O450" s="6">
        <v>-9.1020000000000003</v>
      </c>
      <c r="P450" s="6">
        <v>8</v>
      </c>
      <c r="Q450" s="4" t="s">
        <v>26</v>
      </c>
      <c r="R450" s="4">
        <v>0</v>
      </c>
      <c r="S450" s="4">
        <v>0</v>
      </c>
      <c r="T450" s="4">
        <v>29</v>
      </c>
      <c r="U450" s="4">
        <v>66</v>
      </c>
      <c r="V450" s="6">
        <f>IF(ISERROR(VLOOKUP($S$450,'TAR FIN'!$A$1:$O$85,15,0)),0,VLOOKUP($S$450,'TAR FIN'!$A$1:$O$85,15,0))</f>
        <v>0</v>
      </c>
      <c r="W450" s="6">
        <f>IF(ISERROR(VLOOKUP($T$450,'TAR FIN'!$A$1:$O$85,15,0)),0,VLOOKUP($T$450,'TAR FIN'!$A$1:$O$85,15,0))</f>
        <v>285.89</v>
      </c>
      <c r="X450" s="6">
        <f>IF(ISERROR(VLOOKUP($U$450,'TAR FIN'!$A$1:$O$85,15,0)),0,VLOOKUP($U$450,'TAR FIN'!$A$1:$O$85,15,0))</f>
        <v>283.83999999999997</v>
      </c>
      <c r="Y450" s="6"/>
      <c r="Z450" s="6">
        <f ca="1">('TUSD BE'!$AM$33+'TUSD BF'!$AM$33+'TUSD CVA'!$AM$33)*(1-CUSTOS!$M$38)</f>
        <v>408.71492269690788</v>
      </c>
      <c r="AA450" s="6">
        <f>('TE BE'!$AB$23+'TE BF'!$AB$23+'TE CVA'!$AB$23)*(1-CUSTOS!$M$38)</f>
        <v>300.75684149176499</v>
      </c>
      <c r="AB450" s="6">
        <f t="shared" ref="AB450:AB498" si="28">(J450-K450)*V450</f>
        <v>0</v>
      </c>
      <c r="AC450" s="6">
        <f>(L450-M450)*(W450+X450)+($W$198+$X$198-$W$450-$X$450)*(L450)</f>
        <v>-707.13438000000099</v>
      </c>
      <c r="AD450" s="6">
        <f t="shared" ref="AD450:AD498" si="29">(J450-K450)*Y450</f>
        <v>0</v>
      </c>
      <c r="AE450" s="6">
        <f ca="1">(L450-M450)*(Z450+AA450)+($Z$198+$AA$198-$Z$450-$AA$450)*(L450)</f>
        <v>-412.18799984970025</v>
      </c>
      <c r="AF450" s="4" t="s">
        <v>846</v>
      </c>
    </row>
    <row r="451" spans="1:32" ht="11.25" customHeight="1" x14ac:dyDescent="0.25">
      <c r="A451" s="4" t="s">
        <v>28</v>
      </c>
      <c r="B451" s="4" t="s">
        <v>43</v>
      </c>
      <c r="C451" s="4" t="s">
        <v>23</v>
      </c>
      <c r="D451" s="4" t="s">
        <v>44</v>
      </c>
      <c r="E451" s="4" t="s">
        <v>25</v>
      </c>
      <c r="F451" s="4" t="s">
        <v>25</v>
      </c>
      <c r="G451" s="4" t="s">
        <v>25</v>
      </c>
      <c r="H451" s="4" t="s">
        <v>25</v>
      </c>
      <c r="I451" s="5">
        <v>44562</v>
      </c>
      <c r="J451" s="6">
        <v>0</v>
      </c>
      <c r="K451" s="6">
        <v>0</v>
      </c>
      <c r="L451" s="6">
        <v>48.07</v>
      </c>
      <c r="M451" s="6">
        <v>48.07</v>
      </c>
      <c r="N451" s="6">
        <v>48.07</v>
      </c>
      <c r="O451" s="6">
        <v>48.07</v>
      </c>
      <c r="P451" s="6">
        <v>369</v>
      </c>
      <c r="Q451" s="4" t="s">
        <v>26</v>
      </c>
      <c r="R451" s="4">
        <v>0</v>
      </c>
      <c r="S451" s="4">
        <v>0</v>
      </c>
      <c r="T451" s="4">
        <v>29</v>
      </c>
      <c r="U451" s="4">
        <v>66</v>
      </c>
      <c r="V451" s="6">
        <f>IF(ISERROR(VLOOKUP($S$451,'TAR FIN'!$A$1:$O$85,15,0)),0,VLOOKUP($S$451,'TAR FIN'!$A$1:$O$85,15,0))</f>
        <v>0</v>
      </c>
      <c r="W451" s="6">
        <f>IF(ISERROR(VLOOKUP($T$451,'TAR FIN'!$A$1:$O$85,15,0)),0,VLOOKUP($T$451,'TAR FIN'!$A$1:$O$85,15,0))</f>
        <v>285.89</v>
      </c>
      <c r="X451" s="6">
        <f>IF(ISERROR(VLOOKUP($U$451,'TAR FIN'!$A$1:$O$85,15,0)),0,VLOOKUP($U$451,'TAR FIN'!$A$1:$O$85,15,0))</f>
        <v>283.83999999999997</v>
      </c>
      <c r="Y451" s="6"/>
      <c r="Z451" s="6">
        <f ca="1">('TUSD BE'!$AM$33+'TUSD BF'!$AM$33+'TUSD CVA'!$AM$33)*(1-CUSTOS!$M$38)</f>
        <v>408.71492269690788</v>
      </c>
      <c r="AA451" s="6">
        <f>('TE BE'!$AB$23+'TE BF'!$AB$23+'TE CVA'!$AB$23)*(1-CUSTOS!$M$38)</f>
        <v>300.75684149176499</v>
      </c>
      <c r="AB451" s="6">
        <f t="shared" si="28"/>
        <v>0</v>
      </c>
      <c r="AC451" s="6">
        <f>(L451-M451)*(W451+X451)+($W$198+$X$198-$W$451-$X$451)*(L451)</f>
        <v>3734.5583000000056</v>
      </c>
      <c r="AD451" s="6">
        <f t="shared" si="29"/>
        <v>0</v>
      </c>
      <c r="AE451" s="6">
        <f ca="1">(L451-M451)*(Z451+AA451)+($Z$198+$AA$198-$Z$451-$AA$451)*(L451)</f>
        <v>2176.870704545714</v>
      </c>
      <c r="AF451" s="4" t="s">
        <v>846</v>
      </c>
    </row>
    <row r="452" spans="1:32" ht="11.25" customHeight="1" x14ac:dyDescent="0.25">
      <c r="A452" s="4" t="s">
        <v>21</v>
      </c>
      <c r="B452" s="4" t="s">
        <v>43</v>
      </c>
      <c r="C452" s="4" t="s">
        <v>23</v>
      </c>
      <c r="D452" s="4" t="s">
        <v>44</v>
      </c>
      <c r="E452" s="4" t="s">
        <v>25</v>
      </c>
      <c r="F452" s="4" t="s">
        <v>25</v>
      </c>
      <c r="G452" s="4" t="s">
        <v>25</v>
      </c>
      <c r="H452" s="4" t="s">
        <v>25</v>
      </c>
      <c r="I452" s="5">
        <v>44593</v>
      </c>
      <c r="J452" s="6">
        <v>0</v>
      </c>
      <c r="K452" s="6">
        <v>0</v>
      </c>
      <c r="L452" s="6">
        <v>6744.0609999999997</v>
      </c>
      <c r="M452" s="6">
        <v>6744.0609999999997</v>
      </c>
      <c r="N452" s="6">
        <v>6744.0609999999997</v>
      </c>
      <c r="O452" s="6">
        <v>6744.0609999999997</v>
      </c>
      <c r="P452" s="6">
        <v>25766</v>
      </c>
      <c r="Q452" s="4" t="s">
        <v>26</v>
      </c>
      <c r="R452" s="4">
        <v>0</v>
      </c>
      <c r="S452" s="4">
        <v>0</v>
      </c>
      <c r="T452" s="4">
        <v>29</v>
      </c>
      <c r="U452" s="4">
        <v>66</v>
      </c>
      <c r="V452" s="6">
        <f>IF(ISERROR(VLOOKUP($S$452,'TAR FIN'!$A$1:$O$85,15,0)),0,VLOOKUP($S$452,'TAR FIN'!$A$1:$O$85,15,0))</f>
        <v>0</v>
      </c>
      <c r="W452" s="6">
        <f>IF(ISERROR(VLOOKUP($T$452,'TAR FIN'!$A$1:$O$85,15,0)),0,VLOOKUP($T$452,'TAR FIN'!$A$1:$O$85,15,0))</f>
        <v>285.89</v>
      </c>
      <c r="X452" s="6">
        <f>IF(ISERROR(VLOOKUP($U$452,'TAR FIN'!$A$1:$O$85,15,0)),0,VLOOKUP($U$452,'TAR FIN'!$A$1:$O$85,15,0))</f>
        <v>283.83999999999997</v>
      </c>
      <c r="Y452" s="6"/>
      <c r="Z452" s="6">
        <f ca="1">('TUSD BE'!$AM$33+'TUSD BF'!$AM$33+'TUSD CVA'!$AM$33)*(1-CUSTOS!$M$38)</f>
        <v>408.71492269690788</v>
      </c>
      <c r="AA452" s="6">
        <f>('TE BE'!$AB$23+'TE BF'!$AB$23+'TE CVA'!$AB$23)*(1-CUSTOS!$M$38)</f>
        <v>300.75684149176499</v>
      </c>
      <c r="AB452" s="6">
        <f t="shared" si="28"/>
        <v>0</v>
      </c>
      <c r="AC452" s="6">
        <f>(L452-M452)*(W452+X452)+($W$198+$X$198-$W$452-$X$452)*(L452)</f>
        <v>523946.09909000073</v>
      </c>
      <c r="AD452" s="6">
        <f t="shared" si="29"/>
        <v>0</v>
      </c>
      <c r="AE452" s="6">
        <f ca="1">(L452-M452)*(Z452+AA452)+($Z$198+$AA$198-$Z$452-$AA$452)*(L452)</f>
        <v>305407.7141786826</v>
      </c>
      <c r="AF452" s="4" t="s">
        <v>846</v>
      </c>
    </row>
    <row r="453" spans="1:32" ht="11.25" customHeight="1" x14ac:dyDescent="0.25">
      <c r="A453" s="4" t="s">
        <v>27</v>
      </c>
      <c r="B453" s="4" t="s">
        <v>43</v>
      </c>
      <c r="C453" s="4" t="s">
        <v>23</v>
      </c>
      <c r="D453" s="4" t="s">
        <v>44</v>
      </c>
      <c r="E453" s="4" t="s">
        <v>25</v>
      </c>
      <c r="F453" s="4" t="s">
        <v>25</v>
      </c>
      <c r="G453" s="4" t="s">
        <v>25</v>
      </c>
      <c r="H453" s="4" t="s">
        <v>25</v>
      </c>
      <c r="I453" s="5">
        <v>44593</v>
      </c>
      <c r="J453" s="6">
        <v>0</v>
      </c>
      <c r="K453" s="6">
        <v>0</v>
      </c>
      <c r="L453" s="6">
        <v>-0.91900000000000004</v>
      </c>
      <c r="M453" s="6">
        <v>-0.91900000000000004</v>
      </c>
      <c r="N453" s="6">
        <v>-0.91900000000000004</v>
      </c>
      <c r="O453" s="6">
        <v>-0.91900000000000004</v>
      </c>
      <c r="P453" s="6">
        <v>0</v>
      </c>
      <c r="Q453" s="4" t="s">
        <v>26</v>
      </c>
      <c r="R453" s="4">
        <v>0</v>
      </c>
      <c r="S453" s="4">
        <v>0</v>
      </c>
      <c r="T453" s="4">
        <v>29</v>
      </c>
      <c r="U453" s="4">
        <v>66</v>
      </c>
      <c r="V453" s="6">
        <f>IF(ISERROR(VLOOKUP($S$453,'TAR FIN'!$A$1:$O$85,15,0)),0,VLOOKUP($S$453,'TAR FIN'!$A$1:$O$85,15,0))</f>
        <v>0</v>
      </c>
      <c r="W453" s="6">
        <f>IF(ISERROR(VLOOKUP($T$453,'TAR FIN'!$A$1:$O$85,15,0)),0,VLOOKUP($T$453,'TAR FIN'!$A$1:$O$85,15,0))</f>
        <v>285.89</v>
      </c>
      <c r="X453" s="6">
        <f>IF(ISERROR(VLOOKUP($U$453,'TAR FIN'!$A$1:$O$85,15,0)),0,VLOOKUP($U$453,'TAR FIN'!$A$1:$O$85,15,0))</f>
        <v>283.83999999999997</v>
      </c>
      <c r="Y453" s="6"/>
      <c r="Z453" s="6">
        <f ca="1">('TUSD BE'!$AM$33+'TUSD BF'!$AM$33+'TUSD CVA'!$AM$33)*(1-CUSTOS!$M$38)</f>
        <v>408.71492269690788</v>
      </c>
      <c r="AA453" s="6">
        <f>('TE BE'!$AB$23+'TE BF'!$AB$23+'TE CVA'!$AB$23)*(1-CUSTOS!$M$38)</f>
        <v>300.75684149176499</v>
      </c>
      <c r="AB453" s="6">
        <f t="shared" si="28"/>
        <v>0</v>
      </c>
      <c r="AC453" s="6">
        <f>(L453-M453)*(W453+X453)+($W$198+$X$198-$W$453-$X$453)*(L453)</f>
        <v>-71.397110000000112</v>
      </c>
      <c r="AD453" s="6">
        <f t="shared" si="29"/>
        <v>0</v>
      </c>
      <c r="AE453" s="6">
        <f ca="1">(L453-M453)*(Z453+AA453)+($Z$198+$AA$198-$Z$453-$AA$453)*(L453)</f>
        <v>-41.617311784429198</v>
      </c>
      <c r="AF453" s="4" t="s">
        <v>846</v>
      </c>
    </row>
    <row r="454" spans="1:32" ht="11.25" customHeight="1" x14ac:dyDescent="0.25">
      <c r="A454" s="4" t="s">
        <v>28</v>
      </c>
      <c r="B454" s="4" t="s">
        <v>43</v>
      </c>
      <c r="C454" s="4" t="s">
        <v>23</v>
      </c>
      <c r="D454" s="4" t="s">
        <v>44</v>
      </c>
      <c r="E454" s="4" t="s">
        <v>25</v>
      </c>
      <c r="F454" s="4" t="s">
        <v>25</v>
      </c>
      <c r="G454" s="4" t="s">
        <v>25</v>
      </c>
      <c r="H454" s="4" t="s">
        <v>25</v>
      </c>
      <c r="I454" s="5">
        <v>44593</v>
      </c>
      <c r="J454" s="6">
        <v>0</v>
      </c>
      <c r="K454" s="6">
        <v>0</v>
      </c>
      <c r="L454" s="6">
        <v>54.429000000000002</v>
      </c>
      <c r="M454" s="6">
        <v>54.429000000000002</v>
      </c>
      <c r="N454" s="6">
        <v>54.429000000000002</v>
      </c>
      <c r="O454" s="6">
        <v>54.429000000000002</v>
      </c>
      <c r="P454" s="6">
        <v>407</v>
      </c>
      <c r="Q454" s="4" t="s">
        <v>26</v>
      </c>
      <c r="R454" s="4">
        <v>0</v>
      </c>
      <c r="S454" s="4">
        <v>0</v>
      </c>
      <c r="T454" s="4">
        <v>29</v>
      </c>
      <c r="U454" s="4">
        <v>66</v>
      </c>
      <c r="V454" s="6">
        <f>IF(ISERROR(VLOOKUP($S$454,'TAR FIN'!$A$1:$O$85,15,0)),0,VLOOKUP($S$454,'TAR FIN'!$A$1:$O$85,15,0))</f>
        <v>0</v>
      </c>
      <c r="W454" s="6">
        <f>IF(ISERROR(VLOOKUP($T$454,'TAR FIN'!$A$1:$O$85,15,0)),0,VLOOKUP($T$454,'TAR FIN'!$A$1:$O$85,15,0))</f>
        <v>285.89</v>
      </c>
      <c r="X454" s="6">
        <f>IF(ISERROR(VLOOKUP($U$454,'TAR FIN'!$A$1:$O$85,15,0)),0,VLOOKUP($U$454,'TAR FIN'!$A$1:$O$85,15,0))</f>
        <v>283.83999999999997</v>
      </c>
      <c r="Y454" s="6"/>
      <c r="Z454" s="6">
        <f ca="1">('TUSD BE'!$AM$33+'TUSD BF'!$AM$33+'TUSD CVA'!$AM$33)*(1-CUSTOS!$M$38)</f>
        <v>408.71492269690788</v>
      </c>
      <c r="AA454" s="6">
        <f>('TE BE'!$AB$23+'TE BF'!$AB$23+'TE CVA'!$AB$23)*(1-CUSTOS!$M$38)</f>
        <v>300.75684149176499</v>
      </c>
      <c r="AB454" s="6">
        <f t="shared" si="28"/>
        <v>0</v>
      </c>
      <c r="AC454" s="6">
        <f>(L454-M454)*(W454+X454)+($W$198+$X$198-$W$454-$X$454)*(L454)</f>
        <v>4228.5890100000061</v>
      </c>
      <c r="AD454" s="6">
        <f t="shared" si="29"/>
        <v>0</v>
      </c>
      <c r="AE454" s="6">
        <f ca="1">(L454-M454)*(Z454+AA454)+($Z$198+$AA$198-$Z$454-$AA$454)*(L454)</f>
        <v>2464.8407650867211</v>
      </c>
      <c r="AF454" s="4" t="s">
        <v>846</v>
      </c>
    </row>
    <row r="455" spans="1:32" ht="11.25" customHeight="1" x14ac:dyDescent="0.25">
      <c r="A455" s="4" t="s">
        <v>28</v>
      </c>
      <c r="B455" s="4" t="s">
        <v>43</v>
      </c>
      <c r="C455" s="4" t="s">
        <v>23</v>
      </c>
      <c r="D455" s="4" t="s">
        <v>44</v>
      </c>
      <c r="E455" s="4" t="s">
        <v>25</v>
      </c>
      <c r="F455" s="4" t="s">
        <v>25</v>
      </c>
      <c r="G455" s="4" t="s">
        <v>25</v>
      </c>
      <c r="H455" s="4" t="s">
        <v>25</v>
      </c>
      <c r="I455" s="5">
        <v>44593</v>
      </c>
      <c r="J455" s="6">
        <v>0</v>
      </c>
      <c r="K455" s="6">
        <v>0</v>
      </c>
      <c r="L455" s="6">
        <v>6.9020000000000001</v>
      </c>
      <c r="M455" s="6">
        <v>6.9020000000000001</v>
      </c>
      <c r="N455" s="6">
        <v>6.9020000000000001</v>
      </c>
      <c r="O455" s="6">
        <v>6.9020000000000001</v>
      </c>
      <c r="P455" s="6">
        <v>0</v>
      </c>
      <c r="Q455" s="4" t="s">
        <v>26</v>
      </c>
      <c r="R455" s="4">
        <v>0</v>
      </c>
      <c r="S455" s="4">
        <v>0</v>
      </c>
      <c r="T455" s="4">
        <v>29</v>
      </c>
      <c r="U455" s="4">
        <v>66</v>
      </c>
      <c r="V455" s="6">
        <f>IF(ISERROR(VLOOKUP($S$455,'TAR FIN'!$A$1:$O$85,15,0)),0,VLOOKUP($S$455,'TAR FIN'!$A$1:$O$85,15,0))</f>
        <v>0</v>
      </c>
      <c r="W455" s="6">
        <f>IF(ISERROR(VLOOKUP($T$455,'TAR FIN'!$A$1:$O$85,15,0)),0,VLOOKUP($T$455,'TAR FIN'!$A$1:$O$85,15,0))</f>
        <v>285.89</v>
      </c>
      <c r="X455" s="6">
        <f>IF(ISERROR(VLOOKUP($U$455,'TAR FIN'!$A$1:$O$85,15,0)),0,VLOOKUP($U$455,'TAR FIN'!$A$1:$O$85,15,0))</f>
        <v>283.83999999999997</v>
      </c>
      <c r="Y455" s="6"/>
      <c r="Z455" s="6">
        <f ca="1">('TUSD BE'!$AM$33+'TUSD BF'!$AM$33+'TUSD CVA'!$AM$33)*(1-CUSTOS!$M$38)</f>
        <v>408.71492269690788</v>
      </c>
      <c r="AA455" s="6">
        <f>('TE BE'!$AB$23+'TE BF'!$AB$23+'TE CVA'!$AB$23)*(1-CUSTOS!$M$38)</f>
        <v>300.75684149176499</v>
      </c>
      <c r="AB455" s="6">
        <f t="shared" si="28"/>
        <v>0</v>
      </c>
      <c r="AC455" s="6">
        <f>(L455-M455)*(W455+X455)+($W$198+$X$198-$W$455-$X$455)*(L455)</f>
        <v>536.21638000000075</v>
      </c>
      <c r="AD455" s="6">
        <f t="shared" si="29"/>
        <v>0</v>
      </c>
      <c r="AE455" s="6">
        <f ca="1">(L455-M455)*(Z455+AA455)+($Z$198+$AA$198-$Z$455-$AA$455)*(L455)</f>
        <v>312.56004998490783</v>
      </c>
      <c r="AF455" s="4" t="s">
        <v>846</v>
      </c>
    </row>
    <row r="456" spans="1:32" ht="11.25" customHeight="1" x14ac:dyDescent="0.25">
      <c r="A456" s="4" t="s">
        <v>21</v>
      </c>
      <c r="B456" s="4" t="s">
        <v>43</v>
      </c>
      <c r="C456" s="4" t="s">
        <v>23</v>
      </c>
      <c r="D456" s="4" t="s">
        <v>44</v>
      </c>
      <c r="E456" s="4" t="s">
        <v>25</v>
      </c>
      <c r="F456" s="4" t="s">
        <v>25</v>
      </c>
      <c r="G456" s="4" t="s">
        <v>25</v>
      </c>
      <c r="H456" s="4" t="s">
        <v>25</v>
      </c>
      <c r="I456" s="5">
        <v>44621</v>
      </c>
      <c r="J456" s="6">
        <v>0</v>
      </c>
      <c r="K456" s="6">
        <v>0</v>
      </c>
      <c r="L456" s="6">
        <v>6840.9759999999997</v>
      </c>
      <c r="M456" s="6">
        <v>6840.9759999999997</v>
      </c>
      <c r="N456" s="6">
        <v>6840.9759999999997</v>
      </c>
      <c r="O456" s="6">
        <v>6840.9759999999997</v>
      </c>
      <c r="P456" s="6">
        <v>26577</v>
      </c>
      <c r="Q456" s="4" t="s">
        <v>26</v>
      </c>
      <c r="R456" s="4">
        <v>0</v>
      </c>
      <c r="S456" s="4">
        <v>0</v>
      </c>
      <c r="T456" s="4">
        <v>29</v>
      </c>
      <c r="U456" s="4">
        <v>66</v>
      </c>
      <c r="V456" s="6">
        <f>IF(ISERROR(VLOOKUP($S$456,'TAR FIN'!$A$1:$O$85,15,0)),0,VLOOKUP($S$456,'TAR FIN'!$A$1:$O$85,15,0))</f>
        <v>0</v>
      </c>
      <c r="W456" s="6">
        <f>IF(ISERROR(VLOOKUP($T$456,'TAR FIN'!$A$1:$O$85,15,0)),0,VLOOKUP($T$456,'TAR FIN'!$A$1:$O$85,15,0))</f>
        <v>285.89</v>
      </c>
      <c r="X456" s="6">
        <f>IF(ISERROR(VLOOKUP($U$456,'TAR FIN'!$A$1:$O$85,15,0)),0,VLOOKUP($U$456,'TAR FIN'!$A$1:$O$85,15,0))</f>
        <v>283.83999999999997</v>
      </c>
      <c r="Y456" s="6"/>
      <c r="Z456" s="6">
        <f ca="1">('TUSD BE'!$AM$33+'TUSD BF'!$AM$33+'TUSD CVA'!$AM$33)*(1-CUSTOS!$M$38)</f>
        <v>408.71492269690788</v>
      </c>
      <c r="AA456" s="6">
        <f>('TE BE'!$AB$23+'TE BF'!$AB$23+'TE CVA'!$AB$23)*(1-CUSTOS!$M$38)</f>
        <v>300.75684149176499</v>
      </c>
      <c r="AB456" s="6">
        <f t="shared" si="28"/>
        <v>0</v>
      </c>
      <c r="AC456" s="6">
        <f>(L456-M456)*(W456+X456)+($W$198+$X$198-$W$456-$X$456)*(L456)</f>
        <v>531475.42544000072</v>
      </c>
      <c r="AD456" s="6">
        <f t="shared" si="29"/>
        <v>0</v>
      </c>
      <c r="AE456" s="6">
        <f ca="1">(L456-M456)*(Z456+AA456)+($Z$198+$AA$198-$Z$456-$AA$456)*(L456)</f>
        <v>309796.5517973855</v>
      </c>
      <c r="AF456" s="4" t="s">
        <v>846</v>
      </c>
    </row>
    <row r="457" spans="1:32" ht="11.25" customHeight="1" x14ac:dyDescent="0.25">
      <c r="A457" s="4" t="s">
        <v>27</v>
      </c>
      <c r="B457" s="4" t="s">
        <v>43</v>
      </c>
      <c r="C457" s="4" t="s">
        <v>23</v>
      </c>
      <c r="D457" s="4" t="s">
        <v>44</v>
      </c>
      <c r="E457" s="4" t="s">
        <v>25</v>
      </c>
      <c r="F457" s="4" t="s">
        <v>25</v>
      </c>
      <c r="G457" s="4" t="s">
        <v>25</v>
      </c>
      <c r="H457" s="4" t="s">
        <v>25</v>
      </c>
      <c r="I457" s="5">
        <v>44621</v>
      </c>
      <c r="J457" s="6">
        <v>0</v>
      </c>
      <c r="K457" s="6">
        <v>0</v>
      </c>
      <c r="L457" s="6">
        <v>-14.576000000000001</v>
      </c>
      <c r="M457" s="6">
        <v>-14.576000000000001</v>
      </c>
      <c r="N457" s="6">
        <v>-14.576000000000001</v>
      </c>
      <c r="O457" s="6">
        <v>-14.576000000000001</v>
      </c>
      <c r="P457" s="6">
        <v>2</v>
      </c>
      <c r="Q457" s="4" t="s">
        <v>26</v>
      </c>
      <c r="R457" s="4">
        <v>0</v>
      </c>
      <c r="S457" s="4">
        <v>0</v>
      </c>
      <c r="T457" s="4">
        <v>29</v>
      </c>
      <c r="U457" s="4">
        <v>66</v>
      </c>
      <c r="V457" s="6">
        <f>IF(ISERROR(VLOOKUP($S$457,'TAR FIN'!$A$1:$O$85,15,0)),0,VLOOKUP($S$457,'TAR FIN'!$A$1:$O$85,15,0))</f>
        <v>0</v>
      </c>
      <c r="W457" s="6">
        <f>IF(ISERROR(VLOOKUP($T$457,'TAR FIN'!$A$1:$O$85,15,0)),0,VLOOKUP($T$457,'TAR FIN'!$A$1:$O$85,15,0))</f>
        <v>285.89</v>
      </c>
      <c r="X457" s="6">
        <f>IF(ISERROR(VLOOKUP($U$457,'TAR FIN'!$A$1:$O$85,15,0)),0,VLOOKUP($U$457,'TAR FIN'!$A$1:$O$85,15,0))</f>
        <v>283.83999999999997</v>
      </c>
      <c r="Y457" s="6"/>
      <c r="Z457" s="6">
        <f ca="1">('TUSD BE'!$AM$33+'TUSD BF'!$AM$33+'TUSD CVA'!$AM$33)*(1-CUSTOS!$M$38)</f>
        <v>408.71492269690788</v>
      </c>
      <c r="AA457" s="6">
        <f>('TE BE'!$AB$23+'TE BF'!$AB$23+'TE CVA'!$AB$23)*(1-CUSTOS!$M$38)</f>
        <v>300.75684149176499</v>
      </c>
      <c r="AB457" s="6">
        <f t="shared" si="28"/>
        <v>0</v>
      </c>
      <c r="AC457" s="6">
        <f>(L457-M457)*(W457+X457)+($W$198+$X$198-$W$457-$X$457)*(L457)</f>
        <v>-1132.4094400000017</v>
      </c>
      <c r="AD457" s="6">
        <f t="shared" si="29"/>
        <v>0</v>
      </c>
      <c r="AE457" s="6">
        <f ca="1">(L457-M457)*(Z457+AA457)+($Z$198+$AA$198-$Z$457-$AA$457)*(L457)</f>
        <v>-660.08045328600645</v>
      </c>
      <c r="AF457" s="4" t="s">
        <v>846</v>
      </c>
    </row>
    <row r="458" spans="1:32" ht="11.25" customHeight="1" x14ac:dyDescent="0.25">
      <c r="A458" s="4" t="s">
        <v>28</v>
      </c>
      <c r="B458" s="4" t="s">
        <v>43</v>
      </c>
      <c r="C458" s="4" t="s">
        <v>23</v>
      </c>
      <c r="D458" s="4" t="s">
        <v>44</v>
      </c>
      <c r="E458" s="4" t="s">
        <v>25</v>
      </c>
      <c r="F458" s="4" t="s">
        <v>25</v>
      </c>
      <c r="G458" s="4" t="s">
        <v>25</v>
      </c>
      <c r="H458" s="4" t="s">
        <v>25</v>
      </c>
      <c r="I458" s="5">
        <v>44621</v>
      </c>
      <c r="J458" s="6">
        <v>0</v>
      </c>
      <c r="K458" s="6">
        <v>0</v>
      </c>
      <c r="L458" s="6">
        <v>60.368000000000002</v>
      </c>
      <c r="M458" s="6">
        <v>60.368000000000002</v>
      </c>
      <c r="N458" s="6">
        <v>60.368000000000002</v>
      </c>
      <c r="O458" s="6">
        <v>60.368000000000002</v>
      </c>
      <c r="P458" s="6">
        <v>471</v>
      </c>
      <c r="Q458" s="4" t="s">
        <v>26</v>
      </c>
      <c r="R458" s="4">
        <v>0</v>
      </c>
      <c r="S458" s="4">
        <v>0</v>
      </c>
      <c r="T458" s="4">
        <v>29</v>
      </c>
      <c r="U458" s="4">
        <v>66</v>
      </c>
      <c r="V458" s="6">
        <f>IF(ISERROR(VLOOKUP($S$458,'TAR FIN'!$A$1:$O$85,15,0)),0,VLOOKUP($S$458,'TAR FIN'!$A$1:$O$85,15,0))</f>
        <v>0</v>
      </c>
      <c r="W458" s="6">
        <f>IF(ISERROR(VLOOKUP($T$458,'TAR FIN'!$A$1:$O$85,15,0)),0,VLOOKUP($T$458,'TAR FIN'!$A$1:$O$85,15,0))</f>
        <v>285.89</v>
      </c>
      <c r="X458" s="6">
        <f>IF(ISERROR(VLOOKUP($U$458,'TAR FIN'!$A$1:$O$85,15,0)),0,VLOOKUP($U$458,'TAR FIN'!$A$1:$O$85,15,0))</f>
        <v>283.83999999999997</v>
      </c>
      <c r="Y458" s="6"/>
      <c r="Z458" s="6">
        <f ca="1">('TUSD BE'!$AM$33+'TUSD BF'!$AM$33+'TUSD CVA'!$AM$33)*(1-CUSTOS!$M$38)</f>
        <v>408.71492269690788</v>
      </c>
      <c r="AA458" s="6">
        <f>('TE BE'!$AB$23+'TE BF'!$AB$23+'TE CVA'!$AB$23)*(1-CUSTOS!$M$38)</f>
        <v>300.75684149176499</v>
      </c>
      <c r="AB458" s="6">
        <f t="shared" si="28"/>
        <v>0</v>
      </c>
      <c r="AC458" s="6">
        <f>(L458-M458)*(W458+X458)+($W$198+$X$198-$W$458-$X$458)*(L458)</f>
        <v>4689.9899200000073</v>
      </c>
      <c r="AD458" s="6">
        <f t="shared" si="29"/>
        <v>0</v>
      </c>
      <c r="AE458" s="6">
        <f ca="1">(L458-M458)*(Z458+AA458)+($Z$198+$AA$198-$Z$458-$AA$458)*(L458)</f>
        <v>2733.790944289904</v>
      </c>
      <c r="AF458" s="4" t="s">
        <v>846</v>
      </c>
    </row>
    <row r="459" spans="1:32" ht="11.25" customHeight="1" x14ac:dyDescent="0.25">
      <c r="A459" s="4" t="s">
        <v>21</v>
      </c>
      <c r="B459" s="4" t="s">
        <v>43</v>
      </c>
      <c r="C459" s="4" t="s">
        <v>23</v>
      </c>
      <c r="D459" s="4" t="s">
        <v>44</v>
      </c>
      <c r="E459" s="4" t="s">
        <v>25</v>
      </c>
      <c r="F459" s="4" t="s">
        <v>25</v>
      </c>
      <c r="G459" s="4" t="s">
        <v>25</v>
      </c>
      <c r="H459" s="4" t="s">
        <v>25</v>
      </c>
      <c r="I459" s="5">
        <v>44652</v>
      </c>
      <c r="J459" s="6">
        <v>0</v>
      </c>
      <c r="K459" s="6">
        <v>0</v>
      </c>
      <c r="L459" s="6">
        <v>7022.2060000000001</v>
      </c>
      <c r="M459" s="6">
        <v>7022.2060000000001</v>
      </c>
      <c r="N459" s="6">
        <v>7022.2060000000001</v>
      </c>
      <c r="O459" s="6">
        <v>7022.2060000000001</v>
      </c>
      <c r="P459" s="6">
        <v>25443</v>
      </c>
      <c r="Q459" s="4" t="s">
        <v>26</v>
      </c>
      <c r="R459" s="4">
        <v>0</v>
      </c>
      <c r="S459" s="4">
        <v>0</v>
      </c>
      <c r="T459" s="4">
        <v>29</v>
      </c>
      <c r="U459" s="4">
        <v>66</v>
      </c>
      <c r="V459" s="6">
        <f>IF(ISERROR(VLOOKUP($S$459,'TAR FIN'!$A$1:$O$85,15,0)),0,VLOOKUP($S$459,'TAR FIN'!$A$1:$O$85,15,0))</f>
        <v>0</v>
      </c>
      <c r="W459" s="6">
        <f>IF(ISERROR(VLOOKUP($T$459,'TAR FIN'!$A$1:$O$85,15,0)),0,VLOOKUP($T$459,'TAR FIN'!$A$1:$O$85,15,0))</f>
        <v>285.89</v>
      </c>
      <c r="X459" s="6">
        <f>IF(ISERROR(VLOOKUP($U$459,'TAR FIN'!$A$1:$O$85,15,0)),0,VLOOKUP($U$459,'TAR FIN'!$A$1:$O$85,15,0))</f>
        <v>283.83999999999997</v>
      </c>
      <c r="Y459" s="6"/>
      <c r="Z459" s="6">
        <f ca="1">('TUSD BE'!$AM$33+'TUSD BF'!$AM$33+'TUSD CVA'!$AM$33)*(1-CUSTOS!$M$38)</f>
        <v>408.71492269690788</v>
      </c>
      <c r="AA459" s="6">
        <f>('TE BE'!$AB$23+'TE BF'!$AB$23+'TE CVA'!$AB$23)*(1-CUSTOS!$M$38)</f>
        <v>300.75684149176499</v>
      </c>
      <c r="AB459" s="6">
        <f t="shared" si="28"/>
        <v>0</v>
      </c>
      <c r="AC459" s="6">
        <f>(L459-M459)*(W459+X459)+($W$198+$X$198-$W$459-$X$459)*(L459)</f>
        <v>545555.18414000084</v>
      </c>
      <c r="AD459" s="6">
        <f t="shared" si="29"/>
        <v>0</v>
      </c>
      <c r="AE459" s="6">
        <f ca="1">(L459-M459)*(Z459+AA459)+($Z$198+$AA$198-$Z$459-$AA$459)*(L459)</f>
        <v>318003.63059465657</v>
      </c>
      <c r="AF459" s="4" t="s">
        <v>846</v>
      </c>
    </row>
    <row r="460" spans="1:32" ht="11.25" customHeight="1" x14ac:dyDescent="0.25">
      <c r="A460" s="4" t="s">
        <v>27</v>
      </c>
      <c r="B460" s="4" t="s">
        <v>43</v>
      </c>
      <c r="C460" s="4" t="s">
        <v>23</v>
      </c>
      <c r="D460" s="4" t="s">
        <v>44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44652</v>
      </c>
      <c r="J460" s="6">
        <v>0</v>
      </c>
      <c r="K460" s="6">
        <v>0</v>
      </c>
      <c r="L460" s="6">
        <v>-10.545999999999999</v>
      </c>
      <c r="M460" s="6">
        <v>-10.545999999999999</v>
      </c>
      <c r="N460" s="6">
        <v>-10.545999999999999</v>
      </c>
      <c r="O460" s="6">
        <v>-10.545999999999999</v>
      </c>
      <c r="P460" s="6">
        <v>5</v>
      </c>
      <c r="Q460" s="4" t="s">
        <v>26</v>
      </c>
      <c r="R460" s="4">
        <v>0</v>
      </c>
      <c r="S460" s="4">
        <v>0</v>
      </c>
      <c r="T460" s="4">
        <v>29</v>
      </c>
      <c r="U460" s="4">
        <v>66</v>
      </c>
      <c r="V460" s="6">
        <f>IF(ISERROR(VLOOKUP($S$460,'TAR FIN'!$A$1:$O$85,15,0)),0,VLOOKUP($S$460,'TAR FIN'!$A$1:$O$85,15,0))</f>
        <v>0</v>
      </c>
      <c r="W460" s="6">
        <f>IF(ISERROR(VLOOKUP($T$460,'TAR FIN'!$A$1:$O$85,15,0)),0,VLOOKUP($T$460,'TAR FIN'!$A$1:$O$85,15,0))</f>
        <v>285.89</v>
      </c>
      <c r="X460" s="6">
        <f>IF(ISERROR(VLOOKUP($U$460,'TAR FIN'!$A$1:$O$85,15,0)),0,VLOOKUP($U$460,'TAR FIN'!$A$1:$O$85,15,0))</f>
        <v>283.83999999999997</v>
      </c>
      <c r="Y460" s="6"/>
      <c r="Z460" s="6">
        <f ca="1">('TUSD BE'!$AM$33+'TUSD BF'!$AM$33+'TUSD CVA'!$AM$33)*(1-CUSTOS!$M$38)</f>
        <v>408.71492269690788</v>
      </c>
      <c r="AA460" s="6">
        <f>('TE BE'!$AB$23+'TE BF'!$AB$23+'TE CVA'!$AB$23)*(1-CUSTOS!$M$38)</f>
        <v>300.75684149176499</v>
      </c>
      <c r="AB460" s="6">
        <f t="shared" si="28"/>
        <v>0</v>
      </c>
      <c r="AC460" s="6">
        <f>(L460-M460)*(W460+X460)+($W$198+$X$198-$W$460-$X$460)*(L460)</f>
        <v>-819.31874000000107</v>
      </c>
      <c r="AD460" s="6">
        <f t="shared" si="29"/>
        <v>0</v>
      </c>
      <c r="AE460" s="6">
        <f ca="1">(L460-M460)*(Z460+AA460)+($Z$198+$AA$198-$Z$460-$AA$460)*(L460)</f>
        <v>-477.58016330640942</v>
      </c>
      <c r="AF460" s="4" t="s">
        <v>846</v>
      </c>
    </row>
    <row r="461" spans="1:32" ht="11.25" customHeight="1" x14ac:dyDescent="0.25">
      <c r="A461" s="4" t="s">
        <v>28</v>
      </c>
      <c r="B461" s="4" t="s">
        <v>43</v>
      </c>
      <c r="C461" s="4" t="s">
        <v>23</v>
      </c>
      <c r="D461" s="4" t="s">
        <v>44</v>
      </c>
      <c r="E461" s="4" t="s">
        <v>25</v>
      </c>
      <c r="F461" s="4" t="s">
        <v>25</v>
      </c>
      <c r="G461" s="4" t="s">
        <v>25</v>
      </c>
      <c r="H461" s="4" t="s">
        <v>25</v>
      </c>
      <c r="I461" s="5">
        <v>44652</v>
      </c>
      <c r="J461" s="6">
        <v>0</v>
      </c>
      <c r="K461" s="6">
        <v>0</v>
      </c>
      <c r="L461" s="6">
        <v>71.492999999999995</v>
      </c>
      <c r="M461" s="6">
        <v>71.492999999999995</v>
      </c>
      <c r="N461" s="6">
        <v>71.492999999999995</v>
      </c>
      <c r="O461" s="6">
        <v>71.492999999999995</v>
      </c>
      <c r="P461" s="6">
        <v>537</v>
      </c>
      <c r="Q461" s="4" t="s">
        <v>26</v>
      </c>
      <c r="R461" s="4">
        <v>0</v>
      </c>
      <c r="S461" s="4">
        <v>0</v>
      </c>
      <c r="T461" s="4">
        <v>29</v>
      </c>
      <c r="U461" s="4">
        <v>66</v>
      </c>
      <c r="V461" s="6">
        <f>IF(ISERROR(VLOOKUP($S$461,'TAR FIN'!$A$1:$O$85,15,0)),0,VLOOKUP($S$461,'TAR FIN'!$A$1:$O$85,15,0))</f>
        <v>0</v>
      </c>
      <c r="W461" s="6">
        <f>IF(ISERROR(VLOOKUP($T$461,'TAR FIN'!$A$1:$O$85,15,0)),0,VLOOKUP($T$461,'TAR FIN'!$A$1:$O$85,15,0))</f>
        <v>285.89</v>
      </c>
      <c r="X461" s="6">
        <f>IF(ISERROR(VLOOKUP($U$461,'TAR FIN'!$A$1:$O$85,15,0)),0,VLOOKUP($U$461,'TAR FIN'!$A$1:$O$85,15,0))</f>
        <v>283.83999999999997</v>
      </c>
      <c r="Y461" s="6"/>
      <c r="Z461" s="6">
        <f ca="1">('TUSD BE'!$AM$33+'TUSD BF'!$AM$33+'TUSD CVA'!$AM$33)*(1-CUSTOS!$M$38)</f>
        <v>408.71492269690788</v>
      </c>
      <c r="AA461" s="6">
        <f>('TE BE'!$AB$23+'TE BF'!$AB$23+'TE CVA'!$AB$23)*(1-CUSTOS!$M$38)</f>
        <v>300.75684149176499</v>
      </c>
      <c r="AB461" s="6">
        <f t="shared" si="28"/>
        <v>0</v>
      </c>
      <c r="AC461" s="6">
        <f>(L461-M461)*(W461+X461)+($W$198+$X$198-$W$461-$X$461)*(L461)</f>
        <v>5554.2911700000077</v>
      </c>
      <c r="AD461" s="6">
        <f t="shared" si="29"/>
        <v>0</v>
      </c>
      <c r="AE461" s="6">
        <f ca="1">(L461-M461)*(Z461+AA461)+($Z$198+$AA$198-$Z$461-$AA$461)*(L461)</f>
        <v>3237.5913725834562</v>
      </c>
      <c r="AF461" s="4" t="s">
        <v>846</v>
      </c>
    </row>
    <row r="462" spans="1:32" ht="11.25" customHeight="1" x14ac:dyDescent="0.25">
      <c r="A462" s="4" t="s">
        <v>28</v>
      </c>
      <c r="B462" s="4" t="s">
        <v>43</v>
      </c>
      <c r="C462" s="4" t="s">
        <v>23</v>
      </c>
      <c r="D462" s="4" t="s">
        <v>44</v>
      </c>
      <c r="E462" s="4" t="s">
        <v>25</v>
      </c>
      <c r="F462" s="4" t="s">
        <v>25</v>
      </c>
      <c r="G462" s="4" t="s">
        <v>25</v>
      </c>
      <c r="H462" s="4" t="s">
        <v>25</v>
      </c>
      <c r="I462" s="5">
        <v>44652</v>
      </c>
      <c r="J462" s="6">
        <v>0</v>
      </c>
      <c r="K462" s="6">
        <v>0</v>
      </c>
      <c r="L462" s="6">
        <v>1.1299999999999999</v>
      </c>
      <c r="M462" s="6">
        <v>1.1299999999999999</v>
      </c>
      <c r="N462" s="6">
        <v>1.1299999999999999</v>
      </c>
      <c r="O462" s="6">
        <v>1.1299999999999999</v>
      </c>
      <c r="P462" s="6">
        <v>3</v>
      </c>
      <c r="Q462" s="4" t="s">
        <v>26</v>
      </c>
      <c r="R462" s="4">
        <v>0</v>
      </c>
      <c r="S462" s="4">
        <v>0</v>
      </c>
      <c r="T462" s="4">
        <v>29</v>
      </c>
      <c r="U462" s="4">
        <v>66</v>
      </c>
      <c r="V462" s="6">
        <f>IF(ISERROR(VLOOKUP($S$462,'TAR FIN'!$A$1:$O$85,15,0)),0,VLOOKUP($S$462,'TAR FIN'!$A$1:$O$85,15,0))</f>
        <v>0</v>
      </c>
      <c r="W462" s="6">
        <f>IF(ISERROR(VLOOKUP($T$462,'TAR FIN'!$A$1:$O$85,15,0)),0,VLOOKUP($T$462,'TAR FIN'!$A$1:$O$85,15,0))</f>
        <v>285.89</v>
      </c>
      <c r="X462" s="6">
        <f>IF(ISERROR(VLOOKUP($U$462,'TAR FIN'!$A$1:$O$85,15,0)),0,VLOOKUP($U$462,'TAR FIN'!$A$1:$O$85,15,0))</f>
        <v>283.83999999999997</v>
      </c>
      <c r="Y462" s="6"/>
      <c r="Z462" s="6">
        <f ca="1">('TUSD BE'!$AM$33+'TUSD BF'!$AM$33+'TUSD CVA'!$AM$33)*(1-CUSTOS!$M$38)</f>
        <v>408.71492269690788</v>
      </c>
      <c r="AA462" s="6">
        <f>('TE BE'!$AB$23+'TE BF'!$AB$23+'TE CVA'!$AB$23)*(1-CUSTOS!$M$38)</f>
        <v>300.75684149176499</v>
      </c>
      <c r="AB462" s="6">
        <f t="shared" si="28"/>
        <v>0</v>
      </c>
      <c r="AC462" s="6">
        <f>(L462-M462)*(W462+X462)+($W$198+$X$198-$W$462-$X$462)*(L462)</f>
        <v>87.789700000000124</v>
      </c>
      <c r="AD462" s="6">
        <f t="shared" si="29"/>
        <v>0</v>
      </c>
      <c r="AE462" s="6">
        <f ca="1">(L462-M462)*(Z462+AA462)+($Z$198+$AA$198-$Z$462-$AA$462)*(L462)</f>
        <v>51.172537885097917</v>
      </c>
      <c r="AF462" s="4" t="s">
        <v>846</v>
      </c>
    </row>
    <row r="463" spans="1:32" ht="11.25" customHeight="1" x14ac:dyDescent="0.25">
      <c r="A463" s="4" t="s">
        <v>21</v>
      </c>
      <c r="B463" s="4" t="s">
        <v>43</v>
      </c>
      <c r="C463" s="4" t="s">
        <v>23</v>
      </c>
      <c r="D463" s="4" t="s">
        <v>44</v>
      </c>
      <c r="E463" s="4" t="s">
        <v>25</v>
      </c>
      <c r="F463" s="4" t="s">
        <v>25</v>
      </c>
      <c r="G463" s="4" t="s">
        <v>25</v>
      </c>
      <c r="H463" s="4" t="s">
        <v>25</v>
      </c>
      <c r="I463" s="5">
        <v>44682</v>
      </c>
      <c r="J463" s="6">
        <v>0</v>
      </c>
      <c r="K463" s="6">
        <v>0</v>
      </c>
      <c r="L463" s="6">
        <v>8529.67</v>
      </c>
      <c r="M463" s="6">
        <v>8529.67</v>
      </c>
      <c r="N463" s="6">
        <v>8529.67</v>
      </c>
      <c r="O463" s="6">
        <v>8529.67</v>
      </c>
      <c r="P463" s="6">
        <v>24910</v>
      </c>
      <c r="Q463" s="4" t="s">
        <v>26</v>
      </c>
      <c r="R463" s="4">
        <v>0</v>
      </c>
      <c r="S463" s="4">
        <v>0</v>
      </c>
      <c r="T463" s="4">
        <v>29</v>
      </c>
      <c r="U463" s="4">
        <v>66</v>
      </c>
      <c r="V463" s="6">
        <f>IF(ISERROR(VLOOKUP($S$463,'TAR FIN'!$A$1:$O$85,15,0)),0,VLOOKUP($S$463,'TAR FIN'!$A$1:$O$85,15,0))</f>
        <v>0</v>
      </c>
      <c r="W463" s="6">
        <f>IF(ISERROR(VLOOKUP($T$463,'TAR FIN'!$A$1:$O$85,15,0)),0,VLOOKUP($T$463,'TAR FIN'!$A$1:$O$85,15,0))</f>
        <v>285.89</v>
      </c>
      <c r="X463" s="6">
        <f>IF(ISERROR(VLOOKUP($U$463,'TAR FIN'!$A$1:$O$85,15,0)),0,VLOOKUP($U$463,'TAR FIN'!$A$1:$O$85,15,0))</f>
        <v>283.83999999999997</v>
      </c>
      <c r="Y463" s="6"/>
      <c r="Z463" s="6">
        <f ca="1">('TUSD BE'!$AM$33+'TUSD BF'!$AM$33+'TUSD CVA'!$AM$33)*(1-CUSTOS!$M$38)</f>
        <v>408.71492269690788</v>
      </c>
      <c r="AA463" s="6">
        <f>('TE BE'!$AB$23+'TE BF'!$AB$23+'TE CVA'!$AB$23)*(1-CUSTOS!$M$38)</f>
        <v>300.75684149176499</v>
      </c>
      <c r="AB463" s="6">
        <f t="shared" si="28"/>
        <v>0</v>
      </c>
      <c r="AC463" s="6">
        <f>(L463-M463)*(W463+X463)+($W$198+$X$198-$W$463-$X$463)*(L463)</f>
        <v>662670.06230000092</v>
      </c>
      <c r="AD463" s="6">
        <f t="shared" si="29"/>
        <v>0</v>
      </c>
      <c r="AE463" s="6">
        <f ca="1">(L463-M463)*(Z463+AA463)+($Z$198+$AA$198-$Z$463-$AA$463)*(L463)</f>
        <v>386269.78869237448</v>
      </c>
      <c r="AF463" s="4" t="s">
        <v>846</v>
      </c>
    </row>
    <row r="464" spans="1:32" ht="11.25" customHeight="1" x14ac:dyDescent="0.25">
      <c r="A464" s="4" t="s">
        <v>27</v>
      </c>
      <c r="B464" s="4" t="s">
        <v>43</v>
      </c>
      <c r="C464" s="4" t="s">
        <v>23</v>
      </c>
      <c r="D464" s="4" t="s">
        <v>44</v>
      </c>
      <c r="E464" s="4" t="s">
        <v>25</v>
      </c>
      <c r="F464" s="4" t="s">
        <v>25</v>
      </c>
      <c r="G464" s="4" t="s">
        <v>25</v>
      </c>
      <c r="H464" s="4" t="s">
        <v>25</v>
      </c>
      <c r="I464" s="5">
        <v>44682</v>
      </c>
      <c r="J464" s="6">
        <v>0</v>
      </c>
      <c r="K464" s="6">
        <v>0</v>
      </c>
      <c r="L464" s="6">
        <v>0.58399999999999996</v>
      </c>
      <c r="M464" s="6">
        <v>0.58399999999999996</v>
      </c>
      <c r="N464" s="6">
        <v>0.58399999999999996</v>
      </c>
      <c r="O464" s="6">
        <v>0.58399999999999996</v>
      </c>
      <c r="P464" s="6">
        <v>12</v>
      </c>
      <c r="Q464" s="4" t="s">
        <v>26</v>
      </c>
      <c r="R464" s="4">
        <v>0</v>
      </c>
      <c r="S464" s="4">
        <v>0</v>
      </c>
      <c r="T464" s="4">
        <v>29</v>
      </c>
      <c r="U464" s="4">
        <v>66</v>
      </c>
      <c r="V464" s="6">
        <f>IF(ISERROR(VLOOKUP($S$464,'TAR FIN'!$A$1:$O$85,15,0)),0,VLOOKUP($S$464,'TAR FIN'!$A$1:$O$85,15,0))</f>
        <v>0</v>
      </c>
      <c r="W464" s="6">
        <f>IF(ISERROR(VLOOKUP($T$464,'TAR FIN'!$A$1:$O$85,15,0)),0,VLOOKUP($T$464,'TAR FIN'!$A$1:$O$85,15,0))</f>
        <v>285.89</v>
      </c>
      <c r="X464" s="6">
        <f>IF(ISERROR(VLOOKUP($U$464,'TAR FIN'!$A$1:$O$85,15,0)),0,VLOOKUP($U$464,'TAR FIN'!$A$1:$O$85,15,0))</f>
        <v>283.83999999999997</v>
      </c>
      <c r="Y464" s="6"/>
      <c r="Z464" s="6">
        <f ca="1">('TUSD BE'!$AM$33+'TUSD BF'!$AM$33+'TUSD CVA'!$AM$33)*(1-CUSTOS!$M$38)</f>
        <v>408.71492269690788</v>
      </c>
      <c r="AA464" s="6">
        <f>('TE BE'!$AB$23+'TE BF'!$AB$23+'TE CVA'!$AB$23)*(1-CUSTOS!$M$38)</f>
        <v>300.75684149176499</v>
      </c>
      <c r="AB464" s="6">
        <f t="shared" si="28"/>
        <v>0</v>
      </c>
      <c r="AC464" s="6">
        <f>(L464-M464)*(W464+X464)+($W$198+$X$198-$W$464-$X$464)*(L464)</f>
        <v>45.370960000000061</v>
      </c>
      <c r="AD464" s="6">
        <f t="shared" si="29"/>
        <v>0</v>
      </c>
      <c r="AE464" s="6">
        <f ca="1">(L464-M464)*(Z464+AA464)+($Z$198+$AA$198-$Z$464-$AA$464)*(L464)</f>
        <v>26.446692145926711</v>
      </c>
      <c r="AF464" s="4" t="s">
        <v>846</v>
      </c>
    </row>
    <row r="465" spans="1:32" ht="11.25" customHeight="1" x14ac:dyDescent="0.25">
      <c r="A465" s="4" t="s">
        <v>28</v>
      </c>
      <c r="B465" s="4" t="s">
        <v>43</v>
      </c>
      <c r="C465" s="4" t="s">
        <v>23</v>
      </c>
      <c r="D465" s="4" t="s">
        <v>44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44682</v>
      </c>
      <c r="J465" s="6">
        <v>0</v>
      </c>
      <c r="K465" s="6">
        <v>0</v>
      </c>
      <c r="L465" s="6">
        <v>109.31399999999999</v>
      </c>
      <c r="M465" s="6">
        <v>109.31399999999999</v>
      </c>
      <c r="N465" s="6">
        <v>109.31399999999999</v>
      </c>
      <c r="O465" s="6">
        <v>109.31399999999999</v>
      </c>
      <c r="P465" s="6">
        <v>585</v>
      </c>
      <c r="Q465" s="4" t="s">
        <v>26</v>
      </c>
      <c r="R465" s="4">
        <v>0</v>
      </c>
      <c r="S465" s="4">
        <v>0</v>
      </c>
      <c r="T465" s="4">
        <v>29</v>
      </c>
      <c r="U465" s="4">
        <v>66</v>
      </c>
      <c r="V465" s="6">
        <f>IF(ISERROR(VLOOKUP($S$465,'TAR FIN'!$A$1:$O$85,15,0)),0,VLOOKUP($S$465,'TAR FIN'!$A$1:$O$85,15,0))</f>
        <v>0</v>
      </c>
      <c r="W465" s="6">
        <f>IF(ISERROR(VLOOKUP($T$465,'TAR FIN'!$A$1:$O$85,15,0)),0,VLOOKUP($T$465,'TAR FIN'!$A$1:$O$85,15,0))</f>
        <v>285.89</v>
      </c>
      <c r="X465" s="6">
        <f>IF(ISERROR(VLOOKUP($U$465,'TAR FIN'!$A$1:$O$85,15,0)),0,VLOOKUP($U$465,'TAR FIN'!$A$1:$O$85,15,0))</f>
        <v>283.83999999999997</v>
      </c>
      <c r="Y465" s="6"/>
      <c r="Z465" s="6">
        <f ca="1">('TUSD BE'!$AM$33+'TUSD BF'!$AM$33+'TUSD CVA'!$AM$33)*(1-CUSTOS!$M$38)</f>
        <v>408.71492269690788</v>
      </c>
      <c r="AA465" s="6">
        <f>('TE BE'!$AB$23+'TE BF'!$AB$23+'TE CVA'!$AB$23)*(1-CUSTOS!$M$38)</f>
        <v>300.75684149176499</v>
      </c>
      <c r="AB465" s="6">
        <f t="shared" si="28"/>
        <v>0</v>
      </c>
      <c r="AC465" s="6">
        <f>(L465-M465)*(W465+X465)+($W$198+$X$198-$W$465-$X$465)*(L465)</f>
        <v>8492.6046600000118</v>
      </c>
      <c r="AD465" s="6">
        <f t="shared" si="29"/>
        <v>0</v>
      </c>
      <c r="AE465" s="6">
        <f ca="1">(L465-M465)*(Z465+AA465)+($Z$198+$AA$198-$Z$465-$AA$465)*(L465)</f>
        <v>4950.3316870545077</v>
      </c>
      <c r="AF465" s="4" t="s">
        <v>846</v>
      </c>
    </row>
    <row r="466" spans="1:32" ht="11.25" customHeight="1" x14ac:dyDescent="0.25">
      <c r="A466" s="4" t="s">
        <v>21</v>
      </c>
      <c r="B466" s="4" t="s">
        <v>43</v>
      </c>
      <c r="C466" s="4" t="s">
        <v>23</v>
      </c>
      <c r="D466" s="4" t="s">
        <v>44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44713</v>
      </c>
      <c r="J466" s="6">
        <v>0</v>
      </c>
      <c r="K466" s="6">
        <v>0</v>
      </c>
      <c r="L466" s="6">
        <v>10383.521000000001</v>
      </c>
      <c r="M466" s="6">
        <v>10383.521000000001</v>
      </c>
      <c r="N466" s="6">
        <v>10383.521000000001</v>
      </c>
      <c r="O466" s="6">
        <v>10383.521000000001</v>
      </c>
      <c r="P466" s="6">
        <v>25200</v>
      </c>
      <c r="Q466" s="4" t="s">
        <v>26</v>
      </c>
      <c r="R466" s="4">
        <v>0</v>
      </c>
      <c r="S466" s="4">
        <v>0</v>
      </c>
      <c r="T466" s="4">
        <v>29</v>
      </c>
      <c r="U466" s="4">
        <v>66</v>
      </c>
      <c r="V466" s="6">
        <f>IF(ISERROR(VLOOKUP($S$466,'TAR FIN'!$A$1:$O$85,15,0)),0,VLOOKUP($S$466,'TAR FIN'!$A$1:$O$85,15,0))</f>
        <v>0</v>
      </c>
      <c r="W466" s="6">
        <f>IF(ISERROR(VLOOKUP($T$466,'TAR FIN'!$A$1:$O$85,15,0)),0,VLOOKUP($T$466,'TAR FIN'!$A$1:$O$85,15,0))</f>
        <v>285.89</v>
      </c>
      <c r="X466" s="6">
        <f>IF(ISERROR(VLOOKUP($U$466,'TAR FIN'!$A$1:$O$85,15,0)),0,VLOOKUP($U$466,'TAR FIN'!$A$1:$O$85,15,0))</f>
        <v>283.83999999999997</v>
      </c>
      <c r="Y466" s="6"/>
      <c r="Z466" s="6">
        <f ca="1">('TUSD BE'!$AM$33+'TUSD BF'!$AM$33+'TUSD CVA'!$AM$33)*(1-CUSTOS!$M$38)</f>
        <v>408.71492269690788</v>
      </c>
      <c r="AA466" s="6">
        <f>('TE BE'!$AB$23+'TE BF'!$AB$23+'TE CVA'!$AB$23)*(1-CUSTOS!$M$38)</f>
        <v>300.75684149176499</v>
      </c>
      <c r="AB466" s="6">
        <f t="shared" si="28"/>
        <v>0</v>
      </c>
      <c r="AC466" s="6">
        <f>(L466-M466)*(W466+X466)+($W$198+$X$198-$W$466-$X$466)*(L466)</f>
        <v>806695.74649000121</v>
      </c>
      <c r="AD466" s="6">
        <f t="shared" si="29"/>
        <v>0</v>
      </c>
      <c r="AE466" s="6">
        <f ca="1">(L466-M466)*(Z466+AA466)+($Z$198+$AA$198-$Z$466-$AA$466)*(L466)</f>
        <v>470222.23164000874</v>
      </c>
      <c r="AF466" s="4" t="s">
        <v>846</v>
      </c>
    </row>
    <row r="467" spans="1:32" ht="11.25" customHeight="1" x14ac:dyDescent="0.25">
      <c r="A467" s="4" t="s">
        <v>27</v>
      </c>
      <c r="B467" s="4" t="s">
        <v>43</v>
      </c>
      <c r="C467" s="4" t="s">
        <v>23</v>
      </c>
      <c r="D467" s="4" t="s">
        <v>44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44713</v>
      </c>
      <c r="J467" s="6">
        <v>0</v>
      </c>
      <c r="K467" s="6">
        <v>0</v>
      </c>
      <c r="L467" s="6">
        <v>0.182</v>
      </c>
      <c r="M467" s="6">
        <v>0.182</v>
      </c>
      <c r="N467" s="6">
        <v>0.182</v>
      </c>
      <c r="O467" s="6">
        <v>0.182</v>
      </c>
      <c r="P467" s="6">
        <v>4</v>
      </c>
      <c r="Q467" s="4" t="s">
        <v>26</v>
      </c>
      <c r="R467" s="4">
        <v>0</v>
      </c>
      <c r="S467" s="4">
        <v>0</v>
      </c>
      <c r="T467" s="4">
        <v>29</v>
      </c>
      <c r="U467" s="4">
        <v>66</v>
      </c>
      <c r="V467" s="6">
        <f>IF(ISERROR(VLOOKUP($S$467,'TAR FIN'!$A$1:$O$85,15,0)),0,VLOOKUP($S$467,'TAR FIN'!$A$1:$O$85,15,0))</f>
        <v>0</v>
      </c>
      <c r="W467" s="6">
        <f>IF(ISERROR(VLOOKUP($T$467,'TAR FIN'!$A$1:$O$85,15,0)),0,VLOOKUP($T$467,'TAR FIN'!$A$1:$O$85,15,0))</f>
        <v>285.89</v>
      </c>
      <c r="X467" s="6">
        <f>IF(ISERROR(VLOOKUP($U$467,'TAR FIN'!$A$1:$O$85,15,0)),0,VLOOKUP($U$467,'TAR FIN'!$A$1:$O$85,15,0))</f>
        <v>283.83999999999997</v>
      </c>
      <c r="Y467" s="6"/>
      <c r="Z467" s="6">
        <f ca="1">('TUSD BE'!$AM$33+'TUSD BF'!$AM$33+'TUSD CVA'!$AM$33)*(1-CUSTOS!$M$38)</f>
        <v>408.71492269690788</v>
      </c>
      <c r="AA467" s="6">
        <f>('TE BE'!$AB$23+'TE BF'!$AB$23+'TE CVA'!$AB$23)*(1-CUSTOS!$M$38)</f>
        <v>300.75684149176499</v>
      </c>
      <c r="AB467" s="6">
        <f t="shared" si="28"/>
        <v>0</v>
      </c>
      <c r="AC467" s="6">
        <f>(L467-M467)*(W467+X467)+($W$198+$X$198-$W$467-$X$467)*(L467)</f>
        <v>14.13958000000002</v>
      </c>
      <c r="AD467" s="6">
        <f t="shared" si="29"/>
        <v>0</v>
      </c>
      <c r="AE467" s="6">
        <f ca="1">(L467-M467)*(Z467+AA467)+($Z$198+$AA$198-$Z$467-$AA$467)*(L467)</f>
        <v>8.2419485797237364</v>
      </c>
      <c r="AF467" s="4" t="s">
        <v>846</v>
      </c>
    </row>
    <row r="468" spans="1:32" ht="11.25" customHeight="1" x14ac:dyDescent="0.25">
      <c r="A468" s="4" t="s">
        <v>28</v>
      </c>
      <c r="B468" s="4" t="s">
        <v>43</v>
      </c>
      <c r="C468" s="4" t="s">
        <v>23</v>
      </c>
      <c r="D468" s="4" t="s">
        <v>44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44713</v>
      </c>
      <c r="J468" s="6">
        <v>0</v>
      </c>
      <c r="K468" s="6">
        <v>0</v>
      </c>
      <c r="L468" s="6">
        <v>229.316</v>
      </c>
      <c r="M468" s="6">
        <v>229.316</v>
      </c>
      <c r="N468" s="6">
        <v>229.316</v>
      </c>
      <c r="O468" s="6">
        <v>229.316</v>
      </c>
      <c r="P468" s="6">
        <v>640</v>
      </c>
      <c r="Q468" s="4" t="s">
        <v>26</v>
      </c>
      <c r="R468" s="4">
        <v>0</v>
      </c>
      <c r="S468" s="4">
        <v>0</v>
      </c>
      <c r="T468" s="4">
        <v>29</v>
      </c>
      <c r="U468" s="4">
        <v>66</v>
      </c>
      <c r="V468" s="6">
        <f>IF(ISERROR(VLOOKUP($S$468,'TAR FIN'!$A$1:$O$85,15,0)),0,VLOOKUP($S$468,'TAR FIN'!$A$1:$O$85,15,0))</f>
        <v>0</v>
      </c>
      <c r="W468" s="6">
        <f>IF(ISERROR(VLOOKUP($T$468,'TAR FIN'!$A$1:$O$85,15,0)),0,VLOOKUP($T$468,'TAR FIN'!$A$1:$O$85,15,0))</f>
        <v>285.89</v>
      </c>
      <c r="X468" s="6">
        <f>IF(ISERROR(VLOOKUP($U$468,'TAR FIN'!$A$1:$O$85,15,0)),0,VLOOKUP($U$468,'TAR FIN'!$A$1:$O$85,15,0))</f>
        <v>283.83999999999997</v>
      </c>
      <c r="Y468" s="6"/>
      <c r="Z468" s="6">
        <f ca="1">('TUSD BE'!$AM$33+'TUSD BF'!$AM$33+'TUSD CVA'!$AM$33)*(1-CUSTOS!$M$38)</f>
        <v>408.71492269690788</v>
      </c>
      <c r="AA468" s="6">
        <f>('TE BE'!$AB$23+'TE BF'!$AB$23+'TE CVA'!$AB$23)*(1-CUSTOS!$M$38)</f>
        <v>300.75684149176499</v>
      </c>
      <c r="AB468" s="6">
        <f t="shared" si="28"/>
        <v>0</v>
      </c>
      <c r="AC468" s="6">
        <f>(L468-M468)*(W468+X468)+($W$198+$X$198-$W$468-$X$468)*(L468)</f>
        <v>17815.560040000026</v>
      </c>
      <c r="AD468" s="6">
        <f t="shared" si="29"/>
        <v>0</v>
      </c>
      <c r="AE468" s="6">
        <f ca="1">(L468-M468)*(Z468+AA468)+($Z$198+$AA$198-$Z$468-$AA$468)*(L468)</f>
        <v>10384.67406872488</v>
      </c>
      <c r="AF468" s="4" t="s">
        <v>846</v>
      </c>
    </row>
    <row r="469" spans="1:32" ht="11.25" customHeight="1" x14ac:dyDescent="0.25">
      <c r="A469" s="4" t="s">
        <v>21</v>
      </c>
      <c r="B469" s="4" t="s">
        <v>43</v>
      </c>
      <c r="C469" s="4" t="s">
        <v>23</v>
      </c>
      <c r="D469" s="4" t="s">
        <v>44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44743</v>
      </c>
      <c r="J469" s="6">
        <v>0</v>
      </c>
      <c r="K469" s="6">
        <v>0</v>
      </c>
      <c r="L469" s="6">
        <v>9415.5849999999991</v>
      </c>
      <c r="M469" s="6">
        <v>9415.5849999999991</v>
      </c>
      <c r="N469" s="6">
        <v>9415.5849999999991</v>
      </c>
      <c r="O469" s="6">
        <v>9415.5849999999991</v>
      </c>
      <c r="P469" s="6">
        <v>25128</v>
      </c>
      <c r="Q469" s="4" t="s">
        <v>26</v>
      </c>
      <c r="R469" s="4">
        <v>0</v>
      </c>
      <c r="S469" s="4">
        <v>0</v>
      </c>
      <c r="T469" s="4">
        <v>29</v>
      </c>
      <c r="U469" s="4">
        <v>66</v>
      </c>
      <c r="V469" s="6">
        <f>IF(ISERROR(VLOOKUP($S$469,'TAR FIN'!$A$1:$O$85,15,0)),0,VLOOKUP($S$469,'TAR FIN'!$A$1:$O$85,15,0))</f>
        <v>0</v>
      </c>
      <c r="W469" s="6">
        <f>IF(ISERROR(VLOOKUP($T$469,'TAR FIN'!$A$1:$O$85,15,0)),0,VLOOKUP($T$469,'TAR FIN'!$A$1:$O$85,15,0))</f>
        <v>285.89</v>
      </c>
      <c r="X469" s="6">
        <f>IF(ISERROR(VLOOKUP($U$469,'TAR FIN'!$A$1:$O$85,15,0)),0,VLOOKUP($U$469,'TAR FIN'!$A$1:$O$85,15,0))</f>
        <v>283.83999999999997</v>
      </c>
      <c r="Y469" s="6"/>
      <c r="Z469" s="6">
        <f ca="1">('TUSD BE'!$AM$33+'TUSD BF'!$AM$33+'TUSD CVA'!$AM$33)*(1-CUSTOS!$M$38)</f>
        <v>408.71492269690788</v>
      </c>
      <c r="AA469" s="6">
        <f>('TE BE'!$AB$23+'TE BF'!$AB$23+'TE CVA'!$AB$23)*(1-CUSTOS!$M$38)</f>
        <v>300.75684149176499</v>
      </c>
      <c r="AB469" s="6">
        <f t="shared" si="28"/>
        <v>0</v>
      </c>
      <c r="AC469" s="6">
        <f>(L469-M469)*(W469+X469)+($W$198+$X$198-$W$469-$X$469)*(L469)</f>
        <v>731496.79865000094</v>
      </c>
      <c r="AD469" s="6">
        <f t="shared" si="29"/>
        <v>0</v>
      </c>
      <c r="AE469" s="6">
        <f ca="1">(L469-M469)*(Z469+AA469)+($Z$198+$AA$198-$Z$469-$AA$469)*(L469)</f>
        <v>426388.83196713246</v>
      </c>
      <c r="AF469" s="4" t="s">
        <v>846</v>
      </c>
    </row>
    <row r="470" spans="1:32" ht="11.25" customHeight="1" x14ac:dyDescent="0.25">
      <c r="A470" s="4" t="s">
        <v>27</v>
      </c>
      <c r="B470" s="4" t="s">
        <v>43</v>
      </c>
      <c r="C470" s="4" t="s">
        <v>23</v>
      </c>
      <c r="D470" s="4" t="s">
        <v>44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44743</v>
      </c>
      <c r="J470" s="6">
        <v>0</v>
      </c>
      <c r="K470" s="6">
        <v>0</v>
      </c>
      <c r="L470" s="6">
        <v>-7.2789999999999999</v>
      </c>
      <c r="M470" s="6">
        <v>-7.2789999999999999</v>
      </c>
      <c r="N470" s="6">
        <v>-7.2789999999999999</v>
      </c>
      <c r="O470" s="6">
        <v>-7.2789999999999999</v>
      </c>
      <c r="P470" s="6">
        <v>9</v>
      </c>
      <c r="Q470" s="4" t="s">
        <v>26</v>
      </c>
      <c r="R470" s="4">
        <v>0</v>
      </c>
      <c r="S470" s="4">
        <v>0</v>
      </c>
      <c r="T470" s="4">
        <v>29</v>
      </c>
      <c r="U470" s="4">
        <v>66</v>
      </c>
      <c r="V470" s="6">
        <f>IF(ISERROR(VLOOKUP($S$470,'TAR FIN'!$A$1:$O$85,15,0)),0,VLOOKUP($S$470,'TAR FIN'!$A$1:$O$85,15,0))</f>
        <v>0</v>
      </c>
      <c r="W470" s="6">
        <f>IF(ISERROR(VLOOKUP($T$470,'TAR FIN'!$A$1:$O$85,15,0)),0,VLOOKUP($T$470,'TAR FIN'!$A$1:$O$85,15,0))</f>
        <v>285.89</v>
      </c>
      <c r="X470" s="6">
        <f>IF(ISERROR(VLOOKUP($U$470,'TAR FIN'!$A$1:$O$85,15,0)),0,VLOOKUP($U$470,'TAR FIN'!$A$1:$O$85,15,0))</f>
        <v>283.83999999999997</v>
      </c>
      <c r="Y470" s="6"/>
      <c r="Z470" s="6">
        <f ca="1">('TUSD BE'!$AM$33+'TUSD BF'!$AM$33+'TUSD CVA'!$AM$33)*(1-CUSTOS!$M$38)</f>
        <v>408.71492269690788</v>
      </c>
      <c r="AA470" s="6">
        <f>('TE BE'!$AB$23+'TE BF'!$AB$23+'TE CVA'!$AB$23)*(1-CUSTOS!$M$38)</f>
        <v>300.75684149176499</v>
      </c>
      <c r="AB470" s="6">
        <f t="shared" si="28"/>
        <v>0</v>
      </c>
      <c r="AC470" s="6">
        <f>(L470-M470)*(W470+X470)+($W$198+$X$198-$W$470-$X$470)*(L470)</f>
        <v>-565.50551000000075</v>
      </c>
      <c r="AD470" s="6">
        <f t="shared" si="29"/>
        <v>0</v>
      </c>
      <c r="AE470" s="6">
        <f ca="1">(L470-M470)*(Z470+AA470)+($Z$198+$AA$198-$Z$470-$AA$470)*(L470)</f>
        <v>-329.6326577571927</v>
      </c>
      <c r="AF470" s="4" t="s">
        <v>846</v>
      </c>
    </row>
    <row r="471" spans="1:32" ht="11.25" customHeight="1" x14ac:dyDescent="0.25">
      <c r="A471" s="4" t="s">
        <v>28</v>
      </c>
      <c r="B471" s="4" t="s">
        <v>43</v>
      </c>
      <c r="C471" s="4" t="s">
        <v>23</v>
      </c>
      <c r="D471" s="4" t="s">
        <v>44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44743</v>
      </c>
      <c r="J471" s="6">
        <v>0</v>
      </c>
      <c r="K471" s="6">
        <v>0</v>
      </c>
      <c r="L471" s="6">
        <v>267.82900000000001</v>
      </c>
      <c r="M471" s="6">
        <v>267.82900000000001</v>
      </c>
      <c r="N471" s="6">
        <v>267.82900000000001</v>
      </c>
      <c r="O471" s="6">
        <v>267.82900000000001</v>
      </c>
      <c r="P471" s="6">
        <v>683</v>
      </c>
      <c r="Q471" s="4" t="s">
        <v>26</v>
      </c>
      <c r="R471" s="4">
        <v>0</v>
      </c>
      <c r="S471" s="4">
        <v>0</v>
      </c>
      <c r="T471" s="4">
        <v>29</v>
      </c>
      <c r="U471" s="4">
        <v>66</v>
      </c>
      <c r="V471" s="6">
        <f>IF(ISERROR(VLOOKUP($S$471,'TAR FIN'!$A$1:$O$85,15,0)),0,VLOOKUP($S$471,'TAR FIN'!$A$1:$O$85,15,0))</f>
        <v>0</v>
      </c>
      <c r="W471" s="6">
        <f>IF(ISERROR(VLOOKUP($T$471,'TAR FIN'!$A$1:$O$85,15,0)),0,VLOOKUP($T$471,'TAR FIN'!$A$1:$O$85,15,0))</f>
        <v>285.89</v>
      </c>
      <c r="X471" s="6">
        <f>IF(ISERROR(VLOOKUP($U$471,'TAR FIN'!$A$1:$O$85,15,0)),0,VLOOKUP($U$471,'TAR FIN'!$A$1:$O$85,15,0))</f>
        <v>283.83999999999997</v>
      </c>
      <c r="Y471" s="6"/>
      <c r="Z471" s="6">
        <f ca="1">('TUSD BE'!$AM$33+'TUSD BF'!$AM$33+'TUSD CVA'!$AM$33)*(1-CUSTOS!$M$38)</f>
        <v>408.71492269690788</v>
      </c>
      <c r="AA471" s="6">
        <f>('TE BE'!$AB$23+'TE BF'!$AB$23+'TE CVA'!$AB$23)*(1-CUSTOS!$M$38)</f>
        <v>300.75684149176499</v>
      </c>
      <c r="AB471" s="6">
        <f t="shared" si="28"/>
        <v>0</v>
      </c>
      <c r="AC471" s="6">
        <f>(L471-M471)*(W471+X471)+($W$198+$X$198-$W$471-$X$471)*(L471)</f>
        <v>20807.635010000031</v>
      </c>
      <c r="AD471" s="6">
        <f t="shared" si="29"/>
        <v>0</v>
      </c>
      <c r="AE471" s="6">
        <f ca="1">(L471-M471)*(Z471+AA471)+($Z$198+$AA$198-$Z$471-$AA$471)*(L471)</f>
        <v>12128.751901971586</v>
      </c>
      <c r="AF471" s="4" t="s">
        <v>846</v>
      </c>
    </row>
    <row r="472" spans="1:32" ht="11.25" customHeight="1" x14ac:dyDescent="0.25">
      <c r="A472" s="4" t="s">
        <v>56</v>
      </c>
      <c r="B472" s="4" t="s">
        <v>43</v>
      </c>
      <c r="C472" s="4" t="s">
        <v>23</v>
      </c>
      <c r="D472" s="4" t="s">
        <v>44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44774</v>
      </c>
      <c r="J472" s="6">
        <v>0</v>
      </c>
      <c r="K472" s="6">
        <v>0</v>
      </c>
      <c r="L472" s="6">
        <v>9415.5849999999991</v>
      </c>
      <c r="M472" s="6">
        <v>9415.5849999999991</v>
      </c>
      <c r="N472" s="6">
        <v>9415.5849999999991</v>
      </c>
      <c r="O472" s="6">
        <v>9415.5849999999991</v>
      </c>
      <c r="P472" s="6">
        <v>25128</v>
      </c>
      <c r="Q472" s="4" t="s">
        <v>26</v>
      </c>
      <c r="R472" s="4">
        <v>0</v>
      </c>
      <c r="S472" s="4">
        <v>0</v>
      </c>
      <c r="T472" s="4">
        <v>29</v>
      </c>
      <c r="U472" s="4">
        <v>66</v>
      </c>
      <c r="V472" s="6">
        <f>IF(ISERROR(VLOOKUP($S$472,'TAR FIN'!$A$1:$O$85,15,0)),0,VLOOKUP($S$472,'TAR FIN'!$A$1:$O$85,15,0))</f>
        <v>0</v>
      </c>
      <c r="W472" s="6">
        <f>IF(ISERROR(VLOOKUP($T$472,'TAR FIN'!$A$1:$O$85,15,0)),0,VLOOKUP($T$472,'TAR FIN'!$A$1:$O$85,15,0))</f>
        <v>285.89</v>
      </c>
      <c r="X472" s="6">
        <f>IF(ISERROR(VLOOKUP($U$472,'TAR FIN'!$A$1:$O$85,15,0)),0,VLOOKUP($U$472,'TAR FIN'!$A$1:$O$85,15,0))</f>
        <v>283.83999999999997</v>
      </c>
      <c r="Y472" s="6"/>
      <c r="Z472" s="6">
        <f ca="1">('TUSD BE'!$AM$33+'TUSD BF'!$AM$33+'TUSD CVA'!$AM$33)*(1-CUSTOS!$M$38)</f>
        <v>408.71492269690788</v>
      </c>
      <c r="AA472" s="6">
        <f>('TE BE'!$AB$23+'TE BF'!$AB$23+'TE CVA'!$AB$23)*(1-CUSTOS!$M$38)</f>
        <v>300.75684149176499</v>
      </c>
      <c r="AB472" s="6">
        <f t="shared" si="28"/>
        <v>0</v>
      </c>
      <c r="AC472" s="6">
        <f>(L472-M472)*(W472+X472)+($W$198+$X$198-$W$472-$X$472)*(L472)</f>
        <v>731496.79865000094</v>
      </c>
      <c r="AD472" s="6">
        <f t="shared" si="29"/>
        <v>0</v>
      </c>
      <c r="AE472" s="6">
        <f ca="1">(L472-M472)*(Z472+AA472)+($Z$198+$AA$198-$Z$472-$AA$472)*(L472)</f>
        <v>426388.83196713246</v>
      </c>
      <c r="AF472" s="4" t="s">
        <v>846</v>
      </c>
    </row>
    <row r="473" spans="1:32" ht="11.25" customHeight="1" x14ac:dyDescent="0.25">
      <c r="A473" s="4" t="s">
        <v>56</v>
      </c>
      <c r="B473" s="4" t="s">
        <v>43</v>
      </c>
      <c r="C473" s="4" t="s">
        <v>23</v>
      </c>
      <c r="D473" s="4" t="s">
        <v>44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44774</v>
      </c>
      <c r="J473" s="6">
        <v>0</v>
      </c>
      <c r="K473" s="6">
        <v>0</v>
      </c>
      <c r="L473" s="6">
        <v>-7.2789999999999999</v>
      </c>
      <c r="M473" s="6">
        <v>-7.2789999999999999</v>
      </c>
      <c r="N473" s="6">
        <v>-7.2789999999999999</v>
      </c>
      <c r="O473" s="6">
        <v>-7.2789999999999999</v>
      </c>
      <c r="P473" s="6">
        <v>9</v>
      </c>
      <c r="Q473" s="4" t="s">
        <v>26</v>
      </c>
      <c r="R473" s="4">
        <v>0</v>
      </c>
      <c r="S473" s="4">
        <v>0</v>
      </c>
      <c r="T473" s="4">
        <v>29</v>
      </c>
      <c r="U473" s="4">
        <v>66</v>
      </c>
      <c r="V473" s="6">
        <f>IF(ISERROR(VLOOKUP($S$473,'TAR FIN'!$A$1:$O$85,15,0)),0,VLOOKUP($S$473,'TAR FIN'!$A$1:$O$85,15,0))</f>
        <v>0</v>
      </c>
      <c r="W473" s="6">
        <f>IF(ISERROR(VLOOKUP($T$473,'TAR FIN'!$A$1:$O$85,15,0)),0,VLOOKUP($T$473,'TAR FIN'!$A$1:$O$85,15,0))</f>
        <v>285.89</v>
      </c>
      <c r="X473" s="6">
        <f>IF(ISERROR(VLOOKUP($U$473,'TAR FIN'!$A$1:$O$85,15,0)),0,VLOOKUP($U$473,'TAR FIN'!$A$1:$O$85,15,0))</f>
        <v>283.83999999999997</v>
      </c>
      <c r="Y473" s="6"/>
      <c r="Z473" s="6">
        <f ca="1">('TUSD BE'!$AM$33+'TUSD BF'!$AM$33+'TUSD CVA'!$AM$33)*(1-CUSTOS!$M$38)</f>
        <v>408.71492269690788</v>
      </c>
      <c r="AA473" s="6">
        <f>('TE BE'!$AB$23+'TE BF'!$AB$23+'TE CVA'!$AB$23)*(1-CUSTOS!$M$38)</f>
        <v>300.75684149176499</v>
      </c>
      <c r="AB473" s="6">
        <f t="shared" si="28"/>
        <v>0</v>
      </c>
      <c r="AC473" s="6">
        <f>(L473-M473)*(W473+X473)+($W$198+$X$198-$W$473-$X$473)*(L473)</f>
        <v>-565.50551000000075</v>
      </c>
      <c r="AD473" s="6">
        <f t="shared" si="29"/>
        <v>0</v>
      </c>
      <c r="AE473" s="6">
        <f ca="1">(L473-M473)*(Z473+AA473)+($Z$198+$AA$198-$Z$473-$AA$473)*(L473)</f>
        <v>-329.6326577571927</v>
      </c>
      <c r="AF473" s="4" t="s">
        <v>846</v>
      </c>
    </row>
    <row r="474" spans="1:32" ht="11.25" customHeight="1" x14ac:dyDescent="0.25">
      <c r="A474" s="4" t="s">
        <v>56</v>
      </c>
      <c r="B474" s="4" t="s">
        <v>43</v>
      </c>
      <c r="C474" s="4" t="s">
        <v>23</v>
      </c>
      <c r="D474" s="4" t="s">
        <v>44</v>
      </c>
      <c r="E474" s="4" t="s">
        <v>25</v>
      </c>
      <c r="F474" s="4" t="s">
        <v>25</v>
      </c>
      <c r="G474" s="4" t="s">
        <v>25</v>
      </c>
      <c r="H474" s="4" t="s">
        <v>25</v>
      </c>
      <c r="I474" s="5">
        <v>44774</v>
      </c>
      <c r="J474" s="6">
        <v>0</v>
      </c>
      <c r="K474" s="6">
        <v>0</v>
      </c>
      <c r="L474" s="6">
        <v>267.82900000000001</v>
      </c>
      <c r="M474" s="6">
        <v>267.82900000000001</v>
      </c>
      <c r="N474" s="6">
        <v>267.82900000000001</v>
      </c>
      <c r="O474" s="6">
        <v>267.82900000000001</v>
      </c>
      <c r="P474" s="6">
        <v>683</v>
      </c>
      <c r="Q474" s="4" t="s">
        <v>26</v>
      </c>
      <c r="R474" s="4">
        <v>0</v>
      </c>
      <c r="S474" s="4">
        <v>0</v>
      </c>
      <c r="T474" s="4">
        <v>29</v>
      </c>
      <c r="U474" s="4">
        <v>66</v>
      </c>
      <c r="V474" s="6">
        <f>IF(ISERROR(VLOOKUP($S$474,'TAR FIN'!$A$1:$O$85,15,0)),0,VLOOKUP($S$474,'TAR FIN'!$A$1:$O$85,15,0))</f>
        <v>0</v>
      </c>
      <c r="W474" s="6">
        <f>IF(ISERROR(VLOOKUP($T$474,'TAR FIN'!$A$1:$O$85,15,0)),0,VLOOKUP($T$474,'TAR FIN'!$A$1:$O$85,15,0))</f>
        <v>285.89</v>
      </c>
      <c r="X474" s="6">
        <f>IF(ISERROR(VLOOKUP($U$474,'TAR FIN'!$A$1:$O$85,15,0)),0,VLOOKUP($U$474,'TAR FIN'!$A$1:$O$85,15,0))</f>
        <v>283.83999999999997</v>
      </c>
      <c r="Y474" s="6"/>
      <c r="Z474" s="6">
        <f ca="1">('TUSD BE'!$AM$33+'TUSD BF'!$AM$33+'TUSD CVA'!$AM$33)*(1-CUSTOS!$M$38)</f>
        <v>408.71492269690788</v>
      </c>
      <c r="AA474" s="6">
        <f>('TE BE'!$AB$23+'TE BF'!$AB$23+'TE CVA'!$AB$23)*(1-CUSTOS!$M$38)</f>
        <v>300.75684149176499</v>
      </c>
      <c r="AB474" s="6">
        <f t="shared" si="28"/>
        <v>0</v>
      </c>
      <c r="AC474" s="6">
        <f>(L474-M474)*(W474+X474)+($W$198+$X$198-$W$474-$X$474)*(L474)</f>
        <v>20807.635010000031</v>
      </c>
      <c r="AD474" s="6">
        <f t="shared" si="29"/>
        <v>0</v>
      </c>
      <c r="AE474" s="6">
        <f ca="1">(L474-M474)*(Z474+AA474)+($Z$198+$AA$198-$Z$474-$AA$474)*(L474)</f>
        <v>12128.751901971586</v>
      </c>
      <c r="AF474" s="4" t="s">
        <v>846</v>
      </c>
    </row>
    <row r="475" spans="1:32" ht="11.25" customHeight="1" x14ac:dyDescent="0.25">
      <c r="A475" s="4" t="s">
        <v>21</v>
      </c>
      <c r="B475" s="4" t="s">
        <v>43</v>
      </c>
      <c r="C475" s="4" t="s">
        <v>23</v>
      </c>
      <c r="D475" s="4" t="s">
        <v>44</v>
      </c>
      <c r="E475" s="4" t="s">
        <v>55</v>
      </c>
      <c r="F475" s="4" t="s">
        <v>53</v>
      </c>
      <c r="G475" s="4" t="s">
        <v>25</v>
      </c>
      <c r="H475" s="4" t="s">
        <v>25</v>
      </c>
      <c r="I475" s="5">
        <v>44440</v>
      </c>
      <c r="J475" s="6">
        <v>0</v>
      </c>
      <c r="K475" s="6">
        <v>0</v>
      </c>
      <c r="L475" s="6">
        <v>1.968</v>
      </c>
      <c r="M475" s="6">
        <v>1.968</v>
      </c>
      <c r="N475" s="6">
        <v>1.968</v>
      </c>
      <c r="O475" s="6">
        <v>1.968</v>
      </c>
      <c r="P475" s="6">
        <v>0</v>
      </c>
      <c r="Q475" s="4" t="s">
        <v>26</v>
      </c>
      <c r="R475" s="4">
        <v>0</v>
      </c>
      <c r="S475" s="4">
        <v>0</v>
      </c>
      <c r="T475" s="4">
        <v>37</v>
      </c>
      <c r="U475" s="4">
        <v>74</v>
      </c>
      <c r="V475" s="6">
        <f>IF(ISERROR(VLOOKUP($S$475,'TAR FIN'!$A$1:$O$85,15,0)),0,VLOOKUP($S$475,'TAR FIN'!$A$1:$O$85,15,0))</f>
        <v>0</v>
      </c>
      <c r="W475" s="6">
        <f>IF(ISERROR(VLOOKUP($T$475,'TAR FIN'!$A$1:$O$85,15,0)),0,VLOOKUP($T$475,'TAR FIN'!$A$1:$O$85,15,0))</f>
        <v>272.89999999999998</v>
      </c>
      <c r="X475" s="6">
        <f>IF(ISERROR(VLOOKUP($U$475,'TAR FIN'!$A$1:$O$85,15,0)),0,VLOOKUP($U$475,'TAR FIN'!$A$1:$O$85,15,0))</f>
        <v>270.94</v>
      </c>
      <c r="Y475" s="6"/>
      <c r="Z475" s="6">
        <f ca="1">('TUSD BE'!$AM$41+'TUSD BF'!$AM$41+'TUSD CVA'!$AM$41)*(1-CUSTOS!$M$40)</f>
        <v>400.01886051186733</v>
      </c>
      <c r="AA475" s="6">
        <f>('TE BE'!$AB$31+'TE BF'!$AB$31+'TE CVA'!$AB$31)*(1-CUSTOS!$M$40)</f>
        <v>294.35775975789767</v>
      </c>
      <c r="AB475" s="6">
        <f t="shared" si="28"/>
        <v>0</v>
      </c>
      <c r="AC475" s="6">
        <f>(L475-M475)*(W475+X475)+($W$198+$X$198-$W$475-$X$475)*(L475)</f>
        <v>203.8454400000002</v>
      </c>
      <c r="AD475" s="6">
        <f t="shared" si="29"/>
        <v>0</v>
      </c>
      <c r="AE475" s="6">
        <f ca="1">(L475-M475)*(Z475+AA475)+($Z$198+$AA$198-$Z$475-$AA$475)*(L475)</f>
        <v>118.82897292964316</v>
      </c>
      <c r="AF475" s="4" t="s">
        <v>846</v>
      </c>
    </row>
    <row r="476" spans="1:32" ht="11.25" customHeight="1" x14ac:dyDescent="0.25">
      <c r="A476" s="4" t="s">
        <v>21</v>
      </c>
      <c r="B476" s="4" t="s">
        <v>43</v>
      </c>
      <c r="C476" s="4" t="s">
        <v>23</v>
      </c>
      <c r="D476" s="4" t="s">
        <v>44</v>
      </c>
      <c r="E476" s="4" t="s">
        <v>55</v>
      </c>
      <c r="F476" s="4" t="s">
        <v>53</v>
      </c>
      <c r="G476" s="4" t="s">
        <v>25</v>
      </c>
      <c r="H476" s="4" t="s">
        <v>25</v>
      </c>
      <c r="I476" s="5">
        <v>44470</v>
      </c>
      <c r="J476" s="6">
        <v>0</v>
      </c>
      <c r="K476" s="6">
        <v>0</v>
      </c>
      <c r="L476" s="6">
        <v>2.2549999999999999</v>
      </c>
      <c r="M476" s="6">
        <v>2.2549999999999999</v>
      </c>
      <c r="N476" s="6">
        <v>2.2549999999999999</v>
      </c>
      <c r="O476" s="6">
        <v>2.2549999999999999</v>
      </c>
      <c r="P476" s="6">
        <v>0</v>
      </c>
      <c r="Q476" s="4" t="s">
        <v>26</v>
      </c>
      <c r="R476" s="4">
        <v>0</v>
      </c>
      <c r="S476" s="4">
        <v>0</v>
      </c>
      <c r="T476" s="4">
        <v>37</v>
      </c>
      <c r="U476" s="4">
        <v>74</v>
      </c>
      <c r="V476" s="6">
        <f>IF(ISERROR(VLOOKUP($S$476,'TAR FIN'!$A$1:$O$85,15,0)),0,VLOOKUP($S$476,'TAR FIN'!$A$1:$O$85,15,0))</f>
        <v>0</v>
      </c>
      <c r="W476" s="6">
        <f>IF(ISERROR(VLOOKUP($T$476,'TAR FIN'!$A$1:$O$85,15,0)),0,VLOOKUP($T$476,'TAR FIN'!$A$1:$O$85,15,0))</f>
        <v>272.89999999999998</v>
      </c>
      <c r="X476" s="6">
        <f>IF(ISERROR(VLOOKUP($U$476,'TAR FIN'!$A$1:$O$85,15,0)),0,VLOOKUP($U$476,'TAR FIN'!$A$1:$O$85,15,0))</f>
        <v>270.94</v>
      </c>
      <c r="Y476" s="6"/>
      <c r="Z476" s="6">
        <f ca="1">('TUSD BE'!$AM$41+'TUSD BF'!$AM$41+'TUSD CVA'!$AM$41)*(1-CUSTOS!$M$40)</f>
        <v>400.01886051186733</v>
      </c>
      <c r="AA476" s="6">
        <f>('TE BE'!$AB$31+'TE BF'!$AB$31+'TE CVA'!$AB$31)*(1-CUSTOS!$M$40)</f>
        <v>294.35775975789767</v>
      </c>
      <c r="AB476" s="6">
        <f t="shared" si="28"/>
        <v>0</v>
      </c>
      <c r="AC476" s="6">
        <f>(L476-M476)*(W476+X476)+($W$198+$X$198-$W$476-$X$476)*(L476)</f>
        <v>233.5729000000002</v>
      </c>
      <c r="AD476" s="6">
        <f t="shared" si="29"/>
        <v>0</v>
      </c>
      <c r="AE476" s="6">
        <f ca="1">(L476-M476)*(Z476+AA476)+($Z$198+$AA$198-$Z$476-$AA$476)*(L476)</f>
        <v>136.15819814854945</v>
      </c>
      <c r="AF476" s="4" t="s">
        <v>846</v>
      </c>
    </row>
    <row r="477" spans="1:32" ht="11.25" customHeight="1" x14ac:dyDescent="0.25">
      <c r="A477" s="4" t="s">
        <v>21</v>
      </c>
      <c r="B477" s="4" t="s">
        <v>43</v>
      </c>
      <c r="C477" s="4" t="s">
        <v>23</v>
      </c>
      <c r="D477" s="4" t="s">
        <v>44</v>
      </c>
      <c r="E477" s="4" t="s">
        <v>55</v>
      </c>
      <c r="F477" s="4" t="s">
        <v>53</v>
      </c>
      <c r="G477" s="4" t="s">
        <v>25</v>
      </c>
      <c r="H477" s="4" t="s">
        <v>25</v>
      </c>
      <c r="I477" s="5">
        <v>44501</v>
      </c>
      <c r="J477" s="6">
        <v>0</v>
      </c>
      <c r="K477" s="6">
        <v>0</v>
      </c>
      <c r="L477" s="6">
        <v>0.1</v>
      </c>
      <c r="M477" s="6">
        <v>0.1</v>
      </c>
      <c r="N477" s="6">
        <v>0.1</v>
      </c>
      <c r="O477" s="6">
        <v>0.1</v>
      </c>
      <c r="P477" s="6">
        <v>0</v>
      </c>
      <c r="Q477" s="4" t="s">
        <v>26</v>
      </c>
      <c r="R477" s="4">
        <v>0</v>
      </c>
      <c r="S477" s="4">
        <v>0</v>
      </c>
      <c r="T477" s="4">
        <v>37</v>
      </c>
      <c r="U477" s="4">
        <v>74</v>
      </c>
      <c r="V477" s="6">
        <f>IF(ISERROR(VLOOKUP($S$477,'TAR FIN'!$A$1:$O$85,15,0)),0,VLOOKUP($S$477,'TAR FIN'!$A$1:$O$85,15,0))</f>
        <v>0</v>
      </c>
      <c r="W477" s="6">
        <f>IF(ISERROR(VLOOKUP($T$477,'TAR FIN'!$A$1:$O$85,15,0)),0,VLOOKUP($T$477,'TAR FIN'!$A$1:$O$85,15,0))</f>
        <v>272.89999999999998</v>
      </c>
      <c r="X477" s="6">
        <f>IF(ISERROR(VLOOKUP($U$477,'TAR FIN'!$A$1:$O$85,15,0)),0,VLOOKUP($U$477,'TAR FIN'!$A$1:$O$85,15,0))</f>
        <v>270.94</v>
      </c>
      <c r="Y477" s="6"/>
      <c r="Z477" s="6">
        <f ca="1">('TUSD BE'!$AM$41+'TUSD BF'!$AM$41+'TUSD CVA'!$AM$41)*(1-CUSTOS!$M$40)</f>
        <v>400.01886051186733</v>
      </c>
      <c r="AA477" s="6">
        <f>('TE BE'!$AB$31+'TE BF'!$AB$31+'TE CVA'!$AB$31)*(1-CUSTOS!$M$40)</f>
        <v>294.35775975789767</v>
      </c>
      <c r="AB477" s="6">
        <f t="shared" si="28"/>
        <v>0</v>
      </c>
      <c r="AC477" s="6">
        <f>(L477-M477)*(W477+X477)+($W$198+$X$198-$W$477-$X$477)*(L477)</f>
        <v>10.358000000000011</v>
      </c>
      <c r="AD477" s="6">
        <f t="shared" si="29"/>
        <v>0</v>
      </c>
      <c r="AE477" s="6">
        <f ca="1">(L477-M477)*(Z477+AA477)+($Z$198+$AA$198-$Z$477-$AA$477)*(L477)</f>
        <v>6.0380575675631691</v>
      </c>
      <c r="AF477" s="4" t="s">
        <v>846</v>
      </c>
    </row>
    <row r="478" spans="1:32" ht="11.25" customHeight="1" x14ac:dyDescent="0.25">
      <c r="A478" s="4" t="s">
        <v>21</v>
      </c>
      <c r="B478" s="4" t="s">
        <v>43</v>
      </c>
      <c r="C478" s="4" t="s">
        <v>23</v>
      </c>
      <c r="D478" s="4" t="s">
        <v>44</v>
      </c>
      <c r="E478" s="4" t="s">
        <v>55</v>
      </c>
      <c r="F478" s="4" t="s">
        <v>53</v>
      </c>
      <c r="G478" s="4" t="s">
        <v>25</v>
      </c>
      <c r="H478" s="4" t="s">
        <v>25</v>
      </c>
      <c r="I478" s="5">
        <v>44531</v>
      </c>
      <c r="J478" s="6">
        <v>0</v>
      </c>
      <c r="K478" s="6">
        <v>0</v>
      </c>
      <c r="L478" s="6">
        <v>4.1000000000000002E-2</v>
      </c>
      <c r="M478" s="6">
        <v>4.1000000000000002E-2</v>
      </c>
      <c r="N478" s="6">
        <v>4.1000000000000002E-2</v>
      </c>
      <c r="O478" s="6">
        <v>4.1000000000000002E-2</v>
      </c>
      <c r="P478" s="6">
        <v>0</v>
      </c>
      <c r="Q478" s="4" t="s">
        <v>26</v>
      </c>
      <c r="R478" s="4">
        <v>0</v>
      </c>
      <c r="S478" s="4">
        <v>0</v>
      </c>
      <c r="T478" s="4">
        <v>37</v>
      </c>
      <c r="U478" s="4">
        <v>74</v>
      </c>
      <c r="V478" s="6">
        <f>IF(ISERROR(VLOOKUP($S$478,'TAR FIN'!$A$1:$O$85,15,0)),0,VLOOKUP($S$478,'TAR FIN'!$A$1:$O$85,15,0))</f>
        <v>0</v>
      </c>
      <c r="W478" s="6">
        <f>IF(ISERROR(VLOOKUP($T$478,'TAR FIN'!$A$1:$O$85,15,0)),0,VLOOKUP($T$478,'TAR FIN'!$A$1:$O$85,15,0))</f>
        <v>272.89999999999998</v>
      </c>
      <c r="X478" s="6">
        <f>IF(ISERROR(VLOOKUP($U$478,'TAR FIN'!$A$1:$O$85,15,0)),0,VLOOKUP($U$478,'TAR FIN'!$A$1:$O$85,15,0))</f>
        <v>270.94</v>
      </c>
      <c r="Y478" s="6"/>
      <c r="Z478" s="6">
        <f ca="1">('TUSD BE'!$AM$41+'TUSD BF'!$AM$41+'TUSD CVA'!$AM$41)*(1-CUSTOS!$M$40)</f>
        <v>400.01886051186733</v>
      </c>
      <c r="AA478" s="6">
        <f>('TE BE'!$AB$31+'TE BF'!$AB$31+'TE CVA'!$AB$31)*(1-CUSTOS!$M$40)</f>
        <v>294.35775975789767</v>
      </c>
      <c r="AB478" s="6">
        <f t="shared" si="28"/>
        <v>0</v>
      </c>
      <c r="AC478" s="6">
        <f>(L478-M478)*(W478+X478)+($W$198+$X$198-$W$478-$X$478)*(L478)</f>
        <v>4.2467800000000038</v>
      </c>
      <c r="AD478" s="6">
        <f t="shared" si="29"/>
        <v>0</v>
      </c>
      <c r="AE478" s="6">
        <f ca="1">(L478-M478)*(Z478+AA478)+($Z$198+$AA$198-$Z$478-$AA$478)*(L478)</f>
        <v>2.4756036027008994</v>
      </c>
      <c r="AF478" s="4" t="s">
        <v>846</v>
      </c>
    </row>
    <row r="479" spans="1:32" ht="11.25" customHeight="1" x14ac:dyDescent="0.25">
      <c r="A479" s="4" t="s">
        <v>21</v>
      </c>
      <c r="B479" s="4" t="s">
        <v>43</v>
      </c>
      <c r="C479" s="4" t="s">
        <v>23</v>
      </c>
      <c r="D479" s="4" t="s">
        <v>44</v>
      </c>
      <c r="E479" s="4" t="s">
        <v>55</v>
      </c>
      <c r="F479" s="4" t="s">
        <v>53</v>
      </c>
      <c r="G479" s="4" t="s">
        <v>25</v>
      </c>
      <c r="H479" s="4" t="s">
        <v>25</v>
      </c>
      <c r="I479" s="5">
        <v>44562</v>
      </c>
      <c r="J479" s="6">
        <v>0</v>
      </c>
      <c r="K479" s="6">
        <v>0</v>
      </c>
      <c r="L479" s="6">
        <v>0.67</v>
      </c>
      <c r="M479" s="6">
        <v>0.67</v>
      </c>
      <c r="N479" s="6">
        <v>0.67</v>
      </c>
      <c r="O479" s="6">
        <v>0.67</v>
      </c>
      <c r="P479" s="6">
        <v>0</v>
      </c>
      <c r="Q479" s="4" t="s">
        <v>26</v>
      </c>
      <c r="R479" s="4">
        <v>0</v>
      </c>
      <c r="S479" s="4">
        <v>0</v>
      </c>
      <c r="T479" s="4">
        <v>37</v>
      </c>
      <c r="U479" s="4">
        <v>74</v>
      </c>
      <c r="V479" s="6">
        <f>IF(ISERROR(VLOOKUP($S$479,'TAR FIN'!$A$1:$O$85,15,0)),0,VLOOKUP($S$479,'TAR FIN'!$A$1:$O$85,15,0))</f>
        <v>0</v>
      </c>
      <c r="W479" s="6">
        <f>IF(ISERROR(VLOOKUP($T$479,'TAR FIN'!$A$1:$O$85,15,0)),0,VLOOKUP($T$479,'TAR FIN'!$A$1:$O$85,15,0))</f>
        <v>272.89999999999998</v>
      </c>
      <c r="X479" s="6">
        <f>IF(ISERROR(VLOOKUP($U$479,'TAR FIN'!$A$1:$O$85,15,0)),0,VLOOKUP($U$479,'TAR FIN'!$A$1:$O$85,15,0))</f>
        <v>270.94</v>
      </c>
      <c r="Y479" s="6"/>
      <c r="Z479" s="6">
        <f ca="1">('TUSD BE'!$AM$41+'TUSD BF'!$AM$41+'TUSD CVA'!$AM$41)*(1-CUSTOS!$M$40)</f>
        <v>400.01886051186733</v>
      </c>
      <c r="AA479" s="6">
        <f>('TE BE'!$AB$31+'TE BF'!$AB$31+'TE CVA'!$AB$31)*(1-CUSTOS!$M$40)</f>
        <v>294.35775975789767</v>
      </c>
      <c r="AB479" s="6">
        <f t="shared" si="28"/>
        <v>0</v>
      </c>
      <c r="AC479" s="6">
        <f>(L479-M479)*(W479+X479)+($W$198+$X$198-$W$479-$X$479)*(L479)</f>
        <v>69.398600000000073</v>
      </c>
      <c r="AD479" s="6">
        <f t="shared" si="29"/>
        <v>0</v>
      </c>
      <c r="AE479" s="6">
        <f ca="1">(L479-M479)*(Z479+AA479)+($Z$198+$AA$198-$Z$479-$AA$479)*(L479)</f>
        <v>40.454985702673234</v>
      </c>
      <c r="AF479" s="4" t="s">
        <v>846</v>
      </c>
    </row>
    <row r="480" spans="1:32" ht="11.25" customHeight="1" x14ac:dyDescent="0.25">
      <c r="A480" s="4" t="s">
        <v>21</v>
      </c>
      <c r="B480" s="4" t="s">
        <v>43</v>
      </c>
      <c r="C480" s="4" t="s">
        <v>23</v>
      </c>
      <c r="D480" s="4" t="s">
        <v>44</v>
      </c>
      <c r="E480" s="4" t="s">
        <v>55</v>
      </c>
      <c r="F480" s="4" t="s">
        <v>53</v>
      </c>
      <c r="G480" s="4" t="s">
        <v>25</v>
      </c>
      <c r="H480" s="4" t="s">
        <v>25</v>
      </c>
      <c r="I480" s="5">
        <v>44593</v>
      </c>
      <c r="J480" s="6">
        <v>0</v>
      </c>
      <c r="K480" s="6">
        <v>0</v>
      </c>
      <c r="L480" s="6">
        <v>0.71699999999999997</v>
      </c>
      <c r="M480" s="6">
        <v>0.71699999999999997</v>
      </c>
      <c r="N480" s="6">
        <v>0.71699999999999997</v>
      </c>
      <c r="O480" s="6">
        <v>0.71699999999999997</v>
      </c>
      <c r="P480" s="6">
        <v>0</v>
      </c>
      <c r="Q480" s="4" t="s">
        <v>26</v>
      </c>
      <c r="R480" s="4">
        <v>0</v>
      </c>
      <c r="S480" s="4">
        <v>0</v>
      </c>
      <c r="T480" s="4">
        <v>37</v>
      </c>
      <c r="U480" s="4">
        <v>74</v>
      </c>
      <c r="V480" s="6">
        <f>IF(ISERROR(VLOOKUP($S$480,'TAR FIN'!$A$1:$O$85,15,0)),0,VLOOKUP($S$480,'TAR FIN'!$A$1:$O$85,15,0))</f>
        <v>0</v>
      </c>
      <c r="W480" s="6">
        <f>IF(ISERROR(VLOOKUP($T$480,'TAR FIN'!$A$1:$O$85,15,0)),0,VLOOKUP($T$480,'TAR FIN'!$A$1:$O$85,15,0))</f>
        <v>272.89999999999998</v>
      </c>
      <c r="X480" s="6">
        <f>IF(ISERROR(VLOOKUP($U$480,'TAR FIN'!$A$1:$O$85,15,0)),0,VLOOKUP($U$480,'TAR FIN'!$A$1:$O$85,15,0))</f>
        <v>270.94</v>
      </c>
      <c r="Y480" s="6"/>
      <c r="Z480" s="6">
        <f ca="1">('TUSD BE'!$AM$41+'TUSD BF'!$AM$41+'TUSD CVA'!$AM$41)*(1-CUSTOS!$M$40)</f>
        <v>400.01886051186733</v>
      </c>
      <c r="AA480" s="6">
        <f>('TE BE'!$AB$31+'TE BF'!$AB$31+'TE CVA'!$AB$31)*(1-CUSTOS!$M$40)</f>
        <v>294.35775975789767</v>
      </c>
      <c r="AB480" s="6">
        <f t="shared" si="28"/>
        <v>0</v>
      </c>
      <c r="AC480" s="6">
        <f>(L480-M480)*(W480+X480)+($W$198+$X$198-$W$480-$X$480)*(L480)</f>
        <v>74.266860000000065</v>
      </c>
      <c r="AD480" s="6">
        <f t="shared" si="29"/>
        <v>0</v>
      </c>
      <c r="AE480" s="6">
        <f ca="1">(L480-M480)*(Z480+AA480)+($Z$198+$AA$198-$Z$480-$AA$480)*(L480)</f>
        <v>43.292872759427922</v>
      </c>
      <c r="AF480" s="4" t="s">
        <v>846</v>
      </c>
    </row>
    <row r="481" spans="1:32" ht="11.25" customHeight="1" x14ac:dyDescent="0.25">
      <c r="A481" s="4" t="s">
        <v>21</v>
      </c>
      <c r="B481" s="4" t="s">
        <v>43</v>
      </c>
      <c r="C481" s="4" t="s">
        <v>23</v>
      </c>
      <c r="D481" s="4" t="s">
        <v>44</v>
      </c>
      <c r="E481" s="4" t="s">
        <v>55</v>
      </c>
      <c r="F481" s="4" t="s">
        <v>53</v>
      </c>
      <c r="G481" s="4" t="s">
        <v>25</v>
      </c>
      <c r="H481" s="4" t="s">
        <v>25</v>
      </c>
      <c r="I481" s="5">
        <v>44621</v>
      </c>
      <c r="J481" s="6">
        <v>0</v>
      </c>
      <c r="K481" s="6">
        <v>0</v>
      </c>
      <c r="L481" s="6">
        <v>2.8000000000000001E-2</v>
      </c>
      <c r="M481" s="6">
        <v>2.8000000000000001E-2</v>
      </c>
      <c r="N481" s="6">
        <v>2.8000000000000001E-2</v>
      </c>
      <c r="O481" s="6">
        <v>2.8000000000000001E-2</v>
      </c>
      <c r="P481" s="6">
        <v>0</v>
      </c>
      <c r="Q481" s="4" t="s">
        <v>26</v>
      </c>
      <c r="R481" s="4">
        <v>0</v>
      </c>
      <c r="S481" s="4">
        <v>0</v>
      </c>
      <c r="T481" s="4">
        <v>37</v>
      </c>
      <c r="U481" s="4">
        <v>74</v>
      </c>
      <c r="V481" s="6">
        <f>IF(ISERROR(VLOOKUP($S$481,'TAR FIN'!$A$1:$O$85,15,0)),0,VLOOKUP($S$481,'TAR FIN'!$A$1:$O$85,15,0))</f>
        <v>0</v>
      </c>
      <c r="W481" s="6">
        <f>IF(ISERROR(VLOOKUP($T$481,'TAR FIN'!$A$1:$O$85,15,0)),0,VLOOKUP($T$481,'TAR FIN'!$A$1:$O$85,15,0))</f>
        <v>272.89999999999998</v>
      </c>
      <c r="X481" s="6">
        <f>IF(ISERROR(VLOOKUP($U$481,'TAR FIN'!$A$1:$O$85,15,0)),0,VLOOKUP($U$481,'TAR FIN'!$A$1:$O$85,15,0))</f>
        <v>270.94</v>
      </c>
      <c r="Y481" s="6"/>
      <c r="Z481" s="6">
        <f ca="1">('TUSD BE'!$AM$41+'TUSD BF'!$AM$41+'TUSD CVA'!$AM$41)*(1-CUSTOS!$M$40)</f>
        <v>400.01886051186733</v>
      </c>
      <c r="AA481" s="6">
        <f>('TE BE'!$AB$31+'TE BF'!$AB$31+'TE CVA'!$AB$31)*(1-CUSTOS!$M$40)</f>
        <v>294.35775975789767</v>
      </c>
      <c r="AB481" s="6">
        <f t="shared" si="28"/>
        <v>0</v>
      </c>
      <c r="AC481" s="6">
        <f>(L481-M481)*(W481+X481)+($W$198+$X$198-$W$481-$X$481)*(L481)</f>
        <v>2.9002400000000028</v>
      </c>
      <c r="AD481" s="6">
        <f t="shared" si="29"/>
        <v>0</v>
      </c>
      <c r="AE481" s="6">
        <f ca="1">(L481-M481)*(Z481+AA481)+($Z$198+$AA$198-$Z$481-$AA$481)*(L481)</f>
        <v>1.6906561189176874</v>
      </c>
      <c r="AF481" s="4" t="s">
        <v>846</v>
      </c>
    </row>
    <row r="482" spans="1:32" ht="11.25" customHeight="1" x14ac:dyDescent="0.25">
      <c r="A482" s="4" t="s">
        <v>21</v>
      </c>
      <c r="B482" s="4" t="s">
        <v>43</v>
      </c>
      <c r="C482" s="4" t="s">
        <v>23</v>
      </c>
      <c r="D482" s="4" t="s">
        <v>44</v>
      </c>
      <c r="E482" s="4" t="s">
        <v>55</v>
      </c>
      <c r="F482" s="4" t="s">
        <v>53</v>
      </c>
      <c r="G482" s="4" t="s">
        <v>25</v>
      </c>
      <c r="H482" s="4" t="s">
        <v>25</v>
      </c>
      <c r="I482" s="5">
        <v>44652</v>
      </c>
      <c r="J482" s="6">
        <v>0</v>
      </c>
      <c r="K482" s="6">
        <v>0</v>
      </c>
      <c r="L482" s="6">
        <v>1.4350000000000001</v>
      </c>
      <c r="M482" s="6">
        <v>1.4350000000000001</v>
      </c>
      <c r="N482" s="6">
        <v>1.4350000000000001</v>
      </c>
      <c r="O482" s="6">
        <v>1.4350000000000001</v>
      </c>
      <c r="P482" s="6">
        <v>0</v>
      </c>
      <c r="Q482" s="4" t="s">
        <v>26</v>
      </c>
      <c r="R482" s="4">
        <v>0</v>
      </c>
      <c r="S482" s="4">
        <v>0</v>
      </c>
      <c r="T482" s="4">
        <v>37</v>
      </c>
      <c r="U482" s="4">
        <v>74</v>
      </c>
      <c r="V482" s="6">
        <f>IF(ISERROR(VLOOKUP($S$482,'TAR FIN'!$A$1:$O$85,15,0)),0,VLOOKUP($S$482,'TAR FIN'!$A$1:$O$85,15,0))</f>
        <v>0</v>
      </c>
      <c r="W482" s="6">
        <f>IF(ISERROR(VLOOKUP($T$482,'TAR FIN'!$A$1:$O$85,15,0)),0,VLOOKUP($T$482,'TAR FIN'!$A$1:$O$85,15,0))</f>
        <v>272.89999999999998</v>
      </c>
      <c r="X482" s="6">
        <f>IF(ISERROR(VLOOKUP($U$482,'TAR FIN'!$A$1:$O$85,15,0)),0,VLOOKUP($U$482,'TAR FIN'!$A$1:$O$85,15,0))</f>
        <v>270.94</v>
      </c>
      <c r="Y482" s="6"/>
      <c r="Z482" s="6">
        <f ca="1">('TUSD BE'!$AM$41+'TUSD BF'!$AM$41+'TUSD CVA'!$AM$41)*(1-CUSTOS!$M$40)</f>
        <v>400.01886051186733</v>
      </c>
      <c r="AA482" s="6">
        <f>('TE BE'!$AB$31+'TE BF'!$AB$31+'TE CVA'!$AB$31)*(1-CUSTOS!$M$40)</f>
        <v>294.35775975789767</v>
      </c>
      <c r="AB482" s="6">
        <f t="shared" si="28"/>
        <v>0</v>
      </c>
      <c r="AC482" s="6">
        <f>(L482-M482)*(W482+X482)+($W$198+$X$198-$W$482-$X$482)*(L482)</f>
        <v>148.63730000000015</v>
      </c>
      <c r="AD482" s="6">
        <f t="shared" si="29"/>
        <v>0</v>
      </c>
      <c r="AE482" s="6">
        <f ca="1">(L482-M482)*(Z482+AA482)+($Z$198+$AA$198-$Z$482-$AA$482)*(L482)</f>
        <v>86.646126094531482</v>
      </c>
      <c r="AF482" s="4" t="s">
        <v>846</v>
      </c>
    </row>
    <row r="483" spans="1:32" ht="11.25" customHeight="1" x14ac:dyDescent="0.25">
      <c r="A483" s="4" t="s">
        <v>21</v>
      </c>
      <c r="B483" s="4" t="s">
        <v>43</v>
      </c>
      <c r="C483" s="4" t="s">
        <v>23</v>
      </c>
      <c r="D483" s="4" t="s">
        <v>44</v>
      </c>
      <c r="E483" s="4" t="s">
        <v>55</v>
      </c>
      <c r="F483" s="4" t="s">
        <v>53</v>
      </c>
      <c r="G483" s="4" t="s">
        <v>25</v>
      </c>
      <c r="H483" s="4" t="s">
        <v>25</v>
      </c>
      <c r="I483" s="5">
        <v>44682</v>
      </c>
      <c r="J483" s="6">
        <v>0</v>
      </c>
      <c r="K483" s="6">
        <v>0</v>
      </c>
      <c r="L483" s="6">
        <v>1.353</v>
      </c>
      <c r="M483" s="6">
        <v>1.353</v>
      </c>
      <c r="N483" s="6">
        <v>1.353</v>
      </c>
      <c r="O483" s="6">
        <v>1.353</v>
      </c>
      <c r="P483" s="6">
        <v>0</v>
      </c>
      <c r="Q483" s="4" t="s">
        <v>26</v>
      </c>
      <c r="R483" s="4">
        <v>0</v>
      </c>
      <c r="S483" s="4">
        <v>0</v>
      </c>
      <c r="T483" s="4">
        <v>37</v>
      </c>
      <c r="U483" s="4">
        <v>74</v>
      </c>
      <c r="V483" s="6">
        <f>IF(ISERROR(VLOOKUP($S$483,'TAR FIN'!$A$1:$O$85,15,0)),0,VLOOKUP($S$483,'TAR FIN'!$A$1:$O$85,15,0))</f>
        <v>0</v>
      </c>
      <c r="W483" s="6">
        <f>IF(ISERROR(VLOOKUP($T$483,'TAR FIN'!$A$1:$O$85,15,0)),0,VLOOKUP($T$483,'TAR FIN'!$A$1:$O$85,15,0))</f>
        <v>272.89999999999998</v>
      </c>
      <c r="X483" s="6">
        <f>IF(ISERROR(VLOOKUP($U$483,'TAR FIN'!$A$1:$O$85,15,0)),0,VLOOKUP($U$483,'TAR FIN'!$A$1:$O$85,15,0))</f>
        <v>270.94</v>
      </c>
      <c r="Y483" s="6"/>
      <c r="Z483" s="6">
        <f ca="1">('TUSD BE'!$AM$41+'TUSD BF'!$AM$41+'TUSD CVA'!$AM$41)*(1-CUSTOS!$M$40)</f>
        <v>400.01886051186733</v>
      </c>
      <c r="AA483" s="6">
        <f>('TE BE'!$AB$31+'TE BF'!$AB$31+'TE CVA'!$AB$31)*(1-CUSTOS!$M$40)</f>
        <v>294.35775975789767</v>
      </c>
      <c r="AB483" s="6">
        <f t="shared" si="28"/>
        <v>0</v>
      </c>
      <c r="AC483" s="6">
        <f>(L483-M483)*(W483+X483)+($W$198+$X$198-$W$483-$X$483)*(L483)</f>
        <v>140.14374000000012</v>
      </c>
      <c r="AD483" s="6">
        <f t="shared" si="29"/>
        <v>0</v>
      </c>
      <c r="AE483" s="6">
        <f ca="1">(L483-M483)*(Z483+AA483)+($Z$198+$AA$198-$Z$483-$AA$483)*(L483)</f>
        <v>81.694918889129681</v>
      </c>
      <c r="AF483" s="4" t="s">
        <v>846</v>
      </c>
    </row>
    <row r="484" spans="1:32" ht="11.25" customHeight="1" x14ac:dyDescent="0.25">
      <c r="A484" s="4" t="s">
        <v>21</v>
      </c>
      <c r="B484" s="4" t="s">
        <v>43</v>
      </c>
      <c r="C484" s="4" t="s">
        <v>23</v>
      </c>
      <c r="D484" s="4" t="s">
        <v>44</v>
      </c>
      <c r="E484" s="4" t="s">
        <v>55</v>
      </c>
      <c r="F484" s="4" t="s">
        <v>53</v>
      </c>
      <c r="G484" s="4" t="s">
        <v>25</v>
      </c>
      <c r="H484" s="4" t="s">
        <v>25</v>
      </c>
      <c r="I484" s="5">
        <v>44713</v>
      </c>
      <c r="J484" s="6">
        <v>0</v>
      </c>
      <c r="K484" s="6">
        <v>0</v>
      </c>
      <c r="L484" s="6">
        <v>0.246</v>
      </c>
      <c r="M484" s="6">
        <v>0.246</v>
      </c>
      <c r="N484" s="6">
        <v>0.246</v>
      </c>
      <c r="O484" s="6">
        <v>0.246</v>
      </c>
      <c r="P484" s="6">
        <v>0</v>
      </c>
      <c r="Q484" s="4" t="s">
        <v>26</v>
      </c>
      <c r="R484" s="4">
        <v>0</v>
      </c>
      <c r="S484" s="4">
        <v>0</v>
      </c>
      <c r="T484" s="4">
        <v>37</v>
      </c>
      <c r="U484" s="4">
        <v>74</v>
      </c>
      <c r="V484" s="6">
        <f>IF(ISERROR(VLOOKUP($S$484,'TAR FIN'!$A$1:$O$85,15,0)),0,VLOOKUP($S$484,'TAR FIN'!$A$1:$O$85,15,0))</f>
        <v>0</v>
      </c>
      <c r="W484" s="6">
        <f>IF(ISERROR(VLOOKUP($T$484,'TAR FIN'!$A$1:$O$85,15,0)),0,VLOOKUP($T$484,'TAR FIN'!$A$1:$O$85,15,0))</f>
        <v>272.89999999999998</v>
      </c>
      <c r="X484" s="6">
        <f>IF(ISERROR(VLOOKUP($U$484,'TAR FIN'!$A$1:$O$85,15,0)),0,VLOOKUP($U$484,'TAR FIN'!$A$1:$O$85,15,0))</f>
        <v>270.94</v>
      </c>
      <c r="Y484" s="6"/>
      <c r="Z484" s="6">
        <f ca="1">('TUSD BE'!$AM$41+'TUSD BF'!$AM$41+'TUSD CVA'!$AM$41)*(1-CUSTOS!$M$40)</f>
        <v>400.01886051186733</v>
      </c>
      <c r="AA484" s="6">
        <f>('TE BE'!$AB$31+'TE BF'!$AB$31+'TE CVA'!$AB$31)*(1-CUSTOS!$M$40)</f>
        <v>294.35775975789767</v>
      </c>
      <c r="AB484" s="6">
        <f t="shared" si="28"/>
        <v>0</v>
      </c>
      <c r="AC484" s="6">
        <f>(L484-M484)*(W484+X484)+($W$198+$X$198-$W$484-$X$484)*(L484)</f>
        <v>25.480680000000024</v>
      </c>
      <c r="AD484" s="6">
        <f t="shared" si="29"/>
        <v>0</v>
      </c>
      <c r="AE484" s="6">
        <f ca="1">(L484-M484)*(Z484+AA484)+($Z$198+$AA$198-$Z$484-$AA$484)*(L484)</f>
        <v>14.853621616205395</v>
      </c>
      <c r="AF484" s="4" t="s">
        <v>846</v>
      </c>
    </row>
    <row r="485" spans="1:32" ht="11.25" customHeight="1" x14ac:dyDescent="0.25">
      <c r="A485" s="4" t="s">
        <v>21</v>
      </c>
      <c r="B485" s="4" t="s">
        <v>43</v>
      </c>
      <c r="C485" s="4" t="s">
        <v>23</v>
      </c>
      <c r="D485" s="4" t="s">
        <v>44</v>
      </c>
      <c r="E485" s="4" t="s">
        <v>55</v>
      </c>
      <c r="F485" s="4" t="s">
        <v>53</v>
      </c>
      <c r="G485" s="4" t="s">
        <v>25</v>
      </c>
      <c r="H485" s="4" t="s">
        <v>25</v>
      </c>
      <c r="I485" s="5">
        <v>44743</v>
      </c>
      <c r="J485" s="6">
        <v>0</v>
      </c>
      <c r="K485" s="6">
        <v>0</v>
      </c>
      <c r="L485" s="6">
        <v>0.20499999999999999</v>
      </c>
      <c r="M485" s="6">
        <v>0.20499999999999999</v>
      </c>
      <c r="N485" s="6">
        <v>0.20499999999999999</v>
      </c>
      <c r="O485" s="6">
        <v>0.20499999999999999</v>
      </c>
      <c r="P485" s="6">
        <v>0</v>
      </c>
      <c r="Q485" s="4" t="s">
        <v>26</v>
      </c>
      <c r="R485" s="4">
        <v>0</v>
      </c>
      <c r="S485" s="4">
        <v>0</v>
      </c>
      <c r="T485" s="4">
        <v>37</v>
      </c>
      <c r="U485" s="4">
        <v>74</v>
      </c>
      <c r="V485" s="6">
        <f>IF(ISERROR(VLOOKUP($S$485,'TAR FIN'!$A$1:$O$85,15,0)),0,VLOOKUP($S$485,'TAR FIN'!$A$1:$O$85,15,0))</f>
        <v>0</v>
      </c>
      <c r="W485" s="6">
        <f>IF(ISERROR(VLOOKUP($T$485,'TAR FIN'!$A$1:$O$85,15,0)),0,VLOOKUP($T$485,'TAR FIN'!$A$1:$O$85,15,0))</f>
        <v>272.89999999999998</v>
      </c>
      <c r="X485" s="6">
        <f>IF(ISERROR(VLOOKUP($U$485,'TAR FIN'!$A$1:$O$85,15,0)),0,VLOOKUP($U$485,'TAR FIN'!$A$1:$O$85,15,0))</f>
        <v>270.94</v>
      </c>
      <c r="Y485" s="6"/>
      <c r="Z485" s="6">
        <f ca="1">('TUSD BE'!$AM$41+'TUSD BF'!$AM$41+'TUSD CVA'!$AM$41)*(1-CUSTOS!$M$40)</f>
        <v>400.01886051186733</v>
      </c>
      <c r="AA485" s="6">
        <f>('TE BE'!$AB$31+'TE BF'!$AB$31+'TE CVA'!$AB$31)*(1-CUSTOS!$M$40)</f>
        <v>294.35775975789767</v>
      </c>
      <c r="AB485" s="6">
        <f t="shared" si="28"/>
        <v>0</v>
      </c>
      <c r="AC485" s="6">
        <f>(L485-M485)*(W485+X485)+($W$198+$X$198-$W$485-$X$485)*(L485)</f>
        <v>21.23390000000002</v>
      </c>
      <c r="AD485" s="6">
        <f t="shared" si="29"/>
        <v>0</v>
      </c>
      <c r="AE485" s="6">
        <f ca="1">(L485-M485)*(Z485+AA485)+($Z$198+$AA$198-$Z$485-$AA$485)*(L485)</f>
        <v>12.378018013504496</v>
      </c>
      <c r="AF485" s="4" t="s">
        <v>846</v>
      </c>
    </row>
    <row r="486" spans="1:32" ht="11.25" customHeight="1" x14ac:dyDescent="0.25">
      <c r="A486" s="4" t="s">
        <v>56</v>
      </c>
      <c r="B486" s="4" t="s">
        <v>43</v>
      </c>
      <c r="C486" s="4" t="s">
        <v>23</v>
      </c>
      <c r="D486" s="4" t="s">
        <v>44</v>
      </c>
      <c r="E486" s="4" t="s">
        <v>55</v>
      </c>
      <c r="F486" s="4" t="s">
        <v>53</v>
      </c>
      <c r="G486" s="4" t="s">
        <v>25</v>
      </c>
      <c r="H486" s="4" t="s">
        <v>25</v>
      </c>
      <c r="I486" s="5">
        <v>44774</v>
      </c>
      <c r="J486" s="6">
        <v>0</v>
      </c>
      <c r="K486" s="6">
        <v>0</v>
      </c>
      <c r="L486" s="6">
        <v>0.20499999999999999</v>
      </c>
      <c r="M486" s="6">
        <v>0.20499999999999999</v>
      </c>
      <c r="N486" s="6">
        <v>0.20499999999999999</v>
      </c>
      <c r="O486" s="6">
        <v>0.20499999999999999</v>
      </c>
      <c r="P486" s="6">
        <v>0</v>
      </c>
      <c r="Q486" s="4" t="s">
        <v>26</v>
      </c>
      <c r="R486" s="4">
        <v>0</v>
      </c>
      <c r="S486" s="4">
        <v>0</v>
      </c>
      <c r="T486" s="4">
        <v>37</v>
      </c>
      <c r="U486" s="4">
        <v>74</v>
      </c>
      <c r="V486" s="6">
        <f>IF(ISERROR(VLOOKUP($S$486,'TAR FIN'!$A$1:$O$85,15,0)),0,VLOOKUP($S$486,'TAR FIN'!$A$1:$O$85,15,0))</f>
        <v>0</v>
      </c>
      <c r="W486" s="6">
        <f>IF(ISERROR(VLOOKUP($T$486,'TAR FIN'!$A$1:$O$85,15,0)),0,VLOOKUP($T$486,'TAR FIN'!$A$1:$O$85,15,0))</f>
        <v>272.89999999999998</v>
      </c>
      <c r="X486" s="6">
        <f>IF(ISERROR(VLOOKUP($U$486,'TAR FIN'!$A$1:$O$85,15,0)),0,VLOOKUP($U$486,'TAR FIN'!$A$1:$O$85,15,0))</f>
        <v>270.94</v>
      </c>
      <c r="Y486" s="6"/>
      <c r="Z486" s="6">
        <f ca="1">('TUSD BE'!$AM$41+'TUSD BF'!$AM$41+'TUSD CVA'!$AM$41)*(1-CUSTOS!$M$40)</f>
        <v>400.01886051186733</v>
      </c>
      <c r="AA486" s="6">
        <f>('TE BE'!$AB$31+'TE BF'!$AB$31+'TE CVA'!$AB$31)*(1-CUSTOS!$M$40)</f>
        <v>294.35775975789767</v>
      </c>
      <c r="AB486" s="6">
        <f t="shared" si="28"/>
        <v>0</v>
      </c>
      <c r="AC486" s="6">
        <f>(L486-M486)*(W486+X486)+($W$198+$X$198-$W$486-$X$486)*(L486)</f>
        <v>21.23390000000002</v>
      </c>
      <c r="AD486" s="6">
        <f t="shared" si="29"/>
        <v>0</v>
      </c>
      <c r="AE486" s="6">
        <f ca="1">(L486-M486)*(Z486+AA486)+($Z$198+$AA$198-$Z$486-$AA$486)*(L486)</f>
        <v>12.378018013504496</v>
      </c>
      <c r="AF486" s="4" t="s">
        <v>846</v>
      </c>
    </row>
    <row r="487" spans="1:32" ht="11.25" customHeight="1" x14ac:dyDescent="0.25">
      <c r="A487" s="4" t="s">
        <v>21</v>
      </c>
      <c r="B487" s="4" t="s">
        <v>43</v>
      </c>
      <c r="C487" s="4" t="s">
        <v>23</v>
      </c>
      <c r="D487" s="4" t="s">
        <v>44</v>
      </c>
      <c r="E487" s="4" t="s">
        <v>55</v>
      </c>
      <c r="F487" s="4" t="s">
        <v>54</v>
      </c>
      <c r="G487" s="4" t="s">
        <v>25</v>
      </c>
      <c r="H487" s="4" t="s">
        <v>25</v>
      </c>
      <c r="I487" s="5">
        <v>44440</v>
      </c>
      <c r="J487" s="6">
        <v>0</v>
      </c>
      <c r="K487" s="6">
        <v>0</v>
      </c>
      <c r="L487" s="6">
        <v>3.403</v>
      </c>
      <c r="M487" s="6">
        <v>0.91881000000000002</v>
      </c>
      <c r="N487" s="6">
        <v>3.403</v>
      </c>
      <c r="O487" s="6">
        <v>0.91881000000000002</v>
      </c>
      <c r="P487" s="6">
        <v>0</v>
      </c>
      <c r="Q487" s="4" t="s">
        <v>26</v>
      </c>
      <c r="R487" s="4">
        <v>0</v>
      </c>
      <c r="S487" s="4">
        <v>0</v>
      </c>
      <c r="T487" s="4">
        <v>37</v>
      </c>
      <c r="U487" s="4">
        <v>74</v>
      </c>
      <c r="V487" s="6">
        <f>IF(ISERROR(VLOOKUP($S$487,'TAR FIN'!$A$1:$O$85,15,0)),0,VLOOKUP($S$487,'TAR FIN'!$A$1:$O$85,15,0))</f>
        <v>0</v>
      </c>
      <c r="W487" s="6">
        <f>IF(ISERROR(VLOOKUP($T$487,'TAR FIN'!$A$1:$O$85,15,0)),0,VLOOKUP($T$487,'TAR FIN'!$A$1:$O$85,15,0))</f>
        <v>272.89999999999998</v>
      </c>
      <c r="X487" s="6">
        <f>IF(ISERROR(VLOOKUP($U$487,'TAR FIN'!$A$1:$O$85,15,0)),0,VLOOKUP($U$487,'TAR FIN'!$A$1:$O$85,15,0))</f>
        <v>270.94</v>
      </c>
      <c r="Y487" s="6"/>
      <c r="Z487" s="6">
        <f ca="1">('TUSD BE'!$AM$41+'TUSD BF'!$AM$41+'TUSD CVA'!$AM$41)*(1-CUSTOS!$M$38)</f>
        <v>408.71492269690788</v>
      </c>
      <c r="AA487" s="6">
        <f>('TE BE'!$AB$31+'TE BF'!$AB$31+'TE CVA'!$AB$31)*(1-CUSTOS!$M$38)</f>
        <v>300.75684149176499</v>
      </c>
      <c r="AB487" s="6">
        <f t="shared" si="28"/>
        <v>0</v>
      </c>
      <c r="AC487" s="6">
        <f>(L487-M487)*(W487+X487)+($W$198+$X$198-$W$487-$X$487)*(L487)</f>
        <v>1703.4846296000001</v>
      </c>
      <c r="AD487" s="6">
        <f t="shared" si="29"/>
        <v>0</v>
      </c>
      <c r="AE487" s="6">
        <f ca="1">(L487-M487)*(Z487+AA487)+($Z$198+$AA$198-$Z$487-$AA$487)*(L487)</f>
        <v>1916.5689861479902</v>
      </c>
      <c r="AF487" s="4" t="s">
        <v>850</v>
      </c>
    </row>
    <row r="488" spans="1:32" ht="11.25" customHeight="1" x14ac:dyDescent="0.25">
      <c r="A488" s="4" t="s">
        <v>21</v>
      </c>
      <c r="B488" s="4" t="s">
        <v>43</v>
      </c>
      <c r="C488" s="4" t="s">
        <v>23</v>
      </c>
      <c r="D488" s="4" t="s">
        <v>44</v>
      </c>
      <c r="E488" s="4" t="s">
        <v>55</v>
      </c>
      <c r="F488" s="4" t="s">
        <v>54</v>
      </c>
      <c r="G488" s="4" t="s">
        <v>25</v>
      </c>
      <c r="H488" s="4" t="s">
        <v>25</v>
      </c>
      <c r="I488" s="5">
        <v>44470</v>
      </c>
      <c r="J488" s="6">
        <v>0</v>
      </c>
      <c r="K488" s="6">
        <v>0</v>
      </c>
      <c r="L488" s="6">
        <v>4.4690000000000003</v>
      </c>
      <c r="M488" s="6">
        <v>1.2066300000000001</v>
      </c>
      <c r="N488" s="6">
        <v>4.4690000000000003</v>
      </c>
      <c r="O488" s="6">
        <v>1.2066300000000001</v>
      </c>
      <c r="P488" s="6">
        <v>0</v>
      </c>
      <c r="Q488" s="4" t="s">
        <v>26</v>
      </c>
      <c r="R488" s="4">
        <v>0</v>
      </c>
      <c r="S488" s="4">
        <v>0</v>
      </c>
      <c r="T488" s="4">
        <v>37</v>
      </c>
      <c r="U488" s="4">
        <v>74</v>
      </c>
      <c r="V488" s="6">
        <f>IF(ISERROR(VLOOKUP($S$488,'TAR FIN'!$A$1:$O$85,15,0)),0,VLOOKUP($S$488,'TAR FIN'!$A$1:$O$85,15,0))</f>
        <v>0</v>
      </c>
      <c r="W488" s="6">
        <f>IF(ISERROR(VLOOKUP($T$488,'TAR FIN'!$A$1:$O$85,15,0)),0,VLOOKUP($T$488,'TAR FIN'!$A$1:$O$85,15,0))</f>
        <v>272.89999999999998</v>
      </c>
      <c r="X488" s="6">
        <f>IF(ISERROR(VLOOKUP($U$488,'TAR FIN'!$A$1:$O$85,15,0)),0,VLOOKUP($U$488,'TAR FIN'!$A$1:$O$85,15,0))</f>
        <v>270.94</v>
      </c>
      <c r="Y488" s="6"/>
      <c r="Z488" s="6">
        <f ca="1">('TUSD BE'!$AM$41+'TUSD BF'!$AM$41+'TUSD CVA'!$AM$41)*(1-CUSTOS!$M$38)</f>
        <v>408.71492269690788</v>
      </c>
      <c r="AA488" s="6">
        <f>('TE BE'!$AB$31+'TE BF'!$AB$31+'TE CVA'!$AB$31)*(1-CUSTOS!$M$38)</f>
        <v>300.75684149176499</v>
      </c>
      <c r="AB488" s="6">
        <f t="shared" si="28"/>
        <v>0</v>
      </c>
      <c r="AC488" s="6">
        <f>(L488-M488)*(W488+X488)+($W$198+$X$198-$W$488-$X$488)*(L488)</f>
        <v>2237.1063208</v>
      </c>
      <c r="AD488" s="6">
        <f t="shared" si="29"/>
        <v>0</v>
      </c>
      <c r="AE488" s="6">
        <f ca="1">(L488-M488)*(Z488+AA488)+($Z$198+$AA$198-$Z$488-$AA$488)*(L488)</f>
        <v>2516.9399938569995</v>
      </c>
      <c r="AF488" s="4" t="s">
        <v>850</v>
      </c>
    </row>
    <row r="489" spans="1:32" ht="11.25" customHeight="1" x14ac:dyDescent="0.25">
      <c r="A489" s="4" t="s">
        <v>21</v>
      </c>
      <c r="B489" s="4" t="s">
        <v>43</v>
      </c>
      <c r="C489" s="4" t="s">
        <v>23</v>
      </c>
      <c r="D489" s="4" t="s">
        <v>44</v>
      </c>
      <c r="E489" s="4" t="s">
        <v>55</v>
      </c>
      <c r="F489" s="4" t="s">
        <v>54</v>
      </c>
      <c r="G489" s="4" t="s">
        <v>25</v>
      </c>
      <c r="H489" s="4" t="s">
        <v>25</v>
      </c>
      <c r="I489" s="5">
        <v>44501</v>
      </c>
      <c r="J489" s="6">
        <v>0</v>
      </c>
      <c r="K489" s="6">
        <v>0</v>
      </c>
      <c r="L489" s="6">
        <v>4.1000000000000002E-2</v>
      </c>
      <c r="M489" s="6">
        <v>1.107E-2</v>
      </c>
      <c r="N489" s="6">
        <v>4.1000000000000002E-2</v>
      </c>
      <c r="O489" s="6">
        <v>1.107E-2</v>
      </c>
      <c r="P489" s="6">
        <v>0</v>
      </c>
      <c r="Q489" s="4" t="s">
        <v>26</v>
      </c>
      <c r="R489" s="4">
        <v>0</v>
      </c>
      <c r="S489" s="4">
        <v>0</v>
      </c>
      <c r="T489" s="4">
        <v>37</v>
      </c>
      <c r="U489" s="4">
        <v>74</v>
      </c>
      <c r="V489" s="6">
        <f>IF(ISERROR(VLOOKUP($S$489,'TAR FIN'!$A$1:$O$85,15,0)),0,VLOOKUP($S$489,'TAR FIN'!$A$1:$O$85,15,0))</f>
        <v>0</v>
      </c>
      <c r="W489" s="6">
        <f>IF(ISERROR(VLOOKUP($T$489,'TAR FIN'!$A$1:$O$85,15,0)),0,VLOOKUP($T$489,'TAR FIN'!$A$1:$O$85,15,0))</f>
        <v>272.89999999999998</v>
      </c>
      <c r="X489" s="6">
        <f>IF(ISERROR(VLOOKUP($U$489,'TAR FIN'!$A$1:$O$85,15,0)),0,VLOOKUP($U$489,'TAR FIN'!$A$1:$O$85,15,0))</f>
        <v>270.94</v>
      </c>
      <c r="Y489" s="6"/>
      <c r="Z489" s="6">
        <f ca="1">('TUSD BE'!$AM$41+'TUSD BF'!$AM$41+'TUSD CVA'!$AM$41)*(1-CUSTOS!$M$38)</f>
        <v>408.71492269690788</v>
      </c>
      <c r="AA489" s="6">
        <f>('TE BE'!$AB$31+'TE BF'!$AB$31+'TE CVA'!$AB$31)*(1-CUSTOS!$M$38)</f>
        <v>300.75684149176499</v>
      </c>
      <c r="AB489" s="6">
        <f t="shared" si="28"/>
        <v>0</v>
      </c>
      <c r="AC489" s="6">
        <f>(L489-M489)*(W489+X489)+($W$198+$X$198-$W$489-$X$489)*(L489)</f>
        <v>20.523911200000004</v>
      </c>
      <c r="AD489" s="6">
        <f t="shared" si="29"/>
        <v>0</v>
      </c>
      <c r="AE489" s="6">
        <f ca="1">(L489-M489)*(Z489+AA489)+($Z$198+$AA$198-$Z$489-$AA$489)*(L489)</f>
        <v>23.091192604192656</v>
      </c>
      <c r="AF489" s="4" t="s">
        <v>850</v>
      </c>
    </row>
    <row r="490" spans="1:32" ht="11.25" customHeight="1" x14ac:dyDescent="0.25">
      <c r="A490" s="4" t="s">
        <v>21</v>
      </c>
      <c r="B490" s="4" t="s">
        <v>43</v>
      </c>
      <c r="C490" s="4" t="s">
        <v>23</v>
      </c>
      <c r="D490" s="4" t="s">
        <v>44</v>
      </c>
      <c r="E490" s="4" t="s">
        <v>55</v>
      </c>
      <c r="F490" s="4" t="s">
        <v>54</v>
      </c>
      <c r="G490" s="4" t="s">
        <v>25</v>
      </c>
      <c r="H490" s="4" t="s">
        <v>25</v>
      </c>
      <c r="I490" s="5">
        <v>44531</v>
      </c>
      <c r="J490" s="6">
        <v>0</v>
      </c>
      <c r="K490" s="6">
        <v>0</v>
      </c>
      <c r="L490" s="6">
        <v>0.73799999999999999</v>
      </c>
      <c r="M490" s="6">
        <v>0.19925999999999999</v>
      </c>
      <c r="N490" s="6">
        <v>0.73799999999999999</v>
      </c>
      <c r="O490" s="6">
        <v>0.19925999999999999</v>
      </c>
      <c r="P490" s="6">
        <v>0</v>
      </c>
      <c r="Q490" s="4" t="s">
        <v>26</v>
      </c>
      <c r="R490" s="4">
        <v>0</v>
      </c>
      <c r="S490" s="4">
        <v>0</v>
      </c>
      <c r="T490" s="4">
        <v>37</v>
      </c>
      <c r="U490" s="4">
        <v>74</v>
      </c>
      <c r="V490" s="6">
        <f>IF(ISERROR(VLOOKUP($S$490,'TAR FIN'!$A$1:$O$85,15,0)),0,VLOOKUP($S$490,'TAR FIN'!$A$1:$O$85,15,0))</f>
        <v>0</v>
      </c>
      <c r="W490" s="6">
        <f>IF(ISERROR(VLOOKUP($T$490,'TAR FIN'!$A$1:$O$85,15,0)),0,VLOOKUP($T$490,'TAR FIN'!$A$1:$O$85,15,0))</f>
        <v>272.89999999999998</v>
      </c>
      <c r="X490" s="6">
        <f>IF(ISERROR(VLOOKUP($U$490,'TAR FIN'!$A$1:$O$85,15,0)),0,VLOOKUP($U$490,'TAR FIN'!$A$1:$O$85,15,0))</f>
        <v>270.94</v>
      </c>
      <c r="Y490" s="6"/>
      <c r="Z490" s="6">
        <f ca="1">('TUSD BE'!$AM$41+'TUSD BF'!$AM$41+'TUSD CVA'!$AM$41)*(1-CUSTOS!$M$38)</f>
        <v>408.71492269690788</v>
      </c>
      <c r="AA490" s="6">
        <f>('TE BE'!$AB$31+'TE BF'!$AB$31+'TE CVA'!$AB$31)*(1-CUSTOS!$M$38)</f>
        <v>300.75684149176499</v>
      </c>
      <c r="AB490" s="6">
        <f t="shared" si="28"/>
        <v>0</v>
      </c>
      <c r="AC490" s="6">
        <f>(L490-M490)*(W490+X490)+($W$198+$X$198-$W$490-$X$490)*(L490)</f>
        <v>369.43040160000004</v>
      </c>
      <c r="AD490" s="6">
        <f t="shared" si="29"/>
        <v>0</v>
      </c>
      <c r="AE490" s="6">
        <f ca="1">(L490-M490)*(Z490+AA490)+($Z$198+$AA$198-$Z$490-$AA$490)*(L490)</f>
        <v>415.64146687546781</v>
      </c>
      <c r="AF490" s="4" t="s">
        <v>850</v>
      </c>
    </row>
    <row r="491" spans="1:32" ht="11.25" customHeight="1" x14ac:dyDescent="0.25">
      <c r="A491" s="4" t="s">
        <v>21</v>
      </c>
      <c r="B491" s="4" t="s">
        <v>43</v>
      </c>
      <c r="C491" s="4" t="s">
        <v>23</v>
      </c>
      <c r="D491" s="4" t="s">
        <v>44</v>
      </c>
      <c r="E491" s="4" t="s">
        <v>55</v>
      </c>
      <c r="F491" s="4" t="s">
        <v>54</v>
      </c>
      <c r="G491" s="4" t="s">
        <v>25</v>
      </c>
      <c r="H491" s="4" t="s">
        <v>25</v>
      </c>
      <c r="I491" s="5">
        <v>44562</v>
      </c>
      <c r="J491" s="6">
        <v>0</v>
      </c>
      <c r="K491" s="6">
        <v>0</v>
      </c>
      <c r="L491" s="6">
        <v>1.3939999999999999</v>
      </c>
      <c r="M491" s="6">
        <v>0.37637999999999999</v>
      </c>
      <c r="N491" s="6">
        <v>1.3939999999999999</v>
      </c>
      <c r="O491" s="6">
        <v>0.37637999999999999</v>
      </c>
      <c r="P491" s="6">
        <v>0</v>
      </c>
      <c r="Q491" s="4" t="s">
        <v>26</v>
      </c>
      <c r="R491" s="4">
        <v>0</v>
      </c>
      <c r="S491" s="4">
        <v>0</v>
      </c>
      <c r="T491" s="4">
        <v>37</v>
      </c>
      <c r="U491" s="4">
        <v>74</v>
      </c>
      <c r="V491" s="6">
        <f>IF(ISERROR(VLOOKUP($S$491,'TAR FIN'!$A$1:$O$85,15,0)),0,VLOOKUP($S$491,'TAR FIN'!$A$1:$O$85,15,0))</f>
        <v>0</v>
      </c>
      <c r="W491" s="6">
        <f>IF(ISERROR(VLOOKUP($T$491,'TAR FIN'!$A$1:$O$85,15,0)),0,VLOOKUP($T$491,'TAR FIN'!$A$1:$O$85,15,0))</f>
        <v>272.89999999999998</v>
      </c>
      <c r="X491" s="6">
        <f>IF(ISERROR(VLOOKUP($U$491,'TAR FIN'!$A$1:$O$85,15,0)),0,VLOOKUP($U$491,'TAR FIN'!$A$1:$O$85,15,0))</f>
        <v>270.94</v>
      </c>
      <c r="Y491" s="6"/>
      <c r="Z491" s="6">
        <f ca="1">('TUSD BE'!$AM$41+'TUSD BF'!$AM$41+'TUSD CVA'!$AM$41)*(1-CUSTOS!$M$38)</f>
        <v>408.71492269690788</v>
      </c>
      <c r="AA491" s="6">
        <f>('TE BE'!$AB$31+'TE BF'!$AB$31+'TE CVA'!$AB$31)*(1-CUSTOS!$M$38)</f>
        <v>300.75684149176499</v>
      </c>
      <c r="AB491" s="6">
        <f t="shared" si="28"/>
        <v>0</v>
      </c>
      <c r="AC491" s="6">
        <f>(L491-M491)*(W491+X491)+($W$198+$X$198-$W$491-$X$491)*(L491)</f>
        <v>697.8129808000001</v>
      </c>
      <c r="AD491" s="6">
        <f t="shared" si="29"/>
        <v>0</v>
      </c>
      <c r="AE491" s="6">
        <f ca="1">(L491-M491)*(Z491+AA491)+($Z$198+$AA$198-$Z$491-$AA$491)*(L491)</f>
        <v>785.10054854255031</v>
      </c>
      <c r="AF491" s="4" t="s">
        <v>850</v>
      </c>
    </row>
    <row r="492" spans="1:32" ht="11.25" customHeight="1" x14ac:dyDescent="0.25">
      <c r="A492" s="4" t="s">
        <v>21</v>
      </c>
      <c r="B492" s="4" t="s">
        <v>43</v>
      </c>
      <c r="C492" s="4" t="s">
        <v>23</v>
      </c>
      <c r="D492" s="4" t="s">
        <v>44</v>
      </c>
      <c r="E492" s="4" t="s">
        <v>55</v>
      </c>
      <c r="F492" s="4" t="s">
        <v>54</v>
      </c>
      <c r="G492" s="4" t="s">
        <v>25</v>
      </c>
      <c r="H492" s="4" t="s">
        <v>25</v>
      </c>
      <c r="I492" s="5">
        <v>44593</v>
      </c>
      <c r="J492" s="6">
        <v>0</v>
      </c>
      <c r="K492" s="6">
        <v>0</v>
      </c>
      <c r="L492" s="6">
        <v>2.2050000000000001</v>
      </c>
      <c r="M492" s="6">
        <v>0.59535000000000005</v>
      </c>
      <c r="N492" s="6">
        <v>2.2050000000000001</v>
      </c>
      <c r="O492" s="6">
        <v>0.59535000000000005</v>
      </c>
      <c r="P492" s="6">
        <v>0</v>
      </c>
      <c r="Q492" s="4" t="s">
        <v>26</v>
      </c>
      <c r="R492" s="4">
        <v>0</v>
      </c>
      <c r="S492" s="4">
        <v>0</v>
      </c>
      <c r="T492" s="4">
        <v>37</v>
      </c>
      <c r="U492" s="4">
        <v>74</v>
      </c>
      <c r="V492" s="6">
        <f>IF(ISERROR(VLOOKUP($S$492,'TAR FIN'!$A$1:$O$85,15,0)),0,VLOOKUP($S$492,'TAR FIN'!$A$1:$O$85,15,0))</f>
        <v>0</v>
      </c>
      <c r="W492" s="6">
        <f>IF(ISERROR(VLOOKUP($T$492,'TAR FIN'!$A$1:$O$85,15,0)),0,VLOOKUP($T$492,'TAR FIN'!$A$1:$O$85,15,0))</f>
        <v>272.89999999999998</v>
      </c>
      <c r="X492" s="6">
        <f>IF(ISERROR(VLOOKUP($U$492,'TAR FIN'!$A$1:$O$85,15,0)),0,VLOOKUP($U$492,'TAR FIN'!$A$1:$O$85,15,0))</f>
        <v>270.94</v>
      </c>
      <c r="Y492" s="6"/>
      <c r="Z492" s="6">
        <f ca="1">('TUSD BE'!$AM$41+'TUSD BF'!$AM$41+'TUSD CVA'!$AM$41)*(1-CUSTOS!$M$38)</f>
        <v>408.71492269690788</v>
      </c>
      <c r="AA492" s="6">
        <f>('TE BE'!$AB$31+'TE BF'!$AB$31+'TE CVA'!$AB$31)*(1-CUSTOS!$M$38)</f>
        <v>300.75684149176499</v>
      </c>
      <c r="AB492" s="6">
        <f t="shared" si="28"/>
        <v>0</v>
      </c>
      <c r="AC492" s="6">
        <f>(L492-M492)*(W492+X492)+($W$198+$X$198-$W$492-$X$492)*(L492)</f>
        <v>1103.7859560000002</v>
      </c>
      <c r="AD492" s="6">
        <f t="shared" si="29"/>
        <v>0</v>
      </c>
      <c r="AE492" s="6">
        <f ca="1">(L492-M492)*(Z492+AA492)+($Z$198+$AA$198-$Z$492-$AA$492)*(L492)</f>
        <v>1241.8556022498733</v>
      </c>
      <c r="AF492" s="4" t="s">
        <v>850</v>
      </c>
    </row>
    <row r="493" spans="1:32" ht="11.25" customHeight="1" x14ac:dyDescent="0.25">
      <c r="A493" s="4" t="s">
        <v>21</v>
      </c>
      <c r="B493" s="4" t="s">
        <v>43</v>
      </c>
      <c r="C493" s="4" t="s">
        <v>23</v>
      </c>
      <c r="D493" s="4" t="s">
        <v>44</v>
      </c>
      <c r="E493" s="4" t="s">
        <v>55</v>
      </c>
      <c r="F493" s="4" t="s">
        <v>54</v>
      </c>
      <c r="G493" s="4" t="s">
        <v>25</v>
      </c>
      <c r="H493" s="4" t="s">
        <v>25</v>
      </c>
      <c r="I493" s="5">
        <v>44621</v>
      </c>
      <c r="J493" s="6">
        <v>0</v>
      </c>
      <c r="K493" s="6">
        <v>0</v>
      </c>
      <c r="L493" s="6">
        <v>0.58399999999999996</v>
      </c>
      <c r="M493" s="6">
        <v>0.2336</v>
      </c>
      <c r="N493" s="6">
        <v>0.58399999999999996</v>
      </c>
      <c r="O493" s="6">
        <v>0.2336</v>
      </c>
      <c r="P493" s="6">
        <v>0</v>
      </c>
      <c r="Q493" s="4" t="s">
        <v>26</v>
      </c>
      <c r="R493" s="4">
        <v>0</v>
      </c>
      <c r="S493" s="4">
        <v>0</v>
      </c>
      <c r="T493" s="4">
        <v>37</v>
      </c>
      <c r="U493" s="4">
        <v>74</v>
      </c>
      <c r="V493" s="6">
        <f>IF(ISERROR(VLOOKUP($S$493,'TAR FIN'!$A$1:$O$85,15,0)),0,VLOOKUP($S$493,'TAR FIN'!$A$1:$O$85,15,0))</f>
        <v>0</v>
      </c>
      <c r="W493" s="6">
        <f>IF(ISERROR(VLOOKUP($T$493,'TAR FIN'!$A$1:$O$85,15,0)),0,VLOOKUP($T$493,'TAR FIN'!$A$1:$O$85,15,0))</f>
        <v>272.89999999999998</v>
      </c>
      <c r="X493" s="6">
        <f>IF(ISERROR(VLOOKUP($U$493,'TAR FIN'!$A$1:$O$85,15,0)),0,VLOOKUP($U$493,'TAR FIN'!$A$1:$O$85,15,0))</f>
        <v>270.94</v>
      </c>
      <c r="Y493" s="6"/>
      <c r="Z493" s="6">
        <f ca="1">('TUSD BE'!$AM$41+'TUSD BF'!$AM$41+'TUSD CVA'!$AM$41)*(1-CUSTOS!$M$38)</f>
        <v>408.71492269690788</v>
      </c>
      <c r="AA493" s="6">
        <f>('TE BE'!$AB$31+'TE BF'!$AB$31+'TE CVA'!$AB$31)*(1-CUSTOS!$M$38)</f>
        <v>300.75684149176499</v>
      </c>
      <c r="AB493" s="6">
        <f t="shared" si="28"/>
        <v>0</v>
      </c>
      <c r="AC493" s="6">
        <f>(L493-M493)*(W493+X493)+($W$198+$X$198-$W$493-$X$493)*(L493)</f>
        <v>251.052256</v>
      </c>
      <c r="AD493" s="6">
        <f t="shared" si="29"/>
        <v>0</v>
      </c>
      <c r="AE493" s="6">
        <f ca="1">(L493-M493)*(Z493+AA493)+($Z$198+$AA$198-$Z$493-$AA$493)*(L493)</f>
        <v>275.04559831763765</v>
      </c>
      <c r="AF493" s="4" t="s">
        <v>850</v>
      </c>
    </row>
    <row r="494" spans="1:32" ht="11.25" customHeight="1" x14ac:dyDescent="0.25">
      <c r="A494" s="4" t="s">
        <v>21</v>
      </c>
      <c r="B494" s="4" t="s">
        <v>43</v>
      </c>
      <c r="C494" s="4" t="s">
        <v>23</v>
      </c>
      <c r="D494" s="4" t="s">
        <v>44</v>
      </c>
      <c r="E494" s="4" t="s">
        <v>55</v>
      </c>
      <c r="F494" s="4" t="s">
        <v>54</v>
      </c>
      <c r="G494" s="4" t="s">
        <v>25</v>
      </c>
      <c r="H494" s="4" t="s">
        <v>25</v>
      </c>
      <c r="I494" s="5">
        <v>44652</v>
      </c>
      <c r="J494" s="6">
        <v>0</v>
      </c>
      <c r="K494" s="6">
        <v>0</v>
      </c>
      <c r="L494" s="6">
        <v>2.5009999999999999</v>
      </c>
      <c r="M494" s="6">
        <v>0.67527000000000004</v>
      </c>
      <c r="N494" s="6">
        <v>2.5009999999999999</v>
      </c>
      <c r="O494" s="6">
        <v>0.67527000000000004</v>
      </c>
      <c r="P494" s="6">
        <v>0</v>
      </c>
      <c r="Q494" s="4" t="s">
        <v>26</v>
      </c>
      <c r="R494" s="4">
        <v>0</v>
      </c>
      <c r="S494" s="4">
        <v>0</v>
      </c>
      <c r="T494" s="4">
        <v>37</v>
      </c>
      <c r="U494" s="4">
        <v>74</v>
      </c>
      <c r="V494" s="6">
        <f>IF(ISERROR(VLOOKUP($S$494,'TAR FIN'!$A$1:$O$85,15,0)),0,VLOOKUP($S$494,'TAR FIN'!$A$1:$O$85,15,0))</f>
        <v>0</v>
      </c>
      <c r="W494" s="6">
        <f>IF(ISERROR(VLOOKUP($T$494,'TAR FIN'!$A$1:$O$85,15,0)),0,VLOOKUP($T$494,'TAR FIN'!$A$1:$O$85,15,0))</f>
        <v>272.89999999999998</v>
      </c>
      <c r="X494" s="6">
        <f>IF(ISERROR(VLOOKUP($U$494,'TAR FIN'!$A$1:$O$85,15,0)),0,VLOOKUP($U$494,'TAR FIN'!$A$1:$O$85,15,0))</f>
        <v>270.94</v>
      </c>
      <c r="Y494" s="6"/>
      <c r="Z494" s="6">
        <f ca="1">('TUSD BE'!$AM$41+'TUSD BF'!$AM$41+'TUSD CVA'!$AM$41)*(1-CUSTOS!$M$38)</f>
        <v>408.71492269690788</v>
      </c>
      <c r="AA494" s="6">
        <f>('TE BE'!$AB$31+'TE BF'!$AB$31+'TE CVA'!$AB$31)*(1-CUSTOS!$M$38)</f>
        <v>300.75684149176499</v>
      </c>
      <c r="AB494" s="6">
        <f t="shared" si="28"/>
        <v>0</v>
      </c>
      <c r="AC494" s="6">
        <f>(L494-M494)*(W494+X494)+($W$198+$X$198-$W$494-$X$494)*(L494)</f>
        <v>1251.9585832</v>
      </c>
      <c r="AD494" s="6">
        <f t="shared" si="29"/>
        <v>0</v>
      </c>
      <c r="AE494" s="6">
        <f ca="1">(L494-M494)*(Z494+AA494)+($Z$198+$AA$198-$Z$494-$AA$494)*(L494)</f>
        <v>1408.5627488557518</v>
      </c>
      <c r="AF494" s="4" t="s">
        <v>850</v>
      </c>
    </row>
    <row r="495" spans="1:32" ht="11.25" customHeight="1" x14ac:dyDescent="0.25">
      <c r="A495" s="4" t="s">
        <v>21</v>
      </c>
      <c r="B495" s="4" t="s">
        <v>43</v>
      </c>
      <c r="C495" s="4" t="s">
        <v>23</v>
      </c>
      <c r="D495" s="4" t="s">
        <v>44</v>
      </c>
      <c r="E495" s="4" t="s">
        <v>55</v>
      </c>
      <c r="F495" s="4" t="s">
        <v>54</v>
      </c>
      <c r="G495" s="4" t="s">
        <v>25</v>
      </c>
      <c r="H495" s="4" t="s">
        <v>25</v>
      </c>
      <c r="I495" s="5">
        <v>44682</v>
      </c>
      <c r="J495" s="6">
        <v>0</v>
      </c>
      <c r="K495" s="6">
        <v>0</v>
      </c>
      <c r="L495" s="6">
        <v>3.3210000000000002</v>
      </c>
      <c r="M495" s="6">
        <v>0.89666999999999997</v>
      </c>
      <c r="N495" s="6">
        <v>3.3210000000000002</v>
      </c>
      <c r="O495" s="6">
        <v>0.89666999999999997</v>
      </c>
      <c r="P495" s="6">
        <v>0</v>
      </c>
      <c r="Q495" s="4" t="s">
        <v>26</v>
      </c>
      <c r="R495" s="4">
        <v>0</v>
      </c>
      <c r="S495" s="4">
        <v>0</v>
      </c>
      <c r="T495" s="4">
        <v>37</v>
      </c>
      <c r="U495" s="4">
        <v>74</v>
      </c>
      <c r="V495" s="6">
        <f>IF(ISERROR(VLOOKUP($S$495,'TAR FIN'!$A$1:$O$85,15,0)),0,VLOOKUP($S$495,'TAR FIN'!$A$1:$O$85,15,0))</f>
        <v>0</v>
      </c>
      <c r="W495" s="6">
        <f>IF(ISERROR(VLOOKUP($T$495,'TAR FIN'!$A$1:$O$85,15,0)),0,VLOOKUP($T$495,'TAR FIN'!$A$1:$O$85,15,0))</f>
        <v>272.89999999999998</v>
      </c>
      <c r="X495" s="6">
        <f>IF(ISERROR(VLOOKUP($U$495,'TAR FIN'!$A$1:$O$85,15,0)),0,VLOOKUP($U$495,'TAR FIN'!$A$1:$O$85,15,0))</f>
        <v>270.94</v>
      </c>
      <c r="Y495" s="6"/>
      <c r="Z495" s="6">
        <f ca="1">('TUSD BE'!$AM$41+'TUSD BF'!$AM$41+'TUSD CVA'!$AM$41)*(1-CUSTOS!$M$38)</f>
        <v>408.71492269690788</v>
      </c>
      <c r="AA495" s="6">
        <f>('TE BE'!$AB$31+'TE BF'!$AB$31+'TE CVA'!$AB$31)*(1-CUSTOS!$M$38)</f>
        <v>300.75684149176499</v>
      </c>
      <c r="AB495" s="6">
        <f t="shared" si="28"/>
        <v>0</v>
      </c>
      <c r="AC495" s="6">
        <f>(L495-M495)*(W495+X495)+($W$198+$X$198-$W$495-$X$495)*(L495)</f>
        <v>1662.4368072000002</v>
      </c>
      <c r="AD495" s="6">
        <f t="shared" si="29"/>
        <v>0</v>
      </c>
      <c r="AE495" s="6">
        <f ca="1">(L495-M495)*(Z495+AA495)+($Z$198+$AA$198-$Z$495-$AA$495)*(L495)</f>
        <v>1870.3866009396054</v>
      </c>
      <c r="AF495" s="4" t="s">
        <v>850</v>
      </c>
    </row>
    <row r="496" spans="1:32" ht="11.25" customHeight="1" x14ac:dyDescent="0.25">
      <c r="A496" s="4" t="s">
        <v>21</v>
      </c>
      <c r="B496" s="4" t="s">
        <v>43</v>
      </c>
      <c r="C496" s="4" t="s">
        <v>23</v>
      </c>
      <c r="D496" s="4" t="s">
        <v>44</v>
      </c>
      <c r="E496" s="4" t="s">
        <v>55</v>
      </c>
      <c r="F496" s="4" t="s">
        <v>54</v>
      </c>
      <c r="G496" s="4" t="s">
        <v>25</v>
      </c>
      <c r="H496" s="4" t="s">
        <v>25</v>
      </c>
      <c r="I496" s="5">
        <v>44713</v>
      </c>
      <c r="J496" s="6">
        <v>0</v>
      </c>
      <c r="K496" s="6">
        <v>0</v>
      </c>
      <c r="L496" s="6">
        <v>0.73799999999999999</v>
      </c>
      <c r="M496" s="6">
        <v>0.19925999999999999</v>
      </c>
      <c r="N496" s="6">
        <v>0.73799999999999999</v>
      </c>
      <c r="O496" s="6">
        <v>0.19925999999999999</v>
      </c>
      <c r="P496" s="6">
        <v>0</v>
      </c>
      <c r="Q496" s="4" t="s">
        <v>26</v>
      </c>
      <c r="R496" s="4">
        <v>0</v>
      </c>
      <c r="S496" s="4">
        <v>0</v>
      </c>
      <c r="T496" s="4">
        <v>37</v>
      </c>
      <c r="U496" s="4">
        <v>74</v>
      </c>
      <c r="V496" s="6">
        <f>IF(ISERROR(VLOOKUP($S$496,'TAR FIN'!$A$1:$O$85,15,0)),0,VLOOKUP($S$496,'TAR FIN'!$A$1:$O$85,15,0))</f>
        <v>0</v>
      </c>
      <c r="W496" s="6">
        <f>IF(ISERROR(VLOOKUP($T$496,'TAR FIN'!$A$1:$O$85,15,0)),0,VLOOKUP($T$496,'TAR FIN'!$A$1:$O$85,15,0))</f>
        <v>272.89999999999998</v>
      </c>
      <c r="X496" s="6">
        <f>IF(ISERROR(VLOOKUP($U$496,'TAR FIN'!$A$1:$O$85,15,0)),0,VLOOKUP($U$496,'TAR FIN'!$A$1:$O$85,15,0))</f>
        <v>270.94</v>
      </c>
      <c r="Y496" s="6"/>
      <c r="Z496" s="6">
        <f ca="1">('TUSD BE'!$AM$41+'TUSD BF'!$AM$41+'TUSD CVA'!$AM$41)*(1-CUSTOS!$M$38)</f>
        <v>408.71492269690788</v>
      </c>
      <c r="AA496" s="6">
        <f>('TE BE'!$AB$31+'TE BF'!$AB$31+'TE CVA'!$AB$31)*(1-CUSTOS!$M$38)</f>
        <v>300.75684149176499</v>
      </c>
      <c r="AB496" s="6">
        <f t="shared" si="28"/>
        <v>0</v>
      </c>
      <c r="AC496" s="6">
        <f>(L496-M496)*(W496+X496)+($W$198+$X$198-$W$496-$X$496)*(L496)</f>
        <v>369.43040160000004</v>
      </c>
      <c r="AD496" s="6">
        <f t="shared" si="29"/>
        <v>0</v>
      </c>
      <c r="AE496" s="6">
        <f ca="1">(L496-M496)*(Z496+AA496)+($Z$198+$AA$198-$Z$496-$AA$496)*(L496)</f>
        <v>415.64146687546781</v>
      </c>
      <c r="AF496" s="4" t="s">
        <v>850</v>
      </c>
    </row>
    <row r="497" spans="1:32" ht="11.25" customHeight="1" x14ac:dyDescent="0.25">
      <c r="A497" s="4" t="s">
        <v>21</v>
      </c>
      <c r="B497" s="4" t="s">
        <v>43</v>
      </c>
      <c r="C497" s="4" t="s">
        <v>23</v>
      </c>
      <c r="D497" s="4" t="s">
        <v>44</v>
      </c>
      <c r="E497" s="4" t="s">
        <v>55</v>
      </c>
      <c r="F497" s="4" t="s">
        <v>54</v>
      </c>
      <c r="G497" s="4" t="s">
        <v>25</v>
      </c>
      <c r="H497" s="4" t="s">
        <v>25</v>
      </c>
      <c r="I497" s="5">
        <v>44743</v>
      </c>
      <c r="J497" s="6">
        <v>0</v>
      </c>
      <c r="K497" s="6">
        <v>0</v>
      </c>
      <c r="L497" s="6">
        <v>0.65600000000000003</v>
      </c>
      <c r="M497" s="6">
        <v>0.17712</v>
      </c>
      <c r="N497" s="6">
        <v>0.65600000000000003</v>
      </c>
      <c r="O497" s="6">
        <v>0.17712</v>
      </c>
      <c r="P497" s="6">
        <v>0</v>
      </c>
      <c r="Q497" s="4" t="s">
        <v>26</v>
      </c>
      <c r="R497" s="4">
        <v>0</v>
      </c>
      <c r="S497" s="4">
        <v>0</v>
      </c>
      <c r="T497" s="4">
        <v>37</v>
      </c>
      <c r="U497" s="4">
        <v>74</v>
      </c>
      <c r="V497" s="6">
        <f>IF(ISERROR(VLOOKUP($S$497,'TAR FIN'!$A$1:$O$85,15,0)),0,VLOOKUP($S$497,'TAR FIN'!$A$1:$O$85,15,0))</f>
        <v>0</v>
      </c>
      <c r="W497" s="6">
        <f>IF(ISERROR(VLOOKUP($T$497,'TAR FIN'!$A$1:$O$85,15,0)),0,VLOOKUP($T$497,'TAR FIN'!$A$1:$O$85,15,0))</f>
        <v>272.89999999999998</v>
      </c>
      <c r="X497" s="6">
        <f>IF(ISERROR(VLOOKUP($U$497,'TAR FIN'!$A$1:$O$85,15,0)),0,VLOOKUP($U$497,'TAR FIN'!$A$1:$O$85,15,0))</f>
        <v>270.94</v>
      </c>
      <c r="Y497" s="6"/>
      <c r="Z497" s="6">
        <f ca="1">('TUSD BE'!$AM$41+'TUSD BF'!$AM$41+'TUSD CVA'!$AM$41)*(1-CUSTOS!$M$38)</f>
        <v>408.71492269690788</v>
      </c>
      <c r="AA497" s="6">
        <f>('TE BE'!$AB$31+'TE BF'!$AB$31+'TE CVA'!$AB$31)*(1-CUSTOS!$M$38)</f>
        <v>300.75684149176499</v>
      </c>
      <c r="AB497" s="6">
        <f t="shared" si="28"/>
        <v>0</v>
      </c>
      <c r="AC497" s="6">
        <f>(L497-M497)*(W497+X497)+($W$198+$X$198-$W$497-$X$497)*(L497)</f>
        <v>328.38257920000007</v>
      </c>
      <c r="AD497" s="6">
        <f t="shared" si="29"/>
        <v>0</v>
      </c>
      <c r="AE497" s="6">
        <f ca="1">(L497-M497)*(Z497+AA497)+($Z$198+$AA$198-$Z$497-$AA$497)*(L497)</f>
        <v>369.4590816670825</v>
      </c>
      <c r="AF497" s="4" t="s">
        <v>850</v>
      </c>
    </row>
    <row r="498" spans="1:32" ht="11.25" customHeight="1" x14ac:dyDescent="0.25">
      <c r="A498" s="4" t="s">
        <v>56</v>
      </c>
      <c r="B498" s="4" t="s">
        <v>43</v>
      </c>
      <c r="C498" s="4" t="s">
        <v>23</v>
      </c>
      <c r="D498" s="4" t="s">
        <v>44</v>
      </c>
      <c r="E498" s="4" t="s">
        <v>55</v>
      </c>
      <c r="F498" s="4" t="s">
        <v>54</v>
      </c>
      <c r="G498" s="4" t="s">
        <v>25</v>
      </c>
      <c r="H498" s="4" t="s">
        <v>25</v>
      </c>
      <c r="I498" s="5">
        <v>44774</v>
      </c>
      <c r="J498" s="6">
        <v>0</v>
      </c>
      <c r="K498" s="6">
        <v>0</v>
      </c>
      <c r="L498" s="6">
        <v>0.65600000000000003</v>
      </c>
      <c r="M498" s="6">
        <v>0.17712</v>
      </c>
      <c r="N498" s="6">
        <v>0.65600000000000003</v>
      </c>
      <c r="O498" s="6">
        <v>0.17712</v>
      </c>
      <c r="P498" s="6">
        <v>0</v>
      </c>
      <c r="Q498" s="4" t="s">
        <v>26</v>
      </c>
      <c r="R498" s="4">
        <v>0</v>
      </c>
      <c r="S498" s="4">
        <v>0</v>
      </c>
      <c r="T498" s="4">
        <v>37</v>
      </c>
      <c r="U498" s="4">
        <v>74</v>
      </c>
      <c r="V498" s="6">
        <f>IF(ISERROR(VLOOKUP($S$498,'TAR FIN'!$A$1:$O$85,15,0)),0,VLOOKUP($S$498,'TAR FIN'!$A$1:$O$85,15,0))</f>
        <v>0</v>
      </c>
      <c r="W498" s="6">
        <f>IF(ISERROR(VLOOKUP($T$498,'TAR FIN'!$A$1:$O$85,15,0)),0,VLOOKUP($T$498,'TAR FIN'!$A$1:$O$85,15,0))</f>
        <v>272.89999999999998</v>
      </c>
      <c r="X498" s="6">
        <f>IF(ISERROR(VLOOKUP($U$498,'TAR FIN'!$A$1:$O$85,15,0)),0,VLOOKUP($U$498,'TAR FIN'!$A$1:$O$85,15,0))</f>
        <v>270.94</v>
      </c>
      <c r="Y498" s="6"/>
      <c r="Z498" s="6">
        <f ca="1">('TUSD BE'!$AM$41+'TUSD BF'!$AM$41+'TUSD CVA'!$AM$41)*(1-CUSTOS!$M$38)</f>
        <v>408.71492269690788</v>
      </c>
      <c r="AA498" s="6">
        <f>('TE BE'!$AB$31+'TE BF'!$AB$31+'TE CVA'!$AB$31)*(1-CUSTOS!$M$38)</f>
        <v>300.75684149176499</v>
      </c>
      <c r="AB498" s="6">
        <f t="shared" si="28"/>
        <v>0</v>
      </c>
      <c r="AC498" s="6">
        <f>(L498-M498)*(W498+X498)+($W$198+$X$198-$W$498-$X$498)*(L498)</f>
        <v>328.38257920000007</v>
      </c>
      <c r="AD498" s="6">
        <f t="shared" si="29"/>
        <v>0</v>
      </c>
      <c r="AE498" s="6">
        <f ca="1">(L498-M498)*(Z498+AA498)+($Z$198+$AA$198-$Z$498-$AA$498)*(L498)</f>
        <v>369.4590816670825</v>
      </c>
      <c r="AF498" s="4" t="s">
        <v>850</v>
      </c>
    </row>
    <row r="499" spans="1:32" ht="11.25" customHeight="1" x14ac:dyDescent="0.25">
      <c r="A499" s="4" t="s">
        <v>21</v>
      </c>
      <c r="B499" s="4" t="s">
        <v>37</v>
      </c>
      <c r="C499" s="4" t="s">
        <v>23</v>
      </c>
      <c r="D499" s="4" t="s">
        <v>49</v>
      </c>
      <c r="E499" s="4" t="s">
        <v>50</v>
      </c>
      <c r="F499" s="4" t="s">
        <v>25</v>
      </c>
      <c r="G499" s="4" t="s">
        <v>25</v>
      </c>
      <c r="H499" s="4" t="s">
        <v>25</v>
      </c>
      <c r="I499" s="5">
        <v>44440</v>
      </c>
      <c r="J499" s="6">
        <v>0</v>
      </c>
      <c r="K499" s="70">
        <v>0</v>
      </c>
      <c r="L499" s="6">
        <v>284.67500000000001</v>
      </c>
      <c r="M499" s="70">
        <v>284.67500000000001</v>
      </c>
      <c r="N499" s="6">
        <v>284.67500000000001</v>
      </c>
      <c r="O499" s="70">
        <v>284.67500000000001</v>
      </c>
      <c r="P499" s="6">
        <v>154</v>
      </c>
      <c r="Q499" s="4" t="s">
        <v>26</v>
      </c>
      <c r="R499" s="4">
        <v>0</v>
      </c>
      <c r="S499" s="4">
        <v>0</v>
      </c>
      <c r="T499" s="4">
        <v>44</v>
      </c>
      <c r="U499" s="4">
        <v>81</v>
      </c>
      <c r="V499" s="70">
        <f>IF(ISERROR(VLOOKUP($S$499,'TAR FIN'!$A$1:$O$85,15,0)),0,VLOOKUP($S$499,'TAR FIN'!$A$1:$O$85,15,0))</f>
        <v>0</v>
      </c>
      <c r="W499" s="70">
        <f>IF(ISERROR(VLOOKUP($T$499,'TAR FIN'!$A$1:$O$85,15,0)),0,VLOOKUP($T$499,'TAR FIN'!$A$1:$O$85,15,0))*(1-0.06)</f>
        <v>305.38719999999995</v>
      </c>
      <c r="X499" s="70">
        <f>IF(ISERROR(VLOOKUP($U$499,'TAR FIN'!$A$1:$O$85,15,0)),0,VLOOKUP($U$499,'TAR FIN'!$A$1:$O$85,15,0))*(1-0.06)</f>
        <v>303.18759999999997</v>
      </c>
      <c r="Y499" s="70"/>
      <c r="Z499" s="70">
        <f ca="1">('TUSD BE'!$AM$48+'TUSD BF'!$AM$48+'TUSD CVA'!$AM$48)*1*(1-0.03)</f>
        <v>421.75901597446881</v>
      </c>
      <c r="AA499" s="70">
        <f>('TE BE'!$AB$38+'TE BF'!$AB$38+'TE CVA'!$AB$38)*1*(1-0.03)</f>
        <v>310.35546409256597</v>
      </c>
      <c r="AB499" s="70">
        <f>(SUBSIDIO!$J$499*SUBSIDIO!$V$499)*(0.06)/(1-0.06)</f>
        <v>0</v>
      </c>
      <c r="AC499" s="70">
        <f>((SUBSIDIO!$L$499*SUBSIDIO!$W$499)+(SUBSIDIO!$N$499*SUBSIDIO!$X$499))*(0.06)/(1-0.06)</f>
        <v>11058.257310000001</v>
      </c>
      <c r="AD499" s="70">
        <f>(SUBSIDIO!$J$499*SUBSIDIO!$Y$499)*(0.03)/(1-0.03)</f>
        <v>0</v>
      </c>
      <c r="AE499" s="70">
        <f ca="1">((SUBSIDIO!$L$499*SUBSIDIO!$Z$499)+(SUBSIDIO!$N$499*SUBSIDIO!$AA$499))*(0.03)/(1-0.03)</f>
        <v>6445.8151426726745</v>
      </c>
      <c r="AF499" s="4" t="s">
        <v>847</v>
      </c>
    </row>
    <row r="500" spans="1:32" ht="11.25" customHeight="1" x14ac:dyDescent="0.25">
      <c r="A500" s="4" t="s">
        <v>21</v>
      </c>
      <c r="B500" s="4" t="s">
        <v>37</v>
      </c>
      <c r="C500" s="4" t="s">
        <v>23</v>
      </c>
      <c r="D500" s="4" t="s">
        <v>49</v>
      </c>
      <c r="E500" s="4" t="s">
        <v>50</v>
      </c>
      <c r="F500" s="4" t="s">
        <v>25</v>
      </c>
      <c r="G500" s="4" t="s">
        <v>25</v>
      </c>
      <c r="H500" s="4" t="s">
        <v>25</v>
      </c>
      <c r="I500" s="5">
        <v>44470</v>
      </c>
      <c r="J500" s="6">
        <v>0</v>
      </c>
      <c r="K500" s="70">
        <v>0</v>
      </c>
      <c r="L500" s="6">
        <v>304.09500000000003</v>
      </c>
      <c r="M500" s="70">
        <v>304.09500000000003</v>
      </c>
      <c r="N500" s="6">
        <v>304.09500000000003</v>
      </c>
      <c r="O500" s="70">
        <v>304.09500000000003</v>
      </c>
      <c r="P500" s="6">
        <v>156</v>
      </c>
      <c r="Q500" s="4" t="s">
        <v>26</v>
      </c>
      <c r="R500" s="4">
        <v>0</v>
      </c>
      <c r="S500" s="4">
        <v>0</v>
      </c>
      <c r="T500" s="4">
        <v>44</v>
      </c>
      <c r="U500" s="4">
        <v>81</v>
      </c>
      <c r="V500" s="70">
        <f>IF(ISERROR(VLOOKUP($S$500,'TAR FIN'!$A$1:$O$85,15,0)),0,VLOOKUP($S$500,'TAR FIN'!$A$1:$O$85,15,0))</f>
        <v>0</v>
      </c>
      <c r="W500" s="70">
        <f>IF(ISERROR(VLOOKUP($T$500,'TAR FIN'!$A$1:$O$85,15,0)),0,VLOOKUP($T$500,'TAR FIN'!$A$1:$O$85,15,0))*(1-0.06)</f>
        <v>305.38719999999995</v>
      </c>
      <c r="X500" s="70">
        <f>IF(ISERROR(VLOOKUP($U$500,'TAR FIN'!$A$1:$O$85,15,0)),0,VLOOKUP($U$500,'TAR FIN'!$A$1:$O$85,15,0))*(1-0.06)</f>
        <v>303.18759999999997</v>
      </c>
      <c r="Y500" s="70"/>
      <c r="Z500" s="70">
        <f ca="1">('TUSD BE'!$AM$48+'TUSD BF'!$AM$48+'TUSD CVA'!$AM$48)*1*(1-0.03)</f>
        <v>421.75901597446881</v>
      </c>
      <c r="AA500" s="70">
        <f>('TE BE'!$AB$38+'TE BF'!$AB$38+'TE CVA'!$AB$38)*1*(1-0.03)</f>
        <v>310.35546409256597</v>
      </c>
      <c r="AB500" s="70">
        <f>(SUBSIDIO!$J$500*SUBSIDIO!$V$500)*(0.06)/(1-0.06)</f>
        <v>0</v>
      </c>
      <c r="AC500" s="70">
        <f>((SUBSIDIO!$L$500*SUBSIDIO!$W$500)+(SUBSIDIO!$N$500*SUBSIDIO!$X$500))*(0.06)/(1-0.06)</f>
        <v>11812.631093999998</v>
      </c>
      <c r="AD500" s="70">
        <f>(SUBSIDIO!$J$500*SUBSIDIO!$Y$500)*(0.03)/(1-0.03)</f>
        <v>0</v>
      </c>
      <c r="AE500" s="70">
        <f ca="1">((SUBSIDIO!$L$500*SUBSIDIO!$Z$500)+(SUBSIDIO!$N$500*SUBSIDIO!$AA$500))*(0.03)/(1-0.03)</f>
        <v>6885.5366850304626</v>
      </c>
      <c r="AF500" s="4" t="s">
        <v>847</v>
      </c>
    </row>
    <row r="501" spans="1:32" ht="11.25" customHeight="1" x14ac:dyDescent="0.25">
      <c r="A501" s="4" t="s">
        <v>21</v>
      </c>
      <c r="B501" s="4" t="s">
        <v>37</v>
      </c>
      <c r="C501" s="4" t="s">
        <v>23</v>
      </c>
      <c r="D501" s="4" t="s">
        <v>49</v>
      </c>
      <c r="E501" s="4" t="s">
        <v>50</v>
      </c>
      <c r="F501" s="4" t="s">
        <v>25</v>
      </c>
      <c r="G501" s="4" t="s">
        <v>25</v>
      </c>
      <c r="H501" s="4" t="s">
        <v>25</v>
      </c>
      <c r="I501" s="5">
        <v>44501</v>
      </c>
      <c r="J501" s="6">
        <v>0</v>
      </c>
      <c r="K501" s="70">
        <v>0</v>
      </c>
      <c r="L501" s="6">
        <v>272.60000000000002</v>
      </c>
      <c r="M501" s="70">
        <v>272.60000000000002</v>
      </c>
      <c r="N501" s="6">
        <v>272.60000000000002</v>
      </c>
      <c r="O501" s="70">
        <v>272.60000000000002</v>
      </c>
      <c r="P501" s="6">
        <v>156</v>
      </c>
      <c r="Q501" s="4" t="s">
        <v>26</v>
      </c>
      <c r="R501" s="4">
        <v>0</v>
      </c>
      <c r="S501" s="4">
        <v>0</v>
      </c>
      <c r="T501" s="4">
        <v>44</v>
      </c>
      <c r="U501" s="4">
        <v>81</v>
      </c>
      <c r="V501" s="70">
        <f>IF(ISERROR(VLOOKUP($S$501,'TAR FIN'!$A$1:$O$85,15,0)),0,VLOOKUP($S$501,'TAR FIN'!$A$1:$O$85,15,0))</f>
        <v>0</v>
      </c>
      <c r="W501" s="70">
        <f>IF(ISERROR(VLOOKUP($T$501,'TAR FIN'!$A$1:$O$85,15,0)),0,VLOOKUP($T$501,'TAR FIN'!$A$1:$O$85,15,0))*(1-0.06)</f>
        <v>305.38719999999995</v>
      </c>
      <c r="X501" s="70">
        <f>IF(ISERROR(VLOOKUP($U$501,'TAR FIN'!$A$1:$O$85,15,0)),0,VLOOKUP($U$501,'TAR FIN'!$A$1:$O$85,15,0))*(1-0.06)</f>
        <v>303.18759999999997</v>
      </c>
      <c r="Y501" s="70"/>
      <c r="Z501" s="70">
        <f ca="1">('TUSD BE'!$AM$48+'TUSD BF'!$AM$48+'TUSD CVA'!$AM$48)*1*(1-0.03)</f>
        <v>421.75901597446881</v>
      </c>
      <c r="AA501" s="70">
        <f>('TE BE'!$AB$38+'TE BF'!$AB$38+'TE CVA'!$AB$38)*1*(1-0.03)</f>
        <v>310.35546409256597</v>
      </c>
      <c r="AB501" s="70">
        <f>(SUBSIDIO!$J$501*SUBSIDIO!$V$501)*(0.06)/(1-0.06)</f>
        <v>0</v>
      </c>
      <c r="AC501" s="70">
        <f>((SUBSIDIO!$L$501*SUBSIDIO!$W$501)+(SUBSIDIO!$N$501*SUBSIDIO!$X$501))*(0.06)/(1-0.06)</f>
        <v>10589.201519999999</v>
      </c>
      <c r="AD501" s="70">
        <f>(SUBSIDIO!$J$501*SUBSIDIO!$Y$501)*(0.03)/(1-0.03)</f>
        <v>0</v>
      </c>
      <c r="AE501" s="70">
        <f ca="1">((SUBSIDIO!$L$501*SUBSIDIO!$Z$501)+(SUBSIDIO!$N$501*SUBSIDIO!$AA$501))*(0.03)/(1-0.03)</f>
        <v>6172.4043484414542</v>
      </c>
      <c r="AF501" s="4" t="s">
        <v>847</v>
      </c>
    </row>
    <row r="502" spans="1:32" ht="11.25" customHeight="1" x14ac:dyDescent="0.25">
      <c r="A502" s="4" t="s">
        <v>21</v>
      </c>
      <c r="B502" s="4" t="s">
        <v>37</v>
      </c>
      <c r="C502" s="4" t="s">
        <v>23</v>
      </c>
      <c r="D502" s="4" t="s">
        <v>49</v>
      </c>
      <c r="E502" s="4" t="s">
        <v>50</v>
      </c>
      <c r="F502" s="4" t="s">
        <v>25</v>
      </c>
      <c r="G502" s="4" t="s">
        <v>25</v>
      </c>
      <c r="H502" s="4" t="s">
        <v>25</v>
      </c>
      <c r="I502" s="5">
        <v>44531</v>
      </c>
      <c r="J502" s="6">
        <v>0</v>
      </c>
      <c r="K502" s="70">
        <v>0</v>
      </c>
      <c r="L502" s="6">
        <v>264.46300000000002</v>
      </c>
      <c r="M502" s="70">
        <v>264.46300000000002</v>
      </c>
      <c r="N502" s="6">
        <v>264.46300000000002</v>
      </c>
      <c r="O502" s="70">
        <v>264.46300000000002</v>
      </c>
      <c r="P502" s="6">
        <v>158</v>
      </c>
      <c r="Q502" s="4" t="s">
        <v>26</v>
      </c>
      <c r="R502" s="4">
        <v>0</v>
      </c>
      <c r="S502" s="4">
        <v>0</v>
      </c>
      <c r="T502" s="4">
        <v>44</v>
      </c>
      <c r="U502" s="4">
        <v>81</v>
      </c>
      <c r="V502" s="70">
        <f>IF(ISERROR(VLOOKUP($S$502,'TAR FIN'!$A$1:$O$85,15,0)),0,VLOOKUP($S$502,'TAR FIN'!$A$1:$O$85,15,0))</f>
        <v>0</v>
      </c>
      <c r="W502" s="70">
        <f>IF(ISERROR(VLOOKUP($T$502,'TAR FIN'!$A$1:$O$85,15,0)),0,VLOOKUP($T$502,'TAR FIN'!$A$1:$O$85,15,0))*(1-0.06)</f>
        <v>305.38719999999995</v>
      </c>
      <c r="X502" s="70">
        <f>IF(ISERROR(VLOOKUP($U$502,'TAR FIN'!$A$1:$O$85,15,0)),0,VLOOKUP($U$502,'TAR FIN'!$A$1:$O$85,15,0))*(1-0.06)</f>
        <v>303.18759999999997</v>
      </c>
      <c r="Y502" s="70"/>
      <c r="Z502" s="70">
        <f ca="1">('TUSD BE'!$AM$48+'TUSD BF'!$AM$48+'TUSD CVA'!$AM$48)*1*(1-0.03)</f>
        <v>421.75901597446881</v>
      </c>
      <c r="AA502" s="70">
        <f>('TE BE'!$AB$38+'TE BF'!$AB$38+'TE CVA'!$AB$38)*1*(1-0.03)</f>
        <v>310.35546409256597</v>
      </c>
      <c r="AB502" s="70">
        <f>(SUBSIDIO!$J$502*SUBSIDIO!$V$502)*(0.06)/(1-0.06)</f>
        <v>0</v>
      </c>
      <c r="AC502" s="70">
        <f>((SUBSIDIO!$L$502*SUBSIDIO!$W$502)+(SUBSIDIO!$N$502*SUBSIDIO!$X$502))*(0.06)/(1-0.06)</f>
        <v>10273.118127600001</v>
      </c>
      <c r="AD502" s="70">
        <f>(SUBSIDIO!$J$502*SUBSIDIO!$Y$502)*(0.03)/(1-0.03)</f>
        <v>0</v>
      </c>
      <c r="AE502" s="70">
        <f ca="1">((SUBSIDIO!$L$502*SUBSIDIO!$Z$502)+(SUBSIDIO!$N$502*SUBSIDIO!$AA$502))*(0.03)/(1-0.03)</f>
        <v>5988.1605693392239</v>
      </c>
      <c r="AF502" s="4" t="s">
        <v>847</v>
      </c>
    </row>
    <row r="503" spans="1:32" ht="11.25" customHeight="1" x14ac:dyDescent="0.25">
      <c r="A503" s="4" t="s">
        <v>21</v>
      </c>
      <c r="B503" s="4" t="s">
        <v>37</v>
      </c>
      <c r="C503" s="4" t="s">
        <v>23</v>
      </c>
      <c r="D503" s="4" t="s">
        <v>49</v>
      </c>
      <c r="E503" s="4" t="s">
        <v>50</v>
      </c>
      <c r="F503" s="4" t="s">
        <v>25</v>
      </c>
      <c r="G503" s="4" t="s">
        <v>25</v>
      </c>
      <c r="H503" s="4" t="s">
        <v>25</v>
      </c>
      <c r="I503" s="5">
        <v>44562</v>
      </c>
      <c r="J503" s="6">
        <v>0</v>
      </c>
      <c r="K503" s="70">
        <v>0</v>
      </c>
      <c r="L503" s="6">
        <v>266.50799999999998</v>
      </c>
      <c r="M503" s="70">
        <v>266.50799999999998</v>
      </c>
      <c r="N503" s="6">
        <v>266.50799999999998</v>
      </c>
      <c r="O503" s="70">
        <v>266.50799999999998</v>
      </c>
      <c r="P503" s="6">
        <v>158</v>
      </c>
      <c r="Q503" s="4" t="s">
        <v>26</v>
      </c>
      <c r="R503" s="4">
        <v>0</v>
      </c>
      <c r="S503" s="4">
        <v>0</v>
      </c>
      <c r="T503" s="4">
        <v>44</v>
      </c>
      <c r="U503" s="4">
        <v>81</v>
      </c>
      <c r="V503" s="70">
        <f>IF(ISERROR(VLOOKUP($S$503,'TAR FIN'!$A$1:$O$85,15,0)),0,VLOOKUP($S$503,'TAR FIN'!$A$1:$O$85,15,0))</f>
        <v>0</v>
      </c>
      <c r="W503" s="70">
        <f>IF(ISERROR(VLOOKUP($T$503,'TAR FIN'!$A$1:$O$85,15,0)),0,VLOOKUP($T$503,'TAR FIN'!$A$1:$O$85,15,0))*(1-0.06)</f>
        <v>305.38719999999995</v>
      </c>
      <c r="X503" s="70">
        <f>IF(ISERROR(VLOOKUP($U$503,'TAR FIN'!$A$1:$O$85,15,0)),0,VLOOKUP($U$503,'TAR FIN'!$A$1:$O$85,15,0))*(1-0.06)</f>
        <v>303.18759999999997</v>
      </c>
      <c r="Y503" s="70"/>
      <c r="Z503" s="70">
        <f ca="1">('TUSD BE'!$AM$48+'TUSD BF'!$AM$48+'TUSD CVA'!$AM$48)*1*(1-0.03)</f>
        <v>421.75901597446881</v>
      </c>
      <c r="AA503" s="70">
        <f>('TE BE'!$AB$38+'TE BF'!$AB$38+'TE CVA'!$AB$38)*1*(1-0.03)</f>
        <v>310.35546409256597</v>
      </c>
      <c r="AB503" s="70">
        <f>(SUBSIDIO!$J$503*SUBSIDIO!$V$503)*(0.06)/(1-0.06)</f>
        <v>0</v>
      </c>
      <c r="AC503" s="70">
        <f>((SUBSIDIO!$L$503*SUBSIDIO!$W$503)+(SUBSIDIO!$N$503*SUBSIDIO!$X$503))*(0.06)/(1-0.06)</f>
        <v>10352.556561599999</v>
      </c>
      <c r="AD503" s="70">
        <f>(SUBSIDIO!$J$503*SUBSIDIO!$Y$503)*(0.03)/(1-0.03)</f>
        <v>0</v>
      </c>
      <c r="AE503" s="70">
        <f ca="1">((SUBSIDIO!$L$503*SUBSIDIO!$Z$503)+(SUBSIDIO!$N$503*SUBSIDIO!$AA$503))*(0.03)/(1-0.03)</f>
        <v>6034.4649233104728</v>
      </c>
      <c r="AF503" s="4" t="s">
        <v>847</v>
      </c>
    </row>
    <row r="504" spans="1:32" ht="11.25" customHeight="1" x14ac:dyDescent="0.25">
      <c r="A504" s="4" t="s">
        <v>21</v>
      </c>
      <c r="B504" s="4" t="s">
        <v>37</v>
      </c>
      <c r="C504" s="4" t="s">
        <v>23</v>
      </c>
      <c r="D504" s="4" t="s">
        <v>49</v>
      </c>
      <c r="E504" s="4" t="s">
        <v>50</v>
      </c>
      <c r="F504" s="4" t="s">
        <v>25</v>
      </c>
      <c r="G504" s="4" t="s">
        <v>25</v>
      </c>
      <c r="H504" s="4" t="s">
        <v>25</v>
      </c>
      <c r="I504" s="5">
        <v>44593</v>
      </c>
      <c r="J504" s="6">
        <v>0</v>
      </c>
      <c r="K504" s="70">
        <v>0</v>
      </c>
      <c r="L504" s="6">
        <v>276.43200000000002</v>
      </c>
      <c r="M504" s="70">
        <v>276.43200000000002</v>
      </c>
      <c r="N504" s="6">
        <v>276.43200000000002</v>
      </c>
      <c r="O504" s="70">
        <v>276.43200000000002</v>
      </c>
      <c r="P504" s="6">
        <v>158</v>
      </c>
      <c r="Q504" s="4" t="s">
        <v>26</v>
      </c>
      <c r="R504" s="4">
        <v>0</v>
      </c>
      <c r="S504" s="4">
        <v>0</v>
      </c>
      <c r="T504" s="4">
        <v>44</v>
      </c>
      <c r="U504" s="4">
        <v>81</v>
      </c>
      <c r="V504" s="70">
        <f>IF(ISERROR(VLOOKUP($S$504,'TAR FIN'!$A$1:$O$85,15,0)),0,VLOOKUP($S$504,'TAR FIN'!$A$1:$O$85,15,0))</f>
        <v>0</v>
      </c>
      <c r="W504" s="70">
        <f>IF(ISERROR(VLOOKUP($T$504,'TAR FIN'!$A$1:$O$85,15,0)),0,VLOOKUP($T$504,'TAR FIN'!$A$1:$O$85,15,0))*(1-0.06)</f>
        <v>305.38719999999995</v>
      </c>
      <c r="X504" s="70">
        <f>IF(ISERROR(VLOOKUP($U$504,'TAR FIN'!$A$1:$O$85,15,0)),0,VLOOKUP($U$504,'TAR FIN'!$A$1:$O$85,15,0))*(1-0.06)</f>
        <v>303.18759999999997</v>
      </c>
      <c r="Y504" s="70"/>
      <c r="Z504" s="70">
        <f ca="1">('TUSD BE'!$AM$48+'TUSD BF'!$AM$48+'TUSD CVA'!$AM$48)*1*(1-0.03)</f>
        <v>421.75901597446881</v>
      </c>
      <c r="AA504" s="70">
        <f>('TE BE'!$AB$38+'TE BF'!$AB$38+'TE CVA'!$AB$38)*1*(1-0.03)</f>
        <v>310.35546409256597</v>
      </c>
      <c r="AB504" s="70">
        <f>(SUBSIDIO!$J$504*SUBSIDIO!$V$504)*(0.06)/(1-0.06)</f>
        <v>0</v>
      </c>
      <c r="AC504" s="70">
        <f>((SUBSIDIO!$L$504*SUBSIDIO!$W$504)+(SUBSIDIO!$N$504*SUBSIDIO!$X$504))*(0.06)/(1-0.06)</f>
        <v>10738.056326399999</v>
      </c>
      <c r="AD504" s="70">
        <f>(SUBSIDIO!$J$504*SUBSIDIO!$Y$504)*(0.03)/(1-0.03)</f>
        <v>0</v>
      </c>
      <c r="AE504" s="70">
        <f ca="1">((SUBSIDIO!$L$504*SUBSIDIO!$Z$504)+(SUBSIDIO!$N$504*SUBSIDIO!$AA$504))*(0.03)/(1-0.03)</f>
        <v>6259.1712356873368</v>
      </c>
      <c r="AF504" s="4" t="s">
        <v>847</v>
      </c>
    </row>
    <row r="505" spans="1:32" ht="11.25" customHeight="1" x14ac:dyDescent="0.25">
      <c r="A505" s="4" t="s">
        <v>21</v>
      </c>
      <c r="B505" s="4" t="s">
        <v>37</v>
      </c>
      <c r="C505" s="4" t="s">
        <v>23</v>
      </c>
      <c r="D505" s="4" t="s">
        <v>49</v>
      </c>
      <c r="E505" s="4" t="s">
        <v>50</v>
      </c>
      <c r="F505" s="4" t="s">
        <v>25</v>
      </c>
      <c r="G505" s="4" t="s">
        <v>25</v>
      </c>
      <c r="H505" s="4" t="s">
        <v>25</v>
      </c>
      <c r="I505" s="5">
        <v>44621</v>
      </c>
      <c r="J505" s="6">
        <v>0</v>
      </c>
      <c r="K505" s="70">
        <v>0</v>
      </c>
      <c r="L505" s="6">
        <v>284.267</v>
      </c>
      <c r="M505" s="70">
        <v>284.267</v>
      </c>
      <c r="N505" s="6">
        <v>284.267</v>
      </c>
      <c r="O505" s="70">
        <v>284.267</v>
      </c>
      <c r="P505" s="6">
        <v>158</v>
      </c>
      <c r="Q505" s="4" t="s">
        <v>26</v>
      </c>
      <c r="R505" s="4">
        <v>0</v>
      </c>
      <c r="S505" s="4">
        <v>0</v>
      </c>
      <c r="T505" s="4">
        <v>44</v>
      </c>
      <c r="U505" s="4">
        <v>81</v>
      </c>
      <c r="V505" s="70">
        <f>IF(ISERROR(VLOOKUP($S$505,'TAR FIN'!$A$1:$O$85,15,0)),0,VLOOKUP($S$505,'TAR FIN'!$A$1:$O$85,15,0))</f>
        <v>0</v>
      </c>
      <c r="W505" s="70">
        <f>IF(ISERROR(VLOOKUP($T$505,'TAR FIN'!$A$1:$O$85,15,0)),0,VLOOKUP($T$505,'TAR FIN'!$A$1:$O$85,15,0))*(1-0.06)</f>
        <v>305.38719999999995</v>
      </c>
      <c r="X505" s="70">
        <f>IF(ISERROR(VLOOKUP($U$505,'TAR FIN'!$A$1:$O$85,15,0)),0,VLOOKUP($U$505,'TAR FIN'!$A$1:$O$85,15,0))*(1-0.06)</f>
        <v>303.18759999999997</v>
      </c>
      <c r="Y505" s="70"/>
      <c r="Z505" s="70">
        <f ca="1">('TUSD BE'!$AM$48+'TUSD BF'!$AM$48+'TUSD CVA'!$AM$48)*1*(1-0.03)</f>
        <v>421.75901597446881</v>
      </c>
      <c r="AA505" s="70">
        <f>('TE BE'!$AB$38+'TE BF'!$AB$38+'TE CVA'!$AB$38)*1*(1-0.03)</f>
        <v>310.35546409256597</v>
      </c>
      <c r="AB505" s="70">
        <f>(SUBSIDIO!$J$505*SUBSIDIO!$V$505)*(0.06)/(1-0.06)</f>
        <v>0</v>
      </c>
      <c r="AC505" s="70">
        <f>((SUBSIDIO!$L$505*SUBSIDIO!$W$505)+(SUBSIDIO!$N$505*SUBSIDIO!$X$505))*(0.06)/(1-0.06)</f>
        <v>11042.408468399999</v>
      </c>
      <c r="AD505" s="70">
        <f>(SUBSIDIO!$J$505*SUBSIDIO!$Y$505)*(0.03)/(1-0.03)</f>
        <v>0</v>
      </c>
      <c r="AE505" s="70">
        <f ca="1">((SUBSIDIO!$L$505*SUBSIDIO!$Z$505)+(SUBSIDIO!$N$505*SUBSIDIO!$AA$505))*(0.03)/(1-0.03)</f>
        <v>6436.5769145943023</v>
      </c>
      <c r="AF505" s="4" t="s">
        <v>847</v>
      </c>
    </row>
    <row r="506" spans="1:32" ht="11.25" customHeight="1" x14ac:dyDescent="0.25">
      <c r="A506" s="4" t="s">
        <v>21</v>
      </c>
      <c r="B506" s="4" t="s">
        <v>37</v>
      </c>
      <c r="C506" s="4" t="s">
        <v>23</v>
      </c>
      <c r="D506" s="4" t="s">
        <v>49</v>
      </c>
      <c r="E506" s="4" t="s">
        <v>50</v>
      </c>
      <c r="F506" s="4" t="s">
        <v>25</v>
      </c>
      <c r="G506" s="4" t="s">
        <v>25</v>
      </c>
      <c r="H506" s="4" t="s">
        <v>25</v>
      </c>
      <c r="I506" s="5">
        <v>44652</v>
      </c>
      <c r="J506" s="6">
        <v>0</v>
      </c>
      <c r="K506" s="70">
        <v>0</v>
      </c>
      <c r="L506" s="6">
        <v>286.23700000000002</v>
      </c>
      <c r="M506" s="70">
        <v>286.23700000000002</v>
      </c>
      <c r="N506" s="6">
        <v>286.23700000000002</v>
      </c>
      <c r="O506" s="70">
        <v>286.23700000000002</v>
      </c>
      <c r="P506" s="6">
        <v>158</v>
      </c>
      <c r="Q506" s="4" t="s">
        <v>26</v>
      </c>
      <c r="R506" s="4">
        <v>0</v>
      </c>
      <c r="S506" s="4">
        <v>0</v>
      </c>
      <c r="T506" s="4">
        <v>44</v>
      </c>
      <c r="U506" s="4">
        <v>81</v>
      </c>
      <c r="V506" s="70">
        <f>IF(ISERROR(VLOOKUP($S$506,'TAR FIN'!$A$1:$O$85,15,0)),0,VLOOKUP($S$506,'TAR FIN'!$A$1:$O$85,15,0))</f>
        <v>0</v>
      </c>
      <c r="W506" s="70">
        <f>IF(ISERROR(VLOOKUP($T$506,'TAR FIN'!$A$1:$O$85,15,0)),0,VLOOKUP($T$506,'TAR FIN'!$A$1:$O$85,15,0))*(1-0.06)</f>
        <v>305.38719999999995</v>
      </c>
      <c r="X506" s="70">
        <f>IF(ISERROR(VLOOKUP($U$506,'TAR FIN'!$A$1:$O$85,15,0)),0,VLOOKUP($U$506,'TAR FIN'!$A$1:$O$85,15,0))*(1-0.06)</f>
        <v>303.18759999999997</v>
      </c>
      <c r="Y506" s="70"/>
      <c r="Z506" s="70">
        <f ca="1">('TUSD BE'!$AM$48+'TUSD BF'!$AM$48+'TUSD CVA'!$AM$48)*1*(1-0.03)</f>
        <v>421.75901597446881</v>
      </c>
      <c r="AA506" s="70">
        <f>('TE BE'!$AB$38+'TE BF'!$AB$38+'TE CVA'!$AB$38)*1*(1-0.03)</f>
        <v>310.35546409256597</v>
      </c>
      <c r="AB506" s="70">
        <f>(SUBSIDIO!$J$506*SUBSIDIO!$V$506)*(0.06)/(1-0.06)</f>
        <v>0</v>
      </c>
      <c r="AC506" s="70">
        <f>((SUBSIDIO!$L$506*SUBSIDIO!$W$506)+(SUBSIDIO!$N$506*SUBSIDIO!$X$506))*(0.06)/(1-0.06)</f>
        <v>11118.933512399997</v>
      </c>
      <c r="AD506" s="70">
        <f>(SUBSIDIO!$J$506*SUBSIDIO!$Y$506)*(0.03)/(1-0.03)</f>
        <v>0</v>
      </c>
      <c r="AE506" s="70">
        <f ca="1">((SUBSIDIO!$L$506*SUBSIDIO!$Z$506)+(SUBSIDIO!$N$506*SUBSIDIO!$AA$506))*(0.03)/(1-0.03)</f>
        <v>6481.1830648746754</v>
      </c>
      <c r="AF506" s="4" t="s">
        <v>847</v>
      </c>
    </row>
    <row r="507" spans="1:32" ht="11.25" customHeight="1" x14ac:dyDescent="0.25">
      <c r="A507" s="4" t="s">
        <v>21</v>
      </c>
      <c r="B507" s="4" t="s">
        <v>37</v>
      </c>
      <c r="C507" s="4" t="s">
        <v>23</v>
      </c>
      <c r="D507" s="4" t="s">
        <v>49</v>
      </c>
      <c r="E507" s="4" t="s">
        <v>50</v>
      </c>
      <c r="F507" s="4" t="s">
        <v>25</v>
      </c>
      <c r="G507" s="4" t="s">
        <v>25</v>
      </c>
      <c r="H507" s="4" t="s">
        <v>25</v>
      </c>
      <c r="I507" s="5">
        <v>44682</v>
      </c>
      <c r="J507" s="6">
        <v>0</v>
      </c>
      <c r="K507" s="70">
        <v>0</v>
      </c>
      <c r="L507" s="6">
        <v>278.096</v>
      </c>
      <c r="M507" s="70">
        <v>278.096</v>
      </c>
      <c r="N507" s="6">
        <v>278.096</v>
      </c>
      <c r="O507" s="70">
        <v>278.096</v>
      </c>
      <c r="P507" s="6">
        <v>158</v>
      </c>
      <c r="Q507" s="4" t="s">
        <v>26</v>
      </c>
      <c r="R507" s="4">
        <v>0</v>
      </c>
      <c r="S507" s="4">
        <v>0</v>
      </c>
      <c r="T507" s="4">
        <v>44</v>
      </c>
      <c r="U507" s="4">
        <v>81</v>
      </c>
      <c r="V507" s="70">
        <f>IF(ISERROR(VLOOKUP($S$507,'TAR FIN'!$A$1:$O$85,15,0)),0,VLOOKUP($S$507,'TAR FIN'!$A$1:$O$85,15,0))</f>
        <v>0</v>
      </c>
      <c r="W507" s="70">
        <f>IF(ISERROR(VLOOKUP($T$507,'TAR FIN'!$A$1:$O$85,15,0)),0,VLOOKUP($T$507,'TAR FIN'!$A$1:$O$85,15,0))*(1-0.06)</f>
        <v>305.38719999999995</v>
      </c>
      <c r="X507" s="70">
        <f>IF(ISERROR(VLOOKUP($U$507,'TAR FIN'!$A$1:$O$85,15,0)),0,VLOOKUP($U$507,'TAR FIN'!$A$1:$O$85,15,0))*(1-0.06)</f>
        <v>303.18759999999997</v>
      </c>
      <c r="Y507" s="70"/>
      <c r="Z507" s="70">
        <f ca="1">('TUSD BE'!$AM$48+'TUSD BF'!$AM$48+'TUSD CVA'!$AM$48)*1*(1-0.03)</f>
        <v>421.75901597446881</v>
      </c>
      <c r="AA507" s="70">
        <f>('TE BE'!$AB$38+'TE BF'!$AB$38+'TE CVA'!$AB$38)*1*(1-0.03)</f>
        <v>310.35546409256597</v>
      </c>
      <c r="AB507" s="70">
        <f>(SUBSIDIO!$J$507*SUBSIDIO!$V$507)*(0.06)/(1-0.06)</f>
        <v>0</v>
      </c>
      <c r="AC507" s="70">
        <f>((SUBSIDIO!$L$507*SUBSIDIO!$W$507)+(SUBSIDIO!$N$507*SUBSIDIO!$X$507))*(0.06)/(1-0.06)</f>
        <v>10802.6947392</v>
      </c>
      <c r="AD507" s="70">
        <f>(SUBSIDIO!$J$507*SUBSIDIO!$Y$507)*(0.03)/(1-0.03)</f>
        <v>0</v>
      </c>
      <c r="AE507" s="70">
        <f ca="1">((SUBSIDIO!$L$507*SUBSIDIO!$Z$507)+(SUBSIDIO!$N$507*SUBSIDIO!$AA$507))*(0.03)/(1-0.03)</f>
        <v>6296.8487149089306</v>
      </c>
      <c r="AF507" s="4" t="s">
        <v>847</v>
      </c>
    </row>
    <row r="508" spans="1:32" ht="11.25" customHeight="1" x14ac:dyDescent="0.25">
      <c r="A508" s="4" t="s">
        <v>21</v>
      </c>
      <c r="B508" s="4" t="s">
        <v>37</v>
      </c>
      <c r="C508" s="4" t="s">
        <v>23</v>
      </c>
      <c r="D508" s="4" t="s">
        <v>49</v>
      </c>
      <c r="E508" s="4" t="s">
        <v>50</v>
      </c>
      <c r="F508" s="4" t="s">
        <v>25</v>
      </c>
      <c r="G508" s="4" t="s">
        <v>25</v>
      </c>
      <c r="H508" s="4" t="s">
        <v>25</v>
      </c>
      <c r="I508" s="5">
        <v>44713</v>
      </c>
      <c r="J508" s="6">
        <v>0</v>
      </c>
      <c r="K508" s="70">
        <v>0</v>
      </c>
      <c r="L508" s="6">
        <v>285.26499999999999</v>
      </c>
      <c r="M508" s="70">
        <v>285.26499999999999</v>
      </c>
      <c r="N508" s="6">
        <v>285.26499999999999</v>
      </c>
      <c r="O508" s="70">
        <v>285.26499999999999</v>
      </c>
      <c r="P508" s="6">
        <v>159</v>
      </c>
      <c r="Q508" s="4" t="s">
        <v>26</v>
      </c>
      <c r="R508" s="4">
        <v>0</v>
      </c>
      <c r="S508" s="4">
        <v>0</v>
      </c>
      <c r="T508" s="4">
        <v>44</v>
      </c>
      <c r="U508" s="4">
        <v>81</v>
      </c>
      <c r="V508" s="70">
        <f>IF(ISERROR(VLOOKUP($S$508,'TAR FIN'!$A$1:$O$85,15,0)),0,VLOOKUP($S$508,'TAR FIN'!$A$1:$O$85,15,0))</f>
        <v>0</v>
      </c>
      <c r="W508" s="70">
        <f>IF(ISERROR(VLOOKUP($T$508,'TAR FIN'!$A$1:$O$85,15,0)),0,VLOOKUP($T$508,'TAR FIN'!$A$1:$O$85,15,0))*(1-0.06)</f>
        <v>305.38719999999995</v>
      </c>
      <c r="X508" s="70">
        <f>IF(ISERROR(VLOOKUP($U$508,'TAR FIN'!$A$1:$O$85,15,0)),0,VLOOKUP($U$508,'TAR FIN'!$A$1:$O$85,15,0))*(1-0.06)</f>
        <v>303.18759999999997</v>
      </c>
      <c r="Y508" s="70"/>
      <c r="Z508" s="70">
        <f ca="1">('TUSD BE'!$AM$48+'TUSD BF'!$AM$48+'TUSD CVA'!$AM$48)*1*(1-0.03)</f>
        <v>421.75901597446881</v>
      </c>
      <c r="AA508" s="70">
        <f>('TE BE'!$AB$38+'TE BF'!$AB$38+'TE CVA'!$AB$38)*1*(1-0.03)</f>
        <v>310.35546409256597</v>
      </c>
      <c r="AB508" s="70">
        <f>(SUBSIDIO!$J$508*SUBSIDIO!$V$508)*(0.06)/(1-0.06)</f>
        <v>0</v>
      </c>
      <c r="AC508" s="70">
        <f>((SUBSIDIO!$L$508*SUBSIDIO!$W$508)+(SUBSIDIO!$N$508*SUBSIDIO!$X$508))*(0.06)/(1-0.06)</f>
        <v>11081.175977999999</v>
      </c>
      <c r="AD508" s="70">
        <f>(SUBSIDIO!$J$508*SUBSIDIO!$Y$508)*(0.03)/(1-0.03)</f>
        <v>0</v>
      </c>
      <c r="AE508" s="70">
        <f ca="1">((SUBSIDIO!$L$508*SUBSIDIO!$Z$508)+(SUBSIDIO!$N$508*SUBSIDIO!$AA$508))*(0.03)/(1-0.03)</f>
        <v>6459.1743450409067</v>
      </c>
      <c r="AF508" s="4" t="s">
        <v>847</v>
      </c>
    </row>
    <row r="509" spans="1:32" ht="11.25" customHeight="1" x14ac:dyDescent="0.25">
      <c r="A509" s="4" t="s">
        <v>21</v>
      </c>
      <c r="B509" s="4" t="s">
        <v>37</v>
      </c>
      <c r="C509" s="4" t="s">
        <v>23</v>
      </c>
      <c r="D509" s="4" t="s">
        <v>49</v>
      </c>
      <c r="E509" s="4" t="s">
        <v>50</v>
      </c>
      <c r="F509" s="4" t="s">
        <v>25</v>
      </c>
      <c r="G509" s="4" t="s">
        <v>25</v>
      </c>
      <c r="H509" s="4" t="s">
        <v>25</v>
      </c>
      <c r="I509" s="5">
        <v>44743</v>
      </c>
      <c r="J509" s="6">
        <v>0</v>
      </c>
      <c r="K509" s="70">
        <v>0</v>
      </c>
      <c r="L509" s="6">
        <v>276.90499999999997</v>
      </c>
      <c r="M509" s="70">
        <v>276.90499999999997</v>
      </c>
      <c r="N509" s="6">
        <v>276.90499999999997</v>
      </c>
      <c r="O509" s="70">
        <v>276.90499999999997</v>
      </c>
      <c r="P509" s="6">
        <v>159</v>
      </c>
      <c r="Q509" s="4" t="s">
        <v>26</v>
      </c>
      <c r="R509" s="4">
        <v>0</v>
      </c>
      <c r="S509" s="4">
        <v>0</v>
      </c>
      <c r="T509" s="4">
        <v>44</v>
      </c>
      <c r="U509" s="4">
        <v>81</v>
      </c>
      <c r="V509" s="70">
        <f>IF(ISERROR(VLOOKUP($S$509,'TAR FIN'!$A$1:$O$85,15,0)),0,VLOOKUP($S$509,'TAR FIN'!$A$1:$O$85,15,0))</f>
        <v>0</v>
      </c>
      <c r="W509" s="70">
        <f>IF(ISERROR(VLOOKUP($T$509,'TAR FIN'!$A$1:$O$85,15,0)),0,VLOOKUP($T$509,'TAR FIN'!$A$1:$O$85,15,0))*(1-0.06)</f>
        <v>305.38719999999995</v>
      </c>
      <c r="X509" s="70">
        <f>IF(ISERROR(VLOOKUP($U$509,'TAR FIN'!$A$1:$O$85,15,0)),0,VLOOKUP($U$509,'TAR FIN'!$A$1:$O$85,15,0))*(1-0.06)</f>
        <v>303.18759999999997</v>
      </c>
      <c r="Y509" s="70"/>
      <c r="Z509" s="70">
        <f ca="1">('TUSD BE'!$AM$48+'TUSD BF'!$AM$48+'TUSD CVA'!$AM$48)*1*(1-0.03)</f>
        <v>421.75901597446881</v>
      </c>
      <c r="AA509" s="70">
        <f>('TE BE'!$AB$38+'TE BF'!$AB$38+'TE CVA'!$AB$38)*1*(1-0.03)</f>
        <v>310.35546409256597</v>
      </c>
      <c r="AB509" s="70">
        <f>(SUBSIDIO!$J$509*SUBSIDIO!$V$509)*(0.06)/(1-0.06)</f>
        <v>0</v>
      </c>
      <c r="AC509" s="70">
        <f>((SUBSIDIO!$L$509*SUBSIDIO!$W$509)+(SUBSIDIO!$N$509*SUBSIDIO!$X$509))*(0.06)/(1-0.06)</f>
        <v>10756.430105999996</v>
      </c>
      <c r="AD509" s="70">
        <f>(SUBSIDIO!$J$509*SUBSIDIO!$Y$509)*(0.03)/(1-0.03)</f>
        <v>0</v>
      </c>
      <c r="AE509" s="70">
        <f ca="1">((SUBSIDIO!$L$509*SUBSIDIO!$Z$509)+(SUBSIDIO!$N$509*SUBSIDIO!$AA$509))*(0.03)/(1-0.03)</f>
        <v>6269.8812402978001</v>
      </c>
      <c r="AF509" s="4" t="s">
        <v>847</v>
      </c>
    </row>
    <row r="510" spans="1:32" ht="11.25" customHeight="1" x14ac:dyDescent="0.25">
      <c r="A510" s="4" t="s">
        <v>56</v>
      </c>
      <c r="B510" s="4" t="s">
        <v>37</v>
      </c>
      <c r="C510" s="4" t="s">
        <v>23</v>
      </c>
      <c r="D510" s="4" t="s">
        <v>49</v>
      </c>
      <c r="E510" s="4" t="s">
        <v>50</v>
      </c>
      <c r="F510" s="4" t="s">
        <v>25</v>
      </c>
      <c r="G510" s="4" t="s">
        <v>25</v>
      </c>
      <c r="H510" s="4" t="s">
        <v>25</v>
      </c>
      <c r="I510" s="5">
        <v>44774</v>
      </c>
      <c r="J510" s="6">
        <v>0</v>
      </c>
      <c r="K510" s="70">
        <v>0</v>
      </c>
      <c r="L510" s="6">
        <v>276.90499999999997</v>
      </c>
      <c r="M510" s="70">
        <v>276.90499999999997</v>
      </c>
      <c r="N510" s="6">
        <v>276.90499999999997</v>
      </c>
      <c r="O510" s="70">
        <v>276.90499999999997</v>
      </c>
      <c r="P510" s="6">
        <v>159</v>
      </c>
      <c r="Q510" s="4" t="s">
        <v>26</v>
      </c>
      <c r="R510" s="4">
        <v>0</v>
      </c>
      <c r="S510" s="4">
        <v>0</v>
      </c>
      <c r="T510" s="4">
        <v>44</v>
      </c>
      <c r="U510" s="4">
        <v>81</v>
      </c>
      <c r="V510" s="70">
        <f>IF(ISERROR(VLOOKUP($S$510,'TAR FIN'!$A$1:$O$85,15,0)),0,VLOOKUP($S$510,'TAR FIN'!$A$1:$O$85,15,0))</f>
        <v>0</v>
      </c>
      <c r="W510" s="70">
        <f>IF(ISERROR(VLOOKUP($T$510,'TAR FIN'!$A$1:$O$85,15,0)),0,VLOOKUP($T$510,'TAR FIN'!$A$1:$O$85,15,0))*(1-0.06)</f>
        <v>305.38719999999995</v>
      </c>
      <c r="X510" s="70">
        <f>IF(ISERROR(VLOOKUP($U$510,'TAR FIN'!$A$1:$O$85,15,0)),0,VLOOKUP($U$510,'TAR FIN'!$A$1:$O$85,15,0))*(1-0.06)</f>
        <v>303.18759999999997</v>
      </c>
      <c r="Y510" s="70"/>
      <c r="Z510" s="70">
        <f ca="1">('TUSD BE'!$AM$48+'TUSD BF'!$AM$48+'TUSD CVA'!$AM$48)*1*(1-0.03)</f>
        <v>421.75901597446881</v>
      </c>
      <c r="AA510" s="70">
        <f>('TE BE'!$AB$38+'TE BF'!$AB$38+'TE CVA'!$AB$38)*1*(1-0.03)</f>
        <v>310.35546409256597</v>
      </c>
      <c r="AB510" s="70">
        <f>(SUBSIDIO!$J$510*SUBSIDIO!$V$510)*(0.06)/(1-0.06)</f>
        <v>0</v>
      </c>
      <c r="AC510" s="70">
        <f>((SUBSIDIO!$L$510*SUBSIDIO!$W$510)+(SUBSIDIO!$N$510*SUBSIDIO!$X$510))*(0.06)/(1-0.06)</f>
        <v>10756.430105999996</v>
      </c>
      <c r="AD510" s="70">
        <f>(SUBSIDIO!$J$510*SUBSIDIO!$Y$510)*(0.03)/(1-0.03)</f>
        <v>0</v>
      </c>
      <c r="AE510" s="70">
        <f ca="1">((SUBSIDIO!$L$510*SUBSIDIO!$Z$510)+(SUBSIDIO!$N$510*SUBSIDIO!$AA$510))*(0.03)/(1-0.03)</f>
        <v>6269.8812402978001</v>
      </c>
      <c r="AF510" s="4" t="s">
        <v>847</v>
      </c>
    </row>
    <row r="511" spans="1:32" ht="11.25" customHeight="1" x14ac:dyDescent="0.25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1:32" ht="11.25" customHeight="1" x14ac:dyDescent="0.25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25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25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25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25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25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25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25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25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25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25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25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25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25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25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25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25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25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25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25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25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25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25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25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25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25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25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25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25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25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25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25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25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25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25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25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25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25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25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25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25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25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25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25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25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25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25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25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25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25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25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25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25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25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25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25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25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25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25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25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25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25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25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25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25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25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25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25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25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25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25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25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25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25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25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25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25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25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25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25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25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25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25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25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25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25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25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25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25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25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25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25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25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25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25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25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25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25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25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25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25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25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25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25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25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25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25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25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25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25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25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25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25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25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25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25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25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25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25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25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25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25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25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25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25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25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25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25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25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25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25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25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25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25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25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25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25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25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25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25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25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25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25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25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25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25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25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25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25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25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25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25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25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25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25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25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25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25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25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25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25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25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25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25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25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25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25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25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25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25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25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25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25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25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25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25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25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25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25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25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25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25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25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22:31" ht="11.25" customHeight="1" x14ac:dyDescent="0.25"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22:31" ht="11.25" customHeight="1" x14ac:dyDescent="0.25"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22:31" ht="11.25" customHeight="1" x14ac:dyDescent="0.25"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22:31" ht="11.25" customHeight="1" x14ac:dyDescent="0.25"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22:31" ht="11.25" customHeight="1" x14ac:dyDescent="0.25"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22:31" ht="11.25" customHeight="1" x14ac:dyDescent="0.25"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22:31" ht="11.25" customHeight="1" x14ac:dyDescent="0.25"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22:31" ht="11.25" customHeight="1" x14ac:dyDescent="0.25"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22:31" ht="11.25" customHeight="1" x14ac:dyDescent="0.25"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22:31" ht="11.25" customHeight="1" x14ac:dyDescent="0.25"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22:31" ht="11.25" customHeight="1" x14ac:dyDescent="0.25"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22:31" ht="11.25" customHeight="1" x14ac:dyDescent="0.25"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22:31" ht="11.25" customHeight="1" x14ac:dyDescent="0.25"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22:31" ht="11.25" customHeight="1" x14ac:dyDescent="0.25"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22:31" ht="11.25" customHeight="1" x14ac:dyDescent="0.25"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22:31" ht="11.25" customHeight="1" x14ac:dyDescent="0.25"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22:31" ht="11.25" customHeight="1" x14ac:dyDescent="0.25"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22:31" ht="11.25" customHeight="1" x14ac:dyDescent="0.25"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22:31" ht="11.25" customHeight="1" x14ac:dyDescent="0.25"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22:31" ht="11.25" customHeight="1" x14ac:dyDescent="0.25"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22:31" ht="11.25" customHeight="1" x14ac:dyDescent="0.25"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22:31" ht="11.25" customHeight="1" x14ac:dyDescent="0.25"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22:31" ht="11.25" customHeight="1" x14ac:dyDescent="0.25"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22:31" ht="11.25" customHeight="1" x14ac:dyDescent="0.25"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22:31" ht="11.25" customHeight="1" x14ac:dyDescent="0.25"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22:31" ht="11.25" customHeight="1" x14ac:dyDescent="0.25"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22:31" ht="11.25" customHeight="1" x14ac:dyDescent="0.25"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22:31" ht="11.25" customHeight="1" x14ac:dyDescent="0.25"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22:31" ht="11.25" customHeight="1" x14ac:dyDescent="0.25"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22:31" ht="11.25" customHeight="1" x14ac:dyDescent="0.25"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22:31" ht="11.25" customHeight="1" x14ac:dyDescent="0.25"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22:31" ht="11.25" customHeight="1" x14ac:dyDescent="0.25"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22:31" ht="11.25" customHeight="1" x14ac:dyDescent="0.25"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22:31" ht="11.25" customHeight="1" x14ac:dyDescent="0.25"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22:31" ht="11.25" customHeight="1" x14ac:dyDescent="0.25"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22:31" ht="11.25" customHeight="1" x14ac:dyDescent="0.25"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22:31" ht="11.25" customHeight="1" x14ac:dyDescent="0.25"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22:31" ht="11.25" customHeight="1" x14ac:dyDescent="0.25"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22:31" ht="11.25" customHeight="1" x14ac:dyDescent="0.25"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22:31" ht="11.25" customHeight="1" x14ac:dyDescent="0.25"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22:31" ht="11.25" customHeight="1" x14ac:dyDescent="0.25"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22:31" ht="11.25" customHeight="1" x14ac:dyDescent="0.25"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22:31" ht="11.25" customHeight="1" x14ac:dyDescent="0.25"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22:31" ht="11.25" customHeight="1" x14ac:dyDescent="0.25"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22:31" ht="11.25" customHeight="1" x14ac:dyDescent="0.25"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22:31" ht="11.25" customHeight="1" x14ac:dyDescent="0.25"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22:31" ht="11.25" customHeight="1" x14ac:dyDescent="0.25"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22:31" ht="11.25" customHeight="1" x14ac:dyDescent="0.25"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22:31" ht="11.25" customHeight="1" x14ac:dyDescent="0.25"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22:31" ht="11.25" customHeight="1" x14ac:dyDescent="0.25"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22:31" ht="11.25" customHeight="1" x14ac:dyDescent="0.25"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22:31" ht="11.25" customHeight="1" x14ac:dyDescent="0.25"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22:31" ht="11.25" customHeight="1" x14ac:dyDescent="0.25"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22:31" ht="11.25" customHeight="1" x14ac:dyDescent="0.25"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22:31" ht="11.25" customHeight="1" x14ac:dyDescent="0.25"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22:31" ht="11.25" customHeight="1" x14ac:dyDescent="0.25"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22:31" ht="11.25" customHeight="1" x14ac:dyDescent="0.25"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22:31" ht="11.25" customHeight="1" x14ac:dyDescent="0.25"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22:31" ht="11.25" customHeight="1" x14ac:dyDescent="0.25"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22:31" ht="11.25" customHeight="1" x14ac:dyDescent="0.25"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22:31" ht="11.25" customHeight="1" x14ac:dyDescent="0.25"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spans="22:31" ht="11.25" customHeight="1" x14ac:dyDescent="0.25"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spans="22:31" ht="11.25" customHeight="1" x14ac:dyDescent="0.25"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spans="22:31" ht="11.25" customHeight="1" x14ac:dyDescent="0.25"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spans="22:31" ht="11.25" customHeight="1" x14ac:dyDescent="0.25"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spans="22:31" ht="11.25" customHeight="1" x14ac:dyDescent="0.25"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22:31" ht="11.25" customHeight="1" x14ac:dyDescent="0.25"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spans="22:31" ht="11.25" customHeight="1" x14ac:dyDescent="0.25"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spans="22:31" ht="11.25" customHeight="1" x14ac:dyDescent="0.25"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spans="22:31" ht="11.25" customHeight="1" x14ac:dyDescent="0.25"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spans="22:31" ht="11.25" customHeight="1" x14ac:dyDescent="0.25"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22:31" ht="11.25" customHeight="1" x14ac:dyDescent="0.25"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spans="22:31" ht="11.25" customHeight="1" x14ac:dyDescent="0.25"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22:31" ht="11.25" customHeight="1" x14ac:dyDescent="0.25"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spans="22:31" ht="11.25" customHeight="1" x14ac:dyDescent="0.25"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22:31" ht="11.25" customHeight="1" x14ac:dyDescent="0.25"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22:31" ht="11.25" customHeight="1" x14ac:dyDescent="0.25"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22:31" ht="11.25" customHeight="1" x14ac:dyDescent="0.25"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spans="22:31" ht="11.25" customHeight="1" x14ac:dyDescent="0.25"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spans="22:31" ht="11.25" customHeight="1" x14ac:dyDescent="0.25"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spans="22:31" ht="11.25" customHeight="1" x14ac:dyDescent="0.25"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spans="22:31" ht="11.25" customHeight="1" x14ac:dyDescent="0.25"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spans="22:31" ht="11.25" customHeight="1" x14ac:dyDescent="0.25"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spans="22:31" ht="11.25" customHeight="1" x14ac:dyDescent="0.25"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spans="22:31" ht="11.25" customHeight="1" x14ac:dyDescent="0.25"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spans="22:31" ht="11.25" customHeight="1" x14ac:dyDescent="0.25"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spans="22:31" ht="11.25" customHeight="1" x14ac:dyDescent="0.25"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spans="22:31" ht="11.25" customHeight="1" x14ac:dyDescent="0.25"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spans="22:31" ht="11.25" customHeight="1" x14ac:dyDescent="0.25"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spans="22:31" ht="11.25" customHeight="1" x14ac:dyDescent="0.25"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spans="22:31" ht="11.25" customHeight="1" x14ac:dyDescent="0.25"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spans="22:31" ht="11.25" customHeight="1" x14ac:dyDescent="0.25"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spans="22:31" ht="11.25" customHeight="1" x14ac:dyDescent="0.25"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spans="22:31" ht="11.25" customHeight="1" x14ac:dyDescent="0.25"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spans="22:31" ht="11.25" customHeight="1" x14ac:dyDescent="0.25"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spans="22:31" ht="11.25" customHeight="1" x14ac:dyDescent="0.25"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spans="22:31" ht="11.25" customHeight="1" x14ac:dyDescent="0.25"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spans="22:31" ht="11.25" customHeight="1" x14ac:dyDescent="0.25"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spans="22:31" ht="11.25" customHeight="1" x14ac:dyDescent="0.25"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spans="22:31" ht="11.25" customHeight="1" x14ac:dyDescent="0.25"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spans="22:31" ht="11.25" customHeight="1" x14ac:dyDescent="0.25"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spans="22:31" ht="11.25" customHeight="1" x14ac:dyDescent="0.25"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spans="22:31" ht="11.25" customHeight="1" x14ac:dyDescent="0.25"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spans="22:31" ht="11.25" customHeight="1" x14ac:dyDescent="0.25"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spans="22:31" ht="11.25" customHeight="1" x14ac:dyDescent="0.25"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spans="22:31" ht="11.25" customHeight="1" x14ac:dyDescent="0.25"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spans="22:31" ht="11.25" customHeight="1" x14ac:dyDescent="0.25"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spans="22:31" ht="11.25" customHeight="1" x14ac:dyDescent="0.25"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spans="22:31" ht="11.25" customHeight="1" x14ac:dyDescent="0.25"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spans="22:31" ht="11.25" customHeight="1" x14ac:dyDescent="0.25"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spans="22:31" ht="11.25" customHeight="1" x14ac:dyDescent="0.25"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spans="22:31" ht="11.25" customHeight="1" x14ac:dyDescent="0.25"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spans="22:31" ht="11.25" customHeight="1" x14ac:dyDescent="0.25"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spans="22:31" ht="11.25" customHeight="1" x14ac:dyDescent="0.25"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spans="22:31" ht="11.25" customHeight="1" x14ac:dyDescent="0.25"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spans="22:31" ht="11.25" customHeight="1" x14ac:dyDescent="0.25"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spans="22:31" ht="11.25" customHeight="1" x14ac:dyDescent="0.25"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spans="22:31" ht="11.25" customHeight="1" x14ac:dyDescent="0.25"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spans="22:31" ht="11.25" customHeight="1" x14ac:dyDescent="0.25"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spans="22:31" ht="11.25" customHeight="1" x14ac:dyDescent="0.25"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spans="22:31" ht="11.25" customHeight="1" x14ac:dyDescent="0.25"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spans="22:31" ht="11.25" customHeight="1" x14ac:dyDescent="0.25"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spans="22:31" ht="11.25" customHeight="1" x14ac:dyDescent="0.25"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spans="22:31" ht="11.25" customHeight="1" x14ac:dyDescent="0.25"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spans="22:31" ht="11.25" customHeight="1" x14ac:dyDescent="0.25"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spans="22:31" ht="11.25" customHeight="1" x14ac:dyDescent="0.25"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spans="22:31" ht="11.25" customHeight="1" x14ac:dyDescent="0.25"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spans="22:31" ht="11.25" customHeight="1" x14ac:dyDescent="0.25"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spans="22:31" ht="11.25" customHeight="1" x14ac:dyDescent="0.25"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spans="22:31" ht="11.25" customHeight="1" x14ac:dyDescent="0.25"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spans="22:31" ht="11.25" customHeight="1" x14ac:dyDescent="0.25"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spans="22:31" ht="11.25" customHeight="1" x14ac:dyDescent="0.25"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spans="22:31" ht="11.25" customHeight="1" x14ac:dyDescent="0.25"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spans="22:31" ht="11.25" customHeight="1" x14ac:dyDescent="0.25"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spans="22:31" ht="11.25" customHeight="1" x14ac:dyDescent="0.25"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spans="22:31" ht="11.25" customHeight="1" x14ac:dyDescent="0.25"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spans="22:31" ht="11.25" customHeight="1" x14ac:dyDescent="0.25"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spans="22:31" ht="11.25" customHeight="1" x14ac:dyDescent="0.25"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spans="22:31" ht="11.25" customHeight="1" x14ac:dyDescent="0.25"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spans="22:31" ht="11.25" customHeight="1" x14ac:dyDescent="0.25"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22:31" ht="11.25" customHeight="1" x14ac:dyDescent="0.25"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22:31" ht="11.25" customHeight="1" x14ac:dyDescent="0.25"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22:31" ht="11.25" customHeight="1" x14ac:dyDescent="0.25"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22:31" ht="11.25" customHeight="1" x14ac:dyDescent="0.25"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22:31" ht="11.25" customHeight="1" x14ac:dyDescent="0.25"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22:31" ht="11.25" customHeight="1" x14ac:dyDescent="0.25"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22:31" ht="11.25" customHeight="1" x14ac:dyDescent="0.25"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22:31" ht="11.25" customHeight="1" x14ac:dyDescent="0.25"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22:31" ht="11.25" customHeight="1" x14ac:dyDescent="0.25"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22:31" ht="11.25" customHeight="1" x14ac:dyDescent="0.25"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22:31" ht="11.25" customHeight="1" x14ac:dyDescent="0.25"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22:31" ht="11.25" customHeight="1" x14ac:dyDescent="0.25"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22:31" ht="11.25" customHeight="1" x14ac:dyDescent="0.25"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22:31" ht="11.25" customHeight="1" x14ac:dyDescent="0.25"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22:31" ht="11.25" customHeight="1" x14ac:dyDescent="0.25"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22:31" ht="11.25" customHeight="1" x14ac:dyDescent="0.25"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22:31" ht="11.25" customHeight="1" x14ac:dyDescent="0.25"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22:31" ht="11.25" customHeight="1" x14ac:dyDescent="0.25"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22:31" ht="11.25" customHeight="1" x14ac:dyDescent="0.25"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22:31" ht="11.25" customHeight="1" x14ac:dyDescent="0.25"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22:31" ht="11.25" customHeight="1" x14ac:dyDescent="0.25"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22:31" ht="11.25" customHeight="1" x14ac:dyDescent="0.25"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22:31" ht="11.25" customHeight="1" x14ac:dyDescent="0.25"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22:31" ht="11.25" customHeight="1" x14ac:dyDescent="0.25"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22:31" ht="11.25" customHeight="1" x14ac:dyDescent="0.25"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22:31" ht="11.25" customHeight="1" x14ac:dyDescent="0.25"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22:31" ht="11.25" customHeight="1" x14ac:dyDescent="0.25"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22:31" ht="11.25" customHeight="1" x14ac:dyDescent="0.25"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22:31" ht="11.25" customHeight="1" x14ac:dyDescent="0.25"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22:31" ht="11.25" customHeight="1" x14ac:dyDescent="0.25"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22:31" ht="11.25" customHeight="1" x14ac:dyDescent="0.25"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22:31" ht="11.25" customHeight="1" x14ac:dyDescent="0.25"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22:31" ht="11.25" customHeight="1" x14ac:dyDescent="0.25"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22:31" ht="11.25" customHeight="1" x14ac:dyDescent="0.25"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22:31" ht="11.25" customHeight="1" x14ac:dyDescent="0.25"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22:31" ht="11.25" customHeight="1" x14ac:dyDescent="0.25"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22:31" ht="11.25" customHeight="1" x14ac:dyDescent="0.25"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22:31" ht="11.25" customHeight="1" x14ac:dyDescent="0.25"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22:31" ht="11.25" customHeight="1" x14ac:dyDescent="0.25"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22:31" ht="11.25" customHeight="1" x14ac:dyDescent="0.25"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22:31" ht="11.25" customHeight="1" x14ac:dyDescent="0.25"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22:31" ht="11.25" customHeight="1" x14ac:dyDescent="0.25"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22:31" ht="11.25" customHeight="1" x14ac:dyDescent="0.25"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22:31" ht="11.25" customHeight="1" x14ac:dyDescent="0.25"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22:31" ht="11.25" customHeight="1" x14ac:dyDescent="0.25"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22:31" ht="11.25" customHeight="1" x14ac:dyDescent="0.25"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22:31" ht="11.25" customHeight="1" x14ac:dyDescent="0.25"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22:31" ht="11.25" customHeight="1" x14ac:dyDescent="0.25"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22:31" ht="11.25" customHeight="1" x14ac:dyDescent="0.25"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22:31" ht="11.25" customHeight="1" x14ac:dyDescent="0.25"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22:31" ht="11.25" customHeight="1" x14ac:dyDescent="0.25"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22:31" ht="11.25" customHeight="1" x14ac:dyDescent="0.25"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22:31" ht="11.25" customHeight="1" x14ac:dyDescent="0.25"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22:31" ht="11.25" customHeight="1" x14ac:dyDescent="0.25"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22:31" ht="11.25" customHeight="1" x14ac:dyDescent="0.25"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22:31" ht="11.25" customHeight="1" x14ac:dyDescent="0.25"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22:31" ht="11.25" customHeight="1" x14ac:dyDescent="0.25"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22:31" ht="11.25" customHeight="1" x14ac:dyDescent="0.25"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22:31" ht="11.25" customHeight="1" x14ac:dyDescent="0.25"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22:31" ht="11.25" customHeight="1" x14ac:dyDescent="0.25"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22:31" ht="11.25" customHeight="1" x14ac:dyDescent="0.25"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22:31" ht="11.25" customHeight="1" x14ac:dyDescent="0.25"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22:31" ht="11.25" customHeight="1" x14ac:dyDescent="0.25"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22:31" ht="11.25" customHeight="1" x14ac:dyDescent="0.25"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22:31" ht="11.25" customHeight="1" x14ac:dyDescent="0.25"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22:31" ht="11.25" customHeight="1" x14ac:dyDescent="0.25"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22:31" ht="11.25" customHeight="1" x14ac:dyDescent="0.25"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22:31" ht="11.25" customHeight="1" x14ac:dyDescent="0.25"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22:31" ht="11.25" customHeight="1" x14ac:dyDescent="0.25"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22:31" ht="11.25" customHeight="1" x14ac:dyDescent="0.25"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22:31" ht="11.25" customHeight="1" x14ac:dyDescent="0.25"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22:31" ht="11.25" customHeight="1" x14ac:dyDescent="0.25"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22:31" ht="11.25" customHeight="1" x14ac:dyDescent="0.25"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22:31" ht="11.25" customHeight="1" x14ac:dyDescent="0.25"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22:31" ht="11.25" customHeight="1" x14ac:dyDescent="0.25"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22:31" ht="11.25" customHeight="1" x14ac:dyDescent="0.25"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22:31" ht="11.25" customHeight="1" x14ac:dyDescent="0.25"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22:31" ht="11.25" customHeight="1" x14ac:dyDescent="0.25"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22:31" ht="11.25" customHeight="1" x14ac:dyDescent="0.25"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22:31" ht="11.25" customHeight="1" x14ac:dyDescent="0.25"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22:31" ht="11.25" customHeight="1" x14ac:dyDescent="0.25"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22:31" ht="11.25" customHeight="1" x14ac:dyDescent="0.25"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22:31" ht="11.25" customHeight="1" x14ac:dyDescent="0.25"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22:31" ht="11.25" customHeight="1" x14ac:dyDescent="0.25"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22:31" ht="11.25" customHeight="1" x14ac:dyDescent="0.25"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22:31" ht="11.25" customHeight="1" x14ac:dyDescent="0.25"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22:31" ht="11.25" customHeight="1" x14ac:dyDescent="0.25"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22:31" ht="11.25" customHeight="1" x14ac:dyDescent="0.25"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spans="22:31" ht="11.25" customHeight="1" x14ac:dyDescent="0.25"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spans="22:31" ht="11.25" customHeight="1" x14ac:dyDescent="0.25"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spans="22:31" ht="11.25" customHeight="1" x14ac:dyDescent="0.25"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spans="22:31" ht="11.25" customHeight="1" x14ac:dyDescent="0.25"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spans="22:31" ht="11.25" customHeight="1" x14ac:dyDescent="0.25"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spans="22:31" ht="11.25" customHeight="1" x14ac:dyDescent="0.25"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spans="22:31" ht="11.25" customHeight="1" x14ac:dyDescent="0.25"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spans="22:31" ht="11.25" customHeight="1" x14ac:dyDescent="0.25"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spans="22:31" ht="11.25" customHeight="1" x14ac:dyDescent="0.25"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spans="22:31" ht="11.25" customHeight="1" x14ac:dyDescent="0.25"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spans="22:31" ht="11.25" customHeight="1" x14ac:dyDescent="0.25"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spans="22:31" ht="11.25" customHeight="1" x14ac:dyDescent="0.25"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spans="22:31" ht="11.25" customHeight="1" x14ac:dyDescent="0.25"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spans="22:31" ht="11.25" customHeight="1" x14ac:dyDescent="0.25"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spans="22:31" ht="11.25" customHeight="1" x14ac:dyDescent="0.25"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spans="22:31" ht="11.25" customHeight="1" x14ac:dyDescent="0.25"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spans="22:31" ht="11.25" customHeight="1" x14ac:dyDescent="0.25"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spans="22:31" ht="11.25" customHeight="1" x14ac:dyDescent="0.25"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spans="22:31" ht="11.25" customHeight="1" x14ac:dyDescent="0.25"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spans="22:31" ht="11.25" customHeight="1" x14ac:dyDescent="0.25"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spans="22:31" ht="11.25" customHeight="1" x14ac:dyDescent="0.25"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spans="22:31" ht="11.25" customHeight="1" x14ac:dyDescent="0.25"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spans="22:31" ht="11.25" customHeight="1" x14ac:dyDescent="0.25"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spans="22:31" ht="11.25" customHeight="1" x14ac:dyDescent="0.25"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spans="22:31" ht="11.25" customHeight="1" x14ac:dyDescent="0.25"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spans="22:31" ht="11.25" customHeight="1" x14ac:dyDescent="0.25"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spans="22:31" ht="11.25" customHeight="1" x14ac:dyDescent="0.25"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spans="22:31" ht="11.25" customHeight="1" x14ac:dyDescent="0.25"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spans="22:31" ht="11.25" customHeight="1" x14ac:dyDescent="0.25"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spans="22:31" ht="11.25" customHeight="1" x14ac:dyDescent="0.25"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spans="22:31" ht="11.25" customHeight="1" x14ac:dyDescent="0.25"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spans="22:31" ht="11.25" customHeight="1" x14ac:dyDescent="0.25"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spans="22:31" ht="11.25" customHeight="1" x14ac:dyDescent="0.25"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22:31" ht="11.25" customHeight="1" x14ac:dyDescent="0.25"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spans="22:31" ht="11.25" customHeight="1" x14ac:dyDescent="0.25"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spans="22:31" ht="11.25" customHeight="1" x14ac:dyDescent="0.25"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spans="22:31" ht="11.25" customHeight="1" x14ac:dyDescent="0.25"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spans="22:31" ht="11.25" customHeight="1" x14ac:dyDescent="0.25"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spans="22:31" ht="11.25" customHeight="1" x14ac:dyDescent="0.25"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spans="22:31" ht="11.25" customHeight="1" x14ac:dyDescent="0.25"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spans="22:31" ht="11.25" customHeight="1" x14ac:dyDescent="0.25"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spans="22:31" ht="11.25" customHeight="1" x14ac:dyDescent="0.25"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spans="22:31" ht="11.25" customHeight="1" x14ac:dyDescent="0.25"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spans="22:31" ht="11.25" customHeight="1" x14ac:dyDescent="0.25"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spans="22:31" ht="11.25" customHeight="1" x14ac:dyDescent="0.25"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spans="22:31" ht="11.25" customHeight="1" x14ac:dyDescent="0.25"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spans="22:31" ht="11.25" customHeight="1" x14ac:dyDescent="0.25"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spans="22:31" ht="11.25" customHeight="1" x14ac:dyDescent="0.25"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22:31" ht="11.25" customHeight="1" x14ac:dyDescent="0.25"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spans="22:31" ht="11.25" customHeight="1" x14ac:dyDescent="0.25"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spans="22:31" ht="11.25" customHeight="1" x14ac:dyDescent="0.25"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spans="22:31" ht="11.25" customHeight="1" x14ac:dyDescent="0.25"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22:31" ht="11.25" customHeight="1" x14ac:dyDescent="0.25"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spans="22:31" ht="11.25" customHeight="1" x14ac:dyDescent="0.25"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spans="22:31" ht="11.25" customHeight="1" x14ac:dyDescent="0.25"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spans="22:31" ht="11.25" customHeight="1" x14ac:dyDescent="0.25"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22:31" ht="11.25" customHeight="1" x14ac:dyDescent="0.25"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spans="22:31" ht="11.25" customHeight="1" x14ac:dyDescent="0.25"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spans="22:31" ht="11.25" customHeight="1" x14ac:dyDescent="0.25"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spans="22:31" ht="11.25" customHeight="1" x14ac:dyDescent="0.25"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spans="22:31" ht="11.25" customHeight="1" x14ac:dyDescent="0.25"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spans="22:31" ht="11.25" customHeight="1" x14ac:dyDescent="0.25"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spans="22:31" ht="11.25" customHeight="1" x14ac:dyDescent="0.25"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spans="22:31" ht="11.25" customHeight="1" x14ac:dyDescent="0.25"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spans="22:31" ht="11.25" customHeight="1" x14ac:dyDescent="0.25"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spans="22:31" ht="11.25" customHeight="1" x14ac:dyDescent="0.25"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spans="22:31" ht="11.25" customHeight="1" x14ac:dyDescent="0.25"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spans="22:31" ht="11.25" customHeight="1" x14ac:dyDescent="0.25"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spans="22:31" ht="11.25" customHeight="1" x14ac:dyDescent="0.25"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spans="22:31" ht="11.25" customHeight="1" x14ac:dyDescent="0.25"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spans="22:31" ht="11.25" customHeight="1" x14ac:dyDescent="0.25"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spans="22:31" ht="11.25" customHeight="1" x14ac:dyDescent="0.25"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spans="22:31" ht="11.25" customHeight="1" x14ac:dyDescent="0.25"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spans="22:31" ht="11.25" customHeight="1" x14ac:dyDescent="0.25"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spans="22:31" ht="11.25" customHeight="1" x14ac:dyDescent="0.25"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spans="22:31" ht="11.25" customHeight="1" x14ac:dyDescent="0.25"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spans="22:31" ht="11.25" customHeight="1" x14ac:dyDescent="0.25"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spans="22:31" ht="11.25" customHeight="1" x14ac:dyDescent="0.25"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  <row r="1001" spans="22:31" ht="11.25" customHeight="1" x14ac:dyDescent="0.25"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</row>
    <row r="1002" spans="22:31" ht="11.25" customHeight="1" x14ac:dyDescent="0.25"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</row>
    <row r="1003" spans="22:31" ht="11.25" customHeight="1" x14ac:dyDescent="0.25"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</row>
    <row r="1004" spans="22:31" ht="11.25" customHeight="1" x14ac:dyDescent="0.25"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</row>
    <row r="1005" spans="22:31" ht="11.25" customHeight="1" x14ac:dyDescent="0.25"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</row>
    <row r="1006" spans="22:31" ht="11.25" customHeight="1" x14ac:dyDescent="0.25"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</row>
    <row r="1007" spans="22:31" ht="11.25" customHeight="1" x14ac:dyDescent="0.25"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</row>
    <row r="1008" spans="22:31" ht="11.25" customHeight="1" x14ac:dyDescent="0.25"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</row>
    <row r="1009" spans="22:31" ht="11.25" customHeight="1" x14ac:dyDescent="0.25"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</row>
    <row r="1010" spans="22:31" ht="11.25" customHeight="1" x14ac:dyDescent="0.25"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</row>
    <row r="1011" spans="22:31" ht="11.25" customHeight="1" x14ac:dyDescent="0.25"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</row>
    <row r="1012" spans="22:31" ht="11.25" customHeight="1" x14ac:dyDescent="0.25"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</row>
    <row r="1013" spans="22:31" ht="11.25" customHeight="1" x14ac:dyDescent="0.25"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</row>
    <row r="1014" spans="22:31" ht="11.25" customHeight="1" x14ac:dyDescent="0.25"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</row>
    <row r="1015" spans="22:31" ht="11.25" customHeight="1" x14ac:dyDescent="0.25"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</row>
    <row r="1016" spans="22:31" ht="11.25" customHeight="1" x14ac:dyDescent="0.25"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</row>
    <row r="1017" spans="22:31" ht="11.25" customHeight="1" x14ac:dyDescent="0.25"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</row>
    <row r="1018" spans="22:31" ht="11.25" customHeight="1" x14ac:dyDescent="0.25"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</row>
    <row r="1019" spans="22:31" ht="11.25" customHeight="1" x14ac:dyDescent="0.25"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</row>
    <row r="1020" spans="22:31" ht="11.25" customHeight="1" x14ac:dyDescent="0.25"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</row>
    <row r="1021" spans="22:31" ht="11.25" customHeight="1" x14ac:dyDescent="0.25"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</row>
    <row r="1022" spans="22:31" ht="11.25" customHeight="1" x14ac:dyDescent="0.25"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</row>
    <row r="1023" spans="22:31" ht="11.25" customHeight="1" x14ac:dyDescent="0.25"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</row>
    <row r="1024" spans="22:31" ht="11.25" customHeight="1" x14ac:dyDescent="0.25"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</row>
    <row r="1025" spans="22:31" ht="11.25" customHeight="1" x14ac:dyDescent="0.25"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</row>
    <row r="1026" spans="22:31" ht="11.25" customHeight="1" x14ac:dyDescent="0.25"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</row>
    <row r="1027" spans="22:31" ht="11.25" customHeight="1" x14ac:dyDescent="0.25"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</row>
    <row r="1028" spans="22:31" ht="11.25" customHeight="1" x14ac:dyDescent="0.25"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</row>
    <row r="1029" spans="22:31" ht="11.25" customHeight="1" x14ac:dyDescent="0.25"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</row>
    <row r="1030" spans="22:31" ht="11.25" customHeight="1" x14ac:dyDescent="0.25"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</row>
    <row r="1031" spans="22:31" ht="11.25" customHeight="1" x14ac:dyDescent="0.25"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</row>
    <row r="1032" spans="22:31" ht="11.25" customHeight="1" x14ac:dyDescent="0.25"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</row>
    <row r="1033" spans="22:31" ht="11.25" customHeight="1" x14ac:dyDescent="0.25"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</row>
    <row r="1034" spans="22:31" ht="11.25" customHeight="1" x14ac:dyDescent="0.25"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</row>
    <row r="1035" spans="22:31" ht="11.25" customHeight="1" x14ac:dyDescent="0.25"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</row>
    <row r="1036" spans="22:31" ht="11.25" customHeight="1" x14ac:dyDescent="0.25"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</row>
    <row r="1037" spans="22:31" ht="11.25" customHeight="1" x14ac:dyDescent="0.25"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</row>
    <row r="1038" spans="22:31" ht="11.25" customHeight="1" x14ac:dyDescent="0.25"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</row>
    <row r="1039" spans="22:31" ht="11.25" customHeight="1" x14ac:dyDescent="0.25"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</row>
    <row r="1040" spans="22:31" ht="11.25" customHeight="1" x14ac:dyDescent="0.25"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</row>
    <row r="1041" spans="22:31" ht="11.25" customHeight="1" x14ac:dyDescent="0.25"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</row>
    <row r="1042" spans="22:31" ht="11.25" customHeight="1" x14ac:dyDescent="0.25"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</row>
    <row r="1043" spans="22:31" ht="11.25" customHeight="1" x14ac:dyDescent="0.25"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22:31" ht="11.25" customHeight="1" x14ac:dyDescent="0.25"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22:31" ht="11.25" customHeight="1" x14ac:dyDescent="0.25"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22:31" ht="11.25" customHeight="1" x14ac:dyDescent="0.25"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</row>
    <row r="1047" spans="22:31" ht="11.25" customHeight="1" x14ac:dyDescent="0.25"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</row>
    <row r="1048" spans="22:31" ht="11.25" customHeight="1" x14ac:dyDescent="0.25"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</row>
    <row r="1049" spans="22:31" ht="11.25" customHeight="1" x14ac:dyDescent="0.25"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</row>
    <row r="1050" spans="22:31" ht="11.25" customHeight="1" x14ac:dyDescent="0.25"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</row>
    <row r="1051" spans="22:31" ht="11.25" customHeight="1" x14ac:dyDescent="0.25"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</row>
    <row r="1052" spans="22:31" ht="11.25" customHeight="1" x14ac:dyDescent="0.25"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</row>
    <row r="1053" spans="22:31" ht="11.25" customHeight="1" x14ac:dyDescent="0.25"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</row>
    <row r="1054" spans="22:31" ht="11.25" customHeight="1" x14ac:dyDescent="0.25"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</row>
    <row r="1055" spans="22:31" ht="11.25" customHeight="1" x14ac:dyDescent="0.25"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</row>
    <row r="1056" spans="22:31" ht="11.25" customHeight="1" x14ac:dyDescent="0.25"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</row>
    <row r="1057" spans="22:31" ht="11.25" customHeight="1" x14ac:dyDescent="0.25"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</row>
    <row r="1058" spans="22:31" ht="11.25" customHeight="1" x14ac:dyDescent="0.25"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</row>
    <row r="1059" spans="22:31" ht="11.25" customHeight="1" x14ac:dyDescent="0.25"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</row>
    <row r="1060" spans="22:31" ht="11.25" customHeight="1" x14ac:dyDescent="0.25"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</row>
    <row r="1061" spans="22:31" ht="11.25" customHeight="1" x14ac:dyDescent="0.25"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</row>
    <row r="1062" spans="22:31" ht="11.25" customHeight="1" x14ac:dyDescent="0.25"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</row>
    <row r="1063" spans="22:31" ht="11.25" customHeight="1" x14ac:dyDescent="0.25"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</row>
    <row r="1064" spans="22:31" ht="11.25" customHeight="1" x14ac:dyDescent="0.25"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</row>
    <row r="1065" spans="22:31" ht="11.25" customHeight="1" x14ac:dyDescent="0.25"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</row>
    <row r="1066" spans="22:31" ht="11.25" customHeight="1" x14ac:dyDescent="0.25"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</row>
    <row r="1067" spans="22:31" ht="11.25" customHeight="1" x14ac:dyDescent="0.25"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</row>
    <row r="1068" spans="22:31" ht="11.25" customHeight="1" x14ac:dyDescent="0.25"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</row>
    <row r="1069" spans="22:31" ht="11.25" customHeight="1" x14ac:dyDescent="0.25"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</row>
    <row r="1070" spans="22:31" ht="11.25" customHeight="1" x14ac:dyDescent="0.25"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</row>
    <row r="1071" spans="22:31" ht="11.25" customHeight="1" x14ac:dyDescent="0.25"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</row>
    <row r="1072" spans="22:31" ht="11.25" customHeight="1" x14ac:dyDescent="0.25"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</row>
    <row r="1073" spans="22:31" ht="11.25" customHeight="1" x14ac:dyDescent="0.25"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</row>
    <row r="1074" spans="22:31" ht="11.25" customHeight="1" x14ac:dyDescent="0.25"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</row>
    <row r="1075" spans="22:31" ht="11.25" customHeight="1" x14ac:dyDescent="0.25"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</row>
    <row r="1076" spans="22:31" ht="11.25" customHeight="1" x14ac:dyDescent="0.25"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</row>
    <row r="1077" spans="22:31" ht="11.25" customHeight="1" x14ac:dyDescent="0.25"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</row>
    <row r="1078" spans="22:31" ht="11.25" customHeight="1" x14ac:dyDescent="0.25"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</row>
    <row r="1079" spans="22:31" ht="11.25" customHeight="1" x14ac:dyDescent="0.25"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</row>
    <row r="1080" spans="22:31" ht="11.25" customHeight="1" x14ac:dyDescent="0.25"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</row>
    <row r="1081" spans="22:31" ht="11.25" customHeight="1" x14ac:dyDescent="0.25"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</row>
    <row r="1082" spans="22:31" ht="11.25" customHeight="1" x14ac:dyDescent="0.25"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</row>
    <row r="1083" spans="22:31" ht="11.25" customHeight="1" x14ac:dyDescent="0.25"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</row>
    <row r="1084" spans="22:31" ht="11.25" customHeight="1" x14ac:dyDescent="0.25"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</row>
    <row r="1085" spans="22:31" ht="11.25" customHeight="1" x14ac:dyDescent="0.25"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</row>
    <row r="1086" spans="22:31" ht="11.25" customHeight="1" x14ac:dyDescent="0.25"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</row>
    <row r="1087" spans="22:31" ht="11.25" customHeight="1" x14ac:dyDescent="0.25"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</row>
    <row r="1088" spans="22:31" ht="11.25" customHeight="1" x14ac:dyDescent="0.25"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</row>
    <row r="1089" spans="22:31" ht="11.25" customHeight="1" x14ac:dyDescent="0.25"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</row>
    <row r="1090" spans="22:31" ht="11.25" customHeight="1" x14ac:dyDescent="0.25"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</row>
    <row r="1091" spans="22:31" ht="11.25" customHeight="1" x14ac:dyDescent="0.25"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</row>
    <row r="1092" spans="22:31" ht="11.25" customHeight="1" x14ac:dyDescent="0.25"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</row>
    <row r="1093" spans="22:31" ht="11.25" customHeight="1" x14ac:dyDescent="0.25"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</row>
    <row r="1094" spans="22:31" ht="11.25" customHeight="1" x14ac:dyDescent="0.25"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</row>
    <row r="1095" spans="22:31" ht="11.25" customHeight="1" x14ac:dyDescent="0.25"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</row>
    <row r="1096" spans="22:31" ht="11.25" customHeight="1" x14ac:dyDescent="0.25"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</row>
    <row r="1097" spans="22:31" ht="11.25" customHeight="1" x14ac:dyDescent="0.25"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</row>
    <row r="1098" spans="22:31" ht="11.25" customHeight="1" x14ac:dyDescent="0.25"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</row>
    <row r="1099" spans="22:31" ht="11.25" customHeight="1" x14ac:dyDescent="0.25"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</row>
    <row r="1100" spans="22:31" ht="11.25" customHeight="1" x14ac:dyDescent="0.25"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</row>
    <row r="1101" spans="22:31" ht="11.25" customHeight="1" x14ac:dyDescent="0.25"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</row>
    <row r="1102" spans="22:31" ht="11.25" customHeight="1" x14ac:dyDescent="0.25"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</row>
    <row r="1103" spans="22:31" ht="11.25" customHeight="1" x14ac:dyDescent="0.25"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</row>
    <row r="1104" spans="22:31" ht="11.25" customHeight="1" x14ac:dyDescent="0.25"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</row>
    <row r="1105" spans="22:31" ht="11.25" customHeight="1" x14ac:dyDescent="0.25"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</row>
    <row r="1106" spans="22:31" ht="11.25" customHeight="1" x14ac:dyDescent="0.25"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</row>
    <row r="1107" spans="22:31" ht="11.25" customHeight="1" x14ac:dyDescent="0.25"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</row>
    <row r="1108" spans="22:31" ht="11.25" customHeight="1" x14ac:dyDescent="0.25"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</row>
    <row r="1109" spans="22:31" ht="11.25" customHeight="1" x14ac:dyDescent="0.25"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</row>
    <row r="1110" spans="22:31" ht="11.25" customHeight="1" x14ac:dyDescent="0.25"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</row>
    <row r="1111" spans="22:31" ht="11.25" customHeight="1" x14ac:dyDescent="0.25"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</row>
    <row r="1112" spans="22:31" ht="11.25" customHeight="1" x14ac:dyDescent="0.25"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</row>
    <row r="1113" spans="22:31" ht="11.25" customHeight="1" x14ac:dyDescent="0.25"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</row>
    <row r="1114" spans="22:31" ht="11.25" customHeight="1" x14ac:dyDescent="0.25"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</row>
    <row r="1115" spans="22:31" ht="11.25" customHeight="1" x14ac:dyDescent="0.25"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</row>
    <row r="1116" spans="22:31" ht="11.25" customHeight="1" x14ac:dyDescent="0.25"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</row>
    <row r="1117" spans="22:31" ht="11.25" customHeight="1" x14ac:dyDescent="0.25"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</row>
    <row r="1118" spans="22:31" ht="11.25" customHeight="1" x14ac:dyDescent="0.25"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</row>
    <row r="1119" spans="22:31" ht="11.25" customHeight="1" x14ac:dyDescent="0.25"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</row>
    <row r="1120" spans="22:31" ht="11.25" customHeight="1" x14ac:dyDescent="0.25"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</row>
    <row r="1121" spans="22:31" ht="11.25" customHeight="1" x14ac:dyDescent="0.25"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</row>
    <row r="1122" spans="22:31" ht="11.25" customHeight="1" x14ac:dyDescent="0.25"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</row>
    <row r="1123" spans="22:31" ht="11.25" customHeight="1" x14ac:dyDescent="0.25"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</row>
    <row r="1124" spans="22:31" ht="11.25" customHeight="1" x14ac:dyDescent="0.25"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</row>
    <row r="1125" spans="22:31" ht="11.25" customHeight="1" x14ac:dyDescent="0.25"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</row>
    <row r="1126" spans="22:31" ht="11.25" customHeight="1" x14ac:dyDescent="0.25"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</row>
    <row r="1127" spans="22:31" ht="11.25" customHeight="1" x14ac:dyDescent="0.25"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</row>
    <row r="1128" spans="22:31" ht="11.25" customHeight="1" x14ac:dyDescent="0.25"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</row>
    <row r="1129" spans="22:31" ht="11.25" customHeight="1" x14ac:dyDescent="0.25"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</row>
    <row r="1130" spans="22:31" ht="11.25" customHeight="1" x14ac:dyDescent="0.25"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</row>
    <row r="1131" spans="22:31" ht="11.25" customHeight="1" x14ac:dyDescent="0.25"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</row>
    <row r="1132" spans="22:31" ht="11.25" customHeight="1" x14ac:dyDescent="0.25"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</row>
    <row r="1133" spans="22:31" ht="11.25" customHeight="1" x14ac:dyDescent="0.25"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</row>
    <row r="1134" spans="22:31" ht="11.25" customHeight="1" x14ac:dyDescent="0.25"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</row>
    <row r="1135" spans="22:31" ht="11.25" customHeight="1" x14ac:dyDescent="0.25"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</row>
    <row r="1136" spans="22:31" ht="11.25" customHeight="1" x14ac:dyDescent="0.25"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</row>
    <row r="1137" spans="22:31" ht="11.25" customHeight="1" x14ac:dyDescent="0.25"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</row>
    <row r="1138" spans="22:31" ht="11.25" customHeight="1" x14ac:dyDescent="0.25"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</row>
    <row r="1139" spans="22:31" ht="11.25" customHeight="1" x14ac:dyDescent="0.25"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</row>
    <row r="1140" spans="22:31" ht="11.25" customHeight="1" x14ac:dyDescent="0.25"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</row>
    <row r="1141" spans="22:31" ht="11.25" customHeight="1" x14ac:dyDescent="0.25"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</row>
    <row r="1142" spans="22:31" ht="11.25" customHeight="1" x14ac:dyDescent="0.25"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</row>
    <row r="1143" spans="22:31" ht="11.25" customHeight="1" x14ac:dyDescent="0.25"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</row>
    <row r="1144" spans="22:31" ht="11.25" customHeight="1" x14ac:dyDescent="0.25"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</row>
    <row r="1145" spans="22:31" ht="11.25" customHeight="1" x14ac:dyDescent="0.25"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</row>
    <row r="1146" spans="22:31" ht="11.25" customHeight="1" x14ac:dyDescent="0.25"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</row>
    <row r="1147" spans="22:31" ht="11.25" customHeight="1" x14ac:dyDescent="0.25"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</row>
    <row r="1148" spans="22:31" ht="11.25" customHeight="1" x14ac:dyDescent="0.25"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</row>
    <row r="1149" spans="22:31" ht="11.25" customHeight="1" x14ac:dyDescent="0.25"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</row>
    <row r="1150" spans="22:31" ht="11.25" customHeight="1" x14ac:dyDescent="0.25"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</row>
    <row r="1151" spans="22:31" ht="11.25" customHeight="1" x14ac:dyDescent="0.25"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</row>
    <row r="1152" spans="22:31" ht="11.25" customHeight="1" x14ac:dyDescent="0.25"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</row>
    <row r="1153" spans="22:31" ht="11.25" customHeight="1" x14ac:dyDescent="0.25"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</row>
    <row r="1154" spans="22:31" ht="11.25" customHeight="1" x14ac:dyDescent="0.25"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</row>
    <row r="1155" spans="22:31" ht="11.25" customHeight="1" x14ac:dyDescent="0.25"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</row>
    <row r="1156" spans="22:31" ht="11.25" customHeight="1" x14ac:dyDescent="0.25"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</row>
    <row r="1157" spans="22:31" ht="11.25" customHeight="1" x14ac:dyDescent="0.25"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</row>
    <row r="1158" spans="22:31" ht="11.25" customHeight="1" x14ac:dyDescent="0.25"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</row>
    <row r="1159" spans="22:31" ht="11.25" customHeight="1" x14ac:dyDescent="0.25"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</row>
    <row r="1160" spans="22:31" ht="11.25" customHeight="1" x14ac:dyDescent="0.25"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</row>
    <row r="1161" spans="22:31" ht="11.25" customHeight="1" x14ac:dyDescent="0.25"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</row>
    <row r="1162" spans="22:31" ht="11.25" customHeight="1" x14ac:dyDescent="0.25"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</row>
    <row r="1163" spans="22:31" ht="11.25" customHeight="1" x14ac:dyDescent="0.25"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</row>
    <row r="1164" spans="22:31" ht="11.25" customHeight="1" x14ac:dyDescent="0.25"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</row>
    <row r="1165" spans="22:31" ht="11.25" customHeight="1" x14ac:dyDescent="0.25"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</row>
    <row r="1166" spans="22:31" ht="11.25" customHeight="1" x14ac:dyDescent="0.25"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</row>
    <row r="1167" spans="22:31" ht="11.25" customHeight="1" x14ac:dyDescent="0.25"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</row>
    <row r="1168" spans="22:31" ht="11.25" customHeight="1" x14ac:dyDescent="0.25"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</row>
    <row r="1169" spans="22:31" ht="11.25" customHeight="1" x14ac:dyDescent="0.25"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22:31" ht="11.25" customHeight="1" x14ac:dyDescent="0.25"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22:31" ht="11.25" customHeight="1" x14ac:dyDescent="0.25"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</row>
    <row r="1172" spans="22:31" ht="11.25" customHeight="1" x14ac:dyDescent="0.25"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</row>
    <row r="1173" spans="22:31" ht="11.25" customHeight="1" x14ac:dyDescent="0.25"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</row>
    <row r="1174" spans="22:31" ht="11.25" customHeight="1" x14ac:dyDescent="0.25"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</row>
    <row r="1175" spans="22:31" ht="11.25" customHeight="1" x14ac:dyDescent="0.25"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</row>
    <row r="1176" spans="22:31" ht="11.25" customHeight="1" x14ac:dyDescent="0.25"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</row>
    <row r="1177" spans="22:31" ht="11.25" customHeight="1" x14ac:dyDescent="0.25"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</row>
    <row r="1178" spans="22:31" ht="11.25" customHeight="1" x14ac:dyDescent="0.25"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</row>
    <row r="1179" spans="22:31" ht="11.25" customHeight="1" x14ac:dyDescent="0.25"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</row>
    <row r="1180" spans="22:31" ht="11.25" customHeight="1" x14ac:dyDescent="0.25"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</row>
    <row r="1181" spans="22:31" ht="11.25" customHeight="1" x14ac:dyDescent="0.25"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</row>
    <row r="1182" spans="22:31" ht="11.25" customHeight="1" x14ac:dyDescent="0.25"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</row>
    <row r="1183" spans="22:31" ht="11.25" customHeight="1" x14ac:dyDescent="0.25"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</row>
    <row r="1184" spans="22:31" ht="11.25" customHeight="1" x14ac:dyDescent="0.25"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</row>
    <row r="1185" spans="22:31" ht="11.25" customHeight="1" x14ac:dyDescent="0.25"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</row>
    <row r="1186" spans="22:31" ht="11.25" customHeight="1" x14ac:dyDescent="0.25"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</row>
    <row r="1187" spans="22:31" ht="11.25" customHeight="1" x14ac:dyDescent="0.25"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</row>
    <row r="1188" spans="22:31" ht="11.25" customHeight="1" x14ac:dyDescent="0.25"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</row>
    <row r="1189" spans="22:31" ht="11.25" customHeight="1" x14ac:dyDescent="0.25"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</row>
    <row r="1190" spans="22:31" ht="11.25" customHeight="1" x14ac:dyDescent="0.25"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</row>
    <row r="1191" spans="22:31" ht="11.25" customHeight="1" x14ac:dyDescent="0.25"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</row>
    <row r="1192" spans="22:31" ht="11.25" customHeight="1" x14ac:dyDescent="0.25"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</row>
    <row r="1193" spans="22:31" ht="11.25" customHeight="1" x14ac:dyDescent="0.25"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</row>
    <row r="1194" spans="22:31" ht="11.25" customHeight="1" x14ac:dyDescent="0.25"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</row>
    <row r="1195" spans="22:31" ht="11.25" customHeight="1" x14ac:dyDescent="0.25"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</row>
    <row r="1196" spans="22:31" ht="11.25" customHeight="1" x14ac:dyDescent="0.25"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</row>
    <row r="1197" spans="22:31" ht="11.25" customHeight="1" x14ac:dyDescent="0.25"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</row>
    <row r="1198" spans="22:31" ht="11.25" customHeight="1" x14ac:dyDescent="0.25"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</row>
    <row r="1199" spans="22:31" ht="11.25" customHeight="1" x14ac:dyDescent="0.25"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</row>
    <row r="1200" spans="22:31" ht="11.25" customHeight="1" x14ac:dyDescent="0.25"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</row>
    <row r="1201" spans="22:31" ht="11.25" customHeight="1" x14ac:dyDescent="0.25"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</row>
    <row r="1202" spans="22:31" ht="11.25" customHeight="1" x14ac:dyDescent="0.25"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</row>
    <row r="1203" spans="22:31" ht="11.25" customHeight="1" x14ac:dyDescent="0.25"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</row>
    <row r="1204" spans="22:31" ht="11.25" customHeight="1" x14ac:dyDescent="0.25"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</row>
    <row r="1205" spans="22:31" ht="11.25" customHeight="1" x14ac:dyDescent="0.25"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</row>
    <row r="1206" spans="22:31" ht="11.25" customHeight="1" x14ac:dyDescent="0.25"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</row>
    <row r="1207" spans="22:31" ht="11.25" customHeight="1" x14ac:dyDescent="0.25"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</row>
    <row r="1208" spans="22:31" ht="11.25" customHeight="1" x14ac:dyDescent="0.25"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</row>
    <row r="1209" spans="22:31" ht="11.25" customHeight="1" x14ac:dyDescent="0.25"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</row>
    <row r="1210" spans="22:31" ht="11.25" customHeight="1" x14ac:dyDescent="0.25"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</row>
    <row r="1211" spans="22:31" ht="11.25" customHeight="1" x14ac:dyDescent="0.25"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</row>
    <row r="1212" spans="22:31" ht="11.25" customHeight="1" x14ac:dyDescent="0.25"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</row>
    <row r="1213" spans="22:31" ht="11.25" customHeight="1" x14ac:dyDescent="0.25"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</row>
    <row r="1214" spans="22:31" ht="11.25" customHeight="1" x14ac:dyDescent="0.25"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22:31" ht="11.25" customHeight="1" x14ac:dyDescent="0.25"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22:31" ht="11.25" customHeight="1" x14ac:dyDescent="0.25"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22:31" ht="11.25" customHeight="1" x14ac:dyDescent="0.25"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</row>
    <row r="1218" spans="22:31" ht="11.25" customHeight="1" x14ac:dyDescent="0.25"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</row>
    <row r="1219" spans="22:31" ht="11.25" customHeight="1" x14ac:dyDescent="0.25"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</row>
    <row r="1220" spans="22:31" ht="11.25" customHeight="1" x14ac:dyDescent="0.25"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</row>
    <row r="1221" spans="22:31" ht="11.25" customHeight="1" x14ac:dyDescent="0.25"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</row>
    <row r="1222" spans="22:31" ht="11.25" customHeight="1" x14ac:dyDescent="0.25"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</row>
    <row r="1223" spans="22:31" ht="11.25" customHeight="1" x14ac:dyDescent="0.25"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</row>
    <row r="1224" spans="22:31" ht="11.25" customHeight="1" x14ac:dyDescent="0.25"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</row>
    <row r="1225" spans="22:31" ht="11.25" customHeight="1" x14ac:dyDescent="0.25"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</row>
    <row r="1226" spans="22:31" ht="11.25" customHeight="1" x14ac:dyDescent="0.25"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</row>
    <row r="1227" spans="22:31" ht="11.25" customHeight="1" x14ac:dyDescent="0.25"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</row>
    <row r="1228" spans="22:31" ht="11.25" customHeight="1" x14ac:dyDescent="0.25"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</row>
    <row r="1229" spans="22:31" ht="11.25" customHeight="1" x14ac:dyDescent="0.25"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</row>
    <row r="1230" spans="22:31" ht="11.25" customHeight="1" x14ac:dyDescent="0.25"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</row>
    <row r="1231" spans="22:31" ht="11.25" customHeight="1" x14ac:dyDescent="0.25"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</row>
    <row r="1232" spans="22:31" ht="11.25" customHeight="1" x14ac:dyDescent="0.25"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</row>
    <row r="1233" spans="22:31" ht="11.25" customHeight="1" x14ac:dyDescent="0.25"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</row>
    <row r="1234" spans="22:31" ht="11.25" customHeight="1" x14ac:dyDescent="0.25"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</row>
    <row r="1235" spans="22:31" ht="11.25" customHeight="1" x14ac:dyDescent="0.25"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</row>
    <row r="1236" spans="22:31" ht="11.25" customHeight="1" x14ac:dyDescent="0.25"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</row>
    <row r="1237" spans="22:31" ht="11.25" customHeight="1" x14ac:dyDescent="0.25"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</row>
    <row r="1238" spans="22:31" ht="11.25" customHeight="1" x14ac:dyDescent="0.25"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</row>
    <row r="1239" spans="22:31" ht="11.25" customHeight="1" x14ac:dyDescent="0.25"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</row>
    <row r="1240" spans="22:31" ht="11.25" customHeight="1" x14ac:dyDescent="0.25"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</row>
    <row r="1241" spans="22:31" ht="11.25" customHeight="1" x14ac:dyDescent="0.25"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</row>
    <row r="1242" spans="22:31" ht="11.25" customHeight="1" x14ac:dyDescent="0.25"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</row>
    <row r="1243" spans="22:31" ht="11.25" customHeight="1" x14ac:dyDescent="0.25"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</row>
    <row r="1244" spans="22:31" ht="11.25" customHeight="1" x14ac:dyDescent="0.25"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</row>
    <row r="1245" spans="22:31" ht="11.25" customHeight="1" x14ac:dyDescent="0.25"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</row>
    <row r="1246" spans="22:31" ht="11.25" customHeight="1" x14ac:dyDescent="0.25"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</row>
    <row r="1247" spans="22:31" ht="11.25" customHeight="1" x14ac:dyDescent="0.25"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</row>
    <row r="1248" spans="22:31" ht="11.25" customHeight="1" x14ac:dyDescent="0.25"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</row>
    <row r="1249" spans="22:31" ht="11.25" customHeight="1" x14ac:dyDescent="0.25"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</row>
    <row r="1250" spans="22:31" ht="11.25" customHeight="1" x14ac:dyDescent="0.25"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</row>
    <row r="1251" spans="22:31" ht="11.25" customHeight="1" x14ac:dyDescent="0.25"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</row>
    <row r="1252" spans="22:31" ht="11.25" customHeight="1" x14ac:dyDescent="0.25"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</row>
    <row r="1253" spans="22:31" ht="11.25" customHeight="1" x14ac:dyDescent="0.25"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</row>
    <row r="1254" spans="22:31" ht="11.25" customHeight="1" x14ac:dyDescent="0.25"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</row>
    <row r="1255" spans="22:31" ht="11.25" customHeight="1" x14ac:dyDescent="0.25"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</row>
    <row r="1256" spans="22:31" ht="11.25" customHeight="1" x14ac:dyDescent="0.25"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</row>
    <row r="1257" spans="22:31" ht="11.25" customHeight="1" x14ac:dyDescent="0.25"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</row>
    <row r="1258" spans="22:31" ht="11.25" customHeight="1" x14ac:dyDescent="0.25"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</row>
    <row r="1259" spans="22:31" ht="11.25" customHeight="1" x14ac:dyDescent="0.25"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</row>
    <row r="1260" spans="22:31" ht="11.25" customHeight="1" x14ac:dyDescent="0.25"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</row>
    <row r="1261" spans="22:31" ht="11.25" customHeight="1" x14ac:dyDescent="0.25"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</row>
    <row r="1262" spans="22:31" ht="11.25" customHeight="1" x14ac:dyDescent="0.25"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47017-8B25-4D75-8625-9FE561FD53DB}">
  <dimension ref="A1:J960"/>
  <sheetViews>
    <sheetView showGridLines="0" workbookViewId="0"/>
  </sheetViews>
  <sheetFormatPr defaultRowHeight="11.25" customHeight="1" x14ac:dyDescent="0.2"/>
  <cols>
    <col min="1" max="1" width="41.140625" style="16" bestFit="1" customWidth="1"/>
    <col min="2" max="2" width="24.5703125" style="57" bestFit="1" customWidth="1"/>
    <col min="3" max="3" width="25.5703125" style="57" bestFit="1" customWidth="1"/>
    <col min="4" max="4" width="26" style="57" bestFit="1" customWidth="1"/>
    <col min="5" max="5" width="26.85546875" style="57" bestFit="1" customWidth="1"/>
    <col min="6" max="6" width="23.7109375" style="57" bestFit="1" customWidth="1"/>
    <col min="7" max="7" width="24.5703125" style="57" bestFit="1" customWidth="1"/>
    <col min="8" max="8" width="18.28515625" style="58" bestFit="1" customWidth="1"/>
    <col min="9" max="9" width="16" style="58" bestFit="1" customWidth="1"/>
    <col min="10" max="10" width="13.85546875" style="58" bestFit="1" customWidth="1"/>
    <col min="11" max="16384" width="9.140625" style="16"/>
  </cols>
  <sheetData>
    <row r="1" spans="1:10" ht="11.25" customHeight="1" x14ac:dyDescent="0.2">
      <c r="A1" s="56" t="s">
        <v>830</v>
      </c>
      <c r="B1" s="57" t="s">
        <v>831</v>
      </c>
      <c r="C1" s="57" t="s">
        <v>832</v>
      </c>
      <c r="D1" s="57" t="s">
        <v>833</v>
      </c>
      <c r="E1" s="57" t="s">
        <v>834</v>
      </c>
      <c r="F1" s="57" t="s">
        <v>835</v>
      </c>
      <c r="G1" s="57" t="s">
        <v>836</v>
      </c>
      <c r="H1" s="58" t="s">
        <v>837</v>
      </c>
      <c r="I1" s="58" t="s">
        <v>838</v>
      </c>
      <c r="J1" s="58" t="s">
        <v>839</v>
      </c>
    </row>
    <row r="2" spans="1:10" ht="11.25" customHeight="1" x14ac:dyDescent="0.2">
      <c r="A2" s="59" t="s">
        <v>26</v>
      </c>
      <c r="B2" s="57">
        <v>6815822.524000003</v>
      </c>
      <c r="C2" s="57">
        <v>7758462.263554221</v>
      </c>
      <c r="D2" s="57">
        <v>123532865.13284034</v>
      </c>
      <c r="E2" s="57">
        <v>175631334.65105727</v>
      </c>
      <c r="F2" s="57">
        <v>135397532.81943473</v>
      </c>
      <c r="G2" s="57">
        <v>140782037.99497265</v>
      </c>
      <c r="H2" s="58">
        <v>0.40691709453499736</v>
      </c>
      <c r="I2" s="58">
        <v>3.9768118838017674E-2</v>
      </c>
      <c r="J2" s="58">
        <v>0.2198549214683001</v>
      </c>
    </row>
    <row r="3" spans="1:10" ht="11.25" customHeight="1" x14ac:dyDescent="0.2">
      <c r="A3" s="60" t="s">
        <v>39</v>
      </c>
      <c r="B3" s="57">
        <v>6815822.524000003</v>
      </c>
      <c r="C3" s="57">
        <v>7758462.263554221</v>
      </c>
      <c r="D3" s="57">
        <v>6807753.2577695996</v>
      </c>
      <c r="E3" s="57">
        <v>11583621.641371882</v>
      </c>
      <c r="F3" s="57">
        <v>18589571.982678398</v>
      </c>
      <c r="G3" s="57">
        <v>18950425.703951713</v>
      </c>
      <c r="H3" s="58">
        <v>0.41975089468131577</v>
      </c>
      <c r="I3" s="58">
        <v>1.9411620752191272E-2</v>
      </c>
      <c r="J3" s="58">
        <v>0.18872299872349929</v>
      </c>
    </row>
    <row r="4" spans="1:10" ht="11.25" customHeight="1" x14ac:dyDescent="0.2">
      <c r="A4" s="61" t="s">
        <v>42</v>
      </c>
      <c r="B4" s="57">
        <v>1861671.0359999994</v>
      </c>
      <c r="C4" s="57">
        <v>2122700.8498122408</v>
      </c>
      <c r="D4" s="57">
        <v>902810.56620999973</v>
      </c>
      <c r="E4" s="57">
        <v>1794920.5568046849</v>
      </c>
      <c r="F4" s="57">
        <v>3838883.4713391988</v>
      </c>
      <c r="G4" s="57">
        <v>3911439.3290535831</v>
      </c>
      <c r="H4" s="58">
        <v>0.41712695916842946</v>
      </c>
      <c r="I4" s="58">
        <v>1.8900250100343019E-2</v>
      </c>
      <c r="J4" s="58">
        <v>0.18561682543208513</v>
      </c>
    </row>
    <row r="5" spans="1:10" ht="11.25" customHeight="1" x14ac:dyDescent="0.2">
      <c r="A5" s="62" t="s">
        <v>41</v>
      </c>
      <c r="B5" s="57">
        <v>331866.57000000007</v>
      </c>
      <c r="C5" s="57">
        <v>378381.40440420032</v>
      </c>
      <c r="D5" s="57">
        <v>132941.74499999994</v>
      </c>
      <c r="E5" s="57">
        <v>264307.7959972411</v>
      </c>
      <c r="F5" s="57">
        <v>559546.75435999979</v>
      </c>
      <c r="G5" s="57">
        <v>570219.4038402841</v>
      </c>
      <c r="H5" s="58">
        <v>0.38269729619927539</v>
      </c>
      <c r="I5" s="58">
        <v>1.9073740303420017E-2</v>
      </c>
      <c r="J5" s="58">
        <v>0.18407048544166482</v>
      </c>
    </row>
    <row r="6" spans="1:10" ht="11.25" customHeight="1" x14ac:dyDescent="0.2">
      <c r="A6" s="63" t="s">
        <v>25</v>
      </c>
      <c r="B6" s="57">
        <v>331866.57000000007</v>
      </c>
      <c r="C6" s="57">
        <v>378381.40440420032</v>
      </c>
      <c r="D6" s="57">
        <v>132941.74499999994</v>
      </c>
      <c r="E6" s="57">
        <v>264307.7959972411</v>
      </c>
      <c r="F6" s="57">
        <v>559546.75435999979</v>
      </c>
      <c r="G6" s="57">
        <v>570219.4038402841</v>
      </c>
      <c r="H6" s="58">
        <v>0.38269729619927539</v>
      </c>
      <c r="I6" s="58">
        <v>1.9073740303420017E-2</v>
      </c>
      <c r="J6" s="58">
        <v>0.18407048544166482</v>
      </c>
    </row>
    <row r="7" spans="1:10" ht="11.25" customHeight="1" x14ac:dyDescent="0.2">
      <c r="A7" s="64" t="s">
        <v>25</v>
      </c>
      <c r="B7" s="57">
        <v>331866.57000000007</v>
      </c>
      <c r="C7" s="57">
        <v>378381.40440420032</v>
      </c>
      <c r="D7" s="57">
        <v>132941.74499999994</v>
      </c>
      <c r="E7" s="57">
        <v>264307.7959972411</v>
      </c>
      <c r="F7" s="57">
        <v>559546.75435999979</v>
      </c>
      <c r="G7" s="57">
        <v>570219.4038402841</v>
      </c>
      <c r="H7" s="58">
        <v>0.38269729619927539</v>
      </c>
      <c r="I7" s="58">
        <v>1.9073740303420017E-2</v>
      </c>
      <c r="J7" s="58">
        <v>0.18407048544166482</v>
      </c>
    </row>
    <row r="8" spans="1:10" ht="11.25" customHeight="1" x14ac:dyDescent="0.2">
      <c r="A8" s="65" t="s">
        <v>25</v>
      </c>
      <c r="B8" s="57">
        <v>331866.57000000007</v>
      </c>
      <c r="C8" s="57">
        <v>378381.40440420032</v>
      </c>
      <c r="D8" s="57">
        <v>132941.74499999994</v>
      </c>
      <c r="E8" s="57">
        <v>264307.7959972411</v>
      </c>
      <c r="F8" s="57">
        <v>559546.75435999979</v>
      </c>
      <c r="G8" s="57">
        <v>570219.4038402841</v>
      </c>
      <c r="H8" s="58">
        <v>0.38269729619927539</v>
      </c>
      <c r="I8" s="58">
        <v>1.9073740303420017E-2</v>
      </c>
      <c r="J8" s="58">
        <v>0.18407048544166482</v>
      </c>
    </row>
    <row r="9" spans="1:10" ht="11.25" customHeight="1" x14ac:dyDescent="0.2">
      <c r="A9" s="66" t="s">
        <v>35</v>
      </c>
      <c r="B9" s="57">
        <v>94598.400000000023</v>
      </c>
      <c r="C9" s="57">
        <v>107613.58707199257</v>
      </c>
      <c r="D9" s="57">
        <v>121508.98824999999</v>
      </c>
      <c r="E9" s="57">
        <v>241577.78941604964</v>
      </c>
      <c r="F9" s="57">
        <v>486162.60731999989</v>
      </c>
      <c r="G9" s="57">
        <v>495867.11722571682</v>
      </c>
      <c r="H9" s="58">
        <v>0.61582340759255438</v>
      </c>
      <c r="I9" s="58">
        <v>1.996144861739424E-2</v>
      </c>
      <c r="J9" s="58">
        <v>0.2033242186687243</v>
      </c>
    </row>
    <row r="10" spans="1:10" ht="11.25" customHeight="1" x14ac:dyDescent="0.2">
      <c r="A10" s="67">
        <v>44440</v>
      </c>
      <c r="B10" s="57">
        <v>7687.68</v>
      </c>
      <c r="C10" s="57">
        <v>8745.3785799930629</v>
      </c>
      <c r="D10" s="57">
        <v>9416.1504999999997</v>
      </c>
      <c r="E10" s="57">
        <v>18720.69593665496</v>
      </c>
      <c r="F10" s="57">
        <v>37674.416879999997</v>
      </c>
      <c r="G10" s="57">
        <v>38426.452816740421</v>
      </c>
      <c r="H10" s="58">
        <v>0.6058434697799433</v>
      </c>
      <c r="I10" s="58">
        <v>1.9961448617394684E-2</v>
      </c>
      <c r="J10" s="58">
        <v>0.20289586624208722</v>
      </c>
    </row>
    <row r="11" spans="1:10" ht="11.25" customHeight="1" x14ac:dyDescent="0.2">
      <c r="A11" s="67">
        <v>44470</v>
      </c>
      <c r="B11" s="57">
        <v>7937.28</v>
      </c>
      <c r="C11" s="57">
        <v>9029.3194429798496</v>
      </c>
      <c r="D11" s="57">
        <v>11349.329500000002</v>
      </c>
      <c r="E11" s="57">
        <v>22564.140903908479</v>
      </c>
      <c r="F11" s="57">
        <v>45409.147920000003</v>
      </c>
      <c r="G11" s="57">
        <v>46315.580292964754</v>
      </c>
      <c r="H11" s="58">
        <v>0.63810338706180181</v>
      </c>
      <c r="I11" s="58">
        <v>1.9961448617394684E-2</v>
      </c>
      <c r="J11" s="58">
        <v>0.20423724440033086</v>
      </c>
    </row>
    <row r="12" spans="1:10" ht="11.25" customHeight="1" x14ac:dyDescent="0.2">
      <c r="A12" s="67">
        <v>44501</v>
      </c>
      <c r="B12" s="57">
        <v>8586.24</v>
      </c>
      <c r="C12" s="57">
        <v>9767.5656867454964</v>
      </c>
      <c r="D12" s="57">
        <v>11636.144249999999</v>
      </c>
      <c r="E12" s="57">
        <v>23134.370927833617</v>
      </c>
      <c r="F12" s="57">
        <v>46556.705880000001</v>
      </c>
      <c r="G12" s="57">
        <v>47486.045172218772</v>
      </c>
      <c r="H12" s="58">
        <v>0.62700580741754597</v>
      </c>
      <c r="I12" s="58">
        <v>1.9961448617394462E-2</v>
      </c>
      <c r="J12" s="58">
        <v>0.20378971367092946</v>
      </c>
    </row>
    <row r="13" spans="1:10" ht="11.25" customHeight="1" x14ac:dyDescent="0.2">
      <c r="A13" s="67">
        <v>44531</v>
      </c>
      <c r="B13" s="57">
        <v>8153.6</v>
      </c>
      <c r="C13" s="57">
        <v>9275.4015242350652</v>
      </c>
      <c r="D13" s="57">
        <v>11001.652000000002</v>
      </c>
      <c r="E13" s="57">
        <v>21872.90675662968</v>
      </c>
      <c r="F13" s="57">
        <v>44018.075519999999</v>
      </c>
      <c r="G13" s="57">
        <v>44896.740072729073</v>
      </c>
      <c r="H13" s="58">
        <v>0.6260975465561478</v>
      </c>
      <c r="I13" s="58">
        <v>1.9961448617394684E-2</v>
      </c>
      <c r="J13" s="58">
        <v>0.20375245912950812</v>
      </c>
    </row>
    <row r="14" spans="1:10" ht="11.25" customHeight="1" x14ac:dyDescent="0.2">
      <c r="A14" s="67">
        <v>44562</v>
      </c>
      <c r="B14" s="57">
        <v>8436.48</v>
      </c>
      <c r="C14" s="57">
        <v>9597.2011689534265</v>
      </c>
      <c r="D14" s="57">
        <v>12010.300499999999</v>
      </c>
      <c r="E14" s="57">
        <v>23878.248735335637</v>
      </c>
      <c r="F14" s="57">
        <v>48053.720880000001</v>
      </c>
      <c r="G14" s="57">
        <v>49012.942760220736</v>
      </c>
      <c r="H14" s="58">
        <v>0.63719906438517615</v>
      </c>
      <c r="I14" s="58">
        <v>1.9961448617394462E-2</v>
      </c>
      <c r="J14" s="58">
        <v>0.20420129784033692</v>
      </c>
    </row>
    <row r="15" spans="1:10" ht="11.25" customHeight="1" x14ac:dyDescent="0.2">
      <c r="A15" s="67">
        <v>44593</v>
      </c>
      <c r="B15" s="57">
        <v>8902.4</v>
      </c>
      <c r="C15" s="57">
        <v>10127.224113195429</v>
      </c>
      <c r="D15" s="57">
        <v>11333.672499999999</v>
      </c>
      <c r="E15" s="57">
        <v>22533.01247873301</v>
      </c>
      <c r="F15" s="57">
        <v>45346.503599999989</v>
      </c>
      <c r="G15" s="57">
        <v>46251.685501589891</v>
      </c>
      <c r="H15" s="58">
        <v>0.61396123639745026</v>
      </c>
      <c r="I15" s="58">
        <v>1.9961448617394684E-2</v>
      </c>
      <c r="J15" s="58">
        <v>0.20324523350826929</v>
      </c>
    </row>
    <row r="16" spans="1:10" ht="11.25" customHeight="1" x14ac:dyDescent="0.2">
      <c r="A16" s="67">
        <v>44621</v>
      </c>
      <c r="B16" s="57">
        <v>7621.12</v>
      </c>
      <c r="C16" s="57">
        <v>8669.6610165299171</v>
      </c>
      <c r="D16" s="57">
        <v>10773.01375</v>
      </c>
      <c r="E16" s="57">
        <v>21418.340194876138</v>
      </c>
      <c r="F16" s="57">
        <v>43103.284199999995</v>
      </c>
      <c r="G16" s="57">
        <v>43963.688192799258</v>
      </c>
      <c r="H16" s="58">
        <v>0.63573896005872266</v>
      </c>
      <c r="I16" s="58">
        <v>1.9961448617394684E-2</v>
      </c>
      <c r="J16" s="58">
        <v>0.20414306604567489</v>
      </c>
    </row>
    <row r="17" spans="1:10" ht="11.25" customHeight="1" x14ac:dyDescent="0.2">
      <c r="A17" s="67">
        <v>44652</v>
      </c>
      <c r="B17" s="57">
        <v>7388.16</v>
      </c>
      <c r="C17" s="57">
        <v>8404.649544408916</v>
      </c>
      <c r="D17" s="57">
        <v>9828.374749999999</v>
      </c>
      <c r="E17" s="57">
        <v>19540.258542622829</v>
      </c>
      <c r="F17" s="57">
        <v>39323.743559999995</v>
      </c>
      <c r="G17" s="57">
        <v>40108.702446516538</v>
      </c>
      <c r="H17" s="58">
        <v>0.62314359380779272</v>
      </c>
      <c r="I17" s="58">
        <v>1.9961448617394684E-2</v>
      </c>
      <c r="J17" s="58">
        <v>0.20363062524069653</v>
      </c>
    </row>
    <row r="18" spans="1:10" ht="11.25" customHeight="1" x14ac:dyDescent="0.2">
      <c r="A18" s="67">
        <v>44682</v>
      </c>
      <c r="B18" s="57">
        <v>7820.8</v>
      </c>
      <c r="C18" s="57">
        <v>8896.8137069193472</v>
      </c>
      <c r="D18" s="57">
        <v>8689.0210000000006</v>
      </c>
      <c r="E18" s="57">
        <v>17275.055249829496</v>
      </c>
      <c r="F18" s="57">
        <v>34765.140959999997</v>
      </c>
      <c r="G18" s="57">
        <v>35459.103534949514</v>
      </c>
      <c r="H18" s="58">
        <v>0.58523032786054086</v>
      </c>
      <c r="I18" s="58">
        <v>1.9961448617394462E-2</v>
      </c>
      <c r="J18" s="58">
        <v>0.2019701260778537</v>
      </c>
    </row>
    <row r="19" spans="1:10" ht="11.25" customHeight="1" x14ac:dyDescent="0.2">
      <c r="A19" s="67">
        <v>44713</v>
      </c>
      <c r="B19" s="57">
        <v>7288.32</v>
      </c>
      <c r="C19" s="57">
        <v>8291.0731992142028</v>
      </c>
      <c r="D19" s="57">
        <v>8439.43</v>
      </c>
      <c r="E19" s="57">
        <v>16778.831530855841</v>
      </c>
      <c r="F19" s="57">
        <v>33766.516799999998</v>
      </c>
      <c r="G19" s="57">
        <v>34440.545390091582</v>
      </c>
      <c r="H19" s="58">
        <v>0.59399181256505496</v>
      </c>
      <c r="I19" s="58">
        <v>1.9961448617394462E-2</v>
      </c>
      <c r="J19" s="58">
        <v>0.20237057679095916</v>
      </c>
    </row>
    <row r="20" spans="1:10" ht="11.25" customHeight="1" x14ac:dyDescent="0.2">
      <c r="A20" s="67">
        <v>44743</v>
      </c>
      <c r="B20" s="57">
        <v>7388.16</v>
      </c>
      <c r="C20" s="57">
        <v>8404.649544408916</v>
      </c>
      <c r="D20" s="57">
        <v>8515.9497499999998</v>
      </c>
      <c r="E20" s="57">
        <v>16930.964079384972</v>
      </c>
      <c r="F20" s="57">
        <v>34072.675559999996</v>
      </c>
      <c r="G20" s="57">
        <v>34752.815522448094</v>
      </c>
      <c r="H20" s="58">
        <v>0.59302306272087235</v>
      </c>
      <c r="I20" s="58">
        <v>1.9961448617394684E-2</v>
      </c>
      <c r="J20" s="58">
        <v>0.20232681581099454</v>
      </c>
    </row>
    <row r="21" spans="1:10" ht="11.25" customHeight="1" x14ac:dyDescent="0.2">
      <c r="A21" s="67">
        <v>44774</v>
      </c>
      <c r="B21" s="57">
        <v>7388.16</v>
      </c>
      <c r="C21" s="57">
        <v>8404.649544408916</v>
      </c>
      <c r="D21" s="57">
        <v>8515.9497499999998</v>
      </c>
      <c r="E21" s="57">
        <v>16930.964079384972</v>
      </c>
      <c r="F21" s="57">
        <v>34072.675559999996</v>
      </c>
      <c r="G21" s="57">
        <v>34752.815522448094</v>
      </c>
      <c r="H21" s="58">
        <v>0.59302306272087235</v>
      </c>
      <c r="I21" s="58">
        <v>1.9961448617394684E-2</v>
      </c>
      <c r="J21" s="58">
        <v>0.20232681581099454</v>
      </c>
    </row>
    <row r="22" spans="1:10" ht="11.25" customHeight="1" x14ac:dyDescent="0.2">
      <c r="A22" s="66" t="s">
        <v>34</v>
      </c>
      <c r="B22" s="57">
        <v>237268.17000000004</v>
      </c>
      <c r="C22" s="57">
        <v>270767.81733220781</v>
      </c>
      <c r="D22" s="57">
        <v>11432.75675</v>
      </c>
      <c r="E22" s="57">
        <v>22730.006581191494</v>
      </c>
      <c r="F22" s="57">
        <v>73384.147040000011</v>
      </c>
      <c r="G22" s="57">
        <v>74352.286614567332</v>
      </c>
      <c r="H22" s="58">
        <v>0.18012356346556824</v>
      </c>
      <c r="I22" s="58">
        <v>1.3192761837779843E-2</v>
      </c>
      <c r="J22" s="58">
        <v>0.14208990251999531</v>
      </c>
    </row>
    <row r="23" spans="1:10" ht="11.25" customHeight="1" x14ac:dyDescent="0.2">
      <c r="A23" s="67">
        <v>44440</v>
      </c>
      <c r="B23" s="57">
        <v>18694.8</v>
      </c>
      <c r="C23" s="57">
        <v>21334.299461500283</v>
      </c>
      <c r="D23" s="57">
        <v>891.91174999999998</v>
      </c>
      <c r="E23" s="57">
        <v>1773.2521027653302</v>
      </c>
      <c r="F23" s="57">
        <v>5724.9694399999998</v>
      </c>
      <c r="G23" s="57">
        <v>5800.4975983504874</v>
      </c>
      <c r="H23" s="58">
        <v>0.17975655430093385</v>
      </c>
      <c r="I23" s="58">
        <v>1.3192761837779843E-2</v>
      </c>
      <c r="J23" s="58">
        <v>0.14208333083923863</v>
      </c>
    </row>
    <row r="24" spans="1:10" ht="11.25" customHeight="1" x14ac:dyDescent="0.2">
      <c r="A24" s="67">
        <v>44470</v>
      </c>
      <c r="B24" s="57">
        <v>19577.61</v>
      </c>
      <c r="C24" s="57">
        <v>22341.752491626685</v>
      </c>
      <c r="D24" s="57">
        <v>994.83349999999996</v>
      </c>
      <c r="E24" s="57">
        <v>1977.8757211981938</v>
      </c>
      <c r="F24" s="57">
        <v>6385.5996799999994</v>
      </c>
      <c r="G24" s="57">
        <v>6469.843375769643</v>
      </c>
      <c r="H24" s="58">
        <v>0.18214582593579021</v>
      </c>
      <c r="I24" s="58">
        <v>1.3192761837779843E-2</v>
      </c>
      <c r="J24" s="58">
        <v>0.14212561286484737</v>
      </c>
    </row>
    <row r="25" spans="1:10" ht="11.25" customHeight="1" x14ac:dyDescent="0.2">
      <c r="A25" s="67">
        <v>44501</v>
      </c>
      <c r="B25" s="57">
        <v>21602.880000000001</v>
      </c>
      <c r="C25" s="57">
        <v>24652.968266622545</v>
      </c>
      <c r="D25" s="57">
        <v>1023.3845</v>
      </c>
      <c r="E25" s="57">
        <v>2034.6393200475786</v>
      </c>
      <c r="F25" s="57">
        <v>6568.8617599999998</v>
      </c>
      <c r="G25" s="57">
        <v>6655.5231887449791</v>
      </c>
      <c r="H25" s="58">
        <v>0.1794968447694989</v>
      </c>
      <c r="I25" s="58">
        <v>1.3192761837779843E-2</v>
      </c>
      <c r="J25" s="58">
        <v>0.14207866335204899</v>
      </c>
    </row>
    <row r="26" spans="1:10" ht="11.25" customHeight="1" x14ac:dyDescent="0.2">
      <c r="A26" s="67">
        <v>44531</v>
      </c>
      <c r="B26" s="57">
        <v>21654.81</v>
      </c>
      <c r="C26" s="57">
        <v>24712.23020957116</v>
      </c>
      <c r="D26" s="57">
        <v>1057.8452500000001</v>
      </c>
      <c r="E26" s="57">
        <v>2103.1523734975085</v>
      </c>
      <c r="F26" s="57">
        <v>6790.0571200000004</v>
      </c>
      <c r="G26" s="57">
        <v>6879.6367264490818</v>
      </c>
      <c r="H26" s="58">
        <v>0.1806361822477216</v>
      </c>
      <c r="I26" s="58">
        <v>1.3192761837779843E-2</v>
      </c>
      <c r="J26" s="58">
        <v>0.14209903438507987</v>
      </c>
    </row>
    <row r="27" spans="1:10" ht="11.25" customHeight="1" x14ac:dyDescent="0.2">
      <c r="A27" s="67">
        <v>44562</v>
      </c>
      <c r="B27" s="57">
        <v>22018.32</v>
      </c>
      <c r="C27" s="57">
        <v>25127.063810211443</v>
      </c>
      <c r="D27" s="57">
        <v>1023.7682500000001</v>
      </c>
      <c r="E27" s="57">
        <v>2035.4022716450168</v>
      </c>
      <c r="F27" s="57">
        <v>6571.3249599999999</v>
      </c>
      <c r="G27" s="57">
        <v>6658.0188851559387</v>
      </c>
      <c r="H27" s="58">
        <v>0.17881963592672467</v>
      </c>
      <c r="I27" s="58">
        <v>1.3192761837779843E-2</v>
      </c>
      <c r="J27" s="58">
        <v>0.14206642534511116</v>
      </c>
    </row>
    <row r="28" spans="1:10" ht="11.25" customHeight="1" x14ac:dyDescent="0.2">
      <c r="A28" s="67">
        <v>44593</v>
      </c>
      <c r="B28" s="57">
        <v>20875.86</v>
      </c>
      <c r="C28" s="57">
        <v>23823.301065341981</v>
      </c>
      <c r="D28" s="57">
        <v>987.31200000000001</v>
      </c>
      <c r="E28" s="57">
        <v>1962.9218698884097</v>
      </c>
      <c r="F28" s="57">
        <v>6337.32096</v>
      </c>
      <c r="G28" s="57">
        <v>6420.9277261148509</v>
      </c>
      <c r="H28" s="58">
        <v>0.17943649417524532</v>
      </c>
      <c r="I28" s="58">
        <v>1.3192761837779843E-2</v>
      </c>
      <c r="J28" s="58">
        <v>0.14207757669443377</v>
      </c>
    </row>
    <row r="29" spans="1:10" ht="11.25" customHeight="1" x14ac:dyDescent="0.2">
      <c r="A29" s="67">
        <v>44621</v>
      </c>
      <c r="B29" s="57">
        <v>19473.75</v>
      </c>
      <c r="C29" s="57">
        <v>22223.228605729459</v>
      </c>
      <c r="D29" s="57">
        <v>1068.7437499999999</v>
      </c>
      <c r="E29" s="57">
        <v>2124.8201988647465</v>
      </c>
      <c r="F29" s="57">
        <v>6860.0119999999997</v>
      </c>
      <c r="G29" s="57">
        <v>6950.5145045203117</v>
      </c>
      <c r="H29" s="58">
        <v>0.18525282767065221</v>
      </c>
      <c r="I29" s="58">
        <v>1.3192761837779843E-2</v>
      </c>
      <c r="J29" s="58">
        <v>0.1421788793572103</v>
      </c>
    </row>
    <row r="30" spans="1:10" ht="11.25" customHeight="1" x14ac:dyDescent="0.2">
      <c r="A30" s="67">
        <v>44652</v>
      </c>
      <c r="B30" s="57">
        <v>19006.38</v>
      </c>
      <c r="C30" s="57">
        <v>21689.871119191954</v>
      </c>
      <c r="D30" s="57">
        <v>991.53325000000007</v>
      </c>
      <c r="E30" s="57">
        <v>1971.3143374602273</v>
      </c>
      <c r="F30" s="57">
        <v>6364.4161599999998</v>
      </c>
      <c r="G30" s="57">
        <v>6448.3803866353983</v>
      </c>
      <c r="H30" s="58">
        <v>0.18318272315998652</v>
      </c>
      <c r="I30" s="58">
        <v>1.3192761837780065E-2</v>
      </c>
      <c r="J30" s="58">
        <v>0.14214360100766132</v>
      </c>
    </row>
    <row r="31" spans="1:10" ht="11.25" customHeight="1" x14ac:dyDescent="0.2">
      <c r="A31" s="67">
        <v>44682</v>
      </c>
      <c r="B31" s="57">
        <v>18590.939999999999</v>
      </c>
      <c r="C31" s="57">
        <v>21215.775575603056</v>
      </c>
      <c r="D31" s="57">
        <v>818.84574999999995</v>
      </c>
      <c r="E31" s="57">
        <v>1627.9861186131409</v>
      </c>
      <c r="F31" s="57">
        <v>5255.9761600000002</v>
      </c>
      <c r="G31" s="57">
        <v>5325.3170017039292</v>
      </c>
      <c r="H31" s="58">
        <v>0.17691982737193279</v>
      </c>
      <c r="I31" s="58">
        <v>1.3192761837779843E-2</v>
      </c>
      <c r="J31" s="58">
        <v>0.14203156580781773</v>
      </c>
    </row>
    <row r="32" spans="1:10" ht="11.25" customHeight="1" x14ac:dyDescent="0.2">
      <c r="A32" s="67">
        <v>44713</v>
      </c>
      <c r="B32" s="57">
        <v>18590.939999999999</v>
      </c>
      <c r="C32" s="57">
        <v>21215.775575603056</v>
      </c>
      <c r="D32" s="57">
        <v>862.28625000000011</v>
      </c>
      <c r="E32" s="57">
        <v>1714.3522394431191</v>
      </c>
      <c r="F32" s="57">
        <v>5534.8104000000003</v>
      </c>
      <c r="G32" s="57">
        <v>5607.829835424468</v>
      </c>
      <c r="H32" s="58">
        <v>0.17873135902309145</v>
      </c>
      <c r="I32" s="58">
        <v>1.3192761837780065E-2</v>
      </c>
      <c r="J32" s="58">
        <v>0.14206482286677158</v>
      </c>
    </row>
    <row r="33" spans="1:10" ht="11.25" customHeight="1" x14ac:dyDescent="0.2">
      <c r="A33" s="67">
        <v>44743</v>
      </c>
      <c r="B33" s="57">
        <v>18590.939999999999</v>
      </c>
      <c r="C33" s="57">
        <v>21215.775575603056</v>
      </c>
      <c r="D33" s="57">
        <v>856.14625000000012</v>
      </c>
      <c r="E33" s="57">
        <v>1702.1450138841114</v>
      </c>
      <c r="F33" s="57">
        <v>5495.3992000000007</v>
      </c>
      <c r="G33" s="57">
        <v>5567.8986928491258</v>
      </c>
      <c r="H33" s="58">
        <v>0.17847580325752732</v>
      </c>
      <c r="I33" s="58">
        <v>1.3192761837779621E-2</v>
      </c>
      <c r="J33" s="58">
        <v>0.14206017437353236</v>
      </c>
    </row>
    <row r="34" spans="1:10" ht="11.25" customHeight="1" x14ac:dyDescent="0.2">
      <c r="A34" s="67">
        <v>44774</v>
      </c>
      <c r="B34" s="57">
        <v>18590.939999999999</v>
      </c>
      <c r="C34" s="57">
        <v>21215.775575603056</v>
      </c>
      <c r="D34" s="57">
        <v>856.14625000000012</v>
      </c>
      <c r="E34" s="57">
        <v>1702.1450138841114</v>
      </c>
      <c r="F34" s="57">
        <v>5495.3992000000007</v>
      </c>
      <c r="G34" s="57">
        <v>5567.8986928491258</v>
      </c>
      <c r="H34" s="58">
        <v>0.17847580325752732</v>
      </c>
      <c r="I34" s="58">
        <v>1.3192761837779621E-2</v>
      </c>
      <c r="J34" s="58">
        <v>0.14206017437353236</v>
      </c>
    </row>
    <row r="35" spans="1:10" ht="11.25" customHeight="1" x14ac:dyDescent="0.2">
      <c r="A35" s="62" t="s">
        <v>45</v>
      </c>
      <c r="B35" s="57">
        <v>258100.64000000004</v>
      </c>
      <c r="C35" s="57">
        <v>294285.06995710311</v>
      </c>
      <c r="D35" s="57">
        <v>74126.531500000012</v>
      </c>
      <c r="E35" s="57">
        <v>147374.4771868691</v>
      </c>
      <c r="F35" s="57">
        <v>318342.34259999997</v>
      </c>
      <c r="G35" s="57">
        <v>324305.90707825503</v>
      </c>
      <c r="H35" s="58">
        <v>0.32939020354622683</v>
      </c>
      <c r="I35" s="58">
        <v>1.8733180228394097E-2</v>
      </c>
      <c r="J35" s="58">
        <v>0.17737680235734121</v>
      </c>
    </row>
    <row r="36" spans="1:10" ht="11.25" customHeight="1" x14ac:dyDescent="0.2">
      <c r="A36" s="63" t="s">
        <v>25</v>
      </c>
      <c r="B36" s="57">
        <v>258100.64000000004</v>
      </c>
      <c r="C36" s="57">
        <v>294285.06995710311</v>
      </c>
      <c r="D36" s="57">
        <v>74126.531500000012</v>
      </c>
      <c r="E36" s="57">
        <v>147374.4771868691</v>
      </c>
      <c r="F36" s="57">
        <v>318342.34259999997</v>
      </c>
      <c r="G36" s="57">
        <v>324305.90707825503</v>
      </c>
      <c r="H36" s="58">
        <v>0.32939020354622683</v>
      </c>
      <c r="I36" s="58">
        <v>1.8733180228394097E-2</v>
      </c>
      <c r="J36" s="58">
        <v>0.17737680235734121</v>
      </c>
    </row>
    <row r="37" spans="1:10" ht="11.25" customHeight="1" x14ac:dyDescent="0.2">
      <c r="A37" s="64" t="s">
        <v>25</v>
      </c>
      <c r="B37" s="57">
        <v>258100.64000000004</v>
      </c>
      <c r="C37" s="57">
        <v>294285.06995710311</v>
      </c>
      <c r="D37" s="57">
        <v>74126.531500000012</v>
      </c>
      <c r="E37" s="57">
        <v>147374.4771868691</v>
      </c>
      <c r="F37" s="57">
        <v>318342.34259999997</v>
      </c>
      <c r="G37" s="57">
        <v>324305.90707825503</v>
      </c>
      <c r="H37" s="58">
        <v>0.32939020354622683</v>
      </c>
      <c r="I37" s="58">
        <v>1.8733180228394097E-2</v>
      </c>
      <c r="J37" s="58">
        <v>0.17737680235734121</v>
      </c>
    </row>
    <row r="38" spans="1:10" ht="11.25" customHeight="1" x14ac:dyDescent="0.2">
      <c r="A38" s="65" t="s">
        <v>25</v>
      </c>
      <c r="B38" s="57">
        <v>258100.64000000004</v>
      </c>
      <c r="C38" s="57">
        <v>294285.06995710311</v>
      </c>
      <c r="D38" s="57">
        <v>74126.531500000012</v>
      </c>
      <c r="E38" s="57">
        <v>147374.4771868691</v>
      </c>
      <c r="F38" s="57">
        <v>318342.34259999997</v>
      </c>
      <c r="G38" s="57">
        <v>324305.90707825503</v>
      </c>
      <c r="H38" s="58">
        <v>0.32939020354622683</v>
      </c>
      <c r="I38" s="58">
        <v>1.8733180228394097E-2</v>
      </c>
      <c r="J38" s="58">
        <v>0.17737680235734121</v>
      </c>
    </row>
    <row r="39" spans="1:10" ht="11.25" customHeight="1" x14ac:dyDescent="0.2">
      <c r="A39" s="66" t="s">
        <v>35</v>
      </c>
      <c r="B39" s="57">
        <v>71152.639999999999</v>
      </c>
      <c r="C39" s="57">
        <v>80942.075342100274</v>
      </c>
      <c r="D39" s="57">
        <v>65126.749750000003</v>
      </c>
      <c r="E39" s="57">
        <v>129481.58373343432</v>
      </c>
      <c r="F39" s="57">
        <v>260574.88355999999</v>
      </c>
      <c r="G39" s="57">
        <v>265776.33570916648</v>
      </c>
      <c r="H39" s="58">
        <v>0.5440607670870099</v>
      </c>
      <c r="I39" s="58">
        <v>1.9961448617394462E-2</v>
      </c>
      <c r="J39" s="58">
        <v>0.19993666897652562</v>
      </c>
    </row>
    <row r="40" spans="1:10" ht="11.25" customHeight="1" x14ac:dyDescent="0.2">
      <c r="A40" s="67">
        <v>44440</v>
      </c>
      <c r="B40" s="57">
        <v>4958.72</v>
      </c>
      <c r="C40" s="57">
        <v>5640.9584780041823</v>
      </c>
      <c r="D40" s="57">
        <v>4941.6255000000001</v>
      </c>
      <c r="E40" s="57">
        <v>9824.6803105282306</v>
      </c>
      <c r="F40" s="57">
        <v>19771.652879999998</v>
      </c>
      <c r="G40" s="57">
        <v>20166.323713045083</v>
      </c>
      <c r="H40" s="58">
        <v>0.56213121941374822</v>
      </c>
      <c r="I40" s="58">
        <v>1.9961448617394684E-2</v>
      </c>
      <c r="J40" s="58">
        <v>0.20086156804304522</v>
      </c>
    </row>
    <row r="41" spans="1:10" ht="11.25" customHeight="1" x14ac:dyDescent="0.2">
      <c r="A41" s="67">
        <v>44470</v>
      </c>
      <c r="B41" s="57">
        <v>6040.32</v>
      </c>
      <c r="C41" s="57">
        <v>6871.3688842802621</v>
      </c>
      <c r="D41" s="57">
        <v>6094.8710000000001</v>
      </c>
      <c r="E41" s="57">
        <v>12117.502451148815</v>
      </c>
      <c r="F41" s="57">
        <v>24385.836959999997</v>
      </c>
      <c r="G41" s="57">
        <v>24872.613591469199</v>
      </c>
      <c r="H41" s="58">
        <v>0.56477729402273757</v>
      </c>
      <c r="I41" s="58">
        <v>1.9961448617394684E-2</v>
      </c>
      <c r="J41" s="58">
        <v>0.20099261649858247</v>
      </c>
    </row>
    <row r="42" spans="1:10" ht="11.25" customHeight="1" x14ac:dyDescent="0.2">
      <c r="A42" s="67">
        <v>44501</v>
      </c>
      <c r="B42" s="57">
        <v>6073.6</v>
      </c>
      <c r="C42" s="57">
        <v>6909.227666011835</v>
      </c>
      <c r="D42" s="57">
        <v>5591.7747499999996</v>
      </c>
      <c r="E42" s="57">
        <v>11117.272906907638</v>
      </c>
      <c r="F42" s="57">
        <v>22372.927559999996</v>
      </c>
      <c r="G42" s="57">
        <v>22819.523603909627</v>
      </c>
      <c r="H42" s="58">
        <v>0.54529974040649454</v>
      </c>
      <c r="I42" s="58">
        <v>1.9961448617394462E-2</v>
      </c>
      <c r="J42" s="58">
        <v>0.20000180399211875</v>
      </c>
    </row>
    <row r="43" spans="1:10" ht="11.25" customHeight="1" x14ac:dyDescent="0.2">
      <c r="A43" s="67">
        <v>44531</v>
      </c>
      <c r="B43" s="57">
        <v>6256.6399999999994</v>
      </c>
      <c r="C43" s="57">
        <v>7117.4509655354786</v>
      </c>
      <c r="D43" s="57">
        <v>5827.0134999999991</v>
      </c>
      <c r="E43" s="57">
        <v>11584.962236137113</v>
      </c>
      <c r="F43" s="57">
        <v>23314.127759999999</v>
      </c>
      <c r="G43" s="57">
        <v>23779.51152334061</v>
      </c>
      <c r="H43" s="58">
        <v>0.54774491023535177</v>
      </c>
      <c r="I43" s="58">
        <v>1.9961448617394462E-2</v>
      </c>
      <c r="J43" s="58">
        <v>0.20012959041075251</v>
      </c>
    </row>
    <row r="44" spans="1:10" ht="11.25" customHeight="1" x14ac:dyDescent="0.2">
      <c r="A44" s="67">
        <v>44562</v>
      </c>
      <c r="B44" s="57">
        <v>4459.5200000000004</v>
      </c>
      <c r="C44" s="57">
        <v>5073.0767520306072</v>
      </c>
      <c r="D44" s="57">
        <v>4772.9290000000001</v>
      </c>
      <c r="E44" s="57">
        <v>9489.2867882944975</v>
      </c>
      <c r="F44" s="57">
        <v>19096.691039999998</v>
      </c>
      <c r="G44" s="57">
        <v>19477.888656957217</v>
      </c>
      <c r="H44" s="58">
        <v>0.57730235393936136</v>
      </c>
      <c r="I44" s="58">
        <v>1.9961448617394462E-2</v>
      </c>
      <c r="J44" s="58">
        <v>0.20159850066815954</v>
      </c>
    </row>
    <row r="45" spans="1:10" ht="11.25" customHeight="1" x14ac:dyDescent="0.2">
      <c r="A45" s="67">
        <v>44593</v>
      </c>
      <c r="B45" s="57">
        <v>6123.52</v>
      </c>
      <c r="C45" s="57">
        <v>6966.0158386091916</v>
      </c>
      <c r="D45" s="57">
        <v>6316.4482500000004</v>
      </c>
      <c r="E45" s="57">
        <v>12558.030703509503</v>
      </c>
      <c r="F45" s="57">
        <v>25272.376919999999</v>
      </c>
      <c r="G45" s="57">
        <v>25776.85017332801</v>
      </c>
      <c r="H45" s="58">
        <v>0.56946112319207032</v>
      </c>
      <c r="I45" s="58">
        <v>1.9961448617394684E-2</v>
      </c>
      <c r="J45" s="58">
        <v>0.20122194764708956</v>
      </c>
    </row>
    <row r="46" spans="1:10" ht="11.25" customHeight="1" x14ac:dyDescent="0.2">
      <c r="A46" s="67">
        <v>44621</v>
      </c>
      <c r="B46" s="57">
        <v>6705.92</v>
      </c>
      <c r="C46" s="57">
        <v>7628.5445189116963</v>
      </c>
      <c r="D46" s="57">
        <v>7797.6464999999998</v>
      </c>
      <c r="E46" s="57">
        <v>15502.871279300578</v>
      </c>
      <c r="F46" s="57">
        <v>31198.71384</v>
      </c>
      <c r="G46" s="57">
        <v>31821.485363245956</v>
      </c>
      <c r="H46" s="58">
        <v>0.59487777011345955</v>
      </c>
      <c r="I46" s="58">
        <v>1.9961448617394462E-2</v>
      </c>
      <c r="J46" s="58">
        <v>0.20241048701812381</v>
      </c>
    </row>
    <row r="47" spans="1:10" ht="11.25" customHeight="1" x14ac:dyDescent="0.2">
      <c r="A47" s="67">
        <v>44652</v>
      </c>
      <c r="B47" s="57">
        <v>6922.24</v>
      </c>
      <c r="C47" s="57">
        <v>7874.6266001669128</v>
      </c>
      <c r="D47" s="57">
        <v>7184.4140000000007</v>
      </c>
      <c r="E47" s="57">
        <v>14283.674626594704</v>
      </c>
      <c r="F47" s="57">
        <v>28745.144640000002</v>
      </c>
      <c r="G47" s="57">
        <v>29318.939367730938</v>
      </c>
      <c r="H47" s="58">
        <v>0.57076945580161076</v>
      </c>
      <c r="I47" s="58">
        <v>1.9961448617394684E-2</v>
      </c>
      <c r="J47" s="58">
        <v>0.20128541224034269</v>
      </c>
    </row>
    <row r="48" spans="1:10" ht="11.25" customHeight="1" x14ac:dyDescent="0.2">
      <c r="A48" s="67">
        <v>44682</v>
      </c>
      <c r="B48" s="57">
        <v>6606.08</v>
      </c>
      <c r="C48" s="57">
        <v>7514.9681737169813</v>
      </c>
      <c r="D48" s="57">
        <v>5435.2047499999999</v>
      </c>
      <c r="E48" s="57">
        <v>10805.988655152947</v>
      </c>
      <c r="F48" s="57">
        <v>21746.484359999999</v>
      </c>
      <c r="G48" s="57">
        <v>22180.575690161113</v>
      </c>
      <c r="H48" s="58">
        <v>0.52151179955028737</v>
      </c>
      <c r="I48" s="58">
        <v>1.9961448617394462E-2</v>
      </c>
      <c r="J48" s="58">
        <v>0.19870395666472129</v>
      </c>
    </row>
    <row r="49" spans="1:10" ht="11.25" customHeight="1" x14ac:dyDescent="0.2">
      <c r="A49" s="67">
        <v>44713</v>
      </c>
      <c r="B49" s="57">
        <v>5657.6</v>
      </c>
      <c r="C49" s="57">
        <v>6435.9928943671885</v>
      </c>
      <c r="D49" s="57">
        <v>3816.01</v>
      </c>
      <c r="E49" s="57">
        <v>7586.7906849231749</v>
      </c>
      <c r="F49" s="57">
        <v>15268.017599999999</v>
      </c>
      <c r="G49" s="57">
        <v>15572.789348811875</v>
      </c>
      <c r="H49" s="58">
        <v>0.48019430600271318</v>
      </c>
      <c r="I49" s="58">
        <v>1.9961448617394684E-2</v>
      </c>
      <c r="J49" s="58">
        <v>0.19618536850430335</v>
      </c>
    </row>
    <row r="50" spans="1:10" ht="11.25" customHeight="1" x14ac:dyDescent="0.2">
      <c r="A50" s="67">
        <v>44743</v>
      </c>
      <c r="B50" s="57">
        <v>5674.24</v>
      </c>
      <c r="C50" s="57">
        <v>6454.922285232974</v>
      </c>
      <c r="D50" s="57">
        <v>3674.40625</v>
      </c>
      <c r="E50" s="57">
        <v>7305.2615454685638</v>
      </c>
      <c r="F50" s="57">
        <v>14701.454999999998</v>
      </c>
      <c r="G50" s="57">
        <v>14994.917338583437</v>
      </c>
      <c r="H50" s="58">
        <v>0.4718905243314282</v>
      </c>
      <c r="I50" s="58">
        <v>1.9961448617394462E-2</v>
      </c>
      <c r="J50" s="58">
        <v>0.19563326866596764</v>
      </c>
    </row>
    <row r="51" spans="1:10" ht="11.25" customHeight="1" x14ac:dyDescent="0.2">
      <c r="A51" s="67">
        <v>44774</v>
      </c>
      <c r="B51" s="57">
        <v>5674.24</v>
      </c>
      <c r="C51" s="57">
        <v>6454.922285232974</v>
      </c>
      <c r="D51" s="57">
        <v>3674.40625</v>
      </c>
      <c r="E51" s="57">
        <v>7305.2615454685638</v>
      </c>
      <c r="F51" s="57">
        <v>14701.454999999998</v>
      </c>
      <c r="G51" s="57">
        <v>14994.917338583437</v>
      </c>
      <c r="H51" s="58">
        <v>0.4718905243314282</v>
      </c>
      <c r="I51" s="58">
        <v>1.9961448617394462E-2</v>
      </c>
      <c r="J51" s="58">
        <v>0.19563326866596764</v>
      </c>
    </row>
    <row r="52" spans="1:10" ht="11.25" customHeight="1" x14ac:dyDescent="0.2">
      <c r="A52" s="66" t="s">
        <v>34</v>
      </c>
      <c r="B52" s="57">
        <v>186948.00000000003</v>
      </c>
      <c r="C52" s="57">
        <v>213342.99461500283</v>
      </c>
      <c r="D52" s="57">
        <v>8999.7817499999983</v>
      </c>
      <c r="E52" s="57">
        <v>17892.893453434761</v>
      </c>
      <c r="F52" s="57">
        <v>57767.459039999994</v>
      </c>
      <c r="G52" s="57">
        <v>58529.571369088429</v>
      </c>
      <c r="H52" s="58">
        <v>0.18008933810467909</v>
      </c>
      <c r="I52" s="58">
        <v>1.3192761837779621E-2</v>
      </c>
      <c r="J52" s="58">
        <v>0.14208929087300981</v>
      </c>
    </row>
    <row r="53" spans="1:10" ht="11.25" customHeight="1" x14ac:dyDescent="0.2">
      <c r="A53" s="67">
        <v>44440</v>
      </c>
      <c r="B53" s="57">
        <v>15423.21</v>
      </c>
      <c r="C53" s="57">
        <v>17600.79705573773</v>
      </c>
      <c r="D53" s="57">
        <v>701.64850000000001</v>
      </c>
      <c r="E53" s="57">
        <v>1394.9807007555846</v>
      </c>
      <c r="F53" s="57">
        <v>4503.7148799999995</v>
      </c>
      <c r="G53" s="57">
        <v>4563.131317797106</v>
      </c>
      <c r="H53" s="58">
        <v>0.1780430666410695</v>
      </c>
      <c r="I53" s="58">
        <v>1.3192761837780065E-2</v>
      </c>
      <c r="J53" s="58">
        <v>0.14205227091134986</v>
      </c>
    </row>
    <row r="54" spans="1:10" ht="11.25" customHeight="1" x14ac:dyDescent="0.2">
      <c r="A54" s="67">
        <v>44470</v>
      </c>
      <c r="B54" s="57">
        <v>16461.810000000001</v>
      </c>
      <c r="C54" s="57">
        <v>18786.03591470997</v>
      </c>
      <c r="D54" s="57">
        <v>759.51800000000003</v>
      </c>
      <c r="E54" s="57">
        <v>1510.0338016492306</v>
      </c>
      <c r="F54" s="57">
        <v>4875.1654399999998</v>
      </c>
      <c r="G54" s="57">
        <v>4939.4823365696957</v>
      </c>
      <c r="H54" s="58">
        <v>0.17854266037782907</v>
      </c>
      <c r="I54" s="58">
        <v>1.3192761837780065E-2</v>
      </c>
      <c r="J54" s="58">
        <v>0.14206139184267319</v>
      </c>
    </row>
    <row r="55" spans="1:10" ht="11.25" customHeight="1" x14ac:dyDescent="0.2">
      <c r="A55" s="67">
        <v>44501</v>
      </c>
      <c r="B55" s="57">
        <v>15111.630000000001</v>
      </c>
      <c r="C55" s="57">
        <v>17245.225398046059</v>
      </c>
      <c r="D55" s="57">
        <v>715.23325</v>
      </c>
      <c r="E55" s="57">
        <v>1421.9891873048887</v>
      </c>
      <c r="F55" s="57">
        <v>4590.9121599999999</v>
      </c>
      <c r="G55" s="57">
        <v>4651.4789707450473</v>
      </c>
      <c r="H55" s="58">
        <v>0.17946394623400486</v>
      </c>
      <c r="I55" s="58">
        <v>1.3192761837779843E-2</v>
      </c>
      <c r="J55" s="58">
        <v>0.14207807108482595</v>
      </c>
    </row>
    <row r="56" spans="1:10" ht="11.25" customHeight="1" x14ac:dyDescent="0.2">
      <c r="A56" s="67">
        <v>44531</v>
      </c>
      <c r="B56" s="57">
        <v>15786.72</v>
      </c>
      <c r="C56" s="57">
        <v>18015.630656378016</v>
      </c>
      <c r="D56" s="57">
        <v>813.55</v>
      </c>
      <c r="E56" s="57">
        <v>1617.4573865684968</v>
      </c>
      <c r="F56" s="57">
        <v>5221.9840000000004</v>
      </c>
      <c r="G56" s="57">
        <v>5290.8763912326967</v>
      </c>
      <c r="H56" s="58">
        <v>0.18269691052895598</v>
      </c>
      <c r="I56" s="58">
        <v>1.3192761837779621E-2</v>
      </c>
      <c r="J56" s="58">
        <v>0.14213519988261569</v>
      </c>
    </row>
    <row r="57" spans="1:10" ht="11.25" customHeight="1" x14ac:dyDescent="0.2">
      <c r="A57" s="67">
        <v>44562</v>
      </c>
      <c r="B57" s="57">
        <v>12567.060000000001</v>
      </c>
      <c r="C57" s="57">
        <v>14341.390193564077</v>
      </c>
      <c r="D57" s="57">
        <v>586.67700000000002</v>
      </c>
      <c r="E57" s="57">
        <v>1166.4004021631688</v>
      </c>
      <c r="F57" s="57">
        <v>3765.7401599999998</v>
      </c>
      <c r="G57" s="57">
        <v>3815.4206730738433</v>
      </c>
      <c r="H57" s="58">
        <v>0.17896462394886292</v>
      </c>
      <c r="I57" s="58">
        <v>1.3192761837780065E-2</v>
      </c>
      <c r="J57" s="58">
        <v>0.14206905367524292</v>
      </c>
    </row>
    <row r="58" spans="1:10" ht="11.25" customHeight="1" x14ac:dyDescent="0.2">
      <c r="A58" s="67">
        <v>44593</v>
      </c>
      <c r="B58" s="57">
        <v>15475.14</v>
      </c>
      <c r="C58" s="57">
        <v>17660.058998686342</v>
      </c>
      <c r="D58" s="57">
        <v>824.75549999999998</v>
      </c>
      <c r="E58" s="57">
        <v>1639.7355732136853</v>
      </c>
      <c r="F58" s="57">
        <v>5293.9094399999994</v>
      </c>
      <c r="G58" s="57">
        <v>5363.7507264326941</v>
      </c>
      <c r="H58" s="58">
        <v>0.18404406776104976</v>
      </c>
      <c r="I58" s="58">
        <v>1.3192761837779843E-2</v>
      </c>
      <c r="J58" s="58">
        <v>0.14215838139050652</v>
      </c>
    </row>
    <row r="59" spans="1:10" ht="11.25" customHeight="1" x14ac:dyDescent="0.2">
      <c r="A59" s="67">
        <v>44621</v>
      </c>
      <c r="B59" s="57">
        <v>17811.989999999998</v>
      </c>
      <c r="C59" s="57">
        <v>20326.846431373877</v>
      </c>
      <c r="D59" s="57">
        <v>1087.5474999999999</v>
      </c>
      <c r="E59" s="57">
        <v>2162.2048271392073</v>
      </c>
      <c r="F59" s="57">
        <v>6980.7088000000003</v>
      </c>
      <c r="G59" s="57">
        <v>7072.8036286572933</v>
      </c>
      <c r="H59" s="58">
        <v>0.18992601054460123</v>
      </c>
      <c r="I59" s="58">
        <v>1.3192761837779621E-2</v>
      </c>
      <c r="J59" s="58">
        <v>0.14225554673992336</v>
      </c>
    </row>
    <row r="60" spans="1:10" ht="11.25" customHeight="1" x14ac:dyDescent="0.2">
      <c r="A60" s="67">
        <v>44652</v>
      </c>
      <c r="B60" s="57">
        <v>17500.41</v>
      </c>
      <c r="C60" s="57">
        <v>19971.274773682206</v>
      </c>
      <c r="D60" s="57">
        <v>984.70249999999987</v>
      </c>
      <c r="E60" s="57">
        <v>1957.7337990258316</v>
      </c>
      <c r="F60" s="57">
        <v>6320.5711999999994</v>
      </c>
      <c r="G60" s="57">
        <v>6403.9569905203298</v>
      </c>
      <c r="H60" s="58">
        <v>0.18630647082662</v>
      </c>
      <c r="I60" s="58">
        <v>1.3192761837779843E-2</v>
      </c>
      <c r="J60" s="58">
        <v>0.14219651858369753</v>
      </c>
    </row>
    <row r="61" spans="1:10" ht="11.25" customHeight="1" x14ac:dyDescent="0.2">
      <c r="A61" s="67">
        <v>44682</v>
      </c>
      <c r="B61" s="57">
        <v>15630.93</v>
      </c>
      <c r="C61" s="57">
        <v>17837.844827532179</v>
      </c>
      <c r="D61" s="57">
        <v>756.67824999999993</v>
      </c>
      <c r="E61" s="57">
        <v>1504.3879598281894</v>
      </c>
      <c r="F61" s="57">
        <v>4856.9377599999998</v>
      </c>
      <c r="G61" s="57">
        <v>4921.0141831286001</v>
      </c>
      <c r="H61" s="58">
        <v>0.18029626363324658</v>
      </c>
      <c r="I61" s="58">
        <v>1.3192761837779843E-2</v>
      </c>
      <c r="J61" s="58">
        <v>0.14209298513924629</v>
      </c>
    </row>
    <row r="62" spans="1:10" ht="11.25" customHeight="1" x14ac:dyDescent="0.2">
      <c r="A62" s="67">
        <v>44713</v>
      </c>
      <c r="B62" s="57">
        <v>15059.7</v>
      </c>
      <c r="C62" s="57">
        <v>17185.963455097448</v>
      </c>
      <c r="D62" s="57">
        <v>618.98874999999998</v>
      </c>
      <c r="E62" s="57">
        <v>1230.6409266674459</v>
      </c>
      <c r="F62" s="57">
        <v>3973.1415999999999</v>
      </c>
      <c r="G62" s="57">
        <v>4025.5583108765759</v>
      </c>
      <c r="H62" s="58">
        <v>0.17462656956978573</v>
      </c>
      <c r="I62" s="58">
        <v>1.3192761837779843E-2</v>
      </c>
      <c r="J62" s="58">
        <v>0.14198842005785317</v>
      </c>
    </row>
    <row r="63" spans="1:10" ht="11.25" customHeight="1" x14ac:dyDescent="0.2">
      <c r="A63" s="67">
        <v>44743</v>
      </c>
      <c r="B63" s="57">
        <v>15059.7</v>
      </c>
      <c r="C63" s="57">
        <v>17185.963455097448</v>
      </c>
      <c r="D63" s="57">
        <v>575.24125000000004</v>
      </c>
      <c r="E63" s="57">
        <v>1143.6644445595173</v>
      </c>
      <c r="F63" s="57">
        <v>3692.3368</v>
      </c>
      <c r="G63" s="57">
        <v>3741.0489200272705</v>
      </c>
      <c r="H63" s="58">
        <v>0.17235028942989872</v>
      </c>
      <c r="I63" s="58">
        <v>1.3192761837779843E-2</v>
      </c>
      <c r="J63" s="58">
        <v>0.14194439395899483</v>
      </c>
    </row>
    <row r="64" spans="1:10" ht="11.25" customHeight="1" x14ac:dyDescent="0.2">
      <c r="A64" s="67">
        <v>44774</v>
      </c>
      <c r="B64" s="57">
        <v>15059.7</v>
      </c>
      <c r="C64" s="57">
        <v>17185.963455097448</v>
      </c>
      <c r="D64" s="57">
        <v>575.24125000000004</v>
      </c>
      <c r="E64" s="57">
        <v>1143.6644445595173</v>
      </c>
      <c r="F64" s="57">
        <v>3692.3368</v>
      </c>
      <c r="G64" s="57">
        <v>3741.0489200272705</v>
      </c>
      <c r="H64" s="58">
        <v>0.17235028942989872</v>
      </c>
      <c r="I64" s="58">
        <v>1.3192761837779843E-2</v>
      </c>
      <c r="J64" s="58">
        <v>0.14194439395899483</v>
      </c>
    </row>
    <row r="65" spans="1:10" ht="11.25" customHeight="1" x14ac:dyDescent="0.2">
      <c r="A65" s="62" t="s">
        <v>44</v>
      </c>
      <c r="B65" s="57">
        <v>239537.23200000005</v>
      </c>
      <c r="C65" s="57">
        <v>273062.13536903623</v>
      </c>
      <c r="D65" s="57">
        <v>105862.98192000001</v>
      </c>
      <c r="E65" s="57">
        <v>210471.2212779439</v>
      </c>
      <c r="F65" s="57">
        <v>447537.99118079996</v>
      </c>
      <c r="G65" s="57">
        <v>456040.65251349716</v>
      </c>
      <c r="H65" s="58">
        <v>0.39992199529724037</v>
      </c>
      <c r="I65" s="58">
        <v>1.8998747592944065E-2</v>
      </c>
      <c r="J65" s="58">
        <v>0.18492715209886579</v>
      </c>
    </row>
    <row r="66" spans="1:10" ht="11.25" customHeight="1" x14ac:dyDescent="0.2">
      <c r="A66" s="63" t="s">
        <v>25</v>
      </c>
      <c r="B66" s="57">
        <v>239537.23200000005</v>
      </c>
      <c r="C66" s="57">
        <v>273062.13536903623</v>
      </c>
      <c r="D66" s="57">
        <v>105862.98192000001</v>
      </c>
      <c r="E66" s="57">
        <v>210471.2212779439</v>
      </c>
      <c r="F66" s="57">
        <v>447537.99118079996</v>
      </c>
      <c r="G66" s="57">
        <v>456040.65251349716</v>
      </c>
      <c r="H66" s="58">
        <v>0.39992199529724037</v>
      </c>
      <c r="I66" s="58">
        <v>1.8998747592944065E-2</v>
      </c>
      <c r="J66" s="58">
        <v>0.18492715209886579</v>
      </c>
    </row>
    <row r="67" spans="1:10" ht="11.25" customHeight="1" x14ac:dyDescent="0.2">
      <c r="A67" s="64" t="s">
        <v>25</v>
      </c>
      <c r="B67" s="57">
        <v>239537.23200000005</v>
      </c>
      <c r="C67" s="57">
        <v>273062.13536903623</v>
      </c>
      <c r="D67" s="57">
        <v>105862.98192000001</v>
      </c>
      <c r="E67" s="57">
        <v>210471.2212779439</v>
      </c>
      <c r="F67" s="57">
        <v>447537.99118079996</v>
      </c>
      <c r="G67" s="57">
        <v>456040.65251349716</v>
      </c>
      <c r="H67" s="58">
        <v>0.39992199529724037</v>
      </c>
      <c r="I67" s="58">
        <v>1.8998747592944065E-2</v>
      </c>
      <c r="J67" s="58">
        <v>0.18492715209886579</v>
      </c>
    </row>
    <row r="68" spans="1:10" ht="11.25" customHeight="1" x14ac:dyDescent="0.2">
      <c r="A68" s="65" t="s">
        <v>25</v>
      </c>
      <c r="B68" s="57">
        <v>239537.23200000005</v>
      </c>
      <c r="C68" s="57">
        <v>273062.13536903623</v>
      </c>
      <c r="D68" s="57">
        <v>105862.98192000001</v>
      </c>
      <c r="E68" s="57">
        <v>210471.2212779439</v>
      </c>
      <c r="F68" s="57">
        <v>447537.99118079996</v>
      </c>
      <c r="G68" s="57">
        <v>456040.65251349716</v>
      </c>
      <c r="H68" s="58">
        <v>0.39992199529724037</v>
      </c>
      <c r="I68" s="58">
        <v>1.8998747592944065E-2</v>
      </c>
      <c r="J68" s="58">
        <v>0.18492715209886579</v>
      </c>
    </row>
    <row r="69" spans="1:10" ht="11.25" customHeight="1" x14ac:dyDescent="0.2">
      <c r="A69" s="66" t="s">
        <v>35</v>
      </c>
      <c r="B69" s="57">
        <v>81852.825600000011</v>
      </c>
      <c r="C69" s="57">
        <v>93114.430844435221</v>
      </c>
      <c r="D69" s="57">
        <v>95946.317039999994</v>
      </c>
      <c r="E69" s="57">
        <v>190755.42893539529</v>
      </c>
      <c r="F69" s="57">
        <v>383885.27735039999</v>
      </c>
      <c r="G69" s="57">
        <v>391548.18358920421</v>
      </c>
      <c r="H69" s="58">
        <v>0.59657608897809977</v>
      </c>
      <c r="I69" s="58">
        <v>1.9961448617394462E-2</v>
      </c>
      <c r="J69" s="58">
        <v>0.20248669774493422</v>
      </c>
    </row>
    <row r="70" spans="1:10" ht="11.25" customHeight="1" x14ac:dyDescent="0.2">
      <c r="A70" s="67">
        <v>44440</v>
      </c>
      <c r="B70" s="57">
        <v>3881.7791999999999</v>
      </c>
      <c r="C70" s="57">
        <v>4415.848301170523</v>
      </c>
      <c r="D70" s="57">
        <v>5739.5246399999996</v>
      </c>
      <c r="E70" s="57">
        <v>11411.021479146815</v>
      </c>
      <c r="F70" s="57">
        <v>22964.081126399997</v>
      </c>
      <c r="G70" s="57">
        <v>23422.477451850311</v>
      </c>
      <c r="H70" s="58">
        <v>0.64498180740515276</v>
      </c>
      <c r="I70" s="58">
        <v>1.9961448617394684E-2</v>
      </c>
      <c r="J70" s="58">
        <v>0.20450770407159879</v>
      </c>
    </row>
    <row r="71" spans="1:10" ht="11.25" customHeight="1" x14ac:dyDescent="0.2">
      <c r="A71" s="67">
        <v>44470</v>
      </c>
      <c r="B71" s="57">
        <v>5223.6288000000004</v>
      </c>
      <c r="C71" s="57">
        <v>5942.3143805874934</v>
      </c>
      <c r="D71" s="57">
        <v>7180.1160000000009</v>
      </c>
      <c r="E71" s="57">
        <v>14275.129568703398</v>
      </c>
      <c r="F71" s="57">
        <v>28727.94816</v>
      </c>
      <c r="G71" s="57">
        <v>29301.399621079014</v>
      </c>
      <c r="H71" s="58">
        <v>0.6299467842397799</v>
      </c>
      <c r="I71" s="58">
        <v>1.9961448617394462E-2</v>
      </c>
      <c r="J71" s="58">
        <v>0.20390968634639695</v>
      </c>
    </row>
    <row r="72" spans="1:10" ht="11.25" customHeight="1" x14ac:dyDescent="0.2">
      <c r="A72" s="67">
        <v>44501</v>
      </c>
      <c r="B72" s="57">
        <v>5990.4000000000005</v>
      </c>
      <c r="C72" s="57">
        <v>6814.5807116829055</v>
      </c>
      <c r="D72" s="57">
        <v>7326.2234399999998</v>
      </c>
      <c r="E72" s="57">
        <v>14565.61270810554</v>
      </c>
      <c r="F72" s="57">
        <v>29312.530214399998</v>
      </c>
      <c r="G72" s="57">
        <v>29897.65078012057</v>
      </c>
      <c r="H72" s="58">
        <v>0.60552661987628054</v>
      </c>
      <c r="I72" s="58">
        <v>1.9961448617394684E-2</v>
      </c>
      <c r="J72" s="58">
        <v>0.20288206084561411</v>
      </c>
    </row>
    <row r="73" spans="1:10" ht="11.25" customHeight="1" x14ac:dyDescent="0.2">
      <c r="A73" s="67">
        <v>44531</v>
      </c>
      <c r="B73" s="57">
        <v>5942.4768000000004</v>
      </c>
      <c r="C73" s="57">
        <v>6760.0640659894425</v>
      </c>
      <c r="D73" s="57">
        <v>7754.0832</v>
      </c>
      <c r="E73" s="57">
        <v>15416.26101395942</v>
      </c>
      <c r="F73" s="57">
        <v>31024.415231999999</v>
      </c>
      <c r="G73" s="57">
        <v>31643.70750253828</v>
      </c>
      <c r="H73" s="58">
        <v>0.61911641170840426</v>
      </c>
      <c r="I73" s="58">
        <v>1.9961448617394462E-2</v>
      </c>
      <c r="J73" s="58">
        <v>0.20346285614935189</v>
      </c>
    </row>
    <row r="74" spans="1:10" ht="11.25" customHeight="1" x14ac:dyDescent="0.2">
      <c r="A74" s="67">
        <v>44562</v>
      </c>
      <c r="B74" s="57">
        <v>6837.0432000000001</v>
      </c>
      <c r="C74" s="57">
        <v>7777.7081189340888</v>
      </c>
      <c r="D74" s="57">
        <v>6942.8664000000008</v>
      </c>
      <c r="E74" s="57">
        <v>13803.442373103348</v>
      </c>
      <c r="F74" s="57">
        <v>27778.702464000002</v>
      </c>
      <c r="G74" s="57">
        <v>28333.205605893028</v>
      </c>
      <c r="H74" s="58">
        <v>0.56613150002358759</v>
      </c>
      <c r="I74" s="58">
        <v>1.9961448617394462E-2</v>
      </c>
      <c r="J74" s="58">
        <v>0.20105926591250611</v>
      </c>
    </row>
    <row r="75" spans="1:10" ht="11.25" customHeight="1" x14ac:dyDescent="0.2">
      <c r="A75" s="67">
        <v>44593</v>
      </c>
      <c r="B75" s="57">
        <v>7603.8144000000002</v>
      </c>
      <c r="C75" s="57">
        <v>8649.9744500295001</v>
      </c>
      <c r="D75" s="57">
        <v>8122.5568800000001</v>
      </c>
      <c r="E75" s="57">
        <v>16148.84103420658</v>
      </c>
      <c r="F75" s="57">
        <v>32498.694028800001</v>
      </c>
      <c r="G75" s="57">
        <v>33147.41503978832</v>
      </c>
      <c r="H75" s="58">
        <v>0.57689368022068499</v>
      </c>
      <c r="I75" s="58">
        <v>1.9961448617394684E-2</v>
      </c>
      <c r="J75" s="58">
        <v>0.20157909902198745</v>
      </c>
    </row>
    <row r="76" spans="1:10" ht="11.25" customHeight="1" x14ac:dyDescent="0.2">
      <c r="A76" s="67">
        <v>44621</v>
      </c>
      <c r="B76" s="57">
        <v>8594.2272000000012</v>
      </c>
      <c r="C76" s="57">
        <v>9776.6517943610743</v>
      </c>
      <c r="D76" s="57">
        <v>9333.6350399999992</v>
      </c>
      <c r="E76" s="57">
        <v>18556.643032367458</v>
      </c>
      <c r="F76" s="57">
        <v>37344.269030399999</v>
      </c>
      <c r="G76" s="57">
        <v>38089.714737804483</v>
      </c>
      <c r="H76" s="58">
        <v>0.58040565280071732</v>
      </c>
      <c r="I76" s="58">
        <v>1.9961448617394462E-2</v>
      </c>
      <c r="J76" s="58">
        <v>0.2017450392781337</v>
      </c>
    </row>
    <row r="77" spans="1:10" ht="11.25" customHeight="1" x14ac:dyDescent="0.2">
      <c r="A77" s="67">
        <v>44652</v>
      </c>
      <c r="B77" s="57">
        <v>9808.2816000000021</v>
      </c>
      <c r="C77" s="57">
        <v>11157.740151928811</v>
      </c>
      <c r="D77" s="57">
        <v>9790.8194399999993</v>
      </c>
      <c r="E77" s="57">
        <v>19465.593047491158</v>
      </c>
      <c r="F77" s="57">
        <v>39173.483174399997</v>
      </c>
      <c r="G77" s="57">
        <v>39955.442645950156</v>
      </c>
      <c r="H77" s="58">
        <v>0.56248662308135988</v>
      </c>
      <c r="I77" s="58">
        <v>1.9961448617394684E-2</v>
      </c>
      <c r="J77" s="58">
        <v>0.20087923287330067</v>
      </c>
    </row>
    <row r="78" spans="1:10" ht="11.25" customHeight="1" x14ac:dyDescent="0.2">
      <c r="A78" s="67">
        <v>44682</v>
      </c>
      <c r="B78" s="57">
        <v>8690.0735999999997</v>
      </c>
      <c r="C78" s="57">
        <v>9885.6850857480022</v>
      </c>
      <c r="D78" s="57">
        <v>9659.5216799999998</v>
      </c>
      <c r="E78" s="57">
        <v>19204.553736137343</v>
      </c>
      <c r="F78" s="57">
        <v>38648.155276799996</v>
      </c>
      <c r="G78" s="57">
        <v>39419.628442514928</v>
      </c>
      <c r="H78" s="58">
        <v>0.58533408383083119</v>
      </c>
      <c r="I78" s="58">
        <v>1.9961448617394684E-2</v>
      </c>
      <c r="J78" s="58">
        <v>0.20197493050410986</v>
      </c>
    </row>
    <row r="79" spans="1:10" ht="11.25" customHeight="1" x14ac:dyDescent="0.2">
      <c r="A79" s="67">
        <v>44713</v>
      </c>
      <c r="B79" s="57">
        <v>6693.2736000000004</v>
      </c>
      <c r="C79" s="57">
        <v>7614.1581818536997</v>
      </c>
      <c r="D79" s="57">
        <v>7876.6130400000002</v>
      </c>
      <c r="E79" s="57">
        <v>15659.868407214974</v>
      </c>
      <c r="F79" s="57">
        <v>31514.662310399999</v>
      </c>
      <c r="G79" s="57">
        <v>32143.740622803591</v>
      </c>
      <c r="H79" s="58">
        <v>0.59740615449762147</v>
      </c>
      <c r="I79" s="58">
        <v>1.9961448617394684E-2</v>
      </c>
      <c r="J79" s="58">
        <v>0.20252380622228605</v>
      </c>
    </row>
    <row r="80" spans="1:10" ht="11.25" customHeight="1" x14ac:dyDescent="0.2">
      <c r="A80" s="67">
        <v>44743</v>
      </c>
      <c r="B80" s="57">
        <v>6293.9136000000008</v>
      </c>
      <c r="C80" s="57">
        <v>7159.8528010748396</v>
      </c>
      <c r="D80" s="57">
        <v>8110.1786400000001</v>
      </c>
      <c r="E80" s="57">
        <v>16124.231267479619</v>
      </c>
      <c r="F80" s="57">
        <v>32449.168166399999</v>
      </c>
      <c r="G80" s="57">
        <v>33096.900569430785</v>
      </c>
      <c r="H80" s="58">
        <v>0.61649090276545304</v>
      </c>
      <c r="I80" s="58">
        <v>1.9961448617394462E-2</v>
      </c>
      <c r="J80" s="58">
        <v>0.20335242732187297</v>
      </c>
    </row>
    <row r="81" spans="1:10" ht="11.25" customHeight="1" x14ac:dyDescent="0.2">
      <c r="A81" s="67">
        <v>44774</v>
      </c>
      <c r="B81" s="57">
        <v>6293.9136000000008</v>
      </c>
      <c r="C81" s="57">
        <v>7159.8528010748396</v>
      </c>
      <c r="D81" s="57">
        <v>8110.1786400000001</v>
      </c>
      <c r="E81" s="57">
        <v>16124.231267479619</v>
      </c>
      <c r="F81" s="57">
        <v>32449.168166399999</v>
      </c>
      <c r="G81" s="57">
        <v>33096.900569430785</v>
      </c>
      <c r="H81" s="58">
        <v>0.61649090276545304</v>
      </c>
      <c r="I81" s="58">
        <v>1.9961448617394462E-2</v>
      </c>
      <c r="J81" s="58">
        <v>0.20335242732187297</v>
      </c>
    </row>
    <row r="82" spans="1:10" ht="11.25" customHeight="1" x14ac:dyDescent="0.2">
      <c r="A82" s="66" t="s">
        <v>34</v>
      </c>
      <c r="B82" s="57">
        <v>157684.40640000001</v>
      </c>
      <c r="C82" s="57">
        <v>179947.70452460102</v>
      </c>
      <c r="D82" s="57">
        <v>9916.6648800000003</v>
      </c>
      <c r="E82" s="57">
        <v>19715.792342548579</v>
      </c>
      <c r="F82" s="57">
        <v>63652.713830399996</v>
      </c>
      <c r="G82" s="57">
        <v>64492.468924292814</v>
      </c>
      <c r="H82" s="58">
        <v>0.19130203251257871</v>
      </c>
      <c r="I82" s="58">
        <v>1.3192761837779843E-2</v>
      </c>
      <c r="J82" s="58">
        <v>0.14227737143993124</v>
      </c>
    </row>
    <row r="83" spans="1:10" ht="11.25" customHeight="1" x14ac:dyDescent="0.2">
      <c r="A83" s="67">
        <v>44440</v>
      </c>
      <c r="B83" s="57">
        <v>7876.7424000000001</v>
      </c>
      <c r="C83" s="57">
        <v>8988.8515064454514</v>
      </c>
      <c r="D83" s="57">
        <v>579.27215999999999</v>
      </c>
      <c r="E83" s="57">
        <v>1151.6784881390056</v>
      </c>
      <c r="F83" s="57">
        <v>3718.2102527999996</v>
      </c>
      <c r="G83" s="57">
        <v>3767.2637151279814</v>
      </c>
      <c r="H83" s="58">
        <v>0.19920914547058888</v>
      </c>
      <c r="I83" s="58">
        <v>1.3192761837779843E-2</v>
      </c>
      <c r="J83" s="58">
        <v>0.14239665552173486</v>
      </c>
    </row>
    <row r="84" spans="1:10" ht="11.25" customHeight="1" x14ac:dyDescent="0.2">
      <c r="A84" s="67">
        <v>44470</v>
      </c>
      <c r="B84" s="57">
        <v>10818.0576</v>
      </c>
      <c r="C84" s="57">
        <v>12345.447955054828</v>
      </c>
      <c r="D84" s="57">
        <v>744.46271999999999</v>
      </c>
      <c r="E84" s="57">
        <v>1480.1016845785441</v>
      </c>
      <c r="F84" s="57">
        <v>4778.5291775999995</v>
      </c>
      <c r="G84" s="57">
        <v>4841.5711749749589</v>
      </c>
      <c r="H84" s="58">
        <v>0.19572111070965637</v>
      </c>
      <c r="I84" s="58">
        <v>1.3192761837780065E-2</v>
      </c>
      <c r="J84" s="58">
        <v>0.14234528310742589</v>
      </c>
    </row>
    <row r="85" spans="1:10" ht="11.25" customHeight="1" x14ac:dyDescent="0.2">
      <c r="A85" s="67">
        <v>44501</v>
      </c>
      <c r="B85" s="57">
        <v>12213.936</v>
      </c>
      <c r="C85" s="57">
        <v>13938.408981513516</v>
      </c>
      <c r="D85" s="57">
        <v>730.38983999999994</v>
      </c>
      <c r="E85" s="57">
        <v>1452.1227235972988</v>
      </c>
      <c r="F85" s="57">
        <v>4688.1987071999993</v>
      </c>
      <c r="G85" s="57">
        <v>4750.0489961922767</v>
      </c>
      <c r="H85" s="58">
        <v>0.18897900866738482</v>
      </c>
      <c r="I85" s="58">
        <v>1.3192761837779843E-2</v>
      </c>
      <c r="J85" s="58">
        <v>0.14224033248269974</v>
      </c>
    </row>
    <row r="86" spans="1:10" ht="11.25" customHeight="1" x14ac:dyDescent="0.2">
      <c r="A86" s="67">
        <v>44531</v>
      </c>
      <c r="B86" s="57">
        <v>11416.2912</v>
      </c>
      <c r="C86" s="57">
        <v>13028.145537822838</v>
      </c>
      <c r="D86" s="57">
        <v>811.5852000000001</v>
      </c>
      <c r="E86" s="57">
        <v>1613.5510743896143</v>
      </c>
      <c r="F86" s="57">
        <v>5209.3724160000002</v>
      </c>
      <c r="G86" s="57">
        <v>5278.0984256085885</v>
      </c>
      <c r="H86" s="58">
        <v>0.19740305947257153</v>
      </c>
      <c r="I86" s="58">
        <v>1.3192761837779843E-2</v>
      </c>
      <c r="J86" s="58">
        <v>0.14237029292964598</v>
      </c>
    </row>
    <row r="87" spans="1:10" ht="11.25" customHeight="1" x14ac:dyDescent="0.2">
      <c r="A87" s="67">
        <v>44562</v>
      </c>
      <c r="B87" s="57">
        <v>11914.8192</v>
      </c>
      <c r="C87" s="57">
        <v>13597.060190129512</v>
      </c>
      <c r="D87" s="57">
        <v>652.14167999999995</v>
      </c>
      <c r="E87" s="57">
        <v>1296.553841073307</v>
      </c>
      <c r="F87" s="57">
        <v>4185.9423743999996</v>
      </c>
      <c r="G87" s="57">
        <v>4241.1665152121295</v>
      </c>
      <c r="H87" s="58">
        <v>0.185140478546856</v>
      </c>
      <c r="I87" s="58">
        <v>1.3192761837779843E-2</v>
      </c>
      <c r="J87" s="58">
        <v>0.14217698603311457</v>
      </c>
    </row>
    <row r="88" spans="1:10" ht="11.25" customHeight="1" x14ac:dyDescent="0.2">
      <c r="A88" s="67">
        <v>44593</v>
      </c>
      <c r="B88" s="57">
        <v>12513.052799999999</v>
      </c>
      <c r="C88" s="57">
        <v>14279.757772897521</v>
      </c>
      <c r="D88" s="57">
        <v>784.24991999999997</v>
      </c>
      <c r="E88" s="57">
        <v>1559.2045062009129</v>
      </c>
      <c r="F88" s="57">
        <v>5033.9137535999998</v>
      </c>
      <c r="G88" s="57">
        <v>5100.3249788631692</v>
      </c>
      <c r="H88" s="58">
        <v>0.19114098645551736</v>
      </c>
      <c r="I88" s="58">
        <v>1.3192761837779843E-2</v>
      </c>
      <c r="J88" s="58">
        <v>0.14227483419431874</v>
      </c>
    </row>
    <row r="89" spans="1:10" ht="11.25" customHeight="1" x14ac:dyDescent="0.2">
      <c r="A89" s="67">
        <v>44621</v>
      </c>
      <c r="B89" s="57">
        <v>15853.190399999998</v>
      </c>
      <c r="C89" s="57">
        <v>18091.485943352236</v>
      </c>
      <c r="D89" s="57">
        <v>898.74864000000002</v>
      </c>
      <c r="E89" s="57">
        <v>1786.8448484252851</v>
      </c>
      <c r="F89" s="57">
        <v>5768.8538111999997</v>
      </c>
      <c r="G89" s="57">
        <v>5844.9609256081303</v>
      </c>
      <c r="H89" s="58">
        <v>0.18662864903653098</v>
      </c>
      <c r="I89" s="58">
        <v>1.3192761837779843E-2</v>
      </c>
      <c r="J89" s="58">
        <v>0.14220187039352017</v>
      </c>
    </row>
    <row r="90" spans="1:10" ht="11.25" customHeight="1" x14ac:dyDescent="0.2">
      <c r="A90" s="67">
        <v>44652</v>
      </c>
      <c r="B90" s="57">
        <v>17149.3632</v>
      </c>
      <c r="C90" s="57">
        <v>19570.664039349591</v>
      </c>
      <c r="D90" s="57">
        <v>996.15359999999998</v>
      </c>
      <c r="E90" s="57">
        <v>1980.5002746933806</v>
      </c>
      <c r="F90" s="57">
        <v>6394.0730880000001</v>
      </c>
      <c r="G90" s="57">
        <v>6478.428571423342</v>
      </c>
      <c r="H90" s="58">
        <v>0.1876853413203956</v>
      </c>
      <c r="I90" s="58">
        <v>1.3192761837779843E-2</v>
      </c>
      <c r="J90" s="58">
        <v>0.14221928782815318</v>
      </c>
    </row>
    <row r="91" spans="1:10" ht="11.25" customHeight="1" x14ac:dyDescent="0.2">
      <c r="A91" s="67">
        <v>44682</v>
      </c>
      <c r="B91" s="57">
        <v>17049.657599999999</v>
      </c>
      <c r="C91" s="57">
        <v>19456.881108888254</v>
      </c>
      <c r="D91" s="57">
        <v>1032.2568000000001</v>
      </c>
      <c r="E91" s="57">
        <v>2052.2787609803445</v>
      </c>
      <c r="F91" s="57">
        <v>6625.8109439999998</v>
      </c>
      <c r="G91" s="57">
        <v>6713.2236897663479</v>
      </c>
      <c r="H91" s="58">
        <v>0.1895399676191698</v>
      </c>
      <c r="I91" s="58">
        <v>1.3192761837780065E-2</v>
      </c>
      <c r="J91" s="58">
        <v>0.14224936398236454</v>
      </c>
    </row>
    <row r="92" spans="1:10" ht="11.25" customHeight="1" x14ac:dyDescent="0.2">
      <c r="A92" s="67">
        <v>44713</v>
      </c>
      <c r="B92" s="57">
        <v>13759.372799999999</v>
      </c>
      <c r="C92" s="57">
        <v>15702.044403664206</v>
      </c>
      <c r="D92" s="57">
        <v>890.05439999999999</v>
      </c>
      <c r="E92" s="57">
        <v>1769.5594170337304</v>
      </c>
      <c r="F92" s="57">
        <v>5713.047552</v>
      </c>
      <c r="G92" s="57">
        <v>5788.4184277214472</v>
      </c>
      <c r="H92" s="58">
        <v>0.19264757469138027</v>
      </c>
      <c r="I92" s="58">
        <v>1.3192761837779843E-2</v>
      </c>
      <c r="J92" s="58">
        <v>0.14229839603041317</v>
      </c>
    </row>
    <row r="93" spans="1:10" ht="11.25" customHeight="1" x14ac:dyDescent="0.2">
      <c r="A93" s="67">
        <v>44743</v>
      </c>
      <c r="B93" s="57">
        <v>13559.961600000001</v>
      </c>
      <c r="C93" s="57">
        <v>15474.478542741537</v>
      </c>
      <c r="D93" s="57">
        <v>898.67496000000006</v>
      </c>
      <c r="E93" s="57">
        <v>1786.698361718577</v>
      </c>
      <c r="F93" s="57">
        <v>5768.3808767999999</v>
      </c>
      <c r="G93" s="57">
        <v>5844.4817518972268</v>
      </c>
      <c r="H93" s="58">
        <v>0.1938315782978719</v>
      </c>
      <c r="I93" s="58">
        <v>1.3192761837780065E-2</v>
      </c>
      <c r="J93" s="58">
        <v>0.14231664300244717</v>
      </c>
    </row>
    <row r="94" spans="1:10" ht="11.25" customHeight="1" x14ac:dyDescent="0.2">
      <c r="A94" s="67">
        <v>44774</v>
      </c>
      <c r="B94" s="57">
        <v>13559.961600000001</v>
      </c>
      <c r="C94" s="57">
        <v>15474.478542741537</v>
      </c>
      <c r="D94" s="57">
        <v>898.67496000000006</v>
      </c>
      <c r="E94" s="57">
        <v>1786.698361718577</v>
      </c>
      <c r="F94" s="57">
        <v>5768.3808767999999</v>
      </c>
      <c r="G94" s="57">
        <v>5844.4817518972268</v>
      </c>
      <c r="H94" s="58">
        <v>0.1938315782978719</v>
      </c>
      <c r="I94" s="58">
        <v>1.3192761837780065E-2</v>
      </c>
      <c r="J94" s="58">
        <v>0.14231664300244717</v>
      </c>
    </row>
    <row r="95" spans="1:10" ht="11.25" customHeight="1" x14ac:dyDescent="0.2">
      <c r="A95" s="62" t="s">
        <v>49</v>
      </c>
      <c r="B95" s="57">
        <v>1032166.5939999998</v>
      </c>
      <c r="C95" s="57">
        <v>1176972.2400819012</v>
      </c>
      <c r="D95" s="57">
        <v>589879.30779000011</v>
      </c>
      <c r="E95" s="57">
        <v>1172767.0623426309</v>
      </c>
      <c r="F95" s="57">
        <v>2513456.3831983991</v>
      </c>
      <c r="G95" s="57">
        <v>2560873.3656215481</v>
      </c>
      <c r="H95" s="58">
        <v>0.44862688523887662</v>
      </c>
      <c r="I95" s="58">
        <v>1.8865249757312519E-2</v>
      </c>
      <c r="J95" s="58">
        <v>0.18742835323082296</v>
      </c>
    </row>
    <row r="96" spans="1:10" ht="11.25" customHeight="1" x14ac:dyDescent="0.2">
      <c r="A96" s="63" t="s">
        <v>50</v>
      </c>
      <c r="B96" s="57">
        <v>1032166.5939999998</v>
      </c>
      <c r="C96" s="57">
        <v>1176972.2400819012</v>
      </c>
      <c r="D96" s="57">
        <v>589879.30779000011</v>
      </c>
      <c r="E96" s="57">
        <v>1172767.0623426309</v>
      </c>
      <c r="F96" s="57">
        <v>2513456.3831983991</v>
      </c>
      <c r="G96" s="57">
        <v>2560873.3656215481</v>
      </c>
      <c r="H96" s="58">
        <v>0.44862688523887662</v>
      </c>
      <c r="I96" s="58">
        <v>1.8865249757312519E-2</v>
      </c>
      <c r="J96" s="58">
        <v>0.18742835323082296</v>
      </c>
    </row>
    <row r="97" spans="1:10" ht="11.25" customHeight="1" x14ac:dyDescent="0.2">
      <c r="A97" s="64" t="s">
        <v>25</v>
      </c>
      <c r="B97" s="57">
        <v>1032166.5939999998</v>
      </c>
      <c r="C97" s="57">
        <v>1176972.2400819012</v>
      </c>
      <c r="D97" s="57">
        <v>589879.30779000011</v>
      </c>
      <c r="E97" s="57">
        <v>1172767.0623426309</v>
      </c>
      <c r="F97" s="57">
        <v>2513456.3831983991</v>
      </c>
      <c r="G97" s="57">
        <v>2560873.3656215481</v>
      </c>
      <c r="H97" s="58">
        <v>0.44862688523887662</v>
      </c>
      <c r="I97" s="58">
        <v>1.8865249757312519E-2</v>
      </c>
      <c r="J97" s="58">
        <v>0.18742835323082296</v>
      </c>
    </row>
    <row r="98" spans="1:10" ht="11.25" customHeight="1" x14ac:dyDescent="0.2">
      <c r="A98" s="65" t="s">
        <v>25</v>
      </c>
      <c r="B98" s="57">
        <v>1032166.5939999998</v>
      </c>
      <c r="C98" s="57">
        <v>1176972.2400819012</v>
      </c>
      <c r="D98" s="57">
        <v>589879.30779000011</v>
      </c>
      <c r="E98" s="57">
        <v>1172767.0623426309</v>
      </c>
      <c r="F98" s="57">
        <v>2513456.3831983991</v>
      </c>
      <c r="G98" s="57">
        <v>2560873.3656215481</v>
      </c>
      <c r="H98" s="58">
        <v>0.44862688523887662</v>
      </c>
      <c r="I98" s="58">
        <v>1.8865249757312519E-2</v>
      </c>
      <c r="J98" s="58">
        <v>0.18742835323082296</v>
      </c>
    </row>
    <row r="99" spans="1:10" ht="11.25" customHeight="1" x14ac:dyDescent="0.2">
      <c r="A99" s="66" t="s">
        <v>35</v>
      </c>
      <c r="B99" s="57">
        <v>256529.72800000003</v>
      </c>
      <c r="C99" s="57">
        <v>291824.00781284418</v>
      </c>
      <c r="D99" s="57">
        <v>526462.40989000001</v>
      </c>
      <c r="E99" s="57">
        <v>1046684.916264805</v>
      </c>
      <c r="F99" s="57">
        <v>2106398.3951663999</v>
      </c>
      <c r="G99" s="57">
        <v>2148445.1584992763</v>
      </c>
      <c r="H99" s="58">
        <v>0.70947939232780888</v>
      </c>
      <c r="I99" s="58">
        <v>1.9961448617394462E-2</v>
      </c>
      <c r="J99" s="58">
        <v>0.2068130087241693</v>
      </c>
    </row>
    <row r="100" spans="1:10" ht="11.25" customHeight="1" x14ac:dyDescent="0.2">
      <c r="A100" s="67">
        <v>44440</v>
      </c>
      <c r="B100" s="57">
        <v>21498.880000000001</v>
      </c>
      <c r="C100" s="57">
        <v>24456.772998595316</v>
      </c>
      <c r="D100" s="57">
        <v>44347.747934999999</v>
      </c>
      <c r="E100" s="57">
        <v>88169.863530383562</v>
      </c>
      <c r="F100" s="57">
        <v>177437.21740560001</v>
      </c>
      <c r="G100" s="57">
        <v>180979.12130365535</v>
      </c>
      <c r="H100" s="58">
        <v>0.71043894062665469</v>
      </c>
      <c r="I100" s="58">
        <v>1.9961448617394462E-2</v>
      </c>
      <c r="J100" s="58">
        <v>0.20684444715835126</v>
      </c>
    </row>
    <row r="101" spans="1:10" ht="11.25" customHeight="1" x14ac:dyDescent="0.2">
      <c r="A101" s="67">
        <v>44470</v>
      </c>
      <c r="B101" s="57">
        <v>21696.895999999997</v>
      </c>
      <c r="C101" s="57">
        <v>24682.032749898164</v>
      </c>
      <c r="D101" s="57">
        <v>45657.396119999998</v>
      </c>
      <c r="E101" s="57">
        <v>90773.637275862362</v>
      </c>
      <c r="F101" s="57">
        <v>182677.17525119998</v>
      </c>
      <c r="G101" s="57">
        <v>186323.67629854759</v>
      </c>
      <c r="H101" s="58">
        <v>0.71415460532287955</v>
      </c>
      <c r="I101" s="58">
        <v>1.9961448617394684E-2</v>
      </c>
      <c r="J101" s="58">
        <v>0.2069654651759596</v>
      </c>
    </row>
    <row r="102" spans="1:10" ht="11.25" customHeight="1" x14ac:dyDescent="0.2">
      <c r="A102" s="67">
        <v>44501</v>
      </c>
      <c r="B102" s="57">
        <v>20466.367999999999</v>
      </c>
      <c r="C102" s="57">
        <v>23282.2042953733</v>
      </c>
      <c r="D102" s="57">
        <v>39734.003040000003</v>
      </c>
      <c r="E102" s="57">
        <v>78997.058220125517</v>
      </c>
      <c r="F102" s="57">
        <v>158977.42871040001</v>
      </c>
      <c r="G102" s="57">
        <v>162150.84848492814</v>
      </c>
      <c r="H102" s="58">
        <v>0.6989806000952985</v>
      </c>
      <c r="I102" s="58">
        <v>1.9961448617394462E-2</v>
      </c>
      <c r="J102" s="58">
        <v>0.20646393613568681</v>
      </c>
    </row>
    <row r="103" spans="1:10" ht="11.25" customHeight="1" x14ac:dyDescent="0.2">
      <c r="A103" s="67">
        <v>44531</v>
      </c>
      <c r="B103" s="57">
        <v>20834.112000000001</v>
      </c>
      <c r="C103" s="57">
        <v>23700.54383350717</v>
      </c>
      <c r="D103" s="57">
        <v>42250.637074999999</v>
      </c>
      <c r="E103" s="57">
        <v>84000.497847930106</v>
      </c>
      <c r="F103" s="57">
        <v>169046.58805199998</v>
      </c>
      <c r="G103" s="57">
        <v>172421.00283334585</v>
      </c>
      <c r="H103" s="58">
        <v>0.70724371992657042</v>
      </c>
      <c r="I103" s="58">
        <v>1.9961448617394684E-2</v>
      </c>
      <c r="J103" s="58">
        <v>0.2067394604353967</v>
      </c>
    </row>
    <row r="104" spans="1:10" ht="11.25" customHeight="1" x14ac:dyDescent="0.2">
      <c r="A104" s="67">
        <v>44562</v>
      </c>
      <c r="B104" s="57">
        <v>21272.575999999997</v>
      </c>
      <c r="C104" s="57">
        <v>24199.333282820626</v>
      </c>
      <c r="D104" s="57">
        <v>43766.042799999996</v>
      </c>
      <c r="E104" s="57">
        <v>87013.34792911679</v>
      </c>
      <c r="F104" s="57">
        <v>175109.79052799998</v>
      </c>
      <c r="G104" s="57">
        <v>178605.23561402736</v>
      </c>
      <c r="H104" s="58">
        <v>0.70994838549580996</v>
      </c>
      <c r="I104" s="58">
        <v>1.9961448617394462E-2</v>
      </c>
      <c r="J104" s="58">
        <v>0.2068283843184866</v>
      </c>
    </row>
    <row r="105" spans="1:10" ht="11.25" customHeight="1" x14ac:dyDescent="0.2">
      <c r="A105" s="67">
        <v>44593</v>
      </c>
      <c r="B105" s="57">
        <v>21060.415999999997</v>
      </c>
      <c r="C105" s="57">
        <v>23957.983549281857</v>
      </c>
      <c r="D105" s="57">
        <v>39616.478835000002</v>
      </c>
      <c r="E105" s="57">
        <v>78763.402767506923</v>
      </c>
      <c r="F105" s="57">
        <v>158507.20938959997</v>
      </c>
      <c r="G105" s="57">
        <v>161671.24290531708</v>
      </c>
      <c r="H105" s="58">
        <v>0.69292424399965213</v>
      </c>
      <c r="I105" s="58">
        <v>1.9961448617394684E-2</v>
      </c>
      <c r="J105" s="58">
        <v>0.20625822824806805</v>
      </c>
    </row>
    <row r="106" spans="1:10" ht="11.25" customHeight="1" x14ac:dyDescent="0.2">
      <c r="A106" s="67">
        <v>44621</v>
      </c>
      <c r="B106" s="57">
        <v>21767.615999999998</v>
      </c>
      <c r="C106" s="57">
        <v>24762.482661077756</v>
      </c>
      <c r="D106" s="57">
        <v>46034.065165</v>
      </c>
      <c r="E106" s="57">
        <v>91522.510890424397</v>
      </c>
      <c r="F106" s="57">
        <v>184184.24405039998</v>
      </c>
      <c r="G106" s="57">
        <v>187860.8283741457</v>
      </c>
      <c r="H106" s="58">
        <v>0.7150753720769063</v>
      </c>
      <c r="I106" s="58">
        <v>1.9961448617394462E-2</v>
      </c>
      <c r="J106" s="58">
        <v>0.20699527827064568</v>
      </c>
    </row>
    <row r="107" spans="1:10" ht="11.25" customHeight="1" x14ac:dyDescent="0.2">
      <c r="A107" s="67">
        <v>44652</v>
      </c>
      <c r="B107" s="57">
        <v>21640.32</v>
      </c>
      <c r="C107" s="57">
        <v>24617.672820954496</v>
      </c>
      <c r="D107" s="57">
        <v>43950.58971</v>
      </c>
      <c r="E107" s="57">
        <v>87380.254404131105</v>
      </c>
      <c r="F107" s="57">
        <v>175848.1705296</v>
      </c>
      <c r="G107" s="57">
        <v>179358.35475008943</v>
      </c>
      <c r="H107" s="58">
        <v>0.70752208987902421</v>
      </c>
      <c r="I107" s="58">
        <v>1.9961448617394462E-2</v>
      </c>
      <c r="J107" s="58">
        <v>0.2067486410486572</v>
      </c>
    </row>
    <row r="108" spans="1:10" ht="11.25" customHeight="1" x14ac:dyDescent="0.2">
      <c r="A108" s="67">
        <v>44682</v>
      </c>
      <c r="B108" s="57">
        <v>21385.728000000003</v>
      </c>
      <c r="C108" s="57">
        <v>24328.053140707972</v>
      </c>
      <c r="D108" s="57">
        <v>45727.953929999996</v>
      </c>
      <c r="E108" s="57">
        <v>90913.916608373693</v>
      </c>
      <c r="F108" s="57">
        <v>182959.48003679997</v>
      </c>
      <c r="G108" s="57">
        <v>186611.61629661979</v>
      </c>
      <c r="H108" s="58">
        <v>0.71711589105303131</v>
      </c>
      <c r="I108" s="58">
        <v>1.9961448617394684E-2</v>
      </c>
      <c r="J108" s="58">
        <v>0.2070611003262155</v>
      </c>
    </row>
    <row r="109" spans="1:10" ht="11.25" customHeight="1" x14ac:dyDescent="0.2">
      <c r="A109" s="67">
        <v>44713</v>
      </c>
      <c r="B109" s="57">
        <v>21569.600000000002</v>
      </c>
      <c r="C109" s="57">
        <v>24537.222909774904</v>
      </c>
      <c r="D109" s="57">
        <v>43284.835650000001</v>
      </c>
      <c r="E109" s="57">
        <v>86056.637143993488</v>
      </c>
      <c r="F109" s="57">
        <v>173184.46034399999</v>
      </c>
      <c r="G109" s="57">
        <v>176641.47305048796</v>
      </c>
      <c r="H109" s="58">
        <v>0.70526285434986113</v>
      </c>
      <c r="I109" s="58">
        <v>1.9961448617394462E-2</v>
      </c>
      <c r="J109" s="58">
        <v>0.20667394252868831</v>
      </c>
    </row>
    <row r="110" spans="1:10" ht="11.25" customHeight="1" x14ac:dyDescent="0.2">
      <c r="A110" s="67">
        <v>44743</v>
      </c>
      <c r="B110" s="57">
        <v>21668.608</v>
      </c>
      <c r="C110" s="57">
        <v>24649.852785426334</v>
      </c>
      <c r="D110" s="57">
        <v>46046.329814999997</v>
      </c>
      <c r="E110" s="57">
        <v>91546.89482347852</v>
      </c>
      <c r="F110" s="57">
        <v>184233.31543439999</v>
      </c>
      <c r="G110" s="57">
        <v>187910.87929405601</v>
      </c>
      <c r="H110" s="58">
        <v>0.71596919909103618</v>
      </c>
      <c r="I110" s="58">
        <v>1.9961448617394462E-2</v>
      </c>
      <c r="J110" s="58">
        <v>0.20702415270142427</v>
      </c>
    </row>
    <row r="111" spans="1:10" ht="11.25" customHeight="1" x14ac:dyDescent="0.2">
      <c r="A111" s="67">
        <v>44774</v>
      </c>
      <c r="B111" s="57">
        <v>21668.608</v>
      </c>
      <c r="C111" s="57">
        <v>24649.852785426334</v>
      </c>
      <c r="D111" s="57">
        <v>46046.329814999997</v>
      </c>
      <c r="E111" s="57">
        <v>91546.89482347852</v>
      </c>
      <c r="F111" s="57">
        <v>184233.31543439999</v>
      </c>
      <c r="G111" s="57">
        <v>187910.87929405601</v>
      </c>
      <c r="H111" s="58">
        <v>0.71596919909103618</v>
      </c>
      <c r="I111" s="58">
        <v>1.9961448617394462E-2</v>
      </c>
      <c r="J111" s="58">
        <v>0.20702415270142427</v>
      </c>
    </row>
    <row r="112" spans="1:10" ht="11.25" customHeight="1" x14ac:dyDescent="0.2">
      <c r="A112" s="66" t="s">
        <v>34</v>
      </c>
      <c r="B112" s="57">
        <v>775636.86599999992</v>
      </c>
      <c r="C112" s="57">
        <v>885148.23226905684</v>
      </c>
      <c r="D112" s="57">
        <v>63416.897899999996</v>
      </c>
      <c r="E112" s="57">
        <v>126082.1460778258</v>
      </c>
      <c r="F112" s="57">
        <v>407057.98803200002</v>
      </c>
      <c r="G112" s="57">
        <v>412428.207122272</v>
      </c>
      <c r="H112" s="58">
        <v>0.20520331575248507</v>
      </c>
      <c r="I112" s="58">
        <v>1.3192761837779843E-2</v>
      </c>
      <c r="J112" s="58">
        <v>0.14248066697218942</v>
      </c>
    </row>
    <row r="113" spans="1:10" ht="11.25" customHeight="1" x14ac:dyDescent="0.2">
      <c r="A113" s="67">
        <v>44440</v>
      </c>
      <c r="B113" s="57">
        <v>66475.592999999993</v>
      </c>
      <c r="C113" s="57">
        <v>75861.213168518079</v>
      </c>
      <c r="D113" s="57">
        <v>5419.6045450000001</v>
      </c>
      <c r="E113" s="57">
        <v>10774.9731468139</v>
      </c>
      <c r="F113" s="57">
        <v>34787.152873600004</v>
      </c>
      <c r="G113" s="57">
        <v>35246.091496475849</v>
      </c>
      <c r="H113" s="58">
        <v>0.20503440109619908</v>
      </c>
      <c r="I113" s="58">
        <v>1.3192761837779843E-2</v>
      </c>
      <c r="J113" s="58">
        <v>0.14247836997934904</v>
      </c>
    </row>
    <row r="114" spans="1:10" ht="11.25" customHeight="1" x14ac:dyDescent="0.2">
      <c r="A114" s="67">
        <v>44470</v>
      </c>
      <c r="B114" s="57">
        <v>67314.262499999997</v>
      </c>
      <c r="C114" s="57">
        <v>76818.293547138164</v>
      </c>
      <c r="D114" s="57">
        <v>5352.00468</v>
      </c>
      <c r="E114" s="57">
        <v>10640.574645215616</v>
      </c>
      <c r="F114" s="57">
        <v>34353.2454144</v>
      </c>
      <c r="G114" s="57">
        <v>34806.459599506983</v>
      </c>
      <c r="H114" s="58">
        <v>0.20356902296510371</v>
      </c>
      <c r="I114" s="58">
        <v>1.3192761837779843E-2</v>
      </c>
      <c r="J114" s="58">
        <v>0.14245827539172073</v>
      </c>
    </row>
    <row r="115" spans="1:10" ht="11.25" customHeight="1" x14ac:dyDescent="0.2">
      <c r="A115" s="67">
        <v>44501</v>
      </c>
      <c r="B115" s="57">
        <v>62061.542999999991</v>
      </c>
      <c r="C115" s="57">
        <v>70823.948017886069</v>
      </c>
      <c r="D115" s="57">
        <v>4256.0499849999997</v>
      </c>
      <c r="E115" s="57">
        <v>8461.6550744797369</v>
      </c>
      <c r="F115" s="57">
        <v>27318.572828799999</v>
      </c>
      <c r="G115" s="57">
        <v>27678.980253878402</v>
      </c>
      <c r="H115" s="58">
        <v>0.19554404078415466</v>
      </c>
      <c r="I115" s="58">
        <v>1.3192761837779843E-2</v>
      </c>
      <c r="J115" s="58">
        <v>0.14234262388475427</v>
      </c>
    </row>
    <row r="116" spans="1:10" ht="11.25" customHeight="1" x14ac:dyDescent="0.2">
      <c r="A116" s="67">
        <v>44531</v>
      </c>
      <c r="B116" s="57">
        <v>63209.196000000004</v>
      </c>
      <c r="C116" s="57">
        <v>72133.636957050388</v>
      </c>
      <c r="D116" s="57">
        <v>5422.4182000000001</v>
      </c>
      <c r="E116" s="57">
        <v>10780.567107926314</v>
      </c>
      <c r="F116" s="57">
        <v>34805.213056000001</v>
      </c>
      <c r="G116" s="57">
        <v>35264.389942561</v>
      </c>
      <c r="H116" s="58">
        <v>0.20810511353201844</v>
      </c>
      <c r="I116" s="58">
        <v>1.3192761837780065E-2</v>
      </c>
      <c r="J116" s="58">
        <v>0.14251951787976513</v>
      </c>
    </row>
    <row r="117" spans="1:10" ht="11.25" customHeight="1" x14ac:dyDescent="0.2">
      <c r="A117" s="67">
        <v>44562</v>
      </c>
      <c r="B117" s="57">
        <v>65327.94</v>
      </c>
      <c r="C117" s="57">
        <v>74551.524229353759</v>
      </c>
      <c r="D117" s="57">
        <v>5127.6337300000005</v>
      </c>
      <c r="E117" s="57">
        <v>10194.492105225583</v>
      </c>
      <c r="F117" s="57">
        <v>32913.061638400002</v>
      </c>
      <c r="G117" s="57">
        <v>33347.27582194758</v>
      </c>
      <c r="H117" s="58">
        <v>0.20282912831486133</v>
      </c>
      <c r="I117" s="58">
        <v>1.3192761837779843E-2</v>
      </c>
      <c r="J117" s="58">
        <v>0.1424480137098556</v>
      </c>
    </row>
    <row r="118" spans="1:10" ht="11.25" customHeight="1" x14ac:dyDescent="0.2">
      <c r="A118" s="67">
        <v>44593</v>
      </c>
      <c r="B118" s="57">
        <v>63562.32</v>
      </c>
      <c r="C118" s="57">
        <v>72536.618169100955</v>
      </c>
      <c r="D118" s="57">
        <v>4870.8696749999999</v>
      </c>
      <c r="E118" s="57">
        <v>9684.0072949926162</v>
      </c>
      <c r="F118" s="57">
        <v>31264.954224000001</v>
      </c>
      <c r="G118" s="57">
        <v>31677.425318946323</v>
      </c>
      <c r="H118" s="58">
        <v>0.20147293812508615</v>
      </c>
      <c r="I118" s="58">
        <v>1.3192761837779843E-2</v>
      </c>
      <c r="J118" s="58">
        <v>0.14242899946487686</v>
      </c>
    </row>
    <row r="119" spans="1:10" ht="11.25" customHeight="1" x14ac:dyDescent="0.2">
      <c r="A119" s="67">
        <v>44621</v>
      </c>
      <c r="B119" s="57">
        <v>65460.361499999999</v>
      </c>
      <c r="C119" s="57">
        <v>74702.642183872711</v>
      </c>
      <c r="D119" s="57">
        <v>5818.2056699999994</v>
      </c>
      <c r="E119" s="57">
        <v>11567.450971072716</v>
      </c>
      <c r="F119" s="57">
        <v>37345.678713599998</v>
      </c>
      <c r="G119" s="57">
        <v>37838.371358538767</v>
      </c>
      <c r="H119" s="58">
        <v>0.21032305474365831</v>
      </c>
      <c r="I119" s="58">
        <v>1.3192761837779843E-2</v>
      </c>
      <c r="J119" s="58">
        <v>0.14254845687469109</v>
      </c>
    </row>
    <row r="120" spans="1:10" ht="11.25" customHeight="1" x14ac:dyDescent="0.2">
      <c r="A120" s="67">
        <v>44652</v>
      </c>
      <c r="B120" s="57">
        <v>64577.551499999994</v>
      </c>
      <c r="C120" s="57">
        <v>73695.189153746309</v>
      </c>
      <c r="D120" s="57">
        <v>5448.6068349999996</v>
      </c>
      <c r="E120" s="57">
        <v>10832.63397674187</v>
      </c>
      <c r="F120" s="57">
        <v>34973.311676799996</v>
      </c>
      <c r="G120" s="57">
        <v>35434.70624843047</v>
      </c>
      <c r="H120" s="58">
        <v>0.20708925264917832</v>
      </c>
      <c r="I120" s="58">
        <v>1.3192761837780065E-2</v>
      </c>
      <c r="J120" s="58">
        <v>0.1425060466061121</v>
      </c>
    </row>
    <row r="121" spans="1:10" ht="11.25" customHeight="1" x14ac:dyDescent="0.2">
      <c r="A121" s="67">
        <v>44682</v>
      </c>
      <c r="B121" s="57">
        <v>64445.13</v>
      </c>
      <c r="C121" s="57">
        <v>73544.071199227357</v>
      </c>
      <c r="D121" s="57">
        <v>5237.0776949999999</v>
      </c>
      <c r="E121" s="57">
        <v>10412.082849008502</v>
      </c>
      <c r="F121" s="57">
        <v>33615.5564256</v>
      </c>
      <c r="G121" s="57">
        <v>34059.038455567388</v>
      </c>
      <c r="H121" s="58">
        <v>0.20484348624132465</v>
      </c>
      <c r="I121" s="58">
        <v>1.3192761837779843E-2</v>
      </c>
      <c r="J121" s="58">
        <v>0.14247576904007997</v>
      </c>
    </row>
    <row r="122" spans="1:10" ht="11.25" customHeight="1" x14ac:dyDescent="0.2">
      <c r="A122" s="67">
        <v>44713</v>
      </c>
      <c r="B122" s="57">
        <v>63518.179499999991</v>
      </c>
      <c r="C122" s="57">
        <v>72486.245517594623</v>
      </c>
      <c r="D122" s="57">
        <v>5418.8830949999992</v>
      </c>
      <c r="E122" s="57">
        <v>10773.538797810714</v>
      </c>
      <c r="F122" s="57">
        <v>34782.522057599999</v>
      </c>
      <c r="G122" s="57">
        <v>35241.399587223241</v>
      </c>
      <c r="H122" s="58">
        <v>0.20776518727741911</v>
      </c>
      <c r="I122" s="58">
        <v>1.3192761837779843E-2</v>
      </c>
      <c r="J122" s="58">
        <v>0.14251502548470762</v>
      </c>
    </row>
    <row r="123" spans="1:10" ht="11.25" customHeight="1" x14ac:dyDescent="0.2">
      <c r="A123" s="67">
        <v>44743</v>
      </c>
      <c r="B123" s="57">
        <v>64842.394499999995</v>
      </c>
      <c r="C123" s="57">
        <v>73997.425062784227</v>
      </c>
      <c r="D123" s="57">
        <v>5522.7718949999999</v>
      </c>
      <c r="E123" s="57">
        <v>10980.085054269121</v>
      </c>
      <c r="F123" s="57">
        <v>35449.359561599995</v>
      </c>
      <c r="G123" s="57">
        <v>35917.034519598012</v>
      </c>
      <c r="H123" s="58">
        <v>0.20766445203903716</v>
      </c>
      <c r="I123" s="58">
        <v>1.3192761837780065E-2</v>
      </c>
      <c r="J123" s="58">
        <v>0.14251369123211366</v>
      </c>
    </row>
    <row r="124" spans="1:10" ht="11.25" customHeight="1" x14ac:dyDescent="0.2">
      <c r="A124" s="67">
        <v>44774</v>
      </c>
      <c r="B124" s="57">
        <v>64842.394499999995</v>
      </c>
      <c r="C124" s="57">
        <v>73997.425062784227</v>
      </c>
      <c r="D124" s="57">
        <v>5522.7718949999999</v>
      </c>
      <c r="E124" s="57">
        <v>10980.085054269121</v>
      </c>
      <c r="F124" s="57">
        <v>35449.359561599995</v>
      </c>
      <c r="G124" s="57">
        <v>35917.034519598012</v>
      </c>
      <c r="H124" s="58">
        <v>0.20766445203903716</v>
      </c>
      <c r="I124" s="58">
        <v>1.3192761837780065E-2</v>
      </c>
      <c r="J124" s="58">
        <v>0.14251369123211366</v>
      </c>
    </row>
    <row r="125" spans="1:10" ht="11.25" customHeight="1" x14ac:dyDescent="0.2">
      <c r="A125" s="61" t="s">
        <v>40</v>
      </c>
      <c r="B125" s="57">
        <v>4954151.4880000018</v>
      </c>
      <c r="C125" s="57">
        <v>5635761.4137419797</v>
      </c>
      <c r="D125" s="57">
        <v>5904942.6915595988</v>
      </c>
      <c r="E125" s="57">
        <v>9788701.0845671929</v>
      </c>
      <c r="F125" s="57">
        <v>14750688.511339189</v>
      </c>
      <c r="G125" s="57">
        <v>15038986.374898126</v>
      </c>
      <c r="H125" s="58">
        <v>0.42041888975814423</v>
      </c>
      <c r="I125" s="58">
        <v>1.9544705546274521E-2</v>
      </c>
      <c r="J125" s="58">
        <v>0.18952391126822854</v>
      </c>
    </row>
    <row r="126" spans="1:10" ht="11.25" customHeight="1" x14ac:dyDescent="0.2">
      <c r="A126" s="62" t="s">
        <v>41</v>
      </c>
      <c r="B126" s="57">
        <v>1341250.5599999998</v>
      </c>
      <c r="C126" s="57">
        <v>1525784.6213458024</v>
      </c>
      <c r="D126" s="57">
        <v>2042829.9693499997</v>
      </c>
      <c r="E126" s="57">
        <v>3373173.2813823312</v>
      </c>
      <c r="F126" s="57">
        <v>5042756.4022000004</v>
      </c>
      <c r="G126" s="57">
        <v>5141248.716194232</v>
      </c>
      <c r="H126" s="58">
        <v>0.44764814555672117</v>
      </c>
      <c r="I126" s="58">
        <v>1.9531443944280413E-2</v>
      </c>
      <c r="J126" s="58">
        <v>0.1914561419044345</v>
      </c>
    </row>
    <row r="127" spans="1:10" ht="11.25" customHeight="1" x14ac:dyDescent="0.2">
      <c r="A127" s="63" t="s">
        <v>25</v>
      </c>
      <c r="B127" s="57">
        <v>1341250.5599999998</v>
      </c>
      <c r="C127" s="57">
        <v>1525784.6213458024</v>
      </c>
      <c r="D127" s="57">
        <v>2042829.9693499997</v>
      </c>
      <c r="E127" s="57">
        <v>3373173.2813823312</v>
      </c>
      <c r="F127" s="57">
        <v>5042756.4022000004</v>
      </c>
      <c r="G127" s="57">
        <v>5141248.716194232</v>
      </c>
      <c r="H127" s="58">
        <v>0.44764814555672117</v>
      </c>
      <c r="I127" s="58">
        <v>1.9531443944280413E-2</v>
      </c>
      <c r="J127" s="58">
        <v>0.1914561419044345</v>
      </c>
    </row>
    <row r="128" spans="1:10" ht="11.25" customHeight="1" x14ac:dyDescent="0.2">
      <c r="A128" s="64" t="s">
        <v>25</v>
      </c>
      <c r="B128" s="57">
        <v>1341250.5599999998</v>
      </c>
      <c r="C128" s="57">
        <v>1525784.6213458024</v>
      </c>
      <c r="D128" s="57">
        <v>2042829.9693499997</v>
      </c>
      <c r="E128" s="57">
        <v>3373173.2813823312</v>
      </c>
      <c r="F128" s="57">
        <v>5042756.4022000004</v>
      </c>
      <c r="G128" s="57">
        <v>5141248.716194232</v>
      </c>
      <c r="H128" s="58">
        <v>0.44764814555672117</v>
      </c>
      <c r="I128" s="58">
        <v>1.9531443944280413E-2</v>
      </c>
      <c r="J128" s="58">
        <v>0.1914561419044345</v>
      </c>
    </row>
    <row r="129" spans="1:10" ht="11.25" customHeight="1" x14ac:dyDescent="0.2">
      <c r="A129" s="65" t="s">
        <v>25</v>
      </c>
      <c r="B129" s="57">
        <v>1341250.5599999998</v>
      </c>
      <c r="C129" s="57">
        <v>1525784.6213458024</v>
      </c>
      <c r="D129" s="57">
        <v>2042829.9693499997</v>
      </c>
      <c r="E129" s="57">
        <v>3373173.2813823312</v>
      </c>
      <c r="F129" s="57">
        <v>5042756.4022000004</v>
      </c>
      <c r="G129" s="57">
        <v>5141248.716194232</v>
      </c>
      <c r="H129" s="58">
        <v>0.44764814555672117</v>
      </c>
      <c r="I129" s="58">
        <v>1.9531443944280413E-2</v>
      </c>
      <c r="J129" s="58">
        <v>0.1914561419044345</v>
      </c>
    </row>
    <row r="130" spans="1:10" ht="11.25" customHeight="1" x14ac:dyDescent="0.2">
      <c r="A130" s="66" t="s">
        <v>35</v>
      </c>
      <c r="B130" s="57">
        <v>0</v>
      </c>
      <c r="C130" s="57">
        <v>0</v>
      </c>
      <c r="D130" s="57">
        <v>1180291.8162499997</v>
      </c>
      <c r="E130" s="57">
        <v>2346594.2062564185</v>
      </c>
      <c r="F130" s="57">
        <v>4722397.5365999993</v>
      </c>
      <c r="G130" s="57">
        <v>4816663.4323777501</v>
      </c>
      <c r="H130" s="58">
        <v>0.98814748518037798</v>
      </c>
      <c r="I130" s="58">
        <v>1.9961448617394018E-2</v>
      </c>
      <c r="J130" s="58">
        <v>0.21355829697788953</v>
      </c>
    </row>
    <row r="131" spans="1:10" ht="11.25" customHeight="1" x14ac:dyDescent="0.2">
      <c r="A131" s="67">
        <v>44440</v>
      </c>
      <c r="B131" s="57">
        <v>0</v>
      </c>
      <c r="C131" s="57">
        <v>0</v>
      </c>
      <c r="D131" s="57">
        <v>99665.17074999999</v>
      </c>
      <c r="E131" s="57">
        <v>198149.05858668548</v>
      </c>
      <c r="F131" s="57">
        <v>398764.56851999997</v>
      </c>
      <c r="G131" s="57">
        <v>406724.48696494946</v>
      </c>
      <c r="H131" s="58">
        <v>0.98814748518037843</v>
      </c>
      <c r="I131" s="58">
        <v>1.9961448617394462E-2</v>
      </c>
      <c r="J131" s="58">
        <v>0.21355829697789019</v>
      </c>
    </row>
    <row r="132" spans="1:10" ht="11.25" customHeight="1" x14ac:dyDescent="0.2">
      <c r="A132" s="67">
        <v>44470</v>
      </c>
      <c r="B132" s="57">
        <v>0</v>
      </c>
      <c r="C132" s="57">
        <v>0</v>
      </c>
      <c r="D132" s="57">
        <v>107010.75975000001</v>
      </c>
      <c r="E132" s="57">
        <v>212753.17288420416</v>
      </c>
      <c r="F132" s="57">
        <v>428154.58116</v>
      </c>
      <c r="G132" s="57">
        <v>436701.16683212743</v>
      </c>
      <c r="H132" s="58">
        <v>0.9881474851803782</v>
      </c>
      <c r="I132" s="58">
        <v>1.9961448617394462E-2</v>
      </c>
      <c r="J132" s="58">
        <v>0.21355829697788997</v>
      </c>
    </row>
    <row r="133" spans="1:10" ht="11.25" customHeight="1" x14ac:dyDescent="0.2">
      <c r="A133" s="67">
        <v>44501</v>
      </c>
      <c r="B133" s="57">
        <v>0</v>
      </c>
      <c r="C133" s="57">
        <v>0</v>
      </c>
      <c r="D133" s="57">
        <v>96791.343750000015</v>
      </c>
      <c r="E133" s="57">
        <v>192435.466663792</v>
      </c>
      <c r="F133" s="57">
        <v>387266.26500000001</v>
      </c>
      <c r="G133" s="57">
        <v>394996.66065004782</v>
      </c>
      <c r="H133" s="58">
        <v>0.98814748518037776</v>
      </c>
      <c r="I133" s="58">
        <v>1.9961448617394462E-2</v>
      </c>
      <c r="J133" s="58">
        <v>0.21355829697789019</v>
      </c>
    </row>
    <row r="134" spans="1:10" ht="11.25" customHeight="1" x14ac:dyDescent="0.2">
      <c r="A134" s="67">
        <v>44531</v>
      </c>
      <c r="B134" s="57">
        <v>0</v>
      </c>
      <c r="C134" s="57">
        <v>0</v>
      </c>
      <c r="D134" s="57">
        <v>103415.406</v>
      </c>
      <c r="E134" s="57">
        <v>205605.07936780778</v>
      </c>
      <c r="F134" s="57">
        <v>413769.41855999996</v>
      </c>
      <c r="G134" s="57">
        <v>422028.8555480346</v>
      </c>
      <c r="H134" s="58">
        <v>0.98814748518037798</v>
      </c>
      <c r="I134" s="58">
        <v>1.9961448617394462E-2</v>
      </c>
      <c r="J134" s="58">
        <v>0.21355829697788997</v>
      </c>
    </row>
    <row r="135" spans="1:10" ht="11.25" customHeight="1" x14ac:dyDescent="0.2">
      <c r="A135" s="67">
        <v>44562</v>
      </c>
      <c r="B135" s="57">
        <v>0</v>
      </c>
      <c r="C135" s="57">
        <v>0</v>
      </c>
      <c r="D135" s="57">
        <v>105083.41374999999</v>
      </c>
      <c r="E135" s="57">
        <v>208921.32478123167</v>
      </c>
      <c r="F135" s="57">
        <v>420443.18819999992</v>
      </c>
      <c r="G135" s="57">
        <v>428835.84329778777</v>
      </c>
      <c r="H135" s="58">
        <v>0.9881474851803782</v>
      </c>
      <c r="I135" s="58">
        <v>1.9961448617394462E-2</v>
      </c>
      <c r="J135" s="58">
        <v>0.21355829697788997</v>
      </c>
    </row>
    <row r="136" spans="1:10" ht="11.25" customHeight="1" x14ac:dyDescent="0.2">
      <c r="A136" s="67">
        <v>44593</v>
      </c>
      <c r="B136" s="57">
        <v>0</v>
      </c>
      <c r="C136" s="57">
        <v>0</v>
      </c>
      <c r="D136" s="57">
        <v>107717.397</v>
      </c>
      <c r="E136" s="57">
        <v>214158.07195572639</v>
      </c>
      <c r="F136" s="57">
        <v>430981.86671999999</v>
      </c>
      <c r="G136" s="57">
        <v>439584.88910755998</v>
      </c>
      <c r="H136" s="58">
        <v>0.98814748518037798</v>
      </c>
      <c r="I136" s="58">
        <v>1.9961448617394462E-2</v>
      </c>
      <c r="J136" s="58">
        <v>0.21355829697789019</v>
      </c>
    </row>
    <row r="137" spans="1:10" ht="11.25" customHeight="1" x14ac:dyDescent="0.2">
      <c r="A137" s="67">
        <v>44621</v>
      </c>
      <c r="B137" s="57">
        <v>0</v>
      </c>
      <c r="C137" s="57">
        <v>0</v>
      </c>
      <c r="D137" s="57">
        <v>115599.54525000001</v>
      </c>
      <c r="E137" s="57">
        <v>229828.94517678281</v>
      </c>
      <c r="F137" s="57">
        <v>462518.67563999997</v>
      </c>
      <c r="G137" s="57">
        <v>471751.2184183732</v>
      </c>
      <c r="H137" s="58">
        <v>0.98814748518037776</v>
      </c>
      <c r="I137" s="58">
        <v>1.9961448617394462E-2</v>
      </c>
      <c r="J137" s="58">
        <v>0.21355829697788997</v>
      </c>
    </row>
    <row r="138" spans="1:10" ht="11.25" customHeight="1" x14ac:dyDescent="0.2">
      <c r="A138" s="67">
        <v>44652</v>
      </c>
      <c r="B138" s="57">
        <v>0</v>
      </c>
      <c r="C138" s="57">
        <v>0</v>
      </c>
      <c r="D138" s="57">
        <v>102936.179</v>
      </c>
      <c r="E138" s="57">
        <v>204652.30541292726</v>
      </c>
      <c r="F138" s="57">
        <v>411852.01104000001</v>
      </c>
      <c r="G138" s="57">
        <v>420073.1737963456</v>
      </c>
      <c r="H138" s="58">
        <v>0.9881474851803782</v>
      </c>
      <c r="I138" s="58">
        <v>1.9961448617394684E-2</v>
      </c>
      <c r="J138" s="58">
        <v>0.21355829697789019</v>
      </c>
    </row>
    <row r="139" spans="1:10" ht="11.25" customHeight="1" x14ac:dyDescent="0.2">
      <c r="A139" s="67">
        <v>44682</v>
      </c>
      <c r="B139" s="57">
        <v>0</v>
      </c>
      <c r="C139" s="57">
        <v>0</v>
      </c>
      <c r="D139" s="57">
        <v>92201.309999999983</v>
      </c>
      <c r="E139" s="57">
        <v>183309.80260683646</v>
      </c>
      <c r="F139" s="57">
        <v>368901.34559999994</v>
      </c>
      <c r="G139" s="57">
        <v>376265.15085508203</v>
      </c>
      <c r="H139" s="58">
        <v>0.98814748518037865</v>
      </c>
      <c r="I139" s="58">
        <v>1.9961448617394462E-2</v>
      </c>
      <c r="J139" s="58">
        <v>0.21355829697789019</v>
      </c>
    </row>
    <row r="140" spans="1:10" ht="11.25" customHeight="1" x14ac:dyDescent="0.2">
      <c r="A140" s="67">
        <v>44713</v>
      </c>
      <c r="B140" s="57">
        <v>0</v>
      </c>
      <c r="C140" s="57">
        <v>0</v>
      </c>
      <c r="D140" s="57">
        <v>85292.88900000001</v>
      </c>
      <c r="E140" s="57">
        <v>169574.84276911913</v>
      </c>
      <c r="F140" s="57">
        <v>341260.46063999995</v>
      </c>
      <c r="G140" s="57">
        <v>348072.51379021374</v>
      </c>
      <c r="H140" s="58">
        <v>0.98814748518037776</v>
      </c>
      <c r="I140" s="58">
        <v>1.9961448617394684E-2</v>
      </c>
      <c r="J140" s="58">
        <v>0.21355829697788997</v>
      </c>
    </row>
    <row r="141" spans="1:10" ht="11.25" customHeight="1" x14ac:dyDescent="0.2">
      <c r="A141" s="67">
        <v>44743</v>
      </c>
      <c r="B141" s="57">
        <v>0</v>
      </c>
      <c r="C141" s="57">
        <v>0</v>
      </c>
      <c r="D141" s="57">
        <v>82289.201000000001</v>
      </c>
      <c r="E141" s="57">
        <v>163603.06802565267</v>
      </c>
      <c r="F141" s="57">
        <v>329242.57776000001</v>
      </c>
      <c r="G141" s="57">
        <v>335814.73655861476</v>
      </c>
      <c r="H141" s="58">
        <v>0.9881474851803782</v>
      </c>
      <c r="I141" s="58">
        <v>1.9961448617394462E-2</v>
      </c>
      <c r="J141" s="58">
        <v>0.21355829697788997</v>
      </c>
    </row>
    <row r="142" spans="1:10" ht="11.25" customHeight="1" x14ac:dyDescent="0.2">
      <c r="A142" s="67">
        <v>44774</v>
      </c>
      <c r="B142" s="57">
        <v>0</v>
      </c>
      <c r="C142" s="57">
        <v>0</v>
      </c>
      <c r="D142" s="57">
        <v>82289.201000000001</v>
      </c>
      <c r="E142" s="57">
        <v>163603.06802565267</v>
      </c>
      <c r="F142" s="57">
        <v>329242.57776000001</v>
      </c>
      <c r="G142" s="57">
        <v>335814.73655861476</v>
      </c>
      <c r="H142" s="58">
        <v>0.9881474851803782</v>
      </c>
      <c r="I142" s="58">
        <v>1.9961448617394462E-2</v>
      </c>
      <c r="J142" s="58">
        <v>0.21355829697788997</v>
      </c>
    </row>
    <row r="143" spans="1:10" ht="11.25" customHeight="1" x14ac:dyDescent="0.2">
      <c r="A143" s="66" t="s">
        <v>25</v>
      </c>
      <c r="B143" s="57">
        <v>1341250.5599999998</v>
      </c>
      <c r="C143" s="57">
        <v>1525784.6213458024</v>
      </c>
      <c r="D143" s="57">
        <v>0</v>
      </c>
      <c r="E143" s="57">
        <v>0</v>
      </c>
      <c r="F143" s="57">
        <v>0</v>
      </c>
      <c r="G143" s="57">
        <v>0</v>
      </c>
      <c r="H143" s="58">
        <v>0.137583585684246</v>
      </c>
      <c r="I143" s="58">
        <v>0</v>
      </c>
      <c r="J143" s="58">
        <v>0.137583585684246</v>
      </c>
    </row>
    <row r="144" spans="1:10" ht="11.25" customHeight="1" x14ac:dyDescent="0.2">
      <c r="A144" s="67">
        <v>44440</v>
      </c>
      <c r="B144" s="57">
        <v>112236.8</v>
      </c>
      <c r="C144" s="57">
        <v>127678.74138972555</v>
      </c>
      <c r="D144" s="57">
        <v>0</v>
      </c>
      <c r="E144" s="57">
        <v>0</v>
      </c>
      <c r="F144" s="57">
        <v>0</v>
      </c>
      <c r="G144" s="57">
        <v>0</v>
      </c>
      <c r="H144" s="58">
        <v>0.13758358568424556</v>
      </c>
      <c r="I144" s="58">
        <v>0</v>
      </c>
      <c r="J144" s="58">
        <v>0.13758358568424556</v>
      </c>
    </row>
    <row r="145" spans="1:10" ht="11.25" customHeight="1" x14ac:dyDescent="0.2">
      <c r="A145" s="67">
        <v>44470</v>
      </c>
      <c r="B145" s="57">
        <v>111005.44000000002</v>
      </c>
      <c r="C145" s="57">
        <v>126277.96646565739</v>
      </c>
      <c r="D145" s="57">
        <v>0</v>
      </c>
      <c r="E145" s="57">
        <v>0</v>
      </c>
      <c r="F145" s="57">
        <v>0</v>
      </c>
      <c r="G145" s="57">
        <v>0</v>
      </c>
      <c r="H145" s="58">
        <v>0.13758358568424556</v>
      </c>
      <c r="I145" s="58">
        <v>0</v>
      </c>
      <c r="J145" s="58">
        <v>0.13758358568424556</v>
      </c>
    </row>
    <row r="146" spans="1:10" ht="11.25" customHeight="1" x14ac:dyDescent="0.2">
      <c r="A146" s="67">
        <v>44501</v>
      </c>
      <c r="B146" s="57">
        <v>112270.08</v>
      </c>
      <c r="C146" s="57">
        <v>127716.60017145712</v>
      </c>
      <c r="D146" s="57">
        <v>0</v>
      </c>
      <c r="E146" s="57">
        <v>0</v>
      </c>
      <c r="F146" s="57">
        <v>0</v>
      </c>
      <c r="G146" s="57">
        <v>0</v>
      </c>
      <c r="H146" s="58">
        <v>0.13758358568424556</v>
      </c>
      <c r="I146" s="58">
        <v>0</v>
      </c>
      <c r="J146" s="58">
        <v>0.13758358568424556</v>
      </c>
    </row>
    <row r="147" spans="1:10" ht="11.25" customHeight="1" x14ac:dyDescent="0.2">
      <c r="A147" s="67">
        <v>44531</v>
      </c>
      <c r="B147" s="57">
        <v>115564.8</v>
      </c>
      <c r="C147" s="57">
        <v>131464.61956288273</v>
      </c>
      <c r="D147" s="57">
        <v>0</v>
      </c>
      <c r="E147" s="57">
        <v>0</v>
      </c>
      <c r="F147" s="57">
        <v>0</v>
      </c>
      <c r="G147" s="57">
        <v>0</v>
      </c>
      <c r="H147" s="58">
        <v>0.13758358568424578</v>
      </c>
      <c r="I147" s="58">
        <v>0</v>
      </c>
      <c r="J147" s="58">
        <v>0.13758358568424578</v>
      </c>
    </row>
    <row r="148" spans="1:10" ht="11.25" customHeight="1" x14ac:dyDescent="0.2">
      <c r="A148" s="67">
        <v>44562</v>
      </c>
      <c r="B148" s="57">
        <v>113518.08000000002</v>
      </c>
      <c r="C148" s="57">
        <v>129136.30448639105</v>
      </c>
      <c r="D148" s="57">
        <v>0</v>
      </c>
      <c r="E148" s="57">
        <v>0</v>
      </c>
      <c r="F148" s="57">
        <v>0</v>
      </c>
      <c r="G148" s="57">
        <v>0</v>
      </c>
      <c r="H148" s="58">
        <v>0.13758358568424534</v>
      </c>
      <c r="I148" s="58">
        <v>0</v>
      </c>
      <c r="J148" s="58">
        <v>0.13758358568424534</v>
      </c>
    </row>
    <row r="149" spans="1:10" ht="11.25" customHeight="1" x14ac:dyDescent="0.2">
      <c r="A149" s="67">
        <v>44593</v>
      </c>
      <c r="B149" s="57">
        <v>116912.64</v>
      </c>
      <c r="C149" s="57">
        <v>132997.90022301138</v>
      </c>
      <c r="D149" s="57">
        <v>0</v>
      </c>
      <c r="E149" s="57">
        <v>0</v>
      </c>
      <c r="F149" s="57">
        <v>0</v>
      </c>
      <c r="G149" s="57">
        <v>0</v>
      </c>
      <c r="H149" s="58">
        <v>0.13758358568424578</v>
      </c>
      <c r="I149" s="58">
        <v>0</v>
      </c>
      <c r="J149" s="58">
        <v>0.13758358568424578</v>
      </c>
    </row>
    <row r="150" spans="1:10" ht="11.25" customHeight="1" x14ac:dyDescent="0.2">
      <c r="A150" s="67">
        <v>44621</v>
      </c>
      <c r="B150" s="57">
        <v>115315.2</v>
      </c>
      <c r="C150" s="57">
        <v>131180.67869989594</v>
      </c>
      <c r="D150" s="57">
        <v>0</v>
      </c>
      <c r="E150" s="57">
        <v>0</v>
      </c>
      <c r="F150" s="57">
        <v>0</v>
      </c>
      <c r="G150" s="57">
        <v>0</v>
      </c>
      <c r="H150" s="58">
        <v>0.13758358568424578</v>
      </c>
      <c r="I150" s="58">
        <v>0</v>
      </c>
      <c r="J150" s="58">
        <v>0.13758358568424578</v>
      </c>
    </row>
    <row r="151" spans="1:10" ht="11.25" customHeight="1" x14ac:dyDescent="0.2">
      <c r="A151" s="67">
        <v>44652</v>
      </c>
      <c r="B151" s="57">
        <v>111454.72000000002</v>
      </c>
      <c r="C151" s="57">
        <v>126789.06001903361</v>
      </c>
      <c r="D151" s="57">
        <v>0</v>
      </c>
      <c r="E151" s="57">
        <v>0</v>
      </c>
      <c r="F151" s="57">
        <v>0</v>
      </c>
      <c r="G151" s="57">
        <v>0</v>
      </c>
      <c r="H151" s="58">
        <v>0.13758358568424556</v>
      </c>
      <c r="I151" s="58">
        <v>0</v>
      </c>
      <c r="J151" s="58">
        <v>0.13758358568424556</v>
      </c>
    </row>
    <row r="152" spans="1:10" ht="11.25" customHeight="1" x14ac:dyDescent="0.2">
      <c r="A152" s="67">
        <v>44682</v>
      </c>
      <c r="B152" s="57">
        <v>109324.8</v>
      </c>
      <c r="C152" s="57">
        <v>124366.09798821302</v>
      </c>
      <c r="D152" s="57">
        <v>0</v>
      </c>
      <c r="E152" s="57">
        <v>0</v>
      </c>
      <c r="F152" s="57">
        <v>0</v>
      </c>
      <c r="G152" s="57">
        <v>0</v>
      </c>
      <c r="H152" s="58">
        <v>0.13758358568424556</v>
      </c>
      <c r="I152" s="58">
        <v>0</v>
      </c>
      <c r="J152" s="58">
        <v>0.13758358568424556</v>
      </c>
    </row>
    <row r="153" spans="1:10" ht="11.25" customHeight="1" x14ac:dyDescent="0.2">
      <c r="A153" s="67">
        <v>44713</v>
      </c>
      <c r="B153" s="57">
        <v>109790.72</v>
      </c>
      <c r="C153" s="57">
        <v>124896.12093245503</v>
      </c>
      <c r="D153" s="57">
        <v>0</v>
      </c>
      <c r="E153" s="57">
        <v>0</v>
      </c>
      <c r="F153" s="57">
        <v>0</v>
      </c>
      <c r="G153" s="57">
        <v>0</v>
      </c>
      <c r="H153" s="58">
        <v>0.13758358568424578</v>
      </c>
      <c r="I153" s="58">
        <v>0</v>
      </c>
      <c r="J153" s="58">
        <v>0.13758358568424578</v>
      </c>
    </row>
    <row r="154" spans="1:10" ht="11.25" customHeight="1" x14ac:dyDescent="0.2">
      <c r="A154" s="67">
        <v>44743</v>
      </c>
      <c r="B154" s="57">
        <v>106928.64</v>
      </c>
      <c r="C154" s="57">
        <v>121640.26570353986</v>
      </c>
      <c r="D154" s="57">
        <v>0</v>
      </c>
      <c r="E154" s="57">
        <v>0</v>
      </c>
      <c r="F154" s="57">
        <v>0</v>
      </c>
      <c r="G154" s="57">
        <v>0</v>
      </c>
      <c r="H154" s="58">
        <v>0.13758358568424578</v>
      </c>
      <c r="I154" s="58">
        <v>0</v>
      </c>
      <c r="J154" s="58">
        <v>0.13758358568424578</v>
      </c>
    </row>
    <row r="155" spans="1:10" ht="11.25" customHeight="1" x14ac:dyDescent="0.2">
      <c r="A155" s="67">
        <v>44774</v>
      </c>
      <c r="B155" s="57">
        <v>106928.64</v>
      </c>
      <c r="C155" s="57">
        <v>121640.26570353986</v>
      </c>
      <c r="D155" s="57">
        <v>0</v>
      </c>
      <c r="E155" s="57">
        <v>0</v>
      </c>
      <c r="F155" s="57">
        <v>0</v>
      </c>
      <c r="G155" s="57">
        <v>0</v>
      </c>
      <c r="H155" s="58">
        <v>0.13758358568424578</v>
      </c>
      <c r="I155" s="58">
        <v>0</v>
      </c>
      <c r="J155" s="58">
        <v>0.13758358568424578</v>
      </c>
    </row>
    <row r="156" spans="1:10" ht="11.25" customHeight="1" x14ac:dyDescent="0.2">
      <c r="A156" s="66" t="s">
        <v>34</v>
      </c>
      <c r="B156" s="57">
        <v>0</v>
      </c>
      <c r="C156" s="57">
        <v>0</v>
      </c>
      <c r="D156" s="57">
        <v>862538.1531</v>
      </c>
      <c r="E156" s="57">
        <v>1026579.0751259135</v>
      </c>
      <c r="F156" s="57">
        <v>320358.86560000002</v>
      </c>
      <c r="G156" s="57">
        <v>324585.28381648217</v>
      </c>
      <c r="H156" s="58">
        <v>0.19018396048492825</v>
      </c>
      <c r="I156" s="58">
        <v>1.3192761837779843E-2</v>
      </c>
      <c r="J156" s="58">
        <v>0.14225020232726648</v>
      </c>
    </row>
    <row r="157" spans="1:10" ht="11.25" customHeight="1" x14ac:dyDescent="0.2">
      <c r="A157" s="67">
        <v>44440</v>
      </c>
      <c r="B157" s="57">
        <v>0</v>
      </c>
      <c r="C157" s="57">
        <v>0</v>
      </c>
      <c r="D157" s="57">
        <v>73188.873810000005</v>
      </c>
      <c r="E157" s="57">
        <v>87108.223694617438</v>
      </c>
      <c r="F157" s="57">
        <v>27183.382559999998</v>
      </c>
      <c r="G157" s="57">
        <v>27542.006452059337</v>
      </c>
      <c r="H157" s="58">
        <v>0.19018396048492825</v>
      </c>
      <c r="I157" s="58">
        <v>1.3192761837779843E-2</v>
      </c>
      <c r="J157" s="58">
        <v>0.14225020232726648</v>
      </c>
    </row>
    <row r="158" spans="1:10" ht="11.25" customHeight="1" x14ac:dyDescent="0.2">
      <c r="A158" s="67">
        <v>44470</v>
      </c>
      <c r="B158" s="57">
        <v>0</v>
      </c>
      <c r="C158" s="57">
        <v>0</v>
      </c>
      <c r="D158" s="57">
        <v>76035.306750000003</v>
      </c>
      <c r="E158" s="57">
        <v>90496.00252440141</v>
      </c>
      <c r="F158" s="57">
        <v>28240.588</v>
      </c>
      <c r="G158" s="57">
        <v>28613.159351642866</v>
      </c>
      <c r="H158" s="58">
        <v>0.19018396048492825</v>
      </c>
      <c r="I158" s="58">
        <v>1.3192761837779843E-2</v>
      </c>
      <c r="J158" s="58">
        <v>0.14225020232726671</v>
      </c>
    </row>
    <row r="159" spans="1:10" ht="11.25" customHeight="1" x14ac:dyDescent="0.2">
      <c r="A159" s="67">
        <v>44501</v>
      </c>
      <c r="B159" s="57">
        <v>0</v>
      </c>
      <c r="C159" s="57">
        <v>0</v>
      </c>
      <c r="D159" s="57">
        <v>64170.748200000002</v>
      </c>
      <c r="E159" s="57">
        <v>76374.995239957076</v>
      </c>
      <c r="F159" s="57">
        <v>23833.923199999997</v>
      </c>
      <c r="G159" s="57">
        <v>24148.358472437536</v>
      </c>
      <c r="H159" s="58">
        <v>0.19018396048492825</v>
      </c>
      <c r="I159" s="58">
        <v>1.3192761837780065E-2</v>
      </c>
      <c r="J159" s="58">
        <v>0.14225020232726671</v>
      </c>
    </row>
    <row r="160" spans="1:10" ht="11.25" customHeight="1" x14ac:dyDescent="0.2">
      <c r="A160" s="67">
        <v>44531</v>
      </c>
      <c r="B160" s="57">
        <v>0</v>
      </c>
      <c r="C160" s="57">
        <v>0</v>
      </c>
      <c r="D160" s="57">
        <v>72931.554150000011</v>
      </c>
      <c r="E160" s="57">
        <v>86801.965962568007</v>
      </c>
      <c r="F160" s="57">
        <v>27087.810400000002</v>
      </c>
      <c r="G160" s="57">
        <v>27445.173431314135</v>
      </c>
      <c r="H160" s="58">
        <v>0.19018396048492803</v>
      </c>
      <c r="I160" s="58">
        <v>1.3192761837779843E-2</v>
      </c>
      <c r="J160" s="58">
        <v>0.14225020232726648</v>
      </c>
    </row>
    <row r="161" spans="1:10" ht="11.25" customHeight="1" x14ac:dyDescent="0.2">
      <c r="A161" s="67">
        <v>44562</v>
      </c>
      <c r="B161" s="57">
        <v>0</v>
      </c>
      <c r="C161" s="57">
        <v>0</v>
      </c>
      <c r="D161" s="57">
        <v>62209.017390000008</v>
      </c>
      <c r="E161" s="57">
        <v>74040.17469510599</v>
      </c>
      <c r="F161" s="57">
        <v>23105.308639999999</v>
      </c>
      <c r="G161" s="57">
        <v>23410.131474075915</v>
      </c>
      <c r="H161" s="58">
        <v>0.19018396048492825</v>
      </c>
      <c r="I161" s="58">
        <v>1.3192761837779843E-2</v>
      </c>
      <c r="J161" s="58">
        <v>0.14225020232726671</v>
      </c>
    </row>
    <row r="162" spans="1:10" ht="11.25" customHeight="1" x14ac:dyDescent="0.2">
      <c r="A162" s="67">
        <v>44593</v>
      </c>
      <c r="B162" s="57">
        <v>0</v>
      </c>
      <c r="C162" s="57">
        <v>0</v>
      </c>
      <c r="D162" s="57">
        <v>82140.67992000001</v>
      </c>
      <c r="E162" s="57">
        <v>97762.519744110425</v>
      </c>
      <c r="F162" s="57">
        <v>30508.209920000001</v>
      </c>
      <c r="G162" s="57">
        <v>30910.697467571554</v>
      </c>
      <c r="H162" s="58">
        <v>0.19018396048492825</v>
      </c>
      <c r="I162" s="58">
        <v>1.3192761837779843E-2</v>
      </c>
      <c r="J162" s="58">
        <v>0.14225020232726648</v>
      </c>
    </row>
    <row r="163" spans="1:10" ht="11.25" customHeight="1" x14ac:dyDescent="0.2">
      <c r="A163" s="67">
        <v>44621</v>
      </c>
      <c r="B163" s="57">
        <v>0</v>
      </c>
      <c r="C163" s="57">
        <v>0</v>
      </c>
      <c r="D163" s="57">
        <v>96272.038980000012</v>
      </c>
      <c r="E163" s="57">
        <v>114581.43663717579</v>
      </c>
      <c r="F163" s="57">
        <v>35756.796479999997</v>
      </c>
      <c r="G163" s="57">
        <v>36228.5273800426</v>
      </c>
      <c r="H163" s="58">
        <v>0.19018396048492803</v>
      </c>
      <c r="I163" s="58">
        <v>1.3192761837779843E-2</v>
      </c>
      <c r="J163" s="58">
        <v>0.14225020232726648</v>
      </c>
    </row>
    <row r="164" spans="1:10" ht="11.25" customHeight="1" x14ac:dyDescent="0.2">
      <c r="A164" s="67">
        <v>44652</v>
      </c>
      <c r="B164" s="57">
        <v>0</v>
      </c>
      <c r="C164" s="57">
        <v>0</v>
      </c>
      <c r="D164" s="57">
        <v>88654.581210000004</v>
      </c>
      <c r="E164" s="57">
        <v>105515.26057965051</v>
      </c>
      <c r="F164" s="57">
        <v>32927.564960000003</v>
      </c>
      <c r="G164" s="57">
        <v>33361.970482415309</v>
      </c>
      <c r="H164" s="58">
        <v>0.19018396048492825</v>
      </c>
      <c r="I164" s="58">
        <v>1.3192761837779843E-2</v>
      </c>
      <c r="J164" s="58">
        <v>0.14225020232726671</v>
      </c>
    </row>
    <row r="165" spans="1:10" ht="11.25" customHeight="1" x14ac:dyDescent="0.2">
      <c r="A165" s="67">
        <v>44682</v>
      </c>
      <c r="B165" s="57">
        <v>0</v>
      </c>
      <c r="C165" s="57">
        <v>0</v>
      </c>
      <c r="D165" s="57">
        <v>63385.525320000001</v>
      </c>
      <c r="E165" s="57">
        <v>75440.435562775296</v>
      </c>
      <c r="F165" s="57">
        <v>23542.280319999998</v>
      </c>
      <c r="G165" s="57">
        <v>23852.868017380009</v>
      </c>
      <c r="H165" s="58">
        <v>0.19018396048492825</v>
      </c>
      <c r="I165" s="58">
        <v>1.3192761837779843E-2</v>
      </c>
      <c r="J165" s="58">
        <v>0.14225020232726648</v>
      </c>
    </row>
    <row r="166" spans="1:10" ht="11.25" customHeight="1" x14ac:dyDescent="0.2">
      <c r="A166" s="67">
        <v>44713</v>
      </c>
      <c r="B166" s="57">
        <v>0</v>
      </c>
      <c r="C166" s="57">
        <v>0</v>
      </c>
      <c r="D166" s="57">
        <v>67490.702369999999</v>
      </c>
      <c r="E166" s="57">
        <v>80326.351442636136</v>
      </c>
      <c r="F166" s="57">
        <v>25067.001119999997</v>
      </c>
      <c r="G166" s="57">
        <v>25397.704095763518</v>
      </c>
      <c r="H166" s="58">
        <v>0.19018396048492825</v>
      </c>
      <c r="I166" s="58">
        <v>1.3192761837779843E-2</v>
      </c>
      <c r="J166" s="58">
        <v>0.14225020232726671</v>
      </c>
    </row>
    <row r="167" spans="1:10" ht="11.25" customHeight="1" x14ac:dyDescent="0.2">
      <c r="A167" s="67">
        <v>44743</v>
      </c>
      <c r="B167" s="57">
        <v>0</v>
      </c>
      <c r="C167" s="57">
        <v>0</v>
      </c>
      <c r="D167" s="57">
        <v>58029.5625</v>
      </c>
      <c r="E167" s="57">
        <v>69065.854521457688</v>
      </c>
      <c r="F167" s="57">
        <v>21553</v>
      </c>
      <c r="G167" s="57">
        <v>21837.34359588967</v>
      </c>
      <c r="H167" s="58">
        <v>0.19018396048492847</v>
      </c>
      <c r="I167" s="58">
        <v>1.3192761837779843E-2</v>
      </c>
      <c r="J167" s="58">
        <v>0.14225020232726693</v>
      </c>
    </row>
    <row r="168" spans="1:10" ht="11.25" customHeight="1" x14ac:dyDescent="0.2">
      <c r="A168" s="67">
        <v>44774</v>
      </c>
      <c r="B168" s="57">
        <v>0</v>
      </c>
      <c r="C168" s="57">
        <v>0</v>
      </c>
      <c r="D168" s="57">
        <v>58029.5625</v>
      </c>
      <c r="E168" s="57">
        <v>69065.854521457688</v>
      </c>
      <c r="F168" s="57">
        <v>21553</v>
      </c>
      <c r="G168" s="57">
        <v>21837.34359588967</v>
      </c>
      <c r="H168" s="58">
        <v>0.19018396048492847</v>
      </c>
      <c r="I168" s="58">
        <v>1.3192761837779843E-2</v>
      </c>
      <c r="J168" s="58">
        <v>0.14225020232726693</v>
      </c>
    </row>
    <row r="169" spans="1:10" ht="11.25" customHeight="1" x14ac:dyDescent="0.2">
      <c r="A169" s="62" t="s">
        <v>51</v>
      </c>
      <c r="B169" s="57">
        <v>14992.639999999998</v>
      </c>
      <c r="C169" s="57">
        <v>17055.381170073048</v>
      </c>
      <c r="D169" s="57">
        <v>25449.731820000001</v>
      </c>
      <c r="E169" s="57">
        <v>40873.141522930957</v>
      </c>
      <c r="F169" s="57">
        <v>57591.642799999994</v>
      </c>
      <c r="G169" s="57">
        <v>58710.617794986792</v>
      </c>
      <c r="H169" s="58">
        <v>0.43237204165054854</v>
      </c>
      <c r="I169" s="58">
        <v>1.9429468245465653E-2</v>
      </c>
      <c r="J169" s="58">
        <v>0.18978235197352777</v>
      </c>
    </row>
    <row r="170" spans="1:10" ht="11.25" customHeight="1" x14ac:dyDescent="0.2">
      <c r="A170" s="63" t="s">
        <v>25</v>
      </c>
      <c r="B170" s="57">
        <v>14992.639999999998</v>
      </c>
      <c r="C170" s="57">
        <v>17055.381170073048</v>
      </c>
      <c r="D170" s="57">
        <v>25449.731820000001</v>
      </c>
      <c r="E170" s="57">
        <v>40873.141522930957</v>
      </c>
      <c r="F170" s="57">
        <v>57591.642799999994</v>
      </c>
      <c r="G170" s="57">
        <v>58710.617794986792</v>
      </c>
      <c r="H170" s="58">
        <v>0.43237204165054854</v>
      </c>
      <c r="I170" s="58">
        <v>1.9429468245465653E-2</v>
      </c>
      <c r="J170" s="58">
        <v>0.18978235197352777</v>
      </c>
    </row>
    <row r="171" spans="1:10" ht="11.25" customHeight="1" x14ac:dyDescent="0.2">
      <c r="A171" s="64" t="s">
        <v>25</v>
      </c>
      <c r="B171" s="57">
        <v>14992.639999999998</v>
      </c>
      <c r="C171" s="57">
        <v>17055.381170073048</v>
      </c>
      <c r="D171" s="57">
        <v>25449.731820000001</v>
      </c>
      <c r="E171" s="57">
        <v>40873.141522930957</v>
      </c>
      <c r="F171" s="57">
        <v>57591.642799999994</v>
      </c>
      <c r="G171" s="57">
        <v>58710.617794986792</v>
      </c>
      <c r="H171" s="58">
        <v>0.43237204165054854</v>
      </c>
      <c r="I171" s="58">
        <v>1.9429468245465653E-2</v>
      </c>
      <c r="J171" s="58">
        <v>0.18978235197352777</v>
      </c>
    </row>
    <row r="172" spans="1:10" ht="11.25" customHeight="1" x14ac:dyDescent="0.2">
      <c r="A172" s="65" t="s">
        <v>25</v>
      </c>
      <c r="B172" s="57">
        <v>14992.639999999998</v>
      </c>
      <c r="C172" s="57">
        <v>17055.381170073048</v>
      </c>
      <c r="D172" s="57">
        <v>25449.731820000001</v>
      </c>
      <c r="E172" s="57">
        <v>40873.141522930957</v>
      </c>
      <c r="F172" s="57">
        <v>57591.642799999994</v>
      </c>
      <c r="G172" s="57">
        <v>58710.617794986792</v>
      </c>
      <c r="H172" s="58">
        <v>0.43237204165054854</v>
      </c>
      <c r="I172" s="58">
        <v>1.9429468245465653E-2</v>
      </c>
      <c r="J172" s="58">
        <v>0.18978235197352777</v>
      </c>
    </row>
    <row r="173" spans="1:10" ht="11.25" customHeight="1" x14ac:dyDescent="0.2">
      <c r="A173" s="66" t="s">
        <v>35</v>
      </c>
      <c r="B173" s="57">
        <v>0</v>
      </c>
      <c r="C173" s="57">
        <v>0</v>
      </c>
      <c r="D173" s="57">
        <v>13262.860500000001</v>
      </c>
      <c r="E173" s="57">
        <v>26368.522749373169</v>
      </c>
      <c r="F173" s="57">
        <v>53065.266479999998</v>
      </c>
      <c r="G173" s="57">
        <v>54124.526070208864</v>
      </c>
      <c r="H173" s="58">
        <v>0.98814748518037776</v>
      </c>
      <c r="I173" s="58">
        <v>1.9961448617394462E-2</v>
      </c>
      <c r="J173" s="58">
        <v>0.21355829697788997</v>
      </c>
    </row>
    <row r="174" spans="1:10" ht="11.25" customHeight="1" x14ac:dyDescent="0.2">
      <c r="A174" s="67">
        <v>44440</v>
      </c>
      <c r="B174" s="57">
        <v>0</v>
      </c>
      <c r="C174" s="57">
        <v>0</v>
      </c>
      <c r="D174" s="57">
        <v>988.54000000000008</v>
      </c>
      <c r="E174" s="57">
        <v>1965.3633150002113</v>
      </c>
      <c r="F174" s="57">
        <v>3955.1904</v>
      </c>
      <c r="G174" s="57">
        <v>4034.1417299416125</v>
      </c>
      <c r="H174" s="58">
        <v>0.9881474851803782</v>
      </c>
      <c r="I174" s="58">
        <v>1.9961448617394684E-2</v>
      </c>
      <c r="J174" s="58">
        <v>0.21355829697789019</v>
      </c>
    </row>
    <row r="175" spans="1:10" ht="11.25" customHeight="1" x14ac:dyDescent="0.2">
      <c r="A175" s="67">
        <v>44470</v>
      </c>
      <c r="B175" s="57">
        <v>0</v>
      </c>
      <c r="C175" s="57">
        <v>0</v>
      </c>
      <c r="D175" s="57">
        <v>1026.3009999999999</v>
      </c>
      <c r="E175" s="57">
        <v>2040.4377521881074</v>
      </c>
      <c r="F175" s="57">
        <v>4106.27376</v>
      </c>
      <c r="G175" s="57">
        <v>4188.240932669195</v>
      </c>
      <c r="H175" s="58">
        <v>0.98814748518037843</v>
      </c>
      <c r="I175" s="58">
        <v>1.9961448617394462E-2</v>
      </c>
      <c r="J175" s="58">
        <v>0.21355829697789019</v>
      </c>
    </row>
    <row r="176" spans="1:10" ht="11.25" customHeight="1" x14ac:dyDescent="0.2">
      <c r="A176" s="67">
        <v>44501</v>
      </c>
      <c r="B176" s="57">
        <v>0</v>
      </c>
      <c r="C176" s="57">
        <v>0</v>
      </c>
      <c r="D176" s="57">
        <v>985.54674999999997</v>
      </c>
      <c r="E176" s="57">
        <v>1959.4122925401948</v>
      </c>
      <c r="F176" s="57">
        <v>3943.2142799999997</v>
      </c>
      <c r="G176" s="57">
        <v>4021.9265492375962</v>
      </c>
      <c r="H176" s="58">
        <v>0.9881474851803782</v>
      </c>
      <c r="I176" s="58">
        <v>1.9961448617394462E-2</v>
      </c>
      <c r="J176" s="58">
        <v>0.21355829697789019</v>
      </c>
    </row>
    <row r="177" spans="1:10" ht="11.25" customHeight="1" x14ac:dyDescent="0.2">
      <c r="A177" s="67">
        <v>44531</v>
      </c>
      <c r="B177" s="57">
        <v>0</v>
      </c>
      <c r="C177" s="57">
        <v>0</v>
      </c>
      <c r="D177" s="57">
        <v>1233.5259999999998</v>
      </c>
      <c r="E177" s="57">
        <v>2452.4316148046109</v>
      </c>
      <c r="F177" s="57">
        <v>4935.3897599999991</v>
      </c>
      <c r="G177" s="57">
        <v>5033.9072891010546</v>
      </c>
      <c r="H177" s="58">
        <v>0.9881474851803782</v>
      </c>
      <c r="I177" s="58">
        <v>1.9961448617394684E-2</v>
      </c>
      <c r="J177" s="58">
        <v>0.21355829697789019</v>
      </c>
    </row>
    <row r="178" spans="1:10" ht="11.25" customHeight="1" x14ac:dyDescent="0.2">
      <c r="A178" s="67">
        <v>44562</v>
      </c>
      <c r="B178" s="57">
        <v>0</v>
      </c>
      <c r="C178" s="57">
        <v>0</v>
      </c>
      <c r="D178" s="57">
        <v>1367.7617500000001</v>
      </c>
      <c r="E178" s="57">
        <v>2719.3120835884133</v>
      </c>
      <c r="F178" s="57">
        <v>5472.4726799999999</v>
      </c>
      <c r="G178" s="57">
        <v>5581.7111622119155</v>
      </c>
      <c r="H178" s="58">
        <v>0.9881474851803782</v>
      </c>
      <c r="I178" s="58">
        <v>1.9961448617394684E-2</v>
      </c>
      <c r="J178" s="58">
        <v>0.21355829697788997</v>
      </c>
    </row>
    <row r="179" spans="1:10" ht="11.25" customHeight="1" x14ac:dyDescent="0.2">
      <c r="A179" s="67">
        <v>44593</v>
      </c>
      <c r="B179" s="57">
        <v>0</v>
      </c>
      <c r="C179" s="57">
        <v>0</v>
      </c>
      <c r="D179" s="57">
        <v>1305.9779999999998</v>
      </c>
      <c r="E179" s="57">
        <v>2596.4768764008995</v>
      </c>
      <c r="F179" s="57">
        <v>5225.2732799999994</v>
      </c>
      <c r="G179" s="57">
        <v>5329.5773040905642</v>
      </c>
      <c r="H179" s="58">
        <v>0.9881474851803782</v>
      </c>
      <c r="I179" s="58">
        <v>1.9961448617394462E-2</v>
      </c>
      <c r="J179" s="58">
        <v>0.21355829697788997</v>
      </c>
    </row>
    <row r="180" spans="1:10" ht="11.25" customHeight="1" x14ac:dyDescent="0.2">
      <c r="A180" s="67">
        <v>44621</v>
      </c>
      <c r="B180" s="57">
        <v>0</v>
      </c>
      <c r="C180" s="57">
        <v>0</v>
      </c>
      <c r="D180" s="57">
        <v>1484.5752500000001</v>
      </c>
      <c r="E180" s="57">
        <v>2951.5545498485312</v>
      </c>
      <c r="F180" s="57">
        <v>5939.8484399999998</v>
      </c>
      <c r="G180" s="57">
        <v>6058.4164194301711</v>
      </c>
      <c r="H180" s="58">
        <v>0.98814748518037798</v>
      </c>
      <c r="I180" s="58">
        <v>1.9961448617394684E-2</v>
      </c>
      <c r="J180" s="58">
        <v>0.21355829697788997</v>
      </c>
    </row>
    <row r="181" spans="1:10" ht="11.25" customHeight="1" x14ac:dyDescent="0.2">
      <c r="A181" s="67">
        <v>44652</v>
      </c>
      <c r="B181" s="57">
        <v>0</v>
      </c>
      <c r="C181" s="57">
        <v>0</v>
      </c>
      <c r="D181" s="57">
        <v>1277.5805</v>
      </c>
      <c r="E181" s="57">
        <v>2540.0184581904905</v>
      </c>
      <c r="F181" s="57">
        <v>5111.6536800000003</v>
      </c>
      <c r="G181" s="57">
        <v>5213.6896922832357</v>
      </c>
      <c r="H181" s="58">
        <v>0.98814748518037843</v>
      </c>
      <c r="I181" s="58">
        <v>1.9961448617394462E-2</v>
      </c>
      <c r="J181" s="58">
        <v>0.21355829697788997</v>
      </c>
    </row>
    <row r="182" spans="1:10" ht="11.25" customHeight="1" x14ac:dyDescent="0.2">
      <c r="A182" s="67">
        <v>44682</v>
      </c>
      <c r="B182" s="57">
        <v>0</v>
      </c>
      <c r="C182" s="57">
        <v>0</v>
      </c>
      <c r="D182" s="57">
        <v>1017.0142499999999</v>
      </c>
      <c r="E182" s="57">
        <v>2021.9743235301084</v>
      </c>
      <c r="F182" s="57">
        <v>4069.1170799999995</v>
      </c>
      <c r="G182" s="57">
        <v>4150.3425515105819</v>
      </c>
      <c r="H182" s="58">
        <v>0.9881474851803782</v>
      </c>
      <c r="I182" s="58">
        <v>1.9961448617394462E-2</v>
      </c>
      <c r="J182" s="58">
        <v>0.21355829697789019</v>
      </c>
    </row>
    <row r="183" spans="1:10" ht="11.25" customHeight="1" x14ac:dyDescent="0.2">
      <c r="A183" s="67">
        <v>44713</v>
      </c>
      <c r="B183" s="57">
        <v>0</v>
      </c>
      <c r="C183" s="57">
        <v>0</v>
      </c>
      <c r="D183" s="57">
        <v>817.23399999999992</v>
      </c>
      <c r="E183" s="57">
        <v>1624.7817219039011</v>
      </c>
      <c r="F183" s="57">
        <v>3269.78784</v>
      </c>
      <c r="G183" s="57">
        <v>3335.0575419579413</v>
      </c>
      <c r="H183" s="58">
        <v>0.98814748518037843</v>
      </c>
      <c r="I183" s="58">
        <v>1.9961448617394462E-2</v>
      </c>
      <c r="J183" s="58">
        <v>0.21355829697788997</v>
      </c>
    </row>
    <row r="184" spans="1:10" ht="11.25" customHeight="1" x14ac:dyDescent="0.2">
      <c r="A184" s="67">
        <v>44743</v>
      </c>
      <c r="B184" s="57">
        <v>0</v>
      </c>
      <c r="C184" s="57">
        <v>0</v>
      </c>
      <c r="D184" s="57">
        <v>879.40150000000006</v>
      </c>
      <c r="E184" s="57">
        <v>1748.3798806888524</v>
      </c>
      <c r="F184" s="57">
        <v>3518.5226399999997</v>
      </c>
      <c r="G184" s="57">
        <v>3588.7574488874993</v>
      </c>
      <c r="H184" s="58">
        <v>0.9881474851803782</v>
      </c>
      <c r="I184" s="58">
        <v>1.9961448617394684E-2</v>
      </c>
      <c r="J184" s="58">
        <v>0.21355829697788997</v>
      </c>
    </row>
    <row r="185" spans="1:10" ht="11.25" customHeight="1" x14ac:dyDescent="0.2">
      <c r="A185" s="67">
        <v>44774</v>
      </c>
      <c r="B185" s="57">
        <v>0</v>
      </c>
      <c r="C185" s="57">
        <v>0</v>
      </c>
      <c r="D185" s="57">
        <v>879.40150000000006</v>
      </c>
      <c r="E185" s="57">
        <v>1748.3798806888524</v>
      </c>
      <c r="F185" s="57">
        <v>3518.5226399999997</v>
      </c>
      <c r="G185" s="57">
        <v>3588.7574488874993</v>
      </c>
      <c r="H185" s="58">
        <v>0.9881474851803782</v>
      </c>
      <c r="I185" s="58">
        <v>1.9961448617394684E-2</v>
      </c>
      <c r="J185" s="58">
        <v>0.21355829697788997</v>
      </c>
    </row>
    <row r="186" spans="1:10" ht="11.25" customHeight="1" x14ac:dyDescent="0.2">
      <c r="A186" s="66" t="s">
        <v>25</v>
      </c>
      <c r="B186" s="57">
        <v>14992.639999999998</v>
      </c>
      <c r="C186" s="57">
        <v>17055.381170073048</v>
      </c>
      <c r="D186" s="57">
        <v>0</v>
      </c>
      <c r="E186" s="57">
        <v>0</v>
      </c>
      <c r="F186" s="57">
        <v>0</v>
      </c>
      <c r="G186" s="57">
        <v>0</v>
      </c>
      <c r="H186" s="58">
        <v>0.13758358568424578</v>
      </c>
      <c r="I186" s="58">
        <v>0</v>
      </c>
      <c r="J186" s="58">
        <v>0.13758358568424578</v>
      </c>
    </row>
    <row r="187" spans="1:10" ht="11.25" customHeight="1" x14ac:dyDescent="0.2">
      <c r="A187" s="67">
        <v>44440</v>
      </c>
      <c r="B187" s="57">
        <v>1198.08</v>
      </c>
      <c r="C187" s="57">
        <v>1362.9161423365811</v>
      </c>
      <c r="D187" s="57">
        <v>0</v>
      </c>
      <c r="E187" s="57">
        <v>0</v>
      </c>
      <c r="F187" s="57">
        <v>0</v>
      </c>
      <c r="G187" s="57">
        <v>0</v>
      </c>
      <c r="H187" s="58">
        <v>0.13758358568424578</v>
      </c>
      <c r="I187" s="58">
        <v>0</v>
      </c>
      <c r="J187" s="58">
        <v>0.13758358568424578</v>
      </c>
    </row>
    <row r="188" spans="1:10" ht="11.25" customHeight="1" x14ac:dyDescent="0.2">
      <c r="A188" s="67">
        <v>44470</v>
      </c>
      <c r="B188" s="57">
        <v>1214.72</v>
      </c>
      <c r="C188" s="57">
        <v>1381.8455332023668</v>
      </c>
      <c r="D188" s="57">
        <v>0</v>
      </c>
      <c r="E188" s="57">
        <v>0</v>
      </c>
      <c r="F188" s="57">
        <v>0</v>
      </c>
      <c r="G188" s="57">
        <v>0</v>
      </c>
      <c r="H188" s="58">
        <v>0.13758358568424556</v>
      </c>
      <c r="I188" s="58">
        <v>0</v>
      </c>
      <c r="J188" s="58">
        <v>0.13758358568424556</v>
      </c>
    </row>
    <row r="189" spans="1:10" ht="11.25" customHeight="1" x14ac:dyDescent="0.2">
      <c r="A189" s="67">
        <v>44501</v>
      </c>
      <c r="B189" s="57">
        <v>1248</v>
      </c>
      <c r="C189" s="57">
        <v>1419.7043149339386</v>
      </c>
      <c r="D189" s="57">
        <v>0</v>
      </c>
      <c r="E189" s="57">
        <v>0</v>
      </c>
      <c r="F189" s="57">
        <v>0</v>
      </c>
      <c r="G189" s="57">
        <v>0</v>
      </c>
      <c r="H189" s="58">
        <v>0.13758358568424556</v>
      </c>
      <c r="I189" s="58">
        <v>0</v>
      </c>
      <c r="J189" s="58">
        <v>0.13758358568424556</v>
      </c>
    </row>
    <row r="190" spans="1:10" ht="11.25" customHeight="1" x14ac:dyDescent="0.2">
      <c r="A190" s="67">
        <v>44531</v>
      </c>
      <c r="B190" s="57">
        <v>1331.2</v>
      </c>
      <c r="C190" s="57">
        <v>1514.3512692628678</v>
      </c>
      <c r="D190" s="57">
        <v>0</v>
      </c>
      <c r="E190" s="57">
        <v>0</v>
      </c>
      <c r="F190" s="57">
        <v>0</v>
      </c>
      <c r="G190" s="57">
        <v>0</v>
      </c>
      <c r="H190" s="58">
        <v>0.13758358568424556</v>
      </c>
      <c r="I190" s="58">
        <v>0</v>
      </c>
      <c r="J190" s="58">
        <v>0.13758358568424556</v>
      </c>
    </row>
    <row r="191" spans="1:10" ht="11.25" customHeight="1" x14ac:dyDescent="0.2">
      <c r="A191" s="67">
        <v>44562</v>
      </c>
      <c r="B191" s="57">
        <v>1331.2</v>
      </c>
      <c r="C191" s="57">
        <v>1514.3512692628678</v>
      </c>
      <c r="D191" s="57">
        <v>0</v>
      </c>
      <c r="E191" s="57">
        <v>0</v>
      </c>
      <c r="F191" s="57">
        <v>0</v>
      </c>
      <c r="G191" s="57">
        <v>0</v>
      </c>
      <c r="H191" s="58">
        <v>0.13758358568424556</v>
      </c>
      <c r="I191" s="58">
        <v>0</v>
      </c>
      <c r="J191" s="58">
        <v>0.13758358568424556</v>
      </c>
    </row>
    <row r="192" spans="1:10" ht="11.25" customHeight="1" x14ac:dyDescent="0.2">
      <c r="A192" s="67">
        <v>44593</v>
      </c>
      <c r="B192" s="57">
        <v>1597.44</v>
      </c>
      <c r="C192" s="57">
        <v>1817.2215231154414</v>
      </c>
      <c r="D192" s="57">
        <v>0</v>
      </c>
      <c r="E192" s="57">
        <v>0</v>
      </c>
      <c r="F192" s="57">
        <v>0</v>
      </c>
      <c r="G192" s="57">
        <v>0</v>
      </c>
      <c r="H192" s="58">
        <v>0.13758358568424556</v>
      </c>
      <c r="I192" s="58">
        <v>0</v>
      </c>
      <c r="J192" s="58">
        <v>0.13758358568424556</v>
      </c>
    </row>
    <row r="193" spans="1:10" ht="11.25" customHeight="1" x14ac:dyDescent="0.2">
      <c r="A193" s="67">
        <v>44621</v>
      </c>
      <c r="B193" s="57">
        <v>1464.3200000000002</v>
      </c>
      <c r="C193" s="57">
        <v>1665.7863961891546</v>
      </c>
      <c r="D193" s="57">
        <v>0</v>
      </c>
      <c r="E193" s="57">
        <v>0</v>
      </c>
      <c r="F193" s="57">
        <v>0</v>
      </c>
      <c r="G193" s="57">
        <v>0</v>
      </c>
      <c r="H193" s="58">
        <v>0.13758358568424556</v>
      </c>
      <c r="I193" s="58">
        <v>0</v>
      </c>
      <c r="J193" s="58">
        <v>0.13758358568424556</v>
      </c>
    </row>
    <row r="194" spans="1:10" ht="11.25" customHeight="1" x14ac:dyDescent="0.2">
      <c r="A194" s="67">
        <v>44652</v>
      </c>
      <c r="B194" s="57">
        <v>1414.4</v>
      </c>
      <c r="C194" s="57">
        <v>1608.9982235917971</v>
      </c>
      <c r="D194" s="57">
        <v>0</v>
      </c>
      <c r="E194" s="57">
        <v>0</v>
      </c>
      <c r="F194" s="57">
        <v>0</v>
      </c>
      <c r="G194" s="57">
        <v>0</v>
      </c>
      <c r="H194" s="58">
        <v>0.13758358568424556</v>
      </c>
      <c r="I194" s="58">
        <v>0</v>
      </c>
      <c r="J194" s="58">
        <v>0.13758358568424556</v>
      </c>
    </row>
    <row r="195" spans="1:10" ht="11.25" customHeight="1" x14ac:dyDescent="0.2">
      <c r="A195" s="67">
        <v>44682</v>
      </c>
      <c r="B195" s="57">
        <v>1198.08</v>
      </c>
      <c r="C195" s="57">
        <v>1362.9161423365811</v>
      </c>
      <c r="D195" s="57">
        <v>0</v>
      </c>
      <c r="E195" s="57">
        <v>0</v>
      </c>
      <c r="F195" s="57">
        <v>0</v>
      </c>
      <c r="G195" s="57">
        <v>0</v>
      </c>
      <c r="H195" s="58">
        <v>0.13758358568424578</v>
      </c>
      <c r="I195" s="58">
        <v>0</v>
      </c>
      <c r="J195" s="58">
        <v>0.13758358568424578</v>
      </c>
    </row>
    <row r="196" spans="1:10" ht="11.25" customHeight="1" x14ac:dyDescent="0.2">
      <c r="A196" s="67">
        <v>44713</v>
      </c>
      <c r="B196" s="57">
        <v>998.40000000000009</v>
      </c>
      <c r="C196" s="57">
        <v>1135.7634519471508</v>
      </c>
      <c r="D196" s="57">
        <v>0</v>
      </c>
      <c r="E196" s="57">
        <v>0</v>
      </c>
      <c r="F196" s="57">
        <v>0</v>
      </c>
      <c r="G196" s="57">
        <v>0</v>
      </c>
      <c r="H196" s="58">
        <v>0.13758358568424556</v>
      </c>
      <c r="I196" s="58">
        <v>0</v>
      </c>
      <c r="J196" s="58">
        <v>0.13758358568424556</v>
      </c>
    </row>
    <row r="197" spans="1:10" ht="11.25" customHeight="1" x14ac:dyDescent="0.2">
      <c r="A197" s="67">
        <v>44743</v>
      </c>
      <c r="B197" s="57">
        <v>998.40000000000009</v>
      </c>
      <c r="C197" s="57">
        <v>1135.7634519471508</v>
      </c>
      <c r="D197" s="57">
        <v>0</v>
      </c>
      <c r="E197" s="57">
        <v>0</v>
      </c>
      <c r="F197" s="57">
        <v>0</v>
      </c>
      <c r="G197" s="57">
        <v>0</v>
      </c>
      <c r="H197" s="58">
        <v>0.13758358568424556</v>
      </c>
      <c r="I197" s="58">
        <v>0</v>
      </c>
      <c r="J197" s="58">
        <v>0.13758358568424556</v>
      </c>
    </row>
    <row r="198" spans="1:10" ht="11.25" customHeight="1" x14ac:dyDescent="0.2">
      <c r="A198" s="67">
        <v>44774</v>
      </c>
      <c r="B198" s="57">
        <v>998.40000000000009</v>
      </c>
      <c r="C198" s="57">
        <v>1135.7634519471508</v>
      </c>
      <c r="D198" s="57">
        <v>0</v>
      </c>
      <c r="E198" s="57">
        <v>0</v>
      </c>
      <c r="F198" s="57">
        <v>0</v>
      </c>
      <c r="G198" s="57">
        <v>0</v>
      </c>
      <c r="H198" s="58">
        <v>0.13758358568424556</v>
      </c>
      <c r="I198" s="58">
        <v>0</v>
      </c>
      <c r="J198" s="58">
        <v>0.13758358568424556</v>
      </c>
    </row>
    <row r="199" spans="1:10" ht="11.25" customHeight="1" x14ac:dyDescent="0.2">
      <c r="A199" s="66" t="s">
        <v>34</v>
      </c>
      <c r="B199" s="57">
        <v>0</v>
      </c>
      <c r="C199" s="57">
        <v>0</v>
      </c>
      <c r="D199" s="57">
        <v>12186.871319999998</v>
      </c>
      <c r="E199" s="57">
        <v>14504.618773557788</v>
      </c>
      <c r="F199" s="57">
        <v>4526.3763199999994</v>
      </c>
      <c r="G199" s="57">
        <v>4586.0917247779262</v>
      </c>
      <c r="H199" s="58">
        <v>0.19018396048492869</v>
      </c>
      <c r="I199" s="58">
        <v>1.3192761837779843E-2</v>
      </c>
      <c r="J199" s="58">
        <v>0.14225020232726693</v>
      </c>
    </row>
    <row r="200" spans="1:10" ht="11.25" customHeight="1" x14ac:dyDescent="0.2">
      <c r="A200" s="67">
        <v>44440</v>
      </c>
      <c r="B200" s="57">
        <v>0</v>
      </c>
      <c r="C200" s="57">
        <v>0</v>
      </c>
      <c r="D200" s="57">
        <v>945.71607000000006</v>
      </c>
      <c r="E200" s="57">
        <v>1125.5760976868416</v>
      </c>
      <c r="F200" s="57">
        <v>351.25232</v>
      </c>
      <c r="G200" s="57">
        <v>355.88630820272761</v>
      </c>
      <c r="H200" s="58">
        <v>0.19018396048492825</v>
      </c>
      <c r="I200" s="58">
        <v>1.3192761837779843E-2</v>
      </c>
      <c r="J200" s="58">
        <v>0.14225020232726671</v>
      </c>
    </row>
    <row r="201" spans="1:10" ht="11.25" customHeight="1" x14ac:dyDescent="0.2">
      <c r="A201" s="67">
        <v>44470</v>
      </c>
      <c r="B201" s="57">
        <v>0</v>
      </c>
      <c r="C201" s="57">
        <v>0</v>
      </c>
      <c r="D201" s="57">
        <v>921.84105</v>
      </c>
      <c r="E201" s="57">
        <v>1097.1604318265847</v>
      </c>
      <c r="F201" s="57">
        <v>342.38479999999998</v>
      </c>
      <c r="G201" s="57">
        <v>346.90180112327585</v>
      </c>
      <c r="H201" s="58">
        <v>0.19018396048492825</v>
      </c>
      <c r="I201" s="58">
        <v>1.3192761837779843E-2</v>
      </c>
      <c r="J201" s="58">
        <v>0.14225020232726648</v>
      </c>
    </row>
    <row r="202" spans="1:10" ht="11.25" customHeight="1" x14ac:dyDescent="0.2">
      <c r="A202" s="67">
        <v>44501</v>
      </c>
      <c r="B202" s="57">
        <v>0</v>
      </c>
      <c r="C202" s="57">
        <v>0</v>
      </c>
      <c r="D202" s="57">
        <v>846.23682000000008</v>
      </c>
      <c r="E202" s="57">
        <v>1007.1774899357714</v>
      </c>
      <c r="F202" s="57">
        <v>314.30432000000002</v>
      </c>
      <c r="G202" s="57">
        <v>318.45086203834535</v>
      </c>
      <c r="H202" s="58">
        <v>0.19018396048492825</v>
      </c>
      <c r="I202" s="58">
        <v>1.3192761837779843E-2</v>
      </c>
      <c r="J202" s="58">
        <v>0.14225020232726671</v>
      </c>
    </row>
    <row r="203" spans="1:10" ht="11.25" customHeight="1" x14ac:dyDescent="0.2">
      <c r="A203" s="67">
        <v>44531</v>
      </c>
      <c r="B203" s="57">
        <v>0</v>
      </c>
      <c r="C203" s="57">
        <v>0</v>
      </c>
      <c r="D203" s="57">
        <v>1084.98702</v>
      </c>
      <c r="E203" s="57">
        <v>1291.3341485383401</v>
      </c>
      <c r="F203" s="57">
        <v>402.97951999999998</v>
      </c>
      <c r="G203" s="57">
        <v>408.29593283286283</v>
      </c>
      <c r="H203" s="58">
        <v>0.19018396048492825</v>
      </c>
      <c r="I203" s="58">
        <v>1.3192761837779843E-2</v>
      </c>
      <c r="J203" s="58">
        <v>0.14225020232726671</v>
      </c>
    </row>
    <row r="204" spans="1:10" ht="11.25" customHeight="1" x14ac:dyDescent="0.2">
      <c r="A204" s="67">
        <v>44562</v>
      </c>
      <c r="B204" s="57">
        <v>0</v>
      </c>
      <c r="C204" s="57">
        <v>0</v>
      </c>
      <c r="D204" s="57">
        <v>1118.1467700000001</v>
      </c>
      <c r="E204" s="57">
        <v>1330.8003511220302</v>
      </c>
      <c r="F204" s="57">
        <v>415.29551999999995</v>
      </c>
      <c r="G204" s="57">
        <v>420.77441488765692</v>
      </c>
      <c r="H204" s="58">
        <v>0.19018396048492825</v>
      </c>
      <c r="I204" s="58">
        <v>1.3192761837779843E-2</v>
      </c>
      <c r="J204" s="58">
        <v>0.14225020232726671</v>
      </c>
    </row>
    <row r="205" spans="1:10" ht="11.25" customHeight="1" x14ac:dyDescent="0.2">
      <c r="A205" s="67">
        <v>44593</v>
      </c>
      <c r="B205" s="57">
        <v>0</v>
      </c>
      <c r="C205" s="57">
        <v>0</v>
      </c>
      <c r="D205" s="57">
        <v>1120.79955</v>
      </c>
      <c r="E205" s="57">
        <v>1333.9576473287254</v>
      </c>
      <c r="F205" s="57">
        <v>416.2808</v>
      </c>
      <c r="G205" s="57">
        <v>421.77269345204047</v>
      </c>
      <c r="H205" s="58">
        <v>0.19018396048492847</v>
      </c>
      <c r="I205" s="58">
        <v>1.3192761837779843E-2</v>
      </c>
      <c r="J205" s="58">
        <v>0.14225020232726671</v>
      </c>
    </row>
    <row r="206" spans="1:10" ht="11.25" customHeight="1" x14ac:dyDescent="0.2">
      <c r="A206" s="67">
        <v>44621</v>
      </c>
      <c r="B206" s="57">
        <v>0</v>
      </c>
      <c r="C206" s="57">
        <v>0</v>
      </c>
      <c r="D206" s="57">
        <v>1254.76494</v>
      </c>
      <c r="E206" s="57">
        <v>1493.4011057668333</v>
      </c>
      <c r="F206" s="57">
        <v>466.03743999999995</v>
      </c>
      <c r="G206" s="57">
        <v>472.18576095340859</v>
      </c>
      <c r="H206" s="58">
        <v>0.19018396048492825</v>
      </c>
      <c r="I206" s="58">
        <v>1.3192761837779843E-2</v>
      </c>
      <c r="J206" s="58">
        <v>0.14225020232726648</v>
      </c>
    </row>
    <row r="207" spans="1:10" ht="11.25" customHeight="1" x14ac:dyDescent="0.2">
      <c r="A207" s="67">
        <v>44652</v>
      </c>
      <c r="B207" s="57">
        <v>0</v>
      </c>
      <c r="C207" s="57">
        <v>0</v>
      </c>
      <c r="D207" s="57">
        <v>1151.3065200000001</v>
      </c>
      <c r="E207" s="57">
        <v>1370.2665537057203</v>
      </c>
      <c r="F207" s="57">
        <v>427.61151999999998</v>
      </c>
      <c r="G207" s="57">
        <v>433.25289694245106</v>
      </c>
      <c r="H207" s="58">
        <v>0.19018396048492825</v>
      </c>
      <c r="I207" s="58">
        <v>1.3192761837779843E-2</v>
      </c>
      <c r="J207" s="58">
        <v>0.14225020232726671</v>
      </c>
    </row>
    <row r="208" spans="1:10" ht="11.25" customHeight="1" x14ac:dyDescent="0.2">
      <c r="A208" s="67">
        <v>44682</v>
      </c>
      <c r="B208" s="57">
        <v>0</v>
      </c>
      <c r="C208" s="57">
        <v>0</v>
      </c>
      <c r="D208" s="57">
        <v>997.44528000000003</v>
      </c>
      <c r="E208" s="57">
        <v>1187.1433737173984</v>
      </c>
      <c r="F208" s="57">
        <v>370.46528000000001</v>
      </c>
      <c r="G208" s="57">
        <v>375.35274020820646</v>
      </c>
      <c r="H208" s="58">
        <v>0.19018396048492847</v>
      </c>
      <c r="I208" s="58">
        <v>1.3192761837779843E-2</v>
      </c>
      <c r="J208" s="58">
        <v>0.14225020232726671</v>
      </c>
    </row>
    <row r="209" spans="1:10" ht="11.25" customHeight="1" x14ac:dyDescent="0.2">
      <c r="A209" s="67">
        <v>44713</v>
      </c>
      <c r="B209" s="57">
        <v>0</v>
      </c>
      <c r="C209" s="57">
        <v>0</v>
      </c>
      <c r="D209" s="57">
        <v>925.82022000000006</v>
      </c>
      <c r="E209" s="57">
        <v>1101.8963761366276</v>
      </c>
      <c r="F209" s="57">
        <v>343.86271999999997</v>
      </c>
      <c r="G209" s="57">
        <v>348.39921896985118</v>
      </c>
      <c r="H209" s="58">
        <v>0.19018396048492825</v>
      </c>
      <c r="I209" s="58">
        <v>1.3192761837779843E-2</v>
      </c>
      <c r="J209" s="58">
        <v>0.14225020232726648</v>
      </c>
    </row>
    <row r="210" spans="1:10" ht="11.25" customHeight="1" x14ac:dyDescent="0.2">
      <c r="A210" s="67">
        <v>44743</v>
      </c>
      <c r="B210" s="57">
        <v>0</v>
      </c>
      <c r="C210" s="57">
        <v>0</v>
      </c>
      <c r="D210" s="57">
        <v>909.90354000000013</v>
      </c>
      <c r="E210" s="57">
        <v>1082.9525988964565</v>
      </c>
      <c r="F210" s="57">
        <v>337.95104000000003</v>
      </c>
      <c r="G210" s="57">
        <v>342.40954758355002</v>
      </c>
      <c r="H210" s="58">
        <v>0.19018396048492825</v>
      </c>
      <c r="I210" s="58">
        <v>1.3192761837779843E-2</v>
      </c>
      <c r="J210" s="58">
        <v>0.14225020232726648</v>
      </c>
    </row>
    <row r="211" spans="1:10" ht="11.25" customHeight="1" x14ac:dyDescent="0.2">
      <c r="A211" s="67">
        <v>44774</v>
      </c>
      <c r="B211" s="57">
        <v>0</v>
      </c>
      <c r="C211" s="57">
        <v>0</v>
      </c>
      <c r="D211" s="57">
        <v>909.90354000000013</v>
      </c>
      <c r="E211" s="57">
        <v>1082.9525988964565</v>
      </c>
      <c r="F211" s="57">
        <v>337.95104000000003</v>
      </c>
      <c r="G211" s="57">
        <v>342.40954758355002</v>
      </c>
      <c r="H211" s="58">
        <v>0.19018396048492825</v>
      </c>
      <c r="I211" s="58">
        <v>1.3192761837779843E-2</v>
      </c>
      <c r="J211" s="58">
        <v>0.14225020232726648</v>
      </c>
    </row>
    <row r="212" spans="1:10" ht="11.25" customHeight="1" x14ac:dyDescent="0.2">
      <c r="A212" s="62" t="s">
        <v>38</v>
      </c>
      <c r="B212" s="57">
        <v>3156707.84</v>
      </c>
      <c r="C212" s="57">
        <v>3591019.02358477</v>
      </c>
      <c r="D212" s="57">
        <v>2724825.8996699993</v>
      </c>
      <c r="E212" s="57">
        <v>4740551.7734191781</v>
      </c>
      <c r="F212" s="57">
        <v>7823623.595519999</v>
      </c>
      <c r="G212" s="57">
        <v>7977662.1833621813</v>
      </c>
      <c r="H212" s="58">
        <v>0.41656431226583668</v>
      </c>
      <c r="I212" s="58">
        <v>1.9688905781508614E-2</v>
      </c>
      <c r="J212" s="58">
        <v>0.19000698652979198</v>
      </c>
    </row>
    <row r="213" spans="1:10" ht="11.25" customHeight="1" x14ac:dyDescent="0.2">
      <c r="A213" s="63" t="s">
        <v>25</v>
      </c>
      <c r="B213" s="57">
        <v>3156707.84</v>
      </c>
      <c r="C213" s="57">
        <v>3591019.02358477</v>
      </c>
      <c r="D213" s="57">
        <v>2724825.8996699993</v>
      </c>
      <c r="E213" s="57">
        <v>4740551.7734191781</v>
      </c>
      <c r="F213" s="57">
        <v>7823623.595519999</v>
      </c>
      <c r="G213" s="57">
        <v>7977662.1833621813</v>
      </c>
      <c r="H213" s="58">
        <v>0.41656431226583668</v>
      </c>
      <c r="I213" s="58">
        <v>1.9688905781508614E-2</v>
      </c>
      <c r="J213" s="58">
        <v>0.19000698652979198</v>
      </c>
    </row>
    <row r="214" spans="1:10" ht="11.25" customHeight="1" x14ac:dyDescent="0.2">
      <c r="A214" s="64" t="s">
        <v>25</v>
      </c>
      <c r="B214" s="57">
        <v>3156707.84</v>
      </c>
      <c r="C214" s="57">
        <v>3591019.02358477</v>
      </c>
      <c r="D214" s="57">
        <v>2724825.8996699993</v>
      </c>
      <c r="E214" s="57">
        <v>4740551.7734191781</v>
      </c>
      <c r="F214" s="57">
        <v>7823623.595519999</v>
      </c>
      <c r="G214" s="57">
        <v>7977662.1833621813</v>
      </c>
      <c r="H214" s="58">
        <v>0.41656431226583668</v>
      </c>
      <c r="I214" s="58">
        <v>1.9688905781508614E-2</v>
      </c>
      <c r="J214" s="58">
        <v>0.19000698652979198</v>
      </c>
    </row>
    <row r="215" spans="1:10" ht="11.25" customHeight="1" x14ac:dyDescent="0.2">
      <c r="A215" s="65" t="s">
        <v>25</v>
      </c>
      <c r="B215" s="57">
        <v>3156707.84</v>
      </c>
      <c r="C215" s="57">
        <v>3591019.02358477</v>
      </c>
      <c r="D215" s="57">
        <v>2724825.8996699993</v>
      </c>
      <c r="E215" s="57">
        <v>4740551.7734191781</v>
      </c>
      <c r="F215" s="57">
        <v>7823623.595519999</v>
      </c>
      <c r="G215" s="57">
        <v>7977662.1833621813</v>
      </c>
      <c r="H215" s="58">
        <v>0.41656431226583668</v>
      </c>
      <c r="I215" s="58">
        <v>1.9688905781508614E-2</v>
      </c>
      <c r="J215" s="58">
        <v>0.19000698652979198</v>
      </c>
    </row>
    <row r="216" spans="1:10" ht="11.25" customHeight="1" x14ac:dyDescent="0.2">
      <c r="A216" s="66" t="s">
        <v>35</v>
      </c>
      <c r="B216" s="57">
        <v>0</v>
      </c>
      <c r="C216" s="57">
        <v>0</v>
      </c>
      <c r="D216" s="57">
        <v>1876661.835</v>
      </c>
      <c r="E216" s="57">
        <v>3731080.5077892435</v>
      </c>
      <c r="F216" s="57">
        <v>7508603.4695999986</v>
      </c>
      <c r="G216" s="57">
        <v>7658486.07194681</v>
      </c>
      <c r="H216" s="58">
        <v>0.98814748518037776</v>
      </c>
      <c r="I216" s="58">
        <v>1.9961448617394462E-2</v>
      </c>
      <c r="J216" s="58">
        <v>0.21355829697788997</v>
      </c>
    </row>
    <row r="217" spans="1:10" ht="11.25" customHeight="1" x14ac:dyDescent="0.2">
      <c r="A217" s="67">
        <v>44440</v>
      </c>
      <c r="B217" s="57">
        <v>0</v>
      </c>
      <c r="C217" s="57">
        <v>0</v>
      </c>
      <c r="D217" s="57">
        <v>200134.91174999997</v>
      </c>
      <c r="E217" s="57">
        <v>397897.72149255942</v>
      </c>
      <c r="F217" s="57">
        <v>800748.25667999999</v>
      </c>
      <c r="G217" s="57">
        <v>816732.35186118609</v>
      </c>
      <c r="H217" s="58">
        <v>0.98814748518037843</v>
      </c>
      <c r="I217" s="58">
        <v>1.9961448617394684E-2</v>
      </c>
      <c r="J217" s="58">
        <v>0.21355829697789019</v>
      </c>
    </row>
    <row r="218" spans="1:10" ht="11.25" customHeight="1" x14ac:dyDescent="0.2">
      <c r="A218" s="67">
        <v>44470</v>
      </c>
      <c r="B218" s="57">
        <v>0</v>
      </c>
      <c r="C218" s="57">
        <v>0</v>
      </c>
      <c r="D218" s="57">
        <v>209644.77399999998</v>
      </c>
      <c r="E218" s="57">
        <v>416804.73020930873</v>
      </c>
      <c r="F218" s="57">
        <v>838797.61823999987</v>
      </c>
      <c r="G218" s="57">
        <v>855541.23379689059</v>
      </c>
      <c r="H218" s="58">
        <v>0.98814748518037843</v>
      </c>
      <c r="I218" s="58">
        <v>1.9961448617394684E-2</v>
      </c>
      <c r="J218" s="58">
        <v>0.21355829697789019</v>
      </c>
    </row>
    <row r="219" spans="1:10" ht="11.25" customHeight="1" x14ac:dyDescent="0.2">
      <c r="A219" s="67">
        <v>44501</v>
      </c>
      <c r="B219" s="57">
        <v>0</v>
      </c>
      <c r="C219" s="57">
        <v>0</v>
      </c>
      <c r="D219" s="57">
        <v>185511.12024999998</v>
      </c>
      <c r="E219" s="57">
        <v>368823.46719803219</v>
      </c>
      <c r="F219" s="57">
        <v>742237.84763999993</v>
      </c>
      <c r="G219" s="57">
        <v>757053.99029755127</v>
      </c>
      <c r="H219" s="58">
        <v>0.9881474851803782</v>
      </c>
      <c r="I219" s="58">
        <v>1.9961448617394462E-2</v>
      </c>
      <c r="J219" s="58">
        <v>0.21355829697788997</v>
      </c>
    </row>
    <row r="220" spans="1:10" ht="11.25" customHeight="1" x14ac:dyDescent="0.2">
      <c r="A220" s="67">
        <v>44531</v>
      </c>
      <c r="B220" s="57">
        <v>0</v>
      </c>
      <c r="C220" s="57">
        <v>0</v>
      </c>
      <c r="D220" s="57">
        <v>172482.88449999999</v>
      </c>
      <c r="E220" s="57">
        <v>342921.41305533261</v>
      </c>
      <c r="F220" s="57">
        <v>690111.32471999992</v>
      </c>
      <c r="G220" s="57">
        <v>703886.94646868028</v>
      </c>
      <c r="H220" s="58">
        <v>0.9881474851803782</v>
      </c>
      <c r="I220" s="58">
        <v>1.9961448617394462E-2</v>
      </c>
      <c r="J220" s="58">
        <v>0.21355829697789019</v>
      </c>
    </row>
    <row r="221" spans="1:10" ht="11.25" customHeight="1" x14ac:dyDescent="0.2">
      <c r="A221" s="67">
        <v>44562</v>
      </c>
      <c r="B221" s="57">
        <v>0</v>
      </c>
      <c r="C221" s="57">
        <v>0</v>
      </c>
      <c r="D221" s="57">
        <v>128384.1765</v>
      </c>
      <c r="E221" s="57">
        <v>255246.6776454288</v>
      </c>
      <c r="F221" s="57">
        <v>513670.52663999994</v>
      </c>
      <c r="G221" s="57">
        <v>523924.1344637943</v>
      </c>
      <c r="H221" s="58">
        <v>0.9881474851803782</v>
      </c>
      <c r="I221" s="58">
        <v>1.9961448617394462E-2</v>
      </c>
      <c r="J221" s="58">
        <v>0.21355829697789019</v>
      </c>
    </row>
    <row r="222" spans="1:10" ht="11.25" customHeight="1" x14ac:dyDescent="0.2">
      <c r="A222" s="67">
        <v>44593</v>
      </c>
      <c r="B222" s="57">
        <v>0</v>
      </c>
      <c r="C222" s="57">
        <v>0</v>
      </c>
      <c r="D222" s="57">
        <v>143849.37825000001</v>
      </c>
      <c r="E222" s="57">
        <v>285993.77961249853</v>
      </c>
      <c r="F222" s="57">
        <v>575547.45371999999</v>
      </c>
      <c r="G222" s="57">
        <v>587036.21464430401</v>
      </c>
      <c r="H222" s="58">
        <v>0.98814748518037843</v>
      </c>
      <c r="I222" s="58">
        <v>1.9961448617394462E-2</v>
      </c>
      <c r="J222" s="58">
        <v>0.21355829697789019</v>
      </c>
    </row>
    <row r="223" spans="1:10" ht="11.25" customHeight="1" x14ac:dyDescent="0.2">
      <c r="A223" s="67">
        <v>44621</v>
      </c>
      <c r="B223" s="57">
        <v>0</v>
      </c>
      <c r="C223" s="57">
        <v>0</v>
      </c>
      <c r="D223" s="57">
        <v>155514.30375000002</v>
      </c>
      <c r="E223" s="57">
        <v>309185.37191013992</v>
      </c>
      <c r="F223" s="57">
        <v>622219.31459999993</v>
      </c>
      <c r="G223" s="57">
        <v>634639.71347713831</v>
      </c>
      <c r="H223" s="58">
        <v>0.98814748518037776</v>
      </c>
      <c r="I223" s="58">
        <v>1.9961448617394684E-2</v>
      </c>
      <c r="J223" s="58">
        <v>0.21355829697789019</v>
      </c>
    </row>
    <row r="224" spans="1:10" ht="11.25" customHeight="1" x14ac:dyDescent="0.2">
      <c r="A224" s="67">
        <v>44652</v>
      </c>
      <c r="B224" s="57">
        <v>0</v>
      </c>
      <c r="C224" s="57">
        <v>0</v>
      </c>
      <c r="D224" s="57">
        <v>141500.06075</v>
      </c>
      <c r="E224" s="57">
        <v>281322.98993298324</v>
      </c>
      <c r="F224" s="57">
        <v>566147.73491999996</v>
      </c>
      <c r="G224" s="57">
        <v>577448.86384045996</v>
      </c>
      <c r="H224" s="58">
        <v>0.9881474851803782</v>
      </c>
      <c r="I224" s="58">
        <v>1.9961448617394684E-2</v>
      </c>
      <c r="J224" s="58">
        <v>0.21355829697789042</v>
      </c>
    </row>
    <row r="225" spans="1:10" ht="11.25" customHeight="1" x14ac:dyDescent="0.2">
      <c r="A225" s="67">
        <v>44682</v>
      </c>
      <c r="B225" s="57">
        <v>0</v>
      </c>
      <c r="C225" s="57">
        <v>0</v>
      </c>
      <c r="D225" s="57">
        <v>146861.58550000002</v>
      </c>
      <c r="E225" s="57">
        <v>291982.49188142811</v>
      </c>
      <c r="F225" s="57">
        <v>587599.42247999995</v>
      </c>
      <c r="G225" s="57">
        <v>599328.75815944525</v>
      </c>
      <c r="H225" s="58">
        <v>0.9881474851803782</v>
      </c>
      <c r="I225" s="58">
        <v>1.9961448617394684E-2</v>
      </c>
      <c r="J225" s="58">
        <v>0.21355829697789019</v>
      </c>
    </row>
    <row r="226" spans="1:10" ht="11.25" customHeight="1" x14ac:dyDescent="0.2">
      <c r="A226" s="67">
        <v>44713</v>
      </c>
      <c r="B226" s="57">
        <v>0</v>
      </c>
      <c r="C226" s="57">
        <v>0</v>
      </c>
      <c r="D226" s="57">
        <v>126482.54174999999</v>
      </c>
      <c r="E226" s="57">
        <v>251465.94729948472</v>
      </c>
      <c r="F226" s="57">
        <v>506062.00547999999</v>
      </c>
      <c r="G226" s="57">
        <v>516163.73619960458</v>
      </c>
      <c r="H226" s="58">
        <v>0.98814748518037865</v>
      </c>
      <c r="I226" s="58">
        <v>1.9961448617394462E-2</v>
      </c>
      <c r="J226" s="58">
        <v>0.21355829697788997</v>
      </c>
    </row>
    <row r="227" spans="1:10" ht="11.25" customHeight="1" x14ac:dyDescent="0.2">
      <c r="A227" s="67">
        <v>44743</v>
      </c>
      <c r="B227" s="57">
        <v>0</v>
      </c>
      <c r="C227" s="57">
        <v>0</v>
      </c>
      <c r="D227" s="57">
        <v>133148.049</v>
      </c>
      <c r="E227" s="57">
        <v>264717.95877602376</v>
      </c>
      <c r="F227" s="57">
        <v>532730.98223999992</v>
      </c>
      <c r="G227" s="57">
        <v>543365.06436887791</v>
      </c>
      <c r="H227" s="58">
        <v>0.9881474851803782</v>
      </c>
      <c r="I227" s="58">
        <v>1.9961448617394684E-2</v>
      </c>
      <c r="J227" s="58">
        <v>0.21355829697789042</v>
      </c>
    </row>
    <row r="228" spans="1:10" ht="11.25" customHeight="1" x14ac:dyDescent="0.2">
      <c r="A228" s="67">
        <v>44774</v>
      </c>
      <c r="B228" s="57">
        <v>0</v>
      </c>
      <c r="C228" s="57">
        <v>0</v>
      </c>
      <c r="D228" s="57">
        <v>133148.049</v>
      </c>
      <c r="E228" s="57">
        <v>264717.95877602376</v>
      </c>
      <c r="F228" s="57">
        <v>532730.98223999992</v>
      </c>
      <c r="G228" s="57">
        <v>543365.06436887791</v>
      </c>
      <c r="H228" s="58">
        <v>0.9881474851803782</v>
      </c>
      <c r="I228" s="58">
        <v>1.9961448617394684E-2</v>
      </c>
      <c r="J228" s="58">
        <v>0.21355829697789042</v>
      </c>
    </row>
    <row r="229" spans="1:10" ht="11.25" customHeight="1" x14ac:dyDescent="0.2">
      <c r="A229" s="66" t="s">
        <v>25</v>
      </c>
      <c r="B229" s="57">
        <v>3156707.84</v>
      </c>
      <c r="C229" s="57">
        <v>3591019.02358477</v>
      </c>
      <c r="D229" s="57">
        <v>0</v>
      </c>
      <c r="E229" s="57">
        <v>0</v>
      </c>
      <c r="F229" s="57">
        <v>0</v>
      </c>
      <c r="G229" s="57">
        <v>0</v>
      </c>
      <c r="H229" s="58">
        <v>0.13758358568424578</v>
      </c>
      <c r="I229" s="58">
        <v>0</v>
      </c>
      <c r="J229" s="58">
        <v>0.13758358568424578</v>
      </c>
    </row>
    <row r="230" spans="1:10" ht="11.25" customHeight="1" x14ac:dyDescent="0.2">
      <c r="A230" s="67">
        <v>44440</v>
      </c>
      <c r="B230" s="57">
        <v>279219.20000000001</v>
      </c>
      <c r="C230" s="57">
        <v>317635.17872788652</v>
      </c>
      <c r="D230" s="57">
        <v>0</v>
      </c>
      <c r="E230" s="57">
        <v>0</v>
      </c>
      <c r="F230" s="57">
        <v>0</v>
      </c>
      <c r="G230" s="57">
        <v>0</v>
      </c>
      <c r="H230" s="58">
        <v>0.13758358568424556</v>
      </c>
      <c r="I230" s="58">
        <v>0</v>
      </c>
      <c r="J230" s="58">
        <v>0.13758358568424556</v>
      </c>
    </row>
    <row r="231" spans="1:10" ht="11.25" customHeight="1" x14ac:dyDescent="0.2">
      <c r="A231" s="67">
        <v>44470</v>
      </c>
      <c r="B231" s="57">
        <v>282414.08000000002</v>
      </c>
      <c r="C231" s="57">
        <v>321269.6217741174</v>
      </c>
      <c r="D231" s="57">
        <v>0</v>
      </c>
      <c r="E231" s="57">
        <v>0</v>
      </c>
      <c r="F231" s="57">
        <v>0</v>
      </c>
      <c r="G231" s="57">
        <v>0</v>
      </c>
      <c r="H231" s="58">
        <v>0.13758358568424556</v>
      </c>
      <c r="I231" s="58">
        <v>0</v>
      </c>
      <c r="J231" s="58">
        <v>0.13758358568424556</v>
      </c>
    </row>
    <row r="232" spans="1:10" ht="11.25" customHeight="1" x14ac:dyDescent="0.2">
      <c r="A232" s="67">
        <v>44501</v>
      </c>
      <c r="B232" s="57">
        <v>285825.28000000003</v>
      </c>
      <c r="C232" s="57">
        <v>325150.1469016035</v>
      </c>
      <c r="D232" s="57">
        <v>0</v>
      </c>
      <c r="E232" s="57">
        <v>0</v>
      </c>
      <c r="F232" s="57">
        <v>0</v>
      </c>
      <c r="G232" s="57">
        <v>0</v>
      </c>
      <c r="H232" s="58">
        <v>0.13758358568424556</v>
      </c>
      <c r="I232" s="58">
        <v>0</v>
      </c>
      <c r="J232" s="58">
        <v>0.13758358568424556</v>
      </c>
    </row>
    <row r="233" spans="1:10" ht="11.25" customHeight="1" x14ac:dyDescent="0.2">
      <c r="A233" s="67">
        <v>44531</v>
      </c>
      <c r="B233" s="57">
        <v>285991.67999999999</v>
      </c>
      <c r="C233" s="57">
        <v>325339.44081026141</v>
      </c>
      <c r="D233" s="57">
        <v>0</v>
      </c>
      <c r="E233" s="57">
        <v>0</v>
      </c>
      <c r="F233" s="57">
        <v>0</v>
      </c>
      <c r="G233" s="57">
        <v>0</v>
      </c>
      <c r="H233" s="58">
        <v>0.13758358568424578</v>
      </c>
      <c r="I233" s="58">
        <v>0</v>
      </c>
      <c r="J233" s="58">
        <v>0.13758358568424578</v>
      </c>
    </row>
    <row r="234" spans="1:10" ht="11.25" customHeight="1" x14ac:dyDescent="0.2">
      <c r="A234" s="67">
        <v>44562</v>
      </c>
      <c r="B234" s="57">
        <v>259816.96000000002</v>
      </c>
      <c r="C234" s="57">
        <v>295563.50897838024</v>
      </c>
      <c r="D234" s="57">
        <v>0</v>
      </c>
      <c r="E234" s="57">
        <v>0</v>
      </c>
      <c r="F234" s="57">
        <v>0</v>
      </c>
      <c r="G234" s="57">
        <v>0</v>
      </c>
      <c r="H234" s="58">
        <v>0.13758358568424556</v>
      </c>
      <c r="I234" s="58">
        <v>0</v>
      </c>
      <c r="J234" s="58">
        <v>0.13758358568424556</v>
      </c>
    </row>
    <row r="235" spans="1:10" ht="11.25" customHeight="1" x14ac:dyDescent="0.2">
      <c r="A235" s="67">
        <v>44593</v>
      </c>
      <c r="B235" s="57">
        <v>263427.83999999997</v>
      </c>
      <c r="C235" s="57">
        <v>299671.18679625576</v>
      </c>
      <c r="D235" s="57">
        <v>0</v>
      </c>
      <c r="E235" s="57">
        <v>0</v>
      </c>
      <c r="F235" s="57">
        <v>0</v>
      </c>
      <c r="G235" s="57">
        <v>0</v>
      </c>
      <c r="H235" s="58">
        <v>0.13758358568424578</v>
      </c>
      <c r="I235" s="58">
        <v>0</v>
      </c>
      <c r="J235" s="58">
        <v>0.13758358568424578</v>
      </c>
    </row>
    <row r="236" spans="1:10" ht="11.25" customHeight="1" x14ac:dyDescent="0.2">
      <c r="A236" s="67">
        <v>44621</v>
      </c>
      <c r="B236" s="57">
        <v>260399.36000000002</v>
      </c>
      <c r="C236" s="57">
        <v>296226.03765868273</v>
      </c>
      <c r="D236" s="57">
        <v>0</v>
      </c>
      <c r="E236" s="57">
        <v>0</v>
      </c>
      <c r="F236" s="57">
        <v>0</v>
      </c>
      <c r="G236" s="57">
        <v>0</v>
      </c>
      <c r="H236" s="58">
        <v>0.13758358568424556</v>
      </c>
      <c r="I236" s="58">
        <v>0</v>
      </c>
      <c r="J236" s="58">
        <v>0.13758358568424556</v>
      </c>
    </row>
    <row r="237" spans="1:10" ht="11.25" customHeight="1" x14ac:dyDescent="0.2">
      <c r="A237" s="67">
        <v>44652</v>
      </c>
      <c r="B237" s="57">
        <v>259733.76000000001</v>
      </c>
      <c r="C237" s="57">
        <v>295468.86202405131</v>
      </c>
      <c r="D237" s="57">
        <v>0</v>
      </c>
      <c r="E237" s="57">
        <v>0</v>
      </c>
      <c r="F237" s="57">
        <v>0</v>
      </c>
      <c r="G237" s="57">
        <v>0</v>
      </c>
      <c r="H237" s="58">
        <v>0.13758358568424578</v>
      </c>
      <c r="I237" s="58">
        <v>0</v>
      </c>
      <c r="J237" s="58">
        <v>0.13758358568424578</v>
      </c>
    </row>
    <row r="238" spans="1:10" ht="11.25" customHeight="1" x14ac:dyDescent="0.2">
      <c r="A238" s="67">
        <v>44682</v>
      </c>
      <c r="B238" s="57">
        <v>252312.32000000001</v>
      </c>
      <c r="C238" s="57">
        <v>287026.35369791085</v>
      </c>
      <c r="D238" s="57">
        <v>0</v>
      </c>
      <c r="E238" s="57">
        <v>0</v>
      </c>
      <c r="F238" s="57">
        <v>0</v>
      </c>
      <c r="G238" s="57">
        <v>0</v>
      </c>
      <c r="H238" s="58">
        <v>0.13758358568424578</v>
      </c>
      <c r="I238" s="58">
        <v>0</v>
      </c>
      <c r="J238" s="58">
        <v>0.13758358568424578</v>
      </c>
    </row>
    <row r="239" spans="1:10" ht="11.25" customHeight="1" x14ac:dyDescent="0.2">
      <c r="A239" s="67">
        <v>44713</v>
      </c>
      <c r="B239" s="57">
        <v>241446.40000000002</v>
      </c>
      <c r="C239" s="57">
        <v>274665.46146255266</v>
      </c>
      <c r="D239" s="57">
        <v>0</v>
      </c>
      <c r="E239" s="57">
        <v>0</v>
      </c>
      <c r="F239" s="57">
        <v>0</v>
      </c>
      <c r="G239" s="57">
        <v>0</v>
      </c>
      <c r="H239" s="58">
        <v>0.13758358568424556</v>
      </c>
      <c r="I239" s="58">
        <v>0</v>
      </c>
      <c r="J239" s="58">
        <v>0.13758358568424556</v>
      </c>
    </row>
    <row r="240" spans="1:10" ht="11.25" customHeight="1" x14ac:dyDescent="0.2">
      <c r="A240" s="67">
        <v>44743</v>
      </c>
      <c r="B240" s="57">
        <v>243060.48000000001</v>
      </c>
      <c r="C240" s="57">
        <v>276501.61237653391</v>
      </c>
      <c r="D240" s="57">
        <v>0</v>
      </c>
      <c r="E240" s="57">
        <v>0</v>
      </c>
      <c r="F240" s="57">
        <v>0</v>
      </c>
      <c r="G240" s="57">
        <v>0</v>
      </c>
      <c r="H240" s="58">
        <v>0.13758358568424578</v>
      </c>
      <c r="I240" s="58">
        <v>0</v>
      </c>
      <c r="J240" s="58">
        <v>0.13758358568424578</v>
      </c>
    </row>
    <row r="241" spans="1:10" ht="11.25" customHeight="1" x14ac:dyDescent="0.2">
      <c r="A241" s="67">
        <v>44774</v>
      </c>
      <c r="B241" s="57">
        <v>243060.48000000001</v>
      </c>
      <c r="C241" s="57">
        <v>276501.61237653391</v>
      </c>
      <c r="D241" s="57">
        <v>0</v>
      </c>
      <c r="E241" s="57">
        <v>0</v>
      </c>
      <c r="F241" s="57">
        <v>0</v>
      </c>
      <c r="G241" s="57">
        <v>0</v>
      </c>
      <c r="H241" s="58">
        <v>0.13758358568424578</v>
      </c>
      <c r="I241" s="58">
        <v>0</v>
      </c>
      <c r="J241" s="58">
        <v>0.13758358568424578</v>
      </c>
    </row>
    <row r="242" spans="1:10" ht="11.25" customHeight="1" x14ac:dyDescent="0.2">
      <c r="A242" s="66" t="s">
        <v>34</v>
      </c>
      <c r="B242" s="57">
        <v>0</v>
      </c>
      <c r="C242" s="57">
        <v>0</v>
      </c>
      <c r="D242" s="57">
        <v>848164.06467000011</v>
      </c>
      <c r="E242" s="57">
        <v>1009471.2656299355</v>
      </c>
      <c r="F242" s="57">
        <v>315020.12591999996</v>
      </c>
      <c r="G242" s="57">
        <v>319176.11141537002</v>
      </c>
      <c r="H242" s="58">
        <v>0.19018396048492803</v>
      </c>
      <c r="I242" s="58">
        <v>1.3192761837779399E-2</v>
      </c>
      <c r="J242" s="58">
        <v>0.14225020232726648</v>
      </c>
    </row>
    <row r="243" spans="1:10" ht="11.25" customHeight="1" x14ac:dyDescent="0.2">
      <c r="A243" s="67">
        <v>44440</v>
      </c>
      <c r="B243" s="57">
        <v>0</v>
      </c>
      <c r="C243" s="57">
        <v>0</v>
      </c>
      <c r="D243" s="57">
        <v>79481.267970000015</v>
      </c>
      <c r="E243" s="57">
        <v>94597.330296898479</v>
      </c>
      <c r="F243" s="57">
        <v>29520.46672</v>
      </c>
      <c r="G243" s="57">
        <v>29909.923206777064</v>
      </c>
      <c r="H243" s="58">
        <v>0.19018396048492803</v>
      </c>
      <c r="I243" s="58">
        <v>1.3192761837779843E-2</v>
      </c>
      <c r="J243" s="58">
        <v>0.14225020232726648</v>
      </c>
    </row>
    <row r="244" spans="1:10" ht="11.25" customHeight="1" x14ac:dyDescent="0.2">
      <c r="A244" s="67">
        <v>44470</v>
      </c>
      <c r="B244" s="57">
        <v>0</v>
      </c>
      <c r="C244" s="57">
        <v>0</v>
      </c>
      <c r="D244" s="57">
        <v>86153.009669999999</v>
      </c>
      <c r="E244" s="57">
        <v>102537.93025673693</v>
      </c>
      <c r="F244" s="57">
        <v>31998.445919999998</v>
      </c>
      <c r="G244" s="57">
        <v>32420.593796201636</v>
      </c>
      <c r="H244" s="58">
        <v>0.19018396048492847</v>
      </c>
      <c r="I244" s="58">
        <v>1.3192761837779843E-2</v>
      </c>
      <c r="J244" s="58">
        <v>0.14225020232726671</v>
      </c>
    </row>
    <row r="245" spans="1:10" ht="11.25" customHeight="1" x14ac:dyDescent="0.2">
      <c r="A245" s="67">
        <v>44501</v>
      </c>
      <c r="B245" s="57">
        <v>0</v>
      </c>
      <c r="C245" s="57">
        <v>0</v>
      </c>
      <c r="D245" s="57">
        <v>90226.353360000023</v>
      </c>
      <c r="E245" s="57">
        <v>107385.95858211743</v>
      </c>
      <c r="F245" s="57">
        <v>33511.343359999999</v>
      </c>
      <c r="G245" s="57">
        <v>33953.450531812552</v>
      </c>
      <c r="H245" s="58">
        <v>0.19018396048492803</v>
      </c>
      <c r="I245" s="58">
        <v>1.3192761837780065E-2</v>
      </c>
      <c r="J245" s="58">
        <v>0.14225020232726671</v>
      </c>
    </row>
    <row r="246" spans="1:10" ht="11.25" customHeight="1" x14ac:dyDescent="0.2">
      <c r="A246" s="67">
        <v>44531</v>
      </c>
      <c r="B246" s="57">
        <v>0</v>
      </c>
      <c r="C246" s="57">
        <v>0</v>
      </c>
      <c r="D246" s="57">
        <v>78864.496620000005</v>
      </c>
      <c r="E246" s="57">
        <v>93863.258928841853</v>
      </c>
      <c r="F246" s="57">
        <v>29291.38912</v>
      </c>
      <c r="G246" s="57">
        <v>29677.823440557899</v>
      </c>
      <c r="H246" s="58">
        <v>0.19018396048492847</v>
      </c>
      <c r="I246" s="58">
        <v>1.3192761837779843E-2</v>
      </c>
      <c r="J246" s="58">
        <v>0.14225020232726693</v>
      </c>
    </row>
    <row r="247" spans="1:10" ht="11.25" customHeight="1" x14ac:dyDescent="0.2">
      <c r="A247" s="67">
        <v>44562</v>
      </c>
      <c r="B247" s="57">
        <v>0</v>
      </c>
      <c r="C247" s="57">
        <v>0</v>
      </c>
      <c r="D247" s="57">
        <v>55343.622750000002</v>
      </c>
      <c r="E247" s="57">
        <v>65869.092112178783</v>
      </c>
      <c r="F247" s="57">
        <v>20555.403999999995</v>
      </c>
      <c r="G247" s="57">
        <v>20826.586549451345</v>
      </c>
      <c r="H247" s="58">
        <v>0.19018396048492825</v>
      </c>
      <c r="I247" s="58">
        <v>1.3192761837780065E-2</v>
      </c>
      <c r="J247" s="58">
        <v>0.14225020232726693</v>
      </c>
    </row>
    <row r="248" spans="1:10" ht="11.25" customHeight="1" x14ac:dyDescent="0.2">
      <c r="A248" s="67">
        <v>44593</v>
      </c>
      <c r="B248" s="57">
        <v>0</v>
      </c>
      <c r="C248" s="57">
        <v>0</v>
      </c>
      <c r="D248" s="57">
        <v>62951.795790000004</v>
      </c>
      <c r="E248" s="57">
        <v>74924.217632980639</v>
      </c>
      <c r="F248" s="57">
        <v>23381.187040000001</v>
      </c>
      <c r="G248" s="57">
        <v>23689.649472103305</v>
      </c>
      <c r="H248" s="58">
        <v>0.19018396048492825</v>
      </c>
      <c r="I248" s="58">
        <v>1.3192761837779843E-2</v>
      </c>
      <c r="J248" s="58">
        <v>0.14225020232726671</v>
      </c>
    </row>
    <row r="249" spans="1:10" ht="11.25" customHeight="1" x14ac:dyDescent="0.2">
      <c r="A249" s="67">
        <v>44621</v>
      </c>
      <c r="B249" s="57">
        <v>0</v>
      </c>
      <c r="C249" s="57">
        <v>0</v>
      </c>
      <c r="D249" s="57">
        <v>80281.081140000009</v>
      </c>
      <c r="E249" s="57">
        <v>95549.255103217074</v>
      </c>
      <c r="F249" s="57">
        <v>29817.52864</v>
      </c>
      <c r="G249" s="57">
        <v>30210.904193938699</v>
      </c>
      <c r="H249" s="58">
        <v>0.19018396048492803</v>
      </c>
      <c r="I249" s="58">
        <v>1.3192761837779843E-2</v>
      </c>
      <c r="J249" s="58">
        <v>0.14225020232726648</v>
      </c>
    </row>
    <row r="250" spans="1:10" ht="11.25" customHeight="1" x14ac:dyDescent="0.2">
      <c r="A250" s="67">
        <v>44652</v>
      </c>
      <c r="B250" s="57">
        <v>0</v>
      </c>
      <c r="C250" s="57">
        <v>0</v>
      </c>
      <c r="D250" s="57">
        <v>66521.111279999997</v>
      </c>
      <c r="E250" s="57">
        <v>79172.359679089044</v>
      </c>
      <c r="F250" s="57">
        <v>24706.881279999998</v>
      </c>
      <c r="G250" s="57">
        <v>25032.833280481344</v>
      </c>
      <c r="H250" s="58">
        <v>0.19018396048492847</v>
      </c>
      <c r="I250" s="58">
        <v>1.3192761837780065E-2</v>
      </c>
      <c r="J250" s="58">
        <v>0.14225020232726671</v>
      </c>
    </row>
    <row r="251" spans="1:10" ht="11.25" customHeight="1" x14ac:dyDescent="0.2">
      <c r="A251" s="67">
        <v>44682</v>
      </c>
      <c r="B251" s="57">
        <v>0</v>
      </c>
      <c r="C251" s="57">
        <v>0</v>
      </c>
      <c r="D251" s="57">
        <v>69981.662790000002</v>
      </c>
      <c r="E251" s="57">
        <v>83291.052580722942</v>
      </c>
      <c r="F251" s="57">
        <v>25992.179040000003</v>
      </c>
      <c r="G251" s="57">
        <v>26335.087667719654</v>
      </c>
      <c r="H251" s="58">
        <v>0.19018396048492825</v>
      </c>
      <c r="I251" s="58">
        <v>1.3192761837779843E-2</v>
      </c>
      <c r="J251" s="58">
        <v>0.14225020232726671</v>
      </c>
    </row>
    <row r="252" spans="1:10" ht="11.25" customHeight="1" x14ac:dyDescent="0.2">
      <c r="A252" s="67">
        <v>44713</v>
      </c>
      <c r="B252" s="57">
        <v>0</v>
      </c>
      <c r="C252" s="57">
        <v>0</v>
      </c>
      <c r="D252" s="57">
        <v>60297.689400000003</v>
      </c>
      <c r="E252" s="57">
        <v>71765.342778182079</v>
      </c>
      <c r="F252" s="57">
        <v>22395.414400000001</v>
      </c>
      <c r="G252" s="57">
        <v>22690.871768437584</v>
      </c>
      <c r="H252" s="58">
        <v>0.19018396048492825</v>
      </c>
      <c r="I252" s="58">
        <v>1.3192761837779843E-2</v>
      </c>
      <c r="J252" s="58">
        <v>0.14225020232726648</v>
      </c>
    </row>
    <row r="253" spans="1:10" ht="11.25" customHeight="1" x14ac:dyDescent="0.2">
      <c r="A253" s="67">
        <v>44743</v>
      </c>
      <c r="B253" s="57">
        <v>0</v>
      </c>
      <c r="C253" s="57">
        <v>0</v>
      </c>
      <c r="D253" s="57">
        <v>59030.986950000006</v>
      </c>
      <c r="E253" s="57">
        <v>70257.733839485125</v>
      </c>
      <c r="F253" s="57">
        <v>21924.943200000002</v>
      </c>
      <c r="G253" s="57">
        <v>22214.193753944452</v>
      </c>
      <c r="H253" s="58">
        <v>0.19018396048492825</v>
      </c>
      <c r="I253" s="58">
        <v>1.3192761837779843E-2</v>
      </c>
      <c r="J253" s="58">
        <v>0.14225020232726671</v>
      </c>
    </row>
    <row r="254" spans="1:10" ht="11.25" customHeight="1" x14ac:dyDescent="0.2">
      <c r="A254" s="67">
        <v>44774</v>
      </c>
      <c r="B254" s="57">
        <v>0</v>
      </c>
      <c r="C254" s="57">
        <v>0</v>
      </c>
      <c r="D254" s="57">
        <v>59030.986950000006</v>
      </c>
      <c r="E254" s="57">
        <v>70257.733839485125</v>
      </c>
      <c r="F254" s="57">
        <v>21924.943200000002</v>
      </c>
      <c r="G254" s="57">
        <v>22214.193753944452</v>
      </c>
      <c r="H254" s="58">
        <v>0.19018396048492825</v>
      </c>
      <c r="I254" s="58">
        <v>1.3192761837779843E-2</v>
      </c>
      <c r="J254" s="58">
        <v>0.14225020232726671</v>
      </c>
    </row>
    <row r="255" spans="1:10" ht="11.25" customHeight="1" x14ac:dyDescent="0.2">
      <c r="A255" s="62" t="s">
        <v>45</v>
      </c>
      <c r="B255" s="57">
        <v>341386.23999999999</v>
      </c>
      <c r="C255" s="57">
        <v>388355.38300246245</v>
      </c>
      <c r="D255" s="57">
        <v>735824.61330999993</v>
      </c>
      <c r="E255" s="57">
        <v>1095072.9335672893</v>
      </c>
      <c r="F255" s="57">
        <v>1270835.3258799999</v>
      </c>
      <c r="G255" s="57">
        <v>1295044.1121396769</v>
      </c>
      <c r="H255" s="58">
        <v>0.37710116084659484</v>
      </c>
      <c r="I255" s="58">
        <v>1.9049506861098298E-2</v>
      </c>
      <c r="J255" s="58">
        <v>0.18331251460646847</v>
      </c>
    </row>
    <row r="256" spans="1:10" ht="11.25" customHeight="1" x14ac:dyDescent="0.2">
      <c r="A256" s="63" t="s">
        <v>25</v>
      </c>
      <c r="B256" s="57">
        <v>341386.23999999999</v>
      </c>
      <c r="C256" s="57">
        <v>388355.38300246245</v>
      </c>
      <c r="D256" s="57">
        <v>735824.61330999993</v>
      </c>
      <c r="E256" s="57">
        <v>1095072.9335672893</v>
      </c>
      <c r="F256" s="57">
        <v>1270835.3258799999</v>
      </c>
      <c r="G256" s="57">
        <v>1295044.1121396769</v>
      </c>
      <c r="H256" s="58">
        <v>0.37710116084659484</v>
      </c>
      <c r="I256" s="58">
        <v>1.9049506861098298E-2</v>
      </c>
      <c r="J256" s="58">
        <v>0.18331251460646847</v>
      </c>
    </row>
    <row r="257" spans="1:10" ht="11.25" customHeight="1" x14ac:dyDescent="0.2">
      <c r="A257" s="64" t="s">
        <v>25</v>
      </c>
      <c r="B257" s="57">
        <v>341386.23999999999</v>
      </c>
      <c r="C257" s="57">
        <v>388355.38300246245</v>
      </c>
      <c r="D257" s="57">
        <v>735824.61330999993</v>
      </c>
      <c r="E257" s="57">
        <v>1095072.9335672893</v>
      </c>
      <c r="F257" s="57">
        <v>1270835.3258799999</v>
      </c>
      <c r="G257" s="57">
        <v>1295044.1121396769</v>
      </c>
      <c r="H257" s="58">
        <v>0.37710116084659484</v>
      </c>
      <c r="I257" s="58">
        <v>1.9049506861098298E-2</v>
      </c>
      <c r="J257" s="58">
        <v>0.18331251460646847</v>
      </c>
    </row>
    <row r="258" spans="1:10" ht="11.25" customHeight="1" x14ac:dyDescent="0.2">
      <c r="A258" s="65" t="s">
        <v>25</v>
      </c>
      <c r="B258" s="57">
        <v>341386.23999999999</v>
      </c>
      <c r="C258" s="57">
        <v>388355.38300246245</v>
      </c>
      <c r="D258" s="57">
        <v>735824.61330999993</v>
      </c>
      <c r="E258" s="57">
        <v>1095072.9335672893</v>
      </c>
      <c r="F258" s="57">
        <v>1270835.3258799999</v>
      </c>
      <c r="G258" s="57">
        <v>1295044.1121396769</v>
      </c>
      <c r="H258" s="58">
        <v>0.37710116084659484</v>
      </c>
      <c r="I258" s="58">
        <v>1.9049506861098298E-2</v>
      </c>
      <c r="J258" s="58">
        <v>0.18331251460646847</v>
      </c>
    </row>
    <row r="259" spans="1:10" ht="11.25" customHeight="1" x14ac:dyDescent="0.2">
      <c r="A259" s="66" t="s">
        <v>35</v>
      </c>
      <c r="B259" s="57">
        <v>0</v>
      </c>
      <c r="C259" s="57">
        <v>0</v>
      </c>
      <c r="D259" s="57">
        <v>274832.46324999997</v>
      </c>
      <c r="E259" s="57">
        <v>546407.47065641615</v>
      </c>
      <c r="F259" s="57">
        <v>1099616.32332</v>
      </c>
      <c r="G259" s="57">
        <v>1121566.2580568008</v>
      </c>
      <c r="H259" s="58">
        <v>0.9881474851803782</v>
      </c>
      <c r="I259" s="58">
        <v>1.9961448617394906E-2</v>
      </c>
      <c r="J259" s="58">
        <v>0.21355829697789019</v>
      </c>
    </row>
    <row r="260" spans="1:10" ht="11.25" customHeight="1" x14ac:dyDescent="0.2">
      <c r="A260" s="67">
        <v>44440</v>
      </c>
      <c r="B260" s="57">
        <v>0</v>
      </c>
      <c r="C260" s="57">
        <v>0</v>
      </c>
      <c r="D260" s="57">
        <v>22960.299749999998</v>
      </c>
      <c r="E260" s="57">
        <v>45648.462206950164</v>
      </c>
      <c r="F260" s="57">
        <v>91865.131559999994</v>
      </c>
      <c r="G260" s="57">
        <v>93698.892663365128</v>
      </c>
      <c r="H260" s="58">
        <v>0.9881474851803782</v>
      </c>
      <c r="I260" s="58">
        <v>1.9961448617394684E-2</v>
      </c>
      <c r="J260" s="58">
        <v>0.21355829697789019</v>
      </c>
    </row>
    <row r="261" spans="1:10" ht="11.25" customHeight="1" x14ac:dyDescent="0.2">
      <c r="A261" s="67">
        <v>44470</v>
      </c>
      <c r="B261" s="57">
        <v>0</v>
      </c>
      <c r="C261" s="57">
        <v>0</v>
      </c>
      <c r="D261" s="57">
        <v>24655.553749999999</v>
      </c>
      <c r="E261" s="57">
        <v>49018.877183792145</v>
      </c>
      <c r="F261" s="57">
        <v>98647.914599999989</v>
      </c>
      <c r="G261" s="57">
        <v>100617.06987850102</v>
      </c>
      <c r="H261" s="58">
        <v>0.98814748518037843</v>
      </c>
      <c r="I261" s="58">
        <v>1.9961448617394684E-2</v>
      </c>
      <c r="J261" s="58">
        <v>0.21355829697789019</v>
      </c>
    </row>
    <row r="262" spans="1:10" ht="11.25" customHeight="1" x14ac:dyDescent="0.2">
      <c r="A262" s="67">
        <v>44501</v>
      </c>
      <c r="B262" s="57">
        <v>0</v>
      </c>
      <c r="C262" s="57">
        <v>0</v>
      </c>
      <c r="D262" s="57">
        <v>22843.563000000002</v>
      </c>
      <c r="E262" s="57">
        <v>45416.372331009537</v>
      </c>
      <c r="F262" s="57">
        <v>91398.062879999998</v>
      </c>
      <c r="G262" s="57">
        <v>93222.500615908517</v>
      </c>
      <c r="H262" s="58">
        <v>0.9881474851803782</v>
      </c>
      <c r="I262" s="58">
        <v>1.9961448617394684E-2</v>
      </c>
      <c r="J262" s="58">
        <v>0.21355829697789019</v>
      </c>
    </row>
    <row r="263" spans="1:10" ht="11.25" customHeight="1" x14ac:dyDescent="0.2">
      <c r="A263" s="67">
        <v>44531</v>
      </c>
      <c r="B263" s="57">
        <v>0</v>
      </c>
      <c r="C263" s="57">
        <v>0</v>
      </c>
      <c r="D263" s="57">
        <v>23568.083000000002</v>
      </c>
      <c r="E263" s="57">
        <v>46856.824946972425</v>
      </c>
      <c r="F263" s="57">
        <v>94296.898079999999</v>
      </c>
      <c r="G263" s="57">
        <v>96179.200765803616</v>
      </c>
      <c r="H263" s="58">
        <v>0.98814748518037798</v>
      </c>
      <c r="I263" s="58">
        <v>1.9961448617394684E-2</v>
      </c>
      <c r="J263" s="58">
        <v>0.21355829697789019</v>
      </c>
    </row>
    <row r="264" spans="1:10" ht="11.25" customHeight="1" x14ac:dyDescent="0.2">
      <c r="A264" s="67">
        <v>44562</v>
      </c>
      <c r="B264" s="57">
        <v>0</v>
      </c>
      <c r="C264" s="57">
        <v>0</v>
      </c>
      <c r="D264" s="57">
        <v>25089.651750000001</v>
      </c>
      <c r="E264" s="57">
        <v>49881.928030813979</v>
      </c>
      <c r="F264" s="57">
        <v>100384.75908</v>
      </c>
      <c r="G264" s="57">
        <v>102388.58429034495</v>
      </c>
      <c r="H264" s="58">
        <v>0.9881474851803782</v>
      </c>
      <c r="I264" s="58">
        <v>1.9961448617394462E-2</v>
      </c>
      <c r="J264" s="58">
        <v>0.21355829697788997</v>
      </c>
    </row>
    <row r="265" spans="1:10" ht="11.25" customHeight="1" x14ac:dyDescent="0.2">
      <c r="A265" s="67">
        <v>44593</v>
      </c>
      <c r="B265" s="57">
        <v>0</v>
      </c>
      <c r="C265" s="57">
        <v>0</v>
      </c>
      <c r="D265" s="57">
        <v>26145.271249999998</v>
      </c>
      <c r="E265" s="57">
        <v>51980.655285046341</v>
      </c>
      <c r="F265" s="57">
        <v>104608.33739999999</v>
      </c>
      <c r="G265" s="57">
        <v>106696.47135196115</v>
      </c>
      <c r="H265" s="58">
        <v>0.9881474851803782</v>
      </c>
      <c r="I265" s="58">
        <v>1.9961448617394462E-2</v>
      </c>
      <c r="J265" s="58">
        <v>0.21355829697788997</v>
      </c>
    </row>
    <row r="266" spans="1:10" ht="11.25" customHeight="1" x14ac:dyDescent="0.2">
      <c r="A266" s="67">
        <v>44621</v>
      </c>
      <c r="B266" s="57">
        <v>0</v>
      </c>
      <c r="C266" s="57">
        <v>0</v>
      </c>
      <c r="D266" s="57">
        <v>28994.308000000001</v>
      </c>
      <c r="E266" s="57">
        <v>57644.960534745325</v>
      </c>
      <c r="F266" s="57">
        <v>116007.45408</v>
      </c>
      <c r="G266" s="57">
        <v>118323.13091385267</v>
      </c>
      <c r="H266" s="58">
        <v>0.9881474851803782</v>
      </c>
      <c r="I266" s="58">
        <v>1.9961448617394462E-2</v>
      </c>
      <c r="J266" s="58">
        <v>0.21355829697789019</v>
      </c>
    </row>
    <row r="267" spans="1:10" ht="11.25" customHeight="1" x14ac:dyDescent="0.2">
      <c r="A267" s="67">
        <v>44652</v>
      </c>
      <c r="B267" s="57">
        <v>0</v>
      </c>
      <c r="C267" s="57">
        <v>0</v>
      </c>
      <c r="D267" s="57">
        <v>26381.661250000001</v>
      </c>
      <c r="E267" s="57">
        <v>52450.633469068132</v>
      </c>
      <c r="F267" s="57">
        <v>105554.14380000001</v>
      </c>
      <c r="G267" s="57">
        <v>107661.15741781678</v>
      </c>
      <c r="H267" s="58">
        <v>0.9881474851803782</v>
      </c>
      <c r="I267" s="58">
        <v>1.9961448617394462E-2</v>
      </c>
      <c r="J267" s="58">
        <v>0.21355829697788997</v>
      </c>
    </row>
    <row r="268" spans="1:10" ht="11.25" customHeight="1" x14ac:dyDescent="0.2">
      <c r="A268" s="67">
        <v>44682</v>
      </c>
      <c r="B268" s="57">
        <v>0</v>
      </c>
      <c r="C268" s="57">
        <v>0</v>
      </c>
      <c r="D268" s="57">
        <v>21421.0785</v>
      </c>
      <c r="E268" s="57">
        <v>42588.263349626468</v>
      </c>
      <c r="F268" s="57">
        <v>85706.642159999989</v>
      </c>
      <c r="G268" s="57">
        <v>87417.470893646256</v>
      </c>
      <c r="H268" s="58">
        <v>0.9881474851803782</v>
      </c>
      <c r="I268" s="58">
        <v>1.9961448617394684E-2</v>
      </c>
      <c r="J268" s="58">
        <v>0.21355829697788997</v>
      </c>
    </row>
    <row r="269" spans="1:10" ht="11.25" customHeight="1" x14ac:dyDescent="0.2">
      <c r="A269" s="67">
        <v>44713</v>
      </c>
      <c r="B269" s="57">
        <v>0</v>
      </c>
      <c r="C269" s="57">
        <v>0</v>
      </c>
      <c r="D269" s="57">
        <v>17246.339</v>
      </c>
      <c r="E269" s="57">
        <v>34288.265511418278</v>
      </c>
      <c r="F269" s="57">
        <v>69003.332639999993</v>
      </c>
      <c r="G269" s="57">
        <v>70380.739118922342</v>
      </c>
      <c r="H269" s="58">
        <v>0.9881474851803782</v>
      </c>
      <c r="I269" s="58">
        <v>1.9961448617394684E-2</v>
      </c>
      <c r="J269" s="58">
        <v>0.21355829697789019</v>
      </c>
    </row>
    <row r="270" spans="1:10" ht="11.25" customHeight="1" x14ac:dyDescent="0.2">
      <c r="A270" s="67">
        <v>44743</v>
      </c>
      <c r="B270" s="57">
        <v>0</v>
      </c>
      <c r="C270" s="57">
        <v>0</v>
      </c>
      <c r="D270" s="57">
        <v>17763.326999999997</v>
      </c>
      <c r="E270" s="57">
        <v>35316.113903486708</v>
      </c>
      <c r="F270" s="57">
        <v>71071.823519999991</v>
      </c>
      <c r="G270" s="57">
        <v>72490.520073339008</v>
      </c>
      <c r="H270" s="58">
        <v>0.9881474851803782</v>
      </c>
      <c r="I270" s="58">
        <v>1.9961448617394684E-2</v>
      </c>
      <c r="J270" s="58">
        <v>0.21355829697788997</v>
      </c>
    </row>
    <row r="271" spans="1:10" ht="11.25" customHeight="1" x14ac:dyDescent="0.2">
      <c r="A271" s="67">
        <v>44774</v>
      </c>
      <c r="B271" s="57">
        <v>0</v>
      </c>
      <c r="C271" s="57">
        <v>0</v>
      </c>
      <c r="D271" s="57">
        <v>17763.326999999997</v>
      </c>
      <c r="E271" s="57">
        <v>35316.113903486708</v>
      </c>
      <c r="F271" s="57">
        <v>71071.823519999991</v>
      </c>
      <c r="G271" s="57">
        <v>72490.520073339008</v>
      </c>
      <c r="H271" s="58">
        <v>0.9881474851803782</v>
      </c>
      <c r="I271" s="58">
        <v>1.9961448617394684E-2</v>
      </c>
      <c r="J271" s="58">
        <v>0.21355829697788997</v>
      </c>
    </row>
    <row r="272" spans="1:10" ht="11.25" customHeight="1" x14ac:dyDescent="0.2">
      <c r="A272" s="66" t="s">
        <v>25</v>
      </c>
      <c r="B272" s="57">
        <v>341386.23999999999</v>
      </c>
      <c r="C272" s="57">
        <v>388355.38300246245</v>
      </c>
      <c r="D272" s="57">
        <v>0</v>
      </c>
      <c r="E272" s="57">
        <v>0</v>
      </c>
      <c r="F272" s="57">
        <v>0</v>
      </c>
      <c r="G272" s="57">
        <v>0</v>
      </c>
      <c r="H272" s="58">
        <v>0.137583585684246</v>
      </c>
      <c r="I272" s="58">
        <v>0</v>
      </c>
      <c r="J272" s="58">
        <v>0.137583585684246</v>
      </c>
    </row>
    <row r="273" spans="1:10" ht="11.25" customHeight="1" x14ac:dyDescent="0.2">
      <c r="A273" s="67">
        <v>44440</v>
      </c>
      <c r="B273" s="57">
        <v>30268.160000000003</v>
      </c>
      <c r="C273" s="57">
        <v>34432.561984864456</v>
      </c>
      <c r="D273" s="57">
        <v>0</v>
      </c>
      <c r="E273" s="57">
        <v>0</v>
      </c>
      <c r="F273" s="57">
        <v>0</v>
      </c>
      <c r="G273" s="57">
        <v>0</v>
      </c>
      <c r="H273" s="58">
        <v>0.13758358568424556</v>
      </c>
      <c r="I273" s="58">
        <v>0</v>
      </c>
      <c r="J273" s="58">
        <v>0.13758358568424556</v>
      </c>
    </row>
    <row r="274" spans="1:10" ht="11.25" customHeight="1" x14ac:dyDescent="0.2">
      <c r="A274" s="67">
        <v>44470</v>
      </c>
      <c r="B274" s="57">
        <v>28637.440000000002</v>
      </c>
      <c r="C274" s="57">
        <v>32577.481680017445</v>
      </c>
      <c r="D274" s="57">
        <v>0</v>
      </c>
      <c r="E274" s="57">
        <v>0</v>
      </c>
      <c r="F274" s="57">
        <v>0</v>
      </c>
      <c r="G274" s="57">
        <v>0</v>
      </c>
      <c r="H274" s="58">
        <v>0.13758358568424556</v>
      </c>
      <c r="I274" s="58">
        <v>0</v>
      </c>
      <c r="J274" s="58">
        <v>0.13758358568424556</v>
      </c>
    </row>
    <row r="275" spans="1:10" ht="11.25" customHeight="1" x14ac:dyDescent="0.2">
      <c r="A275" s="67">
        <v>44501</v>
      </c>
      <c r="B275" s="57">
        <v>28071.680000000004</v>
      </c>
      <c r="C275" s="57">
        <v>31933.882390580729</v>
      </c>
      <c r="D275" s="57">
        <v>0</v>
      </c>
      <c r="E275" s="57">
        <v>0</v>
      </c>
      <c r="F275" s="57">
        <v>0</v>
      </c>
      <c r="G275" s="57">
        <v>0</v>
      </c>
      <c r="H275" s="58">
        <v>0.13758358568424556</v>
      </c>
      <c r="I275" s="58">
        <v>0</v>
      </c>
      <c r="J275" s="58">
        <v>0.13758358568424556</v>
      </c>
    </row>
    <row r="276" spans="1:10" ht="11.25" customHeight="1" x14ac:dyDescent="0.2">
      <c r="A276" s="67">
        <v>44531</v>
      </c>
      <c r="B276" s="57">
        <v>28520.960000000003</v>
      </c>
      <c r="C276" s="57">
        <v>32444.975943956946</v>
      </c>
      <c r="D276" s="57">
        <v>0</v>
      </c>
      <c r="E276" s="57">
        <v>0</v>
      </c>
      <c r="F276" s="57">
        <v>0</v>
      </c>
      <c r="G276" s="57">
        <v>0</v>
      </c>
      <c r="H276" s="58">
        <v>0.13758358568424556</v>
      </c>
      <c r="I276" s="58">
        <v>0</v>
      </c>
      <c r="J276" s="58">
        <v>0.13758358568424556</v>
      </c>
    </row>
    <row r="277" spans="1:10" ht="11.25" customHeight="1" x14ac:dyDescent="0.2">
      <c r="A277" s="67">
        <v>44562</v>
      </c>
      <c r="B277" s="57">
        <v>28504.320000000003</v>
      </c>
      <c r="C277" s="57">
        <v>32426.046553091161</v>
      </c>
      <c r="D277" s="57">
        <v>0</v>
      </c>
      <c r="E277" s="57">
        <v>0</v>
      </c>
      <c r="F277" s="57">
        <v>0</v>
      </c>
      <c r="G277" s="57">
        <v>0</v>
      </c>
      <c r="H277" s="58">
        <v>0.13758358568424556</v>
      </c>
      <c r="I277" s="58">
        <v>0</v>
      </c>
      <c r="J277" s="58">
        <v>0.13758358568424556</v>
      </c>
    </row>
    <row r="278" spans="1:10" ht="11.25" customHeight="1" x14ac:dyDescent="0.2">
      <c r="A278" s="67">
        <v>44593</v>
      </c>
      <c r="B278" s="57">
        <v>29153.280000000002</v>
      </c>
      <c r="C278" s="57">
        <v>33164.292796856804</v>
      </c>
      <c r="D278" s="57">
        <v>0</v>
      </c>
      <c r="E278" s="57">
        <v>0</v>
      </c>
      <c r="F278" s="57">
        <v>0</v>
      </c>
      <c r="G278" s="57">
        <v>0</v>
      </c>
      <c r="H278" s="58">
        <v>0.13758358568424556</v>
      </c>
      <c r="I278" s="58">
        <v>0</v>
      </c>
      <c r="J278" s="58">
        <v>0.13758358568424556</v>
      </c>
    </row>
    <row r="279" spans="1:10" ht="11.25" customHeight="1" x14ac:dyDescent="0.2">
      <c r="A279" s="67">
        <v>44621</v>
      </c>
      <c r="B279" s="57">
        <v>29519.360000000001</v>
      </c>
      <c r="C279" s="57">
        <v>33580.739395904093</v>
      </c>
      <c r="D279" s="57">
        <v>0</v>
      </c>
      <c r="E279" s="57">
        <v>0</v>
      </c>
      <c r="F279" s="57">
        <v>0</v>
      </c>
      <c r="G279" s="57">
        <v>0</v>
      </c>
      <c r="H279" s="58">
        <v>0.13758358568424556</v>
      </c>
      <c r="I279" s="58">
        <v>0</v>
      </c>
      <c r="J279" s="58">
        <v>0.13758358568424556</v>
      </c>
    </row>
    <row r="280" spans="1:10" ht="11.25" customHeight="1" x14ac:dyDescent="0.2">
      <c r="A280" s="67">
        <v>44652</v>
      </c>
      <c r="B280" s="57">
        <v>28953.600000000002</v>
      </c>
      <c r="C280" s="57">
        <v>32937.140106467377</v>
      </c>
      <c r="D280" s="57">
        <v>0</v>
      </c>
      <c r="E280" s="57">
        <v>0</v>
      </c>
      <c r="F280" s="57">
        <v>0</v>
      </c>
      <c r="G280" s="57">
        <v>0</v>
      </c>
      <c r="H280" s="58">
        <v>0.13758358568424556</v>
      </c>
      <c r="I280" s="58">
        <v>0</v>
      </c>
      <c r="J280" s="58">
        <v>0.13758358568424556</v>
      </c>
    </row>
    <row r="281" spans="1:10" ht="11.25" customHeight="1" x14ac:dyDescent="0.2">
      <c r="A281" s="67">
        <v>44682</v>
      </c>
      <c r="B281" s="57">
        <v>28188.160000000003</v>
      </c>
      <c r="C281" s="57">
        <v>32066.388126641228</v>
      </c>
      <c r="D281" s="57">
        <v>0</v>
      </c>
      <c r="E281" s="57">
        <v>0</v>
      </c>
      <c r="F281" s="57">
        <v>0</v>
      </c>
      <c r="G281" s="57">
        <v>0</v>
      </c>
      <c r="H281" s="58">
        <v>0.13758358568424556</v>
      </c>
      <c r="I281" s="58">
        <v>0</v>
      </c>
      <c r="J281" s="58">
        <v>0.13758358568424556</v>
      </c>
    </row>
    <row r="282" spans="1:10" ht="11.25" customHeight="1" x14ac:dyDescent="0.2">
      <c r="A282" s="67">
        <v>44713</v>
      </c>
      <c r="B282" s="57">
        <v>27223.040000000001</v>
      </c>
      <c r="C282" s="57">
        <v>30968.483456425645</v>
      </c>
      <c r="D282" s="57">
        <v>0</v>
      </c>
      <c r="E282" s="57">
        <v>0</v>
      </c>
      <c r="F282" s="57">
        <v>0</v>
      </c>
      <c r="G282" s="57">
        <v>0</v>
      </c>
      <c r="H282" s="58">
        <v>0.13758358568424556</v>
      </c>
      <c r="I282" s="58">
        <v>0</v>
      </c>
      <c r="J282" s="58">
        <v>0.13758358568424556</v>
      </c>
    </row>
    <row r="283" spans="1:10" ht="11.25" customHeight="1" x14ac:dyDescent="0.2">
      <c r="A283" s="67">
        <v>44743</v>
      </c>
      <c r="B283" s="57">
        <v>27173.120000000003</v>
      </c>
      <c r="C283" s="57">
        <v>30911.695283828289</v>
      </c>
      <c r="D283" s="57">
        <v>0</v>
      </c>
      <c r="E283" s="57">
        <v>0</v>
      </c>
      <c r="F283" s="57">
        <v>0</v>
      </c>
      <c r="G283" s="57">
        <v>0</v>
      </c>
      <c r="H283" s="58">
        <v>0.13758358568424556</v>
      </c>
      <c r="I283" s="58">
        <v>0</v>
      </c>
      <c r="J283" s="58">
        <v>0.13758358568424556</v>
      </c>
    </row>
    <row r="284" spans="1:10" ht="11.25" customHeight="1" x14ac:dyDescent="0.2">
      <c r="A284" s="67">
        <v>44774</v>
      </c>
      <c r="B284" s="57">
        <v>27173.120000000003</v>
      </c>
      <c r="C284" s="57">
        <v>30911.695283828289</v>
      </c>
      <c r="D284" s="57">
        <v>0</v>
      </c>
      <c r="E284" s="57">
        <v>0</v>
      </c>
      <c r="F284" s="57">
        <v>0</v>
      </c>
      <c r="G284" s="57">
        <v>0</v>
      </c>
      <c r="H284" s="58">
        <v>0.13758358568424556</v>
      </c>
      <c r="I284" s="58">
        <v>0</v>
      </c>
      <c r="J284" s="58">
        <v>0.13758358568424556</v>
      </c>
    </row>
    <row r="285" spans="1:10" ht="11.25" customHeight="1" x14ac:dyDescent="0.2">
      <c r="A285" s="66" t="s">
        <v>34</v>
      </c>
      <c r="B285" s="57">
        <v>0</v>
      </c>
      <c r="C285" s="57">
        <v>0</v>
      </c>
      <c r="D285" s="57">
        <v>460992.15006000001</v>
      </c>
      <c r="E285" s="57">
        <v>548665.46291087323</v>
      </c>
      <c r="F285" s="57">
        <v>171219.00255999996</v>
      </c>
      <c r="G285" s="57">
        <v>173477.85408287635</v>
      </c>
      <c r="H285" s="58">
        <v>0.19018396048492847</v>
      </c>
      <c r="I285" s="58">
        <v>1.3192761837780287E-2</v>
      </c>
      <c r="J285" s="58">
        <v>0.14225020232726693</v>
      </c>
    </row>
    <row r="286" spans="1:10" ht="11.25" customHeight="1" x14ac:dyDescent="0.2">
      <c r="A286" s="67">
        <v>44440</v>
      </c>
      <c r="B286" s="57">
        <v>0</v>
      </c>
      <c r="C286" s="57">
        <v>0</v>
      </c>
      <c r="D286" s="57">
        <v>39456.123330000002</v>
      </c>
      <c r="E286" s="57">
        <v>46960.045130281178</v>
      </c>
      <c r="F286" s="57">
        <v>14654.56208</v>
      </c>
      <c r="G286" s="57">
        <v>14847.8962273584</v>
      </c>
      <c r="H286" s="58">
        <v>0.19018396048492825</v>
      </c>
      <c r="I286" s="58">
        <v>1.3192761837779843E-2</v>
      </c>
      <c r="J286" s="58">
        <v>0.14225020232726648</v>
      </c>
    </row>
    <row r="287" spans="1:10" ht="11.25" customHeight="1" x14ac:dyDescent="0.2">
      <c r="A287" s="67">
        <v>44470</v>
      </c>
      <c r="B287" s="57">
        <v>0</v>
      </c>
      <c r="C287" s="57">
        <v>0</v>
      </c>
      <c r="D287" s="57">
        <v>41347.555469999999</v>
      </c>
      <c r="E287" s="57">
        <v>49211.197325654859</v>
      </c>
      <c r="F287" s="57">
        <v>15357.066719999999</v>
      </c>
      <c r="G287" s="57">
        <v>15559.668843763855</v>
      </c>
      <c r="H287" s="58">
        <v>0.19018396048492825</v>
      </c>
      <c r="I287" s="58">
        <v>1.3192761837779843E-2</v>
      </c>
      <c r="J287" s="58">
        <v>0.14225020232726693</v>
      </c>
    </row>
    <row r="288" spans="1:10" ht="11.25" customHeight="1" x14ac:dyDescent="0.2">
      <c r="A288" s="67">
        <v>44501</v>
      </c>
      <c r="B288" s="57">
        <v>0</v>
      </c>
      <c r="C288" s="57">
        <v>0</v>
      </c>
      <c r="D288" s="57">
        <v>36068.523270000005</v>
      </c>
      <c r="E288" s="57">
        <v>42928.177874331399</v>
      </c>
      <c r="F288" s="57">
        <v>13396.35952</v>
      </c>
      <c r="G288" s="57">
        <v>13573.094500640636</v>
      </c>
      <c r="H288" s="58">
        <v>0.19018396048492825</v>
      </c>
      <c r="I288" s="58">
        <v>1.3192761837780065E-2</v>
      </c>
      <c r="J288" s="58">
        <v>0.14225020232726671</v>
      </c>
    </row>
    <row r="289" spans="1:10" ht="11.25" customHeight="1" x14ac:dyDescent="0.2">
      <c r="A289" s="67">
        <v>44531</v>
      </c>
      <c r="B289" s="57">
        <v>0</v>
      </c>
      <c r="C289" s="57">
        <v>0</v>
      </c>
      <c r="D289" s="57">
        <v>40875.360630000003</v>
      </c>
      <c r="E289" s="57">
        <v>48649.198600863114</v>
      </c>
      <c r="F289" s="57">
        <v>15181.686879999999</v>
      </c>
      <c r="G289" s="57">
        <v>15381.975259303586</v>
      </c>
      <c r="H289" s="58">
        <v>0.19018396048492825</v>
      </c>
      <c r="I289" s="58">
        <v>1.3192761837779843E-2</v>
      </c>
      <c r="J289" s="58">
        <v>0.14225020232726671</v>
      </c>
    </row>
    <row r="290" spans="1:10" ht="11.25" customHeight="1" x14ac:dyDescent="0.2">
      <c r="A290" s="67">
        <v>44562</v>
      </c>
      <c r="B290" s="57">
        <v>0</v>
      </c>
      <c r="C290" s="57">
        <v>0</v>
      </c>
      <c r="D290" s="57">
        <v>41798.528070000008</v>
      </c>
      <c r="E290" s="57">
        <v>49747.937680793053</v>
      </c>
      <c r="F290" s="57">
        <v>15524.564319999999</v>
      </c>
      <c r="G290" s="57">
        <v>15729.376199709055</v>
      </c>
      <c r="H290" s="58">
        <v>0.19018396048492825</v>
      </c>
      <c r="I290" s="58">
        <v>1.3192761837779843E-2</v>
      </c>
      <c r="J290" s="58">
        <v>0.14225020232726671</v>
      </c>
    </row>
    <row r="291" spans="1:10" ht="11.25" customHeight="1" x14ac:dyDescent="0.2">
      <c r="A291" s="67">
        <v>44593</v>
      </c>
      <c r="B291" s="57">
        <v>0</v>
      </c>
      <c r="C291" s="57">
        <v>0</v>
      </c>
      <c r="D291" s="57">
        <v>43075.841639999999</v>
      </c>
      <c r="E291" s="57">
        <v>51268.175804316787</v>
      </c>
      <c r="F291" s="57">
        <v>15998.976639999999</v>
      </c>
      <c r="G291" s="57">
        <v>16210.047328459723</v>
      </c>
      <c r="H291" s="58">
        <v>0.19018396048492825</v>
      </c>
      <c r="I291" s="58">
        <v>1.3192761837779843E-2</v>
      </c>
      <c r="J291" s="58">
        <v>0.14225020232726648</v>
      </c>
    </row>
    <row r="292" spans="1:10" ht="11.25" customHeight="1" x14ac:dyDescent="0.2">
      <c r="A292" s="67">
        <v>44621</v>
      </c>
      <c r="B292" s="57">
        <v>0</v>
      </c>
      <c r="C292" s="57">
        <v>0</v>
      </c>
      <c r="D292" s="57">
        <v>49515.465090000005</v>
      </c>
      <c r="E292" s="57">
        <v>58932.512346069416</v>
      </c>
      <c r="F292" s="57">
        <v>18390.743840000003</v>
      </c>
      <c r="G292" s="57">
        <v>18633.368543500739</v>
      </c>
      <c r="H292" s="58">
        <v>0.19018396048492825</v>
      </c>
      <c r="I292" s="58">
        <v>1.3192761837779843E-2</v>
      </c>
      <c r="J292" s="58">
        <v>0.14225020232726671</v>
      </c>
    </row>
    <row r="293" spans="1:10" ht="11.25" customHeight="1" x14ac:dyDescent="0.2">
      <c r="A293" s="67">
        <v>44652</v>
      </c>
      <c r="B293" s="57">
        <v>0</v>
      </c>
      <c r="C293" s="57">
        <v>0</v>
      </c>
      <c r="D293" s="57">
        <v>44934.114030000004</v>
      </c>
      <c r="E293" s="57">
        <v>53479.861797106787</v>
      </c>
      <c r="F293" s="57">
        <v>16689.165280000001</v>
      </c>
      <c r="G293" s="57">
        <v>16909.341462810386</v>
      </c>
      <c r="H293" s="58">
        <v>0.19018396048492825</v>
      </c>
      <c r="I293" s="58">
        <v>1.3192761837779843E-2</v>
      </c>
      <c r="J293" s="58">
        <v>0.14225020232726671</v>
      </c>
    </row>
    <row r="294" spans="1:10" ht="11.25" customHeight="1" x14ac:dyDescent="0.2">
      <c r="A294" s="67">
        <v>44682</v>
      </c>
      <c r="B294" s="57">
        <v>0</v>
      </c>
      <c r="C294" s="57">
        <v>0</v>
      </c>
      <c r="D294" s="57">
        <v>34395.945480000002</v>
      </c>
      <c r="E294" s="57">
        <v>40937.502616010068</v>
      </c>
      <c r="F294" s="57">
        <v>12775.140479999998</v>
      </c>
      <c r="G294" s="57">
        <v>12943.679865796819</v>
      </c>
      <c r="H294" s="58">
        <v>0.19018396048492825</v>
      </c>
      <c r="I294" s="58">
        <v>1.3192761837779843E-2</v>
      </c>
      <c r="J294" s="58">
        <v>0.14225020232726671</v>
      </c>
    </row>
    <row r="295" spans="1:10" ht="11.25" customHeight="1" x14ac:dyDescent="0.2">
      <c r="A295" s="67">
        <v>44713</v>
      </c>
      <c r="B295" s="57">
        <v>0</v>
      </c>
      <c r="C295" s="57">
        <v>0</v>
      </c>
      <c r="D295" s="57">
        <v>30603.796470000001</v>
      </c>
      <c r="E295" s="57">
        <v>36424.147688539269</v>
      </c>
      <c r="F295" s="57">
        <v>11366.682720000001</v>
      </c>
      <c r="G295" s="57">
        <v>11516.640658010569</v>
      </c>
      <c r="H295" s="58">
        <v>0.19018396048492825</v>
      </c>
      <c r="I295" s="58">
        <v>1.3192761837779843E-2</v>
      </c>
      <c r="J295" s="58">
        <v>0.14225020232726671</v>
      </c>
    </row>
    <row r="296" spans="1:10" ht="11.25" customHeight="1" x14ac:dyDescent="0.2">
      <c r="A296" s="67">
        <v>44743</v>
      </c>
      <c r="B296" s="57">
        <v>0</v>
      </c>
      <c r="C296" s="57">
        <v>0</v>
      </c>
      <c r="D296" s="57">
        <v>29460.44829</v>
      </c>
      <c r="E296" s="57">
        <v>35063.35302345363</v>
      </c>
      <c r="F296" s="57">
        <v>10942.027039999999</v>
      </c>
      <c r="G296" s="57">
        <v>11086.382596761267</v>
      </c>
      <c r="H296" s="58">
        <v>0.19018396048492825</v>
      </c>
      <c r="I296" s="58">
        <v>1.3192761837779843E-2</v>
      </c>
      <c r="J296" s="58">
        <v>0.14225020232726648</v>
      </c>
    </row>
    <row r="297" spans="1:10" ht="11.25" customHeight="1" x14ac:dyDescent="0.2">
      <c r="A297" s="67">
        <v>44774</v>
      </c>
      <c r="B297" s="57">
        <v>0</v>
      </c>
      <c r="C297" s="57">
        <v>0</v>
      </c>
      <c r="D297" s="57">
        <v>29460.44829</v>
      </c>
      <c r="E297" s="57">
        <v>35063.35302345363</v>
      </c>
      <c r="F297" s="57">
        <v>10942.027039999999</v>
      </c>
      <c r="G297" s="57">
        <v>11086.382596761267</v>
      </c>
      <c r="H297" s="58">
        <v>0.19018396048492825</v>
      </c>
      <c r="I297" s="58">
        <v>1.3192761837779843E-2</v>
      </c>
      <c r="J297" s="58">
        <v>0.14225020232726648</v>
      </c>
    </row>
    <row r="298" spans="1:10" ht="11.25" customHeight="1" x14ac:dyDescent="0.2">
      <c r="A298" s="62" t="s">
        <v>49</v>
      </c>
      <c r="B298" s="57">
        <v>99814.208000000013</v>
      </c>
      <c r="C298" s="57">
        <v>113547.00463887313</v>
      </c>
      <c r="D298" s="57">
        <v>376012.47740960005</v>
      </c>
      <c r="E298" s="57">
        <v>539029.95467545954</v>
      </c>
      <c r="F298" s="57">
        <v>555881.54493920028</v>
      </c>
      <c r="G298" s="57">
        <v>566320.74540705886</v>
      </c>
      <c r="H298" s="58">
        <v>0.37145935552686149</v>
      </c>
      <c r="I298" s="58">
        <v>1.8779541366138242E-2</v>
      </c>
      <c r="J298" s="58">
        <v>0.18143644575686513</v>
      </c>
    </row>
    <row r="299" spans="1:10" ht="11.25" customHeight="1" x14ac:dyDescent="0.2">
      <c r="A299" s="63" t="s">
        <v>50</v>
      </c>
      <c r="B299" s="57">
        <v>99814.208000000013</v>
      </c>
      <c r="C299" s="57">
        <v>113547.00463887313</v>
      </c>
      <c r="D299" s="57">
        <v>376012.47740960005</v>
      </c>
      <c r="E299" s="57">
        <v>539029.95467545954</v>
      </c>
      <c r="F299" s="57">
        <v>555881.54493920028</v>
      </c>
      <c r="G299" s="57">
        <v>566320.74540705886</v>
      </c>
      <c r="H299" s="58">
        <v>0.37145935552686149</v>
      </c>
      <c r="I299" s="58">
        <v>1.8779541366138242E-2</v>
      </c>
      <c r="J299" s="58">
        <v>0.18143644575686513</v>
      </c>
    </row>
    <row r="300" spans="1:10" ht="11.25" customHeight="1" x14ac:dyDescent="0.2">
      <c r="A300" s="64" t="s">
        <v>25</v>
      </c>
      <c r="B300" s="57">
        <v>99814.208000000013</v>
      </c>
      <c r="C300" s="57">
        <v>113547.00463887313</v>
      </c>
      <c r="D300" s="57">
        <v>376012.47740960005</v>
      </c>
      <c r="E300" s="57">
        <v>539029.95467545954</v>
      </c>
      <c r="F300" s="57">
        <v>555881.54493920028</v>
      </c>
      <c r="G300" s="57">
        <v>566320.74540705886</v>
      </c>
      <c r="H300" s="58">
        <v>0.37145935552686149</v>
      </c>
      <c r="I300" s="58">
        <v>1.8779541366138242E-2</v>
      </c>
      <c r="J300" s="58">
        <v>0.18143644575686513</v>
      </c>
    </row>
    <row r="301" spans="1:10" ht="11.25" customHeight="1" x14ac:dyDescent="0.2">
      <c r="A301" s="65" t="s">
        <v>25</v>
      </c>
      <c r="B301" s="57">
        <v>99814.208000000013</v>
      </c>
      <c r="C301" s="57">
        <v>113547.00463887313</v>
      </c>
      <c r="D301" s="57">
        <v>376012.47740960005</v>
      </c>
      <c r="E301" s="57">
        <v>539029.95467545954</v>
      </c>
      <c r="F301" s="57">
        <v>555881.54493920028</v>
      </c>
      <c r="G301" s="57">
        <v>566320.74540705886</v>
      </c>
      <c r="H301" s="58">
        <v>0.37145935552686149</v>
      </c>
      <c r="I301" s="58">
        <v>1.8779541366138242E-2</v>
      </c>
      <c r="J301" s="58">
        <v>0.18143644575686513</v>
      </c>
    </row>
    <row r="302" spans="1:10" ht="11.25" customHeight="1" x14ac:dyDescent="0.2">
      <c r="A302" s="66" t="s">
        <v>35</v>
      </c>
      <c r="B302" s="57">
        <v>0</v>
      </c>
      <c r="C302" s="57">
        <v>0</v>
      </c>
      <c r="D302" s="57">
        <v>114674.33321</v>
      </c>
      <c r="E302" s="57">
        <v>227989.48718619824</v>
      </c>
      <c r="F302" s="57">
        <v>458816.86308960005</v>
      </c>
      <c r="G302" s="57">
        <v>467975.51232695719</v>
      </c>
      <c r="H302" s="58">
        <v>0.98814748518037843</v>
      </c>
      <c r="I302" s="58">
        <v>1.9961448617394462E-2</v>
      </c>
      <c r="J302" s="58">
        <v>0.21355829697788997</v>
      </c>
    </row>
    <row r="303" spans="1:10" ht="11.25" customHeight="1" x14ac:dyDescent="0.2">
      <c r="A303" s="67">
        <v>44440</v>
      </c>
      <c r="B303" s="57">
        <v>0</v>
      </c>
      <c r="C303" s="57">
        <v>0</v>
      </c>
      <c r="D303" s="57">
        <v>7936.3107250000003</v>
      </c>
      <c r="E303" s="57">
        <v>15778.556209518816</v>
      </c>
      <c r="F303" s="57">
        <v>31753.515275999998</v>
      </c>
      <c r="G303" s="57">
        <v>32387.361439603526</v>
      </c>
      <c r="H303" s="58">
        <v>0.98814748518037843</v>
      </c>
      <c r="I303" s="58">
        <v>1.9961448617394684E-2</v>
      </c>
      <c r="J303" s="58">
        <v>0.21355829697788997</v>
      </c>
    </row>
    <row r="304" spans="1:10" ht="11.25" customHeight="1" x14ac:dyDescent="0.2">
      <c r="A304" s="67">
        <v>44470</v>
      </c>
      <c r="B304" s="57">
        <v>0</v>
      </c>
      <c r="C304" s="57">
        <v>0</v>
      </c>
      <c r="D304" s="57">
        <v>7972.0225</v>
      </c>
      <c r="E304" s="57">
        <v>15849.556485176392</v>
      </c>
      <c r="F304" s="57">
        <v>31896.399600000001</v>
      </c>
      <c r="G304" s="57">
        <v>32533.097941695283</v>
      </c>
      <c r="H304" s="58">
        <v>0.9881474851803782</v>
      </c>
      <c r="I304" s="58">
        <v>1.9961448617394462E-2</v>
      </c>
      <c r="J304" s="58">
        <v>0.21355829697788997</v>
      </c>
    </row>
    <row r="305" spans="1:10" ht="11.25" customHeight="1" x14ac:dyDescent="0.2">
      <c r="A305" s="67">
        <v>44501</v>
      </c>
      <c r="B305" s="57">
        <v>0</v>
      </c>
      <c r="C305" s="57">
        <v>0</v>
      </c>
      <c r="D305" s="57">
        <v>11730.488420000001</v>
      </c>
      <c r="E305" s="57">
        <v>23321.941052160546</v>
      </c>
      <c r="F305" s="57">
        <v>46934.180899200001</v>
      </c>
      <c r="G305" s="57">
        <v>47871.055139618882</v>
      </c>
      <c r="H305" s="58">
        <v>0.98814748518037776</v>
      </c>
      <c r="I305" s="58">
        <v>1.9961448617394462E-2</v>
      </c>
      <c r="J305" s="58">
        <v>0.21355829697788997</v>
      </c>
    </row>
    <row r="306" spans="1:10" ht="11.25" customHeight="1" x14ac:dyDescent="0.2">
      <c r="A306" s="67">
        <v>44531</v>
      </c>
      <c r="B306" s="57">
        <v>0</v>
      </c>
      <c r="C306" s="57">
        <v>0</v>
      </c>
      <c r="D306" s="57">
        <v>9706.9654599999994</v>
      </c>
      <c r="E306" s="57">
        <v>19298.878968031793</v>
      </c>
      <c r="F306" s="57">
        <v>38837.9798496</v>
      </c>
      <c r="G306" s="57">
        <v>39613.242188771197</v>
      </c>
      <c r="H306" s="58">
        <v>0.98814748518037843</v>
      </c>
      <c r="I306" s="58">
        <v>1.9961448617394684E-2</v>
      </c>
      <c r="J306" s="58">
        <v>0.21355829697789019</v>
      </c>
    </row>
    <row r="307" spans="1:10" ht="11.25" customHeight="1" x14ac:dyDescent="0.2">
      <c r="A307" s="67">
        <v>44562</v>
      </c>
      <c r="B307" s="57">
        <v>0</v>
      </c>
      <c r="C307" s="57">
        <v>0</v>
      </c>
      <c r="D307" s="57">
        <v>10461.890740000001</v>
      </c>
      <c r="E307" s="57">
        <v>20799.781764962889</v>
      </c>
      <c r="F307" s="57">
        <v>41858.467862400001</v>
      </c>
      <c r="G307" s="57">
        <v>42694.023517838163</v>
      </c>
      <c r="H307" s="58">
        <v>0.98814748518037843</v>
      </c>
      <c r="I307" s="58">
        <v>1.9961448617394684E-2</v>
      </c>
      <c r="J307" s="58">
        <v>0.21355829697789019</v>
      </c>
    </row>
    <row r="308" spans="1:10" ht="11.25" customHeight="1" x14ac:dyDescent="0.2">
      <c r="A308" s="67">
        <v>44593</v>
      </c>
      <c r="B308" s="57">
        <v>0</v>
      </c>
      <c r="C308" s="57">
        <v>0</v>
      </c>
      <c r="D308" s="57">
        <v>9836.9707500000004</v>
      </c>
      <c r="E308" s="57">
        <v>19557.348658405441</v>
      </c>
      <c r="F308" s="57">
        <v>39358.13652</v>
      </c>
      <c r="G308" s="57">
        <v>40143.781939820379</v>
      </c>
      <c r="H308" s="58">
        <v>0.98814748518037843</v>
      </c>
      <c r="I308" s="58">
        <v>1.9961448617394462E-2</v>
      </c>
      <c r="J308" s="58">
        <v>0.21355829697789019</v>
      </c>
    </row>
    <row r="309" spans="1:10" ht="11.25" customHeight="1" x14ac:dyDescent="0.2">
      <c r="A309" s="67">
        <v>44621</v>
      </c>
      <c r="B309" s="57">
        <v>0</v>
      </c>
      <c r="C309" s="57">
        <v>0</v>
      </c>
      <c r="D309" s="57">
        <v>10235.427585000001</v>
      </c>
      <c r="E309" s="57">
        <v>20349.539612863624</v>
      </c>
      <c r="F309" s="57">
        <v>40952.379189600004</v>
      </c>
      <c r="G309" s="57">
        <v>41769.848002553263</v>
      </c>
      <c r="H309" s="58">
        <v>0.9881474851803782</v>
      </c>
      <c r="I309" s="58">
        <v>1.9961448617394462E-2</v>
      </c>
      <c r="J309" s="58">
        <v>0.21355829697789019</v>
      </c>
    </row>
    <row r="310" spans="1:10" ht="11.25" customHeight="1" x14ac:dyDescent="0.2">
      <c r="A310" s="67">
        <v>44652</v>
      </c>
      <c r="B310" s="57">
        <v>0</v>
      </c>
      <c r="C310" s="57">
        <v>0</v>
      </c>
      <c r="D310" s="57">
        <v>10014.303160000001</v>
      </c>
      <c r="E310" s="57">
        <v>19909.911643387917</v>
      </c>
      <c r="F310" s="57">
        <v>40067.651001600003</v>
      </c>
      <c r="G310" s="57">
        <v>40867.459358288135</v>
      </c>
      <c r="H310" s="58">
        <v>0.9881474851803782</v>
      </c>
      <c r="I310" s="58">
        <v>1.9961448617394462E-2</v>
      </c>
      <c r="J310" s="58">
        <v>0.21355829697788997</v>
      </c>
    </row>
    <row r="311" spans="1:10" ht="11.25" customHeight="1" x14ac:dyDescent="0.2">
      <c r="A311" s="67">
        <v>44682</v>
      </c>
      <c r="B311" s="57">
        <v>0</v>
      </c>
      <c r="C311" s="57">
        <v>0</v>
      </c>
      <c r="D311" s="57">
        <v>9718.2200799999991</v>
      </c>
      <c r="E311" s="57">
        <v>19321.254812481453</v>
      </c>
      <c r="F311" s="57">
        <v>38883.010060799999</v>
      </c>
      <c r="G311" s="57">
        <v>39659.171268218292</v>
      </c>
      <c r="H311" s="58">
        <v>0.9881474851803782</v>
      </c>
      <c r="I311" s="58">
        <v>1.9961448617394462E-2</v>
      </c>
      <c r="J311" s="58">
        <v>0.21355829697789019</v>
      </c>
    </row>
    <row r="312" spans="1:10" ht="11.25" customHeight="1" x14ac:dyDescent="0.2">
      <c r="A312" s="67">
        <v>44713</v>
      </c>
      <c r="B312" s="57">
        <v>0</v>
      </c>
      <c r="C312" s="57">
        <v>0</v>
      </c>
      <c r="D312" s="57">
        <v>8886.9653899999994</v>
      </c>
      <c r="E312" s="57">
        <v>17668.59789101356</v>
      </c>
      <c r="F312" s="57">
        <v>35557.124846399995</v>
      </c>
      <c r="G312" s="57">
        <v>36266.896567003692</v>
      </c>
      <c r="H312" s="58">
        <v>0.98814748518037843</v>
      </c>
      <c r="I312" s="58">
        <v>1.9961448617394684E-2</v>
      </c>
      <c r="J312" s="58">
        <v>0.21355829697789019</v>
      </c>
    </row>
    <row r="313" spans="1:10" ht="11.25" customHeight="1" x14ac:dyDescent="0.2">
      <c r="A313" s="67">
        <v>44743</v>
      </c>
      <c r="B313" s="57">
        <v>0</v>
      </c>
      <c r="C313" s="57">
        <v>0</v>
      </c>
      <c r="D313" s="57">
        <v>9087.3842000000004</v>
      </c>
      <c r="E313" s="57">
        <v>18067.060044097903</v>
      </c>
      <c r="F313" s="57">
        <v>36359.008991999995</v>
      </c>
      <c r="G313" s="57">
        <v>37084.787481773194</v>
      </c>
      <c r="H313" s="58">
        <v>0.9881474851803782</v>
      </c>
      <c r="I313" s="58">
        <v>1.9961448617394684E-2</v>
      </c>
      <c r="J313" s="58">
        <v>0.21355829697789019</v>
      </c>
    </row>
    <row r="314" spans="1:10" ht="11.25" customHeight="1" x14ac:dyDescent="0.2">
      <c r="A314" s="67">
        <v>44774</v>
      </c>
      <c r="B314" s="57">
        <v>0</v>
      </c>
      <c r="C314" s="57">
        <v>0</v>
      </c>
      <c r="D314" s="57">
        <v>9087.3842000000004</v>
      </c>
      <c r="E314" s="57">
        <v>18067.060044097903</v>
      </c>
      <c r="F314" s="57">
        <v>36359.008991999995</v>
      </c>
      <c r="G314" s="57">
        <v>37084.787481773194</v>
      </c>
      <c r="H314" s="58">
        <v>0.9881474851803782</v>
      </c>
      <c r="I314" s="58">
        <v>1.9961448617394684E-2</v>
      </c>
      <c r="J314" s="58">
        <v>0.21355829697789019</v>
      </c>
    </row>
    <row r="315" spans="1:10" ht="11.25" customHeight="1" x14ac:dyDescent="0.2">
      <c r="A315" s="66" t="s">
        <v>25</v>
      </c>
      <c r="B315" s="57">
        <v>99814.208000000013</v>
      </c>
      <c r="C315" s="57">
        <v>113547.00463887313</v>
      </c>
      <c r="D315" s="57">
        <v>0</v>
      </c>
      <c r="E315" s="57">
        <v>0</v>
      </c>
      <c r="F315" s="57">
        <v>0</v>
      </c>
      <c r="G315" s="57">
        <v>0</v>
      </c>
      <c r="H315" s="58">
        <v>0.137583585684246</v>
      </c>
      <c r="I315" s="58">
        <v>0</v>
      </c>
      <c r="J315" s="58">
        <v>0.137583585684246</v>
      </c>
    </row>
    <row r="316" spans="1:10" ht="11.25" customHeight="1" x14ac:dyDescent="0.2">
      <c r="A316" s="67">
        <v>44440</v>
      </c>
      <c r="B316" s="57">
        <v>7581.1839999999993</v>
      </c>
      <c r="C316" s="57">
        <v>8624.2304784520311</v>
      </c>
      <c r="D316" s="57">
        <v>0</v>
      </c>
      <c r="E316" s="57">
        <v>0</v>
      </c>
      <c r="F316" s="57">
        <v>0</v>
      </c>
      <c r="G316" s="57">
        <v>0</v>
      </c>
      <c r="H316" s="58">
        <v>0.13758358568424556</v>
      </c>
      <c r="I316" s="58">
        <v>0</v>
      </c>
      <c r="J316" s="58">
        <v>0.13758358568424556</v>
      </c>
    </row>
    <row r="317" spans="1:10" ht="11.25" customHeight="1" x14ac:dyDescent="0.2">
      <c r="A317" s="67">
        <v>44470</v>
      </c>
      <c r="B317" s="57">
        <v>7595.3280000000004</v>
      </c>
      <c r="C317" s="57">
        <v>8640.3204606879499</v>
      </c>
      <c r="D317" s="57">
        <v>0</v>
      </c>
      <c r="E317" s="57">
        <v>0</v>
      </c>
      <c r="F317" s="57">
        <v>0</v>
      </c>
      <c r="G317" s="57">
        <v>0</v>
      </c>
      <c r="H317" s="58">
        <v>0.13758358568424556</v>
      </c>
      <c r="I317" s="58">
        <v>0</v>
      </c>
      <c r="J317" s="58">
        <v>0.13758358568424556</v>
      </c>
    </row>
    <row r="318" spans="1:10" ht="11.25" customHeight="1" x14ac:dyDescent="0.2">
      <c r="A318" s="67">
        <v>44501</v>
      </c>
      <c r="B318" s="57">
        <v>9165.3119999999999</v>
      </c>
      <c r="C318" s="57">
        <v>10426.308488874844</v>
      </c>
      <c r="D318" s="57">
        <v>0</v>
      </c>
      <c r="E318" s="57">
        <v>0</v>
      </c>
      <c r="F318" s="57">
        <v>0</v>
      </c>
      <c r="G318" s="57">
        <v>0</v>
      </c>
      <c r="H318" s="58">
        <v>0.13758358568424556</v>
      </c>
      <c r="I318" s="58">
        <v>0</v>
      </c>
      <c r="J318" s="58">
        <v>0.13758358568424556</v>
      </c>
    </row>
    <row r="319" spans="1:10" ht="11.25" customHeight="1" x14ac:dyDescent="0.2">
      <c r="A319" s="67">
        <v>44531</v>
      </c>
      <c r="B319" s="57">
        <v>8500.5439999999999</v>
      </c>
      <c r="C319" s="57">
        <v>9670.0793237867001</v>
      </c>
      <c r="D319" s="57">
        <v>0</v>
      </c>
      <c r="E319" s="57">
        <v>0</v>
      </c>
      <c r="F319" s="57">
        <v>0</v>
      </c>
      <c r="G319" s="57">
        <v>0</v>
      </c>
      <c r="H319" s="58">
        <v>0.13758358568424556</v>
      </c>
      <c r="I319" s="58">
        <v>0</v>
      </c>
      <c r="J319" s="58">
        <v>0.13758358568424556</v>
      </c>
    </row>
    <row r="320" spans="1:10" ht="11.25" customHeight="1" x14ac:dyDescent="0.2">
      <c r="A320" s="67">
        <v>44562</v>
      </c>
      <c r="B320" s="57">
        <v>8359.1039999999994</v>
      </c>
      <c r="C320" s="57">
        <v>9509.1795014275194</v>
      </c>
      <c r="D320" s="57">
        <v>0</v>
      </c>
      <c r="E320" s="57">
        <v>0</v>
      </c>
      <c r="F320" s="57">
        <v>0</v>
      </c>
      <c r="G320" s="57">
        <v>0</v>
      </c>
      <c r="H320" s="58">
        <v>0.13758358568424556</v>
      </c>
      <c r="I320" s="58">
        <v>0</v>
      </c>
      <c r="J320" s="58">
        <v>0.13758358568424556</v>
      </c>
    </row>
    <row r="321" spans="1:10" ht="11.25" customHeight="1" x14ac:dyDescent="0.2">
      <c r="A321" s="67">
        <v>44593</v>
      </c>
      <c r="B321" s="57">
        <v>8415.68</v>
      </c>
      <c r="C321" s="57">
        <v>9573.5394303711928</v>
      </c>
      <c r="D321" s="57">
        <v>0</v>
      </c>
      <c r="E321" s="57">
        <v>0</v>
      </c>
      <c r="F321" s="57">
        <v>0</v>
      </c>
      <c r="G321" s="57">
        <v>0</v>
      </c>
      <c r="H321" s="58">
        <v>0.13758358568424556</v>
      </c>
      <c r="I321" s="58">
        <v>0</v>
      </c>
      <c r="J321" s="58">
        <v>0.13758358568424556</v>
      </c>
    </row>
    <row r="322" spans="1:10" ht="11.25" customHeight="1" x14ac:dyDescent="0.2">
      <c r="A322" s="67">
        <v>44621</v>
      </c>
      <c r="B322" s="57">
        <v>8387.3919999999998</v>
      </c>
      <c r="C322" s="57">
        <v>9541.359465899357</v>
      </c>
      <c r="D322" s="57">
        <v>0</v>
      </c>
      <c r="E322" s="57">
        <v>0</v>
      </c>
      <c r="F322" s="57">
        <v>0</v>
      </c>
      <c r="G322" s="57">
        <v>0</v>
      </c>
      <c r="H322" s="58">
        <v>0.13758358568424578</v>
      </c>
      <c r="I322" s="58">
        <v>0</v>
      </c>
      <c r="J322" s="58">
        <v>0.13758358568424578</v>
      </c>
    </row>
    <row r="323" spans="1:10" ht="11.25" customHeight="1" x14ac:dyDescent="0.2">
      <c r="A323" s="67">
        <v>44652</v>
      </c>
      <c r="B323" s="57">
        <v>8373.2479999999996</v>
      </c>
      <c r="C323" s="57">
        <v>9525.2694836634382</v>
      </c>
      <c r="D323" s="57">
        <v>0</v>
      </c>
      <c r="E323" s="57">
        <v>0</v>
      </c>
      <c r="F323" s="57">
        <v>0</v>
      </c>
      <c r="G323" s="57">
        <v>0</v>
      </c>
      <c r="H323" s="58">
        <v>0.13758358568424578</v>
      </c>
      <c r="I323" s="58">
        <v>0</v>
      </c>
      <c r="J323" s="58">
        <v>0.13758358568424578</v>
      </c>
    </row>
    <row r="324" spans="1:10" ht="11.25" customHeight="1" x14ac:dyDescent="0.2">
      <c r="A324" s="67">
        <v>44682</v>
      </c>
      <c r="B324" s="57">
        <v>8359.1039999999994</v>
      </c>
      <c r="C324" s="57">
        <v>9509.1795014275194</v>
      </c>
      <c r="D324" s="57">
        <v>0</v>
      </c>
      <c r="E324" s="57">
        <v>0</v>
      </c>
      <c r="F324" s="57">
        <v>0</v>
      </c>
      <c r="G324" s="57">
        <v>0</v>
      </c>
      <c r="H324" s="58">
        <v>0.13758358568424556</v>
      </c>
      <c r="I324" s="58">
        <v>0</v>
      </c>
      <c r="J324" s="58">
        <v>0.13758358568424556</v>
      </c>
    </row>
    <row r="325" spans="1:10" ht="11.25" customHeight="1" x14ac:dyDescent="0.2">
      <c r="A325" s="67">
        <v>44713</v>
      </c>
      <c r="B325" s="57">
        <v>8443.9680000000008</v>
      </c>
      <c r="C325" s="57">
        <v>9605.7193948430286</v>
      </c>
      <c r="D325" s="57">
        <v>0</v>
      </c>
      <c r="E325" s="57">
        <v>0</v>
      </c>
      <c r="F325" s="57">
        <v>0</v>
      </c>
      <c r="G325" s="57">
        <v>0</v>
      </c>
      <c r="H325" s="58">
        <v>0.13758358568424556</v>
      </c>
      <c r="I325" s="58">
        <v>0</v>
      </c>
      <c r="J325" s="58">
        <v>0.13758358568424556</v>
      </c>
    </row>
    <row r="326" spans="1:10" ht="11.25" customHeight="1" x14ac:dyDescent="0.2">
      <c r="A326" s="67">
        <v>44743</v>
      </c>
      <c r="B326" s="57">
        <v>8316.6720000000005</v>
      </c>
      <c r="C326" s="57">
        <v>9460.9095547197667</v>
      </c>
      <c r="D326" s="57">
        <v>0</v>
      </c>
      <c r="E326" s="57">
        <v>0</v>
      </c>
      <c r="F326" s="57">
        <v>0</v>
      </c>
      <c r="G326" s="57">
        <v>0</v>
      </c>
      <c r="H326" s="58">
        <v>0.13758358568424556</v>
      </c>
      <c r="I326" s="58">
        <v>0</v>
      </c>
      <c r="J326" s="58">
        <v>0.13758358568424556</v>
      </c>
    </row>
    <row r="327" spans="1:10" ht="11.25" customHeight="1" x14ac:dyDescent="0.2">
      <c r="A327" s="67">
        <v>44774</v>
      </c>
      <c r="B327" s="57">
        <v>8316.6720000000005</v>
      </c>
      <c r="C327" s="57">
        <v>9460.9095547197667</v>
      </c>
      <c r="D327" s="57">
        <v>0</v>
      </c>
      <c r="E327" s="57">
        <v>0</v>
      </c>
      <c r="F327" s="57">
        <v>0</v>
      </c>
      <c r="G327" s="57">
        <v>0</v>
      </c>
      <c r="H327" s="58">
        <v>0.13758358568424556</v>
      </c>
      <c r="I327" s="58">
        <v>0</v>
      </c>
      <c r="J327" s="58">
        <v>0.13758358568424556</v>
      </c>
    </row>
    <row r="328" spans="1:10" ht="11.25" customHeight="1" x14ac:dyDescent="0.2">
      <c r="A328" s="66" t="s">
        <v>34</v>
      </c>
      <c r="B328" s="57">
        <v>0</v>
      </c>
      <c r="C328" s="57">
        <v>0</v>
      </c>
      <c r="D328" s="57">
        <v>261338.14419960001</v>
      </c>
      <c r="E328" s="57">
        <v>311040.4674892613</v>
      </c>
      <c r="F328" s="57">
        <v>97064.681849600005</v>
      </c>
      <c r="G328" s="57">
        <v>98345.233080101651</v>
      </c>
      <c r="H328" s="58">
        <v>0.19018396048492847</v>
      </c>
      <c r="I328" s="58">
        <v>1.3192761837780065E-2</v>
      </c>
      <c r="J328" s="58">
        <v>0.14225020232726693</v>
      </c>
    </row>
    <row r="329" spans="1:10" ht="11.25" customHeight="1" x14ac:dyDescent="0.2">
      <c r="A329" s="67">
        <v>44440</v>
      </c>
      <c r="B329" s="57">
        <v>0</v>
      </c>
      <c r="C329" s="57">
        <v>0</v>
      </c>
      <c r="D329" s="57">
        <v>18840.494532600002</v>
      </c>
      <c r="E329" s="57">
        <v>22423.654400304506</v>
      </c>
      <c r="F329" s="57">
        <v>6997.6260575999995</v>
      </c>
      <c r="G329" s="57">
        <v>7089.9440716077597</v>
      </c>
      <c r="H329" s="58">
        <v>0.19018396048492825</v>
      </c>
      <c r="I329" s="58">
        <v>1.3192761837780065E-2</v>
      </c>
      <c r="J329" s="58">
        <v>0.14225020232726671</v>
      </c>
    </row>
    <row r="330" spans="1:10" ht="11.25" customHeight="1" x14ac:dyDescent="0.2">
      <c r="A330" s="67">
        <v>44470</v>
      </c>
      <c r="B330" s="57">
        <v>0</v>
      </c>
      <c r="C330" s="57">
        <v>0</v>
      </c>
      <c r="D330" s="57">
        <v>18455.231293200002</v>
      </c>
      <c r="E330" s="57">
        <v>21965.120272206164</v>
      </c>
      <c r="F330" s="57">
        <v>6854.5338431999999</v>
      </c>
      <c r="G330" s="57">
        <v>6944.9640757023399</v>
      </c>
      <c r="H330" s="58">
        <v>0.19018396048492825</v>
      </c>
      <c r="I330" s="58">
        <v>1.3192761837779843E-2</v>
      </c>
      <c r="J330" s="58">
        <v>0.14225020232726671</v>
      </c>
    </row>
    <row r="331" spans="1:10" ht="11.25" customHeight="1" x14ac:dyDescent="0.2">
      <c r="A331" s="67">
        <v>44501</v>
      </c>
      <c r="B331" s="57">
        <v>0</v>
      </c>
      <c r="C331" s="57">
        <v>0</v>
      </c>
      <c r="D331" s="57">
        <v>24365.094577200005</v>
      </c>
      <c r="E331" s="57">
        <v>28998.944761481747</v>
      </c>
      <c r="F331" s="57">
        <v>9049.5406272</v>
      </c>
      <c r="G331" s="57">
        <v>9168.9290614359634</v>
      </c>
      <c r="H331" s="58">
        <v>0.19018396048492803</v>
      </c>
      <c r="I331" s="58">
        <v>1.3192761837779843E-2</v>
      </c>
      <c r="J331" s="58">
        <v>0.14225020232726648</v>
      </c>
    </row>
    <row r="332" spans="1:10" ht="11.25" customHeight="1" x14ac:dyDescent="0.2">
      <c r="A332" s="67">
        <v>44531</v>
      </c>
      <c r="B332" s="57">
        <v>0</v>
      </c>
      <c r="C332" s="57">
        <v>0</v>
      </c>
      <c r="D332" s="57">
        <v>22865.186237400001</v>
      </c>
      <c r="E332" s="57">
        <v>27213.777913254209</v>
      </c>
      <c r="F332" s="57">
        <v>8492.4534623999989</v>
      </c>
      <c r="G332" s="57">
        <v>8604.4923783478716</v>
      </c>
      <c r="H332" s="58">
        <v>0.19018396048492825</v>
      </c>
      <c r="I332" s="58">
        <v>1.3192761837779843E-2</v>
      </c>
      <c r="J332" s="58">
        <v>0.14225020232726671</v>
      </c>
    </row>
    <row r="333" spans="1:10" ht="11.25" customHeight="1" x14ac:dyDescent="0.2">
      <c r="A333" s="67">
        <v>44562</v>
      </c>
      <c r="B333" s="57">
        <v>0</v>
      </c>
      <c r="C333" s="57">
        <v>0</v>
      </c>
      <c r="D333" s="57">
        <v>22951.215892799999</v>
      </c>
      <c r="E333" s="57">
        <v>27316.169029237331</v>
      </c>
      <c r="F333" s="57">
        <v>8524.4060927999999</v>
      </c>
      <c r="G333" s="57">
        <v>8636.8665521908297</v>
      </c>
      <c r="H333" s="58">
        <v>0.19018396048492825</v>
      </c>
      <c r="I333" s="58">
        <v>1.3192761837779843E-2</v>
      </c>
      <c r="J333" s="58">
        <v>0.14225020232726671</v>
      </c>
    </row>
    <row r="334" spans="1:10" ht="11.25" customHeight="1" x14ac:dyDescent="0.2">
      <c r="A334" s="67">
        <v>44593</v>
      </c>
      <c r="B334" s="57">
        <v>0</v>
      </c>
      <c r="C334" s="57">
        <v>0</v>
      </c>
      <c r="D334" s="57">
        <v>22284.1743618</v>
      </c>
      <c r="E334" s="57">
        <v>26522.266898063823</v>
      </c>
      <c r="F334" s="57">
        <v>8276.6574367999983</v>
      </c>
      <c r="G334" s="57">
        <v>8385.8494071765908</v>
      </c>
      <c r="H334" s="58">
        <v>0.19018396048492825</v>
      </c>
      <c r="I334" s="58">
        <v>1.3192761837779843E-2</v>
      </c>
      <c r="J334" s="58">
        <v>0.14225020232726671</v>
      </c>
    </row>
    <row r="335" spans="1:10" ht="11.25" customHeight="1" x14ac:dyDescent="0.2">
      <c r="A335" s="67">
        <v>44621</v>
      </c>
      <c r="B335" s="57">
        <v>0</v>
      </c>
      <c r="C335" s="57">
        <v>0</v>
      </c>
      <c r="D335" s="57">
        <v>24559.596406800003</v>
      </c>
      <c r="E335" s="57">
        <v>29230.43771935664</v>
      </c>
      <c r="F335" s="57">
        <v>9121.7813568000001</v>
      </c>
      <c r="G335" s="57">
        <v>9242.1228457765628</v>
      </c>
      <c r="H335" s="58">
        <v>0.19018396048492825</v>
      </c>
      <c r="I335" s="58">
        <v>1.3192761837779843E-2</v>
      </c>
      <c r="J335" s="58">
        <v>0.14225020232726671</v>
      </c>
    </row>
    <row r="336" spans="1:10" ht="11.25" customHeight="1" x14ac:dyDescent="0.2">
      <c r="A336" s="67">
        <v>44652</v>
      </c>
      <c r="B336" s="57">
        <v>0</v>
      </c>
      <c r="C336" s="57">
        <v>0</v>
      </c>
      <c r="D336" s="57">
        <v>23973.597304800001</v>
      </c>
      <c r="E336" s="57">
        <v>28532.990987297668</v>
      </c>
      <c r="F336" s="57">
        <v>8904.1330048</v>
      </c>
      <c r="G336" s="57">
        <v>9021.6031109042415</v>
      </c>
      <c r="H336" s="58">
        <v>0.19018396048492825</v>
      </c>
      <c r="I336" s="58">
        <v>1.3192761837779843E-2</v>
      </c>
      <c r="J336" s="58">
        <v>0.14225020232726671</v>
      </c>
    </row>
    <row r="337" spans="1:10" ht="11.25" customHeight="1" x14ac:dyDescent="0.2">
      <c r="A337" s="67">
        <v>44682</v>
      </c>
      <c r="B337" s="57">
        <v>0</v>
      </c>
      <c r="C337" s="57">
        <v>0</v>
      </c>
      <c r="D337" s="57">
        <v>21275.507822400003</v>
      </c>
      <c r="E337" s="57">
        <v>25321.768161392105</v>
      </c>
      <c r="F337" s="57">
        <v>7902.0244223999998</v>
      </c>
      <c r="G337" s="57">
        <v>8006.2739486410428</v>
      </c>
      <c r="H337" s="58">
        <v>0.19018396048492825</v>
      </c>
      <c r="I337" s="58">
        <v>1.3192761837779843E-2</v>
      </c>
      <c r="J337" s="58">
        <v>0.14225020232726648</v>
      </c>
    </row>
    <row r="338" spans="1:10" ht="11.25" customHeight="1" x14ac:dyDescent="0.2">
      <c r="A338" s="67">
        <v>44713</v>
      </c>
      <c r="B338" s="57">
        <v>0</v>
      </c>
      <c r="C338" s="57">
        <v>0</v>
      </c>
      <c r="D338" s="57">
        <v>20860.3212246</v>
      </c>
      <c r="E338" s="57">
        <v>24827.619732082239</v>
      </c>
      <c r="F338" s="57">
        <v>7747.8182495999999</v>
      </c>
      <c r="G338" s="57">
        <v>7850.033370529377</v>
      </c>
      <c r="H338" s="58">
        <v>0.19018396048492847</v>
      </c>
      <c r="I338" s="58">
        <v>1.3192761837779843E-2</v>
      </c>
      <c r="J338" s="58">
        <v>0.14225020232726671</v>
      </c>
    </row>
    <row r="339" spans="1:10" ht="11.25" customHeight="1" x14ac:dyDescent="0.2">
      <c r="A339" s="67">
        <v>44743</v>
      </c>
      <c r="B339" s="57">
        <v>0</v>
      </c>
      <c r="C339" s="57">
        <v>0</v>
      </c>
      <c r="D339" s="57">
        <v>20453.862273000002</v>
      </c>
      <c r="E339" s="57">
        <v>24343.858807292399</v>
      </c>
      <c r="F339" s="57">
        <v>7596.8536480000002</v>
      </c>
      <c r="G339" s="57">
        <v>7697.0771288945334</v>
      </c>
      <c r="H339" s="58">
        <v>0.19018396048492825</v>
      </c>
      <c r="I339" s="58">
        <v>1.3192761837779843E-2</v>
      </c>
      <c r="J339" s="58">
        <v>0.14225020232726671</v>
      </c>
    </row>
    <row r="340" spans="1:10" ht="11.25" customHeight="1" x14ac:dyDescent="0.2">
      <c r="A340" s="67">
        <v>44774</v>
      </c>
      <c r="B340" s="57">
        <v>0</v>
      </c>
      <c r="C340" s="57">
        <v>0</v>
      </c>
      <c r="D340" s="57">
        <v>20453.862273000002</v>
      </c>
      <c r="E340" s="57">
        <v>24343.858807292399</v>
      </c>
      <c r="F340" s="57">
        <v>7596.8536480000002</v>
      </c>
      <c r="G340" s="57">
        <v>7697.0771288945334</v>
      </c>
      <c r="H340" s="58">
        <v>0.19018396048492825</v>
      </c>
      <c r="I340" s="58">
        <v>1.3192761837779843E-2</v>
      </c>
      <c r="J340" s="58">
        <v>0.14225020232726671</v>
      </c>
    </row>
    <row r="341" spans="1:10" ht="11.25" customHeight="1" x14ac:dyDescent="0.2">
      <c r="A341" s="60" t="s">
        <v>22</v>
      </c>
      <c r="B341" s="57">
        <v>0</v>
      </c>
      <c r="C341" s="57">
        <v>0</v>
      </c>
      <c r="D341" s="57">
        <v>44423967.653580002</v>
      </c>
      <c r="E341" s="57">
        <v>60444581.289786138</v>
      </c>
      <c r="F341" s="57">
        <v>45014139.489330009</v>
      </c>
      <c r="G341" s="57">
        <v>45874280.20386745</v>
      </c>
      <c r="H341" s="58">
        <v>0.36062995906028883</v>
      </c>
      <c r="I341" s="58">
        <v>1.9108234085899234E-2</v>
      </c>
      <c r="J341" s="58">
        <v>0.18874230336483344</v>
      </c>
    </row>
    <row r="342" spans="1:10" ht="11.25" customHeight="1" x14ac:dyDescent="0.2">
      <c r="A342" s="61" t="s">
        <v>33</v>
      </c>
      <c r="B342" s="57">
        <v>0</v>
      </c>
      <c r="C342" s="57">
        <v>0</v>
      </c>
      <c r="D342" s="57">
        <v>48365.89620000001</v>
      </c>
      <c r="E342" s="57">
        <v>66757.583244861438</v>
      </c>
      <c r="F342" s="57">
        <v>49057.51580000003</v>
      </c>
      <c r="G342" s="57">
        <v>49977.020280779005</v>
      </c>
      <c r="H342" s="58">
        <v>0.38026147533396593</v>
      </c>
      <c r="I342" s="58">
        <v>1.8743396720854566E-2</v>
      </c>
      <c r="J342" s="58">
        <v>0.19821920757241029</v>
      </c>
    </row>
    <row r="343" spans="1:10" ht="11.25" customHeight="1" x14ac:dyDescent="0.2">
      <c r="A343" s="62" t="s">
        <v>24</v>
      </c>
      <c r="B343" s="57">
        <v>0</v>
      </c>
      <c r="C343" s="57">
        <v>0</v>
      </c>
      <c r="D343" s="57">
        <v>48365.89620000001</v>
      </c>
      <c r="E343" s="57">
        <v>66757.583244861438</v>
      </c>
      <c r="F343" s="57">
        <v>49057.51580000003</v>
      </c>
      <c r="G343" s="57">
        <v>49977.020280779005</v>
      </c>
      <c r="H343" s="58">
        <v>0.38026147533396593</v>
      </c>
      <c r="I343" s="58">
        <v>1.8743396720854566E-2</v>
      </c>
      <c r="J343" s="58">
        <v>0.19821920757241029</v>
      </c>
    </row>
    <row r="344" spans="1:10" ht="11.25" customHeight="1" x14ac:dyDescent="0.2">
      <c r="A344" s="63" t="s">
        <v>24</v>
      </c>
      <c r="B344" s="57">
        <v>0</v>
      </c>
      <c r="C344" s="57">
        <v>0</v>
      </c>
      <c r="D344" s="57">
        <v>48365.89620000001</v>
      </c>
      <c r="E344" s="57">
        <v>66757.583244861438</v>
      </c>
      <c r="F344" s="57">
        <v>49057.51580000003</v>
      </c>
      <c r="G344" s="57">
        <v>49977.020280779005</v>
      </c>
      <c r="H344" s="58">
        <v>0.38026147533396593</v>
      </c>
      <c r="I344" s="58">
        <v>1.8743396720854566E-2</v>
      </c>
      <c r="J344" s="58">
        <v>0.19821920757241029</v>
      </c>
    </row>
    <row r="345" spans="1:10" ht="11.25" customHeight="1" x14ac:dyDescent="0.2">
      <c r="A345" s="64" t="s">
        <v>25</v>
      </c>
      <c r="B345" s="57">
        <v>0</v>
      </c>
      <c r="C345" s="57">
        <v>0</v>
      </c>
      <c r="D345" s="57">
        <v>48365.89620000001</v>
      </c>
      <c r="E345" s="57">
        <v>66757.583244861438</v>
      </c>
      <c r="F345" s="57">
        <v>49057.51580000003</v>
      </c>
      <c r="G345" s="57">
        <v>49977.020280779005</v>
      </c>
      <c r="H345" s="58">
        <v>0.38026147533396593</v>
      </c>
      <c r="I345" s="58">
        <v>1.8743396720854566E-2</v>
      </c>
      <c r="J345" s="58">
        <v>0.19821920757241029</v>
      </c>
    </row>
    <row r="346" spans="1:10" ht="11.25" customHeight="1" x14ac:dyDescent="0.2">
      <c r="A346" s="65" t="s">
        <v>25</v>
      </c>
      <c r="B346" s="57">
        <v>0</v>
      </c>
      <c r="C346" s="57">
        <v>0</v>
      </c>
      <c r="D346" s="57">
        <v>48365.89620000001</v>
      </c>
      <c r="E346" s="57">
        <v>66757.583244861438</v>
      </c>
      <c r="F346" s="57">
        <v>49057.51580000003</v>
      </c>
      <c r="G346" s="57">
        <v>49977.020280779005</v>
      </c>
      <c r="H346" s="58">
        <v>0.38026147533396593</v>
      </c>
      <c r="I346" s="58">
        <v>1.8743396720854566E-2</v>
      </c>
      <c r="J346" s="58">
        <v>0.19821920757241029</v>
      </c>
    </row>
    <row r="347" spans="1:10" ht="11.25" customHeight="1" x14ac:dyDescent="0.2">
      <c r="A347" s="66" t="s">
        <v>35</v>
      </c>
      <c r="B347" s="57">
        <v>0</v>
      </c>
      <c r="C347" s="57">
        <v>0</v>
      </c>
      <c r="D347" s="57">
        <v>28975.8802</v>
      </c>
      <c r="E347" s="57">
        <v>42472.630627654704</v>
      </c>
      <c r="F347" s="57">
        <v>36905.488560000005</v>
      </c>
      <c r="G347" s="57">
        <v>37642.175573590277</v>
      </c>
      <c r="H347" s="58">
        <v>0.46579259489258584</v>
      </c>
      <c r="I347" s="58">
        <v>1.9961448617394462E-2</v>
      </c>
      <c r="J347" s="58">
        <v>0.21604647427857993</v>
      </c>
    </row>
    <row r="348" spans="1:10" ht="11.25" customHeight="1" x14ac:dyDescent="0.2">
      <c r="A348" s="67">
        <v>44440</v>
      </c>
      <c r="B348" s="57">
        <v>0</v>
      </c>
      <c r="C348" s="57">
        <v>0</v>
      </c>
      <c r="D348" s="57">
        <v>2274.0552000000002</v>
      </c>
      <c r="E348" s="57">
        <v>3333.2932725369783</v>
      </c>
      <c r="F348" s="57">
        <v>2896.3785600000001</v>
      </c>
      <c r="G348" s="57">
        <v>2954.1944718019631</v>
      </c>
      <c r="H348" s="58">
        <v>0.46579259489258562</v>
      </c>
      <c r="I348" s="58">
        <v>1.9961448617394462E-2</v>
      </c>
      <c r="J348" s="58">
        <v>0.21604647427857993</v>
      </c>
    </row>
    <row r="349" spans="1:10" ht="11.25" customHeight="1" x14ac:dyDescent="0.2">
      <c r="A349" s="67">
        <v>44470</v>
      </c>
      <c r="B349" s="57">
        <v>0</v>
      </c>
      <c r="C349" s="57">
        <v>0</v>
      </c>
      <c r="D349" s="57">
        <v>2577.1178999999997</v>
      </c>
      <c r="E349" s="57">
        <v>3777.5203339851319</v>
      </c>
      <c r="F349" s="57">
        <v>3282.3781199999999</v>
      </c>
      <c r="G349" s="57">
        <v>3347.8991421852402</v>
      </c>
      <c r="H349" s="58">
        <v>0.46579259489258606</v>
      </c>
      <c r="I349" s="58">
        <v>1.9961448617394684E-2</v>
      </c>
      <c r="J349" s="58">
        <v>0.21604647427858015</v>
      </c>
    </row>
    <row r="350" spans="1:10" ht="11.25" customHeight="1" x14ac:dyDescent="0.2">
      <c r="A350" s="67">
        <v>44501</v>
      </c>
      <c r="B350" s="57">
        <v>0</v>
      </c>
      <c r="C350" s="57">
        <v>0</v>
      </c>
      <c r="D350" s="57">
        <v>2379.8980999999999</v>
      </c>
      <c r="E350" s="57">
        <v>3488.4370115789352</v>
      </c>
      <c r="F350" s="57">
        <v>3031.1866799999998</v>
      </c>
      <c r="G350" s="57">
        <v>3091.6935571625509</v>
      </c>
      <c r="H350" s="58">
        <v>0.46579259489258606</v>
      </c>
      <c r="I350" s="58">
        <v>1.9961448617394684E-2</v>
      </c>
      <c r="J350" s="58">
        <v>0.21604647427858015</v>
      </c>
    </row>
    <row r="351" spans="1:10" ht="11.25" customHeight="1" x14ac:dyDescent="0.2">
      <c r="A351" s="67">
        <v>44531</v>
      </c>
      <c r="B351" s="57">
        <v>0</v>
      </c>
      <c r="C351" s="57">
        <v>0</v>
      </c>
      <c r="D351" s="57">
        <v>2659.5741000000003</v>
      </c>
      <c r="E351" s="57">
        <v>3898.3840213481139</v>
      </c>
      <c r="F351" s="57">
        <v>3387.39948</v>
      </c>
      <c r="G351" s="57">
        <v>3455.0168806666093</v>
      </c>
      <c r="H351" s="58">
        <v>0.46579259489258584</v>
      </c>
      <c r="I351" s="58">
        <v>1.9961448617394684E-2</v>
      </c>
      <c r="J351" s="58">
        <v>0.21604647427858015</v>
      </c>
    </row>
    <row r="352" spans="1:10" ht="11.25" customHeight="1" x14ac:dyDescent="0.2">
      <c r="A352" s="67">
        <v>44562</v>
      </c>
      <c r="B352" s="57">
        <v>0</v>
      </c>
      <c r="C352" s="57">
        <v>0</v>
      </c>
      <c r="D352" s="57">
        <v>2671.3879999999999</v>
      </c>
      <c r="E352" s="57">
        <v>3915.700748484915</v>
      </c>
      <c r="F352" s="57">
        <v>3402.4463999999998</v>
      </c>
      <c r="G352" s="57">
        <v>3470.364158987039</v>
      </c>
      <c r="H352" s="58">
        <v>0.46579259489258584</v>
      </c>
      <c r="I352" s="58">
        <v>1.9961448617394684E-2</v>
      </c>
      <c r="J352" s="58">
        <v>0.21604647427857993</v>
      </c>
    </row>
    <row r="353" spans="1:10" ht="11.25" customHeight="1" x14ac:dyDescent="0.2">
      <c r="A353" s="67">
        <v>44593</v>
      </c>
      <c r="B353" s="57">
        <v>0</v>
      </c>
      <c r="C353" s="57">
        <v>0</v>
      </c>
      <c r="D353" s="57">
        <v>3201.808</v>
      </c>
      <c r="E353" s="57">
        <v>4693.1864566678405</v>
      </c>
      <c r="F353" s="57">
        <v>4078.0223999999994</v>
      </c>
      <c r="G353" s="57">
        <v>4159.4256345981839</v>
      </c>
      <c r="H353" s="58">
        <v>0.46579259489258584</v>
      </c>
      <c r="I353" s="58">
        <v>1.9961448617394684E-2</v>
      </c>
      <c r="J353" s="58">
        <v>0.21604647427858015</v>
      </c>
    </row>
    <row r="354" spans="1:10" ht="11.25" customHeight="1" x14ac:dyDescent="0.2">
      <c r="A354" s="67">
        <v>44621</v>
      </c>
      <c r="B354" s="57">
        <v>0</v>
      </c>
      <c r="C354" s="57">
        <v>0</v>
      </c>
      <c r="D354" s="57">
        <v>3002.4182999999998</v>
      </c>
      <c r="E354" s="57">
        <v>4400.9225109099862</v>
      </c>
      <c r="F354" s="57">
        <v>3824.0672399999994</v>
      </c>
      <c r="G354" s="57">
        <v>3900.4011617207216</v>
      </c>
      <c r="H354" s="58">
        <v>0.46579259489258584</v>
      </c>
      <c r="I354" s="58">
        <v>1.9961448617394684E-2</v>
      </c>
      <c r="J354" s="58">
        <v>0.21604647427857993</v>
      </c>
    </row>
    <row r="355" spans="1:10" ht="11.25" customHeight="1" x14ac:dyDescent="0.2">
      <c r="A355" s="67">
        <v>44652</v>
      </c>
      <c r="B355" s="57">
        <v>0</v>
      </c>
      <c r="C355" s="57">
        <v>0</v>
      </c>
      <c r="D355" s="57">
        <v>3103.4391999999998</v>
      </c>
      <c r="E355" s="57">
        <v>4548.9981980593702</v>
      </c>
      <c r="F355" s="57">
        <v>3952.7337599999996</v>
      </c>
      <c r="G355" s="57">
        <v>4031.6360518484803</v>
      </c>
      <c r="H355" s="58">
        <v>0.46579259489258584</v>
      </c>
      <c r="I355" s="58">
        <v>1.9961448617394462E-2</v>
      </c>
      <c r="J355" s="58">
        <v>0.21604647427857993</v>
      </c>
    </row>
    <row r="356" spans="1:10" ht="11.25" customHeight="1" x14ac:dyDescent="0.2">
      <c r="A356" s="67">
        <v>44682</v>
      </c>
      <c r="B356" s="57">
        <v>0</v>
      </c>
      <c r="C356" s="57">
        <v>0</v>
      </c>
      <c r="D356" s="57">
        <v>2274.2963000000004</v>
      </c>
      <c r="E356" s="57">
        <v>3333.646675131607</v>
      </c>
      <c r="F356" s="57">
        <v>2896.6856400000001</v>
      </c>
      <c r="G356" s="57">
        <v>2954.5076815636048</v>
      </c>
      <c r="H356" s="58">
        <v>0.46579259489258562</v>
      </c>
      <c r="I356" s="58">
        <v>1.9961448617394462E-2</v>
      </c>
      <c r="J356" s="58">
        <v>0.2160464742785797</v>
      </c>
    </row>
    <row r="357" spans="1:10" ht="11.25" customHeight="1" x14ac:dyDescent="0.2">
      <c r="A357" s="67">
        <v>44713</v>
      </c>
      <c r="B357" s="57">
        <v>0</v>
      </c>
      <c r="C357" s="57">
        <v>0</v>
      </c>
      <c r="D357" s="57">
        <v>1620.4331</v>
      </c>
      <c r="E357" s="57">
        <v>2375.2188384988372</v>
      </c>
      <c r="F357" s="57">
        <v>2063.8846800000001</v>
      </c>
      <c r="G357" s="57">
        <v>2105.0828079920479</v>
      </c>
      <c r="H357" s="58">
        <v>0.46579259489258584</v>
      </c>
      <c r="I357" s="58">
        <v>1.9961448617394462E-2</v>
      </c>
      <c r="J357" s="58">
        <v>0.21604647427857993</v>
      </c>
    </row>
    <row r="358" spans="1:10" ht="11.25" customHeight="1" x14ac:dyDescent="0.2">
      <c r="A358" s="67">
        <v>44743</v>
      </c>
      <c r="B358" s="57">
        <v>0</v>
      </c>
      <c r="C358" s="57">
        <v>0</v>
      </c>
      <c r="D358" s="57">
        <v>1605.7260000000001</v>
      </c>
      <c r="E358" s="57">
        <v>2353.6612802264922</v>
      </c>
      <c r="F358" s="57">
        <v>2045.1528000000001</v>
      </c>
      <c r="G358" s="57">
        <v>2085.9770125319205</v>
      </c>
      <c r="H358" s="58">
        <v>0.46579259489258562</v>
      </c>
      <c r="I358" s="58">
        <v>1.9961448617394462E-2</v>
      </c>
      <c r="J358" s="58">
        <v>0.2160464742785797</v>
      </c>
    </row>
    <row r="359" spans="1:10" ht="11.25" customHeight="1" x14ac:dyDescent="0.2">
      <c r="A359" s="67">
        <v>44774</v>
      </c>
      <c r="B359" s="57">
        <v>0</v>
      </c>
      <c r="C359" s="57">
        <v>0</v>
      </c>
      <c r="D359" s="57">
        <v>1605.7260000000001</v>
      </c>
      <c r="E359" s="57">
        <v>2353.6612802264922</v>
      </c>
      <c r="F359" s="57">
        <v>2045.1528000000001</v>
      </c>
      <c r="G359" s="57">
        <v>2085.9770125319205</v>
      </c>
      <c r="H359" s="58">
        <v>0.46579259489258562</v>
      </c>
      <c r="I359" s="58">
        <v>1.9961448617394462E-2</v>
      </c>
      <c r="J359" s="58">
        <v>0.2160464742785797</v>
      </c>
    </row>
    <row r="360" spans="1:10" ht="11.25" customHeight="1" x14ac:dyDescent="0.2">
      <c r="A360" s="66" t="s">
        <v>36</v>
      </c>
      <c r="B360" s="57">
        <v>0</v>
      </c>
      <c r="C360" s="57">
        <v>0</v>
      </c>
      <c r="D360" s="57">
        <v>3865.9550399999994</v>
      </c>
      <c r="E360" s="57">
        <v>4971.0466934327278</v>
      </c>
      <c r="F360" s="57">
        <v>2255.1955199999998</v>
      </c>
      <c r="G360" s="57">
        <v>2300.2124894946583</v>
      </c>
      <c r="H360" s="58">
        <v>0.28585217417136066</v>
      </c>
      <c r="I360" s="58">
        <v>1.9961448617394684E-2</v>
      </c>
      <c r="J360" s="58">
        <v>0.18789092208301894</v>
      </c>
    </row>
    <row r="361" spans="1:10" ht="11.25" customHeight="1" x14ac:dyDescent="0.2">
      <c r="A361" s="67">
        <v>44440</v>
      </c>
      <c r="B361" s="57">
        <v>0</v>
      </c>
      <c r="C361" s="57">
        <v>0</v>
      </c>
      <c r="D361" s="57">
        <v>294.78960000000001</v>
      </c>
      <c r="E361" s="57">
        <v>379.05584808310562</v>
      </c>
      <c r="F361" s="57">
        <v>171.9648</v>
      </c>
      <c r="G361" s="57">
        <v>175.39746651920055</v>
      </c>
      <c r="H361" s="58">
        <v>0.28585217417136022</v>
      </c>
      <c r="I361" s="58">
        <v>1.9961448617394684E-2</v>
      </c>
      <c r="J361" s="58">
        <v>0.1878909220830185</v>
      </c>
    </row>
    <row r="362" spans="1:10" ht="11.25" customHeight="1" x14ac:dyDescent="0.2">
      <c r="A362" s="67">
        <v>44470</v>
      </c>
      <c r="B362" s="57">
        <v>0</v>
      </c>
      <c r="C362" s="57">
        <v>0</v>
      </c>
      <c r="D362" s="57">
        <v>332.69111999999996</v>
      </c>
      <c r="E362" s="57">
        <v>427.79159997950484</v>
      </c>
      <c r="F362" s="57">
        <v>194.07455999999999</v>
      </c>
      <c r="G362" s="57">
        <v>197.94856935738346</v>
      </c>
      <c r="H362" s="58">
        <v>0.28585217417136022</v>
      </c>
      <c r="I362" s="58">
        <v>1.9961448617394684E-2</v>
      </c>
      <c r="J362" s="58">
        <v>0.18789092208301872</v>
      </c>
    </row>
    <row r="363" spans="1:10" ht="11.25" customHeight="1" x14ac:dyDescent="0.2">
      <c r="A363" s="67">
        <v>44501</v>
      </c>
      <c r="B363" s="57">
        <v>0</v>
      </c>
      <c r="C363" s="57">
        <v>0</v>
      </c>
      <c r="D363" s="57">
        <v>304.79138999999998</v>
      </c>
      <c r="E363" s="57">
        <v>391.9166715002109</v>
      </c>
      <c r="F363" s="57">
        <v>177.79931999999997</v>
      </c>
      <c r="G363" s="57">
        <v>181.34845199038767</v>
      </c>
      <c r="H363" s="58">
        <v>0.28585217417136</v>
      </c>
      <c r="I363" s="58">
        <v>1.9961448617394684E-2</v>
      </c>
      <c r="J363" s="58">
        <v>0.18789092208301872</v>
      </c>
    </row>
    <row r="364" spans="1:10" ht="11.25" customHeight="1" x14ac:dyDescent="0.2">
      <c r="A364" s="67">
        <v>44531</v>
      </c>
      <c r="B364" s="57">
        <v>0</v>
      </c>
      <c r="C364" s="57">
        <v>0</v>
      </c>
      <c r="D364" s="57">
        <v>386.91134999999997</v>
      </c>
      <c r="E364" s="57">
        <v>497.51080060907606</v>
      </c>
      <c r="F364" s="57">
        <v>225.70379999999997</v>
      </c>
      <c r="G364" s="57">
        <v>230.20917480645068</v>
      </c>
      <c r="H364" s="58">
        <v>0.28585217417136022</v>
      </c>
      <c r="I364" s="58">
        <v>1.9961448617394684E-2</v>
      </c>
      <c r="J364" s="58">
        <v>0.18789092208301872</v>
      </c>
    </row>
    <row r="365" spans="1:10" ht="11.25" customHeight="1" x14ac:dyDescent="0.2">
      <c r="A365" s="67">
        <v>44562</v>
      </c>
      <c r="B365" s="57">
        <v>0</v>
      </c>
      <c r="C365" s="57">
        <v>0</v>
      </c>
      <c r="D365" s="57">
        <v>326.90060999999997</v>
      </c>
      <c r="E365" s="57">
        <v>420.34586010644387</v>
      </c>
      <c r="F365" s="57">
        <v>190.69667999999999</v>
      </c>
      <c r="G365" s="57">
        <v>194.50326197932773</v>
      </c>
      <c r="H365" s="58">
        <v>0.28585217417136022</v>
      </c>
      <c r="I365" s="58">
        <v>1.9961448617394684E-2</v>
      </c>
      <c r="J365" s="58">
        <v>0.18789092208301872</v>
      </c>
    </row>
    <row r="366" spans="1:10" ht="11.25" customHeight="1" x14ac:dyDescent="0.2">
      <c r="A366" s="67">
        <v>44593</v>
      </c>
      <c r="B366" s="57">
        <v>0</v>
      </c>
      <c r="C366" s="57">
        <v>0</v>
      </c>
      <c r="D366" s="57">
        <v>379.01519999999994</v>
      </c>
      <c r="E366" s="57">
        <v>487.35751896399285</v>
      </c>
      <c r="F366" s="57">
        <v>221.09759999999997</v>
      </c>
      <c r="G366" s="57">
        <v>225.51102838182925</v>
      </c>
      <c r="H366" s="58">
        <v>0.28585217417136022</v>
      </c>
      <c r="I366" s="58">
        <v>1.9961448617394684E-2</v>
      </c>
      <c r="J366" s="58">
        <v>0.18789092208301872</v>
      </c>
    </row>
    <row r="367" spans="1:10" ht="11.25" customHeight="1" x14ac:dyDescent="0.2">
      <c r="A367" s="67">
        <v>44621</v>
      </c>
      <c r="B367" s="57">
        <v>0</v>
      </c>
      <c r="C367" s="57">
        <v>0</v>
      </c>
      <c r="D367" s="57">
        <v>366.38135999999997</v>
      </c>
      <c r="E367" s="57">
        <v>471.11226833185975</v>
      </c>
      <c r="F367" s="57">
        <v>213.72767999999996</v>
      </c>
      <c r="G367" s="57">
        <v>217.99399410243493</v>
      </c>
      <c r="H367" s="58">
        <v>0.28585217417136</v>
      </c>
      <c r="I367" s="58">
        <v>1.9961448617394684E-2</v>
      </c>
      <c r="J367" s="58">
        <v>0.18789092208301872</v>
      </c>
    </row>
    <row r="368" spans="1:10" ht="11.25" customHeight="1" x14ac:dyDescent="0.2">
      <c r="A368" s="67">
        <v>44652</v>
      </c>
      <c r="B368" s="57">
        <v>0</v>
      </c>
      <c r="C368" s="57">
        <v>0</v>
      </c>
      <c r="D368" s="57">
        <v>380.59442999999993</v>
      </c>
      <c r="E368" s="57">
        <v>489.38817529300951</v>
      </c>
      <c r="F368" s="57">
        <v>222.01883999999995</v>
      </c>
      <c r="G368" s="57">
        <v>226.4506576667535</v>
      </c>
      <c r="H368" s="58">
        <v>0.28585217417136022</v>
      </c>
      <c r="I368" s="58">
        <v>1.9961448617394462E-2</v>
      </c>
      <c r="J368" s="58">
        <v>0.18789092208301894</v>
      </c>
    </row>
    <row r="369" spans="1:10" ht="11.25" customHeight="1" x14ac:dyDescent="0.2">
      <c r="A369" s="67">
        <v>44682</v>
      </c>
      <c r="B369" s="57">
        <v>0</v>
      </c>
      <c r="C369" s="57">
        <v>0</v>
      </c>
      <c r="D369" s="57">
        <v>295.84242</v>
      </c>
      <c r="E369" s="57">
        <v>380.40961896911671</v>
      </c>
      <c r="F369" s="57">
        <v>172.57896000000002</v>
      </c>
      <c r="G369" s="57">
        <v>176.02388604248341</v>
      </c>
      <c r="H369" s="58">
        <v>0.28585217417136022</v>
      </c>
      <c r="I369" s="58">
        <v>1.9961448617394462E-2</v>
      </c>
      <c r="J369" s="58">
        <v>0.18789092208301872</v>
      </c>
    </row>
    <row r="370" spans="1:10" ht="11.25" customHeight="1" x14ac:dyDescent="0.2">
      <c r="A370" s="67">
        <v>44713</v>
      </c>
      <c r="B370" s="57">
        <v>0</v>
      </c>
      <c r="C370" s="57">
        <v>0</v>
      </c>
      <c r="D370" s="57">
        <v>261.09935999999999</v>
      </c>
      <c r="E370" s="57">
        <v>335.73517973075064</v>
      </c>
      <c r="F370" s="57">
        <v>152.31168</v>
      </c>
      <c r="G370" s="57">
        <v>155.35204177414903</v>
      </c>
      <c r="H370" s="58">
        <v>0.28585217417136022</v>
      </c>
      <c r="I370" s="58">
        <v>1.9961448617394462E-2</v>
      </c>
      <c r="J370" s="58">
        <v>0.18789092208301872</v>
      </c>
    </row>
    <row r="371" spans="1:10" ht="11.25" customHeight="1" x14ac:dyDescent="0.2">
      <c r="A371" s="67">
        <v>44743</v>
      </c>
      <c r="B371" s="57">
        <v>0</v>
      </c>
      <c r="C371" s="57">
        <v>0</v>
      </c>
      <c r="D371" s="57">
        <v>268.46909999999997</v>
      </c>
      <c r="E371" s="57">
        <v>345.21157593282828</v>
      </c>
      <c r="F371" s="57">
        <v>156.61079999999998</v>
      </c>
      <c r="G371" s="57">
        <v>159.73697843712904</v>
      </c>
      <c r="H371" s="58">
        <v>0.28585217417136022</v>
      </c>
      <c r="I371" s="58">
        <v>1.9961448617394462E-2</v>
      </c>
      <c r="J371" s="58">
        <v>0.18789092208301872</v>
      </c>
    </row>
    <row r="372" spans="1:10" ht="11.25" customHeight="1" x14ac:dyDescent="0.2">
      <c r="A372" s="67">
        <v>44774</v>
      </c>
      <c r="B372" s="57">
        <v>0</v>
      </c>
      <c r="C372" s="57">
        <v>0</v>
      </c>
      <c r="D372" s="57">
        <v>268.46909999999997</v>
      </c>
      <c r="E372" s="57">
        <v>345.21157593282828</v>
      </c>
      <c r="F372" s="57">
        <v>156.61079999999998</v>
      </c>
      <c r="G372" s="57">
        <v>159.73697843712904</v>
      </c>
      <c r="H372" s="58">
        <v>0.28585217417136022</v>
      </c>
      <c r="I372" s="58">
        <v>1.9961448617394462E-2</v>
      </c>
      <c r="J372" s="58">
        <v>0.18789092208301872</v>
      </c>
    </row>
    <row r="373" spans="1:10" ht="11.25" customHeight="1" x14ac:dyDescent="0.2">
      <c r="A373" s="66" t="s">
        <v>25</v>
      </c>
      <c r="B373" s="57">
        <v>0</v>
      </c>
      <c r="C373" s="57">
        <v>0</v>
      </c>
      <c r="D373" s="57">
        <v>1231.2952000000002</v>
      </c>
      <c r="E373" s="57">
        <v>1699.4123138729619</v>
      </c>
      <c r="F373" s="57">
        <v>1222.4266000000002</v>
      </c>
      <c r="G373" s="57">
        <v>1245.7877368614982</v>
      </c>
      <c r="H373" s="58">
        <v>0.38018268395179478</v>
      </c>
      <c r="I373" s="58">
        <v>1.9110461815456281E-2</v>
      </c>
      <c r="J373" s="58">
        <v>0.20029909288594161</v>
      </c>
    </row>
    <row r="374" spans="1:10" ht="11.25" customHeight="1" x14ac:dyDescent="0.2">
      <c r="A374" s="67">
        <v>44440</v>
      </c>
      <c r="B374" s="57">
        <v>0</v>
      </c>
      <c r="C374" s="57">
        <v>0</v>
      </c>
      <c r="D374" s="57">
        <v>107.21040000000001</v>
      </c>
      <c r="E374" s="57">
        <v>147.9699376195455</v>
      </c>
      <c r="F374" s="57">
        <v>106.43820000000001</v>
      </c>
      <c r="G374" s="57">
        <v>108.47228315680593</v>
      </c>
      <c r="H374" s="58">
        <v>0.38018268395179478</v>
      </c>
      <c r="I374" s="58">
        <v>1.9110461815456503E-2</v>
      </c>
      <c r="J374" s="58">
        <v>0.20029909288594161</v>
      </c>
    </row>
    <row r="375" spans="1:10" ht="11.25" customHeight="1" x14ac:dyDescent="0.2">
      <c r="A375" s="67">
        <v>44470</v>
      </c>
      <c r="B375" s="57">
        <v>0</v>
      </c>
      <c r="C375" s="57">
        <v>0</v>
      </c>
      <c r="D375" s="57">
        <v>90.966399999999993</v>
      </c>
      <c r="E375" s="57">
        <v>125.55025010143254</v>
      </c>
      <c r="F375" s="57">
        <v>90.311200000000014</v>
      </c>
      <c r="G375" s="57">
        <v>92.037088739108071</v>
      </c>
      <c r="H375" s="58">
        <v>0.38018268395179478</v>
      </c>
      <c r="I375" s="58">
        <v>1.9110461815456503E-2</v>
      </c>
      <c r="J375" s="58">
        <v>0.20029909288594183</v>
      </c>
    </row>
    <row r="376" spans="1:10" ht="11.25" customHeight="1" x14ac:dyDescent="0.2">
      <c r="A376" s="67">
        <v>44501</v>
      </c>
      <c r="B376" s="57">
        <v>0</v>
      </c>
      <c r="C376" s="57">
        <v>0</v>
      </c>
      <c r="D376" s="57">
        <v>107.21039999999999</v>
      </c>
      <c r="E376" s="57">
        <v>147.9699376195455</v>
      </c>
      <c r="F376" s="57">
        <v>106.43820000000002</v>
      </c>
      <c r="G376" s="57">
        <v>108.47228315680593</v>
      </c>
      <c r="H376" s="58">
        <v>0.380182683951795</v>
      </c>
      <c r="I376" s="58">
        <v>1.9110461815456281E-2</v>
      </c>
      <c r="J376" s="58">
        <v>0.20029909288594161</v>
      </c>
    </row>
    <row r="377" spans="1:10" ht="11.25" customHeight="1" x14ac:dyDescent="0.2">
      <c r="A377" s="67">
        <v>44531</v>
      </c>
      <c r="B377" s="57">
        <v>0</v>
      </c>
      <c r="C377" s="57">
        <v>0</v>
      </c>
      <c r="D377" s="57">
        <v>81.22</v>
      </c>
      <c r="E377" s="57">
        <v>112.09843759056477</v>
      </c>
      <c r="F377" s="57">
        <v>80.635000000000019</v>
      </c>
      <c r="G377" s="57">
        <v>82.175972088489345</v>
      </c>
      <c r="H377" s="58">
        <v>0.38018268395179478</v>
      </c>
      <c r="I377" s="58">
        <v>1.9110461815456281E-2</v>
      </c>
      <c r="J377" s="58">
        <v>0.20029909288594161</v>
      </c>
    </row>
    <row r="378" spans="1:10" ht="11.25" customHeight="1" x14ac:dyDescent="0.2">
      <c r="A378" s="67">
        <v>44562</v>
      </c>
      <c r="B378" s="57">
        <v>0</v>
      </c>
      <c r="C378" s="57">
        <v>0</v>
      </c>
      <c r="D378" s="57">
        <v>81.22</v>
      </c>
      <c r="E378" s="57">
        <v>112.09843759056477</v>
      </c>
      <c r="F378" s="57">
        <v>80.635000000000019</v>
      </c>
      <c r="G378" s="57">
        <v>82.175972088489345</v>
      </c>
      <c r="H378" s="58">
        <v>0.38018268395179478</v>
      </c>
      <c r="I378" s="58">
        <v>1.9110461815456281E-2</v>
      </c>
      <c r="J378" s="58">
        <v>0.20029909288594161</v>
      </c>
    </row>
    <row r="379" spans="1:10" ht="11.25" customHeight="1" x14ac:dyDescent="0.2">
      <c r="A379" s="67">
        <v>44593</v>
      </c>
      <c r="B379" s="57">
        <v>0</v>
      </c>
      <c r="C379" s="57">
        <v>0</v>
      </c>
      <c r="D379" s="57">
        <v>81.22</v>
      </c>
      <c r="E379" s="57">
        <v>112.09843759056477</v>
      </c>
      <c r="F379" s="57">
        <v>80.635000000000019</v>
      </c>
      <c r="G379" s="57">
        <v>82.175972088489345</v>
      </c>
      <c r="H379" s="58">
        <v>0.38018268395179478</v>
      </c>
      <c r="I379" s="58">
        <v>1.9110461815456281E-2</v>
      </c>
      <c r="J379" s="58">
        <v>0.20029909288594161</v>
      </c>
    </row>
    <row r="380" spans="1:10" ht="11.25" customHeight="1" x14ac:dyDescent="0.2">
      <c r="A380" s="67">
        <v>44621</v>
      </c>
      <c r="B380" s="57">
        <v>0</v>
      </c>
      <c r="C380" s="57">
        <v>0</v>
      </c>
      <c r="D380" s="57">
        <v>81.22</v>
      </c>
      <c r="E380" s="57">
        <v>112.09843759056477</v>
      </c>
      <c r="F380" s="57">
        <v>80.635000000000019</v>
      </c>
      <c r="G380" s="57">
        <v>82.175972088489345</v>
      </c>
      <c r="H380" s="58">
        <v>0.38018268395179478</v>
      </c>
      <c r="I380" s="58">
        <v>1.9110461815456281E-2</v>
      </c>
      <c r="J380" s="58">
        <v>0.20029909288594161</v>
      </c>
    </row>
    <row r="381" spans="1:10" ht="11.25" customHeight="1" x14ac:dyDescent="0.2">
      <c r="A381" s="67">
        <v>44652</v>
      </c>
      <c r="B381" s="57">
        <v>0</v>
      </c>
      <c r="C381" s="57">
        <v>0</v>
      </c>
      <c r="D381" s="57">
        <v>81.22</v>
      </c>
      <c r="E381" s="57">
        <v>112.09843759056477</v>
      </c>
      <c r="F381" s="57">
        <v>80.635000000000019</v>
      </c>
      <c r="G381" s="57">
        <v>82.175972088489345</v>
      </c>
      <c r="H381" s="58">
        <v>0.38018268395179478</v>
      </c>
      <c r="I381" s="58">
        <v>1.9110461815456281E-2</v>
      </c>
      <c r="J381" s="58">
        <v>0.20029909288594161</v>
      </c>
    </row>
    <row r="382" spans="1:10" ht="11.25" customHeight="1" x14ac:dyDescent="0.2">
      <c r="A382" s="67">
        <v>44682</v>
      </c>
      <c r="B382" s="57">
        <v>0</v>
      </c>
      <c r="C382" s="57">
        <v>0</v>
      </c>
      <c r="D382" s="57">
        <v>113.708</v>
      </c>
      <c r="E382" s="57">
        <v>156.93781262679067</v>
      </c>
      <c r="F382" s="57">
        <v>112.88900000000001</v>
      </c>
      <c r="G382" s="57">
        <v>115.04636092388509</v>
      </c>
      <c r="H382" s="58">
        <v>0.38018268395179478</v>
      </c>
      <c r="I382" s="58">
        <v>1.9110461815456503E-2</v>
      </c>
      <c r="J382" s="58">
        <v>0.20029909288594183</v>
      </c>
    </row>
    <row r="383" spans="1:10" ht="11.25" customHeight="1" x14ac:dyDescent="0.2">
      <c r="A383" s="67">
        <v>44713</v>
      </c>
      <c r="B383" s="57">
        <v>0</v>
      </c>
      <c r="C383" s="57">
        <v>0</v>
      </c>
      <c r="D383" s="57">
        <v>146.196</v>
      </c>
      <c r="E383" s="57">
        <v>201.7771876630166</v>
      </c>
      <c r="F383" s="57">
        <v>145.14300000000003</v>
      </c>
      <c r="G383" s="57">
        <v>147.9167497592808</v>
      </c>
      <c r="H383" s="58">
        <v>0.380182683951795</v>
      </c>
      <c r="I383" s="58">
        <v>1.9110461815456281E-2</v>
      </c>
      <c r="J383" s="58">
        <v>0.20029909288594161</v>
      </c>
    </row>
    <row r="384" spans="1:10" ht="11.25" customHeight="1" x14ac:dyDescent="0.2">
      <c r="A384" s="67">
        <v>44743</v>
      </c>
      <c r="B384" s="57">
        <v>0</v>
      </c>
      <c r="C384" s="57">
        <v>0</v>
      </c>
      <c r="D384" s="57">
        <v>129.952</v>
      </c>
      <c r="E384" s="57">
        <v>179.35750014490361</v>
      </c>
      <c r="F384" s="57">
        <v>129.01600000000002</v>
      </c>
      <c r="G384" s="57">
        <v>131.48155534158295</v>
      </c>
      <c r="H384" s="58">
        <v>0.38018268395179455</v>
      </c>
      <c r="I384" s="58">
        <v>1.9110461815456503E-2</v>
      </c>
      <c r="J384" s="58">
        <v>0.20029909288594183</v>
      </c>
    </row>
    <row r="385" spans="1:10" ht="11.25" customHeight="1" x14ac:dyDescent="0.2">
      <c r="A385" s="67">
        <v>44774</v>
      </c>
      <c r="B385" s="57">
        <v>0</v>
      </c>
      <c r="C385" s="57">
        <v>0</v>
      </c>
      <c r="D385" s="57">
        <v>129.952</v>
      </c>
      <c r="E385" s="57">
        <v>179.35750014490361</v>
      </c>
      <c r="F385" s="57">
        <v>129.01600000000002</v>
      </c>
      <c r="G385" s="57">
        <v>131.48155534158295</v>
      </c>
      <c r="H385" s="58">
        <v>0.38018268395179455</v>
      </c>
      <c r="I385" s="58">
        <v>1.9110461815456503E-2</v>
      </c>
      <c r="J385" s="58">
        <v>0.20029909288594183</v>
      </c>
    </row>
    <row r="386" spans="1:10" ht="11.25" customHeight="1" x14ac:dyDescent="0.2">
      <c r="A386" s="66" t="s">
        <v>34</v>
      </c>
      <c r="B386" s="57">
        <v>0</v>
      </c>
      <c r="C386" s="57">
        <v>0</v>
      </c>
      <c r="D386" s="57">
        <v>14292.76576</v>
      </c>
      <c r="E386" s="57">
        <v>17614.493609901034</v>
      </c>
      <c r="F386" s="57">
        <v>8674.4051199999994</v>
      </c>
      <c r="G386" s="57">
        <v>8788.8444808325767</v>
      </c>
      <c r="H386" s="58">
        <v>0.23240623303274699</v>
      </c>
      <c r="I386" s="58">
        <v>1.3192761837779843E-2</v>
      </c>
      <c r="J386" s="58">
        <v>0.14961212369982624</v>
      </c>
    </row>
    <row r="387" spans="1:10" ht="11.25" customHeight="1" x14ac:dyDescent="0.2">
      <c r="A387" s="67">
        <v>44440</v>
      </c>
      <c r="B387" s="57">
        <v>0</v>
      </c>
      <c r="C387" s="57">
        <v>0</v>
      </c>
      <c r="D387" s="57">
        <v>1204.59248</v>
      </c>
      <c r="E387" s="57">
        <v>1484.5472806163752</v>
      </c>
      <c r="F387" s="57">
        <v>731.07776000000001</v>
      </c>
      <c r="G387" s="57">
        <v>740.7226947725776</v>
      </c>
      <c r="H387" s="58">
        <v>0.23240623303274743</v>
      </c>
      <c r="I387" s="58">
        <v>1.3192761837779843E-2</v>
      </c>
      <c r="J387" s="58">
        <v>0.14961212369982646</v>
      </c>
    </row>
    <row r="388" spans="1:10" ht="11.25" customHeight="1" x14ac:dyDescent="0.2">
      <c r="A388" s="67">
        <v>44470</v>
      </c>
      <c r="B388" s="57">
        <v>0</v>
      </c>
      <c r="C388" s="57">
        <v>0</v>
      </c>
      <c r="D388" s="57">
        <v>1341.77316</v>
      </c>
      <c r="E388" s="57">
        <v>1653.6096057000461</v>
      </c>
      <c r="F388" s="57">
        <v>814.33392000000003</v>
      </c>
      <c r="G388" s="57">
        <v>825.07723346298565</v>
      </c>
      <c r="H388" s="58">
        <v>0.23240623303274766</v>
      </c>
      <c r="I388" s="58">
        <v>1.3192761837779843E-2</v>
      </c>
      <c r="J388" s="58">
        <v>0.14961212369982668</v>
      </c>
    </row>
    <row r="389" spans="1:10" ht="11.25" customHeight="1" x14ac:dyDescent="0.2">
      <c r="A389" s="67">
        <v>44501</v>
      </c>
      <c r="B389" s="57">
        <v>0</v>
      </c>
      <c r="C389" s="57">
        <v>0</v>
      </c>
      <c r="D389" s="57">
        <v>1202.9690399999999</v>
      </c>
      <c r="E389" s="57">
        <v>1482.5465430414206</v>
      </c>
      <c r="F389" s="57">
        <v>730.09248000000002</v>
      </c>
      <c r="G389" s="57">
        <v>739.72441620819404</v>
      </c>
      <c r="H389" s="58">
        <v>0.23240623303274766</v>
      </c>
      <c r="I389" s="58">
        <v>1.3192761837779843E-2</v>
      </c>
      <c r="J389" s="58">
        <v>0.14961212369982668</v>
      </c>
    </row>
    <row r="390" spans="1:10" ht="11.25" customHeight="1" x14ac:dyDescent="0.2">
      <c r="A390" s="67">
        <v>44531</v>
      </c>
      <c r="B390" s="57">
        <v>0</v>
      </c>
      <c r="C390" s="57">
        <v>0</v>
      </c>
      <c r="D390" s="57">
        <v>1301.9988800000001</v>
      </c>
      <c r="E390" s="57">
        <v>1604.5915351136564</v>
      </c>
      <c r="F390" s="57">
        <v>790.19456000000002</v>
      </c>
      <c r="G390" s="57">
        <v>800.61940863558925</v>
      </c>
      <c r="H390" s="58">
        <v>0.23240623303274743</v>
      </c>
      <c r="I390" s="58">
        <v>1.3192761837779843E-2</v>
      </c>
      <c r="J390" s="58">
        <v>0.14961212369982646</v>
      </c>
    </row>
    <row r="391" spans="1:10" ht="11.25" customHeight="1" x14ac:dyDescent="0.2">
      <c r="A391" s="67">
        <v>44562</v>
      </c>
      <c r="B391" s="57">
        <v>0</v>
      </c>
      <c r="C391" s="57">
        <v>0</v>
      </c>
      <c r="D391" s="57">
        <v>1267.9066400000002</v>
      </c>
      <c r="E391" s="57">
        <v>1562.5760460396079</v>
      </c>
      <c r="F391" s="57">
        <v>769.50368000000003</v>
      </c>
      <c r="G391" s="57">
        <v>779.65555878353518</v>
      </c>
      <c r="H391" s="58">
        <v>0.23240623303274743</v>
      </c>
      <c r="I391" s="58">
        <v>1.3192761837779843E-2</v>
      </c>
      <c r="J391" s="58">
        <v>0.14961212369982646</v>
      </c>
    </row>
    <row r="392" spans="1:10" ht="11.25" customHeight="1" x14ac:dyDescent="0.2">
      <c r="A392" s="67">
        <v>44593</v>
      </c>
      <c r="B392" s="57">
        <v>0</v>
      </c>
      <c r="C392" s="57">
        <v>0</v>
      </c>
      <c r="D392" s="57">
        <v>1357.1958400000001</v>
      </c>
      <c r="E392" s="57">
        <v>1672.6166126621154</v>
      </c>
      <c r="F392" s="57">
        <v>823.69407999999999</v>
      </c>
      <c r="G392" s="57">
        <v>834.56087982462918</v>
      </c>
      <c r="H392" s="58">
        <v>0.23240623303274721</v>
      </c>
      <c r="I392" s="58">
        <v>1.3192761837779843E-2</v>
      </c>
      <c r="J392" s="58">
        <v>0.14961212369982646</v>
      </c>
    </row>
    <row r="393" spans="1:10" ht="11.25" customHeight="1" x14ac:dyDescent="0.2">
      <c r="A393" s="67">
        <v>44621</v>
      </c>
      <c r="B393" s="57">
        <v>0</v>
      </c>
      <c r="C393" s="57">
        <v>0</v>
      </c>
      <c r="D393" s="57">
        <v>1320.6684400000001</v>
      </c>
      <c r="E393" s="57">
        <v>1627.6000172256352</v>
      </c>
      <c r="F393" s="57">
        <v>801.52527999999995</v>
      </c>
      <c r="G393" s="57">
        <v>812.09961212599978</v>
      </c>
      <c r="H393" s="58">
        <v>0.23240623303274743</v>
      </c>
      <c r="I393" s="58">
        <v>1.3192761837779843E-2</v>
      </c>
      <c r="J393" s="58">
        <v>0.14961212369982646</v>
      </c>
    </row>
    <row r="394" spans="1:10" ht="11.25" customHeight="1" x14ac:dyDescent="0.2">
      <c r="A394" s="67">
        <v>44652</v>
      </c>
      <c r="B394" s="57">
        <v>0</v>
      </c>
      <c r="C394" s="57">
        <v>0</v>
      </c>
      <c r="D394" s="57">
        <v>1396.1584</v>
      </c>
      <c r="E394" s="57">
        <v>1720.634314461028</v>
      </c>
      <c r="F394" s="57">
        <v>847.34080000000006</v>
      </c>
      <c r="G394" s="57">
        <v>858.5195653698338</v>
      </c>
      <c r="H394" s="58">
        <v>0.23240623303274766</v>
      </c>
      <c r="I394" s="58">
        <v>1.3192761837779621E-2</v>
      </c>
      <c r="J394" s="58">
        <v>0.14961212369982646</v>
      </c>
    </row>
    <row r="395" spans="1:10" ht="11.25" customHeight="1" x14ac:dyDescent="0.2">
      <c r="A395" s="67">
        <v>44682</v>
      </c>
      <c r="B395" s="57">
        <v>0</v>
      </c>
      <c r="C395" s="57">
        <v>0</v>
      </c>
      <c r="D395" s="57">
        <v>1039.81332</v>
      </c>
      <c r="E395" s="57">
        <v>1281.472416758475</v>
      </c>
      <c r="F395" s="57">
        <v>631.07183999999995</v>
      </c>
      <c r="G395" s="57">
        <v>639.39742048764958</v>
      </c>
      <c r="H395" s="58">
        <v>0.23240623303274766</v>
      </c>
      <c r="I395" s="58">
        <v>1.3192761837780065E-2</v>
      </c>
      <c r="J395" s="58">
        <v>0.14961212369982668</v>
      </c>
    </row>
    <row r="396" spans="1:10" ht="11.25" customHeight="1" x14ac:dyDescent="0.2">
      <c r="A396" s="67">
        <v>44713</v>
      </c>
      <c r="B396" s="57">
        <v>0</v>
      </c>
      <c r="C396" s="57">
        <v>0</v>
      </c>
      <c r="D396" s="57">
        <v>901.82092</v>
      </c>
      <c r="E396" s="57">
        <v>1111.4097228873268</v>
      </c>
      <c r="F396" s="57">
        <v>547.32303999999999</v>
      </c>
      <c r="G396" s="57">
        <v>554.54374251504964</v>
      </c>
      <c r="H396" s="58">
        <v>0.23240623303274743</v>
      </c>
      <c r="I396" s="58">
        <v>1.3192761837779843E-2</v>
      </c>
      <c r="J396" s="58">
        <v>0.14961212369982668</v>
      </c>
    </row>
    <row r="397" spans="1:10" ht="11.25" customHeight="1" x14ac:dyDescent="0.2">
      <c r="A397" s="67">
        <v>44743</v>
      </c>
      <c r="B397" s="57">
        <v>0</v>
      </c>
      <c r="C397" s="57">
        <v>0</v>
      </c>
      <c r="D397" s="57">
        <v>978.93431999999996</v>
      </c>
      <c r="E397" s="57">
        <v>1206.4447576976743</v>
      </c>
      <c r="F397" s="57">
        <v>594.12383999999986</v>
      </c>
      <c r="G397" s="57">
        <v>601.96197432326721</v>
      </c>
      <c r="H397" s="58">
        <v>0.23240623303274766</v>
      </c>
      <c r="I397" s="58">
        <v>1.3192761837780065E-2</v>
      </c>
      <c r="J397" s="58">
        <v>0.14961212369982668</v>
      </c>
    </row>
    <row r="398" spans="1:10" ht="11.25" customHeight="1" x14ac:dyDescent="0.2">
      <c r="A398" s="67">
        <v>44774</v>
      </c>
      <c r="B398" s="57">
        <v>0</v>
      </c>
      <c r="C398" s="57">
        <v>0</v>
      </c>
      <c r="D398" s="57">
        <v>978.93431999999996</v>
      </c>
      <c r="E398" s="57">
        <v>1206.4447576976743</v>
      </c>
      <c r="F398" s="57">
        <v>594.12383999999986</v>
      </c>
      <c r="G398" s="57">
        <v>601.96197432326721</v>
      </c>
      <c r="H398" s="58">
        <v>0.23240623303274766</v>
      </c>
      <c r="I398" s="58">
        <v>1.3192761837780065E-2</v>
      </c>
      <c r="J398" s="58">
        <v>0.14961212369982668</v>
      </c>
    </row>
    <row r="399" spans="1:10" ht="11.25" customHeight="1" x14ac:dyDescent="0.2">
      <c r="A399" s="61" t="s">
        <v>23</v>
      </c>
      <c r="B399" s="57">
        <v>0</v>
      </c>
      <c r="C399" s="57">
        <v>0</v>
      </c>
      <c r="D399" s="57">
        <v>44375601.757380001</v>
      </c>
      <c r="E399" s="57">
        <v>60377823.70654127</v>
      </c>
      <c r="F399" s="57">
        <v>44965081.973530009</v>
      </c>
      <c r="G399" s="57">
        <v>45824303.183586672</v>
      </c>
      <c r="H399" s="58">
        <v>0.36060856226022864</v>
      </c>
      <c r="I399" s="58">
        <v>1.9108632128424841E-2</v>
      </c>
      <c r="J399" s="58">
        <v>0.18873196907697531</v>
      </c>
    </row>
    <row r="400" spans="1:10" ht="11.25" customHeight="1" x14ac:dyDescent="0.2">
      <c r="A400" s="62" t="s">
        <v>24</v>
      </c>
      <c r="B400" s="57">
        <v>0</v>
      </c>
      <c r="C400" s="57">
        <v>0</v>
      </c>
      <c r="D400" s="57">
        <v>44375601.757380001</v>
      </c>
      <c r="E400" s="57">
        <v>60377823.70654127</v>
      </c>
      <c r="F400" s="57">
        <v>44965081.973530009</v>
      </c>
      <c r="G400" s="57">
        <v>45824303.183586672</v>
      </c>
      <c r="H400" s="58">
        <v>0.36060856226022864</v>
      </c>
      <c r="I400" s="58">
        <v>1.9108632128424841E-2</v>
      </c>
      <c r="J400" s="58">
        <v>0.18873196907697531</v>
      </c>
    </row>
    <row r="401" spans="1:10" ht="11.25" customHeight="1" x14ac:dyDescent="0.2">
      <c r="A401" s="63" t="s">
        <v>24</v>
      </c>
      <c r="B401" s="57">
        <v>0</v>
      </c>
      <c r="C401" s="57">
        <v>0</v>
      </c>
      <c r="D401" s="57">
        <v>40651896.199919999</v>
      </c>
      <c r="E401" s="57">
        <v>56107043.20493535</v>
      </c>
      <c r="F401" s="57">
        <v>40359094.435860001</v>
      </c>
      <c r="G401" s="57">
        <v>41130375.368982911</v>
      </c>
      <c r="H401" s="58">
        <v>0.38018268395179478</v>
      </c>
      <c r="I401" s="58">
        <v>1.9110461815456725E-2</v>
      </c>
      <c r="J401" s="58">
        <v>0.20029909288594205</v>
      </c>
    </row>
    <row r="402" spans="1:10" ht="11.25" customHeight="1" x14ac:dyDescent="0.2">
      <c r="A402" s="64" t="s">
        <v>25</v>
      </c>
      <c r="B402" s="57">
        <v>0</v>
      </c>
      <c r="C402" s="57">
        <v>0</v>
      </c>
      <c r="D402" s="57">
        <v>40651896.199919999</v>
      </c>
      <c r="E402" s="57">
        <v>56107043.20493535</v>
      </c>
      <c r="F402" s="57">
        <v>40359094.435860001</v>
      </c>
      <c r="G402" s="57">
        <v>41130375.368982911</v>
      </c>
      <c r="H402" s="58">
        <v>0.38018268395179478</v>
      </c>
      <c r="I402" s="58">
        <v>1.9110461815456725E-2</v>
      </c>
      <c r="J402" s="58">
        <v>0.20029909288594205</v>
      </c>
    </row>
    <row r="403" spans="1:10" ht="11.25" customHeight="1" x14ac:dyDescent="0.2">
      <c r="A403" s="65" t="s">
        <v>25</v>
      </c>
      <c r="B403" s="57">
        <v>0</v>
      </c>
      <c r="C403" s="57">
        <v>0</v>
      </c>
      <c r="D403" s="57">
        <v>40651896.199919999</v>
      </c>
      <c r="E403" s="57">
        <v>56107043.20493535</v>
      </c>
      <c r="F403" s="57">
        <v>40359094.435860001</v>
      </c>
      <c r="G403" s="57">
        <v>41130375.368982911</v>
      </c>
      <c r="H403" s="58">
        <v>0.38018268395179478</v>
      </c>
      <c r="I403" s="58">
        <v>1.9110461815456725E-2</v>
      </c>
      <c r="J403" s="58">
        <v>0.20029909288594205</v>
      </c>
    </row>
    <row r="404" spans="1:10" ht="11.25" customHeight="1" x14ac:dyDescent="0.2">
      <c r="A404" s="66" t="s">
        <v>25</v>
      </c>
      <c r="B404" s="57">
        <v>0</v>
      </c>
      <c r="C404" s="57">
        <v>0</v>
      </c>
      <c r="D404" s="57">
        <v>40651896.199919999</v>
      </c>
      <c r="E404" s="57">
        <v>56107043.20493535</v>
      </c>
      <c r="F404" s="57">
        <v>40359094.435860001</v>
      </c>
      <c r="G404" s="57">
        <v>41130375.368982911</v>
      </c>
      <c r="H404" s="58">
        <v>0.38018268395179478</v>
      </c>
      <c r="I404" s="58">
        <v>1.9110461815456725E-2</v>
      </c>
      <c r="J404" s="58">
        <v>0.20029909288594205</v>
      </c>
    </row>
    <row r="405" spans="1:10" ht="11.25" customHeight="1" x14ac:dyDescent="0.2">
      <c r="A405" s="67">
        <v>44440</v>
      </c>
      <c r="B405" s="57">
        <v>0</v>
      </c>
      <c r="C405" s="57">
        <v>0</v>
      </c>
      <c r="D405" s="57">
        <v>3322390.84296</v>
      </c>
      <c r="E405" s="57">
        <v>4585506.3107733978</v>
      </c>
      <c r="F405" s="57">
        <v>3298460.7931800005</v>
      </c>
      <c r="G405" s="57">
        <v>3361495.9022178473</v>
      </c>
      <c r="H405" s="58">
        <v>0.38018268395179455</v>
      </c>
      <c r="I405" s="58">
        <v>1.9110461815456503E-2</v>
      </c>
      <c r="J405" s="58">
        <v>0.20029909288594161</v>
      </c>
    </row>
    <row r="406" spans="1:10" ht="11.25" customHeight="1" x14ac:dyDescent="0.2">
      <c r="A406" s="67">
        <v>44470</v>
      </c>
      <c r="B406" s="57">
        <v>0</v>
      </c>
      <c r="C406" s="57">
        <v>0</v>
      </c>
      <c r="D406" s="57">
        <v>3509237.1280800002</v>
      </c>
      <c r="E406" s="57">
        <v>4843388.3180567427</v>
      </c>
      <c r="F406" s="57">
        <v>3483961.2881400003</v>
      </c>
      <c r="G406" s="57">
        <v>3550541.3973035286</v>
      </c>
      <c r="H406" s="58">
        <v>0.38018268395179478</v>
      </c>
      <c r="I406" s="58">
        <v>1.9110461815456503E-2</v>
      </c>
      <c r="J406" s="58">
        <v>0.20029909288594183</v>
      </c>
    </row>
    <row r="407" spans="1:10" ht="11.25" customHeight="1" x14ac:dyDescent="0.2">
      <c r="A407" s="67">
        <v>44501</v>
      </c>
      <c r="B407" s="57">
        <v>0</v>
      </c>
      <c r="C407" s="57">
        <v>0</v>
      </c>
      <c r="D407" s="57">
        <v>3375963.8798400001</v>
      </c>
      <c r="E407" s="57">
        <v>4659446.8886018861</v>
      </c>
      <c r="F407" s="57">
        <v>3351647.9617200005</v>
      </c>
      <c r="G407" s="57">
        <v>3415699.5021113032</v>
      </c>
      <c r="H407" s="58">
        <v>0.380182683951795</v>
      </c>
      <c r="I407" s="58">
        <v>1.9110461815456503E-2</v>
      </c>
      <c r="J407" s="58">
        <v>0.20029909288594183</v>
      </c>
    </row>
    <row r="408" spans="1:10" ht="11.25" customHeight="1" x14ac:dyDescent="0.2">
      <c r="A408" s="67">
        <v>44531</v>
      </c>
      <c r="B408" s="57">
        <v>0</v>
      </c>
      <c r="C408" s="57">
        <v>0</v>
      </c>
      <c r="D408" s="57">
        <v>3491432.7294399999</v>
      </c>
      <c r="E408" s="57">
        <v>4818814.9953556405</v>
      </c>
      <c r="F408" s="57">
        <v>3466285.1285200003</v>
      </c>
      <c r="G408" s="57">
        <v>3532527.438110067</v>
      </c>
      <c r="H408" s="58">
        <v>0.380182683951795</v>
      </c>
      <c r="I408" s="58">
        <v>1.9110461815456725E-2</v>
      </c>
      <c r="J408" s="58">
        <v>0.20029909288594205</v>
      </c>
    </row>
    <row r="409" spans="1:10" ht="11.25" customHeight="1" x14ac:dyDescent="0.2">
      <c r="A409" s="67">
        <v>44562</v>
      </c>
      <c r="B409" s="57">
        <v>0</v>
      </c>
      <c r="C409" s="57">
        <v>0</v>
      </c>
      <c r="D409" s="57">
        <v>3613831.2694399995</v>
      </c>
      <c r="E409" s="57">
        <v>4987747.3408046197</v>
      </c>
      <c r="F409" s="57">
        <v>3587802.0735199996</v>
      </c>
      <c r="G409" s="57">
        <v>3656366.6280474202</v>
      </c>
      <c r="H409" s="58">
        <v>0.38018268395179478</v>
      </c>
      <c r="I409" s="58">
        <v>1.9110461815456725E-2</v>
      </c>
      <c r="J409" s="58">
        <v>0.20029909288594183</v>
      </c>
    </row>
    <row r="410" spans="1:10" ht="11.25" customHeight="1" x14ac:dyDescent="0.2">
      <c r="A410" s="67">
        <v>44593</v>
      </c>
      <c r="B410" s="57">
        <v>0</v>
      </c>
      <c r="C410" s="57">
        <v>0</v>
      </c>
      <c r="D410" s="57">
        <v>3939349.65864</v>
      </c>
      <c r="E410" s="57">
        <v>5437022.184886341</v>
      </c>
      <c r="F410" s="57">
        <v>3910975.8646200001</v>
      </c>
      <c r="G410" s="57">
        <v>3985716.4195419927</v>
      </c>
      <c r="H410" s="58">
        <v>0.38018268395179455</v>
      </c>
      <c r="I410" s="58">
        <v>1.9110461815456503E-2</v>
      </c>
      <c r="J410" s="58">
        <v>0.20029909288594183</v>
      </c>
    </row>
    <row r="411" spans="1:10" ht="11.25" customHeight="1" x14ac:dyDescent="0.2">
      <c r="A411" s="67">
        <v>44621</v>
      </c>
      <c r="B411" s="57">
        <v>0</v>
      </c>
      <c r="C411" s="57">
        <v>0</v>
      </c>
      <c r="D411" s="57">
        <v>3798025.5591199999</v>
      </c>
      <c r="E411" s="57">
        <v>5241969.1099037575</v>
      </c>
      <c r="F411" s="57">
        <v>3770669.6744600004</v>
      </c>
      <c r="G411" s="57">
        <v>3842728.9132924681</v>
      </c>
      <c r="H411" s="58">
        <v>0.38018268395179478</v>
      </c>
      <c r="I411" s="58">
        <v>1.9110461815456503E-2</v>
      </c>
      <c r="J411" s="58">
        <v>0.20029909288594183</v>
      </c>
    </row>
    <row r="412" spans="1:10" ht="11.25" customHeight="1" x14ac:dyDescent="0.2">
      <c r="A412" s="67">
        <v>44652</v>
      </c>
      <c r="B412" s="57">
        <v>0</v>
      </c>
      <c r="C412" s="57">
        <v>0</v>
      </c>
      <c r="D412" s="57">
        <v>3842464.2699199999</v>
      </c>
      <c r="E412" s="57">
        <v>5303302.649047059</v>
      </c>
      <c r="F412" s="57">
        <v>3814788.3083599997</v>
      </c>
      <c r="G412" s="57">
        <v>3887690.6746609644</v>
      </c>
      <c r="H412" s="58">
        <v>0.38018268395179478</v>
      </c>
      <c r="I412" s="58">
        <v>1.9110461815456725E-2</v>
      </c>
      <c r="J412" s="58">
        <v>0.20029909288594183</v>
      </c>
    </row>
    <row r="413" spans="1:10" ht="11.25" customHeight="1" x14ac:dyDescent="0.2">
      <c r="A413" s="67">
        <v>44682</v>
      </c>
      <c r="B413" s="57">
        <v>0</v>
      </c>
      <c r="C413" s="57">
        <v>0</v>
      </c>
      <c r="D413" s="57">
        <v>3345156.8089599996</v>
      </c>
      <c r="E413" s="57">
        <v>4616927.5028300332</v>
      </c>
      <c r="F413" s="57">
        <v>3321062.7836800003</v>
      </c>
      <c r="G413" s="57">
        <v>3384529.8271942516</v>
      </c>
      <c r="H413" s="58">
        <v>0.38018268395179478</v>
      </c>
      <c r="I413" s="58">
        <v>1.9110461815456725E-2</v>
      </c>
      <c r="J413" s="58">
        <v>0.20029909288594205</v>
      </c>
    </row>
    <row r="414" spans="1:10" ht="11.25" customHeight="1" x14ac:dyDescent="0.2">
      <c r="A414" s="67">
        <v>44713</v>
      </c>
      <c r="B414" s="57">
        <v>0</v>
      </c>
      <c r="C414" s="57">
        <v>0</v>
      </c>
      <c r="D414" s="57">
        <v>2892948.2149600005</v>
      </c>
      <c r="E414" s="57">
        <v>3992797.0318570468</v>
      </c>
      <c r="F414" s="57">
        <v>2872111.2941800007</v>
      </c>
      <c r="G414" s="57">
        <v>2926998.6673971689</v>
      </c>
      <c r="H414" s="58">
        <v>0.38018268395179455</v>
      </c>
      <c r="I414" s="58">
        <v>1.9110461815456503E-2</v>
      </c>
      <c r="J414" s="58">
        <v>0.20029909288594161</v>
      </c>
    </row>
    <row r="415" spans="1:10" ht="11.25" customHeight="1" x14ac:dyDescent="0.2">
      <c r="A415" s="67">
        <v>44743</v>
      </c>
      <c r="B415" s="57">
        <v>0</v>
      </c>
      <c r="C415" s="57">
        <v>0</v>
      </c>
      <c r="D415" s="57">
        <v>2760547.91928</v>
      </c>
      <c r="E415" s="57">
        <v>3810060.4364094129</v>
      </c>
      <c r="F415" s="57">
        <v>2740664.6327400007</v>
      </c>
      <c r="G415" s="57">
        <v>2793039.9995529507</v>
      </c>
      <c r="H415" s="58">
        <v>0.38018268395179478</v>
      </c>
      <c r="I415" s="58">
        <v>1.9110461815456503E-2</v>
      </c>
      <c r="J415" s="58">
        <v>0.20029909288594205</v>
      </c>
    </row>
    <row r="416" spans="1:10" ht="11.25" customHeight="1" x14ac:dyDescent="0.2">
      <c r="A416" s="67">
        <v>44774</v>
      </c>
      <c r="B416" s="57">
        <v>0</v>
      </c>
      <c r="C416" s="57">
        <v>0</v>
      </c>
      <c r="D416" s="57">
        <v>2760547.91928</v>
      </c>
      <c r="E416" s="57">
        <v>3810060.4364094129</v>
      </c>
      <c r="F416" s="57">
        <v>2740664.6327400007</v>
      </c>
      <c r="G416" s="57">
        <v>2793039.9995529507</v>
      </c>
      <c r="H416" s="58">
        <v>0.38018268395179478</v>
      </c>
      <c r="I416" s="58">
        <v>1.9110461815456503E-2</v>
      </c>
      <c r="J416" s="58">
        <v>0.20029909288594205</v>
      </c>
    </row>
    <row r="417" spans="1:10" ht="11.25" customHeight="1" x14ac:dyDescent="0.2">
      <c r="A417" s="63" t="s">
        <v>29</v>
      </c>
      <c r="B417" s="57">
        <v>0</v>
      </c>
      <c r="C417" s="57">
        <v>0</v>
      </c>
      <c r="D417" s="57">
        <v>381463.87769999995</v>
      </c>
      <c r="E417" s="57">
        <v>437490.97590963996</v>
      </c>
      <c r="F417" s="57">
        <v>471824.88389999996</v>
      </c>
      <c r="G417" s="57">
        <v>480837.41594498692</v>
      </c>
      <c r="H417" s="58">
        <v>0.14687392826668177</v>
      </c>
      <c r="I417" s="58">
        <v>1.9101434351005864E-2</v>
      </c>
      <c r="J417" s="58">
        <v>7.6222297985820475E-2</v>
      </c>
    </row>
    <row r="418" spans="1:10" ht="11.25" customHeight="1" x14ac:dyDescent="0.2">
      <c r="A418" s="64" t="s">
        <v>25</v>
      </c>
      <c r="B418" s="57">
        <v>0</v>
      </c>
      <c r="C418" s="57">
        <v>0</v>
      </c>
      <c r="D418" s="57">
        <v>381463.87769999995</v>
      </c>
      <c r="E418" s="57">
        <v>437490.97590963996</v>
      </c>
      <c r="F418" s="57">
        <v>471824.88389999996</v>
      </c>
      <c r="G418" s="57">
        <v>480837.41594498692</v>
      </c>
      <c r="H418" s="58">
        <v>0.14687392826668177</v>
      </c>
      <c r="I418" s="58">
        <v>1.9101434351005864E-2</v>
      </c>
      <c r="J418" s="58">
        <v>7.6222297985820475E-2</v>
      </c>
    </row>
    <row r="419" spans="1:10" ht="11.25" customHeight="1" x14ac:dyDescent="0.2">
      <c r="A419" s="65" t="s">
        <v>25</v>
      </c>
      <c r="B419" s="57">
        <v>0</v>
      </c>
      <c r="C419" s="57">
        <v>0</v>
      </c>
      <c r="D419" s="57">
        <v>381463.87769999995</v>
      </c>
      <c r="E419" s="57">
        <v>437490.97590963996</v>
      </c>
      <c r="F419" s="57">
        <v>471824.88389999996</v>
      </c>
      <c r="G419" s="57">
        <v>480837.41594498692</v>
      </c>
      <c r="H419" s="58">
        <v>0.14687392826668177</v>
      </c>
      <c r="I419" s="58">
        <v>1.9101434351005864E-2</v>
      </c>
      <c r="J419" s="58">
        <v>7.6222297985820475E-2</v>
      </c>
    </row>
    <row r="420" spans="1:10" ht="11.25" customHeight="1" x14ac:dyDescent="0.2">
      <c r="A420" s="66" t="s">
        <v>25</v>
      </c>
      <c r="B420" s="57">
        <v>0</v>
      </c>
      <c r="C420" s="57">
        <v>0</v>
      </c>
      <c r="D420" s="57">
        <v>381463.87769999995</v>
      </c>
      <c r="E420" s="57">
        <v>437490.97590963996</v>
      </c>
      <c r="F420" s="57">
        <v>471824.88389999996</v>
      </c>
      <c r="G420" s="57">
        <v>480837.41594498692</v>
      </c>
      <c r="H420" s="58">
        <v>0.14687392826668177</v>
      </c>
      <c r="I420" s="58">
        <v>1.9101434351005864E-2</v>
      </c>
      <c r="J420" s="58">
        <v>7.6222297985820475E-2</v>
      </c>
    </row>
    <row r="421" spans="1:10" ht="11.25" customHeight="1" x14ac:dyDescent="0.2">
      <c r="A421" s="67">
        <v>44440</v>
      </c>
      <c r="B421" s="57">
        <v>0</v>
      </c>
      <c r="C421" s="57">
        <v>0</v>
      </c>
      <c r="D421" s="57">
        <v>27704.095799999999</v>
      </c>
      <c r="E421" s="57">
        <v>31773.105179222475</v>
      </c>
      <c r="F421" s="57">
        <v>34266.630599999997</v>
      </c>
      <c r="G421" s="57">
        <v>34921.172394836081</v>
      </c>
      <c r="H421" s="58">
        <v>0.14687392826668155</v>
      </c>
      <c r="I421" s="58">
        <v>1.9101434351006308E-2</v>
      </c>
      <c r="J421" s="58">
        <v>7.6222297985820697E-2</v>
      </c>
    </row>
    <row r="422" spans="1:10" ht="11.25" customHeight="1" x14ac:dyDescent="0.2">
      <c r="A422" s="67">
        <v>44470</v>
      </c>
      <c r="B422" s="57">
        <v>0</v>
      </c>
      <c r="C422" s="57">
        <v>0</v>
      </c>
      <c r="D422" s="57">
        <v>28164.096600000001</v>
      </c>
      <c r="E422" s="57">
        <v>32300.668103724292</v>
      </c>
      <c r="F422" s="57">
        <v>34835.5962</v>
      </c>
      <c r="G422" s="57">
        <v>35501.006053892466</v>
      </c>
      <c r="H422" s="58">
        <v>0.14687392826668155</v>
      </c>
      <c r="I422" s="58">
        <v>1.9101434351006308E-2</v>
      </c>
      <c r="J422" s="58">
        <v>7.6222297985820475E-2</v>
      </c>
    </row>
    <row r="423" spans="1:10" ht="11.25" customHeight="1" x14ac:dyDescent="0.2">
      <c r="A423" s="67">
        <v>44501</v>
      </c>
      <c r="B423" s="57">
        <v>0</v>
      </c>
      <c r="C423" s="57">
        <v>0</v>
      </c>
      <c r="D423" s="57">
        <v>28873.264499999997</v>
      </c>
      <c r="E423" s="57">
        <v>33113.994278997925</v>
      </c>
      <c r="F423" s="57">
        <v>35712.751500000006</v>
      </c>
      <c r="G423" s="57">
        <v>36394.916278271041</v>
      </c>
      <c r="H423" s="58">
        <v>0.14687392826668177</v>
      </c>
      <c r="I423" s="58">
        <v>1.9101434351005864E-2</v>
      </c>
      <c r="J423" s="58">
        <v>7.6222297985820475E-2</v>
      </c>
    </row>
    <row r="424" spans="1:10" ht="11.25" customHeight="1" x14ac:dyDescent="0.2">
      <c r="A424" s="67">
        <v>44531</v>
      </c>
      <c r="B424" s="57">
        <v>0</v>
      </c>
      <c r="C424" s="57">
        <v>0</v>
      </c>
      <c r="D424" s="57">
        <v>29404.455899999997</v>
      </c>
      <c r="E424" s="57">
        <v>33723.203846577402</v>
      </c>
      <c r="F424" s="57">
        <v>36369.7713</v>
      </c>
      <c r="G424" s="57">
        <v>37064.48609884805</v>
      </c>
      <c r="H424" s="58">
        <v>0.14687392826668177</v>
      </c>
      <c r="I424" s="58">
        <v>1.9101434351005864E-2</v>
      </c>
      <c r="J424" s="58">
        <v>7.6222297985820697E-2</v>
      </c>
    </row>
    <row r="425" spans="1:10" ht="11.25" customHeight="1" x14ac:dyDescent="0.2">
      <c r="A425" s="67">
        <v>44562</v>
      </c>
      <c r="B425" s="57">
        <v>0</v>
      </c>
      <c r="C425" s="57">
        <v>0</v>
      </c>
      <c r="D425" s="57">
        <v>29916.480599999999</v>
      </c>
      <c r="E425" s="57">
        <v>34310.431625635974</v>
      </c>
      <c r="F425" s="57">
        <v>37003.084200000005</v>
      </c>
      <c r="G425" s="57">
        <v>37709.896183631055</v>
      </c>
      <c r="H425" s="58">
        <v>0.14687392826668177</v>
      </c>
      <c r="I425" s="58">
        <v>1.9101434351006086E-2</v>
      </c>
      <c r="J425" s="58">
        <v>7.6222297985820475E-2</v>
      </c>
    </row>
    <row r="426" spans="1:10" ht="11.25" customHeight="1" x14ac:dyDescent="0.2">
      <c r="A426" s="67">
        <v>44593</v>
      </c>
      <c r="B426" s="57">
        <v>0</v>
      </c>
      <c r="C426" s="57">
        <v>0</v>
      </c>
      <c r="D426" s="57">
        <v>30598.267499999998</v>
      </c>
      <c r="E426" s="57">
        <v>35092.355245879735</v>
      </c>
      <c r="F426" s="57">
        <v>37846.372499999998</v>
      </c>
      <c r="G426" s="57">
        <v>38569.292499732474</v>
      </c>
      <c r="H426" s="58">
        <v>0.14687392826668177</v>
      </c>
      <c r="I426" s="58">
        <v>1.9101434351006086E-2</v>
      </c>
      <c r="J426" s="58">
        <v>7.6222297985820475E-2</v>
      </c>
    </row>
    <row r="427" spans="1:10" ht="11.25" customHeight="1" x14ac:dyDescent="0.2">
      <c r="A427" s="67">
        <v>44621</v>
      </c>
      <c r="B427" s="57">
        <v>0</v>
      </c>
      <c r="C427" s="57">
        <v>0</v>
      </c>
      <c r="D427" s="57">
        <v>36838.397399999994</v>
      </c>
      <c r="E427" s="57">
        <v>42248.997537187111</v>
      </c>
      <c r="F427" s="57">
        <v>45564.661800000002</v>
      </c>
      <c r="G427" s="57">
        <v>46435.012196098491</v>
      </c>
      <c r="H427" s="58">
        <v>0.14687392826668177</v>
      </c>
      <c r="I427" s="58">
        <v>1.9101434351005864E-2</v>
      </c>
      <c r="J427" s="58">
        <v>7.6222297985820697E-2</v>
      </c>
    </row>
    <row r="428" spans="1:10" ht="11.25" customHeight="1" x14ac:dyDescent="0.2">
      <c r="A428" s="67">
        <v>44652</v>
      </c>
      <c r="B428" s="57">
        <v>0</v>
      </c>
      <c r="C428" s="57">
        <v>0</v>
      </c>
      <c r="D428" s="57">
        <v>37457.207999999991</v>
      </c>
      <c r="E428" s="57">
        <v>42958.695280862165</v>
      </c>
      <c r="F428" s="57">
        <v>46330.055999999997</v>
      </c>
      <c r="G428" s="57">
        <v>47215.026523162436</v>
      </c>
      <c r="H428" s="58">
        <v>0.14687392826668155</v>
      </c>
      <c r="I428" s="58">
        <v>1.9101434351006086E-2</v>
      </c>
      <c r="J428" s="58">
        <v>7.6222297985820253E-2</v>
      </c>
    </row>
    <row r="429" spans="1:10" ht="11.25" customHeight="1" x14ac:dyDescent="0.2">
      <c r="A429" s="67">
        <v>44682</v>
      </c>
      <c r="B429" s="57">
        <v>0</v>
      </c>
      <c r="C429" s="57">
        <v>0</v>
      </c>
      <c r="D429" s="57">
        <v>34543.869599999998</v>
      </c>
      <c r="E429" s="57">
        <v>39617.463425684</v>
      </c>
      <c r="F429" s="57">
        <v>42726.607199999999</v>
      </c>
      <c r="G429" s="57">
        <v>43542.746682472025</v>
      </c>
      <c r="H429" s="58">
        <v>0.14687392826668155</v>
      </c>
      <c r="I429" s="58">
        <v>1.9101434351006086E-2</v>
      </c>
      <c r="J429" s="58">
        <v>7.6222297985820475E-2</v>
      </c>
    </row>
    <row r="430" spans="1:10" ht="11.25" customHeight="1" x14ac:dyDescent="0.2">
      <c r="A430" s="67">
        <v>44713</v>
      </c>
      <c r="B430" s="57">
        <v>0</v>
      </c>
      <c r="C430" s="57">
        <v>0</v>
      </c>
      <c r="D430" s="57">
        <v>36411.253800000006</v>
      </c>
      <c r="E430" s="57">
        <v>41759.117678721137</v>
      </c>
      <c r="F430" s="57">
        <v>45036.336599999995</v>
      </c>
      <c r="G430" s="57">
        <v>45896.595226974714</v>
      </c>
      <c r="H430" s="58">
        <v>0.14687392826668133</v>
      </c>
      <c r="I430" s="58">
        <v>1.9101434351006308E-2</v>
      </c>
      <c r="J430" s="58">
        <v>7.6222297985820475E-2</v>
      </c>
    </row>
    <row r="431" spans="1:10" ht="11.25" customHeight="1" x14ac:dyDescent="0.2">
      <c r="A431" s="67">
        <v>44743</v>
      </c>
      <c r="B431" s="57">
        <v>0</v>
      </c>
      <c r="C431" s="57">
        <v>0</v>
      </c>
      <c r="D431" s="57">
        <v>30776.243999999995</v>
      </c>
      <c r="E431" s="57">
        <v>35296.471853573879</v>
      </c>
      <c r="F431" s="57">
        <v>38066.507999999994</v>
      </c>
      <c r="G431" s="57">
        <v>38793.632903534039</v>
      </c>
      <c r="H431" s="58">
        <v>0.14687392826668133</v>
      </c>
      <c r="I431" s="58">
        <v>1.9101434351006086E-2</v>
      </c>
      <c r="J431" s="58">
        <v>7.6222297985820253E-2</v>
      </c>
    </row>
    <row r="432" spans="1:10" ht="11.25" customHeight="1" x14ac:dyDescent="0.2">
      <c r="A432" s="67">
        <v>44774</v>
      </c>
      <c r="B432" s="57">
        <v>0</v>
      </c>
      <c r="C432" s="57">
        <v>0</v>
      </c>
      <c r="D432" s="57">
        <v>30776.243999999995</v>
      </c>
      <c r="E432" s="57">
        <v>35296.471853573879</v>
      </c>
      <c r="F432" s="57">
        <v>38066.507999999994</v>
      </c>
      <c r="G432" s="57">
        <v>38793.632903534039</v>
      </c>
      <c r="H432" s="58">
        <v>0.14687392826668133</v>
      </c>
      <c r="I432" s="58">
        <v>1.9101434351006086E-2</v>
      </c>
      <c r="J432" s="58">
        <v>7.6222297985820253E-2</v>
      </c>
    </row>
    <row r="433" spans="1:10" ht="11.25" customHeight="1" x14ac:dyDescent="0.2">
      <c r="A433" s="63" t="s">
        <v>30</v>
      </c>
      <c r="B433" s="57">
        <v>0</v>
      </c>
      <c r="C433" s="57">
        <v>0</v>
      </c>
      <c r="D433" s="57">
        <v>1311154.5139600001</v>
      </c>
      <c r="E433" s="57">
        <v>1503756.3878413967</v>
      </c>
      <c r="F433" s="57">
        <v>1621805.7847800001</v>
      </c>
      <c r="G433" s="57">
        <v>1652748.0006576574</v>
      </c>
      <c r="H433" s="58">
        <v>0.14689487152791258</v>
      </c>
      <c r="I433" s="58">
        <v>1.9078866389574456E-2</v>
      </c>
      <c r="J433" s="58">
        <v>7.6217905116236384E-2</v>
      </c>
    </row>
    <row r="434" spans="1:10" ht="11.25" customHeight="1" x14ac:dyDescent="0.2">
      <c r="A434" s="64" t="s">
        <v>25</v>
      </c>
      <c r="B434" s="57">
        <v>0</v>
      </c>
      <c r="C434" s="57">
        <v>0</v>
      </c>
      <c r="D434" s="57">
        <v>1311154.5139600001</v>
      </c>
      <c r="E434" s="57">
        <v>1503756.3878413967</v>
      </c>
      <c r="F434" s="57">
        <v>1621805.7847800001</v>
      </c>
      <c r="G434" s="57">
        <v>1652748.0006576574</v>
      </c>
      <c r="H434" s="58">
        <v>0.14689487152791258</v>
      </c>
      <c r="I434" s="58">
        <v>1.9078866389574456E-2</v>
      </c>
      <c r="J434" s="58">
        <v>7.6217905116236384E-2</v>
      </c>
    </row>
    <row r="435" spans="1:10" ht="11.25" customHeight="1" x14ac:dyDescent="0.2">
      <c r="A435" s="65" t="s">
        <v>25</v>
      </c>
      <c r="B435" s="57">
        <v>0</v>
      </c>
      <c r="C435" s="57">
        <v>0</v>
      </c>
      <c r="D435" s="57">
        <v>1311154.5139600001</v>
      </c>
      <c r="E435" s="57">
        <v>1503756.3878413967</v>
      </c>
      <c r="F435" s="57">
        <v>1621805.7847800001</v>
      </c>
      <c r="G435" s="57">
        <v>1652748.0006576574</v>
      </c>
      <c r="H435" s="58">
        <v>0.14689487152791258</v>
      </c>
      <c r="I435" s="58">
        <v>1.9078866389574456E-2</v>
      </c>
      <c r="J435" s="58">
        <v>7.6217905116236384E-2</v>
      </c>
    </row>
    <row r="436" spans="1:10" ht="11.25" customHeight="1" x14ac:dyDescent="0.2">
      <c r="A436" s="66" t="s">
        <v>25</v>
      </c>
      <c r="B436" s="57">
        <v>0</v>
      </c>
      <c r="C436" s="57">
        <v>0</v>
      </c>
      <c r="D436" s="57">
        <v>1311154.5139600001</v>
      </c>
      <c r="E436" s="57">
        <v>1503756.3878413967</v>
      </c>
      <c r="F436" s="57">
        <v>1621805.7847800001</v>
      </c>
      <c r="G436" s="57">
        <v>1652748.0006576574</v>
      </c>
      <c r="H436" s="58">
        <v>0.14689487152791258</v>
      </c>
      <c r="I436" s="58">
        <v>1.9078866389574456E-2</v>
      </c>
      <c r="J436" s="58">
        <v>7.6217905116236384E-2</v>
      </c>
    </row>
    <row r="437" spans="1:10" ht="11.25" customHeight="1" x14ac:dyDescent="0.2">
      <c r="A437" s="67">
        <v>44440</v>
      </c>
      <c r="B437" s="57">
        <v>0</v>
      </c>
      <c r="C437" s="57">
        <v>0</v>
      </c>
      <c r="D437" s="57">
        <v>94698.040840000016</v>
      </c>
      <c r="E437" s="57">
        <v>108608.69738313681</v>
      </c>
      <c r="F437" s="57">
        <v>117134.80662</v>
      </c>
      <c r="G437" s="57">
        <v>119369.60594507169</v>
      </c>
      <c r="H437" s="58">
        <v>0.14689487152791236</v>
      </c>
      <c r="I437" s="58">
        <v>1.90788663895749E-2</v>
      </c>
      <c r="J437" s="58">
        <v>7.6217905116236606E-2</v>
      </c>
    </row>
    <row r="438" spans="1:10" ht="11.25" customHeight="1" x14ac:dyDescent="0.2">
      <c r="A438" s="67">
        <v>44470</v>
      </c>
      <c r="B438" s="57">
        <v>0</v>
      </c>
      <c r="C438" s="57">
        <v>0</v>
      </c>
      <c r="D438" s="57">
        <v>97743.691200000001</v>
      </c>
      <c r="E438" s="57">
        <v>112101.73816148796</v>
      </c>
      <c r="F438" s="57">
        <v>120902.0616</v>
      </c>
      <c r="G438" s="57">
        <v>123208.73587949054</v>
      </c>
      <c r="H438" s="58">
        <v>0.14689487152791258</v>
      </c>
      <c r="I438" s="58">
        <v>1.90788663895749E-2</v>
      </c>
      <c r="J438" s="58">
        <v>7.6217905116236384E-2</v>
      </c>
    </row>
    <row r="439" spans="1:10" ht="11.25" customHeight="1" x14ac:dyDescent="0.2">
      <c r="A439" s="67">
        <v>44501</v>
      </c>
      <c r="B439" s="57">
        <v>0</v>
      </c>
      <c r="C439" s="57">
        <v>0</v>
      </c>
      <c r="D439" s="57">
        <v>99394.813580000016</v>
      </c>
      <c r="E439" s="57">
        <v>113995.40195137492</v>
      </c>
      <c r="F439" s="57">
        <v>122944.38368999999</v>
      </c>
      <c r="G439" s="57">
        <v>125290.02315977013</v>
      </c>
      <c r="H439" s="58">
        <v>0.14689487152791236</v>
      </c>
      <c r="I439" s="58">
        <v>1.90788663895749E-2</v>
      </c>
      <c r="J439" s="58">
        <v>7.6217905116236606E-2</v>
      </c>
    </row>
    <row r="440" spans="1:10" ht="11.25" customHeight="1" x14ac:dyDescent="0.2">
      <c r="A440" s="67">
        <v>44531</v>
      </c>
      <c r="B440" s="57">
        <v>0</v>
      </c>
      <c r="C440" s="57">
        <v>0</v>
      </c>
      <c r="D440" s="57">
        <v>102488.96654000001</v>
      </c>
      <c r="E440" s="57">
        <v>117544.07011292182</v>
      </c>
      <c r="F440" s="57">
        <v>126771.63297000001</v>
      </c>
      <c r="G440" s="57">
        <v>129190.29201742288</v>
      </c>
      <c r="H440" s="58">
        <v>0.14689487152791236</v>
      </c>
      <c r="I440" s="58">
        <v>1.90788663895749E-2</v>
      </c>
      <c r="J440" s="58">
        <v>7.6217905116236384E-2</v>
      </c>
    </row>
    <row r="441" spans="1:10" ht="11.25" customHeight="1" x14ac:dyDescent="0.2">
      <c r="A441" s="67">
        <v>44562</v>
      </c>
      <c r="B441" s="57">
        <v>0</v>
      </c>
      <c r="C441" s="57">
        <v>0</v>
      </c>
      <c r="D441" s="57">
        <v>105976.6164</v>
      </c>
      <c r="E441" s="57">
        <v>121544.03785104085</v>
      </c>
      <c r="F441" s="57">
        <v>131085.6102</v>
      </c>
      <c r="G441" s="57">
        <v>133586.57504260167</v>
      </c>
      <c r="H441" s="58">
        <v>0.14689487152791236</v>
      </c>
      <c r="I441" s="58">
        <v>1.9078866389574678E-2</v>
      </c>
      <c r="J441" s="58">
        <v>7.6217905116236384E-2</v>
      </c>
    </row>
    <row r="442" spans="1:10" ht="11.25" customHeight="1" x14ac:dyDescent="0.2">
      <c r="A442" s="67">
        <v>44593</v>
      </c>
      <c r="B442" s="57">
        <v>0</v>
      </c>
      <c r="C442" s="57">
        <v>0</v>
      </c>
      <c r="D442" s="57">
        <v>109515.74160000002</v>
      </c>
      <c r="E442" s="57">
        <v>125603.04239261607</v>
      </c>
      <c r="F442" s="57">
        <v>135463.25879999998</v>
      </c>
      <c r="G442" s="57">
        <v>138047.74421534161</v>
      </c>
      <c r="H442" s="58">
        <v>0.14689487152791236</v>
      </c>
      <c r="I442" s="58">
        <v>1.9078866389575122E-2</v>
      </c>
      <c r="J442" s="58">
        <v>7.6217905116236384E-2</v>
      </c>
    </row>
    <row r="443" spans="1:10" ht="11.25" customHeight="1" x14ac:dyDescent="0.2">
      <c r="A443" s="67">
        <v>44621</v>
      </c>
      <c r="B443" s="57">
        <v>0</v>
      </c>
      <c r="C443" s="57">
        <v>0</v>
      </c>
      <c r="D443" s="57">
        <v>130847.65445999999</v>
      </c>
      <c r="E443" s="57">
        <v>150068.5038516304</v>
      </c>
      <c r="F443" s="57">
        <v>161849.33252999999</v>
      </c>
      <c r="G443" s="57">
        <v>164937.23432058172</v>
      </c>
      <c r="H443" s="58">
        <v>0.14689487152791281</v>
      </c>
      <c r="I443" s="58">
        <v>1.90788663895749E-2</v>
      </c>
      <c r="J443" s="58">
        <v>7.6217905116236606E-2</v>
      </c>
    </row>
    <row r="444" spans="1:10" ht="11.25" customHeight="1" x14ac:dyDescent="0.2">
      <c r="A444" s="67">
        <v>44652</v>
      </c>
      <c r="B444" s="57">
        <v>0</v>
      </c>
      <c r="C444" s="57">
        <v>0</v>
      </c>
      <c r="D444" s="57">
        <v>133646.41094</v>
      </c>
      <c r="E444" s="57">
        <v>153278.3833051979</v>
      </c>
      <c r="F444" s="57">
        <v>165311.19717</v>
      </c>
      <c r="G444" s="57">
        <v>168465.1474135071</v>
      </c>
      <c r="H444" s="58">
        <v>0.14689487152791258</v>
      </c>
      <c r="I444" s="58">
        <v>1.90788663895749E-2</v>
      </c>
      <c r="J444" s="58">
        <v>7.6217905116236606E-2</v>
      </c>
    </row>
    <row r="445" spans="1:10" ht="11.25" customHeight="1" x14ac:dyDescent="0.2">
      <c r="A445" s="67">
        <v>44682</v>
      </c>
      <c r="B445" s="57">
        <v>0</v>
      </c>
      <c r="C445" s="57">
        <v>0</v>
      </c>
      <c r="D445" s="57">
        <v>117874.93002</v>
      </c>
      <c r="E445" s="57">
        <v>135190.15272164959</v>
      </c>
      <c r="F445" s="57">
        <v>145802.98611</v>
      </c>
      <c r="G445" s="57">
        <v>148584.74180119371</v>
      </c>
      <c r="H445" s="58">
        <v>0.14689487152791258</v>
      </c>
      <c r="I445" s="58">
        <v>1.9078866389574678E-2</v>
      </c>
      <c r="J445" s="58">
        <v>7.6217905116236384E-2</v>
      </c>
    </row>
    <row r="446" spans="1:10" ht="11.25" customHeight="1" x14ac:dyDescent="0.2">
      <c r="A446" s="67">
        <v>44713</v>
      </c>
      <c r="B446" s="57">
        <v>0</v>
      </c>
      <c r="C446" s="57">
        <v>0</v>
      </c>
      <c r="D446" s="57">
        <v>120229.96594000001</v>
      </c>
      <c r="E446" s="57">
        <v>137891.13134056158</v>
      </c>
      <c r="F446" s="57">
        <v>148715.99967000002</v>
      </c>
      <c r="G446" s="57">
        <v>151553.332357696</v>
      </c>
      <c r="H446" s="58">
        <v>0.14689487152791236</v>
      </c>
      <c r="I446" s="58">
        <v>1.9078866389574678E-2</v>
      </c>
      <c r="J446" s="58">
        <v>7.6217905116236384E-2</v>
      </c>
    </row>
    <row r="447" spans="1:10" ht="11.25" customHeight="1" x14ac:dyDescent="0.2">
      <c r="A447" s="67">
        <v>44743</v>
      </c>
      <c r="B447" s="57">
        <v>0</v>
      </c>
      <c r="C447" s="57">
        <v>0</v>
      </c>
      <c r="D447" s="57">
        <v>99368.841220000002</v>
      </c>
      <c r="E447" s="57">
        <v>113965.61438488946</v>
      </c>
      <c r="F447" s="57">
        <v>122912.25771000001</v>
      </c>
      <c r="G447" s="57">
        <v>125257.28425249009</v>
      </c>
      <c r="H447" s="58">
        <v>0.14689487152791258</v>
      </c>
      <c r="I447" s="58">
        <v>1.90788663895749E-2</v>
      </c>
      <c r="J447" s="58">
        <v>7.6217905116236606E-2</v>
      </c>
    </row>
    <row r="448" spans="1:10" ht="11.25" customHeight="1" x14ac:dyDescent="0.2">
      <c r="A448" s="67">
        <v>44774</v>
      </c>
      <c r="B448" s="57">
        <v>0</v>
      </c>
      <c r="C448" s="57">
        <v>0</v>
      </c>
      <c r="D448" s="57">
        <v>99368.841220000002</v>
      </c>
      <c r="E448" s="57">
        <v>113965.61438488946</v>
      </c>
      <c r="F448" s="57">
        <v>122912.25771000001</v>
      </c>
      <c r="G448" s="57">
        <v>125257.28425249009</v>
      </c>
      <c r="H448" s="58">
        <v>0.14689487152791258</v>
      </c>
      <c r="I448" s="58">
        <v>1.90788663895749E-2</v>
      </c>
      <c r="J448" s="58">
        <v>7.6217905116236606E-2</v>
      </c>
    </row>
    <row r="449" spans="1:10" ht="11.25" customHeight="1" x14ac:dyDescent="0.2">
      <c r="A449" s="63" t="s">
        <v>31</v>
      </c>
      <c r="B449" s="57">
        <v>0</v>
      </c>
      <c r="C449" s="57">
        <v>0</v>
      </c>
      <c r="D449" s="57">
        <v>1541201.52596</v>
      </c>
      <c r="E449" s="57">
        <v>1767671.4455335611</v>
      </c>
      <c r="F449" s="57">
        <v>1906406.1316300004</v>
      </c>
      <c r="G449" s="57">
        <v>1942811.6622127753</v>
      </c>
      <c r="H449" s="58">
        <v>0.14694374211217687</v>
      </c>
      <c r="I449" s="58">
        <v>1.9096419162084821E-2</v>
      </c>
      <c r="J449" s="58">
        <v>7.62486559564306E-2</v>
      </c>
    </row>
    <row r="450" spans="1:10" ht="11.25" customHeight="1" x14ac:dyDescent="0.2">
      <c r="A450" s="64" t="s">
        <v>25</v>
      </c>
      <c r="B450" s="57">
        <v>0</v>
      </c>
      <c r="C450" s="57">
        <v>0</v>
      </c>
      <c r="D450" s="57">
        <v>1541201.52596</v>
      </c>
      <c r="E450" s="57">
        <v>1767671.4455335611</v>
      </c>
      <c r="F450" s="57">
        <v>1906406.1316300004</v>
      </c>
      <c r="G450" s="57">
        <v>1942811.6622127753</v>
      </c>
      <c r="H450" s="58">
        <v>0.14694374211217687</v>
      </c>
      <c r="I450" s="58">
        <v>1.9096419162084821E-2</v>
      </c>
      <c r="J450" s="58">
        <v>7.62486559564306E-2</v>
      </c>
    </row>
    <row r="451" spans="1:10" ht="11.25" customHeight="1" x14ac:dyDescent="0.2">
      <c r="A451" s="65" t="s">
        <v>25</v>
      </c>
      <c r="B451" s="57">
        <v>0</v>
      </c>
      <c r="C451" s="57">
        <v>0</v>
      </c>
      <c r="D451" s="57">
        <v>1541201.52596</v>
      </c>
      <c r="E451" s="57">
        <v>1767671.4455335611</v>
      </c>
      <c r="F451" s="57">
        <v>1906406.1316300004</v>
      </c>
      <c r="G451" s="57">
        <v>1942811.6622127753</v>
      </c>
      <c r="H451" s="58">
        <v>0.14694374211217687</v>
      </c>
      <c r="I451" s="58">
        <v>1.9096419162084821E-2</v>
      </c>
      <c r="J451" s="58">
        <v>7.62486559564306E-2</v>
      </c>
    </row>
    <row r="452" spans="1:10" ht="11.25" customHeight="1" x14ac:dyDescent="0.2">
      <c r="A452" s="66" t="s">
        <v>25</v>
      </c>
      <c r="B452" s="57">
        <v>0</v>
      </c>
      <c r="C452" s="57">
        <v>0</v>
      </c>
      <c r="D452" s="57">
        <v>1541201.52596</v>
      </c>
      <c r="E452" s="57">
        <v>1767671.4455335611</v>
      </c>
      <c r="F452" s="57">
        <v>1906406.1316300004</v>
      </c>
      <c r="G452" s="57">
        <v>1942811.6622127753</v>
      </c>
      <c r="H452" s="58">
        <v>0.14694374211217687</v>
      </c>
      <c r="I452" s="58">
        <v>1.9096419162084821E-2</v>
      </c>
      <c r="J452" s="58">
        <v>7.62486559564306E-2</v>
      </c>
    </row>
    <row r="453" spans="1:10" ht="11.25" customHeight="1" x14ac:dyDescent="0.2">
      <c r="A453" s="67">
        <v>44440</v>
      </c>
      <c r="B453" s="57">
        <v>0</v>
      </c>
      <c r="C453" s="57">
        <v>0</v>
      </c>
      <c r="D453" s="57">
        <v>106605.03276</v>
      </c>
      <c r="E453" s="57">
        <v>122269.97520174566</v>
      </c>
      <c r="F453" s="57">
        <v>131866.26453000001</v>
      </c>
      <c r="G453" s="57">
        <v>134384.43799080324</v>
      </c>
      <c r="H453" s="58">
        <v>0.14694374211217731</v>
      </c>
      <c r="I453" s="58">
        <v>1.9096419162084821E-2</v>
      </c>
      <c r="J453" s="58">
        <v>7.62486559564306E-2</v>
      </c>
    </row>
    <row r="454" spans="1:10" ht="11.25" customHeight="1" x14ac:dyDescent="0.2">
      <c r="A454" s="67">
        <v>44470</v>
      </c>
      <c r="B454" s="57">
        <v>0</v>
      </c>
      <c r="C454" s="57">
        <v>0</v>
      </c>
      <c r="D454" s="57">
        <v>116547.01628</v>
      </c>
      <c r="E454" s="57">
        <v>133672.87098419206</v>
      </c>
      <c r="F454" s="57">
        <v>144164.11009</v>
      </c>
      <c r="G454" s="57">
        <v>146917.1283644076</v>
      </c>
      <c r="H454" s="58">
        <v>0.14694374211217753</v>
      </c>
      <c r="I454" s="58">
        <v>1.9096419162085043E-2</v>
      </c>
      <c r="J454" s="58">
        <v>7.6248655956430822E-2</v>
      </c>
    </row>
    <row r="455" spans="1:10" ht="11.25" customHeight="1" x14ac:dyDescent="0.2">
      <c r="A455" s="67">
        <v>44501</v>
      </c>
      <c r="B455" s="57">
        <v>0</v>
      </c>
      <c r="C455" s="57">
        <v>0</v>
      </c>
      <c r="D455" s="57">
        <v>114420.81547999999</v>
      </c>
      <c r="E455" s="57">
        <v>131234.23828215816</v>
      </c>
      <c r="F455" s="57">
        <v>141534.08269000001</v>
      </c>
      <c r="G455" s="57">
        <v>144236.87685876945</v>
      </c>
      <c r="H455" s="58">
        <v>0.14694374211217753</v>
      </c>
      <c r="I455" s="58">
        <v>1.9096419162085043E-2</v>
      </c>
      <c r="J455" s="58">
        <v>7.6248655956430822E-2</v>
      </c>
    </row>
    <row r="456" spans="1:10" ht="11.25" customHeight="1" x14ac:dyDescent="0.2">
      <c r="A456" s="67">
        <v>44531</v>
      </c>
      <c r="B456" s="57">
        <v>0</v>
      </c>
      <c r="C456" s="57">
        <v>0</v>
      </c>
      <c r="D456" s="57">
        <v>121237.56544000001</v>
      </c>
      <c r="E456" s="57">
        <v>139052.6669903236</v>
      </c>
      <c r="F456" s="57">
        <v>149966.13632000002</v>
      </c>
      <c r="G456" s="57">
        <v>152829.95251928509</v>
      </c>
      <c r="H456" s="58">
        <v>0.14694374211217753</v>
      </c>
      <c r="I456" s="58">
        <v>1.9096419162084821E-2</v>
      </c>
      <c r="J456" s="58">
        <v>7.6248655956430822E-2</v>
      </c>
    </row>
    <row r="457" spans="1:10" ht="11.25" customHeight="1" x14ac:dyDescent="0.2">
      <c r="A457" s="67">
        <v>44562</v>
      </c>
      <c r="B457" s="57">
        <v>0</v>
      </c>
      <c r="C457" s="57">
        <v>0</v>
      </c>
      <c r="D457" s="57">
        <v>136187.38548</v>
      </c>
      <c r="E457" s="57">
        <v>156199.2695309048</v>
      </c>
      <c r="F457" s="57">
        <v>168458.48019000003</v>
      </c>
      <c r="G457" s="57">
        <v>171675.43393911608</v>
      </c>
      <c r="H457" s="58">
        <v>0.14694374211217731</v>
      </c>
      <c r="I457" s="58">
        <v>1.9096419162085043E-2</v>
      </c>
      <c r="J457" s="58">
        <v>7.6248655956430822E-2</v>
      </c>
    </row>
    <row r="458" spans="1:10" ht="11.25" customHeight="1" x14ac:dyDescent="0.2">
      <c r="A458" s="67">
        <v>44593</v>
      </c>
      <c r="B458" s="57">
        <v>0</v>
      </c>
      <c r="C458" s="57">
        <v>0</v>
      </c>
      <c r="D458" s="57">
        <v>149544.43236000001</v>
      </c>
      <c r="E458" s="57">
        <v>171519.0508630198</v>
      </c>
      <c r="F458" s="57">
        <v>184980.62583</v>
      </c>
      <c r="G458" s="57">
        <v>188513.09339771449</v>
      </c>
      <c r="H458" s="58">
        <v>0.14694374211217731</v>
      </c>
      <c r="I458" s="58">
        <v>1.9096419162085043E-2</v>
      </c>
      <c r="J458" s="58">
        <v>7.6248655956430822E-2</v>
      </c>
    </row>
    <row r="459" spans="1:10" ht="11.25" customHeight="1" x14ac:dyDescent="0.2">
      <c r="A459" s="67">
        <v>44621</v>
      </c>
      <c r="B459" s="57">
        <v>0</v>
      </c>
      <c r="C459" s="57">
        <v>0</v>
      </c>
      <c r="D459" s="57">
        <v>180104.69664000001</v>
      </c>
      <c r="E459" s="57">
        <v>206569.95473626012</v>
      </c>
      <c r="F459" s="57">
        <v>222782.47992000001</v>
      </c>
      <c r="G459" s="57">
        <v>227036.82753852112</v>
      </c>
      <c r="H459" s="58">
        <v>0.14694374211217731</v>
      </c>
      <c r="I459" s="58">
        <v>1.9096419162085043E-2</v>
      </c>
      <c r="J459" s="58">
        <v>7.6248655956430822E-2</v>
      </c>
    </row>
    <row r="460" spans="1:10" ht="11.25" customHeight="1" x14ac:dyDescent="0.2">
      <c r="A460" s="67">
        <v>44652</v>
      </c>
      <c r="B460" s="57">
        <v>0</v>
      </c>
      <c r="C460" s="57">
        <v>0</v>
      </c>
      <c r="D460" s="57">
        <v>183026.932</v>
      </c>
      <c r="E460" s="57">
        <v>209921.59429539103</v>
      </c>
      <c r="F460" s="57">
        <v>226397.171</v>
      </c>
      <c r="G460" s="57">
        <v>230720.54627452625</v>
      </c>
      <c r="H460" s="58">
        <v>0.14694374211217731</v>
      </c>
      <c r="I460" s="58">
        <v>1.9096419162085043E-2</v>
      </c>
      <c r="J460" s="58">
        <v>7.6248655956430822E-2</v>
      </c>
    </row>
    <row r="461" spans="1:10" ht="11.25" customHeight="1" x14ac:dyDescent="0.2">
      <c r="A461" s="67">
        <v>44682</v>
      </c>
      <c r="B461" s="57">
        <v>0</v>
      </c>
      <c r="C461" s="57">
        <v>0</v>
      </c>
      <c r="D461" s="57">
        <v>136738.88347999999</v>
      </c>
      <c r="E461" s="57">
        <v>156831.80671079221</v>
      </c>
      <c r="F461" s="57">
        <v>169140.66169000001</v>
      </c>
      <c r="G461" s="57">
        <v>172370.64266298467</v>
      </c>
      <c r="H461" s="58">
        <v>0.14694374211217753</v>
      </c>
      <c r="I461" s="58">
        <v>1.9096419162085043E-2</v>
      </c>
      <c r="J461" s="58">
        <v>7.6248655956431044E-2</v>
      </c>
    </row>
    <row r="462" spans="1:10" ht="11.25" customHeight="1" x14ac:dyDescent="0.2">
      <c r="A462" s="67">
        <v>44713</v>
      </c>
      <c r="B462" s="57">
        <v>0</v>
      </c>
      <c r="C462" s="57">
        <v>0</v>
      </c>
      <c r="D462" s="57">
        <v>120126.35563999999</v>
      </c>
      <c r="E462" s="57">
        <v>137778.17186403988</v>
      </c>
      <c r="F462" s="57">
        <v>148591.61317</v>
      </c>
      <c r="G462" s="57">
        <v>151429.1808990647</v>
      </c>
      <c r="H462" s="58">
        <v>0.14694374211217753</v>
      </c>
      <c r="I462" s="58">
        <v>1.9096419162085043E-2</v>
      </c>
      <c r="J462" s="58">
        <v>7.6248655956430822E-2</v>
      </c>
    </row>
    <row r="463" spans="1:10" ht="11.25" customHeight="1" x14ac:dyDescent="0.2">
      <c r="A463" s="67">
        <v>44743</v>
      </c>
      <c r="B463" s="57">
        <v>0</v>
      </c>
      <c r="C463" s="57">
        <v>0</v>
      </c>
      <c r="D463" s="57">
        <v>88331.205199999997</v>
      </c>
      <c r="E463" s="57">
        <v>101310.92303736662</v>
      </c>
      <c r="F463" s="57">
        <v>109262.2531</v>
      </c>
      <c r="G463" s="57">
        <v>111348.77088379144</v>
      </c>
      <c r="H463" s="58">
        <v>0.14694374211217731</v>
      </c>
      <c r="I463" s="58">
        <v>1.9096419162085043E-2</v>
      </c>
      <c r="J463" s="58">
        <v>7.6248655956430822E-2</v>
      </c>
    </row>
    <row r="464" spans="1:10" ht="11.25" customHeight="1" x14ac:dyDescent="0.2">
      <c r="A464" s="67">
        <v>44774</v>
      </c>
      <c r="B464" s="57">
        <v>0</v>
      </c>
      <c r="C464" s="57">
        <v>0</v>
      </c>
      <c r="D464" s="57">
        <v>88331.205199999997</v>
      </c>
      <c r="E464" s="57">
        <v>101310.92303736662</v>
      </c>
      <c r="F464" s="57">
        <v>109262.2531</v>
      </c>
      <c r="G464" s="57">
        <v>111348.77088379144</v>
      </c>
      <c r="H464" s="58">
        <v>0.14694374211217731</v>
      </c>
      <c r="I464" s="58">
        <v>1.9096419162085043E-2</v>
      </c>
      <c r="J464" s="58">
        <v>7.6248655956430822E-2</v>
      </c>
    </row>
    <row r="465" spans="1:10" ht="11.25" customHeight="1" x14ac:dyDescent="0.2">
      <c r="A465" s="63" t="s">
        <v>32</v>
      </c>
      <c r="B465" s="57">
        <v>0</v>
      </c>
      <c r="C465" s="57">
        <v>0</v>
      </c>
      <c r="D465" s="57">
        <v>489885.6398399999</v>
      </c>
      <c r="E465" s="57">
        <v>561861.69232129818</v>
      </c>
      <c r="F465" s="57">
        <v>605950.73736000003</v>
      </c>
      <c r="G465" s="57">
        <v>617530.73578836618</v>
      </c>
      <c r="H465" s="58">
        <v>0.14692419337869578</v>
      </c>
      <c r="I465" s="58">
        <v>1.9110461815456503E-2</v>
      </c>
      <c r="J465" s="58">
        <v>7.6248655956431044E-2</v>
      </c>
    </row>
    <row r="466" spans="1:10" ht="11.25" customHeight="1" x14ac:dyDescent="0.2">
      <c r="A466" s="64" t="s">
        <v>25</v>
      </c>
      <c r="B466" s="57">
        <v>0</v>
      </c>
      <c r="C466" s="57">
        <v>0</v>
      </c>
      <c r="D466" s="57">
        <v>489885.6398399999</v>
      </c>
      <c r="E466" s="57">
        <v>561861.69232129818</v>
      </c>
      <c r="F466" s="57">
        <v>605950.73736000003</v>
      </c>
      <c r="G466" s="57">
        <v>617530.73578836618</v>
      </c>
      <c r="H466" s="58">
        <v>0.14692419337869578</v>
      </c>
      <c r="I466" s="58">
        <v>1.9110461815456503E-2</v>
      </c>
      <c r="J466" s="58">
        <v>7.6248655956431044E-2</v>
      </c>
    </row>
    <row r="467" spans="1:10" ht="11.25" customHeight="1" x14ac:dyDescent="0.2">
      <c r="A467" s="65" t="s">
        <v>25</v>
      </c>
      <c r="B467" s="57">
        <v>0</v>
      </c>
      <c r="C467" s="57">
        <v>0</v>
      </c>
      <c r="D467" s="57">
        <v>489885.6398399999</v>
      </c>
      <c r="E467" s="57">
        <v>561861.69232129818</v>
      </c>
      <c r="F467" s="57">
        <v>605950.73736000003</v>
      </c>
      <c r="G467" s="57">
        <v>617530.73578836618</v>
      </c>
      <c r="H467" s="58">
        <v>0.14692419337869578</v>
      </c>
      <c r="I467" s="58">
        <v>1.9110461815456503E-2</v>
      </c>
      <c r="J467" s="58">
        <v>7.6248655956431044E-2</v>
      </c>
    </row>
    <row r="468" spans="1:10" ht="11.25" customHeight="1" x14ac:dyDescent="0.2">
      <c r="A468" s="66" t="s">
        <v>25</v>
      </c>
      <c r="B468" s="57">
        <v>0</v>
      </c>
      <c r="C468" s="57">
        <v>0</v>
      </c>
      <c r="D468" s="57">
        <v>489885.6398399999</v>
      </c>
      <c r="E468" s="57">
        <v>561861.69232129818</v>
      </c>
      <c r="F468" s="57">
        <v>605950.73736000003</v>
      </c>
      <c r="G468" s="57">
        <v>617530.73578836618</v>
      </c>
      <c r="H468" s="58">
        <v>0.14692419337869578</v>
      </c>
      <c r="I468" s="58">
        <v>1.9110461815456503E-2</v>
      </c>
      <c r="J468" s="58">
        <v>7.6248655956431044E-2</v>
      </c>
    </row>
    <row r="469" spans="1:10" ht="11.25" customHeight="1" x14ac:dyDescent="0.2">
      <c r="A469" s="67">
        <v>44440</v>
      </c>
      <c r="B469" s="57">
        <v>0</v>
      </c>
      <c r="C469" s="57">
        <v>0</v>
      </c>
      <c r="D469" s="57">
        <v>28474.209719999999</v>
      </c>
      <c r="E469" s="57">
        <v>32657.760015206819</v>
      </c>
      <c r="F469" s="57">
        <v>35220.400379999999</v>
      </c>
      <c r="G469" s="57">
        <v>35893.478496587086</v>
      </c>
      <c r="H469" s="58">
        <v>0.14692419337869578</v>
      </c>
      <c r="I469" s="58">
        <v>1.9110461815456725E-2</v>
      </c>
      <c r="J469" s="58">
        <v>7.6248655956430822E-2</v>
      </c>
    </row>
    <row r="470" spans="1:10" ht="11.25" customHeight="1" x14ac:dyDescent="0.2">
      <c r="A470" s="67">
        <v>44470</v>
      </c>
      <c r="B470" s="57">
        <v>0</v>
      </c>
      <c r="C470" s="57">
        <v>0</v>
      </c>
      <c r="D470" s="57">
        <v>33465.156119999992</v>
      </c>
      <c r="E470" s="57">
        <v>38381.997189223119</v>
      </c>
      <c r="F470" s="57">
        <v>41393.815979999999</v>
      </c>
      <c r="G470" s="57">
        <v>42184.870919681831</v>
      </c>
      <c r="H470" s="58">
        <v>0.14692419337869578</v>
      </c>
      <c r="I470" s="58">
        <v>1.9110461815456725E-2</v>
      </c>
      <c r="J470" s="58">
        <v>7.6248655956431044E-2</v>
      </c>
    </row>
    <row r="471" spans="1:10" ht="11.25" customHeight="1" x14ac:dyDescent="0.2">
      <c r="A471" s="67">
        <v>44501</v>
      </c>
      <c r="B471" s="57">
        <v>0</v>
      </c>
      <c r="C471" s="57">
        <v>0</v>
      </c>
      <c r="D471" s="57">
        <v>31072.161599999999</v>
      </c>
      <c r="E471" s="57">
        <v>35637.413879612483</v>
      </c>
      <c r="F471" s="57">
        <v>38433.866399999999</v>
      </c>
      <c r="G471" s="57">
        <v>39168.355336257555</v>
      </c>
      <c r="H471" s="58">
        <v>0.14692419337869578</v>
      </c>
      <c r="I471" s="58">
        <v>1.9110461815456503E-2</v>
      </c>
      <c r="J471" s="58">
        <v>7.6248655956430822E-2</v>
      </c>
    </row>
    <row r="472" spans="1:10" ht="11.25" customHeight="1" x14ac:dyDescent="0.2">
      <c r="A472" s="67">
        <v>44531</v>
      </c>
      <c r="B472" s="57">
        <v>0</v>
      </c>
      <c r="C472" s="57">
        <v>0</v>
      </c>
      <c r="D472" s="57">
        <v>33486.538439999997</v>
      </c>
      <c r="E472" s="57">
        <v>38406.521089341681</v>
      </c>
      <c r="F472" s="57">
        <v>41420.264260000004</v>
      </c>
      <c r="G472" s="57">
        <v>42211.82463852685</v>
      </c>
      <c r="H472" s="58">
        <v>0.14692419337869556</v>
      </c>
      <c r="I472" s="58">
        <v>1.9110461815456503E-2</v>
      </c>
      <c r="J472" s="58">
        <v>7.62486559564306E-2</v>
      </c>
    </row>
    <row r="473" spans="1:10" ht="11.25" customHeight="1" x14ac:dyDescent="0.2">
      <c r="A473" s="67">
        <v>44562</v>
      </c>
      <c r="B473" s="57">
        <v>0</v>
      </c>
      <c r="C473" s="57">
        <v>0</v>
      </c>
      <c r="D473" s="57">
        <v>43976.913240000002</v>
      </c>
      <c r="E473" s="57">
        <v>50438.185745071874</v>
      </c>
      <c r="F473" s="57">
        <v>54396.048459999998</v>
      </c>
      <c r="G473" s="57">
        <v>55435.582067006551</v>
      </c>
      <c r="H473" s="58">
        <v>0.14692419337869556</v>
      </c>
      <c r="I473" s="58">
        <v>1.9110461815456503E-2</v>
      </c>
      <c r="J473" s="58">
        <v>7.62486559564306E-2</v>
      </c>
    </row>
    <row r="474" spans="1:10" ht="11.25" customHeight="1" x14ac:dyDescent="0.2">
      <c r="A474" s="67">
        <v>44593</v>
      </c>
      <c r="B474" s="57">
        <v>0</v>
      </c>
      <c r="C474" s="57">
        <v>0</v>
      </c>
      <c r="D474" s="57">
        <v>58182.07499999999</v>
      </c>
      <c r="E474" s="57">
        <v>66730.429438473773</v>
      </c>
      <c r="F474" s="57">
        <v>71966.737499999988</v>
      </c>
      <c r="G474" s="57">
        <v>73342.055088976733</v>
      </c>
      <c r="H474" s="58">
        <v>0.14692419337869578</v>
      </c>
      <c r="I474" s="58">
        <v>1.9110461815456725E-2</v>
      </c>
      <c r="J474" s="58">
        <v>7.6248655956431044E-2</v>
      </c>
    </row>
    <row r="475" spans="1:10" ht="11.25" customHeight="1" x14ac:dyDescent="0.2">
      <c r="A475" s="67">
        <v>44621</v>
      </c>
      <c r="B475" s="57">
        <v>0</v>
      </c>
      <c r="C475" s="57">
        <v>0</v>
      </c>
      <c r="D475" s="57">
        <v>74886.3606</v>
      </c>
      <c r="E475" s="57">
        <v>85888.978726221147</v>
      </c>
      <c r="F475" s="57">
        <v>92628.649900000004</v>
      </c>
      <c r="G475" s="57">
        <v>94398.826176931267</v>
      </c>
      <c r="H475" s="58">
        <v>0.14692419337869578</v>
      </c>
      <c r="I475" s="58">
        <v>1.9110461815456725E-2</v>
      </c>
      <c r="J475" s="58">
        <v>7.6248655956430822E-2</v>
      </c>
    </row>
    <row r="476" spans="1:10" ht="11.25" customHeight="1" x14ac:dyDescent="0.2">
      <c r="A476" s="67">
        <v>44652</v>
      </c>
      <c r="B476" s="57">
        <v>0</v>
      </c>
      <c r="C476" s="57">
        <v>0</v>
      </c>
      <c r="D476" s="57">
        <v>76665.265319999991</v>
      </c>
      <c r="E476" s="57">
        <v>87929.247587304693</v>
      </c>
      <c r="F476" s="57">
        <v>94829.017780000009</v>
      </c>
      <c r="G476" s="57">
        <v>96641.244103281948</v>
      </c>
      <c r="H476" s="58">
        <v>0.14692419337869578</v>
      </c>
      <c r="I476" s="58">
        <v>1.9110461815456503E-2</v>
      </c>
      <c r="J476" s="58">
        <v>7.6248655956430822E-2</v>
      </c>
    </row>
    <row r="477" spans="1:10" ht="11.25" customHeight="1" x14ac:dyDescent="0.2">
      <c r="A477" s="67">
        <v>44682</v>
      </c>
      <c r="B477" s="57">
        <v>0</v>
      </c>
      <c r="C477" s="57">
        <v>0</v>
      </c>
      <c r="D477" s="57">
        <v>44590.220759999997</v>
      </c>
      <c r="E477" s="57">
        <v>51141.602977740964</v>
      </c>
      <c r="F477" s="57">
        <v>55154.662539999998</v>
      </c>
      <c r="G477" s="57">
        <v>56208.693612415067</v>
      </c>
      <c r="H477" s="58">
        <v>0.14692419337869556</v>
      </c>
      <c r="I477" s="58">
        <v>1.9110461815456725E-2</v>
      </c>
      <c r="J477" s="58">
        <v>7.6248655956430822E-2</v>
      </c>
    </row>
    <row r="478" spans="1:10" ht="11.25" customHeight="1" x14ac:dyDescent="0.2">
      <c r="A478" s="67">
        <v>44713</v>
      </c>
      <c r="B478" s="57">
        <v>0</v>
      </c>
      <c r="C478" s="57">
        <v>0</v>
      </c>
      <c r="D478" s="57">
        <v>30145.942079999997</v>
      </c>
      <c r="E478" s="57">
        <v>34575.110303744877</v>
      </c>
      <c r="F478" s="57">
        <v>37288.204320000004</v>
      </c>
      <c r="G478" s="57">
        <v>38000.799124824305</v>
      </c>
      <c r="H478" s="58">
        <v>0.14692419337869578</v>
      </c>
      <c r="I478" s="58">
        <v>1.9110461815456503E-2</v>
      </c>
      <c r="J478" s="58">
        <v>7.6248655956430822E-2</v>
      </c>
    </row>
    <row r="479" spans="1:10" ht="11.25" customHeight="1" x14ac:dyDescent="0.2">
      <c r="A479" s="67">
        <v>44743</v>
      </c>
      <c r="B479" s="57">
        <v>0</v>
      </c>
      <c r="C479" s="57">
        <v>0</v>
      </c>
      <c r="D479" s="57">
        <v>17470.39848</v>
      </c>
      <c r="E479" s="57">
        <v>20037.222684678389</v>
      </c>
      <c r="F479" s="57">
        <v>21609.534920000002</v>
      </c>
      <c r="G479" s="57">
        <v>22022.503111938437</v>
      </c>
      <c r="H479" s="58">
        <v>0.14692419337869556</v>
      </c>
      <c r="I479" s="58">
        <v>1.9110461815456503E-2</v>
      </c>
      <c r="J479" s="58">
        <v>7.62486559564306E-2</v>
      </c>
    </row>
    <row r="480" spans="1:10" ht="11.25" customHeight="1" x14ac:dyDescent="0.2">
      <c r="A480" s="67">
        <v>44774</v>
      </c>
      <c r="B480" s="57">
        <v>0</v>
      </c>
      <c r="C480" s="57">
        <v>0</v>
      </c>
      <c r="D480" s="57">
        <v>17470.39848</v>
      </c>
      <c r="E480" s="57">
        <v>20037.222684678389</v>
      </c>
      <c r="F480" s="57">
        <v>21609.534920000002</v>
      </c>
      <c r="G480" s="57">
        <v>22022.503111938437</v>
      </c>
      <c r="H480" s="58">
        <v>0.14692419337869556</v>
      </c>
      <c r="I480" s="58">
        <v>1.9110461815456503E-2</v>
      </c>
      <c r="J480" s="58">
        <v>7.62486559564306E-2</v>
      </c>
    </row>
    <row r="481" spans="1:10" ht="11.25" customHeight="1" x14ac:dyDescent="0.2">
      <c r="A481" s="60" t="s">
        <v>43</v>
      </c>
      <c r="B481" s="57">
        <v>0</v>
      </c>
      <c r="C481" s="57">
        <v>0</v>
      </c>
      <c r="D481" s="57">
        <v>40475694.302794993</v>
      </c>
      <c r="E481" s="57">
        <v>59673575.268663362</v>
      </c>
      <c r="F481" s="57">
        <v>40185551.92174159</v>
      </c>
      <c r="G481" s="57">
        <v>43744968.392133988</v>
      </c>
      <c r="H481" s="58">
        <v>0.47430640280684977</v>
      </c>
      <c r="I481" s="58">
        <v>8.8574532392241556E-2</v>
      </c>
      <c r="J481" s="58">
        <v>0.28213421564193708</v>
      </c>
    </row>
    <row r="482" spans="1:10" ht="11.25" customHeight="1" x14ac:dyDescent="0.2">
      <c r="A482" s="61" t="s">
        <v>33</v>
      </c>
      <c r="B482" s="57">
        <v>0</v>
      </c>
      <c r="C482" s="57">
        <v>0</v>
      </c>
      <c r="D482" s="57">
        <v>1551.4029400000002</v>
      </c>
      <c r="E482" s="57">
        <v>2321.0952080581606</v>
      </c>
      <c r="F482" s="57">
        <v>1632.5565900000006</v>
      </c>
      <c r="G482" s="57">
        <v>1777.8282028309889</v>
      </c>
      <c r="H482" s="58">
        <v>0.49612660142191056</v>
      </c>
      <c r="I482" s="58">
        <v>8.898412080832574E-2</v>
      </c>
      <c r="J482" s="58">
        <v>0.28736668047069935</v>
      </c>
    </row>
    <row r="483" spans="1:10" ht="11.25" customHeight="1" x14ac:dyDescent="0.2">
      <c r="A483" s="62" t="s">
        <v>44</v>
      </c>
      <c r="B483" s="57">
        <v>0</v>
      </c>
      <c r="C483" s="57">
        <v>0</v>
      </c>
      <c r="D483" s="57">
        <v>1551.4029400000002</v>
      </c>
      <c r="E483" s="57">
        <v>2321.0952080581606</v>
      </c>
      <c r="F483" s="57">
        <v>1632.5565900000006</v>
      </c>
      <c r="G483" s="57">
        <v>1777.8282028309889</v>
      </c>
      <c r="H483" s="58">
        <v>0.49612660142191056</v>
      </c>
      <c r="I483" s="58">
        <v>8.898412080832574E-2</v>
      </c>
      <c r="J483" s="58">
        <v>0.28736668047069935</v>
      </c>
    </row>
    <row r="484" spans="1:10" ht="11.25" customHeight="1" x14ac:dyDescent="0.2">
      <c r="A484" s="63" t="s">
        <v>25</v>
      </c>
      <c r="B484" s="57">
        <v>0</v>
      </c>
      <c r="C484" s="57">
        <v>0</v>
      </c>
      <c r="D484" s="57">
        <v>1551.4029400000002</v>
      </c>
      <c r="E484" s="57">
        <v>2321.0952080581606</v>
      </c>
      <c r="F484" s="57">
        <v>1632.5565900000006</v>
      </c>
      <c r="G484" s="57">
        <v>1777.8282028309889</v>
      </c>
      <c r="H484" s="58">
        <v>0.49612660142191056</v>
      </c>
      <c r="I484" s="58">
        <v>8.898412080832574E-2</v>
      </c>
      <c r="J484" s="58">
        <v>0.28736668047069935</v>
      </c>
    </row>
    <row r="485" spans="1:10" ht="11.25" customHeight="1" x14ac:dyDescent="0.2">
      <c r="A485" s="64" t="s">
        <v>25</v>
      </c>
      <c r="B485" s="57">
        <v>0</v>
      </c>
      <c r="C485" s="57">
        <v>0</v>
      </c>
      <c r="D485" s="57">
        <v>1551.4029400000002</v>
      </c>
      <c r="E485" s="57">
        <v>2321.0952080581606</v>
      </c>
      <c r="F485" s="57">
        <v>1632.5565900000006</v>
      </c>
      <c r="G485" s="57">
        <v>1777.8282028309889</v>
      </c>
      <c r="H485" s="58">
        <v>0.49612660142191056</v>
      </c>
      <c r="I485" s="58">
        <v>8.898412080832574E-2</v>
      </c>
      <c r="J485" s="58">
        <v>0.28736668047069935</v>
      </c>
    </row>
    <row r="486" spans="1:10" ht="11.25" customHeight="1" x14ac:dyDescent="0.2">
      <c r="A486" s="65" t="s">
        <v>25</v>
      </c>
      <c r="B486" s="57">
        <v>0</v>
      </c>
      <c r="C486" s="57">
        <v>0</v>
      </c>
      <c r="D486" s="57">
        <v>1551.4029400000002</v>
      </c>
      <c r="E486" s="57">
        <v>2321.0952080581606</v>
      </c>
      <c r="F486" s="57">
        <v>1632.5565900000006</v>
      </c>
      <c r="G486" s="57">
        <v>1777.8282028309889</v>
      </c>
      <c r="H486" s="58">
        <v>0.49612660142191056</v>
      </c>
      <c r="I486" s="58">
        <v>8.898412080832574E-2</v>
      </c>
      <c r="J486" s="58">
        <v>0.28736668047069935</v>
      </c>
    </row>
    <row r="487" spans="1:10" ht="11.25" customHeight="1" x14ac:dyDescent="0.2">
      <c r="A487" s="66" t="s">
        <v>35</v>
      </c>
      <c r="B487" s="57">
        <v>0</v>
      </c>
      <c r="C487" s="57">
        <v>0</v>
      </c>
      <c r="D487" s="57">
        <v>1232.7064400000002</v>
      </c>
      <c r="E487" s="57">
        <v>1899.5318852073976</v>
      </c>
      <c r="F487" s="57">
        <v>1460.3229200000001</v>
      </c>
      <c r="G487" s="57">
        <v>1591.0304187956679</v>
      </c>
      <c r="H487" s="58">
        <v>0.54094423746776021</v>
      </c>
      <c r="I487" s="58">
        <v>8.9505887366109205E-2</v>
      </c>
      <c r="J487" s="58">
        <v>0.29614714040958878</v>
      </c>
    </row>
    <row r="488" spans="1:10" ht="11.25" customHeight="1" x14ac:dyDescent="0.2">
      <c r="A488" s="67">
        <v>44440</v>
      </c>
      <c r="B488" s="57">
        <v>0</v>
      </c>
      <c r="C488" s="57">
        <v>0</v>
      </c>
      <c r="D488" s="57">
        <v>100.14029000000001</v>
      </c>
      <c r="E488" s="57">
        <v>154.31060281385041</v>
      </c>
      <c r="F488" s="57">
        <v>118.63097</v>
      </c>
      <c r="G488" s="57">
        <v>129.24914023895229</v>
      </c>
      <c r="H488" s="58">
        <v>0.54094423746776044</v>
      </c>
      <c r="I488" s="58">
        <v>8.9505887366109205E-2</v>
      </c>
      <c r="J488" s="58">
        <v>0.29614714040958878</v>
      </c>
    </row>
    <row r="489" spans="1:10" ht="11.25" customHeight="1" x14ac:dyDescent="0.2">
      <c r="A489" s="67">
        <v>44470</v>
      </c>
      <c r="B489" s="57">
        <v>0</v>
      </c>
      <c r="C489" s="57">
        <v>0</v>
      </c>
      <c r="D489" s="57">
        <v>155.57102000000003</v>
      </c>
      <c r="E489" s="57">
        <v>239.72626678598172</v>
      </c>
      <c r="F489" s="57">
        <v>184.29686000000004</v>
      </c>
      <c r="G489" s="57">
        <v>200.79251399308765</v>
      </c>
      <c r="H489" s="58">
        <v>0.54094423746776021</v>
      </c>
      <c r="I489" s="58">
        <v>8.9505887366109205E-2</v>
      </c>
      <c r="J489" s="58">
        <v>0.296147140409589</v>
      </c>
    </row>
    <row r="490" spans="1:10" ht="11.25" customHeight="1" x14ac:dyDescent="0.2">
      <c r="A490" s="67">
        <v>44501</v>
      </c>
      <c r="B490" s="57">
        <v>0</v>
      </c>
      <c r="C490" s="57">
        <v>0</v>
      </c>
      <c r="D490" s="57">
        <v>72.310870000000008</v>
      </c>
      <c r="E490" s="57">
        <v>111.42701843278036</v>
      </c>
      <c r="F490" s="57">
        <v>85.662910000000011</v>
      </c>
      <c r="G490" s="57">
        <v>93.330244773913165</v>
      </c>
      <c r="H490" s="58">
        <v>0.54094423746776021</v>
      </c>
      <c r="I490" s="58">
        <v>8.9505887366109205E-2</v>
      </c>
      <c r="J490" s="58">
        <v>0.29614714040958878</v>
      </c>
    </row>
    <row r="491" spans="1:10" ht="11.25" customHeight="1" x14ac:dyDescent="0.2">
      <c r="A491" s="67">
        <v>44531</v>
      </c>
      <c r="B491" s="57">
        <v>0</v>
      </c>
      <c r="C491" s="57">
        <v>0</v>
      </c>
      <c r="D491" s="57">
        <v>59.764820000000007</v>
      </c>
      <c r="E491" s="57">
        <v>92.094254982297969</v>
      </c>
      <c r="F491" s="57">
        <v>70.800260000000009</v>
      </c>
      <c r="G491" s="57">
        <v>77.137300097051266</v>
      </c>
      <c r="H491" s="58">
        <v>0.54094423746776044</v>
      </c>
      <c r="I491" s="58">
        <v>8.9505887366109427E-2</v>
      </c>
      <c r="J491" s="58">
        <v>0.29614714040958878</v>
      </c>
    </row>
    <row r="492" spans="1:10" ht="11.25" customHeight="1" x14ac:dyDescent="0.2">
      <c r="A492" s="67">
        <v>44562</v>
      </c>
      <c r="B492" s="57">
        <v>0</v>
      </c>
      <c r="C492" s="57">
        <v>0</v>
      </c>
      <c r="D492" s="57">
        <v>97.17486000000001</v>
      </c>
      <c r="E492" s="57">
        <v>149.74104054373637</v>
      </c>
      <c r="F492" s="57">
        <v>115.11798</v>
      </c>
      <c r="G492" s="57">
        <v>125.42171695169404</v>
      </c>
      <c r="H492" s="58">
        <v>0.54094423746776021</v>
      </c>
      <c r="I492" s="58">
        <v>8.9505887366109427E-2</v>
      </c>
      <c r="J492" s="58">
        <v>0.296147140409589</v>
      </c>
    </row>
    <row r="493" spans="1:10" ht="11.25" customHeight="1" x14ac:dyDescent="0.2">
      <c r="A493" s="67">
        <v>44593</v>
      </c>
      <c r="B493" s="57">
        <v>0</v>
      </c>
      <c r="C493" s="57">
        <v>0</v>
      </c>
      <c r="D493" s="57">
        <v>79.154169999999993</v>
      </c>
      <c r="E493" s="57">
        <v>121.97216213304347</v>
      </c>
      <c r="F493" s="57">
        <v>93.769809999999993</v>
      </c>
      <c r="G493" s="57">
        <v>102.16276005220148</v>
      </c>
      <c r="H493" s="58">
        <v>0.54094423746776044</v>
      </c>
      <c r="I493" s="58">
        <v>8.9505887366109427E-2</v>
      </c>
      <c r="J493" s="58">
        <v>0.296147140409589</v>
      </c>
    </row>
    <row r="494" spans="1:10" ht="11.25" customHeight="1" x14ac:dyDescent="0.2">
      <c r="A494" s="67">
        <v>44621</v>
      </c>
      <c r="B494" s="57">
        <v>0</v>
      </c>
      <c r="C494" s="57">
        <v>0</v>
      </c>
      <c r="D494" s="57">
        <v>80.066609999999997</v>
      </c>
      <c r="E494" s="57">
        <v>123.37818129307855</v>
      </c>
      <c r="F494" s="57">
        <v>94.850729999999999</v>
      </c>
      <c r="G494" s="57">
        <v>103.34042875597325</v>
      </c>
      <c r="H494" s="58">
        <v>0.54094423746776044</v>
      </c>
      <c r="I494" s="58">
        <v>8.9505887366109427E-2</v>
      </c>
      <c r="J494" s="58">
        <v>0.29614714040958878</v>
      </c>
    </row>
    <row r="495" spans="1:10" ht="11.25" customHeight="1" x14ac:dyDescent="0.2">
      <c r="A495" s="67">
        <v>44652</v>
      </c>
      <c r="B495" s="57">
        <v>0</v>
      </c>
      <c r="C495" s="57">
        <v>0</v>
      </c>
      <c r="D495" s="57">
        <v>68.889220000000009</v>
      </c>
      <c r="E495" s="57">
        <v>106.15444658264879</v>
      </c>
      <c r="F495" s="57">
        <v>81.609459999999999</v>
      </c>
      <c r="G495" s="57">
        <v>88.913987134769002</v>
      </c>
      <c r="H495" s="58">
        <v>0.54094423746776021</v>
      </c>
      <c r="I495" s="58">
        <v>8.9505887366109205E-2</v>
      </c>
      <c r="J495" s="58">
        <v>0.296147140409589</v>
      </c>
    </row>
    <row r="496" spans="1:10" ht="11.25" customHeight="1" x14ac:dyDescent="0.2">
      <c r="A496" s="67">
        <v>44682</v>
      </c>
      <c r="B496" s="57">
        <v>0</v>
      </c>
      <c r="C496" s="57">
        <v>0</v>
      </c>
      <c r="D496" s="57">
        <v>124.31995000000002</v>
      </c>
      <c r="E496" s="57">
        <v>191.57011055478011</v>
      </c>
      <c r="F496" s="57">
        <v>147.27535000000003</v>
      </c>
      <c r="G496" s="57">
        <v>160.45736088890436</v>
      </c>
      <c r="H496" s="58">
        <v>0.54094423746776021</v>
      </c>
      <c r="I496" s="58">
        <v>8.9505887366109205E-2</v>
      </c>
      <c r="J496" s="58">
        <v>0.29614714040958878</v>
      </c>
    </row>
    <row r="497" spans="1:10" ht="11.25" customHeight="1" x14ac:dyDescent="0.2">
      <c r="A497" s="67">
        <v>44713</v>
      </c>
      <c r="B497" s="57">
        <v>0</v>
      </c>
      <c r="C497" s="57">
        <v>0</v>
      </c>
      <c r="D497" s="57">
        <v>126.14483000000001</v>
      </c>
      <c r="E497" s="57">
        <v>194.38214887485029</v>
      </c>
      <c r="F497" s="57">
        <v>149.43719000000002</v>
      </c>
      <c r="G497" s="57">
        <v>162.81269829644791</v>
      </c>
      <c r="H497" s="58">
        <v>0.54094423746776044</v>
      </c>
      <c r="I497" s="58">
        <v>8.9505887366109427E-2</v>
      </c>
      <c r="J497" s="58">
        <v>0.29614714040958878</v>
      </c>
    </row>
    <row r="498" spans="1:10" ht="11.25" customHeight="1" x14ac:dyDescent="0.2">
      <c r="A498" s="67">
        <v>44743</v>
      </c>
      <c r="B498" s="57">
        <v>0</v>
      </c>
      <c r="C498" s="57">
        <v>0</v>
      </c>
      <c r="D498" s="57">
        <v>134.5849</v>
      </c>
      <c r="E498" s="57">
        <v>207.38782610517478</v>
      </c>
      <c r="F498" s="57">
        <v>159.4357</v>
      </c>
      <c r="G498" s="57">
        <v>173.70613380633679</v>
      </c>
      <c r="H498" s="58">
        <v>0.54094423746776021</v>
      </c>
      <c r="I498" s="58">
        <v>8.9505887366109427E-2</v>
      </c>
      <c r="J498" s="58">
        <v>0.29614714040958878</v>
      </c>
    </row>
    <row r="499" spans="1:10" ht="11.25" customHeight="1" x14ac:dyDescent="0.2">
      <c r="A499" s="67">
        <v>44774</v>
      </c>
      <c r="B499" s="57">
        <v>0</v>
      </c>
      <c r="C499" s="57">
        <v>0</v>
      </c>
      <c r="D499" s="57">
        <v>134.5849</v>
      </c>
      <c r="E499" s="57">
        <v>207.38782610517478</v>
      </c>
      <c r="F499" s="57">
        <v>159.4357</v>
      </c>
      <c r="G499" s="57">
        <v>173.70613380633679</v>
      </c>
      <c r="H499" s="58">
        <v>0.54094423746776021</v>
      </c>
      <c r="I499" s="58">
        <v>8.9505887366109427E-2</v>
      </c>
      <c r="J499" s="58">
        <v>0.29614714040958878</v>
      </c>
    </row>
    <row r="500" spans="1:10" ht="11.25" customHeight="1" x14ac:dyDescent="0.2">
      <c r="A500" s="66" t="s">
        <v>36</v>
      </c>
      <c r="B500" s="57">
        <v>0</v>
      </c>
      <c r="C500" s="57">
        <v>0</v>
      </c>
      <c r="D500" s="57">
        <v>102.72306</v>
      </c>
      <c r="E500" s="57">
        <v>139.53247206618636</v>
      </c>
      <c r="F500" s="57">
        <v>54.316230000000004</v>
      </c>
      <c r="G500" s="57">
        <v>59.177852364531681</v>
      </c>
      <c r="H500" s="58">
        <v>0.35833640534254285</v>
      </c>
      <c r="I500" s="58">
        <v>8.9505887366109205E-2</v>
      </c>
      <c r="J500" s="58">
        <v>0.26535419531454862</v>
      </c>
    </row>
    <row r="501" spans="1:10" ht="11.25" customHeight="1" x14ac:dyDescent="0.2">
      <c r="A501" s="67">
        <v>44440</v>
      </c>
      <c r="B501" s="57">
        <v>0</v>
      </c>
      <c r="C501" s="57">
        <v>0</v>
      </c>
      <c r="D501" s="57">
        <v>7.1548400000000001</v>
      </c>
      <c r="E501" s="57">
        <v>9.7186796464010428</v>
      </c>
      <c r="F501" s="57">
        <v>3.7832200000000005</v>
      </c>
      <c r="G501" s="57">
        <v>4.1218404632012122</v>
      </c>
      <c r="H501" s="58">
        <v>0.3583364053425433</v>
      </c>
      <c r="I501" s="58">
        <v>8.9505887366109205E-2</v>
      </c>
      <c r="J501" s="58">
        <v>0.26535419531454907</v>
      </c>
    </row>
    <row r="502" spans="1:10" ht="11.25" customHeight="1" x14ac:dyDescent="0.2">
      <c r="A502" s="67">
        <v>44470</v>
      </c>
      <c r="B502" s="57">
        <v>0</v>
      </c>
      <c r="C502" s="57">
        <v>0</v>
      </c>
      <c r="D502" s="57">
        <v>8.6880199999999999</v>
      </c>
      <c r="E502" s="57">
        <v>11.801253856344124</v>
      </c>
      <c r="F502" s="57">
        <v>4.593910000000001</v>
      </c>
      <c r="G502" s="57">
        <v>5.005091991030044</v>
      </c>
      <c r="H502" s="58">
        <v>0.3583364053425433</v>
      </c>
      <c r="I502" s="58">
        <v>8.9505887366109205E-2</v>
      </c>
      <c r="J502" s="58">
        <v>0.26535419531454885</v>
      </c>
    </row>
    <row r="503" spans="1:10" ht="11.25" customHeight="1" x14ac:dyDescent="0.2">
      <c r="A503" s="67">
        <v>44501</v>
      </c>
      <c r="B503" s="57">
        <v>0</v>
      </c>
      <c r="C503" s="57">
        <v>0</v>
      </c>
      <c r="D503" s="57">
        <v>8.1769599999999993</v>
      </c>
      <c r="E503" s="57">
        <v>11.107062453029762</v>
      </c>
      <c r="F503" s="57">
        <v>4.3236800000000004</v>
      </c>
      <c r="G503" s="57">
        <v>4.7106748150871001</v>
      </c>
      <c r="H503" s="58">
        <v>0.3583364053425433</v>
      </c>
      <c r="I503" s="58">
        <v>8.9505887366109427E-2</v>
      </c>
      <c r="J503" s="58">
        <v>0.26535419531454885</v>
      </c>
    </row>
    <row r="504" spans="1:10" ht="11.25" customHeight="1" x14ac:dyDescent="0.2">
      <c r="A504" s="67">
        <v>44531</v>
      </c>
      <c r="B504" s="57">
        <v>0</v>
      </c>
      <c r="C504" s="57">
        <v>0</v>
      </c>
      <c r="D504" s="57">
        <v>7.6658999999999997</v>
      </c>
      <c r="E504" s="57">
        <v>10.412871049715402</v>
      </c>
      <c r="F504" s="57">
        <v>4.0534499999999998</v>
      </c>
      <c r="G504" s="57">
        <v>4.4162576391441561</v>
      </c>
      <c r="H504" s="58">
        <v>0.3583364053425433</v>
      </c>
      <c r="I504" s="58">
        <v>8.9505887366109427E-2</v>
      </c>
      <c r="J504" s="58">
        <v>0.26535419531454907</v>
      </c>
    </row>
    <row r="505" spans="1:10" ht="11.25" customHeight="1" x14ac:dyDescent="0.2">
      <c r="A505" s="67">
        <v>44562</v>
      </c>
      <c r="B505" s="57">
        <v>0</v>
      </c>
      <c r="C505" s="57">
        <v>0</v>
      </c>
      <c r="D505" s="57">
        <v>8.6880199999999999</v>
      </c>
      <c r="E505" s="57">
        <v>11.801253856344124</v>
      </c>
      <c r="F505" s="57">
        <v>4.593910000000001</v>
      </c>
      <c r="G505" s="57">
        <v>5.005091991030044</v>
      </c>
      <c r="H505" s="58">
        <v>0.3583364053425433</v>
      </c>
      <c r="I505" s="58">
        <v>8.9505887366109205E-2</v>
      </c>
      <c r="J505" s="58">
        <v>0.26535419531454885</v>
      </c>
    </row>
    <row r="506" spans="1:10" ht="11.25" customHeight="1" x14ac:dyDescent="0.2">
      <c r="A506" s="67">
        <v>44593</v>
      </c>
      <c r="B506" s="57">
        <v>0</v>
      </c>
      <c r="C506" s="57">
        <v>0</v>
      </c>
      <c r="D506" s="57">
        <v>8.1769599999999993</v>
      </c>
      <c r="E506" s="57">
        <v>11.107062453029762</v>
      </c>
      <c r="F506" s="57">
        <v>4.3236800000000004</v>
      </c>
      <c r="G506" s="57">
        <v>4.7106748150871001</v>
      </c>
      <c r="H506" s="58">
        <v>0.3583364053425433</v>
      </c>
      <c r="I506" s="58">
        <v>8.9505887366109427E-2</v>
      </c>
      <c r="J506" s="58">
        <v>0.26535419531454885</v>
      </c>
    </row>
    <row r="507" spans="1:10" ht="11.25" customHeight="1" x14ac:dyDescent="0.2">
      <c r="A507" s="67">
        <v>44621</v>
      </c>
      <c r="B507" s="57">
        <v>0</v>
      </c>
      <c r="C507" s="57">
        <v>0</v>
      </c>
      <c r="D507" s="57">
        <v>8.1769599999999993</v>
      </c>
      <c r="E507" s="57">
        <v>11.107062453029762</v>
      </c>
      <c r="F507" s="57">
        <v>4.3236800000000004</v>
      </c>
      <c r="G507" s="57">
        <v>4.7106748150871001</v>
      </c>
      <c r="H507" s="58">
        <v>0.3583364053425433</v>
      </c>
      <c r="I507" s="58">
        <v>8.9505887366109427E-2</v>
      </c>
      <c r="J507" s="58">
        <v>0.26535419531454885</v>
      </c>
    </row>
    <row r="508" spans="1:10" ht="11.25" customHeight="1" x14ac:dyDescent="0.2">
      <c r="A508" s="67">
        <v>44652</v>
      </c>
      <c r="B508" s="57">
        <v>0</v>
      </c>
      <c r="C508" s="57">
        <v>0</v>
      </c>
      <c r="D508" s="57">
        <v>11.243319999999999</v>
      </c>
      <c r="E508" s="57">
        <v>15.272210872915922</v>
      </c>
      <c r="F508" s="57">
        <v>5.9450599999999998</v>
      </c>
      <c r="G508" s="57">
        <v>6.4771778707447618</v>
      </c>
      <c r="H508" s="58">
        <v>0.3583364053425433</v>
      </c>
      <c r="I508" s="58">
        <v>8.9505887366109427E-2</v>
      </c>
      <c r="J508" s="58">
        <v>0.26535419531454885</v>
      </c>
    </row>
    <row r="509" spans="1:10" ht="11.25" customHeight="1" x14ac:dyDescent="0.2">
      <c r="A509" s="67">
        <v>44682</v>
      </c>
      <c r="B509" s="57">
        <v>0</v>
      </c>
      <c r="C509" s="57">
        <v>0</v>
      </c>
      <c r="D509" s="57">
        <v>11.754379999999999</v>
      </c>
      <c r="E509" s="57">
        <v>15.966402276230284</v>
      </c>
      <c r="F509" s="57">
        <v>6.2152900000000004</v>
      </c>
      <c r="G509" s="57">
        <v>6.7715950466877057</v>
      </c>
      <c r="H509" s="58">
        <v>0.3583364053425433</v>
      </c>
      <c r="I509" s="58">
        <v>8.9505887366109205E-2</v>
      </c>
      <c r="J509" s="58">
        <v>0.26535419531454885</v>
      </c>
    </row>
    <row r="510" spans="1:10" ht="11.25" customHeight="1" x14ac:dyDescent="0.2">
      <c r="A510" s="67">
        <v>44713</v>
      </c>
      <c r="B510" s="57">
        <v>0</v>
      </c>
      <c r="C510" s="57">
        <v>0</v>
      </c>
      <c r="D510" s="57">
        <v>8.6880199999999999</v>
      </c>
      <c r="E510" s="57">
        <v>11.801253856344124</v>
      </c>
      <c r="F510" s="57">
        <v>4.593910000000001</v>
      </c>
      <c r="G510" s="57">
        <v>5.005091991030044</v>
      </c>
      <c r="H510" s="58">
        <v>0.3583364053425433</v>
      </c>
      <c r="I510" s="58">
        <v>8.9505887366109205E-2</v>
      </c>
      <c r="J510" s="58">
        <v>0.26535419531454885</v>
      </c>
    </row>
    <row r="511" spans="1:10" ht="11.25" customHeight="1" x14ac:dyDescent="0.2">
      <c r="A511" s="67">
        <v>44743</v>
      </c>
      <c r="B511" s="57">
        <v>0</v>
      </c>
      <c r="C511" s="57">
        <v>0</v>
      </c>
      <c r="D511" s="57">
        <v>7.1548400000000001</v>
      </c>
      <c r="E511" s="57">
        <v>9.7186796464010428</v>
      </c>
      <c r="F511" s="57">
        <v>3.7832200000000005</v>
      </c>
      <c r="G511" s="57">
        <v>4.1218404632012122</v>
      </c>
      <c r="H511" s="58">
        <v>0.3583364053425433</v>
      </c>
      <c r="I511" s="58">
        <v>8.9505887366109205E-2</v>
      </c>
      <c r="J511" s="58">
        <v>0.26535419531454907</v>
      </c>
    </row>
    <row r="512" spans="1:10" ht="11.25" customHeight="1" x14ac:dyDescent="0.2">
      <c r="A512" s="67">
        <v>44774</v>
      </c>
      <c r="B512" s="57">
        <v>0</v>
      </c>
      <c r="C512" s="57">
        <v>0</v>
      </c>
      <c r="D512" s="57">
        <v>7.1548400000000001</v>
      </c>
      <c r="E512" s="57">
        <v>9.7186796464010428</v>
      </c>
      <c r="F512" s="57">
        <v>3.7832200000000005</v>
      </c>
      <c r="G512" s="57">
        <v>4.1218404632012122</v>
      </c>
      <c r="H512" s="58">
        <v>0.3583364053425433</v>
      </c>
      <c r="I512" s="58">
        <v>8.9505887366109205E-2</v>
      </c>
      <c r="J512" s="58">
        <v>0.26535419531454907</v>
      </c>
    </row>
    <row r="513" spans="1:10" ht="11.25" customHeight="1" x14ac:dyDescent="0.2">
      <c r="A513" s="66" t="s">
        <v>34</v>
      </c>
      <c r="B513" s="57">
        <v>0</v>
      </c>
      <c r="C513" s="57">
        <v>0</v>
      </c>
      <c r="D513" s="57">
        <v>215.97344000000001</v>
      </c>
      <c r="E513" s="57">
        <v>282.03085078457582</v>
      </c>
      <c r="F513" s="57">
        <v>117.91744</v>
      </c>
      <c r="G513" s="57">
        <v>127.61993167079018</v>
      </c>
      <c r="H513" s="58">
        <v>0.30585895554831088</v>
      </c>
      <c r="I513" s="58">
        <v>8.2282075245105224E-2</v>
      </c>
      <c r="J513" s="58">
        <v>0.2269001850405914</v>
      </c>
    </row>
    <row r="514" spans="1:10" ht="11.25" customHeight="1" x14ac:dyDescent="0.2">
      <c r="A514" s="67">
        <v>44440</v>
      </c>
      <c r="B514" s="57">
        <v>0</v>
      </c>
      <c r="C514" s="57">
        <v>0</v>
      </c>
      <c r="D514" s="57">
        <v>15.08638</v>
      </c>
      <c r="E514" s="57">
        <v>19.700684429804927</v>
      </c>
      <c r="F514" s="57">
        <v>8.2368799999999993</v>
      </c>
      <c r="G514" s="57">
        <v>8.9146275799449022</v>
      </c>
      <c r="H514" s="58">
        <v>0.30585895554831088</v>
      </c>
      <c r="I514" s="58">
        <v>8.2282075245105224E-2</v>
      </c>
      <c r="J514" s="58">
        <v>0.22690018504059184</v>
      </c>
    </row>
    <row r="515" spans="1:10" ht="11.25" customHeight="1" x14ac:dyDescent="0.2">
      <c r="A515" s="67">
        <v>44470</v>
      </c>
      <c r="B515" s="57">
        <v>0</v>
      </c>
      <c r="C515" s="57">
        <v>0</v>
      </c>
      <c r="D515" s="57">
        <v>15.8804</v>
      </c>
      <c r="E515" s="57">
        <v>20.737562557689397</v>
      </c>
      <c r="F515" s="57">
        <v>8.670399999999999</v>
      </c>
      <c r="G515" s="57">
        <v>9.3838185052051593</v>
      </c>
      <c r="H515" s="58">
        <v>0.30585895554831088</v>
      </c>
      <c r="I515" s="58">
        <v>8.2282075245105224E-2</v>
      </c>
      <c r="J515" s="58">
        <v>0.22690018504059162</v>
      </c>
    </row>
    <row r="516" spans="1:10" ht="11.25" customHeight="1" x14ac:dyDescent="0.2">
      <c r="A516" s="67">
        <v>44501</v>
      </c>
      <c r="B516" s="57">
        <v>0</v>
      </c>
      <c r="C516" s="57">
        <v>0</v>
      </c>
      <c r="D516" s="57">
        <v>16.674420000000001</v>
      </c>
      <c r="E516" s="57">
        <v>21.774440685573868</v>
      </c>
      <c r="F516" s="57">
        <v>9.1039200000000005</v>
      </c>
      <c r="G516" s="57">
        <v>9.8530094304654181</v>
      </c>
      <c r="H516" s="58">
        <v>0.30585895554831088</v>
      </c>
      <c r="I516" s="58">
        <v>8.2282075245105224E-2</v>
      </c>
      <c r="J516" s="58">
        <v>0.22690018504059162</v>
      </c>
    </row>
    <row r="517" spans="1:10" ht="11.25" customHeight="1" x14ac:dyDescent="0.2">
      <c r="A517" s="67">
        <v>44531</v>
      </c>
      <c r="B517" s="57">
        <v>0</v>
      </c>
      <c r="C517" s="57">
        <v>0</v>
      </c>
      <c r="D517" s="57">
        <v>15.8804</v>
      </c>
      <c r="E517" s="57">
        <v>20.737562557689397</v>
      </c>
      <c r="F517" s="57">
        <v>8.670399999999999</v>
      </c>
      <c r="G517" s="57">
        <v>9.3838185052051593</v>
      </c>
      <c r="H517" s="58">
        <v>0.30585895554831088</v>
      </c>
      <c r="I517" s="58">
        <v>8.2282075245105224E-2</v>
      </c>
      <c r="J517" s="58">
        <v>0.22690018504059162</v>
      </c>
    </row>
    <row r="518" spans="1:10" ht="11.25" customHeight="1" x14ac:dyDescent="0.2">
      <c r="A518" s="67">
        <v>44562</v>
      </c>
      <c r="B518" s="57">
        <v>0</v>
      </c>
      <c r="C518" s="57">
        <v>0</v>
      </c>
      <c r="D518" s="57">
        <v>17.468439999999998</v>
      </c>
      <c r="E518" s="57">
        <v>22.811318813458335</v>
      </c>
      <c r="F518" s="57">
        <v>9.5374399999999984</v>
      </c>
      <c r="G518" s="57">
        <v>10.322200355725675</v>
      </c>
      <c r="H518" s="58">
        <v>0.30585895554831111</v>
      </c>
      <c r="I518" s="58">
        <v>8.2282075245105224E-2</v>
      </c>
      <c r="J518" s="58">
        <v>0.22690018504059162</v>
      </c>
    </row>
    <row r="519" spans="1:10" ht="11.25" customHeight="1" x14ac:dyDescent="0.2">
      <c r="A519" s="67">
        <v>44593</v>
      </c>
      <c r="B519" s="57">
        <v>0</v>
      </c>
      <c r="C519" s="57">
        <v>0</v>
      </c>
      <c r="D519" s="57">
        <v>16.674420000000001</v>
      </c>
      <c r="E519" s="57">
        <v>21.774440685573868</v>
      </c>
      <c r="F519" s="57">
        <v>9.1039200000000005</v>
      </c>
      <c r="G519" s="57">
        <v>9.8530094304654181</v>
      </c>
      <c r="H519" s="58">
        <v>0.30585895554831088</v>
      </c>
      <c r="I519" s="58">
        <v>8.2282075245105224E-2</v>
      </c>
      <c r="J519" s="58">
        <v>0.22690018504059162</v>
      </c>
    </row>
    <row r="520" spans="1:10" ht="11.25" customHeight="1" x14ac:dyDescent="0.2">
      <c r="A520" s="67">
        <v>44621</v>
      </c>
      <c r="B520" s="57">
        <v>0</v>
      </c>
      <c r="C520" s="57">
        <v>0</v>
      </c>
      <c r="D520" s="57">
        <v>15.08638</v>
      </c>
      <c r="E520" s="57">
        <v>19.700684429804927</v>
      </c>
      <c r="F520" s="57">
        <v>8.2368799999999993</v>
      </c>
      <c r="G520" s="57">
        <v>8.9146275799449022</v>
      </c>
      <c r="H520" s="58">
        <v>0.30585895554831088</v>
      </c>
      <c r="I520" s="58">
        <v>8.2282075245105224E-2</v>
      </c>
      <c r="J520" s="58">
        <v>0.22690018504059184</v>
      </c>
    </row>
    <row r="521" spans="1:10" ht="11.25" customHeight="1" x14ac:dyDescent="0.2">
      <c r="A521" s="67">
        <v>44652</v>
      </c>
      <c r="B521" s="57">
        <v>0</v>
      </c>
      <c r="C521" s="57">
        <v>0</v>
      </c>
      <c r="D521" s="57">
        <v>26.202660000000002</v>
      </c>
      <c r="E521" s="57">
        <v>34.216978220187507</v>
      </c>
      <c r="F521" s="57">
        <v>14.30616</v>
      </c>
      <c r="G521" s="57">
        <v>15.483300533588514</v>
      </c>
      <c r="H521" s="58">
        <v>0.30585895554831088</v>
      </c>
      <c r="I521" s="58">
        <v>8.2282075245105224E-2</v>
      </c>
      <c r="J521" s="58">
        <v>0.22690018504059162</v>
      </c>
    </row>
    <row r="522" spans="1:10" ht="11.25" customHeight="1" x14ac:dyDescent="0.2">
      <c r="A522" s="67">
        <v>44682</v>
      </c>
      <c r="B522" s="57">
        <v>0</v>
      </c>
      <c r="C522" s="57">
        <v>0</v>
      </c>
      <c r="D522" s="57">
        <v>20.64452</v>
      </c>
      <c r="E522" s="57">
        <v>26.958831324996215</v>
      </c>
      <c r="F522" s="57">
        <v>11.271519999999999</v>
      </c>
      <c r="G522" s="57">
        <v>12.198964056766707</v>
      </c>
      <c r="H522" s="58">
        <v>0.30585895554831088</v>
      </c>
      <c r="I522" s="58">
        <v>8.2282075245105224E-2</v>
      </c>
      <c r="J522" s="58">
        <v>0.22690018504059162</v>
      </c>
    </row>
    <row r="523" spans="1:10" ht="11.25" customHeight="1" x14ac:dyDescent="0.2">
      <c r="A523" s="67">
        <v>44713</v>
      </c>
      <c r="B523" s="57">
        <v>0</v>
      </c>
      <c r="C523" s="57">
        <v>0</v>
      </c>
      <c r="D523" s="57">
        <v>19.8505</v>
      </c>
      <c r="E523" s="57">
        <v>25.921953197111748</v>
      </c>
      <c r="F523" s="57">
        <v>10.838000000000001</v>
      </c>
      <c r="G523" s="57">
        <v>11.72977313150645</v>
      </c>
      <c r="H523" s="58">
        <v>0.30585895554831088</v>
      </c>
      <c r="I523" s="58">
        <v>8.2282075245105002E-2</v>
      </c>
      <c r="J523" s="58">
        <v>0.22690018504059162</v>
      </c>
    </row>
    <row r="524" spans="1:10" ht="11.25" customHeight="1" x14ac:dyDescent="0.2">
      <c r="A524" s="67">
        <v>44743</v>
      </c>
      <c r="B524" s="57">
        <v>0</v>
      </c>
      <c r="C524" s="57">
        <v>0</v>
      </c>
      <c r="D524" s="57">
        <v>18.262460000000001</v>
      </c>
      <c r="E524" s="57">
        <v>23.848196941342806</v>
      </c>
      <c r="F524" s="57">
        <v>9.9709599999999998</v>
      </c>
      <c r="G524" s="57">
        <v>10.791391280985934</v>
      </c>
      <c r="H524" s="58">
        <v>0.30585895554831088</v>
      </c>
      <c r="I524" s="58">
        <v>8.2282075245105224E-2</v>
      </c>
      <c r="J524" s="58">
        <v>0.22690018504059162</v>
      </c>
    </row>
    <row r="525" spans="1:10" ht="11.25" customHeight="1" x14ac:dyDescent="0.2">
      <c r="A525" s="67">
        <v>44774</v>
      </c>
      <c r="B525" s="57">
        <v>0</v>
      </c>
      <c r="C525" s="57">
        <v>0</v>
      </c>
      <c r="D525" s="57">
        <v>18.262460000000001</v>
      </c>
      <c r="E525" s="57">
        <v>23.848196941342806</v>
      </c>
      <c r="F525" s="57">
        <v>9.9709599999999998</v>
      </c>
      <c r="G525" s="57">
        <v>10.791391280985934</v>
      </c>
      <c r="H525" s="58">
        <v>0.30585895554831088</v>
      </c>
      <c r="I525" s="58">
        <v>8.2282075245105224E-2</v>
      </c>
      <c r="J525" s="58">
        <v>0.22690018504059162</v>
      </c>
    </row>
    <row r="526" spans="1:10" ht="11.25" customHeight="1" x14ac:dyDescent="0.2">
      <c r="A526" s="61" t="s">
        <v>23</v>
      </c>
      <c r="B526" s="57">
        <v>0</v>
      </c>
      <c r="C526" s="57">
        <v>0</v>
      </c>
      <c r="D526" s="57">
        <v>40474142.899854988</v>
      </c>
      <c r="E526" s="57">
        <v>59671254.173455305</v>
      </c>
      <c r="F526" s="57">
        <v>40183919.365151584</v>
      </c>
      <c r="G526" s="57">
        <v>43743190.56393116</v>
      </c>
      <c r="H526" s="58">
        <v>0.47430556642297939</v>
      </c>
      <c r="I526" s="58">
        <v>8.857451575184716E-2</v>
      </c>
      <c r="J526" s="58">
        <v>0.28213400909152186</v>
      </c>
    </row>
    <row r="527" spans="1:10" ht="11.25" customHeight="1" x14ac:dyDescent="0.2">
      <c r="A527" s="62" t="s">
        <v>44</v>
      </c>
      <c r="B527" s="57">
        <v>0</v>
      </c>
      <c r="C527" s="57">
        <v>0</v>
      </c>
      <c r="D527" s="57">
        <v>40474142.899854988</v>
      </c>
      <c r="E527" s="57">
        <v>59671254.173455305</v>
      </c>
      <c r="F527" s="57">
        <v>40183919.365151584</v>
      </c>
      <c r="G527" s="57">
        <v>43743190.56393116</v>
      </c>
      <c r="H527" s="58">
        <v>0.47430556642297939</v>
      </c>
      <c r="I527" s="58">
        <v>8.857451575184716E-2</v>
      </c>
      <c r="J527" s="58">
        <v>0.28213400909152186</v>
      </c>
    </row>
    <row r="528" spans="1:10" ht="11.25" customHeight="1" x14ac:dyDescent="0.2">
      <c r="A528" s="63" t="s">
        <v>52</v>
      </c>
      <c r="B528" s="57">
        <v>0</v>
      </c>
      <c r="C528" s="57">
        <v>0</v>
      </c>
      <c r="D528" s="57">
        <v>13810139.186898997</v>
      </c>
      <c r="E528" s="57">
        <v>20360408.887530636</v>
      </c>
      <c r="F528" s="57">
        <v>13711112.339744</v>
      </c>
      <c r="G528" s="57">
        <v>14925599.574929086</v>
      </c>
      <c r="H528" s="58">
        <v>0.47430873881745983</v>
      </c>
      <c r="I528" s="58">
        <v>8.8576856865557829E-2</v>
      </c>
      <c r="J528" s="58">
        <v>0.2821367672287638</v>
      </c>
    </row>
    <row r="529" spans="1:10" ht="11.25" customHeight="1" x14ac:dyDescent="0.2">
      <c r="A529" s="64" t="s">
        <v>53</v>
      </c>
      <c r="B529" s="57">
        <v>0</v>
      </c>
      <c r="C529" s="57">
        <v>0</v>
      </c>
      <c r="D529" s="57">
        <v>7496094.4074499989</v>
      </c>
      <c r="E529" s="57">
        <v>11051557.49190422</v>
      </c>
      <c r="F529" s="57">
        <v>7442342.9871999985</v>
      </c>
      <c r="G529" s="57">
        <v>8101562.3367216028</v>
      </c>
      <c r="H529" s="58">
        <v>0.47430873881745983</v>
      </c>
      <c r="I529" s="58">
        <v>8.8576856865557607E-2</v>
      </c>
      <c r="J529" s="58">
        <v>0.28213676722876357</v>
      </c>
    </row>
    <row r="530" spans="1:10" ht="11.25" customHeight="1" x14ac:dyDescent="0.2">
      <c r="A530" s="65" t="s">
        <v>25</v>
      </c>
      <c r="B530" s="57">
        <v>0</v>
      </c>
      <c r="C530" s="57">
        <v>0</v>
      </c>
      <c r="D530" s="57">
        <v>7496094.4074499989</v>
      </c>
      <c r="E530" s="57">
        <v>11051557.49190422</v>
      </c>
      <c r="F530" s="57">
        <v>7442342.9871999985</v>
      </c>
      <c r="G530" s="57">
        <v>8101562.3367216028</v>
      </c>
      <c r="H530" s="58">
        <v>0.47430873881745983</v>
      </c>
      <c r="I530" s="58">
        <v>8.8576856865557607E-2</v>
      </c>
      <c r="J530" s="58">
        <v>0.28213676722876357</v>
      </c>
    </row>
    <row r="531" spans="1:10" ht="11.25" customHeight="1" x14ac:dyDescent="0.2">
      <c r="A531" s="66" t="s">
        <v>25</v>
      </c>
      <c r="B531" s="57">
        <v>0</v>
      </c>
      <c r="C531" s="57">
        <v>0</v>
      </c>
      <c r="D531" s="57">
        <v>7496094.4074499989</v>
      </c>
      <c r="E531" s="57">
        <v>11051557.49190422</v>
      </c>
      <c r="F531" s="57">
        <v>7442342.9871999985</v>
      </c>
      <c r="G531" s="57">
        <v>8101562.3367216028</v>
      </c>
      <c r="H531" s="58">
        <v>0.47430873881745983</v>
      </c>
      <c r="I531" s="58">
        <v>8.8576856865557607E-2</v>
      </c>
      <c r="J531" s="58">
        <v>0.28213676722876357</v>
      </c>
    </row>
    <row r="532" spans="1:10" ht="11.25" customHeight="1" x14ac:dyDescent="0.2">
      <c r="A532" s="67">
        <v>44440</v>
      </c>
      <c r="B532" s="57">
        <v>0</v>
      </c>
      <c r="C532" s="57">
        <v>0</v>
      </c>
      <c r="D532" s="57">
        <v>1212420.89485</v>
      </c>
      <c r="E532" s="57">
        <v>1787482.7204022389</v>
      </c>
      <c r="F532" s="57">
        <v>1203727.1215999997</v>
      </c>
      <c r="G532" s="57">
        <v>1310349.486555153</v>
      </c>
      <c r="H532" s="58">
        <v>0.47430873881745916</v>
      </c>
      <c r="I532" s="58">
        <v>8.8576856865558051E-2</v>
      </c>
      <c r="J532" s="58">
        <v>0.28213676722876335</v>
      </c>
    </row>
    <row r="533" spans="1:10" ht="11.25" customHeight="1" x14ac:dyDescent="0.2">
      <c r="A533" s="67">
        <v>44470</v>
      </c>
      <c r="B533" s="57">
        <v>0</v>
      </c>
      <c r="C533" s="57">
        <v>0</v>
      </c>
      <c r="D533" s="57">
        <v>1190406.7930699999</v>
      </c>
      <c r="E533" s="57">
        <v>1755027.137770768</v>
      </c>
      <c r="F533" s="57">
        <v>1181870.8739199999</v>
      </c>
      <c r="G533" s="57">
        <v>1286557.2811527837</v>
      </c>
      <c r="H533" s="58">
        <v>0.47430873881745939</v>
      </c>
      <c r="I533" s="58">
        <v>8.8576856865558051E-2</v>
      </c>
      <c r="J533" s="58">
        <v>0.28213676722876357</v>
      </c>
    </row>
    <row r="534" spans="1:10" ht="11.25" customHeight="1" x14ac:dyDescent="0.2">
      <c r="A534" s="67">
        <v>44501</v>
      </c>
      <c r="B534" s="57">
        <v>0</v>
      </c>
      <c r="C534" s="57">
        <v>0</v>
      </c>
      <c r="D534" s="57">
        <v>330912.52898000006</v>
      </c>
      <c r="E534" s="57">
        <v>487867.23325939983</v>
      </c>
      <c r="F534" s="57">
        <v>328539.69087999995</v>
      </c>
      <c r="G534" s="57">
        <v>357640.70405373239</v>
      </c>
      <c r="H534" s="58">
        <v>0.47430873881745916</v>
      </c>
      <c r="I534" s="58">
        <v>8.8576856865558051E-2</v>
      </c>
      <c r="J534" s="58">
        <v>0.28213676722876335</v>
      </c>
    </row>
    <row r="535" spans="1:10" ht="11.25" customHeight="1" x14ac:dyDescent="0.2">
      <c r="A535" s="67">
        <v>44531</v>
      </c>
      <c r="B535" s="57">
        <v>0</v>
      </c>
      <c r="C535" s="57">
        <v>0</v>
      </c>
      <c r="D535" s="57">
        <v>244685.24607999998</v>
      </c>
      <c r="E535" s="57">
        <v>360741.59655544453</v>
      </c>
      <c r="F535" s="57">
        <v>242930.70848</v>
      </c>
      <c r="G535" s="57">
        <v>264448.7470732815</v>
      </c>
      <c r="H535" s="58">
        <v>0.47430873881745961</v>
      </c>
      <c r="I535" s="58">
        <v>8.8576856865557829E-2</v>
      </c>
      <c r="J535" s="58">
        <v>0.28213676722876335</v>
      </c>
    </row>
    <row r="536" spans="1:10" ht="11.25" customHeight="1" x14ac:dyDescent="0.2">
      <c r="A536" s="67">
        <v>44562</v>
      </c>
      <c r="B536" s="57">
        <v>0</v>
      </c>
      <c r="C536" s="57">
        <v>0</v>
      </c>
      <c r="D536" s="57">
        <v>246726.50068</v>
      </c>
      <c r="E536" s="57">
        <v>363751.0360503759</v>
      </c>
      <c r="F536" s="57">
        <v>244957.32608</v>
      </c>
      <c r="G536" s="57">
        <v>266654.87609035795</v>
      </c>
      <c r="H536" s="58">
        <v>0.47430873881745961</v>
      </c>
      <c r="I536" s="58">
        <v>8.8576856865557829E-2</v>
      </c>
      <c r="J536" s="58">
        <v>0.28213676722876357</v>
      </c>
    </row>
    <row r="537" spans="1:10" ht="11.25" customHeight="1" x14ac:dyDescent="0.2">
      <c r="A537" s="67">
        <v>44593</v>
      </c>
      <c r="B537" s="57">
        <v>0</v>
      </c>
      <c r="C537" s="57">
        <v>0</v>
      </c>
      <c r="D537" s="57">
        <v>420330.34427999996</v>
      </c>
      <c r="E537" s="57">
        <v>619696.69976215542</v>
      </c>
      <c r="F537" s="57">
        <v>417316.32767999993</v>
      </c>
      <c r="G537" s="57">
        <v>454280.89630457159</v>
      </c>
      <c r="H537" s="58">
        <v>0.47430873881745983</v>
      </c>
      <c r="I537" s="58">
        <v>8.8576856865558051E-2</v>
      </c>
      <c r="J537" s="58">
        <v>0.2821367672287638</v>
      </c>
    </row>
    <row r="538" spans="1:10" ht="11.25" customHeight="1" x14ac:dyDescent="0.2">
      <c r="A538" s="67">
        <v>44621</v>
      </c>
      <c r="B538" s="57">
        <v>0</v>
      </c>
      <c r="C538" s="57">
        <v>0</v>
      </c>
      <c r="D538" s="57">
        <v>319187.32240999996</v>
      </c>
      <c r="E538" s="57">
        <v>470580.65874880896</v>
      </c>
      <c r="F538" s="57">
        <v>316898.56096000003</v>
      </c>
      <c r="G538" s="57">
        <v>344968.43943505519</v>
      </c>
      <c r="H538" s="58">
        <v>0.47430873881745983</v>
      </c>
      <c r="I538" s="58">
        <v>8.8576856865557829E-2</v>
      </c>
      <c r="J538" s="58">
        <v>0.2821367672287638</v>
      </c>
    </row>
    <row r="539" spans="1:10" ht="11.25" customHeight="1" x14ac:dyDescent="0.2">
      <c r="A539" s="67">
        <v>44652</v>
      </c>
      <c r="B539" s="57">
        <v>0</v>
      </c>
      <c r="C539" s="57">
        <v>0</v>
      </c>
      <c r="D539" s="57">
        <v>625351.78353999986</v>
      </c>
      <c r="E539" s="57">
        <v>921961.59930810635</v>
      </c>
      <c r="F539" s="57">
        <v>620867.64223999984</v>
      </c>
      <c r="G539" s="57">
        <v>675862.14651914884</v>
      </c>
      <c r="H539" s="58">
        <v>0.47430873881745983</v>
      </c>
      <c r="I539" s="58">
        <v>8.8576856865558051E-2</v>
      </c>
      <c r="J539" s="58">
        <v>0.28213676722876402</v>
      </c>
    </row>
    <row r="540" spans="1:10" ht="11.25" customHeight="1" x14ac:dyDescent="0.2">
      <c r="A540" s="67">
        <v>44682</v>
      </c>
      <c r="B540" s="57">
        <v>0</v>
      </c>
      <c r="C540" s="57">
        <v>0</v>
      </c>
      <c r="D540" s="57">
        <v>894253.34207000013</v>
      </c>
      <c r="E540" s="57">
        <v>1318405.5169305201</v>
      </c>
      <c r="F540" s="57">
        <v>887841.0179199999</v>
      </c>
      <c r="G540" s="57">
        <v>966483.18468367099</v>
      </c>
      <c r="H540" s="58">
        <v>0.47430873881745939</v>
      </c>
      <c r="I540" s="58">
        <v>8.8576856865557829E-2</v>
      </c>
      <c r="J540" s="58">
        <v>0.28213676722876335</v>
      </c>
    </row>
    <row r="541" spans="1:10" ht="11.25" customHeight="1" x14ac:dyDescent="0.2">
      <c r="A541" s="67">
        <v>44713</v>
      </c>
      <c r="B541" s="57">
        <v>0</v>
      </c>
      <c r="C541" s="57">
        <v>0</v>
      </c>
      <c r="D541" s="57">
        <v>600974.80090999999</v>
      </c>
      <c r="E541" s="57">
        <v>886022.40079069592</v>
      </c>
      <c r="F541" s="57">
        <v>596665.45695999986</v>
      </c>
      <c r="G541" s="57">
        <v>649516.20773776853</v>
      </c>
      <c r="H541" s="58">
        <v>0.47430873881745961</v>
      </c>
      <c r="I541" s="58">
        <v>8.8576856865558051E-2</v>
      </c>
      <c r="J541" s="58">
        <v>0.2821367672287638</v>
      </c>
    </row>
    <row r="542" spans="1:10" ht="11.25" customHeight="1" x14ac:dyDescent="0.2">
      <c r="A542" s="67">
        <v>44743</v>
      </c>
      <c r="B542" s="57">
        <v>0</v>
      </c>
      <c r="C542" s="57">
        <v>0</v>
      </c>
      <c r="D542" s="57">
        <v>705422.42528999993</v>
      </c>
      <c r="E542" s="57">
        <v>1040010.4461628534</v>
      </c>
      <c r="F542" s="57">
        <v>700364.13023999997</v>
      </c>
      <c r="G542" s="57">
        <v>762400.18355803937</v>
      </c>
      <c r="H542" s="58">
        <v>0.47430873881745961</v>
      </c>
      <c r="I542" s="58">
        <v>8.8576856865557829E-2</v>
      </c>
      <c r="J542" s="58">
        <v>0.28213676722876335</v>
      </c>
    </row>
    <row r="543" spans="1:10" ht="11.25" customHeight="1" x14ac:dyDescent="0.2">
      <c r="A543" s="67">
        <v>44774</v>
      </c>
      <c r="B543" s="57">
        <v>0</v>
      </c>
      <c r="C543" s="57">
        <v>0</v>
      </c>
      <c r="D543" s="57">
        <v>705422.42528999993</v>
      </c>
      <c r="E543" s="57">
        <v>1040010.4461628534</v>
      </c>
      <c r="F543" s="57">
        <v>700364.13023999997</v>
      </c>
      <c r="G543" s="57">
        <v>762400.18355803937</v>
      </c>
      <c r="H543" s="58">
        <v>0.47430873881745961</v>
      </c>
      <c r="I543" s="58">
        <v>8.8576856865557829E-2</v>
      </c>
      <c r="J543" s="58">
        <v>0.28213676722876335</v>
      </c>
    </row>
    <row r="544" spans="1:10" ht="11.25" customHeight="1" x14ac:dyDescent="0.2">
      <c r="A544" s="64" t="s">
        <v>54</v>
      </c>
      <c r="B544" s="57">
        <v>0</v>
      </c>
      <c r="C544" s="57">
        <v>0</v>
      </c>
      <c r="D544" s="57">
        <v>6314044.7794489991</v>
      </c>
      <c r="E544" s="57">
        <v>9308851.3956264183</v>
      </c>
      <c r="F544" s="57">
        <v>6268769.3525440004</v>
      </c>
      <c r="G544" s="57">
        <v>6824037.2382074855</v>
      </c>
      <c r="H544" s="58">
        <v>0.47430873881745939</v>
      </c>
      <c r="I544" s="58">
        <v>8.8576856865557607E-2</v>
      </c>
      <c r="J544" s="58">
        <v>0.28213676722876335</v>
      </c>
    </row>
    <row r="545" spans="1:10" ht="11.25" customHeight="1" x14ac:dyDescent="0.2">
      <c r="A545" s="65" t="s">
        <v>25</v>
      </c>
      <c r="B545" s="57">
        <v>0</v>
      </c>
      <c r="C545" s="57">
        <v>0</v>
      </c>
      <c r="D545" s="57">
        <v>6314044.7794489991</v>
      </c>
      <c r="E545" s="57">
        <v>9308851.3956264183</v>
      </c>
      <c r="F545" s="57">
        <v>6268769.3525440004</v>
      </c>
      <c r="G545" s="57">
        <v>6824037.2382074855</v>
      </c>
      <c r="H545" s="58">
        <v>0.47430873881745939</v>
      </c>
      <c r="I545" s="58">
        <v>8.8576856865557607E-2</v>
      </c>
      <c r="J545" s="58">
        <v>0.28213676722876335</v>
      </c>
    </row>
    <row r="546" spans="1:10" ht="11.25" customHeight="1" x14ac:dyDescent="0.2">
      <c r="A546" s="66" t="s">
        <v>25</v>
      </c>
      <c r="B546" s="57">
        <v>0</v>
      </c>
      <c r="C546" s="57">
        <v>0</v>
      </c>
      <c r="D546" s="57">
        <v>6314044.7794489991</v>
      </c>
      <c r="E546" s="57">
        <v>9308851.3956264183</v>
      </c>
      <c r="F546" s="57">
        <v>6268769.3525440004</v>
      </c>
      <c r="G546" s="57">
        <v>6824037.2382074855</v>
      </c>
      <c r="H546" s="58">
        <v>0.47430873881745939</v>
      </c>
      <c r="I546" s="58">
        <v>8.8576856865557607E-2</v>
      </c>
      <c r="J546" s="58">
        <v>0.28213676722876335</v>
      </c>
    </row>
    <row r="547" spans="1:10" ht="11.25" customHeight="1" x14ac:dyDescent="0.2">
      <c r="A547" s="67">
        <v>44440</v>
      </c>
      <c r="B547" s="57">
        <v>0</v>
      </c>
      <c r="C547" s="57">
        <v>0</v>
      </c>
      <c r="D547" s="57">
        <v>747211.75278749992</v>
      </c>
      <c r="E547" s="57">
        <v>1101620.8168817223</v>
      </c>
      <c r="F547" s="57">
        <v>741853.80359999975</v>
      </c>
      <c r="G547" s="57">
        <v>807564.88177664671</v>
      </c>
      <c r="H547" s="58">
        <v>0.47430873881745939</v>
      </c>
      <c r="I547" s="58">
        <v>8.8576856865558051E-2</v>
      </c>
      <c r="J547" s="58">
        <v>0.28213676722876357</v>
      </c>
    </row>
    <row r="548" spans="1:10" ht="11.25" customHeight="1" x14ac:dyDescent="0.2">
      <c r="A548" s="67">
        <v>44470</v>
      </c>
      <c r="B548" s="57">
        <v>0</v>
      </c>
      <c r="C548" s="57">
        <v>0</v>
      </c>
      <c r="D548" s="57">
        <v>760063.55178600014</v>
      </c>
      <c r="E548" s="57">
        <v>1120568.3364547368</v>
      </c>
      <c r="F548" s="57">
        <v>754613.44761600008</v>
      </c>
      <c r="G548" s="57">
        <v>821454.73495430755</v>
      </c>
      <c r="H548" s="58">
        <v>0.47430873881745961</v>
      </c>
      <c r="I548" s="58">
        <v>8.8576856865557829E-2</v>
      </c>
      <c r="J548" s="58">
        <v>0.28213676722876357</v>
      </c>
    </row>
    <row r="549" spans="1:10" ht="11.25" customHeight="1" x14ac:dyDescent="0.2">
      <c r="A549" s="67">
        <v>44501</v>
      </c>
      <c r="B549" s="57">
        <v>0</v>
      </c>
      <c r="C549" s="57">
        <v>0</v>
      </c>
      <c r="D549" s="57">
        <v>146902.48092629999</v>
      </c>
      <c r="E549" s="57">
        <v>216579.61138360924</v>
      </c>
      <c r="F549" s="57">
        <v>145849.10345279999</v>
      </c>
      <c r="G549" s="57">
        <v>158767.95861330861</v>
      </c>
      <c r="H549" s="58">
        <v>0.47430873881745961</v>
      </c>
      <c r="I549" s="58">
        <v>8.8576856865558051E-2</v>
      </c>
      <c r="J549" s="58">
        <v>0.28213676722876357</v>
      </c>
    </row>
    <row r="550" spans="1:10" ht="11.25" customHeight="1" x14ac:dyDescent="0.2">
      <c r="A550" s="67">
        <v>44531</v>
      </c>
      <c r="B550" s="57">
        <v>0</v>
      </c>
      <c r="C550" s="57">
        <v>0</v>
      </c>
      <c r="D550" s="57">
        <v>82752.710208300006</v>
      </c>
      <c r="E550" s="57">
        <v>122003.04382092548</v>
      </c>
      <c r="F550" s="57">
        <v>82159.324444800004</v>
      </c>
      <c r="G550" s="57">
        <v>89436.739166317973</v>
      </c>
      <c r="H550" s="58">
        <v>0.47430873881745939</v>
      </c>
      <c r="I550" s="58">
        <v>8.8576856865557829E-2</v>
      </c>
      <c r="J550" s="58">
        <v>0.28213676722876335</v>
      </c>
    </row>
    <row r="551" spans="1:10" ht="11.25" customHeight="1" x14ac:dyDescent="0.2">
      <c r="A551" s="67">
        <v>44562</v>
      </c>
      <c r="B551" s="57">
        <v>0</v>
      </c>
      <c r="C551" s="57">
        <v>0</v>
      </c>
      <c r="D551" s="57">
        <v>84534.030761400005</v>
      </c>
      <c r="E551" s="57">
        <v>124629.26027899595</v>
      </c>
      <c r="F551" s="57">
        <v>83927.871878399979</v>
      </c>
      <c r="G551" s="57">
        <v>91361.938972803895</v>
      </c>
      <c r="H551" s="58">
        <v>0.47430873881745939</v>
      </c>
      <c r="I551" s="58">
        <v>8.8576856865557829E-2</v>
      </c>
      <c r="J551" s="58">
        <v>0.28213676722876335</v>
      </c>
    </row>
    <row r="552" spans="1:10" ht="11.25" customHeight="1" x14ac:dyDescent="0.2">
      <c r="A552" s="67">
        <v>44593</v>
      </c>
      <c r="B552" s="57">
        <v>0</v>
      </c>
      <c r="C552" s="57">
        <v>0</v>
      </c>
      <c r="D552" s="57">
        <v>255282.37073459997</v>
      </c>
      <c r="E552" s="57">
        <v>376365.03004005924</v>
      </c>
      <c r="F552" s="57">
        <v>253451.84549760001</v>
      </c>
      <c r="G552" s="57">
        <v>275901.81333855243</v>
      </c>
      <c r="H552" s="58">
        <v>0.47430873881745961</v>
      </c>
      <c r="I552" s="58">
        <v>8.8576856865557829E-2</v>
      </c>
      <c r="J552" s="58">
        <v>0.28213676722876357</v>
      </c>
    </row>
    <row r="553" spans="1:10" ht="11.25" customHeight="1" x14ac:dyDescent="0.2">
      <c r="A553" s="67">
        <v>44621</v>
      </c>
      <c r="B553" s="57">
        <v>0</v>
      </c>
      <c r="C553" s="57">
        <v>0</v>
      </c>
      <c r="D553" s="57">
        <v>226642.72246220001</v>
      </c>
      <c r="E553" s="57">
        <v>334141.34631540161</v>
      </c>
      <c r="F553" s="57">
        <v>225017.56040320001</v>
      </c>
      <c r="G553" s="57">
        <v>244948.90864327125</v>
      </c>
      <c r="H553" s="58">
        <v>0.47430873881745961</v>
      </c>
      <c r="I553" s="58">
        <v>8.8576856865557829E-2</v>
      </c>
      <c r="J553" s="58">
        <v>0.28213676722876357</v>
      </c>
    </row>
    <row r="554" spans="1:10" ht="11.25" customHeight="1" x14ac:dyDescent="0.2">
      <c r="A554" s="67">
        <v>44652</v>
      </c>
      <c r="B554" s="57">
        <v>0</v>
      </c>
      <c r="C554" s="57">
        <v>0</v>
      </c>
      <c r="D554" s="57">
        <v>613647.67565200001</v>
      </c>
      <c r="E554" s="57">
        <v>904706.13076876558</v>
      </c>
      <c r="F554" s="57">
        <v>609247.45971199998</v>
      </c>
      <c r="G554" s="57">
        <v>663212.68474661454</v>
      </c>
      <c r="H554" s="58">
        <v>0.47430873881745961</v>
      </c>
      <c r="I554" s="58">
        <v>8.8576856865557829E-2</v>
      </c>
      <c r="J554" s="58">
        <v>0.28213676722876357</v>
      </c>
    </row>
    <row r="555" spans="1:10" ht="11.25" customHeight="1" x14ac:dyDescent="0.2">
      <c r="A555" s="67">
        <v>44682</v>
      </c>
      <c r="B555" s="57">
        <v>0</v>
      </c>
      <c r="C555" s="57">
        <v>0</v>
      </c>
      <c r="D555" s="57">
        <v>973117.9597139</v>
      </c>
      <c r="E555" s="57">
        <v>1434676.3119064195</v>
      </c>
      <c r="F555" s="57">
        <v>966140.12971839996</v>
      </c>
      <c r="G555" s="57">
        <v>1051717.7857005382</v>
      </c>
      <c r="H555" s="58">
        <v>0.47430873881745961</v>
      </c>
      <c r="I555" s="58">
        <v>8.8576856865557829E-2</v>
      </c>
      <c r="J555" s="58">
        <v>0.28213676722876357</v>
      </c>
    </row>
    <row r="556" spans="1:10" ht="11.25" customHeight="1" x14ac:dyDescent="0.2">
      <c r="A556" s="67">
        <v>44713</v>
      </c>
      <c r="B556" s="57">
        <v>0</v>
      </c>
      <c r="C556" s="57">
        <v>0</v>
      </c>
      <c r="D556" s="57">
        <v>704259.03595960001</v>
      </c>
      <c r="E556" s="57">
        <v>1038295.2511063976</v>
      </c>
      <c r="F556" s="57">
        <v>699209.08309760003</v>
      </c>
      <c r="G556" s="57">
        <v>761142.82597023412</v>
      </c>
      <c r="H556" s="58">
        <v>0.47430873881745939</v>
      </c>
      <c r="I556" s="58">
        <v>8.8576856865557829E-2</v>
      </c>
      <c r="J556" s="58">
        <v>0.28213676722876335</v>
      </c>
    </row>
    <row r="557" spans="1:10" ht="11.25" customHeight="1" x14ac:dyDescent="0.2">
      <c r="A557" s="67">
        <v>44743</v>
      </c>
      <c r="B557" s="57">
        <v>0</v>
      </c>
      <c r="C557" s="57">
        <v>0</v>
      </c>
      <c r="D557" s="57">
        <v>859815.24422859994</v>
      </c>
      <c r="E557" s="57">
        <v>1267633.1283346929</v>
      </c>
      <c r="F557" s="57">
        <v>853649.86156159989</v>
      </c>
      <c r="G557" s="57">
        <v>929263.48316244513</v>
      </c>
      <c r="H557" s="58">
        <v>0.47430873881745939</v>
      </c>
      <c r="I557" s="58">
        <v>8.8576856865558051E-2</v>
      </c>
      <c r="J557" s="58">
        <v>0.28213676722876357</v>
      </c>
    </row>
    <row r="558" spans="1:10" ht="11.25" customHeight="1" x14ac:dyDescent="0.2">
      <c r="A558" s="67">
        <v>44774</v>
      </c>
      <c r="B558" s="57">
        <v>0</v>
      </c>
      <c r="C558" s="57">
        <v>0</v>
      </c>
      <c r="D558" s="57">
        <v>859815.24422859994</v>
      </c>
      <c r="E558" s="57">
        <v>1267633.1283346929</v>
      </c>
      <c r="F558" s="57">
        <v>853649.86156159989</v>
      </c>
      <c r="G558" s="57">
        <v>929263.48316244513</v>
      </c>
      <c r="H558" s="58">
        <v>0.47430873881745939</v>
      </c>
      <c r="I558" s="58">
        <v>8.8576856865558051E-2</v>
      </c>
      <c r="J558" s="58">
        <v>0.28213676722876357</v>
      </c>
    </row>
    <row r="559" spans="1:10" ht="11.25" customHeight="1" x14ac:dyDescent="0.2">
      <c r="A559" s="63" t="s">
        <v>25</v>
      </c>
      <c r="B559" s="57">
        <v>0</v>
      </c>
      <c r="C559" s="57">
        <v>0</v>
      </c>
      <c r="D559" s="57">
        <v>26659940.357489996</v>
      </c>
      <c r="E559" s="57">
        <v>39304983.04539977</v>
      </c>
      <c r="F559" s="57">
        <v>26468772.853439994</v>
      </c>
      <c r="G559" s="57">
        <v>28813293.557886116</v>
      </c>
      <c r="H559" s="58">
        <v>0.47430873881745961</v>
      </c>
      <c r="I559" s="58">
        <v>8.8576856865557607E-2</v>
      </c>
      <c r="J559" s="58">
        <v>0.28213676722876357</v>
      </c>
    </row>
    <row r="560" spans="1:10" ht="11.25" customHeight="1" x14ac:dyDescent="0.2">
      <c r="A560" s="64" t="s">
        <v>25</v>
      </c>
      <c r="B560" s="57">
        <v>0</v>
      </c>
      <c r="C560" s="57">
        <v>0</v>
      </c>
      <c r="D560" s="57">
        <v>26659940.357489996</v>
      </c>
      <c r="E560" s="57">
        <v>39304983.04539977</v>
      </c>
      <c r="F560" s="57">
        <v>26468772.853439994</v>
      </c>
      <c r="G560" s="57">
        <v>28813293.557886116</v>
      </c>
      <c r="H560" s="58">
        <v>0.47430873881745961</v>
      </c>
      <c r="I560" s="58">
        <v>8.8576856865557607E-2</v>
      </c>
      <c r="J560" s="58">
        <v>0.28213676722876357</v>
      </c>
    </row>
    <row r="561" spans="1:10" ht="11.25" customHeight="1" x14ac:dyDescent="0.2">
      <c r="A561" s="65" t="s">
        <v>25</v>
      </c>
      <c r="B561" s="57">
        <v>0</v>
      </c>
      <c r="C561" s="57">
        <v>0</v>
      </c>
      <c r="D561" s="57">
        <v>26659940.357489996</v>
      </c>
      <c r="E561" s="57">
        <v>39304983.04539977</v>
      </c>
      <c r="F561" s="57">
        <v>26468772.853439994</v>
      </c>
      <c r="G561" s="57">
        <v>28813293.557886116</v>
      </c>
      <c r="H561" s="58">
        <v>0.47430873881745961</v>
      </c>
      <c r="I561" s="58">
        <v>8.8576856865557607E-2</v>
      </c>
      <c r="J561" s="58">
        <v>0.28213676722876357</v>
      </c>
    </row>
    <row r="562" spans="1:10" ht="11.25" customHeight="1" x14ac:dyDescent="0.2">
      <c r="A562" s="66" t="s">
        <v>25</v>
      </c>
      <c r="B562" s="57">
        <v>0</v>
      </c>
      <c r="C562" s="57">
        <v>0</v>
      </c>
      <c r="D562" s="57">
        <v>26659940.357489996</v>
      </c>
      <c r="E562" s="57">
        <v>39304983.04539977</v>
      </c>
      <c r="F562" s="57">
        <v>26468772.853439994</v>
      </c>
      <c r="G562" s="57">
        <v>28813293.557886116</v>
      </c>
      <c r="H562" s="58">
        <v>0.47430873881745961</v>
      </c>
      <c r="I562" s="58">
        <v>8.8576856865557607E-2</v>
      </c>
      <c r="J562" s="58">
        <v>0.28213676722876357</v>
      </c>
    </row>
    <row r="563" spans="1:10" ht="11.25" customHeight="1" x14ac:dyDescent="0.2">
      <c r="A563" s="67">
        <v>44440</v>
      </c>
      <c r="B563" s="57">
        <v>0</v>
      </c>
      <c r="C563" s="57">
        <v>0</v>
      </c>
      <c r="D563" s="57">
        <v>2045248.7691899999</v>
      </c>
      <c r="E563" s="57">
        <v>3015328.1334724701</v>
      </c>
      <c r="F563" s="57">
        <v>2030583.1286399998</v>
      </c>
      <c r="G563" s="57">
        <v>2210445.7997791618</v>
      </c>
      <c r="H563" s="58">
        <v>0.47430873881745961</v>
      </c>
      <c r="I563" s="58">
        <v>8.8576856865557829E-2</v>
      </c>
      <c r="J563" s="58">
        <v>0.28213676722876357</v>
      </c>
    </row>
    <row r="564" spans="1:10" ht="11.25" customHeight="1" x14ac:dyDescent="0.2">
      <c r="A564" s="67">
        <v>44470</v>
      </c>
      <c r="B564" s="57">
        <v>0</v>
      </c>
      <c r="C564" s="57">
        <v>0</v>
      </c>
      <c r="D564" s="57">
        <v>2118011.49076</v>
      </c>
      <c r="E564" s="57">
        <v>3122602.8497432629</v>
      </c>
      <c r="F564" s="57">
        <v>2102824.0985599998</v>
      </c>
      <c r="G564" s="57">
        <v>2289085.6477515949</v>
      </c>
      <c r="H564" s="58">
        <v>0.47430873881745961</v>
      </c>
      <c r="I564" s="58">
        <v>8.8576856865558051E-2</v>
      </c>
      <c r="J564" s="58">
        <v>0.28213676722876335</v>
      </c>
    </row>
    <row r="565" spans="1:10" ht="11.25" customHeight="1" x14ac:dyDescent="0.2">
      <c r="A565" s="67">
        <v>44501</v>
      </c>
      <c r="B565" s="57">
        <v>0</v>
      </c>
      <c r="C565" s="57">
        <v>0</v>
      </c>
      <c r="D565" s="57">
        <v>1799389.3728799999</v>
      </c>
      <c r="E565" s="57">
        <v>2652855.4769722526</v>
      </c>
      <c r="F565" s="57">
        <v>1786486.6892799998</v>
      </c>
      <c r="G565" s="57">
        <v>1944728.0650485787</v>
      </c>
      <c r="H565" s="58">
        <v>0.47430873881745983</v>
      </c>
      <c r="I565" s="58">
        <v>8.8576856865557829E-2</v>
      </c>
      <c r="J565" s="58">
        <v>0.28213676722876357</v>
      </c>
    </row>
    <row r="566" spans="1:10" ht="11.25" customHeight="1" x14ac:dyDescent="0.2">
      <c r="A566" s="67">
        <v>44531</v>
      </c>
      <c r="B566" s="57">
        <v>0</v>
      </c>
      <c r="C566" s="57">
        <v>0</v>
      </c>
      <c r="D566" s="57">
        <v>1819052.3152999999</v>
      </c>
      <c r="E566" s="57">
        <v>2681844.7248129225</v>
      </c>
      <c r="F566" s="57">
        <v>1806008.6368</v>
      </c>
      <c r="G566" s="57">
        <v>1965979.2053197948</v>
      </c>
      <c r="H566" s="58">
        <v>0.47430873881745939</v>
      </c>
      <c r="I566" s="58">
        <v>8.8576856865557829E-2</v>
      </c>
      <c r="J566" s="58">
        <v>0.28213676722876335</v>
      </c>
    </row>
    <row r="567" spans="1:10" ht="11.25" customHeight="1" x14ac:dyDescent="0.2">
      <c r="A567" s="67">
        <v>44562</v>
      </c>
      <c r="B567" s="57">
        <v>0</v>
      </c>
      <c r="C567" s="57">
        <v>0</v>
      </c>
      <c r="D567" s="57">
        <v>1901981.2852699999</v>
      </c>
      <c r="E567" s="57">
        <v>2804107.6299408246</v>
      </c>
      <c r="F567" s="57">
        <v>1888342.9571199997</v>
      </c>
      <c r="G567" s="57">
        <v>2055606.4409459026</v>
      </c>
      <c r="H567" s="58">
        <v>0.47430873881745961</v>
      </c>
      <c r="I567" s="58">
        <v>8.8576856865558051E-2</v>
      </c>
      <c r="J567" s="58">
        <v>0.2821367672287638</v>
      </c>
    </row>
    <row r="568" spans="1:10" ht="11.25" customHeight="1" x14ac:dyDescent="0.2">
      <c r="A568" s="67">
        <v>44593</v>
      </c>
      <c r="B568" s="57">
        <v>0</v>
      </c>
      <c r="C568" s="57">
        <v>0</v>
      </c>
      <c r="D568" s="57">
        <v>1945330.7859699996</v>
      </c>
      <c r="E568" s="57">
        <v>2868018.1776462076</v>
      </c>
      <c r="F568" s="57">
        <v>1931381.6163199996</v>
      </c>
      <c r="G568" s="57">
        <v>2102457.3293015463</v>
      </c>
      <c r="H568" s="58">
        <v>0.47430873881745961</v>
      </c>
      <c r="I568" s="58">
        <v>8.8576856865558051E-2</v>
      </c>
      <c r="J568" s="58">
        <v>0.28213676722876357</v>
      </c>
    </row>
    <row r="569" spans="1:10" ht="11.25" customHeight="1" x14ac:dyDescent="0.2">
      <c r="A569" s="67">
        <v>44621</v>
      </c>
      <c r="B569" s="57">
        <v>0</v>
      </c>
      <c r="C569" s="57">
        <v>0</v>
      </c>
      <c r="D569" s="57">
        <v>1968858.1035199999</v>
      </c>
      <c r="E569" s="57">
        <v>2902704.707511106</v>
      </c>
      <c r="F569" s="57">
        <v>1954740.2291199998</v>
      </c>
      <c r="G569" s="57">
        <v>2127884.9746041098</v>
      </c>
      <c r="H569" s="58">
        <v>0.47430873881745939</v>
      </c>
      <c r="I569" s="58">
        <v>8.8576856865557829E-2</v>
      </c>
      <c r="J569" s="58">
        <v>0.28213676722876357</v>
      </c>
    </row>
    <row r="570" spans="1:10" ht="11.25" customHeight="1" x14ac:dyDescent="0.2">
      <c r="A570" s="67">
        <v>44652</v>
      </c>
      <c r="B570" s="57">
        <v>0</v>
      </c>
      <c r="C570" s="57">
        <v>0</v>
      </c>
      <c r="D570" s="57">
        <v>2025325.6668699998</v>
      </c>
      <c r="E570" s="57">
        <v>2985955.3296177397</v>
      </c>
      <c r="F570" s="57">
        <v>2010802.8867200001</v>
      </c>
      <c r="G570" s="57">
        <v>2188913.4862018479</v>
      </c>
      <c r="H570" s="58">
        <v>0.47430873881745961</v>
      </c>
      <c r="I570" s="58">
        <v>8.8576856865557829E-2</v>
      </c>
      <c r="J570" s="58">
        <v>0.28213676722876357</v>
      </c>
    </row>
    <row r="571" spans="1:10" ht="11.25" customHeight="1" x14ac:dyDescent="0.2">
      <c r="A571" s="67">
        <v>44682</v>
      </c>
      <c r="B571" s="57">
        <v>0</v>
      </c>
      <c r="C571" s="57">
        <v>0</v>
      </c>
      <c r="D571" s="57">
        <v>2469966.09552</v>
      </c>
      <c r="E571" s="57">
        <v>3641492.5992079759</v>
      </c>
      <c r="F571" s="57">
        <v>2452254.9811199997</v>
      </c>
      <c r="G571" s="57">
        <v>2669468.019580517</v>
      </c>
      <c r="H571" s="58">
        <v>0.47430873881745961</v>
      </c>
      <c r="I571" s="58">
        <v>8.8576856865557829E-2</v>
      </c>
      <c r="J571" s="58">
        <v>0.28213676722876357</v>
      </c>
    </row>
    <row r="572" spans="1:10" ht="11.25" customHeight="1" x14ac:dyDescent="0.2">
      <c r="A572" s="67">
        <v>44713</v>
      </c>
      <c r="B572" s="57">
        <v>0</v>
      </c>
      <c r="C572" s="57">
        <v>0</v>
      </c>
      <c r="D572" s="57">
        <v>3034156.0019100001</v>
      </c>
      <c r="E572" s="57">
        <v>4473282.7085513575</v>
      </c>
      <c r="F572" s="57">
        <v>3012399.3129599998</v>
      </c>
      <c r="G572" s="57">
        <v>3279228.175725963</v>
      </c>
      <c r="H572" s="58">
        <v>0.47430873881745961</v>
      </c>
      <c r="I572" s="58">
        <v>8.8576856865558051E-2</v>
      </c>
      <c r="J572" s="58">
        <v>0.28213676722876357</v>
      </c>
    </row>
    <row r="573" spans="1:10" ht="11.25" customHeight="1" x14ac:dyDescent="0.2">
      <c r="A573" s="67">
        <v>44743</v>
      </c>
      <c r="B573" s="57">
        <v>0</v>
      </c>
      <c r="C573" s="57">
        <v>0</v>
      </c>
      <c r="D573" s="57">
        <v>2766310.2351499996</v>
      </c>
      <c r="E573" s="57">
        <v>4078395.3539618258</v>
      </c>
      <c r="F573" s="57">
        <v>2746474.1583999996</v>
      </c>
      <c r="G573" s="57">
        <v>2989748.2068135501</v>
      </c>
      <c r="H573" s="58">
        <v>0.47430873881745961</v>
      </c>
      <c r="I573" s="58">
        <v>8.8576856865558051E-2</v>
      </c>
      <c r="J573" s="58">
        <v>0.28213676722876357</v>
      </c>
    </row>
    <row r="574" spans="1:10" ht="11.25" customHeight="1" x14ac:dyDescent="0.2">
      <c r="A574" s="67">
        <v>44774</v>
      </c>
      <c r="B574" s="57">
        <v>0</v>
      </c>
      <c r="C574" s="57">
        <v>0</v>
      </c>
      <c r="D574" s="57">
        <v>2766310.2351499996</v>
      </c>
      <c r="E574" s="57">
        <v>4078395.3539618258</v>
      </c>
      <c r="F574" s="57">
        <v>2746474.1583999996</v>
      </c>
      <c r="G574" s="57">
        <v>2989748.2068135501</v>
      </c>
      <c r="H574" s="58">
        <v>0.47430873881745961</v>
      </c>
      <c r="I574" s="58">
        <v>8.8576856865558051E-2</v>
      </c>
      <c r="J574" s="58">
        <v>0.28213676722876357</v>
      </c>
    </row>
    <row r="575" spans="1:10" ht="11.25" customHeight="1" x14ac:dyDescent="0.2">
      <c r="A575" s="63" t="s">
        <v>55</v>
      </c>
      <c r="B575" s="57">
        <v>0</v>
      </c>
      <c r="C575" s="57">
        <v>0</v>
      </c>
      <c r="D575" s="57">
        <v>4063.355466</v>
      </c>
      <c r="E575" s="57">
        <v>5862.2405249036265</v>
      </c>
      <c r="F575" s="57">
        <v>4034.1719676000007</v>
      </c>
      <c r="G575" s="57">
        <v>4297.4311159448207</v>
      </c>
      <c r="H575" s="58">
        <v>0.44270925198539501</v>
      </c>
      <c r="I575" s="58">
        <v>6.5257294547470091E-2</v>
      </c>
      <c r="J575" s="58">
        <v>0.25466344191583157</v>
      </c>
    </row>
    <row r="576" spans="1:10" ht="11.25" customHeight="1" x14ac:dyDescent="0.2">
      <c r="A576" s="64" t="s">
        <v>53</v>
      </c>
      <c r="B576" s="57">
        <v>0</v>
      </c>
      <c r="C576" s="57">
        <v>0</v>
      </c>
      <c r="D576" s="57">
        <v>2516.9567000000002</v>
      </c>
      <c r="E576" s="57">
        <v>3473.8498700565365</v>
      </c>
      <c r="F576" s="57">
        <v>2498.8796199999997</v>
      </c>
      <c r="G576" s="57">
        <v>2546.5742083223813</v>
      </c>
      <c r="H576" s="58">
        <v>0.38017863797837137</v>
      </c>
      <c r="I576" s="58">
        <v>1.9086388932325393E-2</v>
      </c>
      <c r="J576" s="58">
        <v>0.2002832019005989</v>
      </c>
    </row>
    <row r="577" spans="1:10" ht="11.25" customHeight="1" x14ac:dyDescent="0.2">
      <c r="A577" s="65" t="s">
        <v>25</v>
      </c>
      <c r="B577" s="57">
        <v>0</v>
      </c>
      <c r="C577" s="57">
        <v>0</v>
      </c>
      <c r="D577" s="57">
        <v>2516.9567000000002</v>
      </c>
      <c r="E577" s="57">
        <v>3473.8498700565365</v>
      </c>
      <c r="F577" s="57">
        <v>2498.8796199999997</v>
      </c>
      <c r="G577" s="57">
        <v>2546.5742083223813</v>
      </c>
      <c r="H577" s="58">
        <v>0.38017863797837137</v>
      </c>
      <c r="I577" s="58">
        <v>1.9086388932325393E-2</v>
      </c>
      <c r="J577" s="58">
        <v>0.2002832019005989</v>
      </c>
    </row>
    <row r="578" spans="1:10" ht="11.25" customHeight="1" x14ac:dyDescent="0.2">
      <c r="A578" s="66" t="s">
        <v>25</v>
      </c>
      <c r="B578" s="57">
        <v>0</v>
      </c>
      <c r="C578" s="57">
        <v>0</v>
      </c>
      <c r="D578" s="57">
        <v>2516.9567000000002</v>
      </c>
      <c r="E578" s="57">
        <v>3473.8498700565365</v>
      </c>
      <c r="F578" s="57">
        <v>2498.8796199999997</v>
      </c>
      <c r="G578" s="57">
        <v>2546.5742083223813</v>
      </c>
      <c r="H578" s="58">
        <v>0.38017863797837137</v>
      </c>
      <c r="I578" s="58">
        <v>1.9086388932325393E-2</v>
      </c>
      <c r="J578" s="58">
        <v>0.2002832019005989</v>
      </c>
    </row>
    <row r="579" spans="1:10" ht="11.25" customHeight="1" x14ac:dyDescent="0.2">
      <c r="A579" s="67">
        <v>44440</v>
      </c>
      <c r="B579" s="57">
        <v>0</v>
      </c>
      <c r="C579" s="57">
        <v>0</v>
      </c>
      <c r="D579" s="57">
        <v>537.06719999999996</v>
      </c>
      <c r="E579" s="57">
        <v>741.24867659885774</v>
      </c>
      <c r="F579" s="57">
        <v>533.20992000000001</v>
      </c>
      <c r="G579" s="57">
        <v>543.38697191569406</v>
      </c>
      <c r="H579" s="58">
        <v>0.38017863797837181</v>
      </c>
      <c r="I579" s="58">
        <v>1.9086388932325393E-2</v>
      </c>
      <c r="J579" s="58">
        <v>0.20028320190059912</v>
      </c>
    </row>
    <row r="580" spans="1:10" ht="11.25" customHeight="1" x14ac:dyDescent="0.2">
      <c r="A580" s="67">
        <v>44470</v>
      </c>
      <c r="B580" s="57">
        <v>0</v>
      </c>
      <c r="C580" s="57">
        <v>0</v>
      </c>
      <c r="D580" s="57">
        <v>615.38949999999988</v>
      </c>
      <c r="E580" s="57">
        <v>849.3474419361911</v>
      </c>
      <c r="F580" s="57">
        <v>610.96969999999999</v>
      </c>
      <c r="G580" s="57">
        <v>622.63090532006606</v>
      </c>
      <c r="H580" s="58">
        <v>0.38017863797837181</v>
      </c>
      <c r="I580" s="58">
        <v>1.9086388932325171E-2</v>
      </c>
      <c r="J580" s="58">
        <v>0.20028320190059912</v>
      </c>
    </row>
    <row r="581" spans="1:10" ht="11.25" customHeight="1" x14ac:dyDescent="0.2">
      <c r="A581" s="67">
        <v>44501</v>
      </c>
      <c r="B581" s="57">
        <v>0</v>
      </c>
      <c r="C581" s="57">
        <v>0</v>
      </c>
      <c r="D581" s="57">
        <v>27.29</v>
      </c>
      <c r="E581" s="57">
        <v>37.665075030429762</v>
      </c>
      <c r="F581" s="57">
        <v>27.094000000000001</v>
      </c>
      <c r="G581" s="57">
        <v>27.611126621732424</v>
      </c>
      <c r="H581" s="58">
        <v>0.38017863797837159</v>
      </c>
      <c r="I581" s="58">
        <v>1.9086388932325393E-2</v>
      </c>
      <c r="J581" s="58">
        <v>0.20028320190059912</v>
      </c>
    </row>
    <row r="582" spans="1:10" ht="11.25" customHeight="1" x14ac:dyDescent="0.2">
      <c r="A582" s="67">
        <v>44531</v>
      </c>
      <c r="B582" s="57">
        <v>0</v>
      </c>
      <c r="C582" s="57">
        <v>0</v>
      </c>
      <c r="D582" s="57">
        <v>11.1889</v>
      </c>
      <c r="E582" s="57">
        <v>15.442680762476202</v>
      </c>
      <c r="F582" s="57">
        <v>11.10854</v>
      </c>
      <c r="G582" s="57">
        <v>11.320561914910293</v>
      </c>
      <c r="H582" s="58">
        <v>0.38017863797837159</v>
      </c>
      <c r="I582" s="58">
        <v>1.9086388932325393E-2</v>
      </c>
      <c r="J582" s="58">
        <v>0.2002832019005989</v>
      </c>
    </row>
    <row r="583" spans="1:10" ht="11.25" customHeight="1" x14ac:dyDescent="0.2">
      <c r="A583" s="67">
        <v>44562</v>
      </c>
      <c r="B583" s="57">
        <v>0</v>
      </c>
      <c r="C583" s="57">
        <v>0</v>
      </c>
      <c r="D583" s="57">
        <v>182.84299999999999</v>
      </c>
      <c r="E583" s="57">
        <v>252.35600270387943</v>
      </c>
      <c r="F583" s="57">
        <v>181.52980000000002</v>
      </c>
      <c r="G583" s="57">
        <v>184.99454836560724</v>
      </c>
      <c r="H583" s="58">
        <v>0.38017863797837181</v>
      </c>
      <c r="I583" s="58">
        <v>1.9086388932325171E-2</v>
      </c>
      <c r="J583" s="58">
        <v>0.20028320190059912</v>
      </c>
    </row>
    <row r="584" spans="1:10" ht="11.25" customHeight="1" x14ac:dyDescent="0.2">
      <c r="A584" s="67">
        <v>44593</v>
      </c>
      <c r="B584" s="57">
        <v>0</v>
      </c>
      <c r="C584" s="57">
        <v>0</v>
      </c>
      <c r="D584" s="57">
        <v>195.66929999999996</v>
      </c>
      <c r="E584" s="57">
        <v>270.05858796818137</v>
      </c>
      <c r="F584" s="57">
        <v>194.26398</v>
      </c>
      <c r="G584" s="57">
        <v>197.97177787782147</v>
      </c>
      <c r="H584" s="58">
        <v>0.38017863797837181</v>
      </c>
      <c r="I584" s="58">
        <v>1.9086388932325393E-2</v>
      </c>
      <c r="J584" s="58">
        <v>0.20028320190059912</v>
      </c>
    </row>
    <row r="585" spans="1:10" ht="11.25" customHeight="1" x14ac:dyDescent="0.2">
      <c r="A585" s="67">
        <v>44621</v>
      </c>
      <c r="B585" s="57">
        <v>0</v>
      </c>
      <c r="C585" s="57">
        <v>0</v>
      </c>
      <c r="D585" s="57">
        <v>7.6411999999999995</v>
      </c>
      <c r="E585" s="57">
        <v>10.546221008520334</v>
      </c>
      <c r="F585" s="57">
        <v>7.5863199999999997</v>
      </c>
      <c r="G585" s="57">
        <v>7.7311154540850779</v>
      </c>
      <c r="H585" s="58">
        <v>0.38017863797837181</v>
      </c>
      <c r="I585" s="58">
        <v>1.9086388932325393E-2</v>
      </c>
      <c r="J585" s="58">
        <v>0.20028320190059934</v>
      </c>
    </row>
    <row r="586" spans="1:10" ht="11.25" customHeight="1" x14ac:dyDescent="0.2">
      <c r="A586" s="67">
        <v>44652</v>
      </c>
      <c r="B586" s="57">
        <v>0</v>
      </c>
      <c r="C586" s="57">
        <v>0</v>
      </c>
      <c r="D586" s="57">
        <v>391.61149999999998</v>
      </c>
      <c r="E586" s="57">
        <v>540.49382668666715</v>
      </c>
      <c r="F586" s="57">
        <v>388.7989</v>
      </c>
      <c r="G586" s="57">
        <v>396.21966702186029</v>
      </c>
      <c r="H586" s="58">
        <v>0.38017863797837181</v>
      </c>
      <c r="I586" s="58">
        <v>1.9086388932325393E-2</v>
      </c>
      <c r="J586" s="58">
        <v>0.20028320190059934</v>
      </c>
    </row>
    <row r="587" spans="1:10" ht="11.25" customHeight="1" x14ac:dyDescent="0.2">
      <c r="A587" s="67">
        <v>44682</v>
      </c>
      <c r="B587" s="57">
        <v>0</v>
      </c>
      <c r="C587" s="57">
        <v>0</v>
      </c>
      <c r="D587" s="57">
        <v>369.23369999999994</v>
      </c>
      <c r="E587" s="57">
        <v>509.60846516171466</v>
      </c>
      <c r="F587" s="57">
        <v>366.58181999999999</v>
      </c>
      <c r="G587" s="57">
        <v>373.57854319203966</v>
      </c>
      <c r="H587" s="58">
        <v>0.38017863797837181</v>
      </c>
      <c r="I587" s="58">
        <v>1.9086388932325393E-2</v>
      </c>
      <c r="J587" s="58">
        <v>0.20028320190059934</v>
      </c>
    </row>
    <row r="588" spans="1:10" ht="11.25" customHeight="1" x14ac:dyDescent="0.2">
      <c r="A588" s="67">
        <v>44713</v>
      </c>
      <c r="B588" s="57">
        <v>0</v>
      </c>
      <c r="C588" s="57">
        <v>0</v>
      </c>
      <c r="D588" s="57">
        <v>67.133399999999995</v>
      </c>
      <c r="E588" s="57">
        <v>92.656084574857218</v>
      </c>
      <c r="F588" s="57">
        <v>66.651240000000001</v>
      </c>
      <c r="G588" s="57">
        <v>67.923371489461758</v>
      </c>
      <c r="H588" s="58">
        <v>0.38017863797837181</v>
      </c>
      <c r="I588" s="58">
        <v>1.9086388932325393E-2</v>
      </c>
      <c r="J588" s="58">
        <v>0.20028320190059912</v>
      </c>
    </row>
    <row r="589" spans="1:10" ht="11.25" customHeight="1" x14ac:dyDescent="0.2">
      <c r="A589" s="67">
        <v>44743</v>
      </c>
      <c r="B589" s="57">
        <v>0</v>
      </c>
      <c r="C589" s="57">
        <v>0</v>
      </c>
      <c r="D589" s="57">
        <v>55.944499999999991</v>
      </c>
      <c r="E589" s="57">
        <v>77.213403812381003</v>
      </c>
      <c r="F589" s="57">
        <v>55.542699999999996</v>
      </c>
      <c r="G589" s="57">
        <v>56.602809574551458</v>
      </c>
      <c r="H589" s="58">
        <v>0.38017863797837159</v>
      </c>
      <c r="I589" s="58">
        <v>1.9086388932325171E-2</v>
      </c>
      <c r="J589" s="58">
        <v>0.20028320190059934</v>
      </c>
    </row>
    <row r="590" spans="1:10" ht="11.25" customHeight="1" x14ac:dyDescent="0.2">
      <c r="A590" s="67">
        <v>44774</v>
      </c>
      <c r="B590" s="57">
        <v>0</v>
      </c>
      <c r="C590" s="57">
        <v>0</v>
      </c>
      <c r="D590" s="57">
        <v>55.944499999999991</v>
      </c>
      <c r="E590" s="57">
        <v>77.213403812381003</v>
      </c>
      <c r="F590" s="57">
        <v>55.542699999999996</v>
      </c>
      <c r="G590" s="57">
        <v>56.602809574551458</v>
      </c>
      <c r="H590" s="58">
        <v>0.38017863797837159</v>
      </c>
      <c r="I590" s="58">
        <v>1.9086388932325171E-2</v>
      </c>
      <c r="J590" s="58">
        <v>0.20028320190059934</v>
      </c>
    </row>
    <row r="591" spans="1:10" ht="11.25" customHeight="1" x14ac:dyDescent="0.2">
      <c r="A591" s="64" t="s">
        <v>54</v>
      </c>
      <c r="B591" s="57">
        <v>0</v>
      </c>
      <c r="C591" s="57">
        <v>0</v>
      </c>
      <c r="D591" s="57">
        <v>1546.3987659999998</v>
      </c>
      <c r="E591" s="57">
        <v>2388.39065484709</v>
      </c>
      <c r="F591" s="57">
        <v>1535.2923475999999</v>
      </c>
      <c r="G591" s="57">
        <v>1750.8569076224398</v>
      </c>
      <c r="H591" s="58">
        <v>0.54448561869008261</v>
      </c>
      <c r="I591" s="58">
        <v>0.14040619713855462</v>
      </c>
      <c r="J591" s="58">
        <v>0.34317405926971811</v>
      </c>
    </row>
    <row r="592" spans="1:10" ht="11.25" customHeight="1" x14ac:dyDescent="0.2">
      <c r="A592" s="65" t="s">
        <v>25</v>
      </c>
      <c r="B592" s="57">
        <v>0</v>
      </c>
      <c r="C592" s="57">
        <v>0</v>
      </c>
      <c r="D592" s="57">
        <v>1546.3987659999998</v>
      </c>
      <c r="E592" s="57">
        <v>2388.39065484709</v>
      </c>
      <c r="F592" s="57">
        <v>1535.2923475999999</v>
      </c>
      <c r="G592" s="57">
        <v>1750.8569076224398</v>
      </c>
      <c r="H592" s="58">
        <v>0.54448561869008261</v>
      </c>
      <c r="I592" s="58">
        <v>0.14040619713855462</v>
      </c>
      <c r="J592" s="58">
        <v>0.34317405926971811</v>
      </c>
    </row>
    <row r="593" spans="1:10" ht="11.25" customHeight="1" x14ac:dyDescent="0.2">
      <c r="A593" s="66" t="s">
        <v>25</v>
      </c>
      <c r="B593" s="57">
        <v>0</v>
      </c>
      <c r="C593" s="57">
        <v>0</v>
      </c>
      <c r="D593" s="57">
        <v>1546.3987659999998</v>
      </c>
      <c r="E593" s="57">
        <v>2388.39065484709</v>
      </c>
      <c r="F593" s="57">
        <v>1535.2923475999999</v>
      </c>
      <c r="G593" s="57">
        <v>1750.8569076224398</v>
      </c>
      <c r="H593" s="58">
        <v>0.54448561869008261</v>
      </c>
      <c r="I593" s="58">
        <v>0.14040619713855462</v>
      </c>
      <c r="J593" s="58">
        <v>0.34317405926971811</v>
      </c>
    </row>
    <row r="594" spans="1:10" ht="11.25" customHeight="1" x14ac:dyDescent="0.2">
      <c r="A594" s="67">
        <v>44440</v>
      </c>
      <c r="B594" s="57">
        <v>0</v>
      </c>
      <c r="C594" s="57">
        <v>0</v>
      </c>
      <c r="D594" s="57">
        <v>250.74324899999999</v>
      </c>
      <c r="E594" s="57">
        <v>387.26934206412642</v>
      </c>
      <c r="F594" s="57">
        <v>248.94238139999999</v>
      </c>
      <c r="G594" s="57">
        <v>283.89543447898961</v>
      </c>
      <c r="H594" s="58">
        <v>0.54448561869008261</v>
      </c>
      <c r="I594" s="58">
        <v>0.14040619713855462</v>
      </c>
      <c r="J594" s="58">
        <v>0.34317405926971811</v>
      </c>
    </row>
    <row r="595" spans="1:10" ht="11.25" customHeight="1" x14ac:dyDescent="0.2">
      <c r="A595" s="67">
        <v>44470</v>
      </c>
      <c r="B595" s="57">
        <v>0</v>
      </c>
      <c r="C595" s="57">
        <v>0</v>
      </c>
      <c r="D595" s="57">
        <v>329.28932700000001</v>
      </c>
      <c r="E595" s="57">
        <v>508.58262993963592</v>
      </c>
      <c r="F595" s="57">
        <v>326.92433220000004</v>
      </c>
      <c r="G595" s="57">
        <v>372.8265344362635</v>
      </c>
      <c r="H595" s="58">
        <v>0.54448561869008261</v>
      </c>
      <c r="I595" s="58">
        <v>0.1404061971385544</v>
      </c>
      <c r="J595" s="58">
        <v>0.34317405926971811</v>
      </c>
    </row>
    <row r="596" spans="1:10" ht="11.25" customHeight="1" x14ac:dyDescent="0.2">
      <c r="A596" s="67">
        <v>44501</v>
      </c>
      <c r="B596" s="57">
        <v>0</v>
      </c>
      <c r="C596" s="57">
        <v>0</v>
      </c>
      <c r="D596" s="57">
        <v>3.0210029999999999</v>
      </c>
      <c r="E596" s="57">
        <v>4.6658956875195949</v>
      </c>
      <c r="F596" s="57">
        <v>2.9993058000000001</v>
      </c>
      <c r="G596" s="57">
        <v>3.4204269214336098</v>
      </c>
      <c r="H596" s="58">
        <v>0.54448561869008238</v>
      </c>
      <c r="I596" s="58">
        <v>0.1404061971385544</v>
      </c>
      <c r="J596" s="58">
        <v>0.34317405926971789</v>
      </c>
    </row>
    <row r="597" spans="1:10" ht="11.25" customHeight="1" x14ac:dyDescent="0.2">
      <c r="A597" s="67">
        <v>44531</v>
      </c>
      <c r="B597" s="57">
        <v>0</v>
      </c>
      <c r="C597" s="57">
        <v>0</v>
      </c>
      <c r="D597" s="57">
        <v>54.378053999999992</v>
      </c>
      <c r="E597" s="57">
        <v>83.986122375352707</v>
      </c>
      <c r="F597" s="57">
        <v>53.987504399999999</v>
      </c>
      <c r="G597" s="57">
        <v>61.567684585804969</v>
      </c>
      <c r="H597" s="58">
        <v>0.54448561869008261</v>
      </c>
      <c r="I597" s="58">
        <v>0.1404061971385544</v>
      </c>
      <c r="J597" s="58">
        <v>0.34317405926971789</v>
      </c>
    </row>
    <row r="598" spans="1:10" ht="11.25" customHeight="1" x14ac:dyDescent="0.2">
      <c r="A598" s="67">
        <v>44562</v>
      </c>
      <c r="B598" s="57">
        <v>0</v>
      </c>
      <c r="C598" s="57">
        <v>0</v>
      </c>
      <c r="D598" s="57">
        <v>102.71410199999998</v>
      </c>
      <c r="E598" s="57">
        <v>158.64045337566623</v>
      </c>
      <c r="F598" s="57">
        <v>101.97639719999999</v>
      </c>
      <c r="G598" s="57">
        <v>116.29451532874272</v>
      </c>
      <c r="H598" s="58">
        <v>0.54448561869008261</v>
      </c>
      <c r="I598" s="58">
        <v>0.1404061971385544</v>
      </c>
      <c r="J598" s="58">
        <v>0.34317405926971811</v>
      </c>
    </row>
    <row r="599" spans="1:10" ht="11.25" customHeight="1" x14ac:dyDescent="0.2">
      <c r="A599" s="67">
        <v>44593</v>
      </c>
      <c r="B599" s="57">
        <v>0</v>
      </c>
      <c r="C599" s="57">
        <v>0</v>
      </c>
      <c r="D599" s="57">
        <v>162.47101499999999</v>
      </c>
      <c r="E599" s="57">
        <v>250.93414612148067</v>
      </c>
      <c r="F599" s="57">
        <v>161.30412900000002</v>
      </c>
      <c r="G599" s="57">
        <v>183.95222833563682</v>
      </c>
      <c r="H599" s="58">
        <v>0.54448561869008261</v>
      </c>
      <c r="I599" s="58">
        <v>0.1404061971385544</v>
      </c>
      <c r="J599" s="58">
        <v>0.34317405926971789</v>
      </c>
    </row>
    <row r="600" spans="1:10" ht="11.25" customHeight="1" x14ac:dyDescent="0.2">
      <c r="A600" s="67">
        <v>44621</v>
      </c>
      <c r="B600" s="57">
        <v>0</v>
      </c>
      <c r="C600" s="57">
        <v>0</v>
      </c>
      <c r="D600" s="57">
        <v>63.749439999999993</v>
      </c>
      <c r="E600" s="57">
        <v>98.460093279546285</v>
      </c>
      <c r="F600" s="57">
        <v>63.291584</v>
      </c>
      <c r="G600" s="57">
        <v>72.17811462031537</v>
      </c>
      <c r="H600" s="58">
        <v>0.54448561869008261</v>
      </c>
      <c r="I600" s="58">
        <v>0.1404061971385544</v>
      </c>
      <c r="J600" s="58">
        <v>0.34317405926971789</v>
      </c>
    </row>
    <row r="601" spans="1:10" ht="11.25" customHeight="1" x14ac:dyDescent="0.2">
      <c r="A601" s="67">
        <v>44652</v>
      </c>
      <c r="B601" s="57">
        <v>0</v>
      </c>
      <c r="C601" s="57">
        <v>0</v>
      </c>
      <c r="D601" s="57">
        <v>184.281183</v>
      </c>
      <c r="E601" s="57">
        <v>284.61963693869529</v>
      </c>
      <c r="F601" s="57">
        <v>182.9576538</v>
      </c>
      <c r="G601" s="57">
        <v>208.64604220745019</v>
      </c>
      <c r="H601" s="58">
        <v>0.54448561869008238</v>
      </c>
      <c r="I601" s="58">
        <v>0.1404061971385544</v>
      </c>
      <c r="J601" s="58">
        <v>0.34317405926971789</v>
      </c>
    </row>
    <row r="602" spans="1:10" ht="11.25" customHeight="1" x14ac:dyDescent="0.2">
      <c r="A602" s="67">
        <v>44682</v>
      </c>
      <c r="B602" s="57">
        <v>0</v>
      </c>
      <c r="C602" s="57">
        <v>0</v>
      </c>
      <c r="D602" s="57">
        <v>244.70124299999998</v>
      </c>
      <c r="E602" s="57">
        <v>377.93755068908717</v>
      </c>
      <c r="F602" s="57">
        <v>242.94376979999998</v>
      </c>
      <c r="G602" s="57">
        <v>277.05458063612235</v>
      </c>
      <c r="H602" s="58">
        <v>0.54448561869008238</v>
      </c>
      <c r="I602" s="58">
        <v>0.1404061971385544</v>
      </c>
      <c r="J602" s="58">
        <v>0.34317405926971811</v>
      </c>
    </row>
    <row r="603" spans="1:10" ht="11.25" customHeight="1" x14ac:dyDescent="0.2">
      <c r="A603" s="67">
        <v>44713</v>
      </c>
      <c r="B603" s="57">
        <v>0</v>
      </c>
      <c r="C603" s="57">
        <v>0</v>
      </c>
      <c r="D603" s="57">
        <v>54.378053999999992</v>
      </c>
      <c r="E603" s="57">
        <v>83.986122375352707</v>
      </c>
      <c r="F603" s="57">
        <v>53.987504399999999</v>
      </c>
      <c r="G603" s="57">
        <v>61.567684585804969</v>
      </c>
      <c r="H603" s="58">
        <v>0.54448561869008261</v>
      </c>
      <c r="I603" s="58">
        <v>0.1404061971385544</v>
      </c>
      <c r="J603" s="58">
        <v>0.34317405926971789</v>
      </c>
    </row>
    <row r="604" spans="1:10" ht="11.25" customHeight="1" x14ac:dyDescent="0.2">
      <c r="A604" s="67">
        <v>44743</v>
      </c>
      <c r="B604" s="57">
        <v>0</v>
      </c>
      <c r="C604" s="57">
        <v>0</v>
      </c>
      <c r="D604" s="57">
        <v>48.336047999999998</v>
      </c>
      <c r="E604" s="57">
        <v>74.654331000313519</v>
      </c>
      <c r="F604" s="57">
        <v>47.988892800000002</v>
      </c>
      <c r="G604" s="57">
        <v>54.726830742937757</v>
      </c>
      <c r="H604" s="58">
        <v>0.54448561869008238</v>
      </c>
      <c r="I604" s="58">
        <v>0.1404061971385544</v>
      </c>
      <c r="J604" s="58">
        <v>0.34317405926971789</v>
      </c>
    </row>
    <row r="605" spans="1:10" ht="11.25" customHeight="1" x14ac:dyDescent="0.2">
      <c r="A605" s="67">
        <v>44774</v>
      </c>
      <c r="B605" s="57">
        <v>0</v>
      </c>
      <c r="C605" s="57">
        <v>0</v>
      </c>
      <c r="D605" s="57">
        <v>48.336047999999998</v>
      </c>
      <c r="E605" s="57">
        <v>74.654331000313519</v>
      </c>
      <c r="F605" s="57">
        <v>47.988892800000002</v>
      </c>
      <c r="G605" s="57">
        <v>54.726830742937757</v>
      </c>
      <c r="H605" s="58">
        <v>0.54448561869008238</v>
      </c>
      <c r="I605" s="58">
        <v>0.1404061971385544</v>
      </c>
      <c r="J605" s="58">
        <v>0.34317405926971789</v>
      </c>
    </row>
    <row r="606" spans="1:10" ht="11.25" customHeight="1" x14ac:dyDescent="0.2">
      <c r="A606" s="60" t="s">
        <v>37</v>
      </c>
      <c r="B606" s="57">
        <v>0</v>
      </c>
      <c r="C606" s="57">
        <v>0</v>
      </c>
      <c r="D606" s="57">
        <v>28434758.380895607</v>
      </c>
      <c r="E606" s="57">
        <v>39249677.940906808</v>
      </c>
      <c r="F606" s="57">
        <v>28241867.596684787</v>
      </c>
      <c r="G606" s="57">
        <v>28781686.389355499</v>
      </c>
      <c r="H606" s="58">
        <v>0.38034153183722452</v>
      </c>
      <c r="I606" s="58">
        <v>1.9114132265603656E-2</v>
      </c>
      <c r="J606" s="58">
        <v>0.2003425249268278</v>
      </c>
    </row>
    <row r="607" spans="1:10" ht="11.25" customHeight="1" x14ac:dyDescent="0.2">
      <c r="A607" s="61" t="s">
        <v>33</v>
      </c>
      <c r="B607" s="57">
        <v>0</v>
      </c>
      <c r="C607" s="57">
        <v>0</v>
      </c>
      <c r="D607" s="57">
        <v>338248.6946300001</v>
      </c>
      <c r="E607" s="57">
        <v>471361.79243913817</v>
      </c>
      <c r="F607" s="57">
        <v>347727.50124000013</v>
      </c>
      <c r="G607" s="57">
        <v>354476.39474170917</v>
      </c>
      <c r="H607" s="58">
        <v>0.39353617596291413</v>
      </c>
      <c r="I607" s="58">
        <v>1.940856986474282E-2</v>
      </c>
      <c r="J607" s="58">
        <v>0.20388752868233939</v>
      </c>
    </row>
    <row r="608" spans="1:10" ht="11.25" customHeight="1" x14ac:dyDescent="0.2">
      <c r="A608" s="62" t="s">
        <v>41</v>
      </c>
      <c r="B608" s="57">
        <v>0</v>
      </c>
      <c r="C608" s="57">
        <v>0</v>
      </c>
      <c r="D608" s="57">
        <v>289301.15536000015</v>
      </c>
      <c r="E608" s="57">
        <v>402598.84598740475</v>
      </c>
      <c r="F608" s="57">
        <v>295763.22168000013</v>
      </c>
      <c r="G608" s="57">
        <v>301494.09806284489</v>
      </c>
      <c r="H608" s="58">
        <v>0.39162543435548791</v>
      </c>
      <c r="I608" s="58">
        <v>1.9376568696716223E-2</v>
      </c>
      <c r="J608" s="58">
        <v>0.20344524753403581</v>
      </c>
    </row>
    <row r="609" spans="1:10" ht="11.25" customHeight="1" x14ac:dyDescent="0.2">
      <c r="A609" s="63" t="s">
        <v>25</v>
      </c>
      <c r="B609" s="57">
        <v>0</v>
      </c>
      <c r="C609" s="57">
        <v>0</v>
      </c>
      <c r="D609" s="57">
        <v>289301.15536000015</v>
      </c>
      <c r="E609" s="57">
        <v>402598.84598740475</v>
      </c>
      <c r="F609" s="57">
        <v>295763.22168000013</v>
      </c>
      <c r="G609" s="57">
        <v>301494.09806284489</v>
      </c>
      <c r="H609" s="58">
        <v>0.39162543435548791</v>
      </c>
      <c r="I609" s="58">
        <v>1.9376568696716223E-2</v>
      </c>
      <c r="J609" s="58">
        <v>0.20344524753403581</v>
      </c>
    </row>
    <row r="610" spans="1:10" ht="11.25" customHeight="1" x14ac:dyDescent="0.2">
      <c r="A610" s="64" t="s">
        <v>25</v>
      </c>
      <c r="B610" s="57">
        <v>0</v>
      </c>
      <c r="C610" s="57">
        <v>0</v>
      </c>
      <c r="D610" s="57">
        <v>289301.15536000015</v>
      </c>
      <c r="E610" s="57">
        <v>402598.84598740475</v>
      </c>
      <c r="F610" s="57">
        <v>295763.22168000013</v>
      </c>
      <c r="G610" s="57">
        <v>301494.09806284489</v>
      </c>
      <c r="H610" s="58">
        <v>0.39162543435548791</v>
      </c>
      <c r="I610" s="58">
        <v>1.9376568696716223E-2</v>
      </c>
      <c r="J610" s="58">
        <v>0.20344524753403581</v>
      </c>
    </row>
    <row r="611" spans="1:10" ht="11.25" customHeight="1" x14ac:dyDescent="0.2">
      <c r="A611" s="65" t="s">
        <v>25</v>
      </c>
      <c r="B611" s="57">
        <v>0</v>
      </c>
      <c r="C611" s="57">
        <v>0</v>
      </c>
      <c r="D611" s="57">
        <v>289301.15536000015</v>
      </c>
      <c r="E611" s="57">
        <v>402598.84598740475</v>
      </c>
      <c r="F611" s="57">
        <v>295763.22168000013</v>
      </c>
      <c r="G611" s="57">
        <v>301494.09806284489</v>
      </c>
      <c r="H611" s="58">
        <v>0.39162543435548791</v>
      </c>
      <c r="I611" s="58">
        <v>1.9376568696716223E-2</v>
      </c>
      <c r="J611" s="58">
        <v>0.20344524753403581</v>
      </c>
    </row>
    <row r="612" spans="1:10" ht="11.25" customHeight="1" x14ac:dyDescent="0.2">
      <c r="A612" s="66" t="s">
        <v>35</v>
      </c>
      <c r="B612" s="57">
        <v>0</v>
      </c>
      <c r="C612" s="57">
        <v>0</v>
      </c>
      <c r="D612" s="57">
        <v>216036.76002999998</v>
      </c>
      <c r="E612" s="57">
        <v>311658.73053114896</v>
      </c>
      <c r="F612" s="57">
        <v>255933.67643999998</v>
      </c>
      <c r="G612" s="57">
        <v>261042.48337171794</v>
      </c>
      <c r="H612" s="58">
        <v>0.442618980621031</v>
      </c>
      <c r="I612" s="58">
        <v>1.9961448617394462E-2</v>
      </c>
      <c r="J612" s="58">
        <v>0.21342603190627929</v>
      </c>
    </row>
    <row r="613" spans="1:10" ht="11.25" customHeight="1" x14ac:dyDescent="0.2">
      <c r="A613" s="67">
        <v>44440</v>
      </c>
      <c r="B613" s="57">
        <v>0</v>
      </c>
      <c r="C613" s="57">
        <v>0</v>
      </c>
      <c r="D613" s="57">
        <v>15884.129589999999</v>
      </c>
      <c r="E613" s="57">
        <v>22914.746837178158</v>
      </c>
      <c r="F613" s="57">
        <v>18817.555319999999</v>
      </c>
      <c r="G613" s="57">
        <v>19193.180983625156</v>
      </c>
      <c r="H613" s="58">
        <v>0.44261898062103122</v>
      </c>
      <c r="I613" s="58">
        <v>1.9961448617394462E-2</v>
      </c>
      <c r="J613" s="58">
        <v>0.21342603190627951</v>
      </c>
    </row>
    <row r="614" spans="1:10" ht="11.25" customHeight="1" x14ac:dyDescent="0.2">
      <c r="A614" s="67">
        <v>44470</v>
      </c>
      <c r="B614" s="57">
        <v>0</v>
      </c>
      <c r="C614" s="57">
        <v>0</v>
      </c>
      <c r="D614" s="57">
        <v>18228.42483</v>
      </c>
      <c r="E614" s="57">
        <v>26296.671646581693</v>
      </c>
      <c r="F614" s="57">
        <v>21594.786840000001</v>
      </c>
      <c r="G614" s="57">
        <v>22025.850067910244</v>
      </c>
      <c r="H614" s="58">
        <v>0.44261898062103122</v>
      </c>
      <c r="I614" s="58">
        <v>1.996144861739424E-2</v>
      </c>
      <c r="J614" s="58">
        <v>0.21342603190627929</v>
      </c>
    </row>
    <row r="615" spans="1:10" ht="11.25" customHeight="1" x14ac:dyDescent="0.2">
      <c r="A615" s="67">
        <v>44501</v>
      </c>
      <c r="B615" s="57">
        <v>0</v>
      </c>
      <c r="C615" s="57">
        <v>0</v>
      </c>
      <c r="D615" s="57">
        <v>17569.772219999999</v>
      </c>
      <c r="E615" s="57">
        <v>25346.486889760112</v>
      </c>
      <c r="F615" s="57">
        <v>20814.49656</v>
      </c>
      <c r="G615" s="57">
        <v>21229.984063579377</v>
      </c>
      <c r="H615" s="58">
        <v>0.44261898062103122</v>
      </c>
      <c r="I615" s="58">
        <v>1.9961448617394684E-2</v>
      </c>
      <c r="J615" s="58">
        <v>0.21342603190627973</v>
      </c>
    </row>
    <row r="616" spans="1:10" ht="11.25" customHeight="1" x14ac:dyDescent="0.2">
      <c r="A616" s="67">
        <v>44531</v>
      </c>
      <c r="B616" s="57">
        <v>0</v>
      </c>
      <c r="C616" s="57">
        <v>0</v>
      </c>
      <c r="D616" s="57">
        <v>21323.392230000001</v>
      </c>
      <c r="E616" s="57">
        <v>30761.530362225021</v>
      </c>
      <c r="F616" s="57">
        <v>25261.322039999999</v>
      </c>
      <c r="G616" s="57">
        <v>25765.57462190892</v>
      </c>
      <c r="H616" s="58">
        <v>0.44261898062103122</v>
      </c>
      <c r="I616" s="58">
        <v>1.9961448617394684E-2</v>
      </c>
      <c r="J616" s="58">
        <v>0.21342603190627973</v>
      </c>
    </row>
    <row r="617" spans="1:10" ht="11.25" customHeight="1" x14ac:dyDescent="0.2">
      <c r="A617" s="67">
        <v>44562</v>
      </c>
      <c r="B617" s="57">
        <v>0</v>
      </c>
      <c r="C617" s="57">
        <v>0</v>
      </c>
      <c r="D617" s="57">
        <v>18221.685369999999</v>
      </c>
      <c r="E617" s="57">
        <v>26286.949173666559</v>
      </c>
      <c r="F617" s="57">
        <v>21586.802759999999</v>
      </c>
      <c r="G617" s="57">
        <v>22017.706614107567</v>
      </c>
      <c r="H617" s="58">
        <v>0.44261898062103122</v>
      </c>
      <c r="I617" s="58">
        <v>1.9961448617394462E-2</v>
      </c>
      <c r="J617" s="58">
        <v>0.21342603190627951</v>
      </c>
    </row>
    <row r="618" spans="1:10" ht="11.25" customHeight="1" x14ac:dyDescent="0.2">
      <c r="A618" s="67">
        <v>44593</v>
      </c>
      <c r="B618" s="57">
        <v>0</v>
      </c>
      <c r="C618" s="57">
        <v>0</v>
      </c>
      <c r="D618" s="57">
        <v>22495.539850000001</v>
      </c>
      <c r="E618" s="57">
        <v>32452.492766926789</v>
      </c>
      <c r="F618" s="57">
        <v>26649.9378</v>
      </c>
      <c r="G618" s="57">
        <v>27181.909164051463</v>
      </c>
      <c r="H618" s="58">
        <v>0.44261898062103122</v>
      </c>
      <c r="I618" s="58">
        <v>1.9961448617394684E-2</v>
      </c>
      <c r="J618" s="58">
        <v>0.21342603190627951</v>
      </c>
    </row>
    <row r="619" spans="1:10" ht="11.25" customHeight="1" x14ac:dyDescent="0.2">
      <c r="A619" s="67">
        <v>44621</v>
      </c>
      <c r="B619" s="57">
        <v>0</v>
      </c>
      <c r="C619" s="57">
        <v>0</v>
      </c>
      <c r="D619" s="57">
        <v>21689.13754</v>
      </c>
      <c r="E619" s="57">
        <v>31289.161488504142</v>
      </c>
      <c r="F619" s="57">
        <v>25694.611920000003</v>
      </c>
      <c r="G619" s="57">
        <v>26207.513595584976</v>
      </c>
      <c r="H619" s="58">
        <v>0.44261898062103122</v>
      </c>
      <c r="I619" s="58">
        <v>1.9961448617394462E-2</v>
      </c>
      <c r="J619" s="58">
        <v>0.21342603190627951</v>
      </c>
    </row>
    <row r="620" spans="1:10" ht="11.25" customHeight="1" x14ac:dyDescent="0.2">
      <c r="A620" s="67">
        <v>44652</v>
      </c>
      <c r="B620" s="57">
        <v>0</v>
      </c>
      <c r="C620" s="57">
        <v>0</v>
      </c>
      <c r="D620" s="57">
        <v>22283.506069999996</v>
      </c>
      <c r="E620" s="57">
        <v>32146.608811365961</v>
      </c>
      <c r="F620" s="57">
        <v>26398.746359999997</v>
      </c>
      <c r="G620" s="57">
        <v>26925.703579028766</v>
      </c>
      <c r="H620" s="58">
        <v>0.44261898062103144</v>
      </c>
      <c r="I620" s="58">
        <v>1.9961448617394462E-2</v>
      </c>
      <c r="J620" s="58">
        <v>0.21342603190627951</v>
      </c>
    </row>
    <row r="621" spans="1:10" ht="11.25" customHeight="1" x14ac:dyDescent="0.2">
      <c r="A621" s="67">
        <v>44682</v>
      </c>
      <c r="B621" s="57">
        <v>0</v>
      </c>
      <c r="C621" s="57">
        <v>0</v>
      </c>
      <c r="D621" s="57">
        <v>18955.249669999997</v>
      </c>
      <c r="E621" s="57">
        <v>27345.202956352539</v>
      </c>
      <c r="F621" s="57">
        <v>22455.83916</v>
      </c>
      <c r="G621" s="57">
        <v>22904.090239552817</v>
      </c>
      <c r="H621" s="58">
        <v>0.44261898062103144</v>
      </c>
      <c r="I621" s="58">
        <v>1.9961448617394684E-2</v>
      </c>
      <c r="J621" s="58">
        <v>0.21342603190627973</v>
      </c>
    </row>
    <row r="622" spans="1:10" ht="11.25" customHeight="1" x14ac:dyDescent="0.2">
      <c r="A622" s="67">
        <v>44713</v>
      </c>
      <c r="B622" s="57">
        <v>0</v>
      </c>
      <c r="C622" s="57">
        <v>0</v>
      </c>
      <c r="D622" s="57">
        <v>13885.879699999998</v>
      </c>
      <c r="E622" s="57">
        <v>20032.033617840272</v>
      </c>
      <c r="F622" s="57">
        <v>16450.275599999997</v>
      </c>
      <c r="G622" s="57">
        <v>16778.646931131378</v>
      </c>
      <c r="H622" s="58">
        <v>0.44261898062103167</v>
      </c>
      <c r="I622" s="58">
        <v>1.9961448617394684E-2</v>
      </c>
      <c r="J622" s="58">
        <v>0.21342603190627973</v>
      </c>
    </row>
    <row r="623" spans="1:10" ht="11.25" customHeight="1" x14ac:dyDescent="0.2">
      <c r="A623" s="67">
        <v>44743</v>
      </c>
      <c r="B623" s="57">
        <v>0</v>
      </c>
      <c r="C623" s="57">
        <v>0</v>
      </c>
      <c r="D623" s="57">
        <v>12750.021479999999</v>
      </c>
      <c r="E623" s="57">
        <v>18393.422990373852</v>
      </c>
      <c r="F623" s="57">
        <v>15104.651040000001</v>
      </c>
      <c r="G623" s="57">
        <v>15406.161755618634</v>
      </c>
      <c r="H623" s="58">
        <v>0.44261898062103122</v>
      </c>
      <c r="I623" s="58">
        <v>1.9961448617394462E-2</v>
      </c>
      <c r="J623" s="58">
        <v>0.21342603190627951</v>
      </c>
    </row>
    <row r="624" spans="1:10" ht="11.25" customHeight="1" x14ac:dyDescent="0.2">
      <c r="A624" s="67">
        <v>44774</v>
      </c>
      <c r="B624" s="57">
        <v>0</v>
      </c>
      <c r="C624" s="57">
        <v>0</v>
      </c>
      <c r="D624" s="57">
        <v>12750.021479999999</v>
      </c>
      <c r="E624" s="57">
        <v>18393.422990373852</v>
      </c>
      <c r="F624" s="57">
        <v>15104.651040000001</v>
      </c>
      <c r="G624" s="57">
        <v>15406.161755618634</v>
      </c>
      <c r="H624" s="58">
        <v>0.44261898062103122</v>
      </c>
      <c r="I624" s="58">
        <v>1.9961448617394462E-2</v>
      </c>
      <c r="J624" s="58">
        <v>0.21342603190627951</v>
      </c>
    </row>
    <row r="625" spans="1:10" ht="11.25" customHeight="1" x14ac:dyDescent="0.2">
      <c r="A625" s="66" t="s">
        <v>36</v>
      </c>
      <c r="B625" s="57">
        <v>0</v>
      </c>
      <c r="C625" s="57">
        <v>0</v>
      </c>
      <c r="D625" s="57">
        <v>25980.432000000001</v>
      </c>
      <c r="E625" s="57">
        <v>33037.60278582044</v>
      </c>
      <c r="F625" s="57">
        <v>13737.53088</v>
      </c>
      <c r="G625" s="57">
        <v>14011.751896790989</v>
      </c>
      <c r="H625" s="58">
        <v>0.27163408159727465</v>
      </c>
      <c r="I625" s="58">
        <v>1.996144861739424E-2</v>
      </c>
      <c r="J625" s="58">
        <v>0.18458629977478402</v>
      </c>
    </row>
    <row r="626" spans="1:10" ht="11.25" customHeight="1" x14ac:dyDescent="0.2">
      <c r="A626" s="67">
        <v>44440</v>
      </c>
      <c r="B626" s="57">
        <v>0</v>
      </c>
      <c r="C626" s="57">
        <v>0</v>
      </c>
      <c r="D626" s="57">
        <v>1859.5614999999998</v>
      </c>
      <c r="E626" s="57">
        <v>2364.6817802261503</v>
      </c>
      <c r="F626" s="57">
        <v>983.27015999999992</v>
      </c>
      <c r="G626" s="57">
        <v>1002.8976567758573</v>
      </c>
      <c r="H626" s="58">
        <v>0.27163408159727465</v>
      </c>
      <c r="I626" s="58">
        <v>1.9961448617394684E-2</v>
      </c>
      <c r="J626" s="58">
        <v>0.18458629977478425</v>
      </c>
    </row>
    <row r="627" spans="1:10" ht="11.25" customHeight="1" x14ac:dyDescent="0.2">
      <c r="A627" s="67">
        <v>44470</v>
      </c>
      <c r="B627" s="57">
        <v>0</v>
      </c>
      <c r="C627" s="57">
        <v>0</v>
      </c>
      <c r="D627" s="57">
        <v>2041.9169999999999</v>
      </c>
      <c r="E627" s="57">
        <v>2596.5712489928619</v>
      </c>
      <c r="F627" s="57">
        <v>1079.69328</v>
      </c>
      <c r="G627" s="57">
        <v>1101.245521931266</v>
      </c>
      <c r="H627" s="58">
        <v>0.27163408159727442</v>
      </c>
      <c r="I627" s="58">
        <v>1.9961448617394462E-2</v>
      </c>
      <c r="J627" s="58">
        <v>0.18458629977478425</v>
      </c>
    </row>
    <row r="628" spans="1:10" ht="11.25" customHeight="1" x14ac:dyDescent="0.2">
      <c r="A628" s="67">
        <v>44501</v>
      </c>
      <c r="B628" s="57">
        <v>0</v>
      </c>
      <c r="C628" s="57">
        <v>0</v>
      </c>
      <c r="D628" s="57">
        <v>4397.4390000000003</v>
      </c>
      <c r="E628" s="57">
        <v>5591.9333041450373</v>
      </c>
      <c r="F628" s="57">
        <v>2325.2097599999997</v>
      </c>
      <c r="G628" s="57">
        <v>2371.6243151489043</v>
      </c>
      <c r="H628" s="58">
        <v>0.27163408159727442</v>
      </c>
      <c r="I628" s="58">
        <v>1.9961448617394684E-2</v>
      </c>
      <c r="J628" s="58">
        <v>0.18458629977478425</v>
      </c>
    </row>
    <row r="629" spans="1:10" ht="11.25" customHeight="1" x14ac:dyDescent="0.2">
      <c r="A629" s="67">
        <v>44531</v>
      </c>
      <c r="B629" s="57">
        <v>0</v>
      </c>
      <c r="C629" s="57">
        <v>0</v>
      </c>
      <c r="D629" s="57">
        <v>560.42374999999993</v>
      </c>
      <c r="E629" s="57">
        <v>712.6539406365506</v>
      </c>
      <c r="F629" s="57">
        <v>296.3322</v>
      </c>
      <c r="G629" s="57">
        <v>302.24741998397946</v>
      </c>
      <c r="H629" s="58">
        <v>0.27163408159727465</v>
      </c>
      <c r="I629" s="58">
        <v>1.9961448617394462E-2</v>
      </c>
      <c r="J629" s="58">
        <v>0.18458629977478425</v>
      </c>
    </row>
    <row r="630" spans="1:10" ht="11.25" customHeight="1" x14ac:dyDescent="0.2">
      <c r="A630" s="67">
        <v>44562</v>
      </c>
      <c r="B630" s="57">
        <v>0</v>
      </c>
      <c r="C630" s="57">
        <v>0</v>
      </c>
      <c r="D630" s="57">
        <v>2322.4192499999999</v>
      </c>
      <c r="E630" s="57">
        <v>2953.2674700575812</v>
      </c>
      <c r="F630" s="57">
        <v>1228.0129199999999</v>
      </c>
      <c r="G630" s="57">
        <v>1252.5258368040768</v>
      </c>
      <c r="H630" s="58">
        <v>0.27163408159727465</v>
      </c>
      <c r="I630" s="58">
        <v>1.9961448617394684E-2</v>
      </c>
      <c r="J630" s="58">
        <v>0.18458629977478447</v>
      </c>
    </row>
    <row r="631" spans="1:10" ht="11.25" customHeight="1" x14ac:dyDescent="0.2">
      <c r="A631" s="67">
        <v>44593</v>
      </c>
      <c r="B631" s="57">
        <v>0</v>
      </c>
      <c r="C631" s="57">
        <v>0</v>
      </c>
      <c r="D631" s="57">
        <v>3255.6844999999998</v>
      </c>
      <c r="E631" s="57">
        <v>4140.0393691279824</v>
      </c>
      <c r="F631" s="57">
        <v>1721.4904799999999</v>
      </c>
      <c r="G631" s="57">
        <v>1755.8539237618538</v>
      </c>
      <c r="H631" s="58">
        <v>0.27163408159727465</v>
      </c>
      <c r="I631" s="58">
        <v>1.9961448617394462E-2</v>
      </c>
      <c r="J631" s="58">
        <v>0.18458629977478425</v>
      </c>
    </row>
    <row r="632" spans="1:10" ht="11.25" customHeight="1" x14ac:dyDescent="0.2">
      <c r="A632" s="67">
        <v>44621</v>
      </c>
      <c r="B632" s="57">
        <v>0</v>
      </c>
      <c r="C632" s="57">
        <v>0</v>
      </c>
      <c r="D632" s="57">
        <v>2037.271</v>
      </c>
      <c r="E632" s="57">
        <v>2590.6632370497614</v>
      </c>
      <c r="F632" s="57">
        <v>1077.2366400000001</v>
      </c>
      <c r="G632" s="57">
        <v>1098.7398438381349</v>
      </c>
      <c r="H632" s="58">
        <v>0.27163408159727465</v>
      </c>
      <c r="I632" s="58">
        <v>1.9961448617394684E-2</v>
      </c>
      <c r="J632" s="58">
        <v>0.18458629977478447</v>
      </c>
    </row>
    <row r="633" spans="1:10" ht="11.25" customHeight="1" x14ac:dyDescent="0.2">
      <c r="A633" s="67">
        <v>44652</v>
      </c>
      <c r="B633" s="57">
        <v>0</v>
      </c>
      <c r="C633" s="57">
        <v>0</v>
      </c>
      <c r="D633" s="57">
        <v>2543.6849999999999</v>
      </c>
      <c r="E633" s="57">
        <v>3234.6365388477639</v>
      </c>
      <c r="F633" s="57">
        <v>1345.0103999999999</v>
      </c>
      <c r="G633" s="57">
        <v>1371.8587559894613</v>
      </c>
      <c r="H633" s="58">
        <v>0.27163408159727487</v>
      </c>
      <c r="I633" s="58">
        <v>1.9961448617394684E-2</v>
      </c>
      <c r="J633" s="58">
        <v>0.18458629977478447</v>
      </c>
    </row>
    <row r="634" spans="1:10" ht="11.25" customHeight="1" x14ac:dyDescent="0.2">
      <c r="A634" s="67">
        <v>44682</v>
      </c>
      <c r="B634" s="57">
        <v>0</v>
      </c>
      <c r="C634" s="57">
        <v>0</v>
      </c>
      <c r="D634" s="57">
        <v>2207.4307500000004</v>
      </c>
      <c r="E634" s="57">
        <v>2807.0441744658337</v>
      </c>
      <c r="F634" s="57">
        <v>1167.21108</v>
      </c>
      <c r="G634" s="57">
        <v>1190.5103039990736</v>
      </c>
      <c r="H634" s="58">
        <v>0.27163408159727465</v>
      </c>
      <c r="I634" s="58">
        <v>1.9961448617394462E-2</v>
      </c>
      <c r="J634" s="58">
        <v>0.18458629977478425</v>
      </c>
    </row>
    <row r="635" spans="1:10" ht="11.25" customHeight="1" x14ac:dyDescent="0.2">
      <c r="A635" s="67">
        <v>44713</v>
      </c>
      <c r="B635" s="57">
        <v>0</v>
      </c>
      <c r="C635" s="57">
        <v>0</v>
      </c>
      <c r="D635" s="57">
        <v>1710.3087500000001</v>
      </c>
      <c r="E635" s="57">
        <v>2174.8868965540328</v>
      </c>
      <c r="F635" s="57">
        <v>904.3506000000001</v>
      </c>
      <c r="G635" s="57">
        <v>922.40274803400996</v>
      </c>
      <c r="H635" s="58">
        <v>0.27163408159727442</v>
      </c>
      <c r="I635" s="58">
        <v>1.9961448617394462E-2</v>
      </c>
      <c r="J635" s="58">
        <v>0.18458629977478425</v>
      </c>
    </row>
    <row r="636" spans="1:10" ht="11.25" customHeight="1" x14ac:dyDescent="0.2">
      <c r="A636" s="67">
        <v>44743</v>
      </c>
      <c r="B636" s="57">
        <v>0</v>
      </c>
      <c r="C636" s="57">
        <v>0</v>
      </c>
      <c r="D636" s="57">
        <v>1522.1457499999999</v>
      </c>
      <c r="E636" s="57">
        <v>1935.6124128584447</v>
      </c>
      <c r="F636" s="57">
        <v>804.85667999999998</v>
      </c>
      <c r="G636" s="57">
        <v>820.92278526218672</v>
      </c>
      <c r="H636" s="58">
        <v>0.27163408159727465</v>
      </c>
      <c r="I636" s="58">
        <v>1.9961448617394462E-2</v>
      </c>
      <c r="J636" s="58">
        <v>0.18458629977478425</v>
      </c>
    </row>
    <row r="637" spans="1:10" ht="11.25" customHeight="1" x14ac:dyDescent="0.2">
      <c r="A637" s="67">
        <v>44774</v>
      </c>
      <c r="B637" s="57">
        <v>0</v>
      </c>
      <c r="C637" s="57">
        <v>0</v>
      </c>
      <c r="D637" s="57">
        <v>1522.1457499999999</v>
      </c>
      <c r="E637" s="57">
        <v>1935.6124128584447</v>
      </c>
      <c r="F637" s="57">
        <v>804.85667999999998</v>
      </c>
      <c r="G637" s="57">
        <v>820.92278526218672</v>
      </c>
      <c r="H637" s="58">
        <v>0.27163408159727465</v>
      </c>
      <c r="I637" s="58">
        <v>1.9961448617394462E-2</v>
      </c>
      <c r="J637" s="58">
        <v>0.18458629977478425</v>
      </c>
    </row>
    <row r="638" spans="1:10" ht="11.25" customHeight="1" x14ac:dyDescent="0.2">
      <c r="A638" s="66" t="s">
        <v>25</v>
      </c>
      <c r="B638" s="57">
        <v>0</v>
      </c>
      <c r="C638" s="57">
        <v>0</v>
      </c>
      <c r="D638" s="57">
        <v>616.62223999999992</v>
      </c>
      <c r="E638" s="57">
        <v>851.05133818756781</v>
      </c>
      <c r="F638" s="57">
        <v>612.18092000000001</v>
      </c>
      <c r="G638" s="57">
        <v>623.87998009581111</v>
      </c>
      <c r="H638" s="58">
        <v>0.380182683951795</v>
      </c>
      <c r="I638" s="58">
        <v>1.9110461815456503E-2</v>
      </c>
      <c r="J638" s="58">
        <v>0.20029909288594205</v>
      </c>
    </row>
    <row r="639" spans="1:10" ht="11.25" customHeight="1" x14ac:dyDescent="0.2">
      <c r="A639" s="67">
        <v>44440</v>
      </c>
      <c r="B639" s="57">
        <v>0</v>
      </c>
      <c r="C639" s="57">
        <v>0</v>
      </c>
      <c r="D639" s="57">
        <v>97.463999999999999</v>
      </c>
      <c r="E639" s="57">
        <v>134.51812510867774</v>
      </c>
      <c r="F639" s="57">
        <v>96.762000000000015</v>
      </c>
      <c r="G639" s="57">
        <v>98.611166506187203</v>
      </c>
      <c r="H639" s="58">
        <v>0.380182683951795</v>
      </c>
      <c r="I639" s="58">
        <v>1.9110461815456281E-2</v>
      </c>
      <c r="J639" s="58">
        <v>0.20029909288594183</v>
      </c>
    </row>
    <row r="640" spans="1:10" ht="11.25" customHeight="1" x14ac:dyDescent="0.2">
      <c r="A640" s="67">
        <v>44470</v>
      </c>
      <c r="B640" s="57">
        <v>0</v>
      </c>
      <c r="C640" s="57">
        <v>0</v>
      </c>
      <c r="D640" s="57">
        <v>31.838240000000003</v>
      </c>
      <c r="E640" s="57">
        <v>43.942587535501389</v>
      </c>
      <c r="F640" s="57">
        <v>31.608920000000005</v>
      </c>
      <c r="G640" s="57">
        <v>32.212981058687824</v>
      </c>
      <c r="H640" s="58">
        <v>0.38018268395179455</v>
      </c>
      <c r="I640" s="58">
        <v>1.9110461815456503E-2</v>
      </c>
      <c r="J640" s="58">
        <v>0.20029909288594183</v>
      </c>
    </row>
    <row r="641" spans="1:10" ht="11.25" customHeight="1" x14ac:dyDescent="0.2">
      <c r="A641" s="67">
        <v>44501</v>
      </c>
      <c r="B641" s="57">
        <v>0</v>
      </c>
      <c r="C641" s="57">
        <v>0</v>
      </c>
      <c r="D641" s="57">
        <v>32.488</v>
      </c>
      <c r="E641" s="57">
        <v>44.83937503622591</v>
      </c>
      <c r="F641" s="57">
        <v>32.254000000000005</v>
      </c>
      <c r="G641" s="57">
        <v>32.870388835395737</v>
      </c>
      <c r="H641" s="58">
        <v>0.38018268395179478</v>
      </c>
      <c r="I641" s="58">
        <v>1.9110461815456503E-2</v>
      </c>
      <c r="J641" s="58">
        <v>0.20029909288594183</v>
      </c>
    </row>
    <row r="642" spans="1:10" ht="11.25" customHeight="1" x14ac:dyDescent="0.2">
      <c r="A642" s="67">
        <v>44531</v>
      </c>
      <c r="B642" s="57">
        <v>0</v>
      </c>
      <c r="C642" s="57">
        <v>0</v>
      </c>
      <c r="D642" s="57">
        <v>32.488</v>
      </c>
      <c r="E642" s="57">
        <v>44.83937503622591</v>
      </c>
      <c r="F642" s="57">
        <v>32.254000000000005</v>
      </c>
      <c r="G642" s="57">
        <v>32.870388835395737</v>
      </c>
      <c r="H642" s="58">
        <v>0.38018268395179478</v>
      </c>
      <c r="I642" s="58">
        <v>1.9110461815456503E-2</v>
      </c>
      <c r="J642" s="58">
        <v>0.20029909288594183</v>
      </c>
    </row>
    <row r="643" spans="1:10" ht="11.25" customHeight="1" x14ac:dyDescent="0.2">
      <c r="A643" s="67">
        <v>44562</v>
      </c>
      <c r="B643" s="57">
        <v>0</v>
      </c>
      <c r="C643" s="57">
        <v>0</v>
      </c>
      <c r="D643" s="57">
        <v>32.488</v>
      </c>
      <c r="E643" s="57">
        <v>44.83937503622591</v>
      </c>
      <c r="F643" s="57">
        <v>32.254000000000005</v>
      </c>
      <c r="G643" s="57">
        <v>32.870388835395737</v>
      </c>
      <c r="H643" s="58">
        <v>0.38018268395179478</v>
      </c>
      <c r="I643" s="58">
        <v>1.9110461815456503E-2</v>
      </c>
      <c r="J643" s="58">
        <v>0.20029909288594183</v>
      </c>
    </row>
    <row r="644" spans="1:10" ht="11.25" customHeight="1" x14ac:dyDescent="0.2">
      <c r="A644" s="67">
        <v>44593</v>
      </c>
      <c r="B644" s="57">
        <v>0</v>
      </c>
      <c r="C644" s="57">
        <v>0</v>
      </c>
      <c r="D644" s="57">
        <v>32.488</v>
      </c>
      <c r="E644" s="57">
        <v>44.83937503622591</v>
      </c>
      <c r="F644" s="57">
        <v>32.254000000000005</v>
      </c>
      <c r="G644" s="57">
        <v>32.870388835395737</v>
      </c>
      <c r="H644" s="58">
        <v>0.38018268395179478</v>
      </c>
      <c r="I644" s="58">
        <v>1.9110461815456503E-2</v>
      </c>
      <c r="J644" s="58">
        <v>0.20029909288594183</v>
      </c>
    </row>
    <row r="645" spans="1:10" ht="11.25" customHeight="1" x14ac:dyDescent="0.2">
      <c r="A645" s="67">
        <v>44621</v>
      </c>
      <c r="B645" s="57">
        <v>0</v>
      </c>
      <c r="C645" s="57">
        <v>0</v>
      </c>
      <c r="D645" s="57">
        <v>32.488</v>
      </c>
      <c r="E645" s="57">
        <v>44.83937503622591</v>
      </c>
      <c r="F645" s="57">
        <v>32.254000000000005</v>
      </c>
      <c r="G645" s="57">
        <v>32.870388835395737</v>
      </c>
      <c r="H645" s="58">
        <v>0.38018268395179478</v>
      </c>
      <c r="I645" s="58">
        <v>1.9110461815456503E-2</v>
      </c>
      <c r="J645" s="58">
        <v>0.20029909288594183</v>
      </c>
    </row>
    <row r="646" spans="1:10" ht="11.25" customHeight="1" x14ac:dyDescent="0.2">
      <c r="A646" s="67">
        <v>44682</v>
      </c>
      <c r="B646" s="57">
        <v>0</v>
      </c>
      <c r="C646" s="57">
        <v>0</v>
      </c>
      <c r="D646" s="57">
        <v>32.488</v>
      </c>
      <c r="E646" s="57">
        <v>44.83937503622591</v>
      </c>
      <c r="F646" s="57">
        <v>32.254000000000005</v>
      </c>
      <c r="G646" s="57">
        <v>32.870388835395737</v>
      </c>
      <c r="H646" s="58">
        <v>0.38018268395179478</v>
      </c>
      <c r="I646" s="58">
        <v>1.9110461815456503E-2</v>
      </c>
      <c r="J646" s="58">
        <v>0.20029909288594183</v>
      </c>
    </row>
    <row r="647" spans="1:10" ht="11.25" customHeight="1" x14ac:dyDescent="0.2">
      <c r="A647" s="67">
        <v>44713</v>
      </c>
      <c r="B647" s="57">
        <v>0</v>
      </c>
      <c r="C647" s="57">
        <v>0</v>
      </c>
      <c r="D647" s="57">
        <v>97.463999999999999</v>
      </c>
      <c r="E647" s="57">
        <v>134.51812510867771</v>
      </c>
      <c r="F647" s="57">
        <v>96.762</v>
      </c>
      <c r="G647" s="57">
        <v>98.611166506187217</v>
      </c>
      <c r="H647" s="58">
        <v>0.38018268395179455</v>
      </c>
      <c r="I647" s="58">
        <v>1.9110461815456725E-2</v>
      </c>
      <c r="J647" s="58">
        <v>0.20029909288594183</v>
      </c>
    </row>
    <row r="648" spans="1:10" ht="11.25" customHeight="1" x14ac:dyDescent="0.2">
      <c r="A648" s="67">
        <v>44743</v>
      </c>
      <c r="B648" s="57">
        <v>0</v>
      </c>
      <c r="C648" s="57">
        <v>0</v>
      </c>
      <c r="D648" s="57">
        <v>97.463999999999999</v>
      </c>
      <c r="E648" s="57">
        <v>134.51812510867771</v>
      </c>
      <c r="F648" s="57">
        <v>96.762</v>
      </c>
      <c r="G648" s="57">
        <v>98.611166506187217</v>
      </c>
      <c r="H648" s="58">
        <v>0.38018268395179455</v>
      </c>
      <c r="I648" s="58">
        <v>1.9110461815456725E-2</v>
      </c>
      <c r="J648" s="58">
        <v>0.20029909288594183</v>
      </c>
    </row>
    <row r="649" spans="1:10" ht="11.25" customHeight="1" x14ac:dyDescent="0.2">
      <c r="A649" s="67">
        <v>44774</v>
      </c>
      <c r="B649" s="57">
        <v>0</v>
      </c>
      <c r="C649" s="57">
        <v>0</v>
      </c>
      <c r="D649" s="57">
        <v>97.463999999999999</v>
      </c>
      <c r="E649" s="57">
        <v>134.51812510867771</v>
      </c>
      <c r="F649" s="57">
        <v>96.762</v>
      </c>
      <c r="G649" s="57">
        <v>98.611166506187217</v>
      </c>
      <c r="H649" s="58">
        <v>0.38018268395179455</v>
      </c>
      <c r="I649" s="58">
        <v>1.9110461815456725E-2</v>
      </c>
      <c r="J649" s="58">
        <v>0.20029909288594183</v>
      </c>
    </row>
    <row r="650" spans="1:10" ht="11.25" customHeight="1" x14ac:dyDescent="0.2">
      <c r="A650" s="66" t="s">
        <v>34</v>
      </c>
      <c r="B650" s="57">
        <v>0</v>
      </c>
      <c r="C650" s="57">
        <v>0</v>
      </c>
      <c r="D650" s="57">
        <v>46667.341090000002</v>
      </c>
      <c r="E650" s="57">
        <v>57051.46133224752</v>
      </c>
      <c r="F650" s="57">
        <v>25479.833439999999</v>
      </c>
      <c r="G650" s="57">
        <v>25815.982814240218</v>
      </c>
      <c r="H650" s="58">
        <v>0.22251364658254902</v>
      </c>
      <c r="I650" s="58">
        <v>1.3192761837779843E-2</v>
      </c>
      <c r="J650" s="58">
        <v>0.14858890436561834</v>
      </c>
    </row>
    <row r="651" spans="1:10" ht="11.25" customHeight="1" x14ac:dyDescent="0.2">
      <c r="A651" s="67">
        <v>44440</v>
      </c>
      <c r="B651" s="57">
        <v>0</v>
      </c>
      <c r="C651" s="57">
        <v>0</v>
      </c>
      <c r="D651" s="57">
        <v>3856.3874599999999</v>
      </c>
      <c r="E651" s="57">
        <v>4714.4862963598134</v>
      </c>
      <c r="F651" s="57">
        <v>2105.5433600000001</v>
      </c>
      <c r="G651" s="57">
        <v>2133.321292087599</v>
      </c>
      <c r="H651" s="58">
        <v>0.22251364658254902</v>
      </c>
      <c r="I651" s="58">
        <v>1.3192761837779843E-2</v>
      </c>
      <c r="J651" s="58">
        <v>0.14858890436561856</v>
      </c>
    </row>
    <row r="652" spans="1:10" ht="11.25" customHeight="1" x14ac:dyDescent="0.2">
      <c r="A652" s="67">
        <v>44470</v>
      </c>
      <c r="B652" s="57">
        <v>0</v>
      </c>
      <c r="C652" s="57">
        <v>0</v>
      </c>
      <c r="D652" s="57">
        <v>3878.0424200000002</v>
      </c>
      <c r="E652" s="57">
        <v>4740.9597804760124</v>
      </c>
      <c r="F652" s="57">
        <v>2117.3667200000004</v>
      </c>
      <c r="G652" s="57">
        <v>2145.3006348602012</v>
      </c>
      <c r="H652" s="58">
        <v>0.2225136465825488</v>
      </c>
      <c r="I652" s="58">
        <v>1.3192761837779621E-2</v>
      </c>
      <c r="J652" s="58">
        <v>0.14858890436561811</v>
      </c>
    </row>
    <row r="653" spans="1:10" ht="11.25" customHeight="1" x14ac:dyDescent="0.2">
      <c r="A653" s="67">
        <v>44501</v>
      </c>
      <c r="B653" s="57">
        <v>0</v>
      </c>
      <c r="C653" s="57">
        <v>0</v>
      </c>
      <c r="D653" s="57">
        <v>3969.1737099999996</v>
      </c>
      <c r="E653" s="57">
        <v>4852.3690261316842</v>
      </c>
      <c r="F653" s="57">
        <v>2167.12336</v>
      </c>
      <c r="G653" s="57">
        <v>2195.7137023615692</v>
      </c>
      <c r="H653" s="58">
        <v>0.22251364658254902</v>
      </c>
      <c r="I653" s="58">
        <v>1.3192761837779843E-2</v>
      </c>
      <c r="J653" s="58">
        <v>0.14858890436561834</v>
      </c>
    </row>
    <row r="654" spans="1:10" ht="11.25" customHeight="1" x14ac:dyDescent="0.2">
      <c r="A654" s="67">
        <v>44531</v>
      </c>
      <c r="B654" s="57">
        <v>0</v>
      </c>
      <c r="C654" s="57">
        <v>0</v>
      </c>
      <c r="D654" s="57">
        <v>4243.4698699999999</v>
      </c>
      <c r="E654" s="57">
        <v>5187.6998249368744</v>
      </c>
      <c r="F654" s="57">
        <v>2316.8859199999997</v>
      </c>
      <c r="G654" s="57">
        <v>2347.4520441478658</v>
      </c>
      <c r="H654" s="58">
        <v>0.2225136465825488</v>
      </c>
      <c r="I654" s="58">
        <v>1.3192761837780065E-2</v>
      </c>
      <c r="J654" s="58">
        <v>0.14858890436561834</v>
      </c>
    </row>
    <row r="655" spans="1:10" ht="11.25" customHeight="1" x14ac:dyDescent="0.2">
      <c r="A655" s="67">
        <v>44562</v>
      </c>
      <c r="B655" s="57">
        <v>0</v>
      </c>
      <c r="C655" s="57">
        <v>0</v>
      </c>
      <c r="D655" s="57">
        <v>4188.4301800000003</v>
      </c>
      <c r="E655" s="57">
        <v>5120.4130528082014</v>
      </c>
      <c r="F655" s="57">
        <v>2286.8348799999999</v>
      </c>
      <c r="G655" s="57">
        <v>2317.0045479341679</v>
      </c>
      <c r="H655" s="58">
        <v>0.2225136465825488</v>
      </c>
      <c r="I655" s="58">
        <v>1.3192761837779843E-2</v>
      </c>
      <c r="J655" s="58">
        <v>0.14858890436561834</v>
      </c>
    </row>
    <row r="656" spans="1:10" ht="11.25" customHeight="1" x14ac:dyDescent="0.2">
      <c r="A656" s="67">
        <v>44593</v>
      </c>
      <c r="B656" s="57">
        <v>0</v>
      </c>
      <c r="C656" s="57">
        <v>0</v>
      </c>
      <c r="D656" s="57">
        <v>4110.8332399999999</v>
      </c>
      <c r="E656" s="57">
        <v>5025.5497347251539</v>
      </c>
      <c r="F656" s="57">
        <v>2244.4678399999998</v>
      </c>
      <c r="G656" s="57">
        <v>2274.0785696656762</v>
      </c>
      <c r="H656" s="58">
        <v>0.2225136465825488</v>
      </c>
      <c r="I656" s="58">
        <v>1.3192761837780065E-2</v>
      </c>
      <c r="J656" s="58">
        <v>0.14858890436561834</v>
      </c>
    </row>
    <row r="657" spans="1:10" ht="11.25" customHeight="1" x14ac:dyDescent="0.2">
      <c r="A657" s="67">
        <v>44621</v>
      </c>
      <c r="B657" s="57">
        <v>0</v>
      </c>
      <c r="C657" s="57">
        <v>0</v>
      </c>
      <c r="D657" s="57">
        <v>4305.7278800000004</v>
      </c>
      <c r="E657" s="57">
        <v>5263.8110917709482</v>
      </c>
      <c r="F657" s="57">
        <v>2350.8780800000004</v>
      </c>
      <c r="G657" s="57">
        <v>2381.8926546190974</v>
      </c>
      <c r="H657" s="58">
        <v>0.22251364658254902</v>
      </c>
      <c r="I657" s="58">
        <v>1.3192761837779843E-2</v>
      </c>
      <c r="J657" s="58">
        <v>0.14858890436561811</v>
      </c>
    </row>
    <row r="658" spans="1:10" ht="11.25" customHeight="1" x14ac:dyDescent="0.2">
      <c r="A658" s="67">
        <v>44652</v>
      </c>
      <c r="B658" s="57">
        <v>0</v>
      </c>
      <c r="C658" s="57">
        <v>0</v>
      </c>
      <c r="D658" s="57">
        <v>4143.3156799999997</v>
      </c>
      <c r="E658" s="57">
        <v>5065.2599608994524</v>
      </c>
      <c r="F658" s="57">
        <v>2262.2028799999998</v>
      </c>
      <c r="G658" s="57">
        <v>2292.0475838245793</v>
      </c>
      <c r="H658" s="58">
        <v>0.2225136465825488</v>
      </c>
      <c r="I658" s="58">
        <v>1.3192761837779843E-2</v>
      </c>
      <c r="J658" s="58">
        <v>0.14858890436561811</v>
      </c>
    </row>
    <row r="659" spans="1:10" ht="11.25" customHeight="1" x14ac:dyDescent="0.2">
      <c r="A659" s="67">
        <v>44682</v>
      </c>
      <c r="B659" s="57">
        <v>0</v>
      </c>
      <c r="C659" s="57">
        <v>0</v>
      </c>
      <c r="D659" s="57">
        <v>3851.87601</v>
      </c>
      <c r="E659" s="57">
        <v>4708.9709871689383</v>
      </c>
      <c r="F659" s="57">
        <v>2103.08016</v>
      </c>
      <c r="G659" s="57">
        <v>2130.8255956766398</v>
      </c>
      <c r="H659" s="58">
        <v>0.2225136465825488</v>
      </c>
      <c r="I659" s="58">
        <v>1.3192761837779843E-2</v>
      </c>
      <c r="J659" s="58">
        <v>0.14858890436561834</v>
      </c>
    </row>
    <row r="660" spans="1:10" ht="11.25" customHeight="1" x14ac:dyDescent="0.2">
      <c r="A660" s="67">
        <v>44713</v>
      </c>
      <c r="B660" s="57">
        <v>0</v>
      </c>
      <c r="C660" s="57">
        <v>0</v>
      </c>
      <c r="D660" s="57">
        <v>3511.7126799999996</v>
      </c>
      <c r="E660" s="57">
        <v>4293.1166741769757</v>
      </c>
      <c r="F660" s="57">
        <v>1917.3548799999999</v>
      </c>
      <c r="G660" s="57">
        <v>1942.6500862903449</v>
      </c>
      <c r="H660" s="58">
        <v>0.22251364658254902</v>
      </c>
      <c r="I660" s="58">
        <v>1.3192761837779843E-2</v>
      </c>
      <c r="J660" s="58">
        <v>0.14858890436561834</v>
      </c>
    </row>
    <row r="661" spans="1:10" ht="11.25" customHeight="1" x14ac:dyDescent="0.2">
      <c r="A661" s="67">
        <v>44743</v>
      </c>
      <c r="B661" s="57">
        <v>0</v>
      </c>
      <c r="C661" s="57">
        <v>0</v>
      </c>
      <c r="D661" s="57">
        <v>3304.1859799999997</v>
      </c>
      <c r="E661" s="57">
        <v>4039.4124513967326</v>
      </c>
      <c r="F661" s="57">
        <v>1804.0476799999999</v>
      </c>
      <c r="G661" s="57">
        <v>1827.8480513862394</v>
      </c>
      <c r="H661" s="58">
        <v>0.2225136465825488</v>
      </c>
      <c r="I661" s="58">
        <v>1.3192761837780065E-2</v>
      </c>
      <c r="J661" s="58">
        <v>0.14858890436561834</v>
      </c>
    </row>
    <row r="662" spans="1:10" ht="11.25" customHeight="1" x14ac:dyDescent="0.2">
      <c r="A662" s="67">
        <v>44774</v>
      </c>
      <c r="B662" s="57">
        <v>0</v>
      </c>
      <c r="C662" s="57">
        <v>0</v>
      </c>
      <c r="D662" s="57">
        <v>3304.1859799999997</v>
      </c>
      <c r="E662" s="57">
        <v>4039.4124513967326</v>
      </c>
      <c r="F662" s="57">
        <v>1804.0476799999999</v>
      </c>
      <c r="G662" s="57">
        <v>1827.8480513862394</v>
      </c>
      <c r="H662" s="58">
        <v>0.2225136465825488</v>
      </c>
      <c r="I662" s="58">
        <v>1.3192761837780065E-2</v>
      </c>
      <c r="J662" s="58">
        <v>0.14858890436561834</v>
      </c>
    </row>
    <row r="663" spans="1:10" ht="11.25" customHeight="1" x14ac:dyDescent="0.2">
      <c r="A663" s="62" t="s">
        <v>38</v>
      </c>
      <c r="B663" s="57">
        <v>0</v>
      </c>
      <c r="C663" s="57">
        <v>0</v>
      </c>
      <c r="D663" s="57">
        <v>48947.539269999957</v>
      </c>
      <c r="E663" s="57">
        <v>68762.94645173318</v>
      </c>
      <c r="F663" s="57">
        <v>51964.279560000025</v>
      </c>
      <c r="G663" s="57">
        <v>52982.29667886439</v>
      </c>
      <c r="H663" s="58">
        <v>0.40482948636966576</v>
      </c>
      <c r="I663" s="58">
        <v>1.9590709762250524E-2</v>
      </c>
      <c r="J663" s="58">
        <v>0.20645177682997029</v>
      </c>
    </row>
    <row r="664" spans="1:10" ht="11.25" customHeight="1" x14ac:dyDescent="0.2">
      <c r="A664" s="63" t="s">
        <v>25</v>
      </c>
      <c r="B664" s="57">
        <v>0</v>
      </c>
      <c r="C664" s="57">
        <v>0</v>
      </c>
      <c r="D664" s="57">
        <v>48947.539269999957</v>
      </c>
      <c r="E664" s="57">
        <v>68762.94645173318</v>
      </c>
      <c r="F664" s="57">
        <v>51964.279560000025</v>
      </c>
      <c r="G664" s="57">
        <v>52982.29667886439</v>
      </c>
      <c r="H664" s="58">
        <v>0.40482948636966576</v>
      </c>
      <c r="I664" s="58">
        <v>1.9590709762250524E-2</v>
      </c>
      <c r="J664" s="58">
        <v>0.20645177682997029</v>
      </c>
    </row>
    <row r="665" spans="1:10" ht="11.25" customHeight="1" x14ac:dyDescent="0.2">
      <c r="A665" s="64" t="s">
        <v>25</v>
      </c>
      <c r="B665" s="57">
        <v>0</v>
      </c>
      <c r="C665" s="57">
        <v>0</v>
      </c>
      <c r="D665" s="57">
        <v>48947.539269999957</v>
      </c>
      <c r="E665" s="57">
        <v>68762.94645173318</v>
      </c>
      <c r="F665" s="57">
        <v>51964.279560000025</v>
      </c>
      <c r="G665" s="57">
        <v>52982.29667886439</v>
      </c>
      <c r="H665" s="58">
        <v>0.40482948636966576</v>
      </c>
      <c r="I665" s="58">
        <v>1.9590709762250524E-2</v>
      </c>
      <c r="J665" s="58">
        <v>0.20645177682997029</v>
      </c>
    </row>
    <row r="666" spans="1:10" ht="11.25" customHeight="1" x14ac:dyDescent="0.2">
      <c r="A666" s="65" t="s">
        <v>25</v>
      </c>
      <c r="B666" s="57">
        <v>0</v>
      </c>
      <c r="C666" s="57">
        <v>0</v>
      </c>
      <c r="D666" s="57">
        <v>48947.539269999957</v>
      </c>
      <c r="E666" s="57">
        <v>68762.94645173318</v>
      </c>
      <c r="F666" s="57">
        <v>51964.279560000025</v>
      </c>
      <c r="G666" s="57">
        <v>52982.29667886439</v>
      </c>
      <c r="H666" s="58">
        <v>0.40482948636966576</v>
      </c>
      <c r="I666" s="58">
        <v>1.9590709762250524E-2</v>
      </c>
      <c r="J666" s="58">
        <v>0.20645177682997029</v>
      </c>
    </row>
    <row r="667" spans="1:10" ht="11.25" customHeight="1" x14ac:dyDescent="0.2">
      <c r="A667" s="66" t="s">
        <v>35</v>
      </c>
      <c r="B667" s="57">
        <v>0</v>
      </c>
      <c r="C667" s="57">
        <v>0</v>
      </c>
      <c r="D667" s="57">
        <v>38694.091169999992</v>
      </c>
      <c r="E667" s="57">
        <v>55820.830359722655</v>
      </c>
      <c r="F667" s="57">
        <v>45839.981159999996</v>
      </c>
      <c r="G667" s="57">
        <v>46755.013588547678</v>
      </c>
      <c r="H667" s="58">
        <v>0.44261898062103056</v>
      </c>
      <c r="I667" s="58">
        <v>1.9961448617394906E-2</v>
      </c>
      <c r="J667" s="58">
        <v>0.21342603190627951</v>
      </c>
    </row>
    <row r="668" spans="1:10" ht="11.25" customHeight="1" x14ac:dyDescent="0.2">
      <c r="A668" s="67">
        <v>44440</v>
      </c>
      <c r="B668" s="57">
        <v>0</v>
      </c>
      <c r="C668" s="57">
        <v>0</v>
      </c>
      <c r="D668" s="57">
        <v>3977.3182399999996</v>
      </c>
      <c r="E668" s="57">
        <v>5737.7547849942339</v>
      </c>
      <c r="F668" s="57">
        <v>4711.8355199999996</v>
      </c>
      <c r="G668" s="57">
        <v>4805.8905826260943</v>
      </c>
      <c r="H668" s="58">
        <v>0.44261898062103144</v>
      </c>
      <c r="I668" s="58">
        <v>1.9961448617394684E-2</v>
      </c>
      <c r="J668" s="58">
        <v>0.21342603190627951</v>
      </c>
    </row>
    <row r="669" spans="1:10" ht="11.25" customHeight="1" x14ac:dyDescent="0.2">
      <c r="A669" s="67">
        <v>44470</v>
      </c>
      <c r="B669" s="57">
        <v>0</v>
      </c>
      <c r="C669" s="57">
        <v>0</v>
      </c>
      <c r="D669" s="57">
        <v>4122.4758399999992</v>
      </c>
      <c r="E669" s="57">
        <v>5947.1618939356295</v>
      </c>
      <c r="F669" s="57">
        <v>4883.8003200000003</v>
      </c>
      <c r="G669" s="57">
        <v>4981.2880491452943</v>
      </c>
      <c r="H669" s="58">
        <v>0.44261898062103144</v>
      </c>
      <c r="I669" s="58">
        <v>1.996144861739424E-2</v>
      </c>
      <c r="J669" s="58">
        <v>0.21342603190627929</v>
      </c>
    </row>
    <row r="670" spans="1:10" ht="11.25" customHeight="1" x14ac:dyDescent="0.2">
      <c r="A670" s="67">
        <v>44501</v>
      </c>
      <c r="B670" s="57">
        <v>0</v>
      </c>
      <c r="C670" s="57">
        <v>0</v>
      </c>
      <c r="D670" s="57">
        <v>3086.4134699999995</v>
      </c>
      <c r="E670" s="57">
        <v>4452.5186538664193</v>
      </c>
      <c r="F670" s="57">
        <v>3656.4015599999998</v>
      </c>
      <c r="G670" s="57">
        <v>3729.3886318645009</v>
      </c>
      <c r="H670" s="58">
        <v>0.44261898062103122</v>
      </c>
      <c r="I670" s="58">
        <v>1.9961448617394462E-2</v>
      </c>
      <c r="J670" s="58">
        <v>0.21342603190627951</v>
      </c>
    </row>
    <row r="671" spans="1:10" ht="11.25" customHeight="1" x14ac:dyDescent="0.2">
      <c r="A671" s="67">
        <v>44531</v>
      </c>
      <c r="B671" s="57">
        <v>0</v>
      </c>
      <c r="C671" s="57">
        <v>0</v>
      </c>
      <c r="D671" s="57">
        <v>2389.9161999999997</v>
      </c>
      <c r="E671" s="57">
        <v>3447.7384722136885</v>
      </c>
      <c r="F671" s="57">
        <v>2831.2775999999999</v>
      </c>
      <c r="G671" s="57">
        <v>2887.7940023339806</v>
      </c>
      <c r="H671" s="58">
        <v>0.44261898062103144</v>
      </c>
      <c r="I671" s="58">
        <v>1.9961448617394684E-2</v>
      </c>
      <c r="J671" s="58">
        <v>0.21342603190627973</v>
      </c>
    </row>
    <row r="672" spans="1:10" ht="11.25" customHeight="1" x14ac:dyDescent="0.2">
      <c r="A672" s="67">
        <v>44562</v>
      </c>
      <c r="B672" s="57">
        <v>0</v>
      </c>
      <c r="C672" s="57">
        <v>0</v>
      </c>
      <c r="D672" s="57">
        <v>2316.81898</v>
      </c>
      <c r="E672" s="57">
        <v>3342.2870352110576</v>
      </c>
      <c r="F672" s="57">
        <v>2744.6810399999999</v>
      </c>
      <c r="G672" s="57">
        <v>2799.4688495510973</v>
      </c>
      <c r="H672" s="58">
        <v>0.44261898062103144</v>
      </c>
      <c r="I672" s="58">
        <v>1.9961448617394684E-2</v>
      </c>
      <c r="J672" s="58">
        <v>0.21342603190627973</v>
      </c>
    </row>
    <row r="673" spans="1:10" ht="11.25" customHeight="1" x14ac:dyDescent="0.2">
      <c r="A673" s="67">
        <v>44593</v>
      </c>
      <c r="B673" s="57">
        <v>0</v>
      </c>
      <c r="C673" s="57">
        <v>0</v>
      </c>
      <c r="D673" s="57">
        <v>3456.5653499999999</v>
      </c>
      <c r="E673" s="57">
        <v>4986.506781666978</v>
      </c>
      <c r="F673" s="57">
        <v>4094.9117999999999</v>
      </c>
      <c r="G673" s="57">
        <v>4176.652171488462</v>
      </c>
      <c r="H673" s="58">
        <v>0.44261898062103122</v>
      </c>
      <c r="I673" s="58">
        <v>1.9961448617394462E-2</v>
      </c>
      <c r="J673" s="58">
        <v>0.21342603190627951</v>
      </c>
    </row>
    <row r="674" spans="1:10" ht="11.25" customHeight="1" x14ac:dyDescent="0.2">
      <c r="A674" s="67">
        <v>44621</v>
      </c>
      <c r="B674" s="57">
        <v>0</v>
      </c>
      <c r="C674" s="57">
        <v>0</v>
      </c>
      <c r="D674" s="57">
        <v>3629.4584199999999</v>
      </c>
      <c r="E674" s="57">
        <v>5235.9256060668185</v>
      </c>
      <c r="F674" s="57">
        <v>4299.73416</v>
      </c>
      <c r="G674" s="57">
        <v>4385.5630825032958</v>
      </c>
      <c r="H674" s="58">
        <v>0.44261898062103122</v>
      </c>
      <c r="I674" s="58">
        <v>1.9961448617394462E-2</v>
      </c>
      <c r="J674" s="58">
        <v>0.21342603190627951</v>
      </c>
    </row>
    <row r="675" spans="1:10" ht="11.25" customHeight="1" x14ac:dyDescent="0.2">
      <c r="A675" s="67">
        <v>44652</v>
      </c>
      <c r="B675" s="57">
        <v>0</v>
      </c>
      <c r="C675" s="57">
        <v>0</v>
      </c>
      <c r="D675" s="57">
        <v>2749.44047</v>
      </c>
      <c r="E675" s="57">
        <v>3966.3950081096095</v>
      </c>
      <c r="F675" s="57">
        <v>3257.1975600000001</v>
      </c>
      <c r="G675" s="57">
        <v>3322.215941730643</v>
      </c>
      <c r="H675" s="58">
        <v>0.44261898062103144</v>
      </c>
      <c r="I675" s="58">
        <v>1.9961448617394462E-2</v>
      </c>
      <c r="J675" s="58">
        <v>0.21342603190627973</v>
      </c>
    </row>
    <row r="676" spans="1:10" ht="11.25" customHeight="1" x14ac:dyDescent="0.2">
      <c r="A676" s="67">
        <v>44682</v>
      </c>
      <c r="B676" s="57">
        <v>0</v>
      </c>
      <c r="C676" s="57">
        <v>0</v>
      </c>
      <c r="D676" s="57">
        <v>2421.0213999999996</v>
      </c>
      <c r="E676" s="57">
        <v>3492.6114241297018</v>
      </c>
      <c r="F676" s="57">
        <v>2868.1271999999999</v>
      </c>
      <c r="G676" s="57">
        <v>2925.3791737309516</v>
      </c>
      <c r="H676" s="58">
        <v>0.44261898062103144</v>
      </c>
      <c r="I676" s="58">
        <v>1.9961448617394462E-2</v>
      </c>
      <c r="J676" s="58">
        <v>0.21342603190627951</v>
      </c>
    </row>
    <row r="677" spans="1:10" ht="11.25" customHeight="1" x14ac:dyDescent="0.2">
      <c r="A677" s="67">
        <v>44713</v>
      </c>
      <c r="B677" s="57">
        <v>0</v>
      </c>
      <c r="C677" s="57">
        <v>0</v>
      </c>
      <c r="D677" s="57">
        <v>2602.4683999999997</v>
      </c>
      <c r="E677" s="57">
        <v>3754.3703103064463</v>
      </c>
      <c r="F677" s="57">
        <v>3083.0832</v>
      </c>
      <c r="G677" s="57">
        <v>3144.6260068799525</v>
      </c>
      <c r="H677" s="58">
        <v>0.44261898062103144</v>
      </c>
      <c r="I677" s="58">
        <v>1.9961448617394462E-2</v>
      </c>
      <c r="J677" s="58">
        <v>0.21342603190627951</v>
      </c>
    </row>
    <row r="678" spans="1:10" ht="11.25" customHeight="1" x14ac:dyDescent="0.2">
      <c r="A678" s="67">
        <v>44743</v>
      </c>
      <c r="B678" s="57">
        <v>0</v>
      </c>
      <c r="C678" s="57">
        <v>0</v>
      </c>
      <c r="D678" s="57">
        <v>3971.0971999999992</v>
      </c>
      <c r="E678" s="57">
        <v>5728.7801946110312</v>
      </c>
      <c r="F678" s="57">
        <v>4704.4655999999995</v>
      </c>
      <c r="G678" s="57">
        <v>4798.3735483466999</v>
      </c>
      <c r="H678" s="58">
        <v>0.44261898062103144</v>
      </c>
      <c r="I678" s="58">
        <v>1.9961448617394684E-2</v>
      </c>
      <c r="J678" s="58">
        <v>0.21342603190627951</v>
      </c>
    </row>
    <row r="679" spans="1:10" ht="11.25" customHeight="1" x14ac:dyDescent="0.2">
      <c r="A679" s="67">
        <v>44774</v>
      </c>
      <c r="B679" s="57">
        <v>0</v>
      </c>
      <c r="C679" s="57">
        <v>0</v>
      </c>
      <c r="D679" s="57">
        <v>3971.0971999999992</v>
      </c>
      <c r="E679" s="57">
        <v>5728.7801946110312</v>
      </c>
      <c r="F679" s="57">
        <v>4704.4655999999995</v>
      </c>
      <c r="G679" s="57">
        <v>4798.3735483466999</v>
      </c>
      <c r="H679" s="58">
        <v>0.44261898062103144</v>
      </c>
      <c r="I679" s="58">
        <v>1.9961448617394684E-2</v>
      </c>
      <c r="J679" s="58">
        <v>0.21342603190627951</v>
      </c>
    </row>
    <row r="680" spans="1:10" ht="11.25" customHeight="1" x14ac:dyDescent="0.2">
      <c r="A680" s="66" t="s">
        <v>36</v>
      </c>
      <c r="B680" s="57">
        <v>0</v>
      </c>
      <c r="C680" s="57">
        <v>0</v>
      </c>
      <c r="D680" s="57">
        <v>4012.9825000000001</v>
      </c>
      <c r="E680" s="57">
        <v>5103.0453158534347</v>
      </c>
      <c r="F680" s="57">
        <v>2121.9227999999998</v>
      </c>
      <c r="G680" s="57">
        <v>2164.2794529422781</v>
      </c>
      <c r="H680" s="58">
        <v>0.27163408159727442</v>
      </c>
      <c r="I680" s="58">
        <v>1.9961448617394684E-2</v>
      </c>
      <c r="J680" s="58">
        <v>0.18458629977478425</v>
      </c>
    </row>
    <row r="681" spans="1:10" ht="11.25" customHeight="1" x14ac:dyDescent="0.2">
      <c r="A681" s="67">
        <v>44440</v>
      </c>
      <c r="B681" s="57">
        <v>0</v>
      </c>
      <c r="C681" s="57">
        <v>0</v>
      </c>
      <c r="D681" s="57">
        <v>286.30975000000001</v>
      </c>
      <c r="E681" s="57">
        <v>364.08123599359533</v>
      </c>
      <c r="F681" s="57">
        <v>151.39044000000001</v>
      </c>
      <c r="G681" s="57">
        <v>154.41241248922475</v>
      </c>
      <c r="H681" s="58">
        <v>0.27163408159727465</v>
      </c>
      <c r="I681" s="58">
        <v>1.9961448617394462E-2</v>
      </c>
      <c r="J681" s="58">
        <v>0.18458629977478425</v>
      </c>
    </row>
    <row r="682" spans="1:10" ht="11.25" customHeight="1" x14ac:dyDescent="0.2">
      <c r="A682" s="67">
        <v>44470</v>
      </c>
      <c r="B682" s="57">
        <v>0</v>
      </c>
      <c r="C682" s="57">
        <v>0</v>
      </c>
      <c r="D682" s="57">
        <v>339.73874999999998</v>
      </c>
      <c r="E682" s="57">
        <v>432.02337333925607</v>
      </c>
      <c r="F682" s="57">
        <v>179.64179999999999</v>
      </c>
      <c r="G682" s="57">
        <v>183.22771056023626</v>
      </c>
      <c r="H682" s="58">
        <v>0.27163408159727465</v>
      </c>
      <c r="I682" s="58">
        <v>1.9961448617394462E-2</v>
      </c>
      <c r="J682" s="58">
        <v>0.18458629977478425</v>
      </c>
    </row>
    <row r="683" spans="1:10" ht="11.25" customHeight="1" x14ac:dyDescent="0.2">
      <c r="A683" s="67">
        <v>44501</v>
      </c>
      <c r="B683" s="57">
        <v>0</v>
      </c>
      <c r="C683" s="57">
        <v>0</v>
      </c>
      <c r="D683" s="57">
        <v>357.74199999999996</v>
      </c>
      <c r="E683" s="57">
        <v>454.91691961877223</v>
      </c>
      <c r="F683" s="57">
        <v>189.16127999999998</v>
      </c>
      <c r="G683" s="57">
        <v>192.93721317112056</v>
      </c>
      <c r="H683" s="58">
        <v>0.27163408159727487</v>
      </c>
      <c r="I683" s="58">
        <v>1.9961448617394462E-2</v>
      </c>
      <c r="J683" s="58">
        <v>0.18458629977478425</v>
      </c>
    </row>
    <row r="684" spans="1:10" ht="11.25" customHeight="1" x14ac:dyDescent="0.2">
      <c r="A684" s="67">
        <v>44531</v>
      </c>
      <c r="B684" s="57">
        <v>0</v>
      </c>
      <c r="C684" s="57">
        <v>0</v>
      </c>
      <c r="D684" s="57">
        <v>293.85949999999997</v>
      </c>
      <c r="E684" s="57">
        <v>373.6817554011343</v>
      </c>
      <c r="F684" s="57">
        <v>155.38247999999999</v>
      </c>
      <c r="G684" s="57">
        <v>158.48413939056331</v>
      </c>
      <c r="H684" s="58">
        <v>0.27163408159727465</v>
      </c>
      <c r="I684" s="58">
        <v>1.9961448617394462E-2</v>
      </c>
      <c r="J684" s="58">
        <v>0.18458629977478425</v>
      </c>
    </row>
    <row r="685" spans="1:10" ht="11.25" customHeight="1" x14ac:dyDescent="0.2">
      <c r="A685" s="67">
        <v>44562</v>
      </c>
      <c r="B685" s="57">
        <v>0</v>
      </c>
      <c r="C685" s="57">
        <v>0</v>
      </c>
      <c r="D685" s="57">
        <v>148.09125</v>
      </c>
      <c r="E685" s="57">
        <v>188.31788068634239</v>
      </c>
      <c r="F685" s="57">
        <v>78.305399999999992</v>
      </c>
      <c r="G685" s="57">
        <v>79.86848921856452</v>
      </c>
      <c r="H685" s="58">
        <v>0.27163408159727465</v>
      </c>
      <c r="I685" s="58">
        <v>1.9961448617394462E-2</v>
      </c>
      <c r="J685" s="58">
        <v>0.18458629977478425</v>
      </c>
    </row>
    <row r="686" spans="1:10" ht="11.25" customHeight="1" x14ac:dyDescent="0.2">
      <c r="A686" s="67">
        <v>44593</v>
      </c>
      <c r="B686" s="57">
        <v>0</v>
      </c>
      <c r="C686" s="57">
        <v>0</v>
      </c>
      <c r="D686" s="57">
        <v>283.98674999999997</v>
      </c>
      <c r="E686" s="57">
        <v>361.12723002204484</v>
      </c>
      <c r="F686" s="57">
        <v>150.16211999999999</v>
      </c>
      <c r="G686" s="57">
        <v>153.15957344265902</v>
      </c>
      <c r="H686" s="58">
        <v>0.27163408159727487</v>
      </c>
      <c r="I686" s="58">
        <v>1.9961448617394462E-2</v>
      </c>
      <c r="J686" s="58">
        <v>0.18458629977478447</v>
      </c>
    </row>
    <row r="687" spans="1:10" ht="11.25" customHeight="1" x14ac:dyDescent="0.2">
      <c r="A687" s="67">
        <v>44621</v>
      </c>
      <c r="B687" s="57">
        <v>0</v>
      </c>
      <c r="C687" s="57">
        <v>0</v>
      </c>
      <c r="D687" s="57">
        <v>709.09575000000007</v>
      </c>
      <c r="E687" s="57">
        <v>901.71032281578073</v>
      </c>
      <c r="F687" s="57">
        <v>374.94468000000001</v>
      </c>
      <c r="G687" s="57">
        <v>382.42911896418542</v>
      </c>
      <c r="H687" s="58">
        <v>0.27163408159727465</v>
      </c>
      <c r="I687" s="58">
        <v>1.9961448617394462E-2</v>
      </c>
      <c r="J687" s="58">
        <v>0.18458629977478425</v>
      </c>
    </row>
    <row r="688" spans="1:10" ht="11.25" customHeight="1" x14ac:dyDescent="0.2">
      <c r="A688" s="67">
        <v>44652</v>
      </c>
      <c r="B688" s="57">
        <v>0</v>
      </c>
      <c r="C688" s="57">
        <v>0</v>
      </c>
      <c r="D688" s="57">
        <v>172.48274999999998</v>
      </c>
      <c r="E688" s="57">
        <v>219.3349433876223</v>
      </c>
      <c r="F688" s="57">
        <v>91.202759999999998</v>
      </c>
      <c r="G688" s="57">
        <v>93.023299207504564</v>
      </c>
      <c r="H688" s="58">
        <v>0.27163408159727465</v>
      </c>
      <c r="I688" s="58">
        <v>1.9961448617394462E-2</v>
      </c>
      <c r="J688" s="58">
        <v>0.18458629977478425</v>
      </c>
    </row>
    <row r="689" spans="1:10" ht="11.25" customHeight="1" x14ac:dyDescent="0.2">
      <c r="A689" s="67">
        <v>44682</v>
      </c>
      <c r="B689" s="57">
        <v>0</v>
      </c>
      <c r="C689" s="57">
        <v>0</v>
      </c>
      <c r="D689" s="57">
        <v>268.88724999999999</v>
      </c>
      <c r="E689" s="57">
        <v>341.92619120696679</v>
      </c>
      <c r="F689" s="57">
        <v>142.17803999999998</v>
      </c>
      <c r="G689" s="57">
        <v>145.01611963998187</v>
      </c>
      <c r="H689" s="58">
        <v>0.27163408159727465</v>
      </c>
      <c r="I689" s="58">
        <v>1.9961448617394684E-2</v>
      </c>
      <c r="J689" s="58">
        <v>0.18458629977478425</v>
      </c>
    </row>
    <row r="690" spans="1:10" ht="11.25" customHeight="1" x14ac:dyDescent="0.2">
      <c r="A690" s="67">
        <v>44713</v>
      </c>
      <c r="B690" s="57">
        <v>0</v>
      </c>
      <c r="C690" s="57">
        <v>0</v>
      </c>
      <c r="D690" s="57">
        <v>297.92475000000002</v>
      </c>
      <c r="E690" s="57">
        <v>378.85126585134765</v>
      </c>
      <c r="F690" s="57">
        <v>157.53203999999999</v>
      </c>
      <c r="G690" s="57">
        <v>160.67660772205335</v>
      </c>
      <c r="H690" s="58">
        <v>0.27163408159727465</v>
      </c>
      <c r="I690" s="58">
        <v>1.9961448617394684E-2</v>
      </c>
      <c r="J690" s="58">
        <v>0.18458629977478425</v>
      </c>
    </row>
    <row r="691" spans="1:10" ht="11.25" customHeight="1" x14ac:dyDescent="0.2">
      <c r="A691" s="67">
        <v>44743</v>
      </c>
      <c r="B691" s="57">
        <v>0</v>
      </c>
      <c r="C691" s="57">
        <v>0</v>
      </c>
      <c r="D691" s="57">
        <v>427.43200000000002</v>
      </c>
      <c r="E691" s="57">
        <v>543.53709876528637</v>
      </c>
      <c r="F691" s="57">
        <v>226.01087999999999</v>
      </c>
      <c r="G691" s="57">
        <v>230.52238456809212</v>
      </c>
      <c r="H691" s="58">
        <v>0.27163408159727487</v>
      </c>
      <c r="I691" s="58">
        <v>1.9961448617394684E-2</v>
      </c>
      <c r="J691" s="58">
        <v>0.18458629977478425</v>
      </c>
    </row>
    <row r="692" spans="1:10" ht="11.25" customHeight="1" x14ac:dyDescent="0.2">
      <c r="A692" s="67">
        <v>44774</v>
      </c>
      <c r="B692" s="57">
        <v>0</v>
      </c>
      <c r="C692" s="57">
        <v>0</v>
      </c>
      <c r="D692" s="57">
        <v>427.43200000000002</v>
      </c>
      <c r="E692" s="57">
        <v>543.53709876528637</v>
      </c>
      <c r="F692" s="57">
        <v>226.01087999999999</v>
      </c>
      <c r="G692" s="57">
        <v>230.52238456809212</v>
      </c>
      <c r="H692" s="58">
        <v>0.27163408159727487</v>
      </c>
      <c r="I692" s="58">
        <v>1.9961448617394684E-2</v>
      </c>
      <c r="J692" s="58">
        <v>0.18458629977478425</v>
      </c>
    </row>
    <row r="693" spans="1:10" ht="11.25" customHeight="1" x14ac:dyDescent="0.2">
      <c r="A693" s="66" t="s">
        <v>25</v>
      </c>
      <c r="B693" s="57">
        <v>0</v>
      </c>
      <c r="C693" s="57">
        <v>0</v>
      </c>
      <c r="D693" s="57">
        <v>1332.008</v>
      </c>
      <c r="E693" s="57">
        <v>1838.4143764852622</v>
      </c>
      <c r="F693" s="57">
        <v>1322.414</v>
      </c>
      <c r="G693" s="57">
        <v>1347.685942251225</v>
      </c>
      <c r="H693" s="58">
        <v>0.38018268395179478</v>
      </c>
      <c r="I693" s="58">
        <v>1.9110461815456503E-2</v>
      </c>
      <c r="J693" s="58">
        <v>0.20029909288594161</v>
      </c>
    </row>
    <row r="694" spans="1:10" ht="11.25" customHeight="1" x14ac:dyDescent="0.2">
      <c r="A694" s="67">
        <v>44440</v>
      </c>
      <c r="B694" s="57">
        <v>0</v>
      </c>
      <c r="C694" s="57">
        <v>0</v>
      </c>
      <c r="D694" s="57">
        <v>97.463999999999999</v>
      </c>
      <c r="E694" s="57">
        <v>134.51812510867771</v>
      </c>
      <c r="F694" s="57">
        <v>96.762</v>
      </c>
      <c r="G694" s="57">
        <v>98.611166506187217</v>
      </c>
      <c r="H694" s="58">
        <v>0.38018268395179455</v>
      </c>
      <c r="I694" s="58">
        <v>1.9110461815456725E-2</v>
      </c>
      <c r="J694" s="58">
        <v>0.20029909288594183</v>
      </c>
    </row>
    <row r="695" spans="1:10" ht="11.25" customHeight="1" x14ac:dyDescent="0.2">
      <c r="A695" s="67">
        <v>44470</v>
      </c>
      <c r="B695" s="57">
        <v>0</v>
      </c>
      <c r="C695" s="57">
        <v>0</v>
      </c>
      <c r="D695" s="57">
        <v>64.975999999999999</v>
      </c>
      <c r="E695" s="57">
        <v>89.67875007245182</v>
      </c>
      <c r="F695" s="57">
        <v>64.50800000000001</v>
      </c>
      <c r="G695" s="57">
        <v>65.740777670791473</v>
      </c>
      <c r="H695" s="58">
        <v>0.38018268395179478</v>
      </c>
      <c r="I695" s="58">
        <v>1.9110461815456503E-2</v>
      </c>
      <c r="J695" s="58">
        <v>0.20029909288594183</v>
      </c>
    </row>
    <row r="696" spans="1:10" ht="11.25" customHeight="1" x14ac:dyDescent="0.2">
      <c r="A696" s="67">
        <v>44501</v>
      </c>
      <c r="B696" s="57">
        <v>0</v>
      </c>
      <c r="C696" s="57">
        <v>0</v>
      </c>
      <c r="D696" s="57">
        <v>129.952</v>
      </c>
      <c r="E696" s="57">
        <v>179.35750014490364</v>
      </c>
      <c r="F696" s="57">
        <v>129.01600000000002</v>
      </c>
      <c r="G696" s="57">
        <v>131.48155534158295</v>
      </c>
      <c r="H696" s="58">
        <v>0.38018268395179478</v>
      </c>
      <c r="I696" s="58">
        <v>1.9110461815456503E-2</v>
      </c>
      <c r="J696" s="58">
        <v>0.20029909288594183</v>
      </c>
    </row>
    <row r="697" spans="1:10" ht="11.25" customHeight="1" x14ac:dyDescent="0.2">
      <c r="A697" s="67">
        <v>44531</v>
      </c>
      <c r="B697" s="57">
        <v>0</v>
      </c>
      <c r="C697" s="57">
        <v>0</v>
      </c>
      <c r="D697" s="57">
        <v>32.488</v>
      </c>
      <c r="E697" s="57">
        <v>44.83937503622591</v>
      </c>
      <c r="F697" s="57">
        <v>32.254000000000005</v>
      </c>
      <c r="G697" s="57">
        <v>32.870388835395737</v>
      </c>
      <c r="H697" s="58">
        <v>0.38018268395179478</v>
      </c>
      <c r="I697" s="58">
        <v>1.9110461815456503E-2</v>
      </c>
      <c r="J697" s="58">
        <v>0.20029909288594183</v>
      </c>
    </row>
    <row r="698" spans="1:10" ht="11.25" customHeight="1" x14ac:dyDescent="0.2">
      <c r="A698" s="67">
        <v>44562</v>
      </c>
      <c r="B698" s="57">
        <v>0</v>
      </c>
      <c r="C698" s="57">
        <v>0</v>
      </c>
      <c r="D698" s="57">
        <v>129.952</v>
      </c>
      <c r="E698" s="57">
        <v>179.35750014490364</v>
      </c>
      <c r="F698" s="57">
        <v>129.01600000000002</v>
      </c>
      <c r="G698" s="57">
        <v>131.48155534158295</v>
      </c>
      <c r="H698" s="58">
        <v>0.38018268395179478</v>
      </c>
      <c r="I698" s="58">
        <v>1.9110461815456503E-2</v>
      </c>
      <c r="J698" s="58">
        <v>0.20029909288594183</v>
      </c>
    </row>
    <row r="699" spans="1:10" ht="11.25" customHeight="1" x14ac:dyDescent="0.2">
      <c r="A699" s="67">
        <v>44593</v>
      </c>
      <c r="B699" s="57">
        <v>0</v>
      </c>
      <c r="C699" s="57">
        <v>0</v>
      </c>
      <c r="D699" s="57">
        <v>129.952</v>
      </c>
      <c r="E699" s="57">
        <v>179.35750014490364</v>
      </c>
      <c r="F699" s="57">
        <v>129.01600000000002</v>
      </c>
      <c r="G699" s="57">
        <v>131.48155534158295</v>
      </c>
      <c r="H699" s="58">
        <v>0.38018268395179478</v>
      </c>
      <c r="I699" s="58">
        <v>1.9110461815456503E-2</v>
      </c>
      <c r="J699" s="58">
        <v>0.20029909288594183</v>
      </c>
    </row>
    <row r="700" spans="1:10" ht="11.25" customHeight="1" x14ac:dyDescent="0.2">
      <c r="A700" s="67">
        <v>44621</v>
      </c>
      <c r="B700" s="57">
        <v>0</v>
      </c>
      <c r="C700" s="57">
        <v>0</v>
      </c>
      <c r="D700" s="57">
        <v>324.88</v>
      </c>
      <c r="E700" s="57">
        <v>448.39375036225908</v>
      </c>
      <c r="F700" s="57">
        <v>322.54000000000002</v>
      </c>
      <c r="G700" s="57">
        <v>328.70388835395738</v>
      </c>
      <c r="H700" s="58">
        <v>0.38018268395179478</v>
      </c>
      <c r="I700" s="58">
        <v>1.9110461815456503E-2</v>
      </c>
      <c r="J700" s="58">
        <v>0.20029909288594161</v>
      </c>
    </row>
    <row r="701" spans="1:10" ht="11.25" customHeight="1" x14ac:dyDescent="0.2">
      <c r="A701" s="67">
        <v>44652</v>
      </c>
      <c r="B701" s="57">
        <v>0</v>
      </c>
      <c r="C701" s="57">
        <v>0</v>
      </c>
      <c r="D701" s="57">
        <v>129.952</v>
      </c>
      <c r="E701" s="57">
        <v>179.35750014490364</v>
      </c>
      <c r="F701" s="57">
        <v>129.01600000000002</v>
      </c>
      <c r="G701" s="57">
        <v>131.48155534158295</v>
      </c>
      <c r="H701" s="58">
        <v>0.38018268395179478</v>
      </c>
      <c r="I701" s="58">
        <v>1.9110461815456503E-2</v>
      </c>
      <c r="J701" s="58">
        <v>0.20029909288594183</v>
      </c>
    </row>
    <row r="702" spans="1:10" ht="11.25" customHeight="1" x14ac:dyDescent="0.2">
      <c r="A702" s="67">
        <v>44682</v>
      </c>
      <c r="B702" s="57">
        <v>0</v>
      </c>
      <c r="C702" s="57">
        <v>0</v>
      </c>
      <c r="D702" s="57">
        <v>129.952</v>
      </c>
      <c r="E702" s="57">
        <v>179.35750014490364</v>
      </c>
      <c r="F702" s="57">
        <v>129.01600000000002</v>
      </c>
      <c r="G702" s="57">
        <v>131.48155534158295</v>
      </c>
      <c r="H702" s="58">
        <v>0.38018268395179478</v>
      </c>
      <c r="I702" s="58">
        <v>1.9110461815456503E-2</v>
      </c>
      <c r="J702" s="58">
        <v>0.20029909288594183</v>
      </c>
    </row>
    <row r="703" spans="1:10" ht="11.25" customHeight="1" x14ac:dyDescent="0.2">
      <c r="A703" s="67">
        <v>44713</v>
      </c>
      <c r="B703" s="57">
        <v>0</v>
      </c>
      <c r="C703" s="57">
        <v>0</v>
      </c>
      <c r="D703" s="57">
        <v>97.463999999999999</v>
      </c>
      <c r="E703" s="57">
        <v>134.51812510867771</v>
      </c>
      <c r="F703" s="57">
        <v>96.762</v>
      </c>
      <c r="G703" s="57">
        <v>98.611166506187217</v>
      </c>
      <c r="H703" s="58">
        <v>0.38018268395179455</v>
      </c>
      <c r="I703" s="58">
        <v>1.9110461815456725E-2</v>
      </c>
      <c r="J703" s="58">
        <v>0.20029909288594183</v>
      </c>
    </row>
    <row r="704" spans="1:10" ht="11.25" customHeight="1" x14ac:dyDescent="0.2">
      <c r="A704" s="67">
        <v>44743</v>
      </c>
      <c r="B704" s="57">
        <v>0</v>
      </c>
      <c r="C704" s="57">
        <v>0</v>
      </c>
      <c r="D704" s="57">
        <v>32.488</v>
      </c>
      <c r="E704" s="57">
        <v>44.83937503622591</v>
      </c>
      <c r="F704" s="57">
        <v>32.254000000000005</v>
      </c>
      <c r="G704" s="57">
        <v>32.870388835395737</v>
      </c>
      <c r="H704" s="58">
        <v>0.38018268395179478</v>
      </c>
      <c r="I704" s="58">
        <v>1.9110461815456503E-2</v>
      </c>
      <c r="J704" s="58">
        <v>0.20029909288594183</v>
      </c>
    </row>
    <row r="705" spans="1:10" ht="11.25" customHeight="1" x14ac:dyDescent="0.2">
      <c r="A705" s="67">
        <v>44774</v>
      </c>
      <c r="B705" s="57">
        <v>0</v>
      </c>
      <c r="C705" s="57">
        <v>0</v>
      </c>
      <c r="D705" s="57">
        <v>32.488</v>
      </c>
      <c r="E705" s="57">
        <v>44.83937503622591</v>
      </c>
      <c r="F705" s="57">
        <v>32.254000000000005</v>
      </c>
      <c r="G705" s="57">
        <v>32.870388835395737</v>
      </c>
      <c r="H705" s="58">
        <v>0.38018268395179478</v>
      </c>
      <c r="I705" s="58">
        <v>1.9110461815456503E-2</v>
      </c>
      <c r="J705" s="58">
        <v>0.20029909288594183</v>
      </c>
    </row>
    <row r="706" spans="1:10" ht="11.25" customHeight="1" x14ac:dyDescent="0.2">
      <c r="A706" s="66" t="s">
        <v>34</v>
      </c>
      <c r="B706" s="57">
        <v>0</v>
      </c>
      <c r="C706" s="57">
        <v>0</v>
      </c>
      <c r="D706" s="57">
        <v>4908.4575999999997</v>
      </c>
      <c r="E706" s="57">
        <v>6000.6563996718251</v>
      </c>
      <c r="F706" s="57">
        <v>2679.9616000000001</v>
      </c>
      <c r="G706" s="57">
        <v>2715.3176951231958</v>
      </c>
      <c r="H706" s="58">
        <v>0.22251364658254902</v>
      </c>
      <c r="I706" s="58">
        <v>1.3192761837780065E-2</v>
      </c>
      <c r="J706" s="58">
        <v>0.14858890436561856</v>
      </c>
    </row>
    <row r="707" spans="1:10" ht="11.25" customHeight="1" x14ac:dyDescent="0.2">
      <c r="A707" s="67">
        <v>44440</v>
      </c>
      <c r="B707" s="57">
        <v>0</v>
      </c>
      <c r="C707" s="57">
        <v>0</v>
      </c>
      <c r="D707" s="57">
        <v>402.42133999999999</v>
      </c>
      <c r="E707" s="57">
        <v>491.96557982603576</v>
      </c>
      <c r="F707" s="57">
        <v>219.71744000000001</v>
      </c>
      <c r="G707" s="57">
        <v>222.61611985752668</v>
      </c>
      <c r="H707" s="58">
        <v>0.22251364658254902</v>
      </c>
      <c r="I707" s="58">
        <v>1.3192761837779843E-2</v>
      </c>
      <c r="J707" s="58">
        <v>0.14858890436561834</v>
      </c>
    </row>
    <row r="708" spans="1:10" ht="11.25" customHeight="1" x14ac:dyDescent="0.2">
      <c r="A708" s="67">
        <v>44470</v>
      </c>
      <c r="B708" s="57">
        <v>0</v>
      </c>
      <c r="C708" s="57">
        <v>0</v>
      </c>
      <c r="D708" s="57">
        <v>437.61064999999996</v>
      </c>
      <c r="E708" s="57">
        <v>534.98499151485942</v>
      </c>
      <c r="F708" s="57">
        <v>238.93039999999999</v>
      </c>
      <c r="G708" s="57">
        <v>242.08255186300548</v>
      </c>
      <c r="H708" s="58">
        <v>0.2225136465825488</v>
      </c>
      <c r="I708" s="58">
        <v>1.3192761837779843E-2</v>
      </c>
      <c r="J708" s="58">
        <v>0.14858890436561834</v>
      </c>
    </row>
    <row r="709" spans="1:10" ht="11.25" customHeight="1" x14ac:dyDescent="0.2">
      <c r="A709" s="67">
        <v>44501</v>
      </c>
      <c r="B709" s="57">
        <v>0</v>
      </c>
      <c r="C709" s="57">
        <v>0</v>
      </c>
      <c r="D709" s="57">
        <v>615.36177999999995</v>
      </c>
      <c r="E709" s="57">
        <v>752.28817363532812</v>
      </c>
      <c r="F709" s="57">
        <v>335.98048</v>
      </c>
      <c r="G709" s="57">
        <v>340.41299045478297</v>
      </c>
      <c r="H709" s="58">
        <v>0.2225136465825488</v>
      </c>
      <c r="I709" s="58">
        <v>1.3192761837779843E-2</v>
      </c>
      <c r="J709" s="58">
        <v>0.14858890436561811</v>
      </c>
    </row>
    <row r="710" spans="1:10" ht="11.25" customHeight="1" x14ac:dyDescent="0.2">
      <c r="A710" s="67">
        <v>44531</v>
      </c>
      <c r="B710" s="57">
        <v>0</v>
      </c>
      <c r="C710" s="57">
        <v>0</v>
      </c>
      <c r="D710" s="57">
        <v>414.15111000000002</v>
      </c>
      <c r="E710" s="57">
        <v>506.30538372231035</v>
      </c>
      <c r="F710" s="57">
        <v>226.12175999999999</v>
      </c>
      <c r="G710" s="57">
        <v>229.10493052601964</v>
      </c>
      <c r="H710" s="58">
        <v>0.2225136465825488</v>
      </c>
      <c r="I710" s="58">
        <v>1.3192761837780065E-2</v>
      </c>
      <c r="J710" s="58">
        <v>0.14858890436561834</v>
      </c>
    </row>
    <row r="711" spans="1:10" ht="11.25" customHeight="1" x14ac:dyDescent="0.2">
      <c r="A711" s="67">
        <v>44562</v>
      </c>
      <c r="B711" s="57">
        <v>0</v>
      </c>
      <c r="C711" s="57">
        <v>0</v>
      </c>
      <c r="D711" s="57">
        <v>203.01525000000001</v>
      </c>
      <c r="E711" s="57">
        <v>248.18891358936781</v>
      </c>
      <c r="F711" s="57">
        <v>110.84399999999999</v>
      </c>
      <c r="G711" s="57">
        <v>112.30633849314687</v>
      </c>
      <c r="H711" s="58">
        <v>0.2225136465825488</v>
      </c>
      <c r="I711" s="58">
        <v>1.3192761837779843E-2</v>
      </c>
      <c r="J711" s="58">
        <v>0.14858890436561834</v>
      </c>
    </row>
    <row r="712" spans="1:10" ht="11.25" customHeight="1" x14ac:dyDescent="0.2">
      <c r="A712" s="67">
        <v>44593</v>
      </c>
      <c r="B712" s="57">
        <v>0</v>
      </c>
      <c r="C712" s="57">
        <v>0</v>
      </c>
      <c r="D712" s="57">
        <v>282.41676999999999</v>
      </c>
      <c r="E712" s="57">
        <v>345.25835534876495</v>
      </c>
      <c r="F712" s="57">
        <v>154.19632000000001</v>
      </c>
      <c r="G712" s="57">
        <v>156.2305953260221</v>
      </c>
      <c r="H712" s="58">
        <v>0.2225136465825488</v>
      </c>
      <c r="I712" s="58">
        <v>1.3192761837779843E-2</v>
      </c>
      <c r="J712" s="58">
        <v>0.14858890436561811</v>
      </c>
    </row>
    <row r="713" spans="1:10" ht="11.25" customHeight="1" x14ac:dyDescent="0.2">
      <c r="A713" s="67">
        <v>44621</v>
      </c>
      <c r="B713" s="57">
        <v>0</v>
      </c>
      <c r="C713" s="57">
        <v>0</v>
      </c>
      <c r="D713" s="57">
        <v>323.92210999999998</v>
      </c>
      <c r="E713" s="57">
        <v>395.99919990481351</v>
      </c>
      <c r="F713" s="57">
        <v>176.85775999999998</v>
      </c>
      <c r="G713" s="57">
        <v>179.19100230684322</v>
      </c>
      <c r="H713" s="58">
        <v>0.22251364658254902</v>
      </c>
      <c r="I713" s="58">
        <v>1.3192761837779843E-2</v>
      </c>
      <c r="J713" s="58">
        <v>0.14858890436561834</v>
      </c>
    </row>
    <row r="714" spans="1:10" ht="11.25" customHeight="1" x14ac:dyDescent="0.2">
      <c r="A714" s="67">
        <v>44652</v>
      </c>
      <c r="B714" s="57">
        <v>0</v>
      </c>
      <c r="C714" s="57">
        <v>0</v>
      </c>
      <c r="D714" s="57">
        <v>220.15875999999997</v>
      </c>
      <c r="E714" s="57">
        <v>269.1470885146922</v>
      </c>
      <c r="F714" s="57">
        <v>120.20415999999999</v>
      </c>
      <c r="G714" s="57">
        <v>121.78998485479038</v>
      </c>
      <c r="H714" s="58">
        <v>0.22251364658254902</v>
      </c>
      <c r="I714" s="58">
        <v>1.3192761837779843E-2</v>
      </c>
      <c r="J714" s="58">
        <v>0.14858890436561834</v>
      </c>
    </row>
    <row r="715" spans="1:10" ht="11.25" customHeight="1" x14ac:dyDescent="0.2">
      <c r="A715" s="67">
        <v>44682</v>
      </c>
      <c r="B715" s="57">
        <v>0</v>
      </c>
      <c r="C715" s="57">
        <v>0</v>
      </c>
      <c r="D715" s="57">
        <v>356.40455000000003</v>
      </c>
      <c r="E715" s="57">
        <v>435.7094260791124</v>
      </c>
      <c r="F715" s="57">
        <v>194.59280000000001</v>
      </c>
      <c r="G715" s="57">
        <v>197.16001646574674</v>
      </c>
      <c r="H715" s="58">
        <v>0.2225136465825488</v>
      </c>
      <c r="I715" s="58">
        <v>1.3192761837779843E-2</v>
      </c>
      <c r="J715" s="58">
        <v>0.14858890436561811</v>
      </c>
    </row>
    <row r="716" spans="1:10" ht="11.25" customHeight="1" x14ac:dyDescent="0.2">
      <c r="A716" s="67">
        <v>44713</v>
      </c>
      <c r="B716" s="57">
        <v>0</v>
      </c>
      <c r="C716" s="57">
        <v>0</v>
      </c>
      <c r="D716" s="57">
        <v>241.81371999999996</v>
      </c>
      <c r="E716" s="57">
        <v>295.62057263089139</v>
      </c>
      <c r="F716" s="57">
        <v>132.02751999999998</v>
      </c>
      <c r="G716" s="57">
        <v>133.76932762739273</v>
      </c>
      <c r="H716" s="58">
        <v>0.2225136465825488</v>
      </c>
      <c r="I716" s="58">
        <v>1.3192761837780065E-2</v>
      </c>
      <c r="J716" s="58">
        <v>0.14858890436561834</v>
      </c>
    </row>
    <row r="717" spans="1:10" ht="11.25" customHeight="1" x14ac:dyDescent="0.2">
      <c r="A717" s="67">
        <v>44743</v>
      </c>
      <c r="B717" s="57">
        <v>0</v>
      </c>
      <c r="C717" s="57">
        <v>0</v>
      </c>
      <c r="D717" s="57">
        <v>705.59078</v>
      </c>
      <c r="E717" s="57">
        <v>862.59435745282508</v>
      </c>
      <c r="F717" s="57">
        <v>385.24448000000001</v>
      </c>
      <c r="G717" s="57">
        <v>390.32691867395931</v>
      </c>
      <c r="H717" s="58">
        <v>0.22251364658254902</v>
      </c>
      <c r="I717" s="58">
        <v>1.3192761837779843E-2</v>
      </c>
      <c r="J717" s="58">
        <v>0.14858890436561834</v>
      </c>
    </row>
    <row r="718" spans="1:10" ht="11.25" customHeight="1" x14ac:dyDescent="0.2">
      <c r="A718" s="67">
        <v>44774</v>
      </c>
      <c r="B718" s="57">
        <v>0</v>
      </c>
      <c r="C718" s="57">
        <v>0</v>
      </c>
      <c r="D718" s="57">
        <v>705.59078</v>
      </c>
      <c r="E718" s="57">
        <v>862.59435745282508</v>
      </c>
      <c r="F718" s="57">
        <v>385.24448000000001</v>
      </c>
      <c r="G718" s="57">
        <v>390.32691867395931</v>
      </c>
      <c r="H718" s="58">
        <v>0.22251364658254902</v>
      </c>
      <c r="I718" s="58">
        <v>1.3192761837779843E-2</v>
      </c>
      <c r="J718" s="58">
        <v>0.14858890436561834</v>
      </c>
    </row>
    <row r="719" spans="1:10" ht="11.25" customHeight="1" x14ac:dyDescent="0.2">
      <c r="A719" s="61" t="s">
        <v>23</v>
      </c>
      <c r="B719" s="57">
        <v>0</v>
      </c>
      <c r="C719" s="57">
        <v>0</v>
      </c>
      <c r="D719" s="57">
        <v>28096509.68626561</v>
      </c>
      <c r="E719" s="57">
        <v>38778316.148467667</v>
      </c>
      <c r="F719" s="57">
        <v>27894140.095444787</v>
      </c>
      <c r="G719" s="57">
        <v>28427209.994613789</v>
      </c>
      <c r="H719" s="58">
        <v>0.380182683951795</v>
      </c>
      <c r="I719" s="58">
        <v>1.9110461815456281E-2</v>
      </c>
      <c r="J719" s="58">
        <v>0.20029909288594183</v>
      </c>
    </row>
    <row r="720" spans="1:10" ht="11.25" customHeight="1" x14ac:dyDescent="0.2">
      <c r="A720" s="62" t="s">
        <v>41</v>
      </c>
      <c r="B720" s="57">
        <v>0</v>
      </c>
      <c r="C720" s="57">
        <v>0</v>
      </c>
      <c r="D720" s="57">
        <v>20351307.095680006</v>
      </c>
      <c r="E720" s="57">
        <v>28088521.649242826</v>
      </c>
      <c r="F720" s="57">
        <v>20204723.561439995</v>
      </c>
      <c r="G720" s="57">
        <v>20590845.159552757</v>
      </c>
      <c r="H720" s="58">
        <v>0.38018268395179478</v>
      </c>
      <c r="I720" s="58">
        <v>1.9110461815456947E-2</v>
      </c>
      <c r="J720" s="58">
        <v>0.20029909288594183</v>
      </c>
    </row>
    <row r="721" spans="1:10" ht="11.25" customHeight="1" x14ac:dyDescent="0.2">
      <c r="A721" s="63" t="s">
        <v>25</v>
      </c>
      <c r="B721" s="57">
        <v>0</v>
      </c>
      <c r="C721" s="57">
        <v>0</v>
      </c>
      <c r="D721" s="57">
        <v>20351307.095680006</v>
      </c>
      <c r="E721" s="57">
        <v>28088521.649242826</v>
      </c>
      <c r="F721" s="57">
        <v>20204723.561439995</v>
      </c>
      <c r="G721" s="57">
        <v>20590845.159552757</v>
      </c>
      <c r="H721" s="58">
        <v>0.38018268395179478</v>
      </c>
      <c r="I721" s="58">
        <v>1.9110461815456947E-2</v>
      </c>
      <c r="J721" s="58">
        <v>0.20029909288594183</v>
      </c>
    </row>
    <row r="722" spans="1:10" ht="11.25" customHeight="1" x14ac:dyDescent="0.2">
      <c r="A722" s="64" t="s">
        <v>25</v>
      </c>
      <c r="B722" s="57">
        <v>0</v>
      </c>
      <c r="C722" s="57">
        <v>0</v>
      </c>
      <c r="D722" s="57">
        <v>20351307.095680006</v>
      </c>
      <c r="E722" s="57">
        <v>28088521.649242826</v>
      </c>
      <c r="F722" s="57">
        <v>20204723.561439995</v>
      </c>
      <c r="G722" s="57">
        <v>20590845.159552757</v>
      </c>
      <c r="H722" s="58">
        <v>0.38018268395179478</v>
      </c>
      <c r="I722" s="58">
        <v>1.9110461815456947E-2</v>
      </c>
      <c r="J722" s="58">
        <v>0.20029909288594183</v>
      </c>
    </row>
    <row r="723" spans="1:10" ht="11.25" customHeight="1" x14ac:dyDescent="0.2">
      <c r="A723" s="65" t="s">
        <v>25</v>
      </c>
      <c r="B723" s="57">
        <v>0</v>
      </c>
      <c r="C723" s="57">
        <v>0</v>
      </c>
      <c r="D723" s="57">
        <v>20351307.095680006</v>
      </c>
      <c r="E723" s="57">
        <v>28088521.649242826</v>
      </c>
      <c r="F723" s="57">
        <v>20204723.561439995</v>
      </c>
      <c r="G723" s="57">
        <v>20590845.159552757</v>
      </c>
      <c r="H723" s="58">
        <v>0.38018268395179478</v>
      </c>
      <c r="I723" s="58">
        <v>1.9110461815456947E-2</v>
      </c>
      <c r="J723" s="58">
        <v>0.20029909288594183</v>
      </c>
    </row>
    <row r="724" spans="1:10" ht="11.25" customHeight="1" x14ac:dyDescent="0.2">
      <c r="A724" s="66" t="s">
        <v>25</v>
      </c>
      <c r="B724" s="57">
        <v>0</v>
      </c>
      <c r="C724" s="57">
        <v>0</v>
      </c>
      <c r="D724" s="57">
        <v>20351307.095680006</v>
      </c>
      <c r="E724" s="57">
        <v>28088521.649242826</v>
      </c>
      <c r="F724" s="57">
        <v>20204723.561439995</v>
      </c>
      <c r="G724" s="57">
        <v>20590845.159552757</v>
      </c>
      <c r="H724" s="58">
        <v>0.38018268395179478</v>
      </c>
      <c r="I724" s="58">
        <v>1.9110461815456947E-2</v>
      </c>
      <c r="J724" s="58">
        <v>0.20029909288594183</v>
      </c>
    </row>
    <row r="725" spans="1:10" ht="11.25" customHeight="1" x14ac:dyDescent="0.2">
      <c r="A725" s="67">
        <v>44440</v>
      </c>
      <c r="B725" s="57">
        <v>0</v>
      </c>
      <c r="C725" s="57">
        <v>0</v>
      </c>
      <c r="D725" s="57">
        <v>1612526.9355200001</v>
      </c>
      <c r="E725" s="57">
        <v>2225581.7538105561</v>
      </c>
      <c r="F725" s="57">
        <v>1600912.45316</v>
      </c>
      <c r="G725" s="57">
        <v>1631506.6294660033</v>
      </c>
      <c r="H725" s="58">
        <v>0.38018268395179455</v>
      </c>
      <c r="I725" s="58">
        <v>1.9110461815456725E-2</v>
      </c>
      <c r="J725" s="58">
        <v>0.20029909288594183</v>
      </c>
    </row>
    <row r="726" spans="1:10" ht="11.25" customHeight="1" x14ac:dyDescent="0.2">
      <c r="A726" s="67">
        <v>44470</v>
      </c>
      <c r="B726" s="57">
        <v>0</v>
      </c>
      <c r="C726" s="57">
        <v>0</v>
      </c>
      <c r="D726" s="57">
        <v>1749053.8569599998</v>
      </c>
      <c r="E726" s="57">
        <v>2414013.8466752912</v>
      </c>
      <c r="F726" s="57">
        <v>1736456.0176799998</v>
      </c>
      <c r="G726" s="57">
        <v>1769640.4941000934</v>
      </c>
      <c r="H726" s="58">
        <v>0.38018268395179478</v>
      </c>
      <c r="I726" s="58">
        <v>1.9110461815456725E-2</v>
      </c>
      <c r="J726" s="58">
        <v>0.20029909288594183</v>
      </c>
    </row>
    <row r="727" spans="1:10" ht="11.25" customHeight="1" x14ac:dyDescent="0.2">
      <c r="A727" s="67">
        <v>44501</v>
      </c>
      <c r="B727" s="57">
        <v>0</v>
      </c>
      <c r="C727" s="57">
        <v>0</v>
      </c>
      <c r="D727" s="57">
        <v>1674501.6940799998</v>
      </c>
      <c r="E727" s="57">
        <v>2311118.2424171618</v>
      </c>
      <c r="F727" s="57">
        <v>1662440.8286399997</v>
      </c>
      <c r="G727" s="57">
        <v>1694210.8406161806</v>
      </c>
      <c r="H727" s="58">
        <v>0.380182683951795</v>
      </c>
      <c r="I727" s="58">
        <v>1.9110461815456725E-2</v>
      </c>
      <c r="J727" s="58">
        <v>0.20029909288594183</v>
      </c>
    </row>
    <row r="728" spans="1:10" ht="11.25" customHeight="1" x14ac:dyDescent="0.2">
      <c r="A728" s="67">
        <v>44531</v>
      </c>
      <c r="B728" s="57">
        <v>0</v>
      </c>
      <c r="C728" s="57">
        <v>0</v>
      </c>
      <c r="D728" s="57">
        <v>1795603.3131200001</v>
      </c>
      <c r="E728" s="57">
        <v>2478260.6000146968</v>
      </c>
      <c r="F728" s="57">
        <v>1782670.1939600003</v>
      </c>
      <c r="G728" s="57">
        <v>1816737.8446312253</v>
      </c>
      <c r="H728" s="58">
        <v>0.38018268395179478</v>
      </c>
      <c r="I728" s="58">
        <v>1.9110461815456503E-2</v>
      </c>
      <c r="J728" s="58">
        <v>0.20029909288594205</v>
      </c>
    </row>
    <row r="729" spans="1:10" ht="11.25" customHeight="1" x14ac:dyDescent="0.2">
      <c r="A729" s="67">
        <v>44562</v>
      </c>
      <c r="B729" s="57">
        <v>0</v>
      </c>
      <c r="C729" s="57">
        <v>0</v>
      </c>
      <c r="D729" s="57">
        <v>1748941.77336</v>
      </c>
      <c r="E729" s="57">
        <v>2413859.1508314162</v>
      </c>
      <c r="F729" s="57">
        <v>1736344.74138</v>
      </c>
      <c r="G729" s="57">
        <v>1769527.0912586113</v>
      </c>
      <c r="H729" s="58">
        <v>0.38018268395179478</v>
      </c>
      <c r="I729" s="58">
        <v>1.9110461815456503E-2</v>
      </c>
      <c r="J729" s="58">
        <v>0.20029909288594183</v>
      </c>
    </row>
    <row r="730" spans="1:10" ht="11.25" customHeight="1" x14ac:dyDescent="0.2">
      <c r="A730" s="67">
        <v>44593</v>
      </c>
      <c r="B730" s="57">
        <v>0</v>
      </c>
      <c r="C730" s="57">
        <v>0</v>
      </c>
      <c r="D730" s="57">
        <v>1934123.6982400001</v>
      </c>
      <c r="E730" s="57">
        <v>2669444.0369316544</v>
      </c>
      <c r="F730" s="57">
        <v>1920192.8639200001</v>
      </c>
      <c r="G730" s="57">
        <v>1956888.6363242557</v>
      </c>
      <c r="H730" s="58">
        <v>0.38018268395179478</v>
      </c>
      <c r="I730" s="58">
        <v>1.9110461815456725E-2</v>
      </c>
      <c r="J730" s="58">
        <v>0.20029909288594183</v>
      </c>
    </row>
    <row r="731" spans="1:10" ht="11.25" customHeight="1" x14ac:dyDescent="0.2">
      <c r="A731" s="67">
        <v>44621</v>
      </c>
      <c r="B731" s="57">
        <v>0</v>
      </c>
      <c r="C731" s="57">
        <v>0</v>
      </c>
      <c r="D731" s="57">
        <v>1894582.5534399999</v>
      </c>
      <c r="E731" s="57">
        <v>2614870.033575064</v>
      </c>
      <c r="F731" s="57">
        <v>1880936.5205200003</v>
      </c>
      <c r="G731" s="57">
        <v>1916882.0860726954</v>
      </c>
      <c r="H731" s="58">
        <v>0.380182683951795</v>
      </c>
      <c r="I731" s="58">
        <v>1.9110461815456503E-2</v>
      </c>
      <c r="J731" s="58">
        <v>0.20029909288594205</v>
      </c>
    </row>
    <row r="732" spans="1:10" ht="11.25" customHeight="1" x14ac:dyDescent="0.2">
      <c r="A732" s="67">
        <v>44652</v>
      </c>
      <c r="B732" s="57">
        <v>0</v>
      </c>
      <c r="C732" s="57">
        <v>0</v>
      </c>
      <c r="D732" s="57">
        <v>1988565.7891199999</v>
      </c>
      <c r="E732" s="57">
        <v>2744584.0680423602</v>
      </c>
      <c r="F732" s="57">
        <v>1974242.8269600002</v>
      </c>
      <c r="G732" s="57">
        <v>2011971.5191190583</v>
      </c>
      <c r="H732" s="58">
        <v>0.38018268395179478</v>
      </c>
      <c r="I732" s="58">
        <v>1.9110461815456503E-2</v>
      </c>
      <c r="J732" s="58">
        <v>0.20029909288594161</v>
      </c>
    </row>
    <row r="733" spans="1:10" ht="11.25" customHeight="1" x14ac:dyDescent="0.2">
      <c r="A733" s="67">
        <v>44682</v>
      </c>
      <c r="B733" s="57">
        <v>0</v>
      </c>
      <c r="C733" s="57">
        <v>0</v>
      </c>
      <c r="D733" s="57">
        <v>1728843.7219199999</v>
      </c>
      <c r="E733" s="57">
        <v>2386120.1682527559</v>
      </c>
      <c r="F733" s="57">
        <v>1716391.44936</v>
      </c>
      <c r="G733" s="57">
        <v>1749192.4826133703</v>
      </c>
      <c r="H733" s="58">
        <v>0.38018268395179478</v>
      </c>
      <c r="I733" s="58">
        <v>1.9110461815456503E-2</v>
      </c>
      <c r="J733" s="58">
        <v>0.20029909288594183</v>
      </c>
    </row>
    <row r="734" spans="1:10" ht="11.25" customHeight="1" x14ac:dyDescent="0.2">
      <c r="A734" s="67">
        <v>44713</v>
      </c>
      <c r="B734" s="57">
        <v>0</v>
      </c>
      <c r="C734" s="57">
        <v>0</v>
      </c>
      <c r="D734" s="57">
        <v>1510125.73416</v>
      </c>
      <c r="E734" s="57">
        <v>2084249.3888776232</v>
      </c>
      <c r="F734" s="57">
        <v>1499248.81278</v>
      </c>
      <c r="G734" s="57">
        <v>1527900.1499685007</v>
      </c>
      <c r="H734" s="58">
        <v>0.38018268395179478</v>
      </c>
      <c r="I734" s="58">
        <v>1.9110461815456503E-2</v>
      </c>
      <c r="J734" s="58">
        <v>0.20029909288594183</v>
      </c>
    </row>
    <row r="735" spans="1:10" ht="11.25" customHeight="1" x14ac:dyDescent="0.2">
      <c r="A735" s="67">
        <v>44743</v>
      </c>
      <c r="B735" s="57">
        <v>0</v>
      </c>
      <c r="C735" s="57">
        <v>0</v>
      </c>
      <c r="D735" s="57">
        <v>1357219.0128800001</v>
      </c>
      <c r="E735" s="57">
        <v>1873210.1799071238</v>
      </c>
      <c r="F735" s="57">
        <v>1347443.4265400001</v>
      </c>
      <c r="G735" s="57">
        <v>1373193.6926913806</v>
      </c>
      <c r="H735" s="58">
        <v>0.38018268395179455</v>
      </c>
      <c r="I735" s="58">
        <v>1.9110461815456503E-2</v>
      </c>
      <c r="J735" s="58">
        <v>0.20029909288594183</v>
      </c>
    </row>
    <row r="736" spans="1:10" ht="11.25" customHeight="1" x14ac:dyDescent="0.2">
      <c r="A736" s="67">
        <v>44774</v>
      </c>
      <c r="B736" s="57">
        <v>0</v>
      </c>
      <c r="C736" s="57">
        <v>0</v>
      </c>
      <c r="D736" s="57">
        <v>1357219.0128800001</v>
      </c>
      <c r="E736" s="57">
        <v>1873210.1799071238</v>
      </c>
      <c r="F736" s="57">
        <v>1347443.4265400001</v>
      </c>
      <c r="G736" s="57">
        <v>1373193.6926913806</v>
      </c>
      <c r="H736" s="58">
        <v>0.38018268395179455</v>
      </c>
      <c r="I736" s="58">
        <v>1.9110461815456503E-2</v>
      </c>
      <c r="J736" s="58">
        <v>0.20029909288594183</v>
      </c>
    </row>
    <row r="737" spans="1:10" ht="11.25" customHeight="1" x14ac:dyDescent="0.2">
      <c r="A737" s="62" t="s">
        <v>51</v>
      </c>
      <c r="B737" s="57">
        <v>0</v>
      </c>
      <c r="C737" s="57">
        <v>0</v>
      </c>
      <c r="D737" s="57">
        <v>164622.86872</v>
      </c>
      <c r="E737" s="57">
        <v>227209.63278981359</v>
      </c>
      <c r="F737" s="57">
        <v>163437.14626000001</v>
      </c>
      <c r="G737" s="57">
        <v>166560.50560282893</v>
      </c>
      <c r="H737" s="58">
        <v>0.380182683951795</v>
      </c>
      <c r="I737" s="58">
        <v>1.9110461815456503E-2</v>
      </c>
      <c r="J737" s="58">
        <v>0.20029909288594183</v>
      </c>
    </row>
    <row r="738" spans="1:10" ht="11.25" customHeight="1" x14ac:dyDescent="0.2">
      <c r="A738" s="63" t="s">
        <v>25</v>
      </c>
      <c r="B738" s="57">
        <v>0</v>
      </c>
      <c r="C738" s="57">
        <v>0</v>
      </c>
      <c r="D738" s="57">
        <v>164622.86872</v>
      </c>
      <c r="E738" s="57">
        <v>227209.63278981359</v>
      </c>
      <c r="F738" s="57">
        <v>163437.14626000001</v>
      </c>
      <c r="G738" s="57">
        <v>166560.50560282893</v>
      </c>
      <c r="H738" s="58">
        <v>0.380182683951795</v>
      </c>
      <c r="I738" s="58">
        <v>1.9110461815456503E-2</v>
      </c>
      <c r="J738" s="58">
        <v>0.20029909288594183</v>
      </c>
    </row>
    <row r="739" spans="1:10" ht="11.25" customHeight="1" x14ac:dyDescent="0.2">
      <c r="A739" s="64" t="s">
        <v>25</v>
      </c>
      <c r="B739" s="57">
        <v>0</v>
      </c>
      <c r="C739" s="57">
        <v>0</v>
      </c>
      <c r="D739" s="57">
        <v>164622.86872</v>
      </c>
      <c r="E739" s="57">
        <v>227209.63278981359</v>
      </c>
      <c r="F739" s="57">
        <v>163437.14626000001</v>
      </c>
      <c r="G739" s="57">
        <v>166560.50560282893</v>
      </c>
      <c r="H739" s="58">
        <v>0.380182683951795</v>
      </c>
      <c r="I739" s="58">
        <v>1.9110461815456503E-2</v>
      </c>
      <c r="J739" s="58">
        <v>0.20029909288594183</v>
      </c>
    </row>
    <row r="740" spans="1:10" ht="11.25" customHeight="1" x14ac:dyDescent="0.2">
      <c r="A740" s="65" t="s">
        <v>25</v>
      </c>
      <c r="B740" s="57">
        <v>0</v>
      </c>
      <c r="C740" s="57">
        <v>0</v>
      </c>
      <c r="D740" s="57">
        <v>164622.86872</v>
      </c>
      <c r="E740" s="57">
        <v>227209.63278981359</v>
      </c>
      <c r="F740" s="57">
        <v>163437.14626000001</v>
      </c>
      <c r="G740" s="57">
        <v>166560.50560282893</v>
      </c>
      <c r="H740" s="58">
        <v>0.380182683951795</v>
      </c>
      <c r="I740" s="58">
        <v>1.9110461815456503E-2</v>
      </c>
      <c r="J740" s="58">
        <v>0.20029909288594183</v>
      </c>
    </row>
    <row r="741" spans="1:10" ht="11.25" customHeight="1" x14ac:dyDescent="0.2">
      <c r="A741" s="66" t="s">
        <v>25</v>
      </c>
      <c r="B741" s="57">
        <v>0</v>
      </c>
      <c r="C741" s="57">
        <v>0</v>
      </c>
      <c r="D741" s="57">
        <v>164622.86872</v>
      </c>
      <c r="E741" s="57">
        <v>227209.63278981359</v>
      </c>
      <c r="F741" s="57">
        <v>163437.14626000001</v>
      </c>
      <c r="G741" s="57">
        <v>166560.50560282893</v>
      </c>
      <c r="H741" s="58">
        <v>0.380182683951795</v>
      </c>
      <c r="I741" s="58">
        <v>1.9110461815456503E-2</v>
      </c>
      <c r="J741" s="58">
        <v>0.20029909288594183</v>
      </c>
    </row>
    <row r="742" spans="1:10" ht="11.25" customHeight="1" x14ac:dyDescent="0.2">
      <c r="A742" s="67">
        <v>44440</v>
      </c>
      <c r="B742" s="57">
        <v>0</v>
      </c>
      <c r="C742" s="57">
        <v>0</v>
      </c>
      <c r="D742" s="57">
        <v>11873.714240000001</v>
      </c>
      <c r="E742" s="57">
        <v>16387.894788239846</v>
      </c>
      <c r="F742" s="57">
        <v>11788.191920000001</v>
      </c>
      <c r="G742" s="57">
        <v>12013.469711560436</v>
      </c>
      <c r="H742" s="58">
        <v>0.38018268395179478</v>
      </c>
      <c r="I742" s="58">
        <v>1.9110461815456725E-2</v>
      </c>
      <c r="J742" s="58">
        <v>0.20029909288594183</v>
      </c>
    </row>
    <row r="743" spans="1:10" ht="11.25" customHeight="1" x14ac:dyDescent="0.2">
      <c r="A743" s="67">
        <v>44470</v>
      </c>
      <c r="B743" s="57">
        <v>0</v>
      </c>
      <c r="C743" s="57">
        <v>0</v>
      </c>
      <c r="D743" s="57">
        <v>11298.35176</v>
      </c>
      <c r="E743" s="57">
        <v>15593.789456348284</v>
      </c>
      <c r="F743" s="57">
        <v>11216.973580000002</v>
      </c>
      <c r="G743" s="57">
        <v>11431.335125285575</v>
      </c>
      <c r="H743" s="58">
        <v>0.38018268395179478</v>
      </c>
      <c r="I743" s="58">
        <v>1.9110461815456503E-2</v>
      </c>
      <c r="J743" s="58">
        <v>0.20029909288594161</v>
      </c>
    </row>
    <row r="744" spans="1:10" ht="11.25" customHeight="1" x14ac:dyDescent="0.2">
      <c r="A744" s="67">
        <v>44501</v>
      </c>
      <c r="B744" s="57">
        <v>0</v>
      </c>
      <c r="C744" s="57">
        <v>0</v>
      </c>
      <c r="D744" s="57">
        <v>15458.115280000002</v>
      </c>
      <c r="E744" s="57">
        <v>21335.023035986651</v>
      </c>
      <c r="F744" s="57">
        <v>15346.775740000003</v>
      </c>
      <c r="G744" s="57">
        <v>15640.059711769647</v>
      </c>
      <c r="H744" s="58">
        <v>0.38018268395179478</v>
      </c>
      <c r="I744" s="58">
        <v>1.9110461815456503E-2</v>
      </c>
      <c r="J744" s="58">
        <v>0.20029909288594183</v>
      </c>
    </row>
    <row r="745" spans="1:10" ht="11.25" customHeight="1" x14ac:dyDescent="0.2">
      <c r="A745" s="67">
        <v>44531</v>
      </c>
      <c r="B745" s="57">
        <v>0</v>
      </c>
      <c r="C745" s="57">
        <v>0</v>
      </c>
      <c r="D745" s="57">
        <v>13834.365039999999</v>
      </c>
      <c r="E745" s="57">
        <v>19093.951071676078</v>
      </c>
      <c r="F745" s="57">
        <v>13734.72082</v>
      </c>
      <c r="G745" s="57">
        <v>13997.197677776567</v>
      </c>
      <c r="H745" s="58">
        <v>0.38018268395179478</v>
      </c>
      <c r="I745" s="58">
        <v>1.9110461815456503E-2</v>
      </c>
      <c r="J745" s="58">
        <v>0.20029909288594183</v>
      </c>
    </row>
    <row r="746" spans="1:10" ht="11.25" customHeight="1" x14ac:dyDescent="0.2">
      <c r="A746" s="67">
        <v>44562</v>
      </c>
      <c r="B746" s="57">
        <v>0</v>
      </c>
      <c r="C746" s="57">
        <v>0</v>
      </c>
      <c r="D746" s="57">
        <v>16781.35152</v>
      </c>
      <c r="E746" s="57">
        <v>23161.330781212131</v>
      </c>
      <c r="F746" s="57">
        <v>16660.481159999999</v>
      </c>
      <c r="G746" s="57">
        <v>16978.870649035314</v>
      </c>
      <c r="H746" s="58">
        <v>0.38018268395179478</v>
      </c>
      <c r="I746" s="58">
        <v>1.9110461815456725E-2</v>
      </c>
      <c r="J746" s="58">
        <v>0.20029909288594183</v>
      </c>
    </row>
    <row r="747" spans="1:10" ht="11.25" customHeight="1" x14ac:dyDescent="0.2">
      <c r="A747" s="67">
        <v>44593</v>
      </c>
      <c r="B747" s="57">
        <v>0</v>
      </c>
      <c r="C747" s="57">
        <v>0</v>
      </c>
      <c r="D747" s="57">
        <v>14190.108639999999</v>
      </c>
      <c r="E747" s="57">
        <v>19584.94222832275</v>
      </c>
      <c r="F747" s="57">
        <v>14087.902120000001</v>
      </c>
      <c r="G747" s="57">
        <v>14357.12843552415</v>
      </c>
      <c r="H747" s="58">
        <v>0.38018268395179478</v>
      </c>
      <c r="I747" s="58">
        <v>1.9110461815456503E-2</v>
      </c>
      <c r="J747" s="58">
        <v>0.20029909288594183</v>
      </c>
    </row>
    <row r="748" spans="1:10" ht="11.25" customHeight="1" x14ac:dyDescent="0.2">
      <c r="A748" s="67">
        <v>44621</v>
      </c>
      <c r="B748" s="57">
        <v>0</v>
      </c>
      <c r="C748" s="57">
        <v>0</v>
      </c>
      <c r="D748" s="57">
        <v>18662.731599999999</v>
      </c>
      <c r="E748" s="57">
        <v>25757.978989559972</v>
      </c>
      <c r="F748" s="57">
        <v>18528.310300000001</v>
      </c>
      <c r="G748" s="57">
        <v>18882.394866493083</v>
      </c>
      <c r="H748" s="58">
        <v>0.38018268395179478</v>
      </c>
      <c r="I748" s="58">
        <v>1.9110461815456725E-2</v>
      </c>
      <c r="J748" s="58">
        <v>0.20029909288594205</v>
      </c>
    </row>
    <row r="749" spans="1:10" ht="11.25" customHeight="1" x14ac:dyDescent="0.2">
      <c r="A749" s="67">
        <v>44652</v>
      </c>
      <c r="B749" s="57">
        <v>0</v>
      </c>
      <c r="C749" s="57">
        <v>0</v>
      </c>
      <c r="D749" s="57">
        <v>14875.280559999999</v>
      </c>
      <c r="E749" s="57">
        <v>20530.604647836757</v>
      </c>
      <c r="F749" s="57">
        <v>14768.13898</v>
      </c>
      <c r="G749" s="57">
        <v>15050.364936062646</v>
      </c>
      <c r="H749" s="58">
        <v>0.38018268395179478</v>
      </c>
      <c r="I749" s="58">
        <v>1.9110461815456503E-2</v>
      </c>
      <c r="J749" s="58">
        <v>0.20029909288594183</v>
      </c>
    </row>
    <row r="750" spans="1:10" ht="11.25" customHeight="1" x14ac:dyDescent="0.2">
      <c r="A750" s="67">
        <v>44682</v>
      </c>
      <c r="B750" s="57">
        <v>0</v>
      </c>
      <c r="C750" s="57">
        <v>0</v>
      </c>
      <c r="D750" s="57">
        <v>13068.298000000001</v>
      </c>
      <c r="E750" s="57">
        <v>18036.638608321871</v>
      </c>
      <c r="F750" s="57">
        <v>12974.1715</v>
      </c>
      <c r="G750" s="57">
        <v>13222.113909037937</v>
      </c>
      <c r="H750" s="58">
        <v>0.38018268395179478</v>
      </c>
      <c r="I750" s="58">
        <v>1.9110461815456725E-2</v>
      </c>
      <c r="J750" s="58">
        <v>0.20029909288594183</v>
      </c>
    </row>
    <row r="751" spans="1:10" ht="11.25" customHeight="1" x14ac:dyDescent="0.2">
      <c r="A751" s="67">
        <v>44713</v>
      </c>
      <c r="B751" s="57">
        <v>0</v>
      </c>
      <c r="C751" s="57">
        <v>0</v>
      </c>
      <c r="D751" s="57">
        <v>11150.206479999999</v>
      </c>
      <c r="E751" s="57">
        <v>15389.321906183093</v>
      </c>
      <c r="F751" s="57">
        <v>11069.895340000001</v>
      </c>
      <c r="G751" s="57">
        <v>11281.446152196171</v>
      </c>
      <c r="H751" s="58">
        <v>0.38018268395179478</v>
      </c>
      <c r="I751" s="58">
        <v>1.9110461815456503E-2</v>
      </c>
      <c r="J751" s="58">
        <v>0.20029909288594183</v>
      </c>
    </row>
    <row r="752" spans="1:10" ht="11.25" customHeight="1" x14ac:dyDescent="0.2">
      <c r="A752" s="67">
        <v>44743</v>
      </c>
      <c r="B752" s="57">
        <v>0</v>
      </c>
      <c r="C752" s="57">
        <v>0</v>
      </c>
      <c r="D752" s="57">
        <v>11715.1728</v>
      </c>
      <c r="E752" s="57">
        <v>16169.078638063063</v>
      </c>
      <c r="F752" s="57">
        <v>11630.792400000002</v>
      </c>
      <c r="G752" s="57">
        <v>11853.062214043704</v>
      </c>
      <c r="H752" s="58">
        <v>0.38018268395179478</v>
      </c>
      <c r="I752" s="58">
        <v>1.9110461815456503E-2</v>
      </c>
      <c r="J752" s="58">
        <v>0.20029909288594183</v>
      </c>
    </row>
    <row r="753" spans="1:10" ht="11.25" customHeight="1" x14ac:dyDescent="0.2">
      <c r="A753" s="67">
        <v>44774</v>
      </c>
      <c r="B753" s="57">
        <v>0</v>
      </c>
      <c r="C753" s="57">
        <v>0</v>
      </c>
      <c r="D753" s="57">
        <v>11715.1728</v>
      </c>
      <c r="E753" s="57">
        <v>16169.078638063063</v>
      </c>
      <c r="F753" s="57">
        <v>11630.792400000002</v>
      </c>
      <c r="G753" s="57">
        <v>11853.062214043704</v>
      </c>
      <c r="H753" s="58">
        <v>0.38018268395179478</v>
      </c>
      <c r="I753" s="58">
        <v>1.9110461815456503E-2</v>
      </c>
      <c r="J753" s="58">
        <v>0.20029909288594183</v>
      </c>
    </row>
    <row r="754" spans="1:10" ht="11.25" customHeight="1" x14ac:dyDescent="0.2">
      <c r="A754" s="62" t="s">
        <v>38</v>
      </c>
      <c r="B754" s="57">
        <v>0</v>
      </c>
      <c r="C754" s="57">
        <v>0</v>
      </c>
      <c r="D754" s="57">
        <v>3104379.4692000002</v>
      </c>
      <c r="E754" s="57">
        <v>4284610.7878053039</v>
      </c>
      <c r="F754" s="57">
        <v>3082019.6811000006</v>
      </c>
      <c r="G754" s="57">
        <v>3140918.500530147</v>
      </c>
      <c r="H754" s="58">
        <v>0.38018268395179478</v>
      </c>
      <c r="I754" s="58">
        <v>1.9110461815456503E-2</v>
      </c>
      <c r="J754" s="58">
        <v>0.20029909288594205</v>
      </c>
    </row>
    <row r="755" spans="1:10" ht="11.25" customHeight="1" x14ac:dyDescent="0.2">
      <c r="A755" s="63" t="s">
        <v>25</v>
      </c>
      <c r="B755" s="57">
        <v>0</v>
      </c>
      <c r="C755" s="57">
        <v>0</v>
      </c>
      <c r="D755" s="57">
        <v>3104379.4692000002</v>
      </c>
      <c r="E755" s="57">
        <v>4284610.7878053039</v>
      </c>
      <c r="F755" s="57">
        <v>3082019.6811000006</v>
      </c>
      <c r="G755" s="57">
        <v>3140918.500530147</v>
      </c>
      <c r="H755" s="58">
        <v>0.38018268395179478</v>
      </c>
      <c r="I755" s="58">
        <v>1.9110461815456503E-2</v>
      </c>
      <c r="J755" s="58">
        <v>0.20029909288594205</v>
      </c>
    </row>
    <row r="756" spans="1:10" ht="11.25" customHeight="1" x14ac:dyDescent="0.2">
      <c r="A756" s="64" t="s">
        <v>25</v>
      </c>
      <c r="B756" s="57">
        <v>0</v>
      </c>
      <c r="C756" s="57">
        <v>0</v>
      </c>
      <c r="D756" s="57">
        <v>3104379.4692000002</v>
      </c>
      <c r="E756" s="57">
        <v>4284610.7878053039</v>
      </c>
      <c r="F756" s="57">
        <v>3082019.6811000006</v>
      </c>
      <c r="G756" s="57">
        <v>3140918.500530147</v>
      </c>
      <c r="H756" s="58">
        <v>0.38018268395179478</v>
      </c>
      <c r="I756" s="58">
        <v>1.9110461815456503E-2</v>
      </c>
      <c r="J756" s="58">
        <v>0.20029909288594205</v>
      </c>
    </row>
    <row r="757" spans="1:10" ht="11.25" customHeight="1" x14ac:dyDescent="0.2">
      <c r="A757" s="65" t="s">
        <v>25</v>
      </c>
      <c r="B757" s="57">
        <v>0</v>
      </c>
      <c r="C757" s="57">
        <v>0</v>
      </c>
      <c r="D757" s="57">
        <v>3104379.4692000002</v>
      </c>
      <c r="E757" s="57">
        <v>4284610.7878053039</v>
      </c>
      <c r="F757" s="57">
        <v>3082019.6811000006</v>
      </c>
      <c r="G757" s="57">
        <v>3140918.500530147</v>
      </c>
      <c r="H757" s="58">
        <v>0.38018268395179478</v>
      </c>
      <c r="I757" s="58">
        <v>1.9110461815456503E-2</v>
      </c>
      <c r="J757" s="58">
        <v>0.20029909288594205</v>
      </c>
    </row>
    <row r="758" spans="1:10" ht="11.25" customHeight="1" x14ac:dyDescent="0.2">
      <c r="A758" s="66" t="s">
        <v>25</v>
      </c>
      <c r="B758" s="57">
        <v>0</v>
      </c>
      <c r="C758" s="57">
        <v>0</v>
      </c>
      <c r="D758" s="57">
        <v>3104379.4692000002</v>
      </c>
      <c r="E758" s="57">
        <v>4284610.7878053039</v>
      </c>
      <c r="F758" s="57">
        <v>3082019.6811000006</v>
      </c>
      <c r="G758" s="57">
        <v>3140918.500530147</v>
      </c>
      <c r="H758" s="58">
        <v>0.38018268395179478</v>
      </c>
      <c r="I758" s="58">
        <v>1.9110461815456503E-2</v>
      </c>
      <c r="J758" s="58">
        <v>0.20029909288594205</v>
      </c>
    </row>
    <row r="759" spans="1:10" ht="11.25" customHeight="1" x14ac:dyDescent="0.2">
      <c r="A759" s="67">
        <v>44440</v>
      </c>
      <c r="B759" s="57">
        <v>0</v>
      </c>
      <c r="C759" s="57">
        <v>0</v>
      </c>
      <c r="D759" s="57">
        <v>250588.06599999999</v>
      </c>
      <c r="E759" s="57">
        <v>345857.30949816946</v>
      </c>
      <c r="F759" s="57">
        <v>248783.16550000003</v>
      </c>
      <c r="G759" s="57">
        <v>253537.52668461617</v>
      </c>
      <c r="H759" s="58">
        <v>0.38018268395179478</v>
      </c>
      <c r="I759" s="58">
        <v>1.9110461815456503E-2</v>
      </c>
      <c r="J759" s="58">
        <v>0.20029909288594183</v>
      </c>
    </row>
    <row r="760" spans="1:10" ht="11.25" customHeight="1" x14ac:dyDescent="0.2">
      <c r="A760" s="67">
        <v>44470</v>
      </c>
      <c r="B760" s="57">
        <v>0</v>
      </c>
      <c r="C760" s="57">
        <v>0</v>
      </c>
      <c r="D760" s="57">
        <v>259428.0508</v>
      </c>
      <c r="E760" s="57">
        <v>358058.10344552656</v>
      </c>
      <c r="F760" s="57">
        <v>257559.47890000002</v>
      </c>
      <c r="G760" s="57">
        <v>262481.55948672735</v>
      </c>
      <c r="H760" s="58">
        <v>0.38018268395179478</v>
      </c>
      <c r="I760" s="58">
        <v>1.9110461815456503E-2</v>
      </c>
      <c r="J760" s="58">
        <v>0.20029909288594183</v>
      </c>
    </row>
    <row r="761" spans="1:10" ht="11.25" customHeight="1" x14ac:dyDescent="0.2">
      <c r="A761" s="67">
        <v>44501</v>
      </c>
      <c r="B761" s="57">
        <v>0</v>
      </c>
      <c r="C761" s="57">
        <v>0</v>
      </c>
      <c r="D761" s="57">
        <v>248967.88944</v>
      </c>
      <c r="E761" s="57">
        <v>343621.16986511287</v>
      </c>
      <c r="F761" s="57">
        <v>247174.65852</v>
      </c>
      <c r="G761" s="57">
        <v>251898.28039339502</v>
      </c>
      <c r="H761" s="58">
        <v>0.38018268395179455</v>
      </c>
      <c r="I761" s="58">
        <v>1.9110461815456725E-2</v>
      </c>
      <c r="J761" s="58">
        <v>0.20029909288594183</v>
      </c>
    </row>
    <row r="762" spans="1:10" ht="11.25" customHeight="1" x14ac:dyDescent="0.2">
      <c r="A762" s="67">
        <v>44531</v>
      </c>
      <c r="B762" s="57">
        <v>0</v>
      </c>
      <c r="C762" s="57">
        <v>0</v>
      </c>
      <c r="D762" s="57">
        <v>258204.87759999995</v>
      </c>
      <c r="E762" s="57">
        <v>356369.90097541263</v>
      </c>
      <c r="F762" s="57">
        <v>256345.11580000003</v>
      </c>
      <c r="G762" s="57">
        <v>261243.98934707468</v>
      </c>
      <c r="H762" s="58">
        <v>0.380182683951795</v>
      </c>
      <c r="I762" s="58">
        <v>1.9110461815456281E-2</v>
      </c>
      <c r="J762" s="58">
        <v>0.20029909288594183</v>
      </c>
    </row>
    <row r="763" spans="1:10" ht="11.25" customHeight="1" x14ac:dyDescent="0.2">
      <c r="A763" s="67">
        <v>44562</v>
      </c>
      <c r="B763" s="57">
        <v>0</v>
      </c>
      <c r="C763" s="57">
        <v>0</v>
      </c>
      <c r="D763" s="57">
        <v>230054.02560000002</v>
      </c>
      <c r="E763" s="57">
        <v>317516.58250652289</v>
      </c>
      <c r="F763" s="57">
        <v>228397.02480000004</v>
      </c>
      <c r="G763" s="57">
        <v>232761.7974212043</v>
      </c>
      <c r="H763" s="58">
        <v>0.38018268395179455</v>
      </c>
      <c r="I763" s="58">
        <v>1.9110461815456503E-2</v>
      </c>
      <c r="J763" s="58">
        <v>0.20029909288594161</v>
      </c>
    </row>
    <row r="764" spans="1:10" ht="11.25" customHeight="1" x14ac:dyDescent="0.2">
      <c r="A764" s="67">
        <v>44593</v>
      </c>
      <c r="B764" s="57">
        <v>0</v>
      </c>
      <c r="C764" s="57">
        <v>0</v>
      </c>
      <c r="D764" s="57">
        <v>289876.77903999999</v>
      </c>
      <c r="E764" s="57">
        <v>400082.91091072862</v>
      </c>
      <c r="F764" s="57">
        <v>287788.89532000001</v>
      </c>
      <c r="G764" s="57">
        <v>293288.67401492532</v>
      </c>
      <c r="H764" s="58">
        <v>0.380182683951795</v>
      </c>
      <c r="I764" s="58">
        <v>1.9110461815456725E-2</v>
      </c>
      <c r="J764" s="58">
        <v>0.20029909288594183</v>
      </c>
    </row>
    <row r="765" spans="1:10" ht="11.25" customHeight="1" x14ac:dyDescent="0.2">
      <c r="A765" s="67">
        <v>44621</v>
      </c>
      <c r="B765" s="57">
        <v>0</v>
      </c>
      <c r="C765" s="57">
        <v>0</v>
      </c>
      <c r="D765" s="57">
        <v>278179.79952</v>
      </c>
      <c r="E765" s="57">
        <v>383938.94232268579</v>
      </c>
      <c r="F765" s="57">
        <v>276176.16516000003</v>
      </c>
      <c r="G765" s="57">
        <v>281454.01921862946</v>
      </c>
      <c r="H765" s="58">
        <v>0.38018268395179478</v>
      </c>
      <c r="I765" s="58">
        <v>1.9110461815456725E-2</v>
      </c>
      <c r="J765" s="58">
        <v>0.20029909288594205</v>
      </c>
    </row>
    <row r="766" spans="1:10" ht="11.25" customHeight="1" x14ac:dyDescent="0.2">
      <c r="A766" s="67">
        <v>44652</v>
      </c>
      <c r="B766" s="57">
        <v>0</v>
      </c>
      <c r="C766" s="57">
        <v>0</v>
      </c>
      <c r="D766" s="57">
        <v>292822.46600000001</v>
      </c>
      <c r="E766" s="57">
        <v>404148.49704526324</v>
      </c>
      <c r="F766" s="57">
        <v>290713.36550000001</v>
      </c>
      <c r="G766" s="57">
        <v>296269.03217063064</v>
      </c>
      <c r="H766" s="58">
        <v>0.380182683951795</v>
      </c>
      <c r="I766" s="58">
        <v>1.9110461815456503E-2</v>
      </c>
      <c r="J766" s="58">
        <v>0.20029909288594183</v>
      </c>
    </row>
    <row r="767" spans="1:10" ht="11.25" customHeight="1" x14ac:dyDescent="0.2">
      <c r="A767" s="67">
        <v>44682</v>
      </c>
      <c r="B767" s="57">
        <v>0</v>
      </c>
      <c r="C767" s="57">
        <v>0</v>
      </c>
      <c r="D767" s="57">
        <v>265547.81535999995</v>
      </c>
      <c r="E767" s="57">
        <v>366504.4965211004</v>
      </c>
      <c r="F767" s="57">
        <v>263635.16488</v>
      </c>
      <c r="G767" s="57">
        <v>268673.35463165084</v>
      </c>
      <c r="H767" s="58">
        <v>0.380182683951795</v>
      </c>
      <c r="I767" s="58">
        <v>1.9110461815456503E-2</v>
      </c>
      <c r="J767" s="58">
        <v>0.20029909288594183</v>
      </c>
    </row>
    <row r="768" spans="1:10" ht="11.25" customHeight="1" x14ac:dyDescent="0.2">
      <c r="A768" s="67">
        <v>44713</v>
      </c>
      <c r="B768" s="57">
        <v>0</v>
      </c>
      <c r="C768" s="57">
        <v>0</v>
      </c>
      <c r="D768" s="57">
        <v>251190.71839999998</v>
      </c>
      <c r="E768" s="57">
        <v>346689.07990509149</v>
      </c>
      <c r="F768" s="57">
        <v>249381.47720000002</v>
      </c>
      <c r="G768" s="57">
        <v>254147.27239751277</v>
      </c>
      <c r="H768" s="58">
        <v>0.380182683951795</v>
      </c>
      <c r="I768" s="58">
        <v>1.9110461815456503E-2</v>
      </c>
      <c r="J768" s="58">
        <v>0.20029909288594183</v>
      </c>
    </row>
    <row r="769" spans="1:10" ht="11.25" customHeight="1" x14ac:dyDescent="0.2">
      <c r="A769" s="67">
        <v>44743</v>
      </c>
      <c r="B769" s="57">
        <v>0</v>
      </c>
      <c r="C769" s="57">
        <v>0</v>
      </c>
      <c r="D769" s="57">
        <v>239759.49072</v>
      </c>
      <c r="E769" s="57">
        <v>330911.89740484499</v>
      </c>
      <c r="F769" s="57">
        <v>238032.58476</v>
      </c>
      <c r="G769" s="57">
        <v>242581.49738189043</v>
      </c>
      <c r="H769" s="58">
        <v>0.38018268395179455</v>
      </c>
      <c r="I769" s="58">
        <v>1.9110461815456725E-2</v>
      </c>
      <c r="J769" s="58">
        <v>0.20029909288594183</v>
      </c>
    </row>
    <row r="770" spans="1:10" ht="11.25" customHeight="1" x14ac:dyDescent="0.2">
      <c r="A770" s="67">
        <v>44774</v>
      </c>
      <c r="B770" s="57">
        <v>0</v>
      </c>
      <c r="C770" s="57">
        <v>0</v>
      </c>
      <c r="D770" s="57">
        <v>239759.49072</v>
      </c>
      <c r="E770" s="57">
        <v>330911.89740484499</v>
      </c>
      <c r="F770" s="57">
        <v>238032.58476</v>
      </c>
      <c r="G770" s="57">
        <v>242581.49738189043</v>
      </c>
      <c r="H770" s="58">
        <v>0.38018268395179455</v>
      </c>
      <c r="I770" s="58">
        <v>1.9110461815456725E-2</v>
      </c>
      <c r="J770" s="58">
        <v>0.20029909288594183</v>
      </c>
    </row>
    <row r="771" spans="1:10" ht="11.25" customHeight="1" x14ac:dyDescent="0.2">
      <c r="A771" s="62" t="s">
        <v>45</v>
      </c>
      <c r="B771" s="57">
        <v>0</v>
      </c>
      <c r="C771" s="57">
        <v>0</v>
      </c>
      <c r="D771" s="57">
        <v>3451183.9960000003</v>
      </c>
      <c r="E771" s="57">
        <v>4763264.3904107595</v>
      </c>
      <c r="F771" s="57">
        <v>3426326.2930000005</v>
      </c>
      <c r="G771" s="57">
        <v>3491804.9707896714</v>
      </c>
      <c r="H771" s="58">
        <v>0.38018268395179522</v>
      </c>
      <c r="I771" s="58">
        <v>1.9110461815456281E-2</v>
      </c>
      <c r="J771" s="58">
        <v>0.20029909288594161</v>
      </c>
    </row>
    <row r="772" spans="1:10" ht="11.25" customHeight="1" x14ac:dyDescent="0.2">
      <c r="A772" s="63" t="s">
        <v>25</v>
      </c>
      <c r="B772" s="57">
        <v>0</v>
      </c>
      <c r="C772" s="57">
        <v>0</v>
      </c>
      <c r="D772" s="57">
        <v>3451183.9960000003</v>
      </c>
      <c r="E772" s="57">
        <v>4763264.3904107595</v>
      </c>
      <c r="F772" s="57">
        <v>3426326.2930000005</v>
      </c>
      <c r="G772" s="57">
        <v>3491804.9707896714</v>
      </c>
      <c r="H772" s="58">
        <v>0.38018268395179522</v>
      </c>
      <c r="I772" s="58">
        <v>1.9110461815456281E-2</v>
      </c>
      <c r="J772" s="58">
        <v>0.20029909288594161</v>
      </c>
    </row>
    <row r="773" spans="1:10" ht="11.25" customHeight="1" x14ac:dyDescent="0.2">
      <c r="A773" s="64" t="s">
        <v>25</v>
      </c>
      <c r="B773" s="57">
        <v>0</v>
      </c>
      <c r="C773" s="57">
        <v>0</v>
      </c>
      <c r="D773" s="57">
        <v>3451183.9960000003</v>
      </c>
      <c r="E773" s="57">
        <v>4763264.3904107595</v>
      </c>
      <c r="F773" s="57">
        <v>3426326.2930000005</v>
      </c>
      <c r="G773" s="57">
        <v>3491804.9707896714</v>
      </c>
      <c r="H773" s="58">
        <v>0.38018268395179522</v>
      </c>
      <c r="I773" s="58">
        <v>1.9110461815456281E-2</v>
      </c>
      <c r="J773" s="58">
        <v>0.20029909288594161</v>
      </c>
    </row>
    <row r="774" spans="1:10" ht="11.25" customHeight="1" x14ac:dyDescent="0.2">
      <c r="A774" s="65" t="s">
        <v>25</v>
      </c>
      <c r="B774" s="57">
        <v>0</v>
      </c>
      <c r="C774" s="57">
        <v>0</v>
      </c>
      <c r="D774" s="57">
        <v>3451183.9960000003</v>
      </c>
      <c r="E774" s="57">
        <v>4763264.3904107595</v>
      </c>
      <c r="F774" s="57">
        <v>3426326.2930000005</v>
      </c>
      <c r="G774" s="57">
        <v>3491804.9707896714</v>
      </c>
      <c r="H774" s="58">
        <v>0.38018268395179522</v>
      </c>
      <c r="I774" s="58">
        <v>1.9110461815456281E-2</v>
      </c>
      <c r="J774" s="58">
        <v>0.20029909288594161</v>
      </c>
    </row>
    <row r="775" spans="1:10" ht="11.25" customHeight="1" x14ac:dyDescent="0.2">
      <c r="A775" s="66" t="s">
        <v>25</v>
      </c>
      <c r="B775" s="57">
        <v>0</v>
      </c>
      <c r="C775" s="57">
        <v>0</v>
      </c>
      <c r="D775" s="57">
        <v>3451183.9960000003</v>
      </c>
      <c r="E775" s="57">
        <v>4763264.3904107595</v>
      </c>
      <c r="F775" s="57">
        <v>3426326.2930000005</v>
      </c>
      <c r="G775" s="57">
        <v>3491804.9707896714</v>
      </c>
      <c r="H775" s="58">
        <v>0.38018268395179522</v>
      </c>
      <c r="I775" s="58">
        <v>1.9110461815456281E-2</v>
      </c>
      <c r="J775" s="58">
        <v>0.20029909288594161</v>
      </c>
    </row>
    <row r="776" spans="1:10" ht="11.25" customHeight="1" x14ac:dyDescent="0.2">
      <c r="A776" s="67">
        <v>44440</v>
      </c>
      <c r="B776" s="57">
        <v>0</v>
      </c>
      <c r="C776" s="57">
        <v>0</v>
      </c>
      <c r="D776" s="57">
        <v>259571.32287999999</v>
      </c>
      <c r="E776" s="57">
        <v>358255.84508943633</v>
      </c>
      <c r="F776" s="57">
        <v>257701.71904000003</v>
      </c>
      <c r="G776" s="57">
        <v>262626.51790149143</v>
      </c>
      <c r="H776" s="58">
        <v>0.38018268395179478</v>
      </c>
      <c r="I776" s="58">
        <v>1.9110461815456503E-2</v>
      </c>
      <c r="J776" s="58">
        <v>0.20029909288594183</v>
      </c>
    </row>
    <row r="777" spans="1:10" ht="11.25" customHeight="1" x14ac:dyDescent="0.2">
      <c r="A777" s="67">
        <v>44470</v>
      </c>
      <c r="B777" s="57">
        <v>0</v>
      </c>
      <c r="C777" s="57">
        <v>0</v>
      </c>
      <c r="D777" s="57">
        <v>294489.42528000002</v>
      </c>
      <c r="E777" s="57">
        <v>406449.20537837193</v>
      </c>
      <c r="F777" s="57">
        <v>292368.31824000005</v>
      </c>
      <c r="G777" s="57">
        <v>297955.6118217748</v>
      </c>
      <c r="H777" s="58">
        <v>0.38018268395179478</v>
      </c>
      <c r="I777" s="58">
        <v>1.9110461815456503E-2</v>
      </c>
      <c r="J777" s="58">
        <v>0.20029909288594183</v>
      </c>
    </row>
    <row r="778" spans="1:10" ht="11.25" customHeight="1" x14ac:dyDescent="0.2">
      <c r="A778" s="67">
        <v>44501</v>
      </c>
      <c r="B778" s="57">
        <v>0</v>
      </c>
      <c r="C778" s="57">
        <v>0</v>
      </c>
      <c r="D778" s="57">
        <v>281543.28216</v>
      </c>
      <c r="E778" s="57">
        <v>388581.16282018623</v>
      </c>
      <c r="F778" s="57">
        <v>279515.42178000003</v>
      </c>
      <c r="G778" s="57">
        <v>284857.09057475795</v>
      </c>
      <c r="H778" s="58">
        <v>0.38018268395179478</v>
      </c>
      <c r="I778" s="58">
        <v>1.9110461815456503E-2</v>
      </c>
      <c r="J778" s="58">
        <v>0.20029909288594161</v>
      </c>
    </row>
    <row r="779" spans="1:10" ht="11.25" customHeight="1" x14ac:dyDescent="0.2">
      <c r="A779" s="67">
        <v>44531</v>
      </c>
      <c r="B779" s="57">
        <v>0</v>
      </c>
      <c r="C779" s="57">
        <v>0</v>
      </c>
      <c r="D779" s="57">
        <v>306888.14559999999</v>
      </c>
      <c r="E779" s="57">
        <v>423561.70446719718</v>
      </c>
      <c r="F779" s="57">
        <v>304677.73480000003</v>
      </c>
      <c r="G779" s="57">
        <v>310500.2670169152</v>
      </c>
      <c r="H779" s="58">
        <v>0.38018268395179478</v>
      </c>
      <c r="I779" s="58">
        <v>1.9110461815456503E-2</v>
      </c>
      <c r="J779" s="58">
        <v>0.20029909288594161</v>
      </c>
    </row>
    <row r="780" spans="1:10" ht="11.25" customHeight="1" x14ac:dyDescent="0.2">
      <c r="A780" s="67">
        <v>44562</v>
      </c>
      <c r="B780" s="57">
        <v>0</v>
      </c>
      <c r="C780" s="57">
        <v>0</v>
      </c>
      <c r="D780" s="57">
        <v>259709.72176000001</v>
      </c>
      <c r="E780" s="57">
        <v>358446.86082709068</v>
      </c>
      <c r="F780" s="57">
        <v>257839.12108000004</v>
      </c>
      <c r="G780" s="57">
        <v>262766.54575793026</v>
      </c>
      <c r="H780" s="58">
        <v>0.38018268395179478</v>
      </c>
      <c r="I780" s="58">
        <v>1.9110461815456503E-2</v>
      </c>
      <c r="J780" s="58">
        <v>0.20029909288594183</v>
      </c>
    </row>
    <row r="781" spans="1:10" ht="11.25" customHeight="1" x14ac:dyDescent="0.2">
      <c r="A781" s="67">
        <v>44593</v>
      </c>
      <c r="B781" s="57">
        <v>0</v>
      </c>
      <c r="C781" s="57">
        <v>0</v>
      </c>
      <c r="D781" s="57">
        <v>324865.38040000002</v>
      </c>
      <c r="E781" s="57">
        <v>448373.57264349278</v>
      </c>
      <c r="F781" s="57">
        <v>322525.48570000002</v>
      </c>
      <c r="G781" s="57">
        <v>328689.09667898144</v>
      </c>
      <c r="H781" s="58">
        <v>0.38018268395179455</v>
      </c>
      <c r="I781" s="58">
        <v>1.9110461815456503E-2</v>
      </c>
      <c r="J781" s="58">
        <v>0.20029909288594183</v>
      </c>
    </row>
    <row r="782" spans="1:10" ht="11.25" customHeight="1" x14ac:dyDescent="0.2">
      <c r="A782" s="67">
        <v>44621</v>
      </c>
      <c r="B782" s="57">
        <v>0</v>
      </c>
      <c r="C782" s="57">
        <v>0</v>
      </c>
      <c r="D782" s="57">
        <v>370841.74823999999</v>
      </c>
      <c r="E782" s="57">
        <v>511829.35940725898</v>
      </c>
      <c r="F782" s="57">
        <v>368170.70142</v>
      </c>
      <c r="G782" s="57">
        <v>375206.61355105677</v>
      </c>
      <c r="H782" s="58">
        <v>0.38018268395179478</v>
      </c>
      <c r="I782" s="58">
        <v>1.9110461815456503E-2</v>
      </c>
      <c r="J782" s="58">
        <v>0.20029909288594205</v>
      </c>
    </row>
    <row r="783" spans="1:10" ht="11.25" customHeight="1" x14ac:dyDescent="0.2">
      <c r="A783" s="67">
        <v>44652</v>
      </c>
      <c r="B783" s="57">
        <v>0</v>
      </c>
      <c r="C783" s="57">
        <v>0</v>
      </c>
      <c r="D783" s="57">
        <v>386149.44407999999</v>
      </c>
      <c r="E783" s="57">
        <v>532956.77613682789</v>
      </c>
      <c r="F783" s="57">
        <v>383368.14114000002</v>
      </c>
      <c r="G783" s="57">
        <v>390694.48336251854</v>
      </c>
      <c r="H783" s="58">
        <v>0.38018268395179478</v>
      </c>
      <c r="I783" s="58">
        <v>1.9110461815456503E-2</v>
      </c>
      <c r="J783" s="58">
        <v>0.20029909288594183</v>
      </c>
    </row>
    <row r="784" spans="1:10" ht="11.25" customHeight="1" x14ac:dyDescent="0.2">
      <c r="A784" s="67">
        <v>44682</v>
      </c>
      <c r="B784" s="57">
        <v>0</v>
      </c>
      <c r="C784" s="57">
        <v>0</v>
      </c>
      <c r="D784" s="57">
        <v>314896.11271999998</v>
      </c>
      <c r="E784" s="57">
        <v>434614.16201987647</v>
      </c>
      <c r="F784" s="57">
        <v>312628.02325999999</v>
      </c>
      <c r="G784" s="57">
        <v>318602.48916095193</v>
      </c>
      <c r="H784" s="58">
        <v>0.38018268395179478</v>
      </c>
      <c r="I784" s="58">
        <v>1.9110461815456725E-2</v>
      </c>
      <c r="J784" s="58">
        <v>0.20029909288594183</v>
      </c>
    </row>
    <row r="785" spans="1:10" ht="11.25" customHeight="1" x14ac:dyDescent="0.2">
      <c r="A785" s="67">
        <v>44713</v>
      </c>
      <c r="B785" s="57">
        <v>0</v>
      </c>
      <c r="C785" s="57">
        <v>0</v>
      </c>
      <c r="D785" s="57">
        <v>265724.22519999999</v>
      </c>
      <c r="E785" s="57">
        <v>366747.97432754713</v>
      </c>
      <c r="F785" s="57">
        <v>263810.30410000001</v>
      </c>
      <c r="G785" s="57">
        <v>268851.84084302705</v>
      </c>
      <c r="H785" s="58">
        <v>0.38018268395179478</v>
      </c>
      <c r="I785" s="58">
        <v>1.9110461815456503E-2</v>
      </c>
      <c r="J785" s="58">
        <v>0.20029909288594183</v>
      </c>
    </row>
    <row r="786" spans="1:10" ht="11.25" customHeight="1" x14ac:dyDescent="0.2">
      <c r="A786" s="67">
        <v>44743</v>
      </c>
      <c r="B786" s="57">
        <v>0</v>
      </c>
      <c r="C786" s="57">
        <v>0</v>
      </c>
      <c r="D786" s="57">
        <v>193252.59383999999</v>
      </c>
      <c r="E786" s="57">
        <v>266723.88364673726</v>
      </c>
      <c r="F786" s="57">
        <v>191860.66122000001</v>
      </c>
      <c r="G786" s="57">
        <v>195527.20706013308</v>
      </c>
      <c r="H786" s="58">
        <v>0.38018268395179478</v>
      </c>
      <c r="I786" s="58">
        <v>1.9110461815456725E-2</v>
      </c>
      <c r="J786" s="58">
        <v>0.20029909288594183</v>
      </c>
    </row>
    <row r="787" spans="1:10" ht="11.25" customHeight="1" x14ac:dyDescent="0.2">
      <c r="A787" s="67">
        <v>44774</v>
      </c>
      <c r="B787" s="57">
        <v>0</v>
      </c>
      <c r="C787" s="57">
        <v>0</v>
      </c>
      <c r="D787" s="57">
        <v>193252.59383999999</v>
      </c>
      <c r="E787" s="57">
        <v>266723.88364673726</v>
      </c>
      <c r="F787" s="57">
        <v>191860.66122000001</v>
      </c>
      <c r="G787" s="57">
        <v>195527.20706013308</v>
      </c>
      <c r="H787" s="58">
        <v>0.38018268395179478</v>
      </c>
      <c r="I787" s="58">
        <v>1.9110461815456725E-2</v>
      </c>
      <c r="J787" s="58">
        <v>0.20029909288594183</v>
      </c>
    </row>
    <row r="788" spans="1:10" ht="11.25" customHeight="1" x14ac:dyDescent="0.2">
      <c r="A788" s="62" t="s">
        <v>49</v>
      </c>
      <c r="B788" s="57">
        <v>0</v>
      </c>
      <c r="C788" s="57">
        <v>0</v>
      </c>
      <c r="D788" s="57">
        <v>1025016.2566656</v>
      </c>
      <c r="E788" s="57">
        <v>1414709.6882189496</v>
      </c>
      <c r="F788" s="57">
        <v>1017633.4136448001</v>
      </c>
      <c r="G788" s="57">
        <v>1037080.858138392</v>
      </c>
      <c r="H788" s="58">
        <v>0.38018268395179478</v>
      </c>
      <c r="I788" s="58">
        <v>1.9110461815456725E-2</v>
      </c>
      <c r="J788" s="58">
        <v>0.20029909288594205</v>
      </c>
    </row>
    <row r="789" spans="1:10" ht="11.25" customHeight="1" x14ac:dyDescent="0.2">
      <c r="A789" s="63" t="s">
        <v>50</v>
      </c>
      <c r="B789" s="57">
        <v>0</v>
      </c>
      <c r="C789" s="57">
        <v>0</v>
      </c>
      <c r="D789" s="57">
        <v>1025016.2566656</v>
      </c>
      <c r="E789" s="57">
        <v>1414709.6882189496</v>
      </c>
      <c r="F789" s="57">
        <v>1017633.4136448001</v>
      </c>
      <c r="G789" s="57">
        <v>1037080.858138392</v>
      </c>
      <c r="H789" s="58">
        <v>0.38018268395179478</v>
      </c>
      <c r="I789" s="58">
        <v>1.9110461815456725E-2</v>
      </c>
      <c r="J789" s="58">
        <v>0.20029909288594205</v>
      </c>
    </row>
    <row r="790" spans="1:10" ht="11.25" customHeight="1" x14ac:dyDescent="0.2">
      <c r="A790" s="64" t="s">
        <v>25</v>
      </c>
      <c r="B790" s="57">
        <v>0</v>
      </c>
      <c r="C790" s="57">
        <v>0</v>
      </c>
      <c r="D790" s="57">
        <v>1025016.2566656</v>
      </c>
      <c r="E790" s="57">
        <v>1414709.6882189496</v>
      </c>
      <c r="F790" s="57">
        <v>1017633.4136448001</v>
      </c>
      <c r="G790" s="57">
        <v>1037080.858138392</v>
      </c>
      <c r="H790" s="58">
        <v>0.38018268395179478</v>
      </c>
      <c r="I790" s="58">
        <v>1.9110461815456725E-2</v>
      </c>
      <c r="J790" s="58">
        <v>0.20029909288594205</v>
      </c>
    </row>
    <row r="791" spans="1:10" ht="11.25" customHeight="1" x14ac:dyDescent="0.2">
      <c r="A791" s="65" t="s">
        <v>25</v>
      </c>
      <c r="B791" s="57">
        <v>0</v>
      </c>
      <c r="C791" s="57">
        <v>0</v>
      </c>
      <c r="D791" s="57">
        <v>1025016.2566656</v>
      </c>
      <c r="E791" s="57">
        <v>1414709.6882189496</v>
      </c>
      <c r="F791" s="57">
        <v>1017633.4136448001</v>
      </c>
      <c r="G791" s="57">
        <v>1037080.858138392</v>
      </c>
      <c r="H791" s="58">
        <v>0.38018268395179478</v>
      </c>
      <c r="I791" s="58">
        <v>1.9110461815456725E-2</v>
      </c>
      <c r="J791" s="58">
        <v>0.20029909288594205</v>
      </c>
    </row>
    <row r="792" spans="1:10" ht="11.25" customHeight="1" x14ac:dyDescent="0.2">
      <c r="A792" s="66" t="s">
        <v>25</v>
      </c>
      <c r="B792" s="57">
        <v>0</v>
      </c>
      <c r="C792" s="57">
        <v>0</v>
      </c>
      <c r="D792" s="57">
        <v>1025016.2566656</v>
      </c>
      <c r="E792" s="57">
        <v>1414709.6882189496</v>
      </c>
      <c r="F792" s="57">
        <v>1017633.4136448001</v>
      </c>
      <c r="G792" s="57">
        <v>1037080.858138392</v>
      </c>
      <c r="H792" s="58">
        <v>0.38018268395179478</v>
      </c>
      <c r="I792" s="58">
        <v>1.9110461815456725E-2</v>
      </c>
      <c r="J792" s="58">
        <v>0.20029909288594205</v>
      </c>
    </row>
    <row r="793" spans="1:10" ht="11.25" customHeight="1" x14ac:dyDescent="0.2">
      <c r="A793" s="67">
        <v>44440</v>
      </c>
      <c r="B793" s="57">
        <v>0</v>
      </c>
      <c r="C793" s="57">
        <v>0</v>
      </c>
      <c r="D793" s="57">
        <v>86936.101159999991</v>
      </c>
      <c r="E793" s="57">
        <v>119987.70143131353</v>
      </c>
      <c r="F793" s="57">
        <v>86309.930030000003</v>
      </c>
      <c r="G793" s="57">
        <v>87959.35265213305</v>
      </c>
      <c r="H793" s="58">
        <v>0.38018268395179478</v>
      </c>
      <c r="I793" s="58">
        <v>1.9110461815456503E-2</v>
      </c>
      <c r="J793" s="58">
        <v>0.20029909288594161</v>
      </c>
    </row>
    <row r="794" spans="1:10" ht="11.25" customHeight="1" x14ac:dyDescent="0.2">
      <c r="A794" s="67">
        <v>44470</v>
      </c>
      <c r="B794" s="57">
        <v>0</v>
      </c>
      <c r="C794" s="57">
        <v>0</v>
      </c>
      <c r="D794" s="57">
        <v>92866.72058400001</v>
      </c>
      <c r="E794" s="57">
        <v>128173.03966542652</v>
      </c>
      <c r="F794" s="57">
        <v>92197.833222000016</v>
      </c>
      <c r="G794" s="57">
        <v>93959.776393256878</v>
      </c>
      <c r="H794" s="58">
        <v>0.38018268395179478</v>
      </c>
      <c r="I794" s="58">
        <v>1.9110461815456503E-2</v>
      </c>
      <c r="J794" s="58">
        <v>0.20029909288594161</v>
      </c>
    </row>
    <row r="795" spans="1:10" ht="11.25" customHeight="1" x14ac:dyDescent="0.2">
      <c r="A795" s="67">
        <v>44501</v>
      </c>
      <c r="B795" s="57">
        <v>0</v>
      </c>
      <c r="C795" s="57">
        <v>0</v>
      </c>
      <c r="D795" s="57">
        <v>83248.550720000014</v>
      </c>
      <c r="E795" s="57">
        <v>114898.20816782673</v>
      </c>
      <c r="F795" s="57">
        <v>82648.939760000008</v>
      </c>
      <c r="G795" s="57">
        <v>84228.399167371463</v>
      </c>
      <c r="H795" s="58">
        <v>0.38018268395179478</v>
      </c>
      <c r="I795" s="58">
        <v>1.9110461815456725E-2</v>
      </c>
      <c r="J795" s="58">
        <v>0.20029909288594183</v>
      </c>
    </row>
    <row r="796" spans="1:10" ht="11.25" customHeight="1" x14ac:dyDescent="0.2">
      <c r="A796" s="67">
        <v>44531</v>
      </c>
      <c r="B796" s="57">
        <v>0</v>
      </c>
      <c r="C796" s="57">
        <v>0</v>
      </c>
      <c r="D796" s="57">
        <v>80763.615073599998</v>
      </c>
      <c r="E796" s="57">
        <v>111468.54301793088</v>
      </c>
      <c r="F796" s="57">
        <v>80181.902258800008</v>
      </c>
      <c r="G796" s="57">
        <v>81714.215440207481</v>
      </c>
      <c r="H796" s="58">
        <v>0.38018268395179478</v>
      </c>
      <c r="I796" s="58">
        <v>1.9110461815456725E-2</v>
      </c>
      <c r="J796" s="58">
        <v>0.20029909288594183</v>
      </c>
    </row>
    <row r="797" spans="1:10" ht="11.25" customHeight="1" x14ac:dyDescent="0.2">
      <c r="A797" s="67">
        <v>44562</v>
      </c>
      <c r="B797" s="57">
        <v>0</v>
      </c>
      <c r="C797" s="57">
        <v>0</v>
      </c>
      <c r="D797" s="57">
        <v>81388.131897599989</v>
      </c>
      <c r="E797" s="57">
        <v>112330.49032425224</v>
      </c>
      <c r="F797" s="57">
        <v>80801.920900800003</v>
      </c>
      <c r="G797" s="57">
        <v>82346.082924790288</v>
      </c>
      <c r="H797" s="58">
        <v>0.38018268395179478</v>
      </c>
      <c r="I797" s="58">
        <v>1.9110461815456503E-2</v>
      </c>
      <c r="J797" s="58">
        <v>0.20029909288594183</v>
      </c>
    </row>
    <row r="798" spans="1:10" ht="11.25" customHeight="1" x14ac:dyDescent="0.2">
      <c r="A798" s="67">
        <v>44593</v>
      </c>
      <c r="B798" s="57">
        <v>0</v>
      </c>
      <c r="C798" s="57">
        <v>0</v>
      </c>
      <c r="D798" s="57">
        <v>84418.794470399996</v>
      </c>
      <c r="E798" s="57">
        <v>116513.3583281316</v>
      </c>
      <c r="F798" s="57">
        <v>83810.754643199994</v>
      </c>
      <c r="G798" s="57">
        <v>85412.416869533467</v>
      </c>
      <c r="H798" s="58">
        <v>0.38018268395179478</v>
      </c>
      <c r="I798" s="58">
        <v>1.9110461815456503E-2</v>
      </c>
      <c r="J798" s="58">
        <v>0.20029909288594183</v>
      </c>
    </row>
    <row r="799" spans="1:10" ht="11.25" customHeight="1" x14ac:dyDescent="0.2">
      <c r="A799" s="67">
        <v>44621</v>
      </c>
      <c r="B799" s="57">
        <v>0</v>
      </c>
      <c r="C799" s="57">
        <v>0</v>
      </c>
      <c r="D799" s="57">
        <v>86811.503182400003</v>
      </c>
      <c r="E799" s="57">
        <v>119815.73346017461</v>
      </c>
      <c r="F799" s="57">
        <v>86186.229489200006</v>
      </c>
      <c r="G799" s="57">
        <v>87833.288136871546</v>
      </c>
      <c r="H799" s="58">
        <v>0.38018268395179478</v>
      </c>
      <c r="I799" s="58">
        <v>1.9110461815456725E-2</v>
      </c>
      <c r="J799" s="58">
        <v>0.20029909288594183</v>
      </c>
    </row>
    <row r="800" spans="1:10" ht="11.25" customHeight="1" x14ac:dyDescent="0.2">
      <c r="A800" s="67">
        <v>44652</v>
      </c>
      <c r="B800" s="57">
        <v>0</v>
      </c>
      <c r="C800" s="57">
        <v>0</v>
      </c>
      <c r="D800" s="57">
        <v>87413.115966399986</v>
      </c>
      <c r="E800" s="57">
        <v>120646.06900709543</v>
      </c>
      <c r="F800" s="57">
        <v>86783.509061199991</v>
      </c>
      <c r="G800" s="57">
        <v>88441.981997325391</v>
      </c>
      <c r="H800" s="58">
        <v>0.380182683951795</v>
      </c>
      <c r="I800" s="58">
        <v>1.9110461815456725E-2</v>
      </c>
      <c r="J800" s="58">
        <v>0.20029909288594183</v>
      </c>
    </row>
    <row r="801" spans="1:10" ht="11.25" customHeight="1" x14ac:dyDescent="0.2">
      <c r="A801" s="67">
        <v>44682</v>
      </c>
      <c r="B801" s="57">
        <v>0</v>
      </c>
      <c r="C801" s="57">
        <v>0</v>
      </c>
      <c r="D801" s="57">
        <v>84926.958771199992</v>
      </c>
      <c r="E801" s="57">
        <v>117214.71789669823</v>
      </c>
      <c r="F801" s="57">
        <v>84315.258809599996</v>
      </c>
      <c r="G801" s="57">
        <v>85926.562343541198</v>
      </c>
      <c r="H801" s="58">
        <v>0.38018268395179478</v>
      </c>
      <c r="I801" s="58">
        <v>1.9110461815456503E-2</v>
      </c>
      <c r="J801" s="58">
        <v>0.20029909288594183</v>
      </c>
    </row>
    <row r="802" spans="1:10" ht="11.25" customHeight="1" x14ac:dyDescent="0.2">
      <c r="A802" s="67">
        <v>44713</v>
      </c>
      <c r="B802" s="57">
        <v>0</v>
      </c>
      <c r="C802" s="57">
        <v>0</v>
      </c>
      <c r="D802" s="57">
        <v>87116.279607999997</v>
      </c>
      <c r="E802" s="57">
        <v>120236.38060526444</v>
      </c>
      <c r="F802" s="57">
        <v>86488.810713999992</v>
      </c>
      <c r="G802" s="57">
        <v>88141.651828614151</v>
      </c>
      <c r="H802" s="58">
        <v>0.38018268395179478</v>
      </c>
      <c r="I802" s="58">
        <v>1.9110461815456725E-2</v>
      </c>
      <c r="J802" s="58">
        <v>0.20029909288594183</v>
      </c>
    </row>
    <row r="803" spans="1:10" ht="11.25" customHeight="1" x14ac:dyDescent="0.2">
      <c r="A803" s="67">
        <v>44743</v>
      </c>
      <c r="B803" s="57">
        <v>0</v>
      </c>
      <c r="C803" s="57">
        <v>0</v>
      </c>
      <c r="D803" s="57">
        <v>84563.242616000003</v>
      </c>
      <c r="E803" s="57">
        <v>116712.72315741768</v>
      </c>
      <c r="F803" s="57">
        <v>83954.162378000008</v>
      </c>
      <c r="G803" s="57">
        <v>85558.565192373426</v>
      </c>
      <c r="H803" s="58">
        <v>0.38018268395179478</v>
      </c>
      <c r="I803" s="58">
        <v>1.9110461815456725E-2</v>
      </c>
      <c r="J803" s="58">
        <v>0.20029909288594183</v>
      </c>
    </row>
    <row r="804" spans="1:10" ht="11.25" customHeight="1" x14ac:dyDescent="0.2">
      <c r="A804" s="67">
        <v>44774</v>
      </c>
      <c r="B804" s="57">
        <v>0</v>
      </c>
      <c r="C804" s="57">
        <v>0</v>
      </c>
      <c r="D804" s="57">
        <v>84563.242616000003</v>
      </c>
      <c r="E804" s="57">
        <v>116712.72315741768</v>
      </c>
      <c r="F804" s="57">
        <v>83954.162378000008</v>
      </c>
      <c r="G804" s="57">
        <v>85558.565192373426</v>
      </c>
      <c r="H804" s="58">
        <v>0.38018268395179478</v>
      </c>
      <c r="I804" s="58">
        <v>1.9110461815456725E-2</v>
      </c>
      <c r="J804" s="58">
        <v>0.20029909288594183</v>
      </c>
    </row>
    <row r="805" spans="1:10" ht="11.25" customHeight="1" x14ac:dyDescent="0.2">
      <c r="A805" s="60" t="s">
        <v>46</v>
      </c>
      <c r="B805" s="57">
        <v>0</v>
      </c>
      <c r="C805" s="57">
        <v>0</v>
      </c>
      <c r="D805" s="57">
        <v>3390691.5378000005</v>
      </c>
      <c r="E805" s="57">
        <v>4679878.5103293303</v>
      </c>
      <c r="F805" s="57">
        <v>3366401.8289999999</v>
      </c>
      <c r="G805" s="57">
        <v>3430677.3056640122</v>
      </c>
      <c r="H805" s="58">
        <v>0.38021358125835314</v>
      </c>
      <c r="I805" s="58">
        <v>1.909322770392663E-2</v>
      </c>
      <c r="J805" s="58">
        <v>0.20030246375510874</v>
      </c>
    </row>
    <row r="806" spans="1:10" ht="11.25" customHeight="1" x14ac:dyDescent="0.2">
      <c r="A806" s="61" t="s">
        <v>23</v>
      </c>
      <c r="B806" s="57">
        <v>0</v>
      </c>
      <c r="C806" s="57">
        <v>0</v>
      </c>
      <c r="D806" s="57">
        <v>3390691.5378000005</v>
      </c>
      <c r="E806" s="57">
        <v>4679878.5103293303</v>
      </c>
      <c r="F806" s="57">
        <v>3366401.8289999999</v>
      </c>
      <c r="G806" s="57">
        <v>3430677.3056640122</v>
      </c>
      <c r="H806" s="58">
        <v>0.38021358125835314</v>
      </c>
      <c r="I806" s="58">
        <v>1.909322770392663E-2</v>
      </c>
      <c r="J806" s="58">
        <v>0.20030246375510874</v>
      </c>
    </row>
    <row r="807" spans="1:10" ht="11.25" customHeight="1" x14ac:dyDescent="0.2">
      <c r="A807" s="62" t="s">
        <v>47</v>
      </c>
      <c r="B807" s="57">
        <v>0</v>
      </c>
      <c r="C807" s="57">
        <v>0</v>
      </c>
      <c r="D807" s="57">
        <v>3390691.5378000005</v>
      </c>
      <c r="E807" s="57">
        <v>4679878.5103293303</v>
      </c>
      <c r="F807" s="57">
        <v>3366401.8289999999</v>
      </c>
      <c r="G807" s="57">
        <v>3430677.3056640122</v>
      </c>
      <c r="H807" s="58">
        <v>0.38021358125835314</v>
      </c>
      <c r="I807" s="58">
        <v>1.909322770392663E-2</v>
      </c>
      <c r="J807" s="58">
        <v>0.20030246375510874</v>
      </c>
    </row>
    <row r="808" spans="1:10" ht="11.25" customHeight="1" x14ac:dyDescent="0.2">
      <c r="A808" s="63" t="s">
        <v>48</v>
      </c>
      <c r="B808" s="57">
        <v>0</v>
      </c>
      <c r="C808" s="57">
        <v>0</v>
      </c>
      <c r="D808" s="57">
        <v>3390691.5378000005</v>
      </c>
      <c r="E808" s="57">
        <v>4679878.5103293303</v>
      </c>
      <c r="F808" s="57">
        <v>3366401.8289999999</v>
      </c>
      <c r="G808" s="57">
        <v>3430677.3056640122</v>
      </c>
      <c r="H808" s="58">
        <v>0.38021358125835314</v>
      </c>
      <c r="I808" s="58">
        <v>1.909322770392663E-2</v>
      </c>
      <c r="J808" s="58">
        <v>0.20030246375510874</v>
      </c>
    </row>
    <row r="809" spans="1:10" ht="11.25" customHeight="1" x14ac:dyDescent="0.2">
      <c r="A809" s="64" t="s">
        <v>25</v>
      </c>
      <c r="B809" s="57">
        <v>0</v>
      </c>
      <c r="C809" s="57">
        <v>0</v>
      </c>
      <c r="D809" s="57">
        <v>3390691.5378000005</v>
      </c>
      <c r="E809" s="57">
        <v>4679878.5103293303</v>
      </c>
      <c r="F809" s="57">
        <v>3366401.8289999999</v>
      </c>
      <c r="G809" s="57">
        <v>3430677.3056640122</v>
      </c>
      <c r="H809" s="58">
        <v>0.38021358125835314</v>
      </c>
      <c r="I809" s="58">
        <v>1.909322770392663E-2</v>
      </c>
      <c r="J809" s="58">
        <v>0.20030246375510874</v>
      </c>
    </row>
    <row r="810" spans="1:10" ht="11.25" customHeight="1" x14ac:dyDescent="0.2">
      <c r="A810" s="65" t="s">
        <v>25</v>
      </c>
      <c r="B810" s="57">
        <v>0</v>
      </c>
      <c r="C810" s="57">
        <v>0</v>
      </c>
      <c r="D810" s="57">
        <v>3390691.5378000005</v>
      </c>
      <c r="E810" s="57">
        <v>4679878.5103293303</v>
      </c>
      <c r="F810" s="57">
        <v>3366401.8289999999</v>
      </c>
      <c r="G810" s="57">
        <v>3430677.3056640122</v>
      </c>
      <c r="H810" s="58">
        <v>0.38021358125835314</v>
      </c>
      <c r="I810" s="58">
        <v>1.909322770392663E-2</v>
      </c>
      <c r="J810" s="58">
        <v>0.20030246375510874</v>
      </c>
    </row>
    <row r="811" spans="1:10" ht="11.25" customHeight="1" x14ac:dyDescent="0.2">
      <c r="A811" s="66" t="s">
        <v>25</v>
      </c>
      <c r="B811" s="57">
        <v>0</v>
      </c>
      <c r="C811" s="57">
        <v>0</v>
      </c>
      <c r="D811" s="57">
        <v>3390691.5378000005</v>
      </c>
      <c r="E811" s="57">
        <v>4679878.5103293303</v>
      </c>
      <c r="F811" s="57">
        <v>3366401.8289999999</v>
      </c>
      <c r="G811" s="57">
        <v>3430677.3056640122</v>
      </c>
      <c r="H811" s="58">
        <v>0.38021358125835314</v>
      </c>
      <c r="I811" s="58">
        <v>1.909322770392663E-2</v>
      </c>
      <c r="J811" s="58">
        <v>0.20030246375510874</v>
      </c>
    </row>
    <row r="812" spans="1:10" ht="11.25" customHeight="1" x14ac:dyDescent="0.2">
      <c r="A812" s="67">
        <v>44440</v>
      </c>
      <c r="B812" s="57">
        <v>0</v>
      </c>
      <c r="C812" s="57">
        <v>0</v>
      </c>
      <c r="D812" s="57">
        <v>274632.23207999999</v>
      </c>
      <c r="E812" s="57">
        <v>379051.13656811201</v>
      </c>
      <c r="F812" s="57">
        <v>272664.86440000002</v>
      </c>
      <c r="G812" s="57">
        <v>277870.91674284951</v>
      </c>
      <c r="H812" s="58">
        <v>0.38021358125835336</v>
      </c>
      <c r="I812" s="58">
        <v>1.909322770392663E-2</v>
      </c>
      <c r="J812" s="58">
        <v>0.20030246375510852</v>
      </c>
    </row>
    <row r="813" spans="1:10" ht="11.25" customHeight="1" x14ac:dyDescent="0.2">
      <c r="A813" s="67">
        <v>44470</v>
      </c>
      <c r="B813" s="57">
        <v>0</v>
      </c>
      <c r="C813" s="57">
        <v>0</v>
      </c>
      <c r="D813" s="57">
        <v>288396.48852000001</v>
      </c>
      <c r="E813" s="57">
        <v>398048.75024252268</v>
      </c>
      <c r="F813" s="57">
        <v>286330.51860000001</v>
      </c>
      <c r="G813" s="57">
        <v>291797.49239021318</v>
      </c>
      <c r="H813" s="58">
        <v>0.38021358125835292</v>
      </c>
      <c r="I813" s="58">
        <v>1.909322770392663E-2</v>
      </c>
      <c r="J813" s="58">
        <v>0.20030246375510874</v>
      </c>
    </row>
    <row r="814" spans="1:10" ht="11.25" customHeight="1" x14ac:dyDescent="0.2">
      <c r="A814" s="67">
        <v>44501</v>
      </c>
      <c r="B814" s="57">
        <v>0</v>
      </c>
      <c r="C814" s="57">
        <v>0</v>
      </c>
      <c r="D814" s="57">
        <v>292029.94631999999</v>
      </c>
      <c r="E814" s="57">
        <v>403063.69804501178</v>
      </c>
      <c r="F814" s="57">
        <v>289937.94760000001</v>
      </c>
      <c r="G814" s="57">
        <v>295473.79885353596</v>
      </c>
      <c r="H814" s="58">
        <v>0.38021358125835314</v>
      </c>
      <c r="I814" s="58">
        <v>1.909322770392663E-2</v>
      </c>
      <c r="J814" s="58">
        <v>0.20030246375510874</v>
      </c>
    </row>
    <row r="815" spans="1:10" ht="11.25" customHeight="1" x14ac:dyDescent="0.2">
      <c r="A815" s="67">
        <v>44531</v>
      </c>
      <c r="B815" s="57">
        <v>0</v>
      </c>
      <c r="C815" s="57">
        <v>0</v>
      </c>
      <c r="D815" s="57">
        <v>287678.55228</v>
      </c>
      <c r="E815" s="57">
        <v>397057.84489359712</v>
      </c>
      <c r="F815" s="57">
        <v>285617.7254</v>
      </c>
      <c r="G815" s="57">
        <v>291071.08966733975</v>
      </c>
      <c r="H815" s="58">
        <v>0.38021358125835292</v>
      </c>
      <c r="I815" s="58">
        <v>1.9093227703926408E-2</v>
      </c>
      <c r="J815" s="58">
        <v>0.20030246375510852</v>
      </c>
    </row>
    <row r="816" spans="1:10" ht="11.25" customHeight="1" x14ac:dyDescent="0.2">
      <c r="A816" s="67">
        <v>44562</v>
      </c>
      <c r="B816" s="57">
        <v>0</v>
      </c>
      <c r="C816" s="57">
        <v>0</v>
      </c>
      <c r="D816" s="57">
        <v>283998.28032000002</v>
      </c>
      <c r="E816" s="57">
        <v>391978.2835516808</v>
      </c>
      <c r="F816" s="57">
        <v>281963.81760000001</v>
      </c>
      <c r="G816" s="57">
        <v>287347.41697370523</v>
      </c>
      <c r="H816" s="58">
        <v>0.3802135812583527</v>
      </c>
      <c r="I816" s="58">
        <v>1.909322770392663E-2</v>
      </c>
      <c r="J816" s="58">
        <v>0.20030246375510852</v>
      </c>
    </row>
    <row r="817" spans="1:10" ht="11.25" customHeight="1" x14ac:dyDescent="0.2">
      <c r="A817" s="67">
        <v>44593</v>
      </c>
      <c r="B817" s="57">
        <v>0</v>
      </c>
      <c r="C817" s="57">
        <v>0</v>
      </c>
      <c r="D817" s="57">
        <v>261019.85364000002</v>
      </c>
      <c r="E817" s="57">
        <v>360263.14697199553</v>
      </c>
      <c r="F817" s="57">
        <v>259150.00020000004</v>
      </c>
      <c r="G817" s="57">
        <v>264098.01016329124</v>
      </c>
      <c r="H817" s="58">
        <v>0.38021358125835292</v>
      </c>
      <c r="I817" s="58">
        <v>1.9093227703926408E-2</v>
      </c>
      <c r="J817" s="58">
        <v>0.20030246375510874</v>
      </c>
    </row>
    <row r="818" spans="1:10" ht="11.25" customHeight="1" x14ac:dyDescent="0.2">
      <c r="A818" s="67">
        <v>44621</v>
      </c>
      <c r="B818" s="57">
        <v>0</v>
      </c>
      <c r="C818" s="57">
        <v>0</v>
      </c>
      <c r="D818" s="57">
        <v>284933.31276</v>
      </c>
      <c r="E818" s="57">
        <v>393268.82802428596</v>
      </c>
      <c r="F818" s="57">
        <v>282892.15179999999</v>
      </c>
      <c r="G818" s="57">
        <v>288293.47606997116</v>
      </c>
      <c r="H818" s="58">
        <v>0.38021358125835292</v>
      </c>
      <c r="I818" s="58">
        <v>1.909322770392663E-2</v>
      </c>
      <c r="J818" s="58">
        <v>0.20030246375510852</v>
      </c>
    </row>
    <row r="819" spans="1:10" ht="11.25" customHeight="1" x14ac:dyDescent="0.2">
      <c r="A819" s="67">
        <v>44652</v>
      </c>
      <c r="B819" s="57">
        <v>0</v>
      </c>
      <c r="C819" s="57">
        <v>0</v>
      </c>
      <c r="D819" s="57">
        <v>277487.35979999998</v>
      </c>
      <c r="E819" s="57">
        <v>382991.82262348308</v>
      </c>
      <c r="F819" s="57">
        <v>275499.53899999999</v>
      </c>
      <c r="G819" s="57">
        <v>280759.71443045378</v>
      </c>
      <c r="H819" s="58">
        <v>0.38021358125835292</v>
      </c>
      <c r="I819" s="58">
        <v>1.909322770392663E-2</v>
      </c>
      <c r="J819" s="58">
        <v>0.20030246375510852</v>
      </c>
    </row>
    <row r="820" spans="1:10" ht="11.25" customHeight="1" x14ac:dyDescent="0.2">
      <c r="A820" s="67">
        <v>44682</v>
      </c>
      <c r="B820" s="57">
        <v>0</v>
      </c>
      <c r="C820" s="57">
        <v>0</v>
      </c>
      <c r="D820" s="57">
        <v>286852.87200000003</v>
      </c>
      <c r="E820" s="57">
        <v>395918.22975736391</v>
      </c>
      <c r="F820" s="57">
        <v>284797.95999999996</v>
      </c>
      <c r="G820" s="57">
        <v>290235.67229989375</v>
      </c>
      <c r="H820" s="58">
        <v>0.3802135812583527</v>
      </c>
      <c r="I820" s="58">
        <v>1.909322770392663E-2</v>
      </c>
      <c r="J820" s="58">
        <v>0.20030246375510874</v>
      </c>
    </row>
    <row r="821" spans="1:10" ht="11.25" customHeight="1" x14ac:dyDescent="0.2">
      <c r="A821" s="67">
        <v>44713</v>
      </c>
      <c r="B821" s="57">
        <v>0</v>
      </c>
      <c r="C821" s="57">
        <v>0</v>
      </c>
      <c r="D821" s="57">
        <v>279534.13920000003</v>
      </c>
      <c r="E821" s="57">
        <v>385816.81534920295</v>
      </c>
      <c r="F821" s="57">
        <v>277531.65600000002</v>
      </c>
      <c r="G821" s="57">
        <v>282830.63110305584</v>
      </c>
      <c r="H821" s="58">
        <v>0.38021358125835292</v>
      </c>
      <c r="I821" s="58">
        <v>1.909322770392663E-2</v>
      </c>
      <c r="J821" s="58">
        <v>0.20030246375510874</v>
      </c>
    </row>
    <row r="822" spans="1:10" ht="11.25" customHeight="1" x14ac:dyDescent="0.2">
      <c r="A822" s="67">
        <v>44743</v>
      </c>
      <c r="B822" s="57">
        <v>0</v>
      </c>
      <c r="C822" s="57">
        <v>0</v>
      </c>
      <c r="D822" s="57">
        <v>287064.25044000003</v>
      </c>
      <c r="E822" s="57">
        <v>396209.97715103714</v>
      </c>
      <c r="F822" s="57">
        <v>285007.82420000003</v>
      </c>
      <c r="G822" s="57">
        <v>290449.54348485131</v>
      </c>
      <c r="H822" s="58">
        <v>0.38021358125835292</v>
      </c>
      <c r="I822" s="58">
        <v>1.909322770392663E-2</v>
      </c>
      <c r="J822" s="58">
        <v>0.20030246375510874</v>
      </c>
    </row>
    <row r="823" spans="1:10" ht="11.25" customHeight="1" x14ac:dyDescent="0.2">
      <c r="A823" s="67">
        <v>44774</v>
      </c>
      <c r="B823" s="57">
        <v>0</v>
      </c>
      <c r="C823" s="57">
        <v>0</v>
      </c>
      <c r="D823" s="57">
        <v>287064.25044000003</v>
      </c>
      <c r="E823" s="57">
        <v>396209.97715103714</v>
      </c>
      <c r="F823" s="57">
        <v>285007.82420000003</v>
      </c>
      <c r="G823" s="57">
        <v>290449.54348485131</v>
      </c>
      <c r="H823" s="58">
        <v>0.38021358125835292</v>
      </c>
      <c r="I823" s="58">
        <v>1.909322770392663E-2</v>
      </c>
      <c r="J823" s="58">
        <v>0.20030246375510874</v>
      </c>
    </row>
    <row r="824" spans="1:10" ht="11.25" customHeight="1" x14ac:dyDescent="0.2">
      <c r="A824" s="59" t="s">
        <v>61</v>
      </c>
      <c r="B824" s="57">
        <v>89885.880000000063</v>
      </c>
      <c r="C824" s="57">
        <v>98268.508814913817</v>
      </c>
      <c r="D824" s="57">
        <v>0</v>
      </c>
      <c r="E824" s="57">
        <v>0</v>
      </c>
      <c r="F824" s="57">
        <v>0</v>
      </c>
      <c r="G824" s="57">
        <v>0</v>
      </c>
      <c r="H824" s="58">
        <v>9.3258572035048726E-2</v>
      </c>
      <c r="I824" s="58">
        <v>0</v>
      </c>
      <c r="J824" s="58">
        <v>9.3258572035048726E-2</v>
      </c>
    </row>
    <row r="825" spans="1:10" ht="11.25" customHeight="1" x14ac:dyDescent="0.2">
      <c r="A825" s="60" t="s">
        <v>39</v>
      </c>
      <c r="B825" s="57">
        <v>89885.880000000063</v>
      </c>
      <c r="C825" s="57">
        <v>98268.508814913817</v>
      </c>
      <c r="D825" s="57">
        <v>0</v>
      </c>
      <c r="E825" s="57">
        <v>0</v>
      </c>
      <c r="F825" s="57">
        <v>0</v>
      </c>
      <c r="G825" s="57">
        <v>0</v>
      </c>
      <c r="H825" s="58">
        <v>9.3258572035048726E-2</v>
      </c>
      <c r="I825" s="58">
        <v>0</v>
      </c>
      <c r="J825" s="58">
        <v>9.3258572035048726E-2</v>
      </c>
    </row>
    <row r="826" spans="1:10" ht="11.25" customHeight="1" x14ac:dyDescent="0.2">
      <c r="A826" s="61" t="s">
        <v>59</v>
      </c>
      <c r="B826" s="57">
        <v>89885.880000000063</v>
      </c>
      <c r="C826" s="57">
        <v>98268.508814913817</v>
      </c>
      <c r="D826" s="57">
        <v>0</v>
      </c>
      <c r="E826" s="57">
        <v>0</v>
      </c>
      <c r="F826" s="57">
        <v>0</v>
      </c>
      <c r="G826" s="57">
        <v>0</v>
      </c>
      <c r="H826" s="58">
        <v>9.3258572035048726E-2</v>
      </c>
      <c r="I826" s="58">
        <v>0</v>
      </c>
      <c r="J826" s="58">
        <v>9.3258572035048726E-2</v>
      </c>
    </row>
    <row r="827" spans="1:10" ht="11.25" customHeight="1" x14ac:dyDescent="0.2">
      <c r="A827" s="62" t="s">
        <v>25</v>
      </c>
      <c r="B827" s="57">
        <v>89885.880000000063</v>
      </c>
      <c r="C827" s="57">
        <v>98268.508814913817</v>
      </c>
      <c r="D827" s="57">
        <v>0</v>
      </c>
      <c r="E827" s="57">
        <v>0</v>
      </c>
      <c r="F827" s="57">
        <v>0</v>
      </c>
      <c r="G827" s="57">
        <v>0</v>
      </c>
      <c r="H827" s="58">
        <v>9.3258572035048726E-2</v>
      </c>
      <c r="I827" s="58">
        <v>0</v>
      </c>
      <c r="J827" s="58">
        <v>9.3258572035048726E-2</v>
      </c>
    </row>
    <row r="828" spans="1:10" ht="11.25" customHeight="1" x14ac:dyDescent="0.2">
      <c r="A828" s="63" t="s">
        <v>25</v>
      </c>
      <c r="B828" s="57">
        <v>89885.880000000063</v>
      </c>
      <c r="C828" s="57">
        <v>98268.508814913817</v>
      </c>
      <c r="D828" s="57">
        <v>0</v>
      </c>
      <c r="E828" s="57">
        <v>0</v>
      </c>
      <c r="F828" s="57">
        <v>0</v>
      </c>
      <c r="G828" s="57">
        <v>0</v>
      </c>
      <c r="H828" s="58">
        <v>9.3258572035048726E-2</v>
      </c>
      <c r="I828" s="58">
        <v>0</v>
      </c>
      <c r="J828" s="58">
        <v>9.3258572035048726E-2</v>
      </c>
    </row>
    <row r="829" spans="1:10" ht="11.25" customHeight="1" x14ac:dyDescent="0.2">
      <c r="A829" s="64" t="s">
        <v>25</v>
      </c>
      <c r="B829" s="57">
        <v>89885.880000000063</v>
      </c>
      <c r="C829" s="57">
        <v>98268.508814913817</v>
      </c>
      <c r="D829" s="57">
        <v>0</v>
      </c>
      <c r="E829" s="57">
        <v>0</v>
      </c>
      <c r="F829" s="57">
        <v>0</v>
      </c>
      <c r="G829" s="57">
        <v>0</v>
      </c>
      <c r="H829" s="58">
        <v>9.3258572035048726E-2</v>
      </c>
      <c r="I829" s="58">
        <v>0</v>
      </c>
      <c r="J829" s="58">
        <v>9.3258572035048726E-2</v>
      </c>
    </row>
    <row r="830" spans="1:10" ht="11.25" customHeight="1" x14ac:dyDescent="0.2">
      <c r="A830" s="65" t="s">
        <v>60</v>
      </c>
      <c r="B830" s="57">
        <v>60102</v>
      </c>
      <c r="C830" s="57">
        <v>65707.026696450499</v>
      </c>
      <c r="D830" s="57">
        <v>0</v>
      </c>
      <c r="E830" s="57">
        <v>0</v>
      </c>
      <c r="F830" s="57">
        <v>0</v>
      </c>
      <c r="G830" s="57">
        <v>0</v>
      </c>
      <c r="H830" s="58">
        <v>9.3258572035048726E-2</v>
      </c>
      <c r="I830" s="58">
        <v>0</v>
      </c>
      <c r="J830" s="58">
        <v>9.3258572035048726E-2</v>
      </c>
    </row>
    <row r="831" spans="1:10" ht="11.25" customHeight="1" x14ac:dyDescent="0.2">
      <c r="A831" s="66" t="s">
        <v>25</v>
      </c>
      <c r="B831" s="57">
        <v>60102</v>
      </c>
      <c r="C831" s="57">
        <v>65707.026696450499</v>
      </c>
      <c r="D831" s="57">
        <v>0</v>
      </c>
      <c r="E831" s="57">
        <v>0</v>
      </c>
      <c r="F831" s="57">
        <v>0</v>
      </c>
      <c r="G831" s="57">
        <v>0</v>
      </c>
      <c r="H831" s="58">
        <v>9.3258572035048726E-2</v>
      </c>
      <c r="I831" s="58">
        <v>0</v>
      </c>
      <c r="J831" s="58">
        <v>9.3258572035048726E-2</v>
      </c>
    </row>
    <row r="832" spans="1:10" ht="11.25" customHeight="1" x14ac:dyDescent="0.2">
      <c r="A832" s="67">
        <v>44440</v>
      </c>
      <c r="B832" s="57">
        <v>5008.5</v>
      </c>
      <c r="C832" s="57">
        <v>5475.585558037541</v>
      </c>
      <c r="D832" s="57">
        <v>0</v>
      </c>
      <c r="E832" s="57">
        <v>0</v>
      </c>
      <c r="F832" s="57">
        <v>0</v>
      </c>
      <c r="G832" s="57">
        <v>0</v>
      </c>
      <c r="H832" s="58">
        <v>9.3258572035048504E-2</v>
      </c>
      <c r="I832" s="58">
        <v>0</v>
      </c>
      <c r="J832" s="58">
        <v>9.3258572035048504E-2</v>
      </c>
    </row>
    <row r="833" spans="1:10" ht="11.25" customHeight="1" x14ac:dyDescent="0.2">
      <c r="A833" s="67">
        <v>44470</v>
      </c>
      <c r="B833" s="57">
        <v>5008.5</v>
      </c>
      <c r="C833" s="57">
        <v>5475.585558037541</v>
      </c>
      <c r="D833" s="57">
        <v>0</v>
      </c>
      <c r="E833" s="57">
        <v>0</v>
      </c>
      <c r="F833" s="57">
        <v>0</v>
      </c>
      <c r="G833" s="57">
        <v>0</v>
      </c>
      <c r="H833" s="58">
        <v>9.3258572035048504E-2</v>
      </c>
      <c r="I833" s="58">
        <v>0</v>
      </c>
      <c r="J833" s="58">
        <v>9.3258572035048504E-2</v>
      </c>
    </row>
    <row r="834" spans="1:10" ht="11.25" customHeight="1" x14ac:dyDescent="0.2">
      <c r="A834" s="67">
        <v>44501</v>
      </c>
      <c r="B834" s="57">
        <v>5008.5</v>
      </c>
      <c r="C834" s="57">
        <v>5475.585558037541</v>
      </c>
      <c r="D834" s="57">
        <v>0</v>
      </c>
      <c r="E834" s="57">
        <v>0</v>
      </c>
      <c r="F834" s="57">
        <v>0</v>
      </c>
      <c r="G834" s="57">
        <v>0</v>
      </c>
      <c r="H834" s="58">
        <v>9.3258572035048504E-2</v>
      </c>
      <c r="I834" s="58">
        <v>0</v>
      </c>
      <c r="J834" s="58">
        <v>9.3258572035048504E-2</v>
      </c>
    </row>
    <row r="835" spans="1:10" ht="11.25" customHeight="1" x14ac:dyDescent="0.2">
      <c r="A835" s="67">
        <v>44531</v>
      </c>
      <c r="B835" s="57">
        <v>5008.5</v>
      </c>
      <c r="C835" s="57">
        <v>5475.585558037541</v>
      </c>
      <c r="D835" s="57">
        <v>0</v>
      </c>
      <c r="E835" s="57">
        <v>0</v>
      </c>
      <c r="F835" s="57">
        <v>0</v>
      </c>
      <c r="G835" s="57">
        <v>0</v>
      </c>
      <c r="H835" s="58">
        <v>9.3258572035048504E-2</v>
      </c>
      <c r="I835" s="58">
        <v>0</v>
      </c>
      <c r="J835" s="58">
        <v>9.3258572035048504E-2</v>
      </c>
    </row>
    <row r="836" spans="1:10" ht="11.25" customHeight="1" x14ac:dyDescent="0.2">
      <c r="A836" s="67">
        <v>44562</v>
      </c>
      <c r="B836" s="57">
        <v>5008.5</v>
      </c>
      <c r="C836" s="57">
        <v>5475.585558037541</v>
      </c>
      <c r="D836" s="57">
        <v>0</v>
      </c>
      <c r="E836" s="57">
        <v>0</v>
      </c>
      <c r="F836" s="57">
        <v>0</v>
      </c>
      <c r="G836" s="57">
        <v>0</v>
      </c>
      <c r="H836" s="58">
        <v>9.3258572035048504E-2</v>
      </c>
      <c r="I836" s="58">
        <v>0</v>
      </c>
      <c r="J836" s="58">
        <v>9.3258572035048504E-2</v>
      </c>
    </row>
    <row r="837" spans="1:10" ht="11.25" customHeight="1" x14ac:dyDescent="0.2">
      <c r="A837" s="67">
        <v>44593</v>
      </c>
      <c r="B837" s="57">
        <v>5008.5</v>
      </c>
      <c r="C837" s="57">
        <v>5475.585558037541</v>
      </c>
      <c r="D837" s="57">
        <v>0</v>
      </c>
      <c r="E837" s="57">
        <v>0</v>
      </c>
      <c r="F837" s="57">
        <v>0</v>
      </c>
      <c r="G837" s="57">
        <v>0</v>
      </c>
      <c r="H837" s="58">
        <v>9.3258572035048504E-2</v>
      </c>
      <c r="I837" s="58">
        <v>0</v>
      </c>
      <c r="J837" s="58">
        <v>9.3258572035048504E-2</v>
      </c>
    </row>
    <row r="838" spans="1:10" ht="11.25" customHeight="1" x14ac:dyDescent="0.2">
      <c r="A838" s="67">
        <v>44621</v>
      </c>
      <c r="B838" s="57">
        <v>5008.5</v>
      </c>
      <c r="C838" s="57">
        <v>5475.585558037541</v>
      </c>
      <c r="D838" s="57">
        <v>0</v>
      </c>
      <c r="E838" s="57">
        <v>0</v>
      </c>
      <c r="F838" s="57">
        <v>0</v>
      </c>
      <c r="G838" s="57">
        <v>0</v>
      </c>
      <c r="H838" s="58">
        <v>9.3258572035048504E-2</v>
      </c>
      <c r="I838" s="58">
        <v>0</v>
      </c>
      <c r="J838" s="58">
        <v>9.3258572035048504E-2</v>
      </c>
    </row>
    <row r="839" spans="1:10" ht="11.25" customHeight="1" x14ac:dyDescent="0.2">
      <c r="A839" s="67">
        <v>44652</v>
      </c>
      <c r="B839" s="57">
        <v>5008.5</v>
      </c>
      <c r="C839" s="57">
        <v>5475.585558037541</v>
      </c>
      <c r="D839" s="57">
        <v>0</v>
      </c>
      <c r="E839" s="57">
        <v>0</v>
      </c>
      <c r="F839" s="57">
        <v>0</v>
      </c>
      <c r="G839" s="57">
        <v>0</v>
      </c>
      <c r="H839" s="58">
        <v>9.3258572035048504E-2</v>
      </c>
      <c r="I839" s="58">
        <v>0</v>
      </c>
      <c r="J839" s="58">
        <v>9.3258572035048504E-2</v>
      </c>
    </row>
    <row r="840" spans="1:10" ht="11.25" customHeight="1" x14ac:dyDescent="0.2">
      <c r="A840" s="67">
        <v>44682</v>
      </c>
      <c r="B840" s="57">
        <v>5008.5</v>
      </c>
      <c r="C840" s="57">
        <v>5475.585558037541</v>
      </c>
      <c r="D840" s="57">
        <v>0</v>
      </c>
      <c r="E840" s="57">
        <v>0</v>
      </c>
      <c r="F840" s="57">
        <v>0</v>
      </c>
      <c r="G840" s="57">
        <v>0</v>
      </c>
      <c r="H840" s="58">
        <v>9.3258572035048504E-2</v>
      </c>
      <c r="I840" s="58">
        <v>0</v>
      </c>
      <c r="J840" s="58">
        <v>9.3258572035048504E-2</v>
      </c>
    </row>
    <row r="841" spans="1:10" ht="11.25" customHeight="1" x14ac:dyDescent="0.2">
      <c r="A841" s="67">
        <v>44713</v>
      </c>
      <c r="B841" s="57">
        <v>5008.5</v>
      </c>
      <c r="C841" s="57">
        <v>5475.585558037541</v>
      </c>
      <c r="D841" s="57">
        <v>0</v>
      </c>
      <c r="E841" s="57">
        <v>0</v>
      </c>
      <c r="F841" s="57">
        <v>0</v>
      </c>
      <c r="G841" s="57">
        <v>0</v>
      </c>
      <c r="H841" s="58">
        <v>9.3258572035048504E-2</v>
      </c>
      <c r="I841" s="58">
        <v>0</v>
      </c>
      <c r="J841" s="58">
        <v>9.3258572035048504E-2</v>
      </c>
    </row>
    <row r="842" spans="1:10" ht="11.25" customHeight="1" x14ac:dyDescent="0.2">
      <c r="A842" s="67">
        <v>44743</v>
      </c>
      <c r="B842" s="57">
        <v>5008.5</v>
      </c>
      <c r="C842" s="57">
        <v>5475.585558037541</v>
      </c>
      <c r="D842" s="57">
        <v>0</v>
      </c>
      <c r="E842" s="57">
        <v>0</v>
      </c>
      <c r="F842" s="57">
        <v>0</v>
      </c>
      <c r="G842" s="57">
        <v>0</v>
      </c>
      <c r="H842" s="58">
        <v>9.3258572035048504E-2</v>
      </c>
      <c r="I842" s="58">
        <v>0</v>
      </c>
      <c r="J842" s="58">
        <v>9.3258572035048504E-2</v>
      </c>
    </row>
    <row r="843" spans="1:10" ht="11.25" customHeight="1" x14ac:dyDescent="0.2">
      <c r="A843" s="67">
        <v>44774</v>
      </c>
      <c r="B843" s="57">
        <v>5008.5</v>
      </c>
      <c r="C843" s="57">
        <v>5475.585558037541</v>
      </c>
      <c r="D843" s="57">
        <v>0</v>
      </c>
      <c r="E843" s="57">
        <v>0</v>
      </c>
      <c r="F843" s="57">
        <v>0</v>
      </c>
      <c r="G843" s="57">
        <v>0</v>
      </c>
      <c r="H843" s="58">
        <v>9.3258572035048504E-2</v>
      </c>
      <c r="I843" s="58">
        <v>0</v>
      </c>
      <c r="J843" s="58">
        <v>9.3258572035048504E-2</v>
      </c>
    </row>
    <row r="844" spans="1:10" ht="11.25" customHeight="1" x14ac:dyDescent="0.2">
      <c r="A844" s="65" t="s">
        <v>62</v>
      </c>
      <c r="B844" s="57">
        <v>13756.679999999998</v>
      </c>
      <c r="C844" s="57">
        <v>15039.60833274311</v>
      </c>
      <c r="D844" s="57">
        <v>0</v>
      </c>
      <c r="E844" s="57">
        <v>0</v>
      </c>
      <c r="F844" s="57">
        <v>0</v>
      </c>
      <c r="G844" s="57">
        <v>0</v>
      </c>
      <c r="H844" s="58">
        <v>9.3258572035048504E-2</v>
      </c>
      <c r="I844" s="58">
        <v>0</v>
      </c>
      <c r="J844" s="58">
        <v>9.3258572035048504E-2</v>
      </c>
    </row>
    <row r="845" spans="1:10" ht="11.25" customHeight="1" x14ac:dyDescent="0.2">
      <c r="A845" s="66" t="s">
        <v>25</v>
      </c>
      <c r="B845" s="57">
        <v>13756.679999999998</v>
      </c>
      <c r="C845" s="57">
        <v>15039.60833274311</v>
      </c>
      <c r="D845" s="57">
        <v>0</v>
      </c>
      <c r="E845" s="57">
        <v>0</v>
      </c>
      <c r="F845" s="57">
        <v>0</v>
      </c>
      <c r="G845" s="57">
        <v>0</v>
      </c>
      <c r="H845" s="58">
        <v>9.3258572035048504E-2</v>
      </c>
      <c r="I845" s="58">
        <v>0</v>
      </c>
      <c r="J845" s="58">
        <v>9.3258572035048504E-2</v>
      </c>
    </row>
    <row r="846" spans="1:10" ht="11.25" customHeight="1" x14ac:dyDescent="0.2">
      <c r="A846" s="67">
        <v>44440</v>
      </c>
      <c r="B846" s="57">
        <v>1146.3900000000001</v>
      </c>
      <c r="C846" s="57">
        <v>1253.3006943952594</v>
      </c>
      <c r="D846" s="57">
        <v>0</v>
      </c>
      <c r="E846" s="57">
        <v>0</v>
      </c>
      <c r="F846" s="57">
        <v>0</v>
      </c>
      <c r="G846" s="57">
        <v>0</v>
      </c>
      <c r="H846" s="58">
        <v>9.3258572035048504E-2</v>
      </c>
      <c r="I846" s="58">
        <v>0</v>
      </c>
      <c r="J846" s="58">
        <v>9.3258572035048504E-2</v>
      </c>
    </row>
    <row r="847" spans="1:10" ht="11.25" customHeight="1" x14ac:dyDescent="0.2">
      <c r="A847" s="67">
        <v>44470</v>
      </c>
      <c r="B847" s="57">
        <v>1146.3900000000001</v>
      </c>
      <c r="C847" s="57">
        <v>1253.3006943952594</v>
      </c>
      <c r="D847" s="57">
        <v>0</v>
      </c>
      <c r="E847" s="57">
        <v>0</v>
      </c>
      <c r="F847" s="57">
        <v>0</v>
      </c>
      <c r="G847" s="57">
        <v>0</v>
      </c>
      <c r="H847" s="58">
        <v>9.3258572035048504E-2</v>
      </c>
      <c r="I847" s="58">
        <v>0</v>
      </c>
      <c r="J847" s="58">
        <v>9.3258572035048504E-2</v>
      </c>
    </row>
    <row r="848" spans="1:10" ht="11.25" customHeight="1" x14ac:dyDescent="0.2">
      <c r="A848" s="67">
        <v>44501</v>
      </c>
      <c r="B848" s="57">
        <v>1146.3900000000001</v>
      </c>
      <c r="C848" s="57">
        <v>1253.3006943952594</v>
      </c>
      <c r="D848" s="57">
        <v>0</v>
      </c>
      <c r="E848" s="57">
        <v>0</v>
      </c>
      <c r="F848" s="57">
        <v>0</v>
      </c>
      <c r="G848" s="57">
        <v>0</v>
      </c>
      <c r="H848" s="58">
        <v>9.3258572035048504E-2</v>
      </c>
      <c r="I848" s="58">
        <v>0</v>
      </c>
      <c r="J848" s="58">
        <v>9.3258572035048504E-2</v>
      </c>
    </row>
    <row r="849" spans="1:10" ht="11.25" customHeight="1" x14ac:dyDescent="0.2">
      <c r="A849" s="67">
        <v>44531</v>
      </c>
      <c r="B849" s="57">
        <v>1146.3900000000001</v>
      </c>
      <c r="C849" s="57">
        <v>1253.3006943952594</v>
      </c>
      <c r="D849" s="57">
        <v>0</v>
      </c>
      <c r="E849" s="57">
        <v>0</v>
      </c>
      <c r="F849" s="57">
        <v>0</v>
      </c>
      <c r="G849" s="57">
        <v>0</v>
      </c>
      <c r="H849" s="58">
        <v>9.3258572035048504E-2</v>
      </c>
      <c r="I849" s="58">
        <v>0</v>
      </c>
      <c r="J849" s="58">
        <v>9.3258572035048504E-2</v>
      </c>
    </row>
    <row r="850" spans="1:10" ht="11.25" customHeight="1" x14ac:dyDescent="0.2">
      <c r="A850" s="67">
        <v>44562</v>
      </c>
      <c r="B850" s="57">
        <v>1146.3900000000001</v>
      </c>
      <c r="C850" s="57">
        <v>1253.3006943952594</v>
      </c>
      <c r="D850" s="57">
        <v>0</v>
      </c>
      <c r="E850" s="57">
        <v>0</v>
      </c>
      <c r="F850" s="57">
        <v>0</v>
      </c>
      <c r="G850" s="57">
        <v>0</v>
      </c>
      <c r="H850" s="58">
        <v>9.3258572035048504E-2</v>
      </c>
      <c r="I850" s="58">
        <v>0</v>
      </c>
      <c r="J850" s="58">
        <v>9.3258572035048504E-2</v>
      </c>
    </row>
    <row r="851" spans="1:10" ht="11.25" customHeight="1" x14ac:dyDescent="0.2">
      <c r="A851" s="67">
        <v>44593</v>
      </c>
      <c r="B851" s="57">
        <v>1146.3900000000001</v>
      </c>
      <c r="C851" s="57">
        <v>1253.3006943952594</v>
      </c>
      <c r="D851" s="57">
        <v>0</v>
      </c>
      <c r="E851" s="57">
        <v>0</v>
      </c>
      <c r="F851" s="57">
        <v>0</v>
      </c>
      <c r="G851" s="57">
        <v>0</v>
      </c>
      <c r="H851" s="58">
        <v>9.3258572035048504E-2</v>
      </c>
      <c r="I851" s="58">
        <v>0</v>
      </c>
      <c r="J851" s="58">
        <v>9.3258572035048504E-2</v>
      </c>
    </row>
    <row r="852" spans="1:10" ht="11.25" customHeight="1" x14ac:dyDescent="0.2">
      <c r="A852" s="67">
        <v>44621</v>
      </c>
      <c r="B852" s="57">
        <v>1146.3900000000001</v>
      </c>
      <c r="C852" s="57">
        <v>1253.3006943952594</v>
      </c>
      <c r="D852" s="57">
        <v>0</v>
      </c>
      <c r="E852" s="57">
        <v>0</v>
      </c>
      <c r="F852" s="57">
        <v>0</v>
      </c>
      <c r="G852" s="57">
        <v>0</v>
      </c>
      <c r="H852" s="58">
        <v>9.3258572035048504E-2</v>
      </c>
      <c r="I852" s="58">
        <v>0</v>
      </c>
      <c r="J852" s="58">
        <v>9.3258572035048504E-2</v>
      </c>
    </row>
    <row r="853" spans="1:10" ht="11.25" customHeight="1" x14ac:dyDescent="0.2">
      <c r="A853" s="67">
        <v>44652</v>
      </c>
      <c r="B853" s="57">
        <v>1146.3900000000001</v>
      </c>
      <c r="C853" s="57">
        <v>1253.3006943952594</v>
      </c>
      <c r="D853" s="57">
        <v>0</v>
      </c>
      <c r="E853" s="57">
        <v>0</v>
      </c>
      <c r="F853" s="57">
        <v>0</v>
      </c>
      <c r="G853" s="57">
        <v>0</v>
      </c>
      <c r="H853" s="58">
        <v>9.3258572035048504E-2</v>
      </c>
      <c r="I853" s="58">
        <v>0</v>
      </c>
      <c r="J853" s="58">
        <v>9.3258572035048504E-2</v>
      </c>
    </row>
    <row r="854" spans="1:10" ht="11.25" customHeight="1" x14ac:dyDescent="0.2">
      <c r="A854" s="67">
        <v>44682</v>
      </c>
      <c r="B854" s="57">
        <v>1146.3900000000001</v>
      </c>
      <c r="C854" s="57">
        <v>1253.3006943952594</v>
      </c>
      <c r="D854" s="57">
        <v>0</v>
      </c>
      <c r="E854" s="57">
        <v>0</v>
      </c>
      <c r="F854" s="57">
        <v>0</v>
      </c>
      <c r="G854" s="57">
        <v>0</v>
      </c>
      <c r="H854" s="58">
        <v>9.3258572035048504E-2</v>
      </c>
      <c r="I854" s="58">
        <v>0</v>
      </c>
      <c r="J854" s="58">
        <v>9.3258572035048504E-2</v>
      </c>
    </row>
    <row r="855" spans="1:10" ht="11.25" customHeight="1" x14ac:dyDescent="0.2">
      <c r="A855" s="67">
        <v>44713</v>
      </c>
      <c r="B855" s="57">
        <v>1146.3900000000001</v>
      </c>
      <c r="C855" s="57">
        <v>1253.3006943952594</v>
      </c>
      <c r="D855" s="57">
        <v>0</v>
      </c>
      <c r="E855" s="57">
        <v>0</v>
      </c>
      <c r="F855" s="57">
        <v>0</v>
      </c>
      <c r="G855" s="57">
        <v>0</v>
      </c>
      <c r="H855" s="58">
        <v>9.3258572035048504E-2</v>
      </c>
      <c r="I855" s="58">
        <v>0</v>
      </c>
      <c r="J855" s="58">
        <v>9.3258572035048504E-2</v>
      </c>
    </row>
    <row r="856" spans="1:10" ht="11.25" customHeight="1" x14ac:dyDescent="0.2">
      <c r="A856" s="67">
        <v>44743</v>
      </c>
      <c r="B856" s="57">
        <v>1146.3900000000001</v>
      </c>
      <c r="C856" s="57">
        <v>1253.3006943952594</v>
      </c>
      <c r="D856" s="57">
        <v>0</v>
      </c>
      <c r="E856" s="57">
        <v>0</v>
      </c>
      <c r="F856" s="57">
        <v>0</v>
      </c>
      <c r="G856" s="57">
        <v>0</v>
      </c>
      <c r="H856" s="58">
        <v>9.3258572035048504E-2</v>
      </c>
      <c r="I856" s="58">
        <v>0</v>
      </c>
      <c r="J856" s="58">
        <v>9.3258572035048504E-2</v>
      </c>
    </row>
    <row r="857" spans="1:10" ht="11.25" customHeight="1" x14ac:dyDescent="0.2">
      <c r="A857" s="67">
        <v>44774</v>
      </c>
      <c r="B857" s="57">
        <v>1146.3900000000001</v>
      </c>
      <c r="C857" s="57">
        <v>1253.3006943952594</v>
      </c>
      <c r="D857" s="57">
        <v>0</v>
      </c>
      <c r="E857" s="57">
        <v>0</v>
      </c>
      <c r="F857" s="57">
        <v>0</v>
      </c>
      <c r="G857" s="57">
        <v>0</v>
      </c>
      <c r="H857" s="58">
        <v>9.3258572035048504E-2</v>
      </c>
      <c r="I857" s="58">
        <v>0</v>
      </c>
      <c r="J857" s="58">
        <v>9.3258572035048504E-2</v>
      </c>
    </row>
    <row r="858" spans="1:10" ht="11.25" customHeight="1" x14ac:dyDescent="0.2">
      <c r="A858" s="65" t="s">
        <v>63</v>
      </c>
      <c r="B858" s="57">
        <v>16027.200000000003</v>
      </c>
      <c r="C858" s="57">
        <v>17521.87378572013</v>
      </c>
      <c r="D858" s="57">
        <v>0</v>
      </c>
      <c r="E858" s="57">
        <v>0</v>
      </c>
      <c r="F858" s="57">
        <v>0</v>
      </c>
      <c r="G858" s="57">
        <v>0</v>
      </c>
      <c r="H858" s="58">
        <v>9.3258572035048504E-2</v>
      </c>
      <c r="I858" s="58">
        <v>0</v>
      </c>
      <c r="J858" s="58">
        <v>9.3258572035048504E-2</v>
      </c>
    </row>
    <row r="859" spans="1:10" ht="11.25" customHeight="1" x14ac:dyDescent="0.2">
      <c r="A859" s="66" t="s">
        <v>25</v>
      </c>
      <c r="B859" s="57">
        <v>16027.200000000003</v>
      </c>
      <c r="C859" s="57">
        <v>17521.87378572013</v>
      </c>
      <c r="D859" s="57">
        <v>0</v>
      </c>
      <c r="E859" s="57">
        <v>0</v>
      </c>
      <c r="F859" s="57">
        <v>0</v>
      </c>
      <c r="G859" s="57">
        <v>0</v>
      </c>
      <c r="H859" s="58">
        <v>9.3258572035048504E-2</v>
      </c>
      <c r="I859" s="58">
        <v>0</v>
      </c>
      <c r="J859" s="58">
        <v>9.3258572035048504E-2</v>
      </c>
    </row>
    <row r="860" spans="1:10" ht="11.25" customHeight="1" x14ac:dyDescent="0.2">
      <c r="A860" s="67">
        <v>44440</v>
      </c>
      <c r="B860" s="57">
        <v>1335.6000000000001</v>
      </c>
      <c r="C860" s="57">
        <v>1460.156148810011</v>
      </c>
      <c r="D860" s="57">
        <v>0</v>
      </c>
      <c r="E860" s="57">
        <v>0</v>
      </c>
      <c r="F860" s="57">
        <v>0</v>
      </c>
      <c r="G860" s="57">
        <v>0</v>
      </c>
      <c r="H860" s="58">
        <v>9.3258572035048504E-2</v>
      </c>
      <c r="I860" s="58">
        <v>0</v>
      </c>
      <c r="J860" s="58">
        <v>9.3258572035048504E-2</v>
      </c>
    </row>
    <row r="861" spans="1:10" ht="11.25" customHeight="1" x14ac:dyDescent="0.2">
      <c r="A861" s="67">
        <v>44470</v>
      </c>
      <c r="B861" s="57">
        <v>1335.6000000000001</v>
      </c>
      <c r="C861" s="57">
        <v>1460.156148810011</v>
      </c>
      <c r="D861" s="57">
        <v>0</v>
      </c>
      <c r="E861" s="57">
        <v>0</v>
      </c>
      <c r="F861" s="57">
        <v>0</v>
      </c>
      <c r="G861" s="57">
        <v>0</v>
      </c>
      <c r="H861" s="58">
        <v>9.3258572035048504E-2</v>
      </c>
      <c r="I861" s="58">
        <v>0</v>
      </c>
      <c r="J861" s="58">
        <v>9.3258572035048504E-2</v>
      </c>
    </row>
    <row r="862" spans="1:10" ht="11.25" customHeight="1" x14ac:dyDescent="0.2">
      <c r="A862" s="67">
        <v>44501</v>
      </c>
      <c r="B862" s="57">
        <v>1335.6000000000001</v>
      </c>
      <c r="C862" s="57">
        <v>1460.156148810011</v>
      </c>
      <c r="D862" s="57">
        <v>0</v>
      </c>
      <c r="E862" s="57">
        <v>0</v>
      </c>
      <c r="F862" s="57">
        <v>0</v>
      </c>
      <c r="G862" s="57">
        <v>0</v>
      </c>
      <c r="H862" s="58">
        <v>9.3258572035048504E-2</v>
      </c>
      <c r="I862" s="58">
        <v>0</v>
      </c>
      <c r="J862" s="58">
        <v>9.3258572035048504E-2</v>
      </c>
    </row>
    <row r="863" spans="1:10" ht="11.25" customHeight="1" x14ac:dyDescent="0.2">
      <c r="A863" s="67">
        <v>44531</v>
      </c>
      <c r="B863" s="57">
        <v>1335.6000000000001</v>
      </c>
      <c r="C863" s="57">
        <v>1460.156148810011</v>
      </c>
      <c r="D863" s="57">
        <v>0</v>
      </c>
      <c r="E863" s="57">
        <v>0</v>
      </c>
      <c r="F863" s="57">
        <v>0</v>
      </c>
      <c r="G863" s="57">
        <v>0</v>
      </c>
      <c r="H863" s="58">
        <v>9.3258572035048504E-2</v>
      </c>
      <c r="I863" s="58">
        <v>0</v>
      </c>
      <c r="J863" s="58">
        <v>9.3258572035048504E-2</v>
      </c>
    </row>
    <row r="864" spans="1:10" ht="11.25" customHeight="1" x14ac:dyDescent="0.2">
      <c r="A864" s="67">
        <v>44562</v>
      </c>
      <c r="B864" s="57">
        <v>1335.6000000000001</v>
      </c>
      <c r="C864" s="57">
        <v>1460.156148810011</v>
      </c>
      <c r="D864" s="57">
        <v>0</v>
      </c>
      <c r="E864" s="57">
        <v>0</v>
      </c>
      <c r="F864" s="57">
        <v>0</v>
      </c>
      <c r="G864" s="57">
        <v>0</v>
      </c>
      <c r="H864" s="58">
        <v>9.3258572035048504E-2</v>
      </c>
      <c r="I864" s="58">
        <v>0</v>
      </c>
      <c r="J864" s="58">
        <v>9.3258572035048504E-2</v>
      </c>
    </row>
    <row r="865" spans="1:10" ht="11.25" customHeight="1" x14ac:dyDescent="0.2">
      <c r="A865" s="67">
        <v>44593</v>
      </c>
      <c r="B865" s="57">
        <v>1335.6000000000001</v>
      </c>
      <c r="C865" s="57">
        <v>1460.156148810011</v>
      </c>
      <c r="D865" s="57">
        <v>0</v>
      </c>
      <c r="E865" s="57">
        <v>0</v>
      </c>
      <c r="F865" s="57">
        <v>0</v>
      </c>
      <c r="G865" s="57">
        <v>0</v>
      </c>
      <c r="H865" s="58">
        <v>9.3258572035048504E-2</v>
      </c>
      <c r="I865" s="58">
        <v>0</v>
      </c>
      <c r="J865" s="58">
        <v>9.3258572035048504E-2</v>
      </c>
    </row>
    <row r="866" spans="1:10" ht="11.25" customHeight="1" x14ac:dyDescent="0.2">
      <c r="A866" s="67">
        <v>44621</v>
      </c>
      <c r="B866" s="57">
        <v>1335.6000000000001</v>
      </c>
      <c r="C866" s="57">
        <v>1460.156148810011</v>
      </c>
      <c r="D866" s="57">
        <v>0</v>
      </c>
      <c r="E866" s="57">
        <v>0</v>
      </c>
      <c r="F866" s="57">
        <v>0</v>
      </c>
      <c r="G866" s="57">
        <v>0</v>
      </c>
      <c r="H866" s="58">
        <v>9.3258572035048504E-2</v>
      </c>
      <c r="I866" s="58">
        <v>0</v>
      </c>
      <c r="J866" s="58">
        <v>9.3258572035048504E-2</v>
      </c>
    </row>
    <row r="867" spans="1:10" ht="11.25" customHeight="1" x14ac:dyDescent="0.2">
      <c r="A867" s="67">
        <v>44652</v>
      </c>
      <c r="B867" s="57">
        <v>1335.6000000000001</v>
      </c>
      <c r="C867" s="57">
        <v>1460.156148810011</v>
      </c>
      <c r="D867" s="57">
        <v>0</v>
      </c>
      <c r="E867" s="57">
        <v>0</v>
      </c>
      <c r="F867" s="57">
        <v>0</v>
      </c>
      <c r="G867" s="57">
        <v>0</v>
      </c>
      <c r="H867" s="58">
        <v>9.3258572035048504E-2</v>
      </c>
      <c r="I867" s="58">
        <v>0</v>
      </c>
      <c r="J867" s="58">
        <v>9.3258572035048504E-2</v>
      </c>
    </row>
    <row r="868" spans="1:10" ht="11.25" customHeight="1" x14ac:dyDescent="0.2">
      <c r="A868" s="67">
        <v>44682</v>
      </c>
      <c r="B868" s="57">
        <v>1335.6000000000001</v>
      </c>
      <c r="C868" s="57">
        <v>1460.156148810011</v>
      </c>
      <c r="D868" s="57">
        <v>0</v>
      </c>
      <c r="E868" s="57">
        <v>0</v>
      </c>
      <c r="F868" s="57">
        <v>0</v>
      </c>
      <c r="G868" s="57">
        <v>0</v>
      </c>
      <c r="H868" s="58">
        <v>9.3258572035048504E-2</v>
      </c>
      <c r="I868" s="58">
        <v>0</v>
      </c>
      <c r="J868" s="58">
        <v>9.3258572035048504E-2</v>
      </c>
    </row>
    <row r="869" spans="1:10" ht="11.25" customHeight="1" x14ac:dyDescent="0.2">
      <c r="A869" s="67">
        <v>44713</v>
      </c>
      <c r="B869" s="57">
        <v>1335.6000000000001</v>
      </c>
      <c r="C869" s="57">
        <v>1460.156148810011</v>
      </c>
      <c r="D869" s="57">
        <v>0</v>
      </c>
      <c r="E869" s="57">
        <v>0</v>
      </c>
      <c r="F869" s="57">
        <v>0</v>
      </c>
      <c r="G869" s="57">
        <v>0</v>
      </c>
      <c r="H869" s="58">
        <v>9.3258572035048504E-2</v>
      </c>
      <c r="I869" s="58">
        <v>0</v>
      </c>
      <c r="J869" s="58">
        <v>9.3258572035048504E-2</v>
      </c>
    </row>
    <row r="870" spans="1:10" ht="11.25" customHeight="1" x14ac:dyDescent="0.2">
      <c r="A870" s="67">
        <v>44743</v>
      </c>
      <c r="B870" s="57">
        <v>1335.6000000000001</v>
      </c>
      <c r="C870" s="57">
        <v>1460.156148810011</v>
      </c>
      <c r="D870" s="57">
        <v>0</v>
      </c>
      <c r="E870" s="57">
        <v>0</v>
      </c>
      <c r="F870" s="57">
        <v>0</v>
      </c>
      <c r="G870" s="57">
        <v>0</v>
      </c>
      <c r="H870" s="58">
        <v>9.3258572035048504E-2</v>
      </c>
      <c r="I870" s="58">
        <v>0</v>
      </c>
      <c r="J870" s="58">
        <v>9.3258572035048504E-2</v>
      </c>
    </row>
    <row r="871" spans="1:10" ht="11.25" customHeight="1" x14ac:dyDescent="0.2">
      <c r="A871" s="67">
        <v>44774</v>
      </c>
      <c r="B871" s="57">
        <v>1335.6000000000001</v>
      </c>
      <c r="C871" s="57">
        <v>1460.156148810011</v>
      </c>
      <c r="D871" s="57">
        <v>0</v>
      </c>
      <c r="E871" s="57">
        <v>0</v>
      </c>
      <c r="F871" s="57">
        <v>0</v>
      </c>
      <c r="G871" s="57">
        <v>0</v>
      </c>
      <c r="H871" s="58">
        <v>9.3258572035048504E-2</v>
      </c>
      <c r="I871" s="58">
        <v>0</v>
      </c>
      <c r="J871" s="58">
        <v>9.3258572035048504E-2</v>
      </c>
    </row>
    <row r="872" spans="1:10" ht="11.25" customHeight="1" x14ac:dyDescent="0.2">
      <c r="A872" s="59" t="s">
        <v>58</v>
      </c>
      <c r="B872" s="57">
        <v>2781709.6184710003</v>
      </c>
      <c r="C872" s="57">
        <v>3167645.3240979747</v>
      </c>
      <c r="D872" s="57">
        <v>8837291.1049300749</v>
      </c>
      <c r="E872" s="57">
        <v>15213799.477393681</v>
      </c>
      <c r="F872" s="57">
        <v>0</v>
      </c>
      <c r="G872" s="57">
        <v>0</v>
      </c>
      <c r="H872" s="58">
        <v>0.5820159787468453</v>
      </c>
      <c r="I872" s="58">
        <v>0</v>
      </c>
      <c r="J872" s="58">
        <v>0.5820159787468453</v>
      </c>
    </row>
    <row r="873" spans="1:10" ht="11.25" customHeight="1" x14ac:dyDescent="0.2">
      <c r="A873" s="60" t="s">
        <v>39</v>
      </c>
      <c r="B873" s="57">
        <v>2781709.6184710003</v>
      </c>
      <c r="C873" s="57">
        <v>3167645.3240979747</v>
      </c>
      <c r="D873" s="57">
        <v>8837291.1049300749</v>
      </c>
      <c r="E873" s="57">
        <v>15213799.477393681</v>
      </c>
      <c r="F873" s="57">
        <v>0</v>
      </c>
      <c r="G873" s="57">
        <v>0</v>
      </c>
      <c r="H873" s="58">
        <v>0.5820159787468453</v>
      </c>
      <c r="I873" s="58">
        <v>0</v>
      </c>
      <c r="J873" s="58">
        <v>0.5820159787468453</v>
      </c>
    </row>
    <row r="874" spans="1:10" ht="11.25" customHeight="1" x14ac:dyDescent="0.2">
      <c r="A874" s="61" t="s">
        <v>42</v>
      </c>
      <c r="B874" s="57">
        <v>1215051.3021830001</v>
      </c>
      <c r="C874" s="57">
        <v>1385440.5391130284</v>
      </c>
      <c r="D874" s="57">
        <v>1375731.3932499997</v>
      </c>
      <c r="E874" s="57">
        <v>2735156.909773685</v>
      </c>
      <c r="F874" s="57">
        <v>0</v>
      </c>
      <c r="G874" s="57">
        <v>0</v>
      </c>
      <c r="H874" s="58">
        <v>0.59048362340479277</v>
      </c>
      <c r="I874" s="58">
        <v>0</v>
      </c>
      <c r="J874" s="58">
        <v>0.59048362340479277</v>
      </c>
    </row>
    <row r="875" spans="1:10" ht="11.25" customHeight="1" x14ac:dyDescent="0.2">
      <c r="A875" s="62" t="s">
        <v>38</v>
      </c>
      <c r="B875" s="57">
        <v>1215051.3021830001</v>
      </c>
      <c r="C875" s="57">
        <v>1385440.5391130284</v>
      </c>
      <c r="D875" s="57">
        <v>1375731.3932499997</v>
      </c>
      <c r="E875" s="57">
        <v>2735156.909773685</v>
      </c>
      <c r="F875" s="57">
        <v>0</v>
      </c>
      <c r="G875" s="57">
        <v>0</v>
      </c>
      <c r="H875" s="58">
        <v>0.59048362340479277</v>
      </c>
      <c r="I875" s="58">
        <v>0</v>
      </c>
      <c r="J875" s="58">
        <v>0.59048362340479277</v>
      </c>
    </row>
    <row r="876" spans="1:10" ht="11.25" customHeight="1" x14ac:dyDescent="0.2">
      <c r="A876" s="63" t="s">
        <v>25</v>
      </c>
      <c r="B876" s="57">
        <v>1215051.3021830001</v>
      </c>
      <c r="C876" s="57">
        <v>1385440.5391130284</v>
      </c>
      <c r="D876" s="57">
        <v>1375731.3932499997</v>
      </c>
      <c r="E876" s="57">
        <v>2735156.909773685</v>
      </c>
      <c r="F876" s="57">
        <v>0</v>
      </c>
      <c r="G876" s="57">
        <v>0</v>
      </c>
      <c r="H876" s="58">
        <v>0.59048362340479277</v>
      </c>
      <c r="I876" s="58">
        <v>0</v>
      </c>
      <c r="J876" s="58">
        <v>0.59048362340479277</v>
      </c>
    </row>
    <row r="877" spans="1:10" ht="11.25" customHeight="1" x14ac:dyDescent="0.2">
      <c r="A877" s="64" t="s">
        <v>57</v>
      </c>
      <c r="B877" s="57">
        <v>1215051.3021830001</v>
      </c>
      <c r="C877" s="57">
        <v>1385440.5391130284</v>
      </c>
      <c r="D877" s="57">
        <v>1375731.3932499997</v>
      </c>
      <c r="E877" s="57">
        <v>2735156.909773685</v>
      </c>
      <c r="F877" s="57">
        <v>0</v>
      </c>
      <c r="G877" s="57">
        <v>0</v>
      </c>
      <c r="H877" s="58">
        <v>0.59048362340479277</v>
      </c>
      <c r="I877" s="58">
        <v>0</v>
      </c>
      <c r="J877" s="58">
        <v>0.59048362340479277</v>
      </c>
    </row>
    <row r="878" spans="1:10" ht="11.25" customHeight="1" x14ac:dyDescent="0.2">
      <c r="A878" s="65" t="s">
        <v>25</v>
      </c>
      <c r="B878" s="57">
        <v>1215051.3021830001</v>
      </c>
      <c r="C878" s="57">
        <v>1385440.5391130284</v>
      </c>
      <c r="D878" s="57">
        <v>1375731.3932499997</v>
      </c>
      <c r="E878" s="57">
        <v>2735156.909773685</v>
      </c>
      <c r="F878" s="57">
        <v>0</v>
      </c>
      <c r="G878" s="57">
        <v>0</v>
      </c>
      <c r="H878" s="58">
        <v>0.59048362340479277</v>
      </c>
      <c r="I878" s="58">
        <v>0</v>
      </c>
      <c r="J878" s="58">
        <v>0.59048362340479277</v>
      </c>
    </row>
    <row r="879" spans="1:10" ht="11.25" customHeight="1" x14ac:dyDescent="0.2">
      <c r="A879" s="66" t="s">
        <v>35</v>
      </c>
      <c r="B879" s="57">
        <v>322462.26521599997</v>
      </c>
      <c r="C879" s="57">
        <v>366827.77991228149</v>
      </c>
      <c r="D879" s="57">
        <v>0</v>
      </c>
      <c r="E879" s="57">
        <v>0</v>
      </c>
      <c r="F879" s="57">
        <v>0</v>
      </c>
      <c r="G879" s="57">
        <v>0</v>
      </c>
      <c r="H879" s="58">
        <v>0.13758358568424578</v>
      </c>
      <c r="I879" s="58">
        <v>0</v>
      </c>
      <c r="J879" s="58">
        <v>0.13758358568424578</v>
      </c>
    </row>
    <row r="880" spans="1:10" ht="11.25" customHeight="1" x14ac:dyDescent="0.2">
      <c r="A880" s="67">
        <v>44440</v>
      </c>
      <c r="B880" s="57">
        <v>25625.600000000002</v>
      </c>
      <c r="C880" s="57">
        <v>29151.261933310205</v>
      </c>
      <c r="D880" s="57">
        <v>0</v>
      </c>
      <c r="E880" s="57">
        <v>0</v>
      </c>
      <c r="F880" s="57">
        <v>0</v>
      </c>
      <c r="G880" s="57">
        <v>0</v>
      </c>
      <c r="H880" s="58">
        <v>0.13758358568424556</v>
      </c>
      <c r="I880" s="58">
        <v>0</v>
      </c>
      <c r="J880" s="58">
        <v>0.13758358568424556</v>
      </c>
    </row>
    <row r="881" spans="1:10" ht="11.25" customHeight="1" x14ac:dyDescent="0.2">
      <c r="A881" s="67">
        <v>44470</v>
      </c>
      <c r="B881" s="57">
        <v>25702.4768</v>
      </c>
      <c r="C881" s="57">
        <v>29238.715719110136</v>
      </c>
      <c r="D881" s="57">
        <v>0</v>
      </c>
      <c r="E881" s="57">
        <v>0</v>
      </c>
      <c r="F881" s="57">
        <v>0</v>
      </c>
      <c r="G881" s="57">
        <v>0</v>
      </c>
      <c r="H881" s="58">
        <v>0.13758358568424556</v>
      </c>
      <c r="I881" s="58">
        <v>0</v>
      </c>
      <c r="J881" s="58">
        <v>0.13758358568424556</v>
      </c>
    </row>
    <row r="882" spans="1:10" ht="11.25" customHeight="1" x14ac:dyDescent="0.2">
      <c r="A882" s="67">
        <v>44501</v>
      </c>
      <c r="B882" s="57">
        <v>26938.642432000001</v>
      </c>
      <c r="C882" s="57">
        <v>30644.957451260329</v>
      </c>
      <c r="D882" s="57">
        <v>0</v>
      </c>
      <c r="E882" s="57">
        <v>0</v>
      </c>
      <c r="F882" s="57">
        <v>0</v>
      </c>
      <c r="G882" s="57">
        <v>0</v>
      </c>
      <c r="H882" s="58">
        <v>0.13758358568424556</v>
      </c>
      <c r="I882" s="58">
        <v>0</v>
      </c>
      <c r="J882" s="58">
        <v>0.13758358568424556</v>
      </c>
    </row>
    <row r="883" spans="1:10" ht="11.25" customHeight="1" x14ac:dyDescent="0.2">
      <c r="A883" s="67">
        <v>44531</v>
      </c>
      <c r="B883" s="57">
        <v>25779.353600000002</v>
      </c>
      <c r="C883" s="57">
        <v>29326.169504910067</v>
      </c>
      <c r="D883" s="57">
        <v>0</v>
      </c>
      <c r="E883" s="57">
        <v>0</v>
      </c>
      <c r="F883" s="57">
        <v>0</v>
      </c>
      <c r="G883" s="57">
        <v>0</v>
      </c>
      <c r="H883" s="58">
        <v>0.13758358568424556</v>
      </c>
      <c r="I883" s="58">
        <v>0</v>
      </c>
      <c r="J883" s="58">
        <v>0.13758358568424556</v>
      </c>
    </row>
    <row r="884" spans="1:10" ht="11.25" customHeight="1" x14ac:dyDescent="0.2">
      <c r="A884" s="67">
        <v>44562</v>
      </c>
      <c r="B884" s="57">
        <v>26832.039936000001</v>
      </c>
      <c r="C884" s="57">
        <v>30523.688201617759</v>
      </c>
      <c r="D884" s="57">
        <v>0</v>
      </c>
      <c r="E884" s="57">
        <v>0</v>
      </c>
      <c r="F884" s="57">
        <v>0</v>
      </c>
      <c r="G884" s="57">
        <v>0</v>
      </c>
      <c r="H884" s="58">
        <v>0.13758358568424556</v>
      </c>
      <c r="I884" s="58">
        <v>0</v>
      </c>
      <c r="J884" s="58">
        <v>0.13758358568424556</v>
      </c>
    </row>
    <row r="885" spans="1:10" ht="11.25" customHeight="1" x14ac:dyDescent="0.2">
      <c r="A885" s="67">
        <v>44593</v>
      </c>
      <c r="B885" s="57">
        <v>25885.568384000002</v>
      </c>
      <c r="C885" s="57">
        <v>29446.997699745465</v>
      </c>
      <c r="D885" s="57">
        <v>0</v>
      </c>
      <c r="E885" s="57">
        <v>0</v>
      </c>
      <c r="F885" s="57">
        <v>0</v>
      </c>
      <c r="G885" s="57">
        <v>0</v>
      </c>
      <c r="H885" s="58">
        <v>0.13758358568424556</v>
      </c>
      <c r="I885" s="58">
        <v>0</v>
      </c>
      <c r="J885" s="58">
        <v>0.13758358568424556</v>
      </c>
    </row>
    <row r="886" spans="1:10" ht="11.25" customHeight="1" x14ac:dyDescent="0.2">
      <c r="A886" s="67">
        <v>44621</v>
      </c>
      <c r="B886" s="57">
        <v>26949.398528000002</v>
      </c>
      <c r="C886" s="57">
        <v>30657.193409515974</v>
      </c>
      <c r="D886" s="57">
        <v>0</v>
      </c>
      <c r="E886" s="57">
        <v>0</v>
      </c>
      <c r="F886" s="57">
        <v>0</v>
      </c>
      <c r="G886" s="57">
        <v>0</v>
      </c>
      <c r="H886" s="58">
        <v>0.13758358568424578</v>
      </c>
      <c r="I886" s="58">
        <v>0</v>
      </c>
      <c r="J886" s="58">
        <v>0.13758358568424578</v>
      </c>
    </row>
    <row r="887" spans="1:10" ht="11.25" customHeight="1" x14ac:dyDescent="0.2">
      <c r="A887" s="67">
        <v>44652</v>
      </c>
      <c r="B887" s="57">
        <v>27664.039936000001</v>
      </c>
      <c r="C887" s="57">
        <v>31470.15774490705</v>
      </c>
      <c r="D887" s="57">
        <v>0</v>
      </c>
      <c r="E887" s="57">
        <v>0</v>
      </c>
      <c r="F887" s="57">
        <v>0</v>
      </c>
      <c r="G887" s="57">
        <v>0</v>
      </c>
      <c r="H887" s="58">
        <v>0.13758358568424556</v>
      </c>
      <c r="I887" s="58">
        <v>0</v>
      </c>
      <c r="J887" s="58">
        <v>0.13758358568424556</v>
      </c>
    </row>
    <row r="888" spans="1:10" ht="11.25" customHeight="1" x14ac:dyDescent="0.2">
      <c r="A888" s="67">
        <v>44682</v>
      </c>
      <c r="B888" s="57">
        <v>28211.758848000001</v>
      </c>
      <c r="C888" s="57">
        <v>32093.233788767084</v>
      </c>
      <c r="D888" s="57">
        <v>0</v>
      </c>
      <c r="E888" s="57">
        <v>0</v>
      </c>
      <c r="F888" s="57">
        <v>0</v>
      </c>
      <c r="G888" s="57">
        <v>0</v>
      </c>
      <c r="H888" s="58">
        <v>0.13758358568424556</v>
      </c>
      <c r="I888" s="58">
        <v>0</v>
      </c>
      <c r="J888" s="58">
        <v>0.13758358568424556</v>
      </c>
    </row>
    <row r="889" spans="1:10" ht="11.25" customHeight="1" x14ac:dyDescent="0.2">
      <c r="A889" s="67">
        <v>44713</v>
      </c>
      <c r="B889" s="57">
        <v>27522.090752</v>
      </c>
      <c r="C889" s="57">
        <v>31308.67868318738</v>
      </c>
      <c r="D889" s="57">
        <v>0</v>
      </c>
      <c r="E889" s="57">
        <v>0</v>
      </c>
      <c r="F889" s="57">
        <v>0</v>
      </c>
      <c r="G889" s="57">
        <v>0</v>
      </c>
      <c r="H889" s="58">
        <v>0.13758358568424578</v>
      </c>
      <c r="I889" s="58">
        <v>0</v>
      </c>
      <c r="J889" s="58">
        <v>0.13758358568424578</v>
      </c>
    </row>
    <row r="890" spans="1:10" ht="11.25" customHeight="1" x14ac:dyDescent="0.2">
      <c r="A890" s="67">
        <v>44743</v>
      </c>
      <c r="B890" s="57">
        <v>27675.648000000001</v>
      </c>
      <c r="C890" s="57">
        <v>31483.362887975025</v>
      </c>
      <c r="D890" s="57">
        <v>0</v>
      </c>
      <c r="E890" s="57">
        <v>0</v>
      </c>
      <c r="F890" s="57">
        <v>0</v>
      </c>
      <c r="G890" s="57">
        <v>0</v>
      </c>
      <c r="H890" s="58">
        <v>0.13758358568424578</v>
      </c>
      <c r="I890" s="58">
        <v>0</v>
      </c>
      <c r="J890" s="58">
        <v>0.13758358568424578</v>
      </c>
    </row>
    <row r="891" spans="1:10" ht="11.25" customHeight="1" x14ac:dyDescent="0.2">
      <c r="A891" s="67">
        <v>44774</v>
      </c>
      <c r="B891" s="57">
        <v>27675.648000000001</v>
      </c>
      <c r="C891" s="57">
        <v>31483.362887975025</v>
      </c>
      <c r="D891" s="57">
        <v>0</v>
      </c>
      <c r="E891" s="57">
        <v>0</v>
      </c>
      <c r="F891" s="57">
        <v>0</v>
      </c>
      <c r="G891" s="57">
        <v>0</v>
      </c>
      <c r="H891" s="58">
        <v>0.13758358568424578</v>
      </c>
      <c r="I891" s="58">
        <v>0</v>
      </c>
      <c r="J891" s="58">
        <v>0.13758358568424578</v>
      </c>
    </row>
    <row r="892" spans="1:10" ht="11.25" customHeight="1" x14ac:dyDescent="0.2">
      <c r="A892" s="66" t="s">
        <v>25</v>
      </c>
      <c r="B892" s="57">
        <v>0</v>
      </c>
      <c r="C892" s="57">
        <v>0</v>
      </c>
      <c r="D892" s="57">
        <v>1375731.3932499997</v>
      </c>
      <c r="E892" s="57">
        <v>2735156.909773685</v>
      </c>
      <c r="F892" s="57">
        <v>0</v>
      </c>
      <c r="G892" s="57">
        <v>0</v>
      </c>
      <c r="H892" s="58">
        <v>0.9881474851803782</v>
      </c>
      <c r="I892" s="58">
        <v>0</v>
      </c>
      <c r="J892" s="58">
        <v>0.9881474851803782</v>
      </c>
    </row>
    <row r="893" spans="1:10" ht="11.25" customHeight="1" x14ac:dyDescent="0.2">
      <c r="A893" s="67">
        <v>44440</v>
      </c>
      <c r="B893" s="57">
        <v>0</v>
      </c>
      <c r="C893" s="57">
        <v>0</v>
      </c>
      <c r="D893" s="57">
        <v>106041.10025</v>
      </c>
      <c r="E893" s="57">
        <v>210825.34678779787</v>
      </c>
      <c r="F893" s="57">
        <v>0</v>
      </c>
      <c r="G893" s="57">
        <v>0</v>
      </c>
      <c r="H893" s="58">
        <v>0.9881474851803782</v>
      </c>
      <c r="I893" s="58">
        <v>0</v>
      </c>
      <c r="J893" s="58">
        <v>0.9881474851803782</v>
      </c>
    </row>
    <row r="894" spans="1:10" ht="11.25" customHeight="1" x14ac:dyDescent="0.2">
      <c r="A894" s="67">
        <v>44470</v>
      </c>
      <c r="B894" s="57">
        <v>0</v>
      </c>
      <c r="C894" s="57">
        <v>0</v>
      </c>
      <c r="D894" s="57">
        <v>107243.92625</v>
      </c>
      <c r="E894" s="57">
        <v>213216.74227480745</v>
      </c>
      <c r="F894" s="57">
        <v>0</v>
      </c>
      <c r="G894" s="57">
        <v>0</v>
      </c>
      <c r="H894" s="58">
        <v>0.9881474851803782</v>
      </c>
      <c r="I894" s="58">
        <v>0</v>
      </c>
      <c r="J894" s="58">
        <v>0.9881474851803782</v>
      </c>
    </row>
    <row r="895" spans="1:10" ht="11.25" customHeight="1" x14ac:dyDescent="0.2">
      <c r="A895" s="67">
        <v>44501</v>
      </c>
      <c r="B895" s="57">
        <v>0</v>
      </c>
      <c r="C895" s="57">
        <v>0</v>
      </c>
      <c r="D895" s="57">
        <v>109146.482</v>
      </c>
      <c r="E895" s="57">
        <v>216999.30370458541</v>
      </c>
      <c r="F895" s="57">
        <v>0</v>
      </c>
      <c r="G895" s="57">
        <v>0</v>
      </c>
      <c r="H895" s="58">
        <v>0.9881474851803782</v>
      </c>
      <c r="I895" s="58">
        <v>0</v>
      </c>
      <c r="J895" s="58">
        <v>0.9881474851803782</v>
      </c>
    </row>
    <row r="896" spans="1:10" ht="11.25" customHeight="1" x14ac:dyDescent="0.2">
      <c r="A896" s="67">
        <v>44531</v>
      </c>
      <c r="B896" s="57">
        <v>0</v>
      </c>
      <c r="C896" s="57">
        <v>0</v>
      </c>
      <c r="D896" s="57">
        <v>106740.523</v>
      </c>
      <c r="E896" s="57">
        <v>212215.90236928835</v>
      </c>
      <c r="F896" s="57">
        <v>0</v>
      </c>
      <c r="G896" s="57">
        <v>0</v>
      </c>
      <c r="H896" s="58">
        <v>0.98814748518037843</v>
      </c>
      <c r="I896" s="58">
        <v>0</v>
      </c>
      <c r="J896" s="58">
        <v>0.98814748518037843</v>
      </c>
    </row>
    <row r="897" spans="1:10" ht="11.25" customHeight="1" x14ac:dyDescent="0.2">
      <c r="A897" s="67">
        <v>44562</v>
      </c>
      <c r="B897" s="57">
        <v>0</v>
      </c>
      <c r="C897" s="57">
        <v>0</v>
      </c>
      <c r="D897" s="57">
        <v>120382.989</v>
      </c>
      <c r="E897" s="57">
        <v>239339.13683884713</v>
      </c>
      <c r="F897" s="57">
        <v>0</v>
      </c>
      <c r="G897" s="57">
        <v>0</v>
      </c>
      <c r="H897" s="58">
        <v>0.9881474851803782</v>
      </c>
      <c r="I897" s="58">
        <v>0</v>
      </c>
      <c r="J897" s="58">
        <v>0.9881474851803782</v>
      </c>
    </row>
    <row r="898" spans="1:10" ht="11.25" customHeight="1" x14ac:dyDescent="0.2">
      <c r="A898" s="67">
        <v>44593</v>
      </c>
      <c r="B898" s="57">
        <v>0</v>
      </c>
      <c r="C898" s="57">
        <v>0</v>
      </c>
      <c r="D898" s="57">
        <v>114789.37225</v>
      </c>
      <c r="E898" s="57">
        <v>228218.2017642718</v>
      </c>
      <c r="F898" s="57">
        <v>0</v>
      </c>
      <c r="G898" s="57">
        <v>0</v>
      </c>
      <c r="H898" s="58">
        <v>0.9881474851803782</v>
      </c>
      <c r="I898" s="58">
        <v>0</v>
      </c>
      <c r="J898" s="58">
        <v>0.9881474851803782</v>
      </c>
    </row>
    <row r="899" spans="1:10" ht="11.25" customHeight="1" x14ac:dyDescent="0.2">
      <c r="A899" s="67">
        <v>44621</v>
      </c>
      <c r="B899" s="57">
        <v>0</v>
      </c>
      <c r="C899" s="57">
        <v>0</v>
      </c>
      <c r="D899" s="57">
        <v>109271.04725</v>
      </c>
      <c r="E899" s="57">
        <v>217246.9577931138</v>
      </c>
      <c r="F899" s="57">
        <v>0</v>
      </c>
      <c r="G899" s="57">
        <v>0</v>
      </c>
      <c r="H899" s="58">
        <v>0.98814748518037843</v>
      </c>
      <c r="I899" s="58">
        <v>0</v>
      </c>
      <c r="J899" s="58">
        <v>0.98814748518037843</v>
      </c>
    </row>
    <row r="900" spans="1:10" ht="11.25" customHeight="1" x14ac:dyDescent="0.2">
      <c r="A900" s="67">
        <v>44652</v>
      </c>
      <c r="B900" s="57">
        <v>0</v>
      </c>
      <c r="C900" s="57">
        <v>0</v>
      </c>
      <c r="D900" s="57">
        <v>129095.18849999999</v>
      </c>
      <c r="E900" s="57">
        <v>256660.27436516187</v>
      </c>
      <c r="F900" s="57">
        <v>0</v>
      </c>
      <c r="G900" s="57">
        <v>0</v>
      </c>
      <c r="H900" s="58">
        <v>0.9881474851803782</v>
      </c>
      <c r="I900" s="58">
        <v>0</v>
      </c>
      <c r="J900" s="58">
        <v>0.9881474851803782</v>
      </c>
    </row>
    <row r="901" spans="1:10" ht="11.25" customHeight="1" x14ac:dyDescent="0.2">
      <c r="A901" s="67">
        <v>44682</v>
      </c>
      <c r="B901" s="57">
        <v>0</v>
      </c>
      <c r="C901" s="57">
        <v>0</v>
      </c>
      <c r="D901" s="57">
        <v>111181.12450000001</v>
      </c>
      <c r="E901" s="57">
        <v>221044.47307420155</v>
      </c>
      <c r="F901" s="57">
        <v>0</v>
      </c>
      <c r="G901" s="57">
        <v>0</v>
      </c>
      <c r="H901" s="58">
        <v>0.9881474851803782</v>
      </c>
      <c r="I901" s="58">
        <v>0</v>
      </c>
      <c r="J901" s="58">
        <v>0.9881474851803782</v>
      </c>
    </row>
    <row r="902" spans="1:10" ht="11.25" customHeight="1" x14ac:dyDescent="0.2">
      <c r="A902" s="67">
        <v>44713</v>
      </c>
      <c r="B902" s="57">
        <v>0</v>
      </c>
      <c r="C902" s="57">
        <v>0</v>
      </c>
      <c r="D902" s="57">
        <v>126985.71475</v>
      </c>
      <c r="E902" s="57">
        <v>252466.32943404536</v>
      </c>
      <c r="F902" s="57">
        <v>0</v>
      </c>
      <c r="G902" s="57">
        <v>0</v>
      </c>
      <c r="H902" s="58">
        <v>0.9881474851803782</v>
      </c>
      <c r="I902" s="58">
        <v>0</v>
      </c>
      <c r="J902" s="58">
        <v>0.9881474851803782</v>
      </c>
    </row>
    <row r="903" spans="1:10" ht="11.25" customHeight="1" x14ac:dyDescent="0.2">
      <c r="A903" s="67">
        <v>44743</v>
      </c>
      <c r="B903" s="57">
        <v>0</v>
      </c>
      <c r="C903" s="57">
        <v>0</v>
      </c>
      <c r="D903" s="57">
        <v>117426.96274999999</v>
      </c>
      <c r="E903" s="57">
        <v>233462.12068378244</v>
      </c>
      <c r="F903" s="57">
        <v>0</v>
      </c>
      <c r="G903" s="57">
        <v>0</v>
      </c>
      <c r="H903" s="58">
        <v>0.9881474851803782</v>
      </c>
      <c r="I903" s="58">
        <v>0</v>
      </c>
      <c r="J903" s="58">
        <v>0.9881474851803782</v>
      </c>
    </row>
    <row r="904" spans="1:10" ht="11.25" customHeight="1" x14ac:dyDescent="0.2">
      <c r="A904" s="67">
        <v>44774</v>
      </c>
      <c r="B904" s="57">
        <v>0</v>
      </c>
      <c r="C904" s="57">
        <v>0</v>
      </c>
      <c r="D904" s="57">
        <v>117426.96274999999</v>
      </c>
      <c r="E904" s="57">
        <v>233462.12068378244</v>
      </c>
      <c r="F904" s="57">
        <v>0</v>
      </c>
      <c r="G904" s="57">
        <v>0</v>
      </c>
      <c r="H904" s="58">
        <v>0.9881474851803782</v>
      </c>
      <c r="I904" s="58">
        <v>0</v>
      </c>
      <c r="J904" s="58">
        <v>0.9881474851803782</v>
      </c>
    </row>
    <row r="905" spans="1:10" ht="11.25" customHeight="1" x14ac:dyDescent="0.2">
      <c r="A905" s="66" t="s">
        <v>34</v>
      </c>
      <c r="B905" s="57">
        <v>892589.03696700011</v>
      </c>
      <c r="C905" s="57">
        <v>1018612.7592007469</v>
      </c>
      <c r="D905" s="57">
        <v>0</v>
      </c>
      <c r="E905" s="57">
        <v>0</v>
      </c>
      <c r="F905" s="57">
        <v>0</v>
      </c>
      <c r="G905" s="57">
        <v>0</v>
      </c>
      <c r="H905" s="58">
        <v>0.14118896492609068</v>
      </c>
      <c r="I905" s="58">
        <v>0</v>
      </c>
      <c r="J905" s="58">
        <v>0.14118896492609068</v>
      </c>
    </row>
    <row r="906" spans="1:10" ht="11.25" customHeight="1" x14ac:dyDescent="0.2">
      <c r="A906" s="67">
        <v>44440</v>
      </c>
      <c r="B906" s="57">
        <v>72831.824999999997</v>
      </c>
      <c r="C906" s="57">
        <v>83114.874985428178</v>
      </c>
      <c r="D906" s="57">
        <v>0</v>
      </c>
      <c r="E906" s="57">
        <v>0</v>
      </c>
      <c r="F906" s="57">
        <v>0</v>
      </c>
      <c r="G906" s="57">
        <v>0</v>
      </c>
      <c r="H906" s="58">
        <v>0.14118896492609068</v>
      </c>
      <c r="I906" s="58">
        <v>0</v>
      </c>
      <c r="J906" s="58">
        <v>0.14118896492609068</v>
      </c>
    </row>
    <row r="907" spans="1:10" ht="11.25" customHeight="1" x14ac:dyDescent="0.2">
      <c r="A907" s="67">
        <v>44470</v>
      </c>
      <c r="B907" s="57">
        <v>73050.320475</v>
      </c>
      <c r="C907" s="57">
        <v>83364.219610384462</v>
      </c>
      <c r="D907" s="57">
        <v>0</v>
      </c>
      <c r="E907" s="57">
        <v>0</v>
      </c>
      <c r="F907" s="57">
        <v>0</v>
      </c>
      <c r="G907" s="57">
        <v>0</v>
      </c>
      <c r="H907" s="58">
        <v>0.14118896492609068</v>
      </c>
      <c r="I907" s="58">
        <v>0</v>
      </c>
      <c r="J907" s="58">
        <v>0.14118896492609068</v>
      </c>
    </row>
    <row r="908" spans="1:10" ht="11.25" customHeight="1" x14ac:dyDescent="0.2">
      <c r="A908" s="67">
        <v>44501</v>
      </c>
      <c r="B908" s="57">
        <v>72962.922284999993</v>
      </c>
      <c r="C908" s="57">
        <v>83264.481760401948</v>
      </c>
      <c r="D908" s="57">
        <v>0</v>
      </c>
      <c r="E908" s="57">
        <v>0</v>
      </c>
      <c r="F908" s="57">
        <v>0</v>
      </c>
      <c r="G908" s="57">
        <v>0</v>
      </c>
      <c r="H908" s="58">
        <v>0.1411889649260909</v>
      </c>
      <c r="I908" s="58">
        <v>0</v>
      </c>
      <c r="J908" s="58">
        <v>0.1411889649260909</v>
      </c>
    </row>
    <row r="909" spans="1:10" ht="11.25" customHeight="1" x14ac:dyDescent="0.2">
      <c r="A909" s="67">
        <v>44531</v>
      </c>
      <c r="B909" s="57">
        <v>73268.815950000004</v>
      </c>
      <c r="C909" s="57">
        <v>83613.564235340746</v>
      </c>
      <c r="D909" s="57">
        <v>0</v>
      </c>
      <c r="E909" s="57">
        <v>0</v>
      </c>
      <c r="F909" s="57">
        <v>0</v>
      </c>
      <c r="G909" s="57">
        <v>0</v>
      </c>
      <c r="H909" s="58">
        <v>0.14118896492609068</v>
      </c>
      <c r="I909" s="58">
        <v>0</v>
      </c>
      <c r="J909" s="58">
        <v>0.14118896492609068</v>
      </c>
    </row>
    <row r="910" spans="1:10" ht="11.25" customHeight="1" x14ac:dyDescent="0.2">
      <c r="A910" s="67">
        <v>44562</v>
      </c>
      <c r="B910" s="57">
        <v>73035.754109999994</v>
      </c>
      <c r="C910" s="57">
        <v>83347.596635387366</v>
      </c>
      <c r="D910" s="57">
        <v>0</v>
      </c>
      <c r="E910" s="57">
        <v>0</v>
      </c>
      <c r="F910" s="57">
        <v>0</v>
      </c>
      <c r="G910" s="57">
        <v>0</v>
      </c>
      <c r="H910" s="58">
        <v>0.14118896492609068</v>
      </c>
      <c r="I910" s="58">
        <v>0</v>
      </c>
      <c r="J910" s="58">
        <v>0.14118896492609068</v>
      </c>
    </row>
    <row r="911" spans="1:10" ht="11.25" customHeight="1" x14ac:dyDescent="0.2">
      <c r="A911" s="67">
        <v>44593</v>
      </c>
      <c r="B911" s="57">
        <v>74862.339930000002</v>
      </c>
      <c r="C911" s="57">
        <v>85432.076216661852</v>
      </c>
      <c r="D911" s="57">
        <v>0</v>
      </c>
      <c r="E911" s="57">
        <v>0</v>
      </c>
      <c r="F911" s="57">
        <v>0</v>
      </c>
      <c r="G911" s="57">
        <v>0</v>
      </c>
      <c r="H911" s="58">
        <v>0.14118896492609068</v>
      </c>
      <c r="I911" s="58">
        <v>0</v>
      </c>
      <c r="J911" s="58">
        <v>0.14118896492609068</v>
      </c>
    </row>
    <row r="912" spans="1:10" ht="11.25" customHeight="1" x14ac:dyDescent="0.2">
      <c r="A912" s="67">
        <v>44621</v>
      </c>
      <c r="B912" s="57">
        <v>72992.055014999991</v>
      </c>
      <c r="C912" s="57">
        <v>83297.72771039611</v>
      </c>
      <c r="D912" s="57">
        <v>0</v>
      </c>
      <c r="E912" s="57">
        <v>0</v>
      </c>
      <c r="F912" s="57">
        <v>0</v>
      </c>
      <c r="G912" s="57">
        <v>0</v>
      </c>
      <c r="H912" s="58">
        <v>0.14118896492609068</v>
      </c>
      <c r="I912" s="58">
        <v>0</v>
      </c>
      <c r="J912" s="58">
        <v>0.14118896492609068</v>
      </c>
    </row>
    <row r="913" spans="1:10" ht="11.25" customHeight="1" x14ac:dyDescent="0.2">
      <c r="A913" s="67">
        <v>44652</v>
      </c>
      <c r="B913" s="57">
        <v>75044.354579999999</v>
      </c>
      <c r="C913" s="57">
        <v>85639.789326696729</v>
      </c>
      <c r="D913" s="57">
        <v>0</v>
      </c>
      <c r="E913" s="57">
        <v>0</v>
      </c>
      <c r="F913" s="57">
        <v>0</v>
      </c>
      <c r="G913" s="57">
        <v>0</v>
      </c>
      <c r="H913" s="58">
        <v>0.14118896492609068</v>
      </c>
      <c r="I913" s="58">
        <v>0</v>
      </c>
      <c r="J913" s="58">
        <v>0.14118896492609068</v>
      </c>
    </row>
    <row r="914" spans="1:10" ht="11.25" customHeight="1" x14ac:dyDescent="0.2">
      <c r="A914" s="67">
        <v>44682</v>
      </c>
      <c r="B914" s="57">
        <v>77304.836321999988</v>
      </c>
      <c r="C914" s="57">
        <v>88219.426146084035</v>
      </c>
      <c r="D914" s="57">
        <v>0</v>
      </c>
      <c r="E914" s="57">
        <v>0</v>
      </c>
      <c r="F914" s="57">
        <v>0</v>
      </c>
      <c r="G914" s="57">
        <v>0</v>
      </c>
      <c r="H914" s="58">
        <v>0.1411889649260909</v>
      </c>
      <c r="I914" s="58">
        <v>0</v>
      </c>
      <c r="J914" s="58">
        <v>0.1411889649260909</v>
      </c>
    </row>
    <row r="915" spans="1:10" ht="11.25" customHeight="1" x14ac:dyDescent="0.2">
      <c r="A915" s="67">
        <v>44713</v>
      </c>
      <c r="B915" s="57">
        <v>75434.037299999996</v>
      </c>
      <c r="C915" s="57">
        <v>86084.490946583115</v>
      </c>
      <c r="D915" s="57">
        <v>0</v>
      </c>
      <c r="E915" s="57">
        <v>0</v>
      </c>
      <c r="F915" s="57">
        <v>0</v>
      </c>
      <c r="G915" s="57">
        <v>0</v>
      </c>
      <c r="H915" s="58">
        <v>0.14118896492609068</v>
      </c>
      <c r="I915" s="58">
        <v>0</v>
      </c>
      <c r="J915" s="58">
        <v>0.14118896492609068</v>
      </c>
    </row>
    <row r="916" spans="1:10" ht="11.25" customHeight="1" x14ac:dyDescent="0.2">
      <c r="A916" s="67">
        <v>44743</v>
      </c>
      <c r="B916" s="57">
        <v>75900.887999999992</v>
      </c>
      <c r="C916" s="57">
        <v>86617.255813691125</v>
      </c>
      <c r="D916" s="57">
        <v>0</v>
      </c>
      <c r="E916" s="57">
        <v>0</v>
      </c>
      <c r="F916" s="57">
        <v>0</v>
      </c>
      <c r="G916" s="57">
        <v>0</v>
      </c>
      <c r="H916" s="58">
        <v>0.14118896492609068</v>
      </c>
      <c r="I916" s="58">
        <v>0</v>
      </c>
      <c r="J916" s="58">
        <v>0.14118896492609068</v>
      </c>
    </row>
    <row r="917" spans="1:10" ht="11.25" customHeight="1" x14ac:dyDescent="0.2">
      <c r="A917" s="67">
        <v>44774</v>
      </c>
      <c r="B917" s="57">
        <v>75900.887999999992</v>
      </c>
      <c r="C917" s="57">
        <v>86617.255813691125</v>
      </c>
      <c r="D917" s="57">
        <v>0</v>
      </c>
      <c r="E917" s="57">
        <v>0</v>
      </c>
      <c r="F917" s="57">
        <v>0</v>
      </c>
      <c r="G917" s="57">
        <v>0</v>
      </c>
      <c r="H917" s="58">
        <v>0.14118896492609068</v>
      </c>
      <c r="I917" s="58">
        <v>0</v>
      </c>
      <c r="J917" s="58">
        <v>0.14118896492609068</v>
      </c>
    </row>
    <row r="918" spans="1:10" ht="11.25" customHeight="1" x14ac:dyDescent="0.2">
      <c r="A918" s="61" t="s">
        <v>40</v>
      </c>
      <c r="B918" s="57">
        <v>1566658.3162880002</v>
      </c>
      <c r="C918" s="57">
        <v>1782204.7849849458</v>
      </c>
      <c r="D918" s="57">
        <v>7461559.7116800742</v>
      </c>
      <c r="E918" s="57">
        <v>12478642.567619992</v>
      </c>
      <c r="F918" s="57">
        <v>0</v>
      </c>
      <c r="G918" s="57">
        <v>0</v>
      </c>
      <c r="H918" s="58">
        <v>0.57958606099531007</v>
      </c>
      <c r="I918" s="58">
        <v>0</v>
      </c>
      <c r="J918" s="58">
        <v>0.57958606099531007</v>
      </c>
    </row>
    <row r="919" spans="1:10" ht="11.25" customHeight="1" x14ac:dyDescent="0.2">
      <c r="A919" s="62" t="s">
        <v>38</v>
      </c>
      <c r="B919" s="57">
        <v>1566658.3162880002</v>
      </c>
      <c r="C919" s="57">
        <v>1782204.7849849458</v>
      </c>
      <c r="D919" s="57">
        <v>7461559.7116800742</v>
      </c>
      <c r="E919" s="57">
        <v>12478642.567619992</v>
      </c>
      <c r="F919" s="57">
        <v>0</v>
      </c>
      <c r="G919" s="57">
        <v>0</v>
      </c>
      <c r="H919" s="58">
        <v>0.57958606099531007</v>
      </c>
      <c r="I919" s="58">
        <v>0</v>
      </c>
      <c r="J919" s="58">
        <v>0.57958606099531007</v>
      </c>
    </row>
    <row r="920" spans="1:10" ht="11.25" customHeight="1" x14ac:dyDescent="0.2">
      <c r="A920" s="63" t="s">
        <v>25</v>
      </c>
      <c r="B920" s="57">
        <v>1566658.3162880002</v>
      </c>
      <c r="C920" s="57">
        <v>1782204.7849849458</v>
      </c>
      <c r="D920" s="57">
        <v>7461559.7116800742</v>
      </c>
      <c r="E920" s="57">
        <v>12478642.567619992</v>
      </c>
      <c r="F920" s="57">
        <v>0</v>
      </c>
      <c r="G920" s="57">
        <v>0</v>
      </c>
      <c r="H920" s="58">
        <v>0.57958606099531007</v>
      </c>
      <c r="I920" s="58">
        <v>0</v>
      </c>
      <c r="J920" s="58">
        <v>0.57958606099531007</v>
      </c>
    </row>
    <row r="921" spans="1:10" ht="11.25" customHeight="1" x14ac:dyDescent="0.2">
      <c r="A921" s="64" t="s">
        <v>57</v>
      </c>
      <c r="B921" s="57">
        <v>1566658.3162880002</v>
      </c>
      <c r="C921" s="57">
        <v>1782204.7849849458</v>
      </c>
      <c r="D921" s="57">
        <v>7461559.7116800742</v>
      </c>
      <c r="E921" s="57">
        <v>12478642.567619992</v>
      </c>
      <c r="F921" s="57">
        <v>0</v>
      </c>
      <c r="G921" s="57">
        <v>0</v>
      </c>
      <c r="H921" s="58">
        <v>0.57958606099531007</v>
      </c>
      <c r="I921" s="58">
        <v>0</v>
      </c>
      <c r="J921" s="58">
        <v>0.57958606099531007</v>
      </c>
    </row>
    <row r="922" spans="1:10" ht="11.25" customHeight="1" x14ac:dyDescent="0.2">
      <c r="A922" s="65" t="s">
        <v>25</v>
      </c>
      <c r="B922" s="57">
        <v>1566658.3162880002</v>
      </c>
      <c r="C922" s="57">
        <v>1782204.7849849458</v>
      </c>
      <c r="D922" s="57">
        <v>7461559.7116800742</v>
      </c>
      <c r="E922" s="57">
        <v>12478642.567619992</v>
      </c>
      <c r="F922" s="57">
        <v>0</v>
      </c>
      <c r="G922" s="57">
        <v>0</v>
      </c>
      <c r="H922" s="58">
        <v>0.57958606099531007</v>
      </c>
      <c r="I922" s="58">
        <v>0</v>
      </c>
      <c r="J922" s="58">
        <v>0.57958606099531007</v>
      </c>
    </row>
    <row r="923" spans="1:10" ht="11.25" customHeight="1" x14ac:dyDescent="0.2">
      <c r="A923" s="66" t="s">
        <v>35</v>
      </c>
      <c r="B923" s="57">
        <v>0</v>
      </c>
      <c r="C923" s="57">
        <v>0</v>
      </c>
      <c r="D923" s="57">
        <v>4508995.4205</v>
      </c>
      <c r="E923" s="57">
        <v>8964547.9059569165</v>
      </c>
      <c r="F923" s="57">
        <v>0</v>
      </c>
      <c r="G923" s="57">
        <v>0</v>
      </c>
      <c r="H923" s="58">
        <v>0.9881474851803782</v>
      </c>
      <c r="I923" s="58">
        <v>0</v>
      </c>
      <c r="J923" s="58">
        <v>0.9881474851803782</v>
      </c>
    </row>
    <row r="924" spans="1:10" ht="11.25" customHeight="1" x14ac:dyDescent="0.2">
      <c r="A924" s="67">
        <v>44440</v>
      </c>
      <c r="B924" s="57">
        <v>0</v>
      </c>
      <c r="C924" s="57">
        <v>0</v>
      </c>
      <c r="D924" s="57">
        <v>377442.60825000005</v>
      </c>
      <c r="E924" s="57">
        <v>750411.57239216031</v>
      </c>
      <c r="F924" s="57">
        <v>0</v>
      </c>
      <c r="G924" s="57">
        <v>0</v>
      </c>
      <c r="H924" s="58">
        <v>0.9881474851803782</v>
      </c>
      <c r="I924" s="58">
        <v>0</v>
      </c>
      <c r="J924" s="58">
        <v>0.9881474851803782</v>
      </c>
    </row>
    <row r="925" spans="1:10" ht="11.25" customHeight="1" x14ac:dyDescent="0.2">
      <c r="A925" s="67">
        <v>44470</v>
      </c>
      <c r="B925" s="57">
        <v>0</v>
      </c>
      <c r="C925" s="57">
        <v>0</v>
      </c>
      <c r="D925" s="57">
        <v>329601.033</v>
      </c>
      <c r="E925" s="57">
        <v>655295.46487180481</v>
      </c>
      <c r="F925" s="57">
        <v>0</v>
      </c>
      <c r="G925" s="57">
        <v>0</v>
      </c>
      <c r="H925" s="58">
        <v>0.9881474851803782</v>
      </c>
      <c r="I925" s="58">
        <v>0</v>
      </c>
      <c r="J925" s="58">
        <v>0.9881474851803782</v>
      </c>
    </row>
    <row r="926" spans="1:10" ht="11.25" customHeight="1" x14ac:dyDescent="0.2">
      <c r="A926" s="67">
        <v>44501</v>
      </c>
      <c r="B926" s="57">
        <v>0</v>
      </c>
      <c r="C926" s="57">
        <v>0</v>
      </c>
      <c r="D926" s="57">
        <v>384844.68524999998</v>
      </c>
      <c r="E926" s="57">
        <v>765127.99316482164</v>
      </c>
      <c r="F926" s="57">
        <v>0</v>
      </c>
      <c r="G926" s="57">
        <v>0</v>
      </c>
      <c r="H926" s="58">
        <v>0.9881474851803782</v>
      </c>
      <c r="I926" s="58">
        <v>0</v>
      </c>
      <c r="J926" s="58">
        <v>0.9881474851803782</v>
      </c>
    </row>
    <row r="927" spans="1:10" ht="11.25" customHeight="1" x14ac:dyDescent="0.2">
      <c r="A927" s="67">
        <v>44531</v>
      </c>
      <c r="B927" s="57">
        <v>0</v>
      </c>
      <c r="C927" s="57">
        <v>0</v>
      </c>
      <c r="D927" s="57">
        <v>363032.8725</v>
      </c>
      <c r="E927" s="57">
        <v>721762.89249868388</v>
      </c>
      <c r="F927" s="57">
        <v>0</v>
      </c>
      <c r="G927" s="57">
        <v>0</v>
      </c>
      <c r="H927" s="58">
        <v>0.9881474851803782</v>
      </c>
      <c r="I927" s="58">
        <v>0</v>
      </c>
      <c r="J927" s="58">
        <v>0.9881474851803782</v>
      </c>
    </row>
    <row r="928" spans="1:10" ht="11.25" customHeight="1" x14ac:dyDescent="0.2">
      <c r="A928" s="67">
        <v>44562</v>
      </c>
      <c r="B928" s="57">
        <v>0</v>
      </c>
      <c r="C928" s="57">
        <v>0</v>
      </c>
      <c r="D928" s="57">
        <v>302035.196</v>
      </c>
      <c r="E928" s="57">
        <v>600490.51536336262</v>
      </c>
      <c r="F928" s="57">
        <v>0</v>
      </c>
      <c r="G928" s="57">
        <v>0</v>
      </c>
      <c r="H928" s="58">
        <v>0.9881474851803782</v>
      </c>
      <c r="I928" s="58">
        <v>0</v>
      </c>
      <c r="J928" s="58">
        <v>0.9881474851803782</v>
      </c>
    </row>
    <row r="929" spans="1:10" ht="11.25" customHeight="1" x14ac:dyDescent="0.2">
      <c r="A929" s="67">
        <v>44593</v>
      </c>
      <c r="B929" s="57">
        <v>0</v>
      </c>
      <c r="C929" s="57">
        <v>0</v>
      </c>
      <c r="D929" s="57">
        <v>379720.47149999999</v>
      </c>
      <c r="E929" s="57">
        <v>754940.30048423237</v>
      </c>
      <c r="F929" s="57">
        <v>0</v>
      </c>
      <c r="G929" s="57">
        <v>0</v>
      </c>
      <c r="H929" s="58">
        <v>0.98814748518037798</v>
      </c>
      <c r="I929" s="58">
        <v>0</v>
      </c>
      <c r="J929" s="58">
        <v>0.98814748518037798</v>
      </c>
    </row>
    <row r="930" spans="1:10" ht="11.25" customHeight="1" x14ac:dyDescent="0.2">
      <c r="A930" s="67">
        <v>44621</v>
      </c>
      <c r="B930" s="57">
        <v>0</v>
      </c>
      <c r="C930" s="57">
        <v>0</v>
      </c>
      <c r="D930" s="57">
        <v>364070.53250000003</v>
      </c>
      <c r="E930" s="57">
        <v>723825.91361815622</v>
      </c>
      <c r="F930" s="57">
        <v>0</v>
      </c>
      <c r="G930" s="57">
        <v>0</v>
      </c>
      <c r="H930" s="58">
        <v>0.9881474851803782</v>
      </c>
      <c r="I930" s="58">
        <v>0</v>
      </c>
      <c r="J930" s="58">
        <v>0.9881474851803782</v>
      </c>
    </row>
    <row r="931" spans="1:10" ht="11.25" customHeight="1" x14ac:dyDescent="0.2">
      <c r="A931" s="67">
        <v>44652</v>
      </c>
      <c r="B931" s="57">
        <v>0</v>
      </c>
      <c r="C931" s="57">
        <v>0</v>
      </c>
      <c r="D931" s="57">
        <v>407036.02674999996</v>
      </c>
      <c r="E931" s="57">
        <v>809247.6529608256</v>
      </c>
      <c r="F931" s="57">
        <v>0</v>
      </c>
      <c r="G931" s="57">
        <v>0</v>
      </c>
      <c r="H931" s="58">
        <v>0.9881474851803782</v>
      </c>
      <c r="I931" s="58">
        <v>0</v>
      </c>
      <c r="J931" s="58">
        <v>0.9881474851803782</v>
      </c>
    </row>
    <row r="932" spans="1:10" ht="11.25" customHeight="1" x14ac:dyDescent="0.2">
      <c r="A932" s="67">
        <v>44682</v>
      </c>
      <c r="B932" s="57">
        <v>0</v>
      </c>
      <c r="C932" s="57">
        <v>0</v>
      </c>
      <c r="D932" s="57">
        <v>389313.99124999996</v>
      </c>
      <c r="E932" s="57">
        <v>774013.63264922332</v>
      </c>
      <c r="F932" s="57">
        <v>0</v>
      </c>
      <c r="G932" s="57">
        <v>0</v>
      </c>
      <c r="H932" s="58">
        <v>0.98814748518037843</v>
      </c>
      <c r="I932" s="58">
        <v>0</v>
      </c>
      <c r="J932" s="58">
        <v>0.98814748518037843</v>
      </c>
    </row>
    <row r="933" spans="1:10" ht="11.25" customHeight="1" x14ac:dyDescent="0.2">
      <c r="A933" s="67">
        <v>44713</v>
      </c>
      <c r="B933" s="57">
        <v>0</v>
      </c>
      <c r="C933" s="57">
        <v>0</v>
      </c>
      <c r="D933" s="57">
        <v>399161.55349999998</v>
      </c>
      <c r="E933" s="57">
        <v>793592.03877171793</v>
      </c>
      <c r="F933" s="57">
        <v>0</v>
      </c>
      <c r="G933" s="57">
        <v>0</v>
      </c>
      <c r="H933" s="58">
        <v>0.9881474851803782</v>
      </c>
      <c r="I933" s="58">
        <v>0</v>
      </c>
      <c r="J933" s="58">
        <v>0.9881474851803782</v>
      </c>
    </row>
    <row r="934" spans="1:10" ht="11.25" customHeight="1" x14ac:dyDescent="0.2">
      <c r="A934" s="67">
        <v>44743</v>
      </c>
      <c r="B934" s="57">
        <v>0</v>
      </c>
      <c r="C934" s="57">
        <v>0</v>
      </c>
      <c r="D934" s="57">
        <v>406368.22499999998</v>
      </c>
      <c r="E934" s="57">
        <v>807919.96459096414</v>
      </c>
      <c r="F934" s="57">
        <v>0</v>
      </c>
      <c r="G934" s="57">
        <v>0</v>
      </c>
      <c r="H934" s="58">
        <v>0.98814748518037843</v>
      </c>
      <c r="I934" s="58">
        <v>0</v>
      </c>
      <c r="J934" s="58">
        <v>0.98814748518037843</v>
      </c>
    </row>
    <row r="935" spans="1:10" ht="11.25" customHeight="1" x14ac:dyDescent="0.2">
      <c r="A935" s="67">
        <v>44774</v>
      </c>
      <c r="B935" s="57">
        <v>0</v>
      </c>
      <c r="C935" s="57">
        <v>0</v>
      </c>
      <c r="D935" s="57">
        <v>406368.22499999998</v>
      </c>
      <c r="E935" s="57">
        <v>807919.96459096414</v>
      </c>
      <c r="F935" s="57">
        <v>0</v>
      </c>
      <c r="G935" s="57">
        <v>0</v>
      </c>
      <c r="H935" s="58">
        <v>0.98814748518037843</v>
      </c>
      <c r="I935" s="58">
        <v>0</v>
      </c>
      <c r="J935" s="58">
        <v>0.98814748518037843</v>
      </c>
    </row>
    <row r="936" spans="1:10" ht="11.25" customHeight="1" x14ac:dyDescent="0.2">
      <c r="A936" s="66" t="s">
        <v>25</v>
      </c>
      <c r="B936" s="57">
        <v>1566658.3162880002</v>
      </c>
      <c r="C936" s="57">
        <v>1782204.7849849458</v>
      </c>
      <c r="D936" s="57">
        <v>0</v>
      </c>
      <c r="E936" s="57">
        <v>0</v>
      </c>
      <c r="F936" s="57">
        <v>0</v>
      </c>
      <c r="G936" s="57">
        <v>0</v>
      </c>
      <c r="H936" s="58">
        <v>0.13758358568424534</v>
      </c>
      <c r="I936" s="58">
        <v>0</v>
      </c>
      <c r="J936" s="58">
        <v>0.13758358568424534</v>
      </c>
    </row>
    <row r="937" spans="1:10" ht="11.25" customHeight="1" x14ac:dyDescent="0.2">
      <c r="A937" s="67">
        <v>44440</v>
      </c>
      <c r="B937" s="57">
        <v>129501.79840000001</v>
      </c>
      <c r="C937" s="57">
        <v>147319.12017643033</v>
      </c>
      <c r="D937" s="57">
        <v>0</v>
      </c>
      <c r="E937" s="57">
        <v>0</v>
      </c>
      <c r="F937" s="57">
        <v>0</v>
      </c>
      <c r="G937" s="57">
        <v>0</v>
      </c>
      <c r="H937" s="58">
        <v>0.13758358568424578</v>
      </c>
      <c r="I937" s="58">
        <v>0</v>
      </c>
      <c r="J937" s="58">
        <v>0.13758358568424578</v>
      </c>
    </row>
    <row r="938" spans="1:10" ht="11.25" customHeight="1" x14ac:dyDescent="0.2">
      <c r="A938" s="67">
        <v>44470</v>
      </c>
      <c r="B938" s="57">
        <v>127624.14912000002</v>
      </c>
      <c r="C938" s="57">
        <v>145183.13717583049</v>
      </c>
      <c r="D938" s="57">
        <v>0</v>
      </c>
      <c r="E938" s="57">
        <v>0</v>
      </c>
      <c r="F938" s="57">
        <v>0</v>
      </c>
      <c r="G938" s="57">
        <v>0</v>
      </c>
      <c r="H938" s="58">
        <v>0.13758358568424578</v>
      </c>
      <c r="I938" s="58">
        <v>0</v>
      </c>
      <c r="J938" s="58">
        <v>0.13758358568424578</v>
      </c>
    </row>
    <row r="939" spans="1:10" ht="11.25" customHeight="1" x14ac:dyDescent="0.2">
      <c r="A939" s="67">
        <v>44501</v>
      </c>
      <c r="B939" s="57">
        <v>125875.84755200001</v>
      </c>
      <c r="C939" s="57">
        <v>143194.29800924764</v>
      </c>
      <c r="D939" s="57">
        <v>0</v>
      </c>
      <c r="E939" s="57">
        <v>0</v>
      </c>
      <c r="F939" s="57">
        <v>0</v>
      </c>
      <c r="G939" s="57">
        <v>0</v>
      </c>
      <c r="H939" s="58">
        <v>0.13758358568424556</v>
      </c>
      <c r="I939" s="58">
        <v>0</v>
      </c>
      <c r="J939" s="58">
        <v>0.13758358568424556</v>
      </c>
    </row>
    <row r="940" spans="1:10" ht="11.25" customHeight="1" x14ac:dyDescent="0.2">
      <c r="A940" s="67">
        <v>44531</v>
      </c>
      <c r="B940" s="57">
        <v>131698.56127999999</v>
      </c>
      <c r="C940" s="57">
        <v>149818.12157035875</v>
      </c>
      <c r="D940" s="57">
        <v>0</v>
      </c>
      <c r="E940" s="57">
        <v>0</v>
      </c>
      <c r="F940" s="57">
        <v>0</v>
      </c>
      <c r="G940" s="57">
        <v>0</v>
      </c>
      <c r="H940" s="58">
        <v>0.13758358568424556</v>
      </c>
      <c r="I940" s="58">
        <v>0</v>
      </c>
      <c r="J940" s="58">
        <v>0.13758358568424556</v>
      </c>
    </row>
    <row r="941" spans="1:10" ht="11.25" customHeight="1" x14ac:dyDescent="0.2">
      <c r="A941" s="67">
        <v>44562</v>
      </c>
      <c r="B941" s="57">
        <v>126973.95609599999</v>
      </c>
      <c r="C941" s="57">
        <v>144443.48826420165</v>
      </c>
      <c r="D941" s="57">
        <v>0</v>
      </c>
      <c r="E941" s="57">
        <v>0</v>
      </c>
      <c r="F941" s="57">
        <v>0</v>
      </c>
      <c r="G941" s="57">
        <v>0</v>
      </c>
      <c r="H941" s="58">
        <v>0.13758358568424556</v>
      </c>
      <c r="I941" s="58">
        <v>0</v>
      </c>
      <c r="J941" s="58">
        <v>0.13758358568424556</v>
      </c>
    </row>
    <row r="942" spans="1:10" ht="11.25" customHeight="1" x14ac:dyDescent="0.2">
      <c r="A942" s="67">
        <v>44593</v>
      </c>
      <c r="B942" s="57">
        <v>150520.43136000002</v>
      </c>
      <c r="C942" s="57">
        <v>171229.5720252482</v>
      </c>
      <c r="D942" s="57">
        <v>0</v>
      </c>
      <c r="E942" s="57">
        <v>0</v>
      </c>
      <c r="F942" s="57">
        <v>0</v>
      </c>
      <c r="G942" s="57">
        <v>0</v>
      </c>
      <c r="H942" s="58">
        <v>0.13758358568424578</v>
      </c>
      <c r="I942" s="58">
        <v>0</v>
      </c>
      <c r="J942" s="58">
        <v>0.13758358568424578</v>
      </c>
    </row>
    <row r="943" spans="1:10" ht="11.25" customHeight="1" x14ac:dyDescent="0.2">
      <c r="A943" s="67">
        <v>44621</v>
      </c>
      <c r="B943" s="57">
        <v>146740.80179200001</v>
      </c>
      <c r="C943" s="57">
        <v>166929.92746872455</v>
      </c>
      <c r="D943" s="57">
        <v>0</v>
      </c>
      <c r="E943" s="57">
        <v>0</v>
      </c>
      <c r="F943" s="57">
        <v>0</v>
      </c>
      <c r="G943" s="57">
        <v>0</v>
      </c>
      <c r="H943" s="58">
        <v>0.13758358568424556</v>
      </c>
      <c r="I943" s="58">
        <v>0</v>
      </c>
      <c r="J943" s="58">
        <v>0.13758358568424556</v>
      </c>
    </row>
    <row r="944" spans="1:10" ht="11.25" customHeight="1" x14ac:dyDescent="0.2">
      <c r="A944" s="67">
        <v>44652</v>
      </c>
      <c r="B944" s="57">
        <v>147905.58182399999</v>
      </c>
      <c r="C944" s="57">
        <v>168254.9621140605</v>
      </c>
      <c r="D944" s="57">
        <v>0</v>
      </c>
      <c r="E944" s="57">
        <v>0</v>
      </c>
      <c r="F944" s="57">
        <v>0</v>
      </c>
      <c r="G944" s="57">
        <v>0</v>
      </c>
      <c r="H944" s="58">
        <v>0.13758358568424556</v>
      </c>
      <c r="I944" s="58">
        <v>0</v>
      </c>
      <c r="J944" s="58">
        <v>0.13758358568424556</v>
      </c>
    </row>
    <row r="945" spans="1:10" ht="11.25" customHeight="1" x14ac:dyDescent="0.2">
      <c r="A945" s="67">
        <v>44682</v>
      </c>
      <c r="B945" s="57">
        <v>153111.389184</v>
      </c>
      <c r="C945" s="57">
        <v>174177.00311703075</v>
      </c>
      <c r="D945" s="57">
        <v>0</v>
      </c>
      <c r="E945" s="57">
        <v>0</v>
      </c>
      <c r="F945" s="57">
        <v>0</v>
      </c>
      <c r="G945" s="57">
        <v>0</v>
      </c>
      <c r="H945" s="58">
        <v>0.13758358568424556</v>
      </c>
      <c r="I945" s="58">
        <v>0</v>
      </c>
      <c r="J945" s="58">
        <v>0.13758358568424556</v>
      </c>
    </row>
    <row r="946" spans="1:10" ht="11.25" customHeight="1" x14ac:dyDescent="0.2">
      <c r="A946" s="67">
        <v>44743</v>
      </c>
      <c r="B946" s="57">
        <v>163352.89984</v>
      </c>
      <c r="C946" s="57">
        <v>185827.57753190663</v>
      </c>
      <c r="D946" s="57">
        <v>0</v>
      </c>
      <c r="E946" s="57">
        <v>0</v>
      </c>
      <c r="F946" s="57">
        <v>0</v>
      </c>
      <c r="G946" s="57">
        <v>0</v>
      </c>
      <c r="H946" s="58">
        <v>0.13758358568424556</v>
      </c>
      <c r="I946" s="58">
        <v>0</v>
      </c>
      <c r="J946" s="58">
        <v>0.13758358568424556</v>
      </c>
    </row>
    <row r="947" spans="1:10" ht="11.25" customHeight="1" x14ac:dyDescent="0.2">
      <c r="A947" s="67">
        <v>44774</v>
      </c>
      <c r="B947" s="57">
        <v>163352.89984</v>
      </c>
      <c r="C947" s="57">
        <v>185827.57753190663</v>
      </c>
      <c r="D947" s="57">
        <v>0</v>
      </c>
      <c r="E947" s="57">
        <v>0</v>
      </c>
      <c r="F947" s="57">
        <v>0</v>
      </c>
      <c r="G947" s="57">
        <v>0</v>
      </c>
      <c r="H947" s="58">
        <v>0.13758358568424556</v>
      </c>
      <c r="I947" s="58">
        <v>0</v>
      </c>
      <c r="J947" s="58">
        <v>0.13758358568424556</v>
      </c>
    </row>
    <row r="948" spans="1:10" ht="11.25" customHeight="1" x14ac:dyDescent="0.2">
      <c r="A948" s="66" t="s">
        <v>34</v>
      </c>
      <c r="B948" s="57">
        <v>0</v>
      </c>
      <c r="C948" s="57">
        <v>0</v>
      </c>
      <c r="D948" s="57">
        <v>2952564.2911800756</v>
      </c>
      <c r="E948" s="57">
        <v>3514094.6616630773</v>
      </c>
      <c r="F948" s="57">
        <v>0</v>
      </c>
      <c r="G948" s="57">
        <v>0</v>
      </c>
      <c r="H948" s="58">
        <v>0.19018396048492825</v>
      </c>
      <c r="I948" s="58">
        <v>0</v>
      </c>
      <c r="J948" s="58">
        <v>0.19018396048492825</v>
      </c>
    </row>
    <row r="949" spans="1:10" ht="11.25" customHeight="1" x14ac:dyDescent="0.2">
      <c r="A949" s="67">
        <v>44440</v>
      </c>
      <c r="B949" s="57">
        <v>0</v>
      </c>
      <c r="C949" s="57">
        <v>0</v>
      </c>
      <c r="D949" s="57">
        <v>248898.146203668</v>
      </c>
      <c r="E949" s="57">
        <v>296234.58140603831</v>
      </c>
      <c r="F949" s="57">
        <v>0</v>
      </c>
      <c r="G949" s="57">
        <v>0</v>
      </c>
      <c r="H949" s="58">
        <v>0.19018396048492825</v>
      </c>
      <c r="I949" s="58">
        <v>0</v>
      </c>
      <c r="J949" s="58">
        <v>0.19018396048492825</v>
      </c>
    </row>
    <row r="950" spans="1:10" ht="11.25" customHeight="1" x14ac:dyDescent="0.2">
      <c r="A950" s="67">
        <v>44470</v>
      </c>
      <c r="B950" s="57">
        <v>0</v>
      </c>
      <c r="C950" s="57">
        <v>0</v>
      </c>
      <c r="D950" s="57">
        <v>193849.14066991201</v>
      </c>
      <c r="E950" s="57">
        <v>230716.13797911588</v>
      </c>
      <c r="F950" s="57">
        <v>0</v>
      </c>
      <c r="G950" s="57">
        <v>0</v>
      </c>
      <c r="H950" s="58">
        <v>0.19018396048492847</v>
      </c>
      <c r="I950" s="58">
        <v>0</v>
      </c>
      <c r="J950" s="58">
        <v>0.19018396048492847</v>
      </c>
    </row>
    <row r="951" spans="1:10" ht="11.25" customHeight="1" x14ac:dyDescent="0.2">
      <c r="A951" s="67">
        <v>44501</v>
      </c>
      <c r="B951" s="57">
        <v>0</v>
      </c>
      <c r="C951" s="57">
        <v>0</v>
      </c>
      <c r="D951" s="57">
        <v>247500.39005499601</v>
      </c>
      <c r="E951" s="57">
        <v>294570.99445721973</v>
      </c>
      <c r="F951" s="57">
        <v>0</v>
      </c>
      <c r="G951" s="57">
        <v>0</v>
      </c>
      <c r="H951" s="58">
        <v>0.19018396048492847</v>
      </c>
      <c r="I951" s="58">
        <v>0</v>
      </c>
      <c r="J951" s="58">
        <v>0.19018396048492847</v>
      </c>
    </row>
    <row r="952" spans="1:10" ht="11.25" customHeight="1" x14ac:dyDescent="0.2">
      <c r="A952" s="67">
        <v>44531</v>
      </c>
      <c r="B952" s="57">
        <v>0</v>
      </c>
      <c r="C952" s="57">
        <v>0</v>
      </c>
      <c r="D952" s="57">
        <v>231782.14330455603</v>
      </c>
      <c r="E952" s="57">
        <v>275863.38928790169</v>
      </c>
      <c r="F952" s="57">
        <v>0</v>
      </c>
      <c r="G952" s="57">
        <v>0</v>
      </c>
      <c r="H952" s="58">
        <v>0.19018396048492825</v>
      </c>
      <c r="I952" s="58">
        <v>0</v>
      </c>
      <c r="J952" s="58">
        <v>0.19018396048492825</v>
      </c>
    </row>
    <row r="953" spans="1:10" ht="11.25" customHeight="1" x14ac:dyDescent="0.2">
      <c r="A953" s="67">
        <v>44562</v>
      </c>
      <c r="B953" s="57">
        <v>0</v>
      </c>
      <c r="C953" s="57">
        <v>0</v>
      </c>
      <c r="D953" s="57">
        <v>204858.57054663001</v>
      </c>
      <c r="E953" s="57">
        <v>243819.38483246919</v>
      </c>
      <c r="F953" s="57">
        <v>0</v>
      </c>
      <c r="G953" s="57">
        <v>0</v>
      </c>
      <c r="H953" s="58">
        <v>0.19018396048492825</v>
      </c>
      <c r="I953" s="58">
        <v>0</v>
      </c>
      <c r="J953" s="58">
        <v>0.19018396048492825</v>
      </c>
    </row>
    <row r="954" spans="1:10" ht="11.25" customHeight="1" x14ac:dyDescent="0.2">
      <c r="A954" s="67">
        <v>44593</v>
      </c>
      <c r="B954" s="57">
        <v>0</v>
      </c>
      <c r="C954" s="57">
        <v>0</v>
      </c>
      <c r="D954" s="57">
        <v>242482.82062680004</v>
      </c>
      <c r="E954" s="57">
        <v>288599.1638031613</v>
      </c>
      <c r="F954" s="57">
        <v>0</v>
      </c>
      <c r="G954" s="57">
        <v>0</v>
      </c>
      <c r="H954" s="58">
        <v>0.19018396048492825</v>
      </c>
      <c r="I954" s="58">
        <v>0</v>
      </c>
      <c r="J954" s="58">
        <v>0.19018396048492825</v>
      </c>
    </row>
    <row r="955" spans="1:10" ht="11.25" customHeight="1" x14ac:dyDescent="0.2">
      <c r="A955" s="67">
        <v>44621</v>
      </c>
      <c r="B955" s="57">
        <v>0</v>
      </c>
      <c r="C955" s="57">
        <v>0</v>
      </c>
      <c r="D955" s="57">
        <v>243036.48552393602</v>
      </c>
      <c r="E955" s="57">
        <v>289258.12688321609</v>
      </c>
      <c r="F955" s="57">
        <v>0</v>
      </c>
      <c r="G955" s="57">
        <v>0</v>
      </c>
      <c r="H955" s="58">
        <v>0.19018396048492825</v>
      </c>
      <c r="I955" s="58">
        <v>0</v>
      </c>
      <c r="J955" s="58">
        <v>0.19018396048492825</v>
      </c>
    </row>
    <row r="956" spans="1:10" ht="11.25" customHeight="1" x14ac:dyDescent="0.2">
      <c r="A956" s="67">
        <v>44652</v>
      </c>
      <c r="B956" s="57">
        <v>0</v>
      </c>
      <c r="C956" s="57">
        <v>0</v>
      </c>
      <c r="D956" s="57">
        <v>299219.02700238902</v>
      </c>
      <c r="E956" s="57">
        <v>356125.68661015003</v>
      </c>
      <c r="F956" s="57">
        <v>0</v>
      </c>
      <c r="G956" s="57">
        <v>0</v>
      </c>
      <c r="H956" s="58">
        <v>0.19018396048492825</v>
      </c>
      <c r="I956" s="58">
        <v>0</v>
      </c>
      <c r="J956" s="58">
        <v>0.19018396048492825</v>
      </c>
    </row>
    <row r="957" spans="1:10" ht="11.25" customHeight="1" x14ac:dyDescent="0.2">
      <c r="A957" s="67">
        <v>44682</v>
      </c>
      <c r="B957" s="57">
        <v>0</v>
      </c>
      <c r="C957" s="57">
        <v>0</v>
      </c>
      <c r="D957" s="57">
        <v>255789.60440716799</v>
      </c>
      <c r="E957" s="57">
        <v>304436.68442419625</v>
      </c>
      <c r="F957" s="57">
        <v>0</v>
      </c>
      <c r="G957" s="57">
        <v>0</v>
      </c>
      <c r="H957" s="58">
        <v>0.19018396048492825</v>
      </c>
      <c r="I957" s="58">
        <v>0</v>
      </c>
      <c r="J957" s="58">
        <v>0.19018396048492825</v>
      </c>
    </row>
    <row r="958" spans="1:10" ht="11.25" customHeight="1" x14ac:dyDescent="0.2">
      <c r="A958" s="67">
        <v>44713</v>
      </c>
      <c r="B958" s="57">
        <v>0</v>
      </c>
      <c r="C958" s="57">
        <v>0</v>
      </c>
      <c r="D958" s="57">
        <v>265537.40739786002</v>
      </c>
      <c r="E958" s="57">
        <v>316038.3631936849</v>
      </c>
      <c r="F958" s="57">
        <v>0</v>
      </c>
      <c r="G958" s="57">
        <v>0</v>
      </c>
      <c r="H958" s="58">
        <v>0.19018396048492825</v>
      </c>
      <c r="I958" s="58">
        <v>0</v>
      </c>
      <c r="J958" s="58">
        <v>0.19018396048492825</v>
      </c>
    </row>
    <row r="959" spans="1:10" ht="11.25" customHeight="1" x14ac:dyDescent="0.2">
      <c r="A959" s="67">
        <v>44743</v>
      </c>
      <c r="B959" s="57">
        <v>0</v>
      </c>
      <c r="C959" s="57">
        <v>0</v>
      </c>
      <c r="D959" s="57">
        <v>259805.27772108003</v>
      </c>
      <c r="E959" s="57">
        <v>309216.07439296175</v>
      </c>
      <c r="F959" s="57">
        <v>0</v>
      </c>
      <c r="G959" s="57">
        <v>0</v>
      </c>
      <c r="H959" s="58">
        <v>0.19018396048492825</v>
      </c>
      <c r="I959" s="58">
        <v>0</v>
      </c>
      <c r="J959" s="58">
        <v>0.19018396048492825</v>
      </c>
    </row>
    <row r="960" spans="1:10" ht="11.25" customHeight="1" x14ac:dyDescent="0.2">
      <c r="A960" s="67">
        <v>44774</v>
      </c>
      <c r="B960" s="57">
        <v>0</v>
      </c>
      <c r="C960" s="57">
        <v>0</v>
      </c>
      <c r="D960" s="57">
        <v>259805.27772108003</v>
      </c>
      <c r="E960" s="57">
        <v>309216.07439296175</v>
      </c>
      <c r="F960" s="57">
        <v>0</v>
      </c>
      <c r="G960" s="57">
        <v>0</v>
      </c>
      <c r="H960" s="58">
        <v>0.19018396048492825</v>
      </c>
      <c r="I960" s="58">
        <v>0</v>
      </c>
      <c r="J960" s="58">
        <v>0.19018396048492825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314C7-DC3B-4D0B-809B-2EB0C853EF2F}">
  <dimension ref="A1:G475"/>
  <sheetViews>
    <sheetView showGridLines="0" workbookViewId="0"/>
  </sheetViews>
  <sheetFormatPr defaultRowHeight="11.25" customHeight="1" x14ac:dyDescent="0.2"/>
  <cols>
    <col min="1" max="1" width="41.140625" style="16" bestFit="1" customWidth="1"/>
    <col min="2" max="2" width="20.42578125" style="57" bestFit="1" customWidth="1"/>
    <col min="3" max="3" width="21.85546875" style="57" bestFit="1" customWidth="1"/>
    <col min="4" max="4" width="20.28515625" style="57" bestFit="1" customWidth="1"/>
    <col min="5" max="5" width="21.7109375" style="57" bestFit="1" customWidth="1"/>
    <col min="6" max="6" width="14.85546875" style="57" bestFit="1" customWidth="1"/>
    <col min="7" max="7" width="14.7109375" style="57" bestFit="1" customWidth="1"/>
    <col min="8" max="16384" width="9.140625" style="16"/>
  </cols>
  <sheetData>
    <row r="1" spans="1:7" ht="11.25" customHeight="1" x14ac:dyDescent="0.2">
      <c r="A1" s="56" t="s">
        <v>830</v>
      </c>
      <c r="B1" s="57" t="s">
        <v>856</v>
      </c>
      <c r="C1" s="57" t="s">
        <v>857</v>
      </c>
      <c r="D1" s="57" t="s">
        <v>858</v>
      </c>
      <c r="E1" s="57" t="s">
        <v>859</v>
      </c>
      <c r="F1" s="57" t="s">
        <v>860</v>
      </c>
      <c r="G1" s="57" t="s">
        <v>861</v>
      </c>
    </row>
    <row r="2" spans="1:7" ht="11.25" customHeight="1" x14ac:dyDescent="0.2">
      <c r="A2" s="59" t="s">
        <v>847</v>
      </c>
      <c r="B2" s="57">
        <v>199761.31800000009</v>
      </c>
      <c r="C2" s="57">
        <v>387949.74789240002</v>
      </c>
      <c r="D2" s="57">
        <v>227738.69024484255</v>
      </c>
      <c r="E2" s="57">
        <v>465369.04304706631</v>
      </c>
      <c r="F2" s="57">
        <v>587711.0658924001</v>
      </c>
      <c r="G2" s="57">
        <v>693107.73329190887</v>
      </c>
    </row>
    <row r="3" spans="1:7" ht="11.25" customHeight="1" x14ac:dyDescent="0.2">
      <c r="A3" s="60" t="s">
        <v>39</v>
      </c>
      <c r="B3" s="57">
        <v>199761.31800000009</v>
      </c>
      <c r="C3" s="57">
        <v>257567.85404279994</v>
      </c>
      <c r="D3" s="57">
        <v>227738.69024484255</v>
      </c>
      <c r="E3" s="57">
        <v>308871.77413064026</v>
      </c>
      <c r="F3" s="57">
        <v>457329.1720428</v>
      </c>
      <c r="G3" s="57">
        <v>536610.46437548287</v>
      </c>
    </row>
    <row r="4" spans="1:7" ht="11.25" customHeight="1" x14ac:dyDescent="0.2">
      <c r="A4" s="61" t="s">
        <v>42</v>
      </c>
      <c r="B4" s="57">
        <v>182147.04600000012</v>
      </c>
      <c r="C4" s="57">
        <v>198085.25687159997</v>
      </c>
      <c r="D4" s="57">
        <v>207700.98354386495</v>
      </c>
      <c r="E4" s="57">
        <v>238317.47412537312</v>
      </c>
      <c r="F4" s="57">
        <v>380232.30287160003</v>
      </c>
      <c r="G4" s="57">
        <v>446018.45766923809</v>
      </c>
    </row>
    <row r="5" spans="1:7" ht="11.25" customHeight="1" x14ac:dyDescent="0.2">
      <c r="A5" s="62" t="s">
        <v>49</v>
      </c>
      <c r="B5" s="57">
        <v>182147.04600000012</v>
      </c>
      <c r="C5" s="57">
        <v>198085.25687159997</v>
      </c>
      <c r="D5" s="57">
        <v>207700.98354386495</v>
      </c>
      <c r="E5" s="57">
        <v>238317.47412537312</v>
      </c>
      <c r="F5" s="57">
        <v>380232.30287160003</v>
      </c>
      <c r="G5" s="57">
        <v>446018.45766923809</v>
      </c>
    </row>
    <row r="6" spans="1:7" ht="11.25" customHeight="1" x14ac:dyDescent="0.2">
      <c r="A6" s="63" t="s">
        <v>50</v>
      </c>
      <c r="B6" s="57">
        <v>182147.04600000012</v>
      </c>
      <c r="C6" s="57">
        <v>198085.25687159997</v>
      </c>
      <c r="D6" s="57">
        <v>207700.98354386495</v>
      </c>
      <c r="E6" s="57">
        <v>238317.47412537312</v>
      </c>
      <c r="F6" s="57">
        <v>380232.30287160003</v>
      </c>
      <c r="G6" s="57">
        <v>446018.45766923809</v>
      </c>
    </row>
    <row r="7" spans="1:7" ht="11.25" customHeight="1" x14ac:dyDescent="0.2">
      <c r="A7" s="64" t="s">
        <v>25</v>
      </c>
      <c r="B7" s="57">
        <v>182147.04600000012</v>
      </c>
      <c r="C7" s="57">
        <v>198085.25687159997</v>
      </c>
      <c r="D7" s="57">
        <v>207700.98354386495</v>
      </c>
      <c r="E7" s="57">
        <v>238317.47412537312</v>
      </c>
      <c r="F7" s="57">
        <v>380232.30287160003</v>
      </c>
      <c r="G7" s="57">
        <v>446018.45766923809</v>
      </c>
    </row>
    <row r="8" spans="1:7" ht="11.25" customHeight="1" x14ac:dyDescent="0.2">
      <c r="A8" s="65" t="s">
        <v>25</v>
      </c>
      <c r="B8" s="57">
        <v>182147.04600000012</v>
      </c>
      <c r="C8" s="57">
        <v>198085.25687159997</v>
      </c>
      <c r="D8" s="57">
        <v>207700.98354386495</v>
      </c>
      <c r="E8" s="57">
        <v>238317.47412537312</v>
      </c>
      <c r="F8" s="57">
        <v>380232.30287160003</v>
      </c>
      <c r="G8" s="57">
        <v>446018.45766923809</v>
      </c>
    </row>
    <row r="9" spans="1:7" ht="11.25" customHeight="1" x14ac:dyDescent="0.2">
      <c r="A9" s="66" t="s">
        <v>35</v>
      </c>
      <c r="B9" s="57">
        <v>45269.952000000019</v>
      </c>
      <c r="C9" s="57">
        <v>168054.94500359998</v>
      </c>
      <c r="D9" s="57">
        <v>51498.354319913691</v>
      </c>
      <c r="E9" s="57">
        <v>203944.47285728174</v>
      </c>
      <c r="F9" s="57">
        <v>213324.89700359997</v>
      </c>
      <c r="G9" s="57">
        <v>255442.82717719543</v>
      </c>
    </row>
    <row r="10" spans="1:7" ht="11.25" customHeight="1" x14ac:dyDescent="0.2">
      <c r="A10" s="67">
        <v>44440</v>
      </c>
      <c r="B10" s="57">
        <v>3793.92</v>
      </c>
      <c r="C10" s="57">
        <v>14156.48714939998</v>
      </c>
      <c r="D10" s="57">
        <v>4315.901117399173</v>
      </c>
      <c r="E10" s="57">
        <v>17179.722436215226</v>
      </c>
      <c r="F10" s="57">
        <v>17950.40714939998</v>
      </c>
      <c r="G10" s="57">
        <v>21495.623553614401</v>
      </c>
    </row>
    <row r="11" spans="1:7" ht="11.25" customHeight="1" x14ac:dyDescent="0.2">
      <c r="A11" s="67">
        <v>44470</v>
      </c>
      <c r="B11" s="57">
        <v>3828.8640000000023</v>
      </c>
      <c r="C11" s="57">
        <v>14574.547108800001</v>
      </c>
      <c r="D11" s="57">
        <v>4355.6528382173265</v>
      </c>
      <c r="E11" s="57">
        <v>17687.06256857936</v>
      </c>
      <c r="F11" s="57">
        <v>18403.411108800003</v>
      </c>
      <c r="G11" s="57">
        <v>22042.715406796688</v>
      </c>
    </row>
    <row r="12" spans="1:7" ht="11.25" customHeight="1" x14ac:dyDescent="0.2">
      <c r="A12" s="67">
        <v>44501</v>
      </c>
      <c r="B12" s="57">
        <v>3611.7120000000023</v>
      </c>
      <c r="C12" s="57">
        <v>12683.708409599983</v>
      </c>
      <c r="D12" s="57">
        <v>4108.624287418821</v>
      </c>
      <c r="E12" s="57">
        <v>15392.419576918301</v>
      </c>
      <c r="F12" s="57">
        <v>16295.420409599985</v>
      </c>
      <c r="G12" s="57">
        <v>19501.043864337124</v>
      </c>
    </row>
    <row r="13" spans="1:7" ht="11.25" customHeight="1" x14ac:dyDescent="0.2">
      <c r="A13" s="67">
        <v>44531</v>
      </c>
      <c r="B13" s="57">
        <v>3676.6080000000011</v>
      </c>
      <c r="C13" s="57">
        <v>13487.056923000004</v>
      </c>
      <c r="D13" s="57">
        <v>4182.4489117953835</v>
      </c>
      <c r="E13" s="57">
        <v>16367.329830719746</v>
      </c>
      <c r="F13" s="57">
        <v>17163.664923000004</v>
      </c>
      <c r="G13" s="57">
        <v>20549.778742515129</v>
      </c>
    </row>
    <row r="14" spans="1:7" ht="11.25" customHeight="1" x14ac:dyDescent="0.2">
      <c r="A14" s="67">
        <v>44562</v>
      </c>
      <c r="B14" s="57">
        <v>3753.9840000000022</v>
      </c>
      <c r="C14" s="57">
        <v>13970.797872000014</v>
      </c>
      <c r="D14" s="57">
        <v>4270.4705793212897</v>
      </c>
      <c r="E14" s="57">
        <v>16954.377672966668</v>
      </c>
      <c r="F14" s="57">
        <v>17724.781872000014</v>
      </c>
      <c r="G14" s="57">
        <v>21224.848252287957</v>
      </c>
    </row>
    <row r="15" spans="1:7" ht="11.25" customHeight="1" x14ac:dyDescent="0.2">
      <c r="A15" s="67">
        <v>44593</v>
      </c>
      <c r="B15" s="57">
        <v>3716.5440000000026</v>
      </c>
      <c r="C15" s="57">
        <v>12646.192865400026</v>
      </c>
      <c r="D15" s="57">
        <v>4227.8794498732714</v>
      </c>
      <c r="E15" s="57">
        <v>15346.892276988798</v>
      </c>
      <c r="F15" s="57">
        <v>16362.736865400027</v>
      </c>
      <c r="G15" s="57">
        <v>19574.771726862069</v>
      </c>
    </row>
    <row r="16" spans="1:7" ht="11.25" customHeight="1" x14ac:dyDescent="0.2">
      <c r="A16" s="67">
        <v>44621</v>
      </c>
      <c r="B16" s="57">
        <v>3841.3440000000023</v>
      </c>
      <c r="C16" s="57">
        <v>14694.785694600007</v>
      </c>
      <c r="D16" s="57">
        <v>4369.8498813666656</v>
      </c>
      <c r="E16" s="57">
        <v>17832.979101993846</v>
      </c>
      <c r="F16" s="57">
        <v>18536.129694600007</v>
      </c>
      <c r="G16" s="57">
        <v>22202.828983360512</v>
      </c>
    </row>
    <row r="17" spans="1:7" ht="11.25" customHeight="1" x14ac:dyDescent="0.2">
      <c r="A17" s="67">
        <v>44652</v>
      </c>
      <c r="B17" s="57">
        <v>3818.88</v>
      </c>
      <c r="C17" s="57">
        <v>14029.708100399992</v>
      </c>
      <c r="D17" s="57">
        <v>4344.2952036978522</v>
      </c>
      <c r="E17" s="57">
        <v>17025.868669418323</v>
      </c>
      <c r="F17" s="57">
        <v>17848.588100399993</v>
      </c>
      <c r="G17" s="57">
        <v>21370.163873116177</v>
      </c>
    </row>
    <row r="18" spans="1:7" ht="11.25" customHeight="1" x14ac:dyDescent="0.2">
      <c r="A18" s="67">
        <v>44682</v>
      </c>
      <c r="B18" s="57">
        <v>3773.9519999999993</v>
      </c>
      <c r="C18" s="57">
        <v>14597.070253199994</v>
      </c>
      <c r="D18" s="57">
        <v>4293.1858483602291</v>
      </c>
      <c r="E18" s="57">
        <v>17714.395717340005</v>
      </c>
      <c r="F18" s="57">
        <v>18371.022253199993</v>
      </c>
      <c r="G18" s="57">
        <v>22007.581565700235</v>
      </c>
    </row>
    <row r="19" spans="1:7" ht="11.25" customHeight="1" x14ac:dyDescent="0.2">
      <c r="A19" s="67">
        <v>44713</v>
      </c>
      <c r="B19" s="57">
        <v>3806.4</v>
      </c>
      <c r="C19" s="57">
        <v>13817.189105999998</v>
      </c>
      <c r="D19" s="57">
        <v>4330.0981605485131</v>
      </c>
      <c r="E19" s="57">
        <v>16767.964480498813</v>
      </c>
      <c r="F19" s="57">
        <v>17623.589105999999</v>
      </c>
      <c r="G19" s="57">
        <v>21098.062641047327</v>
      </c>
    </row>
    <row r="20" spans="1:7" ht="11.25" customHeight="1" x14ac:dyDescent="0.2">
      <c r="A20" s="67">
        <v>44743</v>
      </c>
      <c r="B20" s="57">
        <v>3823.8719999999994</v>
      </c>
      <c r="C20" s="57">
        <v>14698.700760599984</v>
      </c>
      <c r="D20" s="57">
        <v>4349.9740209575866</v>
      </c>
      <c r="E20" s="57">
        <v>17837.730262821333</v>
      </c>
      <c r="F20" s="57">
        <v>18522.572760599985</v>
      </c>
      <c r="G20" s="57">
        <v>22187.704283778919</v>
      </c>
    </row>
    <row r="21" spans="1:7" ht="11.25" customHeight="1" x14ac:dyDescent="0.2">
      <c r="A21" s="67">
        <v>44774</v>
      </c>
      <c r="B21" s="57">
        <v>3823.8719999999994</v>
      </c>
      <c r="C21" s="57">
        <v>14698.700760599984</v>
      </c>
      <c r="D21" s="57">
        <v>4349.9740209575866</v>
      </c>
      <c r="E21" s="57">
        <v>17837.730262821333</v>
      </c>
      <c r="F21" s="57">
        <v>18522.572760599985</v>
      </c>
      <c r="G21" s="57">
        <v>22187.704283778919</v>
      </c>
    </row>
    <row r="22" spans="1:7" ht="11.25" customHeight="1" x14ac:dyDescent="0.2">
      <c r="A22" s="66" t="s">
        <v>34</v>
      </c>
      <c r="B22" s="57">
        <v>136877.09400000001</v>
      </c>
      <c r="C22" s="57">
        <v>30030.31186799999</v>
      </c>
      <c r="D22" s="57">
        <v>156202.62922395125</v>
      </c>
      <c r="E22" s="57">
        <v>34373.001268091335</v>
      </c>
      <c r="F22" s="57">
        <v>166907.405868</v>
      </c>
      <c r="G22" s="57">
        <v>190575.63049204258</v>
      </c>
    </row>
    <row r="23" spans="1:7" ht="11.25" customHeight="1" x14ac:dyDescent="0.2">
      <c r="A23" s="67">
        <v>44440</v>
      </c>
      <c r="B23" s="57">
        <v>11730.987000000005</v>
      </c>
      <c r="C23" s="57">
        <v>2566.3887713999934</v>
      </c>
      <c r="D23" s="57">
        <v>13387.272912091432</v>
      </c>
      <c r="E23" s="57">
        <v>2937.5147644652952</v>
      </c>
      <c r="F23" s="57">
        <v>14297.375771399998</v>
      </c>
      <c r="G23" s="57">
        <v>16324.787676556727</v>
      </c>
    </row>
    <row r="24" spans="1:7" ht="11.25" customHeight="1" x14ac:dyDescent="0.2">
      <c r="A24" s="67">
        <v>44470</v>
      </c>
      <c r="B24" s="57">
        <v>11878.987499999999</v>
      </c>
      <c r="C24" s="57">
        <v>2534.3776655999955</v>
      </c>
      <c r="D24" s="57">
        <v>13556.16944949497</v>
      </c>
      <c r="E24" s="57">
        <v>2900.8745262588841</v>
      </c>
      <c r="F24" s="57">
        <v>14413.365165599995</v>
      </c>
      <c r="G24" s="57">
        <v>16457.043975753855</v>
      </c>
    </row>
    <row r="25" spans="1:7" ht="11.25" customHeight="1" x14ac:dyDescent="0.2">
      <c r="A25" s="67">
        <v>44501</v>
      </c>
      <c r="B25" s="57">
        <v>10952.037000000004</v>
      </c>
      <c r="C25" s="57">
        <v>2015.4014561999973</v>
      </c>
      <c r="D25" s="57">
        <v>12498.343767862254</v>
      </c>
      <c r="E25" s="57">
        <v>2306.8490635122184</v>
      </c>
      <c r="F25" s="57">
        <v>12967.438456200001</v>
      </c>
      <c r="G25" s="57">
        <v>14805.192831374472</v>
      </c>
    </row>
    <row r="26" spans="1:7" ht="11.25" customHeight="1" x14ac:dyDescent="0.2">
      <c r="A26" s="67">
        <v>44531</v>
      </c>
      <c r="B26" s="57">
        <v>11154.563999999998</v>
      </c>
      <c r="C26" s="57">
        <v>2567.7211439999951</v>
      </c>
      <c r="D26" s="57">
        <v>12729.46534536183</v>
      </c>
      <c r="E26" s="57">
        <v>2939.039811733227</v>
      </c>
      <c r="F26" s="57">
        <v>13722.285143999994</v>
      </c>
      <c r="G26" s="57">
        <v>15668.505157095056</v>
      </c>
    </row>
    <row r="27" spans="1:7" ht="11.25" customHeight="1" x14ac:dyDescent="0.2">
      <c r="A27" s="67">
        <v>44562</v>
      </c>
      <c r="B27" s="57">
        <v>11528.46</v>
      </c>
      <c r="C27" s="57">
        <v>2428.1294915999961</v>
      </c>
      <c r="D27" s="57">
        <v>13156.151334591839</v>
      </c>
      <c r="E27" s="57">
        <v>2779.2617825855168</v>
      </c>
      <c r="F27" s="57">
        <v>13956.589491599996</v>
      </c>
      <c r="G27" s="57">
        <v>15935.413117177355</v>
      </c>
    </row>
    <row r="28" spans="1:7" ht="11.25" customHeight="1" x14ac:dyDescent="0.2">
      <c r="A28" s="67">
        <v>44593</v>
      </c>
      <c r="B28" s="57">
        <v>11216.88</v>
      </c>
      <c r="C28" s="57">
        <v>2306.5419509999992</v>
      </c>
      <c r="D28" s="57">
        <v>12800.579676900168</v>
      </c>
      <c r="E28" s="57">
        <v>2640.0914434429101</v>
      </c>
      <c r="F28" s="57">
        <v>13523.421950999998</v>
      </c>
      <c r="G28" s="57">
        <v>15440.671120343079</v>
      </c>
    </row>
    <row r="29" spans="1:7" ht="11.25" customHeight="1" x14ac:dyDescent="0.2">
      <c r="A29" s="67">
        <v>44621</v>
      </c>
      <c r="B29" s="57">
        <v>11551.828500000001</v>
      </c>
      <c r="C29" s="57">
        <v>2755.1415564000044</v>
      </c>
      <c r="D29" s="57">
        <v>13182.819208918718</v>
      </c>
      <c r="E29" s="57">
        <v>3153.563127422015</v>
      </c>
      <c r="F29" s="57">
        <v>14306.970056400005</v>
      </c>
      <c r="G29" s="57">
        <v>16336.382336340732</v>
      </c>
    </row>
    <row r="30" spans="1:7" ht="11.25" customHeight="1" x14ac:dyDescent="0.2">
      <c r="A30" s="67">
        <v>44652</v>
      </c>
      <c r="B30" s="57">
        <v>11396.038500000002</v>
      </c>
      <c r="C30" s="57">
        <v>2580.1224581999991</v>
      </c>
      <c r="D30" s="57">
        <v>13005.033380072882</v>
      </c>
      <c r="E30" s="57">
        <v>2953.2344824578081</v>
      </c>
      <c r="F30" s="57">
        <v>13976.160958200002</v>
      </c>
      <c r="G30" s="57">
        <v>15958.267862530691</v>
      </c>
    </row>
    <row r="31" spans="1:7" ht="11.25" customHeight="1" x14ac:dyDescent="0.2">
      <c r="A31" s="67">
        <v>44682</v>
      </c>
      <c r="B31" s="57">
        <v>11372.67</v>
      </c>
      <c r="C31" s="57">
        <v>2479.9553693999965</v>
      </c>
      <c r="D31" s="57">
        <v>12978.365505746004</v>
      </c>
      <c r="E31" s="57">
        <v>2838.5822109303717</v>
      </c>
      <c r="F31" s="57">
        <v>13852.625369399997</v>
      </c>
      <c r="G31" s="57">
        <v>15816.947716676375</v>
      </c>
    </row>
    <row r="32" spans="1:7" ht="11.25" customHeight="1" x14ac:dyDescent="0.2">
      <c r="A32" s="67">
        <v>44713</v>
      </c>
      <c r="B32" s="57">
        <v>11209.090500000008</v>
      </c>
      <c r="C32" s="57">
        <v>2566.0471374000062</v>
      </c>
      <c r="D32" s="57">
        <v>12791.690385457885</v>
      </c>
      <c r="E32" s="57">
        <v>2937.123726704302</v>
      </c>
      <c r="F32" s="57">
        <v>13775.137637400014</v>
      </c>
      <c r="G32" s="57">
        <v>15728.814112162187</v>
      </c>
    </row>
    <row r="33" spans="1:7" ht="11.25" customHeight="1" x14ac:dyDescent="0.2">
      <c r="A33" s="67">
        <v>44743</v>
      </c>
      <c r="B33" s="57">
        <v>11442.775500000007</v>
      </c>
      <c r="C33" s="57">
        <v>2615.2424334000043</v>
      </c>
      <c r="D33" s="57">
        <v>13058.369128726637</v>
      </c>
      <c r="E33" s="57">
        <v>2993.4331642893967</v>
      </c>
      <c r="F33" s="57">
        <v>14058.017933400011</v>
      </c>
      <c r="G33" s="57">
        <v>16051.802293016033</v>
      </c>
    </row>
    <row r="34" spans="1:7" ht="11.25" customHeight="1" x14ac:dyDescent="0.2">
      <c r="A34" s="67">
        <v>44774</v>
      </c>
      <c r="B34" s="57">
        <v>11442.775500000007</v>
      </c>
      <c r="C34" s="57">
        <v>2615.2424334000043</v>
      </c>
      <c r="D34" s="57">
        <v>13058.369128726637</v>
      </c>
      <c r="E34" s="57">
        <v>2993.4331642893967</v>
      </c>
      <c r="F34" s="57">
        <v>14058.017933400011</v>
      </c>
      <c r="G34" s="57">
        <v>16051.802293016033</v>
      </c>
    </row>
    <row r="35" spans="1:7" ht="11.25" customHeight="1" x14ac:dyDescent="0.2">
      <c r="A35" s="61" t="s">
        <v>40</v>
      </c>
      <c r="B35" s="57">
        <v>17614.272000000004</v>
      </c>
      <c r="C35" s="57">
        <v>59482.597171199981</v>
      </c>
      <c r="D35" s="57">
        <v>20037.706700977615</v>
      </c>
      <c r="E35" s="57">
        <v>70554.300005267112</v>
      </c>
      <c r="F35" s="57">
        <v>77096.869171199985</v>
      </c>
      <c r="G35" s="57">
        <v>90592.00670624472</v>
      </c>
    </row>
    <row r="36" spans="1:7" ht="11.25" customHeight="1" x14ac:dyDescent="0.2">
      <c r="A36" s="62" t="s">
        <v>49</v>
      </c>
      <c r="B36" s="57">
        <v>17614.272000000004</v>
      </c>
      <c r="C36" s="57">
        <v>59482.597171199981</v>
      </c>
      <c r="D36" s="57">
        <v>20037.706700977615</v>
      </c>
      <c r="E36" s="57">
        <v>70554.300005267112</v>
      </c>
      <c r="F36" s="57">
        <v>77096.869171199985</v>
      </c>
      <c r="G36" s="57">
        <v>90592.00670624472</v>
      </c>
    </row>
    <row r="37" spans="1:7" ht="11.25" customHeight="1" x14ac:dyDescent="0.2">
      <c r="A37" s="63" t="s">
        <v>50</v>
      </c>
      <c r="B37" s="57">
        <v>17614.272000000004</v>
      </c>
      <c r="C37" s="57">
        <v>59482.597171199981</v>
      </c>
      <c r="D37" s="57">
        <v>20037.706700977615</v>
      </c>
      <c r="E37" s="57">
        <v>70554.300005267112</v>
      </c>
      <c r="F37" s="57">
        <v>77096.869171199985</v>
      </c>
      <c r="G37" s="57">
        <v>90592.00670624472</v>
      </c>
    </row>
    <row r="38" spans="1:7" ht="11.25" customHeight="1" x14ac:dyDescent="0.2">
      <c r="A38" s="64" t="s">
        <v>25</v>
      </c>
      <c r="B38" s="57">
        <v>17614.272000000004</v>
      </c>
      <c r="C38" s="57">
        <v>59482.597171199981</v>
      </c>
      <c r="D38" s="57">
        <v>20037.706700977615</v>
      </c>
      <c r="E38" s="57">
        <v>70554.300005267112</v>
      </c>
      <c r="F38" s="57">
        <v>77096.869171199985</v>
      </c>
      <c r="G38" s="57">
        <v>90592.00670624472</v>
      </c>
    </row>
    <row r="39" spans="1:7" ht="11.25" customHeight="1" x14ac:dyDescent="0.2">
      <c r="A39" s="65" t="s">
        <v>25</v>
      </c>
      <c r="B39" s="57">
        <v>17614.272000000004</v>
      </c>
      <c r="C39" s="57">
        <v>59482.597171199981</v>
      </c>
      <c r="D39" s="57">
        <v>20037.706700977615</v>
      </c>
      <c r="E39" s="57">
        <v>70554.300005267112</v>
      </c>
      <c r="F39" s="57">
        <v>77096.869171199985</v>
      </c>
      <c r="G39" s="57">
        <v>90592.00670624472</v>
      </c>
    </row>
    <row r="40" spans="1:7" ht="11.25" customHeight="1" x14ac:dyDescent="0.2">
      <c r="A40" s="66" t="s">
        <v>35</v>
      </c>
      <c r="B40" s="57">
        <v>0</v>
      </c>
      <c r="C40" s="57">
        <v>36605.821040399969</v>
      </c>
      <c r="D40" s="57">
        <v>0</v>
      </c>
      <c r="E40" s="57">
        <v>44423.297841265216</v>
      </c>
      <c r="F40" s="57">
        <v>36605.821040399969</v>
      </c>
      <c r="G40" s="57">
        <v>44423.297841265216</v>
      </c>
    </row>
    <row r="41" spans="1:7" ht="11.25" customHeight="1" x14ac:dyDescent="0.2">
      <c r="A41" s="67">
        <v>44440</v>
      </c>
      <c r="B41" s="57">
        <v>0</v>
      </c>
      <c r="C41" s="57">
        <v>2533.3931489999959</v>
      </c>
      <c r="D41" s="57">
        <v>0</v>
      </c>
      <c r="E41" s="57">
        <v>3074.4202754758899</v>
      </c>
      <c r="F41" s="57">
        <v>2533.3931489999959</v>
      </c>
      <c r="G41" s="57">
        <v>3074.4202754758899</v>
      </c>
    </row>
    <row r="42" spans="1:7" ht="11.25" customHeight="1" x14ac:dyDescent="0.2">
      <c r="A42" s="67">
        <v>44470</v>
      </c>
      <c r="B42" s="57">
        <v>0</v>
      </c>
      <c r="C42" s="57">
        <v>2544.7928999999981</v>
      </c>
      <c r="D42" s="57">
        <v>0</v>
      </c>
      <c r="E42" s="57">
        <v>3088.2545378854238</v>
      </c>
      <c r="F42" s="57">
        <v>2544.7928999999981</v>
      </c>
      <c r="G42" s="57">
        <v>3088.2545378854238</v>
      </c>
    </row>
    <row r="43" spans="1:7" ht="11.25" customHeight="1" x14ac:dyDescent="0.2">
      <c r="A43" s="67">
        <v>44501</v>
      </c>
      <c r="B43" s="57">
        <v>0</v>
      </c>
      <c r="C43" s="57">
        <v>3744.5533608000005</v>
      </c>
      <c r="D43" s="57">
        <v>0</v>
      </c>
      <c r="E43" s="57">
        <v>4544.2337994752843</v>
      </c>
      <c r="F43" s="57">
        <v>3744.5533608000005</v>
      </c>
      <c r="G43" s="57">
        <v>4544.2337994752843</v>
      </c>
    </row>
    <row r="44" spans="1:7" ht="11.25" customHeight="1" x14ac:dyDescent="0.2">
      <c r="A44" s="67">
        <v>44531</v>
      </c>
      <c r="B44" s="57">
        <v>0</v>
      </c>
      <c r="C44" s="57">
        <v>3098.613530399999</v>
      </c>
      <c r="D44" s="57">
        <v>0</v>
      </c>
      <c r="E44" s="57">
        <v>3760.3481589448702</v>
      </c>
      <c r="F44" s="57">
        <v>3098.613530399999</v>
      </c>
      <c r="G44" s="57">
        <v>3760.3481589448702</v>
      </c>
    </row>
    <row r="45" spans="1:7" ht="11.25" customHeight="1" x14ac:dyDescent="0.2">
      <c r="A45" s="67">
        <v>44562</v>
      </c>
      <c r="B45" s="57">
        <v>0</v>
      </c>
      <c r="C45" s="57">
        <v>3339.597357599996</v>
      </c>
      <c r="D45" s="57">
        <v>0</v>
      </c>
      <c r="E45" s="57">
        <v>4052.7960818809133</v>
      </c>
      <c r="F45" s="57">
        <v>3339.597357599996</v>
      </c>
      <c r="G45" s="57">
        <v>4052.7960818809133</v>
      </c>
    </row>
    <row r="46" spans="1:7" ht="11.25" customHeight="1" x14ac:dyDescent="0.2">
      <c r="A46" s="67">
        <v>44593</v>
      </c>
      <c r="B46" s="57">
        <v>0</v>
      </c>
      <c r="C46" s="57">
        <v>3140.1132299999936</v>
      </c>
      <c r="D46" s="57">
        <v>0</v>
      </c>
      <c r="E46" s="57">
        <v>3810.7104637165339</v>
      </c>
      <c r="F46" s="57">
        <v>3140.1132299999936</v>
      </c>
      <c r="G46" s="57">
        <v>3810.7104637165339</v>
      </c>
    </row>
    <row r="47" spans="1:7" ht="11.25" customHeight="1" x14ac:dyDescent="0.2">
      <c r="A47" s="67">
        <v>44621</v>
      </c>
      <c r="B47" s="57">
        <v>0</v>
      </c>
      <c r="C47" s="57">
        <v>3267.3068153999916</v>
      </c>
      <c r="D47" s="57">
        <v>0</v>
      </c>
      <c r="E47" s="57">
        <v>3965.0672946010673</v>
      </c>
      <c r="F47" s="57">
        <v>3267.3068153999916</v>
      </c>
      <c r="G47" s="57">
        <v>3965.0672946010673</v>
      </c>
    </row>
    <row r="48" spans="1:7" ht="11.25" customHeight="1" x14ac:dyDescent="0.2">
      <c r="A48" s="67">
        <v>44652</v>
      </c>
      <c r="B48" s="57">
        <v>0</v>
      </c>
      <c r="C48" s="57">
        <v>3196.7204783999941</v>
      </c>
      <c r="D48" s="57">
        <v>0</v>
      </c>
      <c r="E48" s="57">
        <v>3879.4066596814428</v>
      </c>
      <c r="F48" s="57">
        <v>3196.7204783999941</v>
      </c>
      <c r="G48" s="57">
        <v>3879.4066596814428</v>
      </c>
    </row>
    <row r="49" spans="1:7" ht="11.25" customHeight="1" x14ac:dyDescent="0.2">
      <c r="A49" s="67">
        <v>44682</v>
      </c>
      <c r="B49" s="57">
        <v>0</v>
      </c>
      <c r="C49" s="57">
        <v>3102.206179200005</v>
      </c>
      <c r="D49" s="57">
        <v>0</v>
      </c>
      <c r="E49" s="57">
        <v>3764.7080477042455</v>
      </c>
      <c r="F49" s="57">
        <v>3102.206179200005</v>
      </c>
      <c r="G49" s="57">
        <v>3764.7080477042455</v>
      </c>
    </row>
    <row r="50" spans="1:7" ht="11.25" customHeight="1" x14ac:dyDescent="0.2">
      <c r="A50" s="67">
        <v>44713</v>
      </c>
      <c r="B50" s="57">
        <v>0</v>
      </c>
      <c r="C50" s="57">
        <v>2836.8568236000028</v>
      </c>
      <c r="D50" s="57">
        <v>0</v>
      </c>
      <c r="E50" s="57">
        <v>3442.6911356181267</v>
      </c>
      <c r="F50" s="57">
        <v>2836.8568236000028</v>
      </c>
      <c r="G50" s="57">
        <v>3442.6911356181267</v>
      </c>
    </row>
    <row r="51" spans="1:7" ht="11.25" customHeight="1" x14ac:dyDescent="0.2">
      <c r="A51" s="67">
        <v>44743</v>
      </c>
      <c r="B51" s="57">
        <v>0</v>
      </c>
      <c r="C51" s="57">
        <v>2900.8336079999972</v>
      </c>
      <c r="D51" s="57">
        <v>0</v>
      </c>
      <c r="E51" s="57">
        <v>3520.3306931407055</v>
      </c>
      <c r="F51" s="57">
        <v>2900.8336079999972</v>
      </c>
      <c r="G51" s="57">
        <v>3520.3306931407055</v>
      </c>
    </row>
    <row r="52" spans="1:7" ht="11.25" customHeight="1" x14ac:dyDescent="0.2">
      <c r="A52" s="67">
        <v>44774</v>
      </c>
      <c r="B52" s="57">
        <v>0</v>
      </c>
      <c r="C52" s="57">
        <v>2900.8336079999972</v>
      </c>
      <c r="D52" s="57">
        <v>0</v>
      </c>
      <c r="E52" s="57">
        <v>3520.3306931407055</v>
      </c>
      <c r="F52" s="57">
        <v>2900.8336079999972</v>
      </c>
      <c r="G52" s="57">
        <v>3520.3306931407055</v>
      </c>
    </row>
    <row r="53" spans="1:7" ht="11.25" customHeight="1" x14ac:dyDescent="0.2">
      <c r="A53" s="66" t="s">
        <v>25</v>
      </c>
      <c r="B53" s="57">
        <v>17614.272000000004</v>
      </c>
      <c r="C53" s="57">
        <v>0</v>
      </c>
      <c r="D53" s="57">
        <v>20037.706700977615</v>
      </c>
      <c r="E53" s="57">
        <v>0</v>
      </c>
      <c r="F53" s="57">
        <v>17614.272000000004</v>
      </c>
      <c r="G53" s="57">
        <v>20037.706700977611</v>
      </c>
    </row>
    <row r="54" spans="1:7" ht="11.25" customHeight="1" x14ac:dyDescent="0.2">
      <c r="A54" s="67">
        <v>44440</v>
      </c>
      <c r="B54" s="57">
        <v>1337.8560000000007</v>
      </c>
      <c r="C54" s="57">
        <v>0</v>
      </c>
      <c r="D54" s="57">
        <v>1521.9230256091828</v>
      </c>
      <c r="E54" s="57">
        <v>0</v>
      </c>
      <c r="F54" s="57">
        <v>1337.8560000000007</v>
      </c>
      <c r="G54" s="57">
        <v>1521.9230256091828</v>
      </c>
    </row>
    <row r="55" spans="1:7" ht="11.25" customHeight="1" x14ac:dyDescent="0.2">
      <c r="A55" s="67">
        <v>44470</v>
      </c>
      <c r="B55" s="57">
        <v>1340.3520000000003</v>
      </c>
      <c r="C55" s="57">
        <v>0</v>
      </c>
      <c r="D55" s="57">
        <v>1524.7624342390502</v>
      </c>
      <c r="E55" s="57">
        <v>0</v>
      </c>
      <c r="F55" s="57">
        <v>1340.3520000000003</v>
      </c>
      <c r="G55" s="57">
        <v>1524.7624342390502</v>
      </c>
    </row>
    <row r="56" spans="1:7" ht="11.25" customHeight="1" x14ac:dyDescent="0.2">
      <c r="A56" s="67">
        <v>44501</v>
      </c>
      <c r="B56" s="57">
        <v>1617.4080000000008</v>
      </c>
      <c r="C56" s="57">
        <v>0</v>
      </c>
      <c r="D56" s="57">
        <v>1839.9367921543853</v>
      </c>
      <c r="E56" s="57">
        <v>0</v>
      </c>
      <c r="F56" s="57">
        <v>1617.4080000000008</v>
      </c>
      <c r="G56" s="57">
        <v>1839.9367921543853</v>
      </c>
    </row>
    <row r="57" spans="1:7" ht="11.25" customHeight="1" x14ac:dyDescent="0.2">
      <c r="A57" s="67">
        <v>44531</v>
      </c>
      <c r="B57" s="57">
        <v>1500.0960000000007</v>
      </c>
      <c r="C57" s="57">
        <v>0</v>
      </c>
      <c r="D57" s="57">
        <v>1706.4845865505949</v>
      </c>
      <c r="E57" s="57">
        <v>0</v>
      </c>
      <c r="F57" s="57">
        <v>1500.0960000000007</v>
      </c>
      <c r="G57" s="57">
        <v>1706.4845865505949</v>
      </c>
    </row>
    <row r="58" spans="1:7" ht="11.25" customHeight="1" x14ac:dyDescent="0.2">
      <c r="A58" s="67">
        <v>44562</v>
      </c>
      <c r="B58" s="57">
        <v>1475.1360000000006</v>
      </c>
      <c r="C58" s="57">
        <v>0</v>
      </c>
      <c r="D58" s="57">
        <v>1678.0905002519162</v>
      </c>
      <c r="E58" s="57">
        <v>0</v>
      </c>
      <c r="F58" s="57">
        <v>1475.1360000000006</v>
      </c>
      <c r="G58" s="57">
        <v>1678.0905002519162</v>
      </c>
    </row>
    <row r="59" spans="1:7" ht="11.25" customHeight="1" x14ac:dyDescent="0.2">
      <c r="A59" s="67">
        <v>44593</v>
      </c>
      <c r="B59" s="57">
        <v>1485.1200000000001</v>
      </c>
      <c r="C59" s="57">
        <v>0</v>
      </c>
      <c r="D59" s="57">
        <v>1689.448134771387</v>
      </c>
      <c r="E59" s="57">
        <v>0</v>
      </c>
      <c r="F59" s="57">
        <v>1485.1200000000001</v>
      </c>
      <c r="G59" s="57">
        <v>1689.448134771387</v>
      </c>
    </row>
    <row r="60" spans="1:7" ht="11.25" customHeight="1" x14ac:dyDescent="0.2">
      <c r="A60" s="67">
        <v>44621</v>
      </c>
      <c r="B60" s="57">
        <v>1480.1279999999999</v>
      </c>
      <c r="C60" s="57">
        <v>0</v>
      </c>
      <c r="D60" s="57">
        <v>1683.769317511651</v>
      </c>
      <c r="E60" s="57">
        <v>0</v>
      </c>
      <c r="F60" s="57">
        <v>1480.1279999999999</v>
      </c>
      <c r="G60" s="57">
        <v>1683.769317511651</v>
      </c>
    </row>
    <row r="61" spans="1:7" ht="11.25" customHeight="1" x14ac:dyDescent="0.2">
      <c r="A61" s="67">
        <v>44652</v>
      </c>
      <c r="B61" s="57">
        <v>1477.6320000000003</v>
      </c>
      <c r="C61" s="57">
        <v>0</v>
      </c>
      <c r="D61" s="57">
        <v>1680.9299088817836</v>
      </c>
      <c r="E61" s="57">
        <v>0</v>
      </c>
      <c r="F61" s="57">
        <v>1477.6320000000003</v>
      </c>
      <c r="G61" s="57">
        <v>1680.9299088817836</v>
      </c>
    </row>
    <row r="62" spans="1:7" ht="11.25" customHeight="1" x14ac:dyDescent="0.2">
      <c r="A62" s="67">
        <v>44682</v>
      </c>
      <c r="B62" s="57">
        <v>1475.1360000000006</v>
      </c>
      <c r="C62" s="57">
        <v>0</v>
      </c>
      <c r="D62" s="57">
        <v>1678.0905002519162</v>
      </c>
      <c r="E62" s="57">
        <v>0</v>
      </c>
      <c r="F62" s="57">
        <v>1475.1360000000006</v>
      </c>
      <c r="G62" s="57">
        <v>1678.0905002519162</v>
      </c>
    </row>
    <row r="63" spans="1:7" ht="11.25" customHeight="1" x14ac:dyDescent="0.2">
      <c r="A63" s="67">
        <v>44713</v>
      </c>
      <c r="B63" s="57">
        <v>1490.1120000000003</v>
      </c>
      <c r="C63" s="57">
        <v>0</v>
      </c>
      <c r="D63" s="57">
        <v>1695.126952031123</v>
      </c>
      <c r="E63" s="57">
        <v>0</v>
      </c>
      <c r="F63" s="57">
        <v>1490.1120000000003</v>
      </c>
      <c r="G63" s="57">
        <v>1695.126952031123</v>
      </c>
    </row>
    <row r="64" spans="1:7" ht="11.25" customHeight="1" x14ac:dyDescent="0.2">
      <c r="A64" s="67">
        <v>44743</v>
      </c>
      <c r="B64" s="57">
        <v>1467.6479999999999</v>
      </c>
      <c r="C64" s="57">
        <v>0</v>
      </c>
      <c r="D64" s="57">
        <v>1669.5722743623116</v>
      </c>
      <c r="E64" s="57">
        <v>0</v>
      </c>
      <c r="F64" s="57">
        <v>1467.6479999999999</v>
      </c>
      <c r="G64" s="57">
        <v>1669.5722743623116</v>
      </c>
    </row>
    <row r="65" spans="1:7" ht="11.25" customHeight="1" x14ac:dyDescent="0.2">
      <c r="A65" s="67">
        <v>44774</v>
      </c>
      <c r="B65" s="57">
        <v>1467.6479999999999</v>
      </c>
      <c r="C65" s="57">
        <v>0</v>
      </c>
      <c r="D65" s="57">
        <v>1669.5722743623116</v>
      </c>
      <c r="E65" s="57">
        <v>0</v>
      </c>
      <c r="F65" s="57">
        <v>1467.6479999999999</v>
      </c>
      <c r="G65" s="57">
        <v>1669.5722743623116</v>
      </c>
    </row>
    <row r="66" spans="1:7" ht="11.25" customHeight="1" x14ac:dyDescent="0.2">
      <c r="A66" s="66" t="s">
        <v>34</v>
      </c>
      <c r="B66" s="57">
        <v>0</v>
      </c>
      <c r="C66" s="57">
        <v>22876.776130800015</v>
      </c>
      <c r="D66" s="57">
        <v>0</v>
      </c>
      <c r="E66" s="57">
        <v>26131.002164001893</v>
      </c>
      <c r="F66" s="57">
        <v>22876.776130800015</v>
      </c>
      <c r="G66" s="57">
        <v>26131.002164001893</v>
      </c>
    </row>
    <row r="67" spans="1:7" ht="11.25" customHeight="1" x14ac:dyDescent="0.2">
      <c r="A67" s="67">
        <v>44440</v>
      </c>
      <c r="B67" s="57">
        <v>0</v>
      </c>
      <c r="C67" s="57">
        <v>1649.2417398000009</v>
      </c>
      <c r="D67" s="57">
        <v>0</v>
      </c>
      <c r="E67" s="57">
        <v>1883.8467109731241</v>
      </c>
      <c r="F67" s="57">
        <v>1649.2417398000009</v>
      </c>
      <c r="G67" s="57">
        <v>1883.8467109731241</v>
      </c>
    </row>
    <row r="68" spans="1:7" ht="11.25" customHeight="1" x14ac:dyDescent="0.2">
      <c r="A68" s="67">
        <v>44470</v>
      </c>
      <c r="B68" s="57">
        <v>0</v>
      </c>
      <c r="C68" s="57">
        <v>1615.5169235999981</v>
      </c>
      <c r="D68" s="57">
        <v>0</v>
      </c>
      <c r="E68" s="57">
        <v>1845.3245328452213</v>
      </c>
      <c r="F68" s="57">
        <v>1615.5169235999981</v>
      </c>
      <c r="G68" s="57">
        <v>1845.3245328452213</v>
      </c>
    </row>
    <row r="69" spans="1:7" ht="11.25" customHeight="1" x14ac:dyDescent="0.2">
      <c r="A69" s="67">
        <v>44501</v>
      </c>
      <c r="B69" s="57">
        <v>0</v>
      </c>
      <c r="C69" s="57">
        <v>2132.8490555999988</v>
      </c>
      <c r="D69" s="57">
        <v>0</v>
      </c>
      <c r="E69" s="57">
        <v>2436.2472652926176</v>
      </c>
      <c r="F69" s="57">
        <v>2132.8490555999988</v>
      </c>
      <c r="G69" s="57">
        <v>2436.2472652926176</v>
      </c>
    </row>
    <row r="70" spans="1:7" ht="11.25" customHeight="1" x14ac:dyDescent="0.2">
      <c r="A70" s="67">
        <v>44531</v>
      </c>
      <c r="B70" s="57">
        <v>0</v>
      </c>
      <c r="C70" s="57">
        <v>2001.5514701999987</v>
      </c>
      <c r="D70" s="57">
        <v>0</v>
      </c>
      <c r="E70" s="57">
        <v>2286.2725718043866</v>
      </c>
      <c r="F70" s="57">
        <v>2001.5514701999987</v>
      </c>
      <c r="G70" s="57">
        <v>2286.2725718043866</v>
      </c>
    </row>
    <row r="71" spans="1:7" ht="11.25" customHeight="1" x14ac:dyDescent="0.2">
      <c r="A71" s="67">
        <v>44562</v>
      </c>
      <c r="B71" s="57">
        <v>0</v>
      </c>
      <c r="C71" s="57">
        <v>2009.0822544000043</v>
      </c>
      <c r="D71" s="57">
        <v>0</v>
      </c>
      <c r="E71" s="57">
        <v>2294.8746115805261</v>
      </c>
      <c r="F71" s="57">
        <v>2009.0822544000043</v>
      </c>
      <c r="G71" s="57">
        <v>2294.8746115805261</v>
      </c>
    </row>
    <row r="72" spans="1:7" ht="11.25" customHeight="1" x14ac:dyDescent="0.2">
      <c r="A72" s="67">
        <v>44593</v>
      </c>
      <c r="B72" s="57">
        <v>0</v>
      </c>
      <c r="C72" s="57">
        <v>1950.6913914000047</v>
      </c>
      <c r="D72" s="57">
        <v>0</v>
      </c>
      <c r="E72" s="57">
        <v>2228.1776365047126</v>
      </c>
      <c r="F72" s="57">
        <v>1950.6913914000047</v>
      </c>
      <c r="G72" s="57">
        <v>2228.1776365047126</v>
      </c>
    </row>
    <row r="73" spans="1:7" ht="11.25" customHeight="1" x14ac:dyDescent="0.2">
      <c r="A73" s="67">
        <v>44621</v>
      </c>
      <c r="B73" s="57">
        <v>0</v>
      </c>
      <c r="C73" s="57">
        <v>2149.8751763999994</v>
      </c>
      <c r="D73" s="57">
        <v>0</v>
      </c>
      <c r="E73" s="57">
        <v>2455.6953552212672</v>
      </c>
      <c r="F73" s="57">
        <v>2149.8751763999994</v>
      </c>
      <c r="G73" s="57">
        <v>2455.6953552212672</v>
      </c>
    </row>
    <row r="74" spans="1:7" ht="11.25" customHeight="1" x14ac:dyDescent="0.2">
      <c r="A74" s="67">
        <v>44652</v>
      </c>
      <c r="B74" s="57">
        <v>0</v>
      </c>
      <c r="C74" s="57">
        <v>2098.5785304000028</v>
      </c>
      <c r="D74" s="57">
        <v>0</v>
      </c>
      <c r="E74" s="57">
        <v>2397.1017509490607</v>
      </c>
      <c r="F74" s="57">
        <v>2098.5785304000028</v>
      </c>
      <c r="G74" s="57">
        <v>2397.1017509490607</v>
      </c>
    </row>
    <row r="75" spans="1:7" ht="11.25" customHeight="1" x14ac:dyDescent="0.2">
      <c r="A75" s="67">
        <v>44682</v>
      </c>
      <c r="B75" s="57">
        <v>0</v>
      </c>
      <c r="C75" s="57">
        <v>1862.3956751999999</v>
      </c>
      <c r="D75" s="57">
        <v>0</v>
      </c>
      <c r="E75" s="57">
        <v>2127.3218368106263</v>
      </c>
      <c r="F75" s="57">
        <v>1862.3956751999999</v>
      </c>
      <c r="G75" s="57">
        <v>2127.3218368106263</v>
      </c>
    </row>
    <row r="76" spans="1:7" ht="11.25" customHeight="1" x14ac:dyDescent="0.2">
      <c r="A76" s="67">
        <v>44713</v>
      </c>
      <c r="B76" s="57">
        <v>0</v>
      </c>
      <c r="C76" s="57">
        <v>1826.0514558000025</v>
      </c>
      <c r="D76" s="57">
        <v>0</v>
      </c>
      <c r="E76" s="57">
        <v>2085.8076448475526</v>
      </c>
      <c r="F76" s="57">
        <v>1826.0514558000025</v>
      </c>
      <c r="G76" s="57">
        <v>2085.8076448475526</v>
      </c>
    </row>
    <row r="77" spans="1:7" ht="11.25" customHeight="1" x14ac:dyDescent="0.2">
      <c r="A77" s="67">
        <v>44743</v>
      </c>
      <c r="B77" s="57">
        <v>0</v>
      </c>
      <c r="C77" s="57">
        <v>1790.471229000002</v>
      </c>
      <c r="D77" s="57">
        <v>0</v>
      </c>
      <c r="E77" s="57">
        <v>2045.1661235864021</v>
      </c>
      <c r="F77" s="57">
        <v>1790.471229000002</v>
      </c>
      <c r="G77" s="57">
        <v>2045.1661235864021</v>
      </c>
    </row>
    <row r="78" spans="1:7" ht="11.25" customHeight="1" x14ac:dyDescent="0.2">
      <c r="A78" s="67">
        <v>44774</v>
      </c>
      <c r="B78" s="57">
        <v>0</v>
      </c>
      <c r="C78" s="57">
        <v>1790.471229000002</v>
      </c>
      <c r="D78" s="57">
        <v>0</v>
      </c>
      <c r="E78" s="57">
        <v>2045.1661235864021</v>
      </c>
      <c r="F78" s="57">
        <v>1790.471229000002</v>
      </c>
      <c r="G78" s="57">
        <v>2045.1661235864021</v>
      </c>
    </row>
    <row r="79" spans="1:7" ht="11.25" customHeight="1" x14ac:dyDescent="0.2">
      <c r="A79" s="60" t="s">
        <v>37</v>
      </c>
      <c r="B79" s="57">
        <v>0</v>
      </c>
      <c r="C79" s="57">
        <v>130381.89384960005</v>
      </c>
      <c r="D79" s="57">
        <v>0</v>
      </c>
      <c r="E79" s="57">
        <v>156497.26891642608</v>
      </c>
      <c r="F79" s="57">
        <v>130381.89384960005</v>
      </c>
      <c r="G79" s="57">
        <v>156497.26891642608</v>
      </c>
    </row>
    <row r="80" spans="1:7" ht="11.25" customHeight="1" x14ac:dyDescent="0.2">
      <c r="A80" s="61" t="s">
        <v>23</v>
      </c>
      <c r="B80" s="57">
        <v>0</v>
      </c>
      <c r="C80" s="57">
        <v>130381.89384960005</v>
      </c>
      <c r="D80" s="57">
        <v>0</v>
      </c>
      <c r="E80" s="57">
        <v>156497.26891642608</v>
      </c>
      <c r="F80" s="57">
        <v>130381.89384960005</v>
      </c>
      <c r="G80" s="57">
        <v>156497.26891642608</v>
      </c>
    </row>
    <row r="81" spans="1:7" ht="11.25" customHeight="1" x14ac:dyDescent="0.2">
      <c r="A81" s="62" t="s">
        <v>49</v>
      </c>
      <c r="B81" s="57">
        <v>0</v>
      </c>
      <c r="C81" s="57">
        <v>130381.89384960005</v>
      </c>
      <c r="D81" s="57">
        <v>0</v>
      </c>
      <c r="E81" s="57">
        <v>156497.26891642608</v>
      </c>
      <c r="F81" s="57">
        <v>130381.89384960005</v>
      </c>
      <c r="G81" s="57">
        <v>156497.26891642608</v>
      </c>
    </row>
    <row r="82" spans="1:7" ht="11.25" customHeight="1" x14ac:dyDescent="0.2">
      <c r="A82" s="63" t="s">
        <v>50</v>
      </c>
      <c r="B82" s="57">
        <v>0</v>
      </c>
      <c r="C82" s="57">
        <v>130381.89384960005</v>
      </c>
      <c r="D82" s="57">
        <v>0</v>
      </c>
      <c r="E82" s="57">
        <v>156497.26891642608</v>
      </c>
      <c r="F82" s="57">
        <v>130381.89384960005</v>
      </c>
      <c r="G82" s="57">
        <v>156497.26891642608</v>
      </c>
    </row>
    <row r="83" spans="1:7" ht="11.25" customHeight="1" x14ac:dyDescent="0.2">
      <c r="A83" s="64" t="s">
        <v>25</v>
      </c>
      <c r="B83" s="57">
        <v>0</v>
      </c>
      <c r="C83" s="57">
        <v>130381.89384960005</v>
      </c>
      <c r="D83" s="57">
        <v>0</v>
      </c>
      <c r="E83" s="57">
        <v>156497.26891642608</v>
      </c>
      <c r="F83" s="57">
        <v>130381.89384960005</v>
      </c>
      <c r="G83" s="57">
        <v>156497.26891642608</v>
      </c>
    </row>
    <row r="84" spans="1:7" ht="11.25" customHeight="1" x14ac:dyDescent="0.2">
      <c r="A84" s="65" t="s">
        <v>25</v>
      </c>
      <c r="B84" s="57">
        <v>0</v>
      </c>
      <c r="C84" s="57">
        <v>130381.89384960005</v>
      </c>
      <c r="D84" s="57">
        <v>0</v>
      </c>
      <c r="E84" s="57">
        <v>156497.26891642608</v>
      </c>
      <c r="F84" s="57">
        <v>130381.89384960005</v>
      </c>
      <c r="G84" s="57">
        <v>156497.26891642608</v>
      </c>
    </row>
    <row r="85" spans="1:7" ht="11.25" customHeight="1" x14ac:dyDescent="0.2">
      <c r="A85" s="66" t="s">
        <v>25</v>
      </c>
      <c r="B85" s="57">
        <v>0</v>
      </c>
      <c r="C85" s="57">
        <v>130381.89384960005</v>
      </c>
      <c r="D85" s="57">
        <v>0</v>
      </c>
      <c r="E85" s="57">
        <v>156497.26891642608</v>
      </c>
      <c r="F85" s="57">
        <v>130381.89384960005</v>
      </c>
      <c r="G85" s="57">
        <v>156497.26891642608</v>
      </c>
    </row>
    <row r="86" spans="1:7" ht="11.25" customHeight="1" x14ac:dyDescent="0.2">
      <c r="A86" s="67">
        <v>44440</v>
      </c>
      <c r="B86" s="57">
        <v>0</v>
      </c>
      <c r="C86" s="57">
        <v>11058.257310000019</v>
      </c>
      <c r="D86" s="57">
        <v>0</v>
      </c>
      <c r="E86" s="57">
        <v>13273.216218092359</v>
      </c>
      <c r="F86" s="57">
        <v>11058.257310000019</v>
      </c>
      <c r="G86" s="57">
        <v>13273.216218092359</v>
      </c>
    </row>
    <row r="87" spans="1:7" ht="11.25" customHeight="1" x14ac:dyDescent="0.2">
      <c r="A87" s="67">
        <v>44470</v>
      </c>
      <c r="B87" s="57">
        <v>0</v>
      </c>
      <c r="C87" s="57">
        <v>11812.631094</v>
      </c>
      <c r="D87" s="57">
        <v>0</v>
      </c>
      <c r="E87" s="57">
        <v>14178.690386724469</v>
      </c>
      <c r="F87" s="57">
        <v>11812.631094</v>
      </c>
      <c r="G87" s="57">
        <v>14178.690386724469</v>
      </c>
    </row>
    <row r="88" spans="1:7" ht="11.25" customHeight="1" x14ac:dyDescent="0.2">
      <c r="A88" s="67">
        <v>44501</v>
      </c>
      <c r="B88" s="57">
        <v>0</v>
      </c>
      <c r="C88" s="57">
        <v>10589.201519999997</v>
      </c>
      <c r="D88" s="57">
        <v>0</v>
      </c>
      <c r="E88" s="57">
        <v>12710.208978842431</v>
      </c>
      <c r="F88" s="57">
        <v>10589.201519999997</v>
      </c>
      <c r="G88" s="57">
        <v>12710.208978842431</v>
      </c>
    </row>
    <row r="89" spans="1:7" ht="11.25" customHeight="1" x14ac:dyDescent="0.2">
      <c r="A89" s="67">
        <v>44531</v>
      </c>
      <c r="B89" s="57">
        <v>0</v>
      </c>
      <c r="C89" s="57">
        <v>10273.118127600006</v>
      </c>
      <c r="D89" s="57">
        <v>0</v>
      </c>
      <c r="E89" s="57">
        <v>12330.814369668413</v>
      </c>
      <c r="F89" s="57">
        <v>10273.118127600006</v>
      </c>
      <c r="G89" s="57">
        <v>12330.814369668413</v>
      </c>
    </row>
    <row r="90" spans="1:7" ht="11.25" customHeight="1" x14ac:dyDescent="0.2">
      <c r="A90" s="67">
        <v>44562</v>
      </c>
      <c r="B90" s="57">
        <v>0</v>
      </c>
      <c r="C90" s="57">
        <v>10352.556561599995</v>
      </c>
      <c r="D90" s="57">
        <v>0</v>
      </c>
      <c r="E90" s="57">
        <v>12426.164249938876</v>
      </c>
      <c r="F90" s="57">
        <v>10352.556561599995</v>
      </c>
      <c r="G90" s="57">
        <v>12426.164249938876</v>
      </c>
    </row>
    <row r="91" spans="1:7" ht="11.25" customHeight="1" x14ac:dyDescent="0.2">
      <c r="A91" s="67">
        <v>44593</v>
      </c>
      <c r="B91" s="57">
        <v>0</v>
      </c>
      <c r="C91" s="57">
        <v>10738.056326400028</v>
      </c>
      <c r="D91" s="57">
        <v>0</v>
      </c>
      <c r="E91" s="57">
        <v>12888.879267936103</v>
      </c>
      <c r="F91" s="57">
        <v>10738.056326400028</v>
      </c>
      <c r="G91" s="57">
        <v>12888.879267936103</v>
      </c>
    </row>
    <row r="92" spans="1:7" ht="11.25" customHeight="1" x14ac:dyDescent="0.2">
      <c r="A92" s="67">
        <v>44621</v>
      </c>
      <c r="B92" s="57">
        <v>0</v>
      </c>
      <c r="C92" s="57">
        <v>11042.408468399994</v>
      </c>
      <c r="D92" s="57">
        <v>0</v>
      </c>
      <c r="E92" s="57">
        <v>13254.192867896554</v>
      </c>
      <c r="F92" s="57">
        <v>11042.408468399994</v>
      </c>
      <c r="G92" s="57">
        <v>13254.192867896554</v>
      </c>
    </row>
    <row r="93" spans="1:7" ht="11.25" customHeight="1" x14ac:dyDescent="0.2">
      <c r="A93" s="67">
        <v>44652</v>
      </c>
      <c r="B93" s="57">
        <v>0</v>
      </c>
      <c r="C93" s="57">
        <v>11118.933512400032</v>
      </c>
      <c r="D93" s="57">
        <v>0</v>
      </c>
      <c r="E93" s="57">
        <v>13346.045808792856</v>
      </c>
      <c r="F93" s="57">
        <v>11118.933512400032</v>
      </c>
      <c r="G93" s="57">
        <v>13346.045808792856</v>
      </c>
    </row>
    <row r="94" spans="1:7" ht="11.25" customHeight="1" x14ac:dyDescent="0.2">
      <c r="A94" s="67">
        <v>44682</v>
      </c>
      <c r="B94" s="57">
        <v>0</v>
      </c>
      <c r="C94" s="57">
        <v>10802.694739200011</v>
      </c>
      <c r="D94" s="57">
        <v>0</v>
      </c>
      <c r="E94" s="57">
        <v>12966.464696185509</v>
      </c>
      <c r="F94" s="57">
        <v>10802.694739200011</v>
      </c>
      <c r="G94" s="57">
        <v>12966.464696185509</v>
      </c>
    </row>
    <row r="95" spans="1:7" ht="11.25" customHeight="1" x14ac:dyDescent="0.2">
      <c r="A95" s="67">
        <v>44713</v>
      </c>
      <c r="B95" s="57">
        <v>0</v>
      </c>
      <c r="C95" s="57">
        <v>11081.175978000007</v>
      </c>
      <c r="D95" s="57">
        <v>0</v>
      </c>
      <c r="E95" s="57">
        <v>13300.725474502899</v>
      </c>
      <c r="F95" s="57">
        <v>11081.175978000007</v>
      </c>
      <c r="G95" s="57">
        <v>13300.725474502899</v>
      </c>
    </row>
    <row r="96" spans="1:7" ht="11.25" customHeight="1" x14ac:dyDescent="0.2">
      <c r="A96" s="67">
        <v>44743</v>
      </c>
      <c r="B96" s="57">
        <v>0</v>
      </c>
      <c r="C96" s="57">
        <v>10756.430105999974</v>
      </c>
      <c r="D96" s="57">
        <v>0</v>
      </c>
      <c r="E96" s="57">
        <v>12910.933298922802</v>
      </c>
      <c r="F96" s="57">
        <v>10756.430105999974</v>
      </c>
      <c r="G96" s="57">
        <v>12910.933298922802</v>
      </c>
    </row>
    <row r="97" spans="1:7" ht="11.25" customHeight="1" x14ac:dyDescent="0.2">
      <c r="A97" s="67">
        <v>44774</v>
      </c>
      <c r="B97" s="57">
        <v>0</v>
      </c>
      <c r="C97" s="57">
        <v>10756.430105999974</v>
      </c>
      <c r="D97" s="57">
        <v>0</v>
      </c>
      <c r="E97" s="57">
        <v>12910.933298922802</v>
      </c>
      <c r="F97" s="57">
        <v>10756.430105999974</v>
      </c>
      <c r="G97" s="57">
        <v>12910.933298922802</v>
      </c>
    </row>
    <row r="98" spans="1:7" ht="11.25" customHeight="1" x14ac:dyDescent="0.2">
      <c r="A98" s="59" t="s">
        <v>849</v>
      </c>
      <c r="B98" s="57">
        <v>0</v>
      </c>
      <c r="C98" s="57">
        <v>3922854.1359699983</v>
      </c>
      <c r="D98" s="57">
        <v>0</v>
      </c>
      <c r="E98" s="57">
        <v>4222079.1733043799</v>
      </c>
      <c r="F98" s="57">
        <v>3922854.1359699992</v>
      </c>
      <c r="G98" s="57">
        <v>4222079.1733043818</v>
      </c>
    </row>
    <row r="99" spans="1:7" ht="11.25" customHeight="1" x14ac:dyDescent="0.2">
      <c r="A99" s="60" t="s">
        <v>22</v>
      </c>
      <c r="B99" s="57">
        <v>0</v>
      </c>
      <c r="C99" s="57">
        <v>3922854.1359699983</v>
      </c>
      <c r="D99" s="57">
        <v>0</v>
      </c>
      <c r="E99" s="57">
        <v>4222079.1733043799</v>
      </c>
      <c r="F99" s="57">
        <v>3922854.1359699992</v>
      </c>
      <c r="G99" s="57">
        <v>4222079.1733043818</v>
      </c>
    </row>
    <row r="100" spans="1:7" ht="11.25" customHeight="1" x14ac:dyDescent="0.2">
      <c r="A100" s="61" t="s">
        <v>23</v>
      </c>
      <c r="B100" s="57">
        <v>0</v>
      </c>
      <c r="C100" s="57">
        <v>3922854.1359699983</v>
      </c>
      <c r="D100" s="57">
        <v>0</v>
      </c>
      <c r="E100" s="57">
        <v>4222079.1733043799</v>
      </c>
      <c r="F100" s="57">
        <v>3922854.1359699992</v>
      </c>
      <c r="G100" s="57">
        <v>4222079.1733043818</v>
      </c>
    </row>
    <row r="101" spans="1:7" ht="11.25" customHeight="1" x14ac:dyDescent="0.2">
      <c r="A101" s="62" t="s">
        <v>24</v>
      </c>
      <c r="B101" s="57">
        <v>0</v>
      </c>
      <c r="C101" s="57">
        <v>3922854.1359699983</v>
      </c>
      <c r="D101" s="57">
        <v>0</v>
      </c>
      <c r="E101" s="57">
        <v>4222079.1733043799</v>
      </c>
      <c r="F101" s="57">
        <v>3922854.1359699992</v>
      </c>
      <c r="G101" s="57">
        <v>4222079.1733043818</v>
      </c>
    </row>
    <row r="102" spans="1:7" ht="11.25" customHeight="1" x14ac:dyDescent="0.2">
      <c r="A102" s="63" t="s">
        <v>29</v>
      </c>
      <c r="B102" s="57">
        <v>0</v>
      </c>
      <c r="C102" s="57">
        <v>1584619.4213999996</v>
      </c>
      <c r="D102" s="57">
        <v>0</v>
      </c>
      <c r="E102" s="57">
        <v>1705467.0134443073</v>
      </c>
      <c r="F102" s="57">
        <v>1584619.4214000001</v>
      </c>
      <c r="G102" s="57">
        <v>1705467.013444307</v>
      </c>
    </row>
    <row r="103" spans="1:7" ht="11.25" customHeight="1" x14ac:dyDescent="0.2">
      <c r="A103" s="64" t="s">
        <v>25</v>
      </c>
      <c r="B103" s="57">
        <v>0</v>
      </c>
      <c r="C103" s="57">
        <v>1584619.4213999996</v>
      </c>
      <c r="D103" s="57">
        <v>0</v>
      </c>
      <c r="E103" s="57">
        <v>1705467.0134443073</v>
      </c>
      <c r="F103" s="57">
        <v>1584619.4214000001</v>
      </c>
      <c r="G103" s="57">
        <v>1705467.013444307</v>
      </c>
    </row>
    <row r="104" spans="1:7" ht="11.25" customHeight="1" x14ac:dyDescent="0.2">
      <c r="A104" s="65" t="s">
        <v>25</v>
      </c>
      <c r="B104" s="57">
        <v>0</v>
      </c>
      <c r="C104" s="57">
        <v>1584619.4213999996</v>
      </c>
      <c r="D104" s="57">
        <v>0</v>
      </c>
      <c r="E104" s="57">
        <v>1705467.0134443073</v>
      </c>
      <c r="F104" s="57">
        <v>1584619.4214000001</v>
      </c>
      <c r="G104" s="57">
        <v>1705467.013444307</v>
      </c>
    </row>
    <row r="105" spans="1:7" ht="11.25" customHeight="1" x14ac:dyDescent="0.2">
      <c r="A105" s="66" t="s">
        <v>25</v>
      </c>
      <c r="B105" s="57">
        <v>0</v>
      </c>
      <c r="C105" s="57">
        <v>1584619.4213999996</v>
      </c>
      <c r="D105" s="57">
        <v>0</v>
      </c>
      <c r="E105" s="57">
        <v>1705467.0134443073</v>
      </c>
      <c r="F105" s="57">
        <v>1584619.4214000001</v>
      </c>
      <c r="G105" s="57">
        <v>1705467.013444307</v>
      </c>
    </row>
    <row r="106" spans="1:7" ht="11.25" customHeight="1" x14ac:dyDescent="0.2">
      <c r="A106" s="67">
        <v>44440</v>
      </c>
      <c r="B106" s="57">
        <v>0</v>
      </c>
      <c r="C106" s="57">
        <v>115084.1556</v>
      </c>
      <c r="D106" s="57">
        <v>0</v>
      </c>
      <c r="E106" s="57">
        <v>123860.8012089659</v>
      </c>
      <c r="F106" s="57">
        <v>115084.1556</v>
      </c>
      <c r="G106" s="57">
        <v>123860.8012089659</v>
      </c>
    </row>
    <row r="107" spans="1:7" ht="11.25" customHeight="1" x14ac:dyDescent="0.2">
      <c r="A107" s="67">
        <v>44470</v>
      </c>
      <c r="B107" s="57">
        <v>0</v>
      </c>
      <c r="C107" s="57">
        <v>116995.0212</v>
      </c>
      <c r="D107" s="57">
        <v>0</v>
      </c>
      <c r="E107" s="57">
        <v>125917.39486414542</v>
      </c>
      <c r="F107" s="57">
        <v>116995.0212</v>
      </c>
      <c r="G107" s="57">
        <v>125917.39486414542</v>
      </c>
    </row>
    <row r="108" spans="1:7" ht="11.25" customHeight="1" x14ac:dyDescent="0.2">
      <c r="A108" s="67">
        <v>44501</v>
      </c>
      <c r="B108" s="57">
        <v>0</v>
      </c>
      <c r="C108" s="57">
        <v>119940.939</v>
      </c>
      <c r="D108" s="57">
        <v>0</v>
      </c>
      <c r="E108" s="57">
        <v>129087.97674921382</v>
      </c>
      <c r="F108" s="57">
        <v>119940.939</v>
      </c>
      <c r="G108" s="57">
        <v>129087.97674921382</v>
      </c>
    </row>
    <row r="109" spans="1:7" ht="11.25" customHeight="1" x14ac:dyDescent="0.2">
      <c r="A109" s="67">
        <v>44531</v>
      </c>
      <c r="B109" s="57">
        <v>0</v>
      </c>
      <c r="C109" s="57">
        <v>122147.5338</v>
      </c>
      <c r="D109" s="57">
        <v>0</v>
      </c>
      <c r="E109" s="57">
        <v>131462.85275579014</v>
      </c>
      <c r="F109" s="57">
        <v>122147.5338</v>
      </c>
      <c r="G109" s="57">
        <v>131462.85275579014</v>
      </c>
    </row>
    <row r="110" spans="1:7" ht="11.25" customHeight="1" x14ac:dyDescent="0.2">
      <c r="A110" s="67">
        <v>44562</v>
      </c>
      <c r="B110" s="57">
        <v>0</v>
      </c>
      <c r="C110" s="57">
        <v>124274.5092</v>
      </c>
      <c r="D110" s="57">
        <v>0</v>
      </c>
      <c r="E110" s="57">
        <v>133752.03736006736</v>
      </c>
      <c r="F110" s="57">
        <v>124274.5092</v>
      </c>
      <c r="G110" s="57">
        <v>133752.03736006736</v>
      </c>
    </row>
    <row r="111" spans="1:7" ht="11.25" customHeight="1" x14ac:dyDescent="0.2">
      <c r="A111" s="67">
        <v>44593</v>
      </c>
      <c r="B111" s="57">
        <v>0</v>
      </c>
      <c r="C111" s="57">
        <v>127106.68499999998</v>
      </c>
      <c r="D111" s="57">
        <v>0</v>
      </c>
      <c r="E111" s="57">
        <v>136800.20295613699</v>
      </c>
      <c r="F111" s="57">
        <v>127106.68499999998</v>
      </c>
      <c r="G111" s="57">
        <v>136800.20295613699</v>
      </c>
    </row>
    <row r="112" spans="1:7" ht="11.25" customHeight="1" x14ac:dyDescent="0.2">
      <c r="A112" s="67">
        <v>44621</v>
      </c>
      <c r="B112" s="57">
        <v>0</v>
      </c>
      <c r="C112" s="57">
        <v>153028.48679999998</v>
      </c>
      <c r="D112" s="57">
        <v>0</v>
      </c>
      <c r="E112" s="57">
        <v>164698.875218959</v>
      </c>
      <c r="F112" s="57">
        <v>153028.48679999998</v>
      </c>
      <c r="G112" s="57">
        <v>164698.875218959</v>
      </c>
    </row>
    <row r="113" spans="1:7" ht="11.25" customHeight="1" x14ac:dyDescent="0.2">
      <c r="A113" s="67">
        <v>44652</v>
      </c>
      <c r="B113" s="57">
        <v>0</v>
      </c>
      <c r="C113" s="57">
        <v>155599.05600000001</v>
      </c>
      <c r="D113" s="57">
        <v>0</v>
      </c>
      <c r="E113" s="57">
        <v>167465.48335033143</v>
      </c>
      <c r="F113" s="57">
        <v>155599.05600000001</v>
      </c>
      <c r="G113" s="57">
        <v>167465.48335033143</v>
      </c>
    </row>
    <row r="114" spans="1:7" ht="11.25" customHeight="1" x14ac:dyDescent="0.2">
      <c r="A114" s="67">
        <v>44682</v>
      </c>
      <c r="B114" s="57">
        <v>0</v>
      </c>
      <c r="C114" s="57">
        <v>143496.90719999999</v>
      </c>
      <c r="D114" s="57">
        <v>0</v>
      </c>
      <c r="E114" s="57">
        <v>154440.39020086121</v>
      </c>
      <c r="F114" s="57">
        <v>143496.90719999999</v>
      </c>
      <c r="G114" s="57">
        <v>154440.39020086121</v>
      </c>
    </row>
    <row r="115" spans="1:7" ht="11.25" customHeight="1" x14ac:dyDescent="0.2">
      <c r="A115" s="67">
        <v>44713</v>
      </c>
      <c r="B115" s="57">
        <v>0</v>
      </c>
      <c r="C115" s="57">
        <v>151254.11159999997</v>
      </c>
      <c r="D115" s="57">
        <v>0</v>
      </c>
      <c r="E115" s="57">
        <v>162789.18111057801</v>
      </c>
      <c r="F115" s="57">
        <v>151254.11159999997</v>
      </c>
      <c r="G115" s="57">
        <v>162789.18111057801</v>
      </c>
    </row>
    <row r="116" spans="1:7" ht="11.25" customHeight="1" x14ac:dyDescent="0.2">
      <c r="A116" s="67">
        <v>44743</v>
      </c>
      <c r="B116" s="57">
        <v>0</v>
      </c>
      <c r="C116" s="57">
        <v>127846.008</v>
      </c>
      <c r="D116" s="57">
        <v>0</v>
      </c>
      <c r="E116" s="57">
        <v>137595.90883462905</v>
      </c>
      <c r="F116" s="57">
        <v>127846.008</v>
      </c>
      <c r="G116" s="57">
        <v>137595.90883462905</v>
      </c>
    </row>
    <row r="117" spans="1:7" ht="11.25" customHeight="1" x14ac:dyDescent="0.2">
      <c r="A117" s="67">
        <v>44774</v>
      </c>
      <c r="B117" s="57">
        <v>0</v>
      </c>
      <c r="C117" s="57">
        <v>127846.008</v>
      </c>
      <c r="D117" s="57">
        <v>0</v>
      </c>
      <c r="E117" s="57">
        <v>137595.90883462905</v>
      </c>
      <c r="F117" s="57">
        <v>127846.008</v>
      </c>
      <c r="G117" s="57">
        <v>137595.90883462905</v>
      </c>
    </row>
    <row r="118" spans="1:7" ht="11.25" customHeight="1" x14ac:dyDescent="0.2">
      <c r="A118" s="63" t="s">
        <v>30</v>
      </c>
      <c r="B118" s="57">
        <v>0</v>
      </c>
      <c r="C118" s="57">
        <v>1955167.1970599992</v>
      </c>
      <c r="D118" s="57">
        <v>0</v>
      </c>
      <c r="E118" s="57">
        <v>2104336.2589993691</v>
      </c>
      <c r="F118" s="57">
        <v>1955167.197059999</v>
      </c>
      <c r="G118" s="57">
        <v>2104336.2589993691</v>
      </c>
    </row>
    <row r="119" spans="1:7" ht="11.25" customHeight="1" x14ac:dyDescent="0.2">
      <c r="A119" s="64" t="s">
        <v>25</v>
      </c>
      <c r="B119" s="57">
        <v>0</v>
      </c>
      <c r="C119" s="57">
        <v>1955167.1970599992</v>
      </c>
      <c r="D119" s="57">
        <v>0</v>
      </c>
      <c r="E119" s="57">
        <v>2104336.2589993691</v>
      </c>
      <c r="F119" s="57">
        <v>1955167.197059999</v>
      </c>
      <c r="G119" s="57">
        <v>2104336.2589993691</v>
      </c>
    </row>
    <row r="120" spans="1:7" ht="11.25" customHeight="1" x14ac:dyDescent="0.2">
      <c r="A120" s="65" t="s">
        <v>25</v>
      </c>
      <c r="B120" s="57">
        <v>0</v>
      </c>
      <c r="C120" s="57">
        <v>1955167.1970599992</v>
      </c>
      <c r="D120" s="57">
        <v>0</v>
      </c>
      <c r="E120" s="57">
        <v>2104336.2589993691</v>
      </c>
      <c r="F120" s="57">
        <v>1955167.197059999</v>
      </c>
      <c r="G120" s="57">
        <v>2104336.2589993691</v>
      </c>
    </row>
    <row r="121" spans="1:7" ht="11.25" customHeight="1" x14ac:dyDescent="0.2">
      <c r="A121" s="66" t="s">
        <v>25</v>
      </c>
      <c r="B121" s="57">
        <v>0</v>
      </c>
      <c r="C121" s="57">
        <v>1955167.1970599992</v>
      </c>
      <c r="D121" s="57">
        <v>0</v>
      </c>
      <c r="E121" s="57">
        <v>2104336.2589993691</v>
      </c>
      <c r="F121" s="57">
        <v>1955167.197059999</v>
      </c>
      <c r="G121" s="57">
        <v>2104336.2589993691</v>
      </c>
    </row>
    <row r="122" spans="1:7" ht="11.25" customHeight="1" x14ac:dyDescent="0.2">
      <c r="A122" s="67">
        <v>44440</v>
      </c>
      <c r="B122" s="57">
        <v>0</v>
      </c>
      <c r="C122" s="57">
        <v>141211.81073999996</v>
      </c>
      <c r="D122" s="57">
        <v>0</v>
      </c>
      <c r="E122" s="57">
        <v>151985.53555213899</v>
      </c>
      <c r="F122" s="57">
        <v>141211.81073999996</v>
      </c>
      <c r="G122" s="57">
        <v>151985.53555213899</v>
      </c>
    </row>
    <row r="123" spans="1:7" ht="11.25" customHeight="1" x14ac:dyDescent="0.2">
      <c r="A123" s="67">
        <v>44470</v>
      </c>
      <c r="B123" s="57">
        <v>0</v>
      </c>
      <c r="C123" s="57">
        <v>145753.42319999993</v>
      </c>
      <c r="D123" s="57">
        <v>0</v>
      </c>
      <c r="E123" s="57">
        <v>156873.64936065229</v>
      </c>
      <c r="F123" s="57">
        <v>145753.42319999993</v>
      </c>
      <c r="G123" s="57">
        <v>156873.64936065229</v>
      </c>
    </row>
    <row r="124" spans="1:7" ht="11.25" customHeight="1" x14ac:dyDescent="0.2">
      <c r="A124" s="67">
        <v>44501</v>
      </c>
      <c r="B124" s="57">
        <v>0</v>
      </c>
      <c r="C124" s="57">
        <v>148215.54362999997</v>
      </c>
      <c r="D124" s="57">
        <v>0</v>
      </c>
      <c r="E124" s="57">
        <v>159523.61674076336</v>
      </c>
      <c r="F124" s="57">
        <v>148215.54362999997</v>
      </c>
      <c r="G124" s="57">
        <v>159523.61674076336</v>
      </c>
    </row>
    <row r="125" spans="1:7" ht="11.25" customHeight="1" x14ac:dyDescent="0.2">
      <c r="A125" s="67">
        <v>44531</v>
      </c>
      <c r="B125" s="57">
        <v>0</v>
      </c>
      <c r="C125" s="57">
        <v>152829.48218999995</v>
      </c>
      <c r="D125" s="57">
        <v>0</v>
      </c>
      <c r="E125" s="57">
        <v>164489.57475356309</v>
      </c>
      <c r="F125" s="57">
        <v>152829.48218999995</v>
      </c>
      <c r="G125" s="57">
        <v>164489.57475356309</v>
      </c>
    </row>
    <row r="126" spans="1:7" ht="11.25" customHeight="1" x14ac:dyDescent="0.2">
      <c r="A126" s="67">
        <v>44562</v>
      </c>
      <c r="B126" s="57">
        <v>0</v>
      </c>
      <c r="C126" s="57">
        <v>158030.19539999991</v>
      </c>
      <c r="D126" s="57">
        <v>0</v>
      </c>
      <c r="E126" s="57">
        <v>170087.07526242835</v>
      </c>
      <c r="F126" s="57">
        <v>158030.19539999991</v>
      </c>
      <c r="G126" s="57">
        <v>170087.07526242835</v>
      </c>
    </row>
    <row r="127" spans="1:7" ht="11.25" customHeight="1" x14ac:dyDescent="0.2">
      <c r="A127" s="67">
        <v>44593</v>
      </c>
      <c r="B127" s="57">
        <v>0</v>
      </c>
      <c r="C127" s="57">
        <v>163307.66759999996</v>
      </c>
      <c r="D127" s="57">
        <v>0</v>
      </c>
      <c r="E127" s="57">
        <v>175767.19107197176</v>
      </c>
      <c r="F127" s="57">
        <v>163307.66759999996</v>
      </c>
      <c r="G127" s="57">
        <v>175767.19107197176</v>
      </c>
    </row>
    <row r="128" spans="1:7" ht="11.25" customHeight="1" x14ac:dyDescent="0.2">
      <c r="A128" s="67">
        <v>44621</v>
      </c>
      <c r="B128" s="57">
        <v>0</v>
      </c>
      <c r="C128" s="57">
        <v>195117.38630999994</v>
      </c>
      <c r="D128" s="57">
        <v>0</v>
      </c>
      <c r="E128" s="57">
        <v>210003.8254481414</v>
      </c>
      <c r="F128" s="57">
        <v>195117.38630999994</v>
      </c>
      <c r="G128" s="57">
        <v>210003.8254481414</v>
      </c>
    </row>
    <row r="129" spans="1:7" ht="11.25" customHeight="1" x14ac:dyDescent="0.2">
      <c r="A129" s="67">
        <v>44652</v>
      </c>
      <c r="B129" s="57">
        <v>0</v>
      </c>
      <c r="C129" s="57">
        <v>199290.83558999992</v>
      </c>
      <c r="D129" s="57">
        <v>0</v>
      </c>
      <c r="E129" s="57">
        <v>214495.6871458033</v>
      </c>
      <c r="F129" s="57">
        <v>199290.83558999992</v>
      </c>
      <c r="G129" s="57">
        <v>214495.6871458033</v>
      </c>
    </row>
    <row r="130" spans="1:7" ht="11.25" customHeight="1" x14ac:dyDescent="0.2">
      <c r="A130" s="67">
        <v>44682</v>
      </c>
      <c r="B130" s="57">
        <v>0</v>
      </c>
      <c r="C130" s="57">
        <v>175772.72096999991</v>
      </c>
      <c r="D130" s="57">
        <v>0</v>
      </c>
      <c r="E130" s="57">
        <v>189183.26301522882</v>
      </c>
      <c r="F130" s="57">
        <v>175772.72096999991</v>
      </c>
      <c r="G130" s="57">
        <v>189183.26301522882</v>
      </c>
    </row>
    <row r="131" spans="1:7" ht="11.25" customHeight="1" x14ac:dyDescent="0.2">
      <c r="A131" s="67">
        <v>44713</v>
      </c>
      <c r="B131" s="57">
        <v>0</v>
      </c>
      <c r="C131" s="57">
        <v>179284.50308999993</v>
      </c>
      <c r="D131" s="57">
        <v>0</v>
      </c>
      <c r="E131" s="57">
        <v>192962.97579883836</v>
      </c>
      <c r="F131" s="57">
        <v>179284.50308999993</v>
      </c>
      <c r="G131" s="57">
        <v>192962.97579883836</v>
      </c>
    </row>
    <row r="132" spans="1:7" ht="11.25" customHeight="1" x14ac:dyDescent="0.2">
      <c r="A132" s="67">
        <v>44743</v>
      </c>
      <c r="B132" s="57">
        <v>0</v>
      </c>
      <c r="C132" s="57">
        <v>148176.81416999994</v>
      </c>
      <c r="D132" s="57">
        <v>0</v>
      </c>
      <c r="E132" s="57">
        <v>159481.93242491965</v>
      </c>
      <c r="F132" s="57">
        <v>148176.81416999994</v>
      </c>
      <c r="G132" s="57">
        <v>159481.93242491965</v>
      </c>
    </row>
    <row r="133" spans="1:7" ht="11.25" customHeight="1" x14ac:dyDescent="0.2">
      <c r="A133" s="67">
        <v>44774</v>
      </c>
      <c r="B133" s="57">
        <v>0</v>
      </c>
      <c r="C133" s="57">
        <v>148176.81416999994</v>
      </c>
      <c r="D133" s="57">
        <v>0</v>
      </c>
      <c r="E133" s="57">
        <v>159481.93242491965</v>
      </c>
      <c r="F133" s="57">
        <v>148176.81416999994</v>
      </c>
      <c r="G133" s="57">
        <v>159481.93242491965</v>
      </c>
    </row>
    <row r="134" spans="1:7" ht="11.25" customHeight="1" x14ac:dyDescent="0.2">
      <c r="A134" s="63" t="s">
        <v>31</v>
      </c>
      <c r="B134" s="57">
        <v>0</v>
      </c>
      <c r="C134" s="57">
        <v>383067.51750999945</v>
      </c>
      <c r="D134" s="57">
        <v>0</v>
      </c>
      <c r="E134" s="57">
        <v>412275.90086070355</v>
      </c>
      <c r="F134" s="57">
        <v>383067.51750999963</v>
      </c>
      <c r="G134" s="57">
        <v>412275.90086070355</v>
      </c>
    </row>
    <row r="135" spans="1:7" ht="11.25" customHeight="1" x14ac:dyDescent="0.2">
      <c r="A135" s="64" t="s">
        <v>25</v>
      </c>
      <c r="B135" s="57">
        <v>0</v>
      </c>
      <c r="C135" s="57">
        <v>383067.51750999945</v>
      </c>
      <c r="D135" s="57">
        <v>0</v>
      </c>
      <c r="E135" s="57">
        <v>412275.90086070355</v>
      </c>
      <c r="F135" s="57">
        <v>383067.51750999963</v>
      </c>
      <c r="G135" s="57">
        <v>412275.90086070355</v>
      </c>
    </row>
    <row r="136" spans="1:7" ht="11.25" customHeight="1" x14ac:dyDescent="0.2">
      <c r="A136" s="65" t="s">
        <v>25</v>
      </c>
      <c r="B136" s="57">
        <v>0</v>
      </c>
      <c r="C136" s="57">
        <v>383067.51750999945</v>
      </c>
      <c r="D136" s="57">
        <v>0</v>
      </c>
      <c r="E136" s="57">
        <v>412275.90086070355</v>
      </c>
      <c r="F136" s="57">
        <v>383067.51750999963</v>
      </c>
      <c r="G136" s="57">
        <v>412275.90086070355</v>
      </c>
    </row>
    <row r="137" spans="1:7" ht="11.25" customHeight="1" x14ac:dyDescent="0.2">
      <c r="A137" s="66" t="s">
        <v>25</v>
      </c>
      <c r="B137" s="57">
        <v>0</v>
      </c>
      <c r="C137" s="57">
        <v>383067.51750999945</v>
      </c>
      <c r="D137" s="57">
        <v>0</v>
      </c>
      <c r="E137" s="57">
        <v>412275.90086070355</v>
      </c>
      <c r="F137" s="57">
        <v>383067.51750999963</v>
      </c>
      <c r="G137" s="57">
        <v>412275.90086070355</v>
      </c>
    </row>
    <row r="138" spans="1:7" ht="11.25" customHeight="1" x14ac:dyDescent="0.2">
      <c r="A138" s="67">
        <v>44440</v>
      </c>
      <c r="B138" s="57">
        <v>0</v>
      </c>
      <c r="C138" s="57">
        <v>26496.810809999966</v>
      </c>
      <c r="D138" s="57">
        <v>0</v>
      </c>
      <c r="E138" s="57">
        <v>28517.157021394298</v>
      </c>
      <c r="F138" s="57">
        <v>26496.810809999966</v>
      </c>
      <c r="G138" s="57">
        <v>28517.157021394298</v>
      </c>
    </row>
    <row r="139" spans="1:7" ht="11.25" customHeight="1" x14ac:dyDescent="0.2">
      <c r="A139" s="67">
        <v>44470</v>
      </c>
      <c r="B139" s="57">
        <v>0</v>
      </c>
      <c r="C139" s="57">
        <v>28967.90292999996</v>
      </c>
      <c r="D139" s="57">
        <v>0</v>
      </c>
      <c r="E139" s="57">
        <v>31176.666594288821</v>
      </c>
      <c r="F139" s="57">
        <v>28967.90292999996</v>
      </c>
      <c r="G139" s="57">
        <v>31176.666594288821</v>
      </c>
    </row>
    <row r="140" spans="1:7" ht="11.25" customHeight="1" x14ac:dyDescent="0.2">
      <c r="A140" s="67">
        <v>44501</v>
      </c>
      <c r="B140" s="57">
        <v>0</v>
      </c>
      <c r="C140" s="57">
        <v>28439.433129999961</v>
      </c>
      <c r="D140" s="57">
        <v>0</v>
      </c>
      <c r="E140" s="57">
        <v>30607.901682325257</v>
      </c>
      <c r="F140" s="57">
        <v>28439.433129999961</v>
      </c>
      <c r="G140" s="57">
        <v>30607.901682325257</v>
      </c>
    </row>
    <row r="141" spans="1:7" ht="11.25" customHeight="1" x14ac:dyDescent="0.2">
      <c r="A141" s="67">
        <v>44531</v>
      </c>
      <c r="B141" s="57">
        <v>0</v>
      </c>
      <c r="C141" s="57">
        <v>30133.744639999964</v>
      </c>
      <c r="D141" s="57">
        <v>0</v>
      </c>
      <c r="E141" s="57">
        <v>32431.402167734268</v>
      </c>
      <c r="F141" s="57">
        <v>30133.744639999964</v>
      </c>
      <c r="G141" s="57">
        <v>32431.402167734268</v>
      </c>
    </row>
    <row r="142" spans="1:7" ht="11.25" customHeight="1" x14ac:dyDescent="0.2">
      <c r="A142" s="67">
        <v>44562</v>
      </c>
      <c r="B142" s="57">
        <v>0</v>
      </c>
      <c r="C142" s="57">
        <v>33849.540629999952</v>
      </c>
      <c r="D142" s="57">
        <v>0</v>
      </c>
      <c r="E142" s="57">
        <v>36430.522607780054</v>
      </c>
      <c r="F142" s="57">
        <v>33849.540629999952</v>
      </c>
      <c r="G142" s="57">
        <v>36430.522607780054</v>
      </c>
    </row>
    <row r="143" spans="1:7" ht="11.25" customHeight="1" x14ac:dyDescent="0.2">
      <c r="A143" s="67">
        <v>44593</v>
      </c>
      <c r="B143" s="57">
        <v>0</v>
      </c>
      <c r="C143" s="57">
        <v>37169.450909999949</v>
      </c>
      <c r="D143" s="57">
        <v>0</v>
      </c>
      <c r="E143" s="57">
        <v>40003.571584525991</v>
      </c>
      <c r="F143" s="57">
        <v>37169.450909999949</v>
      </c>
      <c r="G143" s="57">
        <v>40003.571584525991</v>
      </c>
    </row>
    <row r="144" spans="1:7" ht="11.25" customHeight="1" x14ac:dyDescent="0.2">
      <c r="A144" s="67">
        <v>44621</v>
      </c>
      <c r="B144" s="57">
        <v>0</v>
      </c>
      <c r="C144" s="57">
        <v>44765.241839999944</v>
      </c>
      <c r="D144" s="57">
        <v>0</v>
      </c>
      <c r="E144" s="57">
        <v>48178.531363864531</v>
      </c>
      <c r="F144" s="57">
        <v>44765.241839999944</v>
      </c>
      <c r="G144" s="57">
        <v>48178.531363864531</v>
      </c>
    </row>
    <row r="145" spans="1:7" ht="11.25" customHeight="1" x14ac:dyDescent="0.2">
      <c r="A145" s="67">
        <v>44652</v>
      </c>
      <c r="B145" s="57">
        <v>0</v>
      </c>
      <c r="C145" s="57">
        <v>45491.566999999945</v>
      </c>
      <c r="D145" s="57">
        <v>0</v>
      </c>
      <c r="E145" s="57">
        <v>48960.237841101865</v>
      </c>
      <c r="F145" s="57">
        <v>45491.566999999945</v>
      </c>
      <c r="G145" s="57">
        <v>48960.237841101865</v>
      </c>
    </row>
    <row r="146" spans="1:7" ht="11.25" customHeight="1" x14ac:dyDescent="0.2">
      <c r="A146" s="67">
        <v>44682</v>
      </c>
      <c r="B146" s="57">
        <v>0</v>
      </c>
      <c r="C146" s="57">
        <v>33986.616129999959</v>
      </c>
      <c r="D146" s="57">
        <v>0</v>
      </c>
      <c r="E146" s="57">
        <v>36578.049930419613</v>
      </c>
      <c r="F146" s="57">
        <v>33986.616129999959</v>
      </c>
      <c r="G146" s="57">
        <v>36578.049930419613</v>
      </c>
    </row>
    <row r="147" spans="1:7" ht="11.25" customHeight="1" x14ac:dyDescent="0.2">
      <c r="A147" s="67">
        <v>44713</v>
      </c>
      <c r="B147" s="57">
        <v>0</v>
      </c>
      <c r="C147" s="57">
        <v>29857.552089999961</v>
      </c>
      <c r="D147" s="57">
        <v>0</v>
      </c>
      <c r="E147" s="57">
        <v>32134.150307011587</v>
      </c>
      <c r="F147" s="57">
        <v>29857.552089999961</v>
      </c>
      <c r="G147" s="57">
        <v>32134.150307011587</v>
      </c>
    </row>
    <row r="148" spans="1:7" ht="11.25" customHeight="1" x14ac:dyDescent="0.2">
      <c r="A148" s="67">
        <v>44743</v>
      </c>
      <c r="B148" s="57">
        <v>0</v>
      </c>
      <c r="C148" s="57">
        <v>21954.828699999973</v>
      </c>
      <c r="D148" s="57">
        <v>0</v>
      </c>
      <c r="E148" s="57">
        <v>23628.854880128649</v>
      </c>
      <c r="F148" s="57">
        <v>21954.828699999973</v>
      </c>
      <c r="G148" s="57">
        <v>23628.854880128649</v>
      </c>
    </row>
    <row r="149" spans="1:7" ht="11.25" customHeight="1" x14ac:dyDescent="0.2">
      <c r="A149" s="67">
        <v>44774</v>
      </c>
      <c r="B149" s="57">
        <v>0</v>
      </c>
      <c r="C149" s="57">
        <v>21954.828699999973</v>
      </c>
      <c r="D149" s="57">
        <v>0</v>
      </c>
      <c r="E149" s="57">
        <v>23628.854880128649</v>
      </c>
      <c r="F149" s="57">
        <v>21954.828699999973</v>
      </c>
      <c r="G149" s="57">
        <v>23628.854880128649</v>
      </c>
    </row>
    <row r="150" spans="1:7" ht="11.25" customHeight="1" x14ac:dyDescent="0.2">
      <c r="A150" s="63" t="s">
        <v>32</v>
      </c>
      <c r="B150" s="57">
        <v>0</v>
      </c>
      <c r="C150" s="57">
        <v>-1.0679082151909824E-10</v>
      </c>
      <c r="D150" s="57">
        <v>0</v>
      </c>
      <c r="E150" s="57">
        <v>-1.0679082151909824E-10</v>
      </c>
      <c r="F150" s="57">
        <v>-1.0679082151909826E-10</v>
      </c>
      <c r="G150" s="57">
        <v>-1.0679082151909826E-10</v>
      </c>
    </row>
    <row r="151" spans="1:7" ht="11.25" customHeight="1" x14ac:dyDescent="0.2">
      <c r="A151" s="64" t="s">
        <v>25</v>
      </c>
      <c r="B151" s="57">
        <v>0</v>
      </c>
      <c r="C151" s="57">
        <v>-1.0679082151909824E-10</v>
      </c>
      <c r="D151" s="57">
        <v>0</v>
      </c>
      <c r="E151" s="57">
        <v>-1.0679082151909824E-10</v>
      </c>
      <c r="F151" s="57">
        <v>-1.0679082151909826E-10</v>
      </c>
      <c r="G151" s="57">
        <v>-1.0679082151909826E-10</v>
      </c>
    </row>
    <row r="152" spans="1:7" ht="11.25" customHeight="1" x14ac:dyDescent="0.2">
      <c r="A152" s="65" t="s">
        <v>25</v>
      </c>
      <c r="B152" s="57">
        <v>0</v>
      </c>
      <c r="C152" s="57">
        <v>-1.0679082151909824E-10</v>
      </c>
      <c r="D152" s="57">
        <v>0</v>
      </c>
      <c r="E152" s="57">
        <v>-1.0679082151909824E-10</v>
      </c>
      <c r="F152" s="57">
        <v>-1.0679082151909826E-10</v>
      </c>
      <c r="G152" s="57">
        <v>-1.0679082151909826E-10</v>
      </c>
    </row>
    <row r="153" spans="1:7" ht="11.25" customHeight="1" x14ac:dyDescent="0.2">
      <c r="A153" s="66" t="s">
        <v>25</v>
      </c>
      <c r="B153" s="57">
        <v>0</v>
      </c>
      <c r="C153" s="57">
        <v>-1.0679082151909824E-10</v>
      </c>
      <c r="D153" s="57">
        <v>0</v>
      </c>
      <c r="E153" s="57">
        <v>-1.0679082151909824E-10</v>
      </c>
      <c r="F153" s="57">
        <v>-1.0679082151909826E-10</v>
      </c>
      <c r="G153" s="57">
        <v>-1.0679082151909826E-10</v>
      </c>
    </row>
    <row r="154" spans="1:7" ht="11.25" customHeight="1" x14ac:dyDescent="0.2">
      <c r="A154" s="67">
        <v>44440</v>
      </c>
      <c r="B154" s="57">
        <v>0</v>
      </c>
      <c r="C154" s="57">
        <v>-6.207130809343653E-12</v>
      </c>
      <c r="D154" s="57">
        <v>0</v>
      </c>
      <c r="E154" s="57">
        <v>-6.207130809343653E-12</v>
      </c>
      <c r="F154" s="57">
        <v>-6.207130809343653E-12</v>
      </c>
      <c r="G154" s="57">
        <v>-6.207130809343653E-12</v>
      </c>
    </row>
    <row r="155" spans="1:7" ht="11.25" customHeight="1" x14ac:dyDescent="0.2">
      <c r="A155" s="67">
        <v>44470</v>
      </c>
      <c r="B155" s="57">
        <v>0</v>
      </c>
      <c r="C155" s="57">
        <v>-7.2951138463395176E-12</v>
      </c>
      <c r="D155" s="57">
        <v>0</v>
      </c>
      <c r="E155" s="57">
        <v>-7.2951138463395176E-12</v>
      </c>
      <c r="F155" s="57">
        <v>-7.2951138463395176E-12</v>
      </c>
      <c r="G155" s="57">
        <v>-7.2951138463395176E-12</v>
      </c>
    </row>
    <row r="156" spans="1:7" ht="11.25" customHeight="1" x14ac:dyDescent="0.2">
      <c r="A156" s="67">
        <v>44501</v>
      </c>
      <c r="B156" s="57">
        <v>0</v>
      </c>
      <c r="C156" s="57">
        <v>-6.7734617914538829E-12</v>
      </c>
      <c r="D156" s="57">
        <v>0</v>
      </c>
      <c r="E156" s="57">
        <v>-6.7734617914538829E-12</v>
      </c>
      <c r="F156" s="57">
        <v>-6.7734617914538829E-12</v>
      </c>
      <c r="G156" s="57">
        <v>-6.7734617914538829E-12</v>
      </c>
    </row>
    <row r="157" spans="1:7" ht="11.25" customHeight="1" x14ac:dyDescent="0.2">
      <c r="A157" s="67">
        <v>44531</v>
      </c>
      <c r="B157" s="57">
        <v>0</v>
      </c>
      <c r="C157" s="57">
        <v>-7.2997750066861051E-12</v>
      </c>
      <c r="D157" s="57">
        <v>0</v>
      </c>
      <c r="E157" s="57">
        <v>-7.2997750066861051E-12</v>
      </c>
      <c r="F157" s="57">
        <v>-7.2997750066861051E-12</v>
      </c>
      <c r="G157" s="57">
        <v>-7.2997750066861051E-12</v>
      </c>
    </row>
    <row r="158" spans="1:7" ht="11.25" customHeight="1" x14ac:dyDescent="0.2">
      <c r="A158" s="67">
        <v>44562</v>
      </c>
      <c r="B158" s="57">
        <v>0</v>
      </c>
      <c r="C158" s="57">
        <v>-9.586585747456411E-12</v>
      </c>
      <c r="D158" s="57">
        <v>0</v>
      </c>
      <c r="E158" s="57">
        <v>-9.586585747456411E-12</v>
      </c>
      <c r="F158" s="57">
        <v>-9.586585747456411E-12</v>
      </c>
      <c r="G158" s="57">
        <v>-9.586585747456411E-12</v>
      </c>
    </row>
    <row r="159" spans="1:7" ht="11.25" customHeight="1" x14ac:dyDescent="0.2">
      <c r="A159" s="67">
        <v>44593</v>
      </c>
      <c r="B159" s="57">
        <v>0</v>
      </c>
      <c r="C159" s="57">
        <v>-1.2683187833317788E-11</v>
      </c>
      <c r="D159" s="57">
        <v>0</v>
      </c>
      <c r="E159" s="57">
        <v>-1.2683187833317788E-11</v>
      </c>
      <c r="F159" s="57">
        <v>-1.2683187833317788E-11</v>
      </c>
      <c r="G159" s="57">
        <v>-1.2683187833317788E-11</v>
      </c>
    </row>
    <row r="160" spans="1:7" ht="11.25" customHeight="1" x14ac:dyDescent="0.2">
      <c r="A160" s="67">
        <v>44621</v>
      </c>
      <c r="B160" s="57">
        <v>0</v>
      </c>
      <c r="C160" s="57">
        <v>-1.632457724554115E-11</v>
      </c>
      <c r="D160" s="57">
        <v>0</v>
      </c>
      <c r="E160" s="57">
        <v>-1.632457724554115E-11</v>
      </c>
      <c r="F160" s="57">
        <v>-1.632457724554115E-11</v>
      </c>
      <c r="G160" s="57">
        <v>-1.632457724554115E-11</v>
      </c>
    </row>
    <row r="161" spans="1:7" ht="11.25" customHeight="1" x14ac:dyDescent="0.2">
      <c r="A161" s="67">
        <v>44652</v>
      </c>
      <c r="B161" s="57">
        <v>0</v>
      </c>
      <c r="C161" s="57">
        <v>-1.6712363049009582E-11</v>
      </c>
      <c r="D161" s="57">
        <v>0</v>
      </c>
      <c r="E161" s="57">
        <v>-1.6712363049009582E-11</v>
      </c>
      <c r="F161" s="57">
        <v>-1.6712363049009582E-11</v>
      </c>
      <c r="G161" s="57">
        <v>-1.6712363049009582E-11</v>
      </c>
    </row>
    <row r="162" spans="1:7" ht="11.25" customHeight="1" x14ac:dyDescent="0.2">
      <c r="A162" s="67">
        <v>44682</v>
      </c>
      <c r="B162" s="57">
        <v>0</v>
      </c>
      <c r="C162" s="57">
        <v>-9.72028146861703E-12</v>
      </c>
      <c r="D162" s="57">
        <v>0</v>
      </c>
      <c r="E162" s="57">
        <v>-9.72028146861703E-12</v>
      </c>
      <c r="F162" s="57">
        <v>-9.72028146861703E-12</v>
      </c>
      <c r="G162" s="57">
        <v>-9.72028146861703E-12</v>
      </c>
    </row>
    <row r="163" spans="1:7" ht="11.25" customHeight="1" x14ac:dyDescent="0.2">
      <c r="A163" s="67">
        <v>44713</v>
      </c>
      <c r="B163" s="57">
        <v>0</v>
      </c>
      <c r="C163" s="57">
        <v>-6.5715539676602932E-12</v>
      </c>
      <c r="D163" s="57">
        <v>0</v>
      </c>
      <c r="E163" s="57">
        <v>-6.5715539676602932E-12</v>
      </c>
      <c r="F163" s="57">
        <v>-6.5715539676602932E-12</v>
      </c>
      <c r="G163" s="57">
        <v>-6.5715539676602932E-12</v>
      </c>
    </row>
    <row r="164" spans="1:7" ht="11.25" customHeight="1" x14ac:dyDescent="0.2">
      <c r="A164" s="67">
        <v>44743</v>
      </c>
      <c r="B164" s="57">
        <v>0</v>
      </c>
      <c r="C164" s="57">
        <v>-3.8083953768364148E-12</v>
      </c>
      <c r="D164" s="57">
        <v>0</v>
      </c>
      <c r="E164" s="57">
        <v>-3.8083953768364148E-12</v>
      </c>
      <c r="F164" s="57">
        <v>-3.8083953768364148E-12</v>
      </c>
      <c r="G164" s="57">
        <v>-3.8083953768364148E-12</v>
      </c>
    </row>
    <row r="165" spans="1:7" ht="11.25" customHeight="1" x14ac:dyDescent="0.2">
      <c r="A165" s="67">
        <v>44774</v>
      </c>
      <c r="B165" s="57">
        <v>0</v>
      </c>
      <c r="C165" s="57">
        <v>-3.8083953768364148E-12</v>
      </c>
      <c r="D165" s="57">
        <v>0</v>
      </c>
      <c r="E165" s="57">
        <v>-3.8083953768364148E-12</v>
      </c>
      <c r="F165" s="57">
        <v>-3.8083953768364148E-12</v>
      </c>
      <c r="G165" s="57">
        <v>-3.8083953768364148E-12</v>
      </c>
    </row>
    <row r="166" spans="1:7" ht="11.25" customHeight="1" x14ac:dyDescent="0.2">
      <c r="A166" s="59" t="s">
        <v>845</v>
      </c>
      <c r="B166" s="57">
        <v>3637634.2115290002</v>
      </c>
      <c r="C166" s="57">
        <v>4051442.0829899251</v>
      </c>
      <c r="D166" s="57">
        <v>4141303.826986922</v>
      </c>
      <c r="E166" s="57">
        <v>4821961.3840082558</v>
      </c>
      <c r="F166" s="57">
        <v>7689076.2945189252</v>
      </c>
      <c r="G166" s="57">
        <v>8963265.2109951787</v>
      </c>
    </row>
    <row r="167" spans="1:7" ht="11.25" customHeight="1" x14ac:dyDescent="0.2">
      <c r="A167" s="60" t="s">
        <v>39</v>
      </c>
      <c r="B167" s="57">
        <v>3637634.2115290002</v>
      </c>
      <c r="C167" s="57">
        <v>4051442.0829899251</v>
      </c>
      <c r="D167" s="57">
        <v>4141303.826986922</v>
      </c>
      <c r="E167" s="57">
        <v>4821961.3840082558</v>
      </c>
      <c r="F167" s="57">
        <v>7689076.2945189252</v>
      </c>
      <c r="G167" s="57">
        <v>8963265.2109951787</v>
      </c>
    </row>
    <row r="168" spans="1:7" ht="11.25" customHeight="1" x14ac:dyDescent="0.2">
      <c r="A168" s="61" t="s">
        <v>42</v>
      </c>
      <c r="B168" s="57">
        <v>1204752.047817</v>
      </c>
      <c r="C168" s="57">
        <v>0</v>
      </c>
      <c r="D168" s="57">
        <v>1373697.0116441785</v>
      </c>
      <c r="E168" s="57">
        <v>0</v>
      </c>
      <c r="F168" s="57">
        <v>1204752.047817</v>
      </c>
      <c r="G168" s="57">
        <v>1373697.0116441785</v>
      </c>
    </row>
    <row r="169" spans="1:7" ht="11.25" customHeight="1" x14ac:dyDescent="0.2">
      <c r="A169" s="62" t="s">
        <v>38</v>
      </c>
      <c r="B169" s="57">
        <v>1204752.047817</v>
      </c>
      <c r="C169" s="57">
        <v>0</v>
      </c>
      <c r="D169" s="57">
        <v>1373697.0116441785</v>
      </c>
      <c r="E169" s="57">
        <v>0</v>
      </c>
      <c r="F169" s="57">
        <v>1204752.047817</v>
      </c>
      <c r="G169" s="57">
        <v>1373697.0116441785</v>
      </c>
    </row>
    <row r="170" spans="1:7" ht="11.25" customHeight="1" x14ac:dyDescent="0.2">
      <c r="A170" s="63" t="s">
        <v>25</v>
      </c>
      <c r="B170" s="57">
        <v>1204752.047817</v>
      </c>
      <c r="C170" s="57">
        <v>0</v>
      </c>
      <c r="D170" s="57">
        <v>1373697.0116441785</v>
      </c>
      <c r="E170" s="57">
        <v>0</v>
      </c>
      <c r="F170" s="57">
        <v>1204752.047817</v>
      </c>
      <c r="G170" s="57">
        <v>1373697.0116441785</v>
      </c>
    </row>
    <row r="171" spans="1:7" ht="11.25" customHeight="1" x14ac:dyDescent="0.2">
      <c r="A171" s="64" t="s">
        <v>57</v>
      </c>
      <c r="B171" s="57">
        <v>1204752.047817</v>
      </c>
      <c r="C171" s="57">
        <v>0</v>
      </c>
      <c r="D171" s="57">
        <v>1373697.0116441785</v>
      </c>
      <c r="E171" s="57">
        <v>0</v>
      </c>
      <c r="F171" s="57">
        <v>1204752.047817</v>
      </c>
      <c r="G171" s="57">
        <v>1373697.0116441785</v>
      </c>
    </row>
    <row r="172" spans="1:7" ht="11.25" customHeight="1" x14ac:dyDescent="0.2">
      <c r="A172" s="65" t="s">
        <v>25</v>
      </c>
      <c r="B172" s="57">
        <v>1204752.047817</v>
      </c>
      <c r="C172" s="57">
        <v>0</v>
      </c>
      <c r="D172" s="57">
        <v>1373697.0116441785</v>
      </c>
      <c r="E172" s="57">
        <v>0</v>
      </c>
      <c r="F172" s="57">
        <v>1204752.047817</v>
      </c>
      <c r="G172" s="57">
        <v>1373697.0116441785</v>
      </c>
    </row>
    <row r="173" spans="1:7" ht="11.25" customHeight="1" x14ac:dyDescent="0.2">
      <c r="A173" s="66" t="s">
        <v>35</v>
      </c>
      <c r="B173" s="57">
        <v>319725.25478400005</v>
      </c>
      <c r="C173" s="57">
        <v>0</v>
      </c>
      <c r="D173" s="57">
        <v>363714.20177099167</v>
      </c>
      <c r="E173" s="57">
        <v>0</v>
      </c>
      <c r="F173" s="57">
        <v>319725.25478400005</v>
      </c>
      <c r="G173" s="57">
        <v>363714.20177099167</v>
      </c>
    </row>
    <row r="174" spans="1:7" ht="11.25" customHeight="1" x14ac:dyDescent="0.2">
      <c r="A174" s="67">
        <v>44440</v>
      </c>
      <c r="B174" s="57">
        <v>25625.600000000002</v>
      </c>
      <c r="C174" s="57">
        <v>0</v>
      </c>
      <c r="D174" s="57">
        <v>29151.261933310205</v>
      </c>
      <c r="E174" s="57">
        <v>0</v>
      </c>
      <c r="F174" s="57">
        <v>25625.600000000002</v>
      </c>
      <c r="G174" s="57">
        <v>29151.261933310205</v>
      </c>
    </row>
    <row r="175" spans="1:7" ht="11.25" customHeight="1" x14ac:dyDescent="0.2">
      <c r="A175" s="67">
        <v>44470</v>
      </c>
      <c r="B175" s="57">
        <v>25548.723200000004</v>
      </c>
      <c r="C175" s="57">
        <v>0</v>
      </c>
      <c r="D175" s="57">
        <v>29063.808147510277</v>
      </c>
      <c r="E175" s="57">
        <v>0</v>
      </c>
      <c r="F175" s="57">
        <v>25548.723200000004</v>
      </c>
      <c r="G175" s="57">
        <v>29063.808147510277</v>
      </c>
    </row>
    <row r="176" spans="1:7" ht="11.25" customHeight="1" x14ac:dyDescent="0.2">
      <c r="A176" s="67">
        <v>44501</v>
      </c>
      <c r="B176" s="57">
        <v>26841.837568000003</v>
      </c>
      <c r="C176" s="57">
        <v>0</v>
      </c>
      <c r="D176" s="57">
        <v>30534.833826959533</v>
      </c>
      <c r="E176" s="57">
        <v>0</v>
      </c>
      <c r="F176" s="57">
        <v>26841.837568000003</v>
      </c>
      <c r="G176" s="57">
        <v>30534.833826959533</v>
      </c>
    </row>
    <row r="177" spans="1:7" ht="11.25" customHeight="1" x14ac:dyDescent="0.2">
      <c r="A177" s="67">
        <v>44531</v>
      </c>
      <c r="B177" s="57">
        <v>25471.846400000002</v>
      </c>
      <c r="C177" s="57">
        <v>0</v>
      </c>
      <c r="D177" s="57">
        <v>28976.354361710346</v>
      </c>
      <c r="E177" s="57">
        <v>0</v>
      </c>
      <c r="F177" s="57">
        <v>25471.846400000002</v>
      </c>
      <c r="G177" s="57">
        <v>28976.354361710346</v>
      </c>
    </row>
    <row r="178" spans="1:7" ht="11.25" customHeight="1" x14ac:dyDescent="0.2">
      <c r="A178" s="67">
        <v>44562</v>
      </c>
      <c r="B178" s="57">
        <v>26682.200064000001</v>
      </c>
      <c r="C178" s="57">
        <v>0</v>
      </c>
      <c r="D178" s="57">
        <v>30353.232822749527</v>
      </c>
      <c r="E178" s="57">
        <v>0</v>
      </c>
      <c r="F178" s="57">
        <v>26682.200064000001</v>
      </c>
      <c r="G178" s="57">
        <v>30353.232822749527</v>
      </c>
    </row>
    <row r="179" spans="1:7" ht="11.25" customHeight="1" x14ac:dyDescent="0.2">
      <c r="A179" s="67">
        <v>44593</v>
      </c>
      <c r="B179" s="57">
        <v>25648.511616</v>
      </c>
      <c r="C179" s="57">
        <v>0</v>
      </c>
      <c r="D179" s="57">
        <v>29177.325811593306</v>
      </c>
      <c r="E179" s="57">
        <v>0</v>
      </c>
      <c r="F179" s="57">
        <v>25648.511616</v>
      </c>
      <c r="G179" s="57">
        <v>29177.325811593306</v>
      </c>
    </row>
    <row r="180" spans="1:7" ht="11.25" customHeight="1" x14ac:dyDescent="0.2">
      <c r="A180" s="67">
        <v>44621</v>
      </c>
      <c r="B180" s="57">
        <v>26831.081472000002</v>
      </c>
      <c r="C180" s="57">
        <v>0</v>
      </c>
      <c r="D180" s="57">
        <v>30522.597868703888</v>
      </c>
      <c r="E180" s="57">
        <v>0</v>
      </c>
      <c r="F180" s="57">
        <v>26831.081472000002</v>
      </c>
      <c r="G180" s="57">
        <v>30522.597868703888</v>
      </c>
    </row>
    <row r="181" spans="1:7" ht="11.25" customHeight="1" x14ac:dyDescent="0.2">
      <c r="A181" s="67">
        <v>44652</v>
      </c>
      <c r="B181" s="57">
        <v>27181.400064000001</v>
      </c>
      <c r="C181" s="57">
        <v>0</v>
      </c>
      <c r="D181" s="57">
        <v>30921.114548723104</v>
      </c>
      <c r="E181" s="57">
        <v>0</v>
      </c>
      <c r="F181" s="57">
        <v>27181.400064000001</v>
      </c>
      <c r="G181" s="57">
        <v>30921.114548723104</v>
      </c>
    </row>
    <row r="182" spans="1:7" ht="11.25" customHeight="1" x14ac:dyDescent="0.2">
      <c r="A182" s="67">
        <v>44682</v>
      </c>
      <c r="B182" s="57">
        <v>27998.161152000001</v>
      </c>
      <c r="C182" s="57">
        <v>0</v>
      </c>
      <c r="D182" s="57">
        <v>31850.24855585751</v>
      </c>
      <c r="E182" s="57">
        <v>0</v>
      </c>
      <c r="F182" s="57">
        <v>27998.161152000001</v>
      </c>
      <c r="G182" s="57">
        <v>31850.24855585751</v>
      </c>
    </row>
    <row r="183" spans="1:7" ht="11.25" customHeight="1" x14ac:dyDescent="0.2">
      <c r="A183" s="67">
        <v>44713</v>
      </c>
      <c r="B183" s="57">
        <v>27423.189247999999</v>
      </c>
      <c r="C183" s="57">
        <v>0</v>
      </c>
      <c r="D183" s="57">
        <v>31196.169955637492</v>
      </c>
      <c r="E183" s="57">
        <v>0</v>
      </c>
      <c r="F183" s="57">
        <v>27423.189247999999</v>
      </c>
      <c r="G183" s="57">
        <v>31196.169955637492</v>
      </c>
    </row>
    <row r="184" spans="1:7" ht="11.25" customHeight="1" x14ac:dyDescent="0.2">
      <c r="A184" s="67">
        <v>44743</v>
      </c>
      <c r="B184" s="57">
        <v>27236.351999999999</v>
      </c>
      <c r="C184" s="57">
        <v>0</v>
      </c>
      <c r="D184" s="57">
        <v>30983.626969118275</v>
      </c>
      <c r="E184" s="57">
        <v>0</v>
      </c>
      <c r="F184" s="57">
        <v>27236.351999999999</v>
      </c>
      <c r="G184" s="57">
        <v>30983.626969118275</v>
      </c>
    </row>
    <row r="185" spans="1:7" ht="11.25" customHeight="1" x14ac:dyDescent="0.2">
      <c r="A185" s="67">
        <v>44774</v>
      </c>
      <c r="B185" s="57">
        <v>27236.351999999999</v>
      </c>
      <c r="C185" s="57">
        <v>0</v>
      </c>
      <c r="D185" s="57">
        <v>30983.626969118275</v>
      </c>
      <c r="E185" s="57">
        <v>0</v>
      </c>
      <c r="F185" s="57">
        <v>27236.351999999999</v>
      </c>
      <c r="G185" s="57">
        <v>30983.626969118275</v>
      </c>
    </row>
    <row r="186" spans="1:7" ht="11.25" customHeight="1" x14ac:dyDescent="0.2">
      <c r="A186" s="66" t="s">
        <v>25</v>
      </c>
      <c r="B186" s="57">
        <v>0</v>
      </c>
      <c r="C186" s="57">
        <v>0</v>
      </c>
      <c r="D186" s="57">
        <v>0</v>
      </c>
      <c r="E186" s="57">
        <v>0</v>
      </c>
      <c r="F186" s="57">
        <v>0</v>
      </c>
      <c r="G186" s="57">
        <v>0</v>
      </c>
    </row>
    <row r="187" spans="1:7" ht="11.25" customHeight="1" x14ac:dyDescent="0.2">
      <c r="A187" s="67">
        <v>44440</v>
      </c>
      <c r="B187" s="57">
        <v>0</v>
      </c>
      <c r="C187" s="57">
        <v>0</v>
      </c>
      <c r="D187" s="57">
        <v>0</v>
      </c>
      <c r="E187" s="57">
        <v>0</v>
      </c>
      <c r="F187" s="57">
        <v>0</v>
      </c>
      <c r="G187" s="57">
        <v>0</v>
      </c>
    </row>
    <row r="188" spans="1:7" ht="11.25" customHeight="1" x14ac:dyDescent="0.2">
      <c r="A188" s="67">
        <v>44470</v>
      </c>
      <c r="B188" s="57">
        <v>0</v>
      </c>
      <c r="C188" s="57">
        <v>0</v>
      </c>
      <c r="D188" s="57">
        <v>0</v>
      </c>
      <c r="E188" s="57">
        <v>0</v>
      </c>
      <c r="F188" s="57">
        <v>0</v>
      </c>
      <c r="G188" s="57">
        <v>0</v>
      </c>
    </row>
    <row r="189" spans="1:7" ht="11.25" customHeight="1" x14ac:dyDescent="0.2">
      <c r="A189" s="67">
        <v>44501</v>
      </c>
      <c r="B189" s="57">
        <v>0</v>
      </c>
      <c r="C189" s="57">
        <v>0</v>
      </c>
      <c r="D189" s="57">
        <v>0</v>
      </c>
      <c r="E189" s="57">
        <v>0</v>
      </c>
      <c r="F189" s="57">
        <v>0</v>
      </c>
      <c r="G189" s="57">
        <v>0</v>
      </c>
    </row>
    <row r="190" spans="1:7" ht="11.25" customHeight="1" x14ac:dyDescent="0.2">
      <c r="A190" s="67">
        <v>44531</v>
      </c>
      <c r="B190" s="57">
        <v>0</v>
      </c>
      <c r="C190" s="57">
        <v>0</v>
      </c>
      <c r="D190" s="57">
        <v>0</v>
      </c>
      <c r="E190" s="57">
        <v>0</v>
      </c>
      <c r="F190" s="57">
        <v>0</v>
      </c>
      <c r="G190" s="57">
        <v>0</v>
      </c>
    </row>
    <row r="191" spans="1:7" ht="11.25" customHeight="1" x14ac:dyDescent="0.2">
      <c r="A191" s="67">
        <v>44562</v>
      </c>
      <c r="B191" s="57">
        <v>0</v>
      </c>
      <c r="C191" s="57">
        <v>0</v>
      </c>
      <c r="D191" s="57">
        <v>0</v>
      </c>
      <c r="E191" s="57">
        <v>0</v>
      </c>
      <c r="F191" s="57">
        <v>0</v>
      </c>
      <c r="G191" s="57">
        <v>0</v>
      </c>
    </row>
    <row r="192" spans="1:7" ht="11.25" customHeight="1" x14ac:dyDescent="0.2">
      <c r="A192" s="67">
        <v>44593</v>
      </c>
      <c r="B192" s="57">
        <v>0</v>
      </c>
      <c r="C192" s="57">
        <v>0</v>
      </c>
      <c r="D192" s="57">
        <v>0</v>
      </c>
      <c r="E192" s="57">
        <v>0</v>
      </c>
      <c r="F192" s="57">
        <v>0</v>
      </c>
      <c r="G192" s="57">
        <v>0</v>
      </c>
    </row>
    <row r="193" spans="1:7" ht="11.25" customHeight="1" x14ac:dyDescent="0.2">
      <c r="A193" s="67">
        <v>44621</v>
      </c>
      <c r="B193" s="57">
        <v>0</v>
      </c>
      <c r="C193" s="57">
        <v>0</v>
      </c>
      <c r="D193" s="57">
        <v>0</v>
      </c>
      <c r="E193" s="57">
        <v>0</v>
      </c>
      <c r="F193" s="57">
        <v>0</v>
      </c>
      <c r="G193" s="57">
        <v>0</v>
      </c>
    </row>
    <row r="194" spans="1:7" ht="11.25" customHeight="1" x14ac:dyDescent="0.2">
      <c r="A194" s="67">
        <v>44652</v>
      </c>
      <c r="B194" s="57">
        <v>0</v>
      </c>
      <c r="C194" s="57">
        <v>0</v>
      </c>
      <c r="D194" s="57">
        <v>0</v>
      </c>
      <c r="E194" s="57">
        <v>0</v>
      </c>
      <c r="F194" s="57">
        <v>0</v>
      </c>
      <c r="G194" s="57">
        <v>0</v>
      </c>
    </row>
    <row r="195" spans="1:7" ht="11.25" customHeight="1" x14ac:dyDescent="0.2">
      <c r="A195" s="67">
        <v>44682</v>
      </c>
      <c r="B195" s="57">
        <v>0</v>
      </c>
      <c r="C195" s="57">
        <v>0</v>
      </c>
      <c r="D195" s="57">
        <v>0</v>
      </c>
      <c r="E195" s="57">
        <v>0</v>
      </c>
      <c r="F195" s="57">
        <v>0</v>
      </c>
      <c r="G195" s="57">
        <v>0</v>
      </c>
    </row>
    <row r="196" spans="1:7" ht="11.25" customHeight="1" x14ac:dyDescent="0.2">
      <c r="A196" s="67">
        <v>44713</v>
      </c>
      <c r="B196" s="57">
        <v>0</v>
      </c>
      <c r="C196" s="57">
        <v>0</v>
      </c>
      <c r="D196" s="57">
        <v>0</v>
      </c>
      <c r="E196" s="57">
        <v>0</v>
      </c>
      <c r="F196" s="57">
        <v>0</v>
      </c>
      <c r="G196" s="57">
        <v>0</v>
      </c>
    </row>
    <row r="197" spans="1:7" ht="11.25" customHeight="1" x14ac:dyDescent="0.2">
      <c r="A197" s="67">
        <v>44743</v>
      </c>
      <c r="B197" s="57">
        <v>0</v>
      </c>
      <c r="C197" s="57">
        <v>0</v>
      </c>
      <c r="D197" s="57">
        <v>0</v>
      </c>
      <c r="E197" s="57">
        <v>0</v>
      </c>
      <c r="F197" s="57">
        <v>0</v>
      </c>
      <c r="G197" s="57">
        <v>0</v>
      </c>
    </row>
    <row r="198" spans="1:7" ht="11.25" customHeight="1" x14ac:dyDescent="0.2">
      <c r="A198" s="67">
        <v>44774</v>
      </c>
      <c r="B198" s="57">
        <v>0</v>
      </c>
      <c r="C198" s="57">
        <v>0</v>
      </c>
      <c r="D198" s="57">
        <v>0</v>
      </c>
      <c r="E198" s="57">
        <v>0</v>
      </c>
      <c r="F198" s="57">
        <v>0</v>
      </c>
      <c r="G198" s="57">
        <v>0</v>
      </c>
    </row>
    <row r="199" spans="1:7" ht="11.25" customHeight="1" x14ac:dyDescent="0.2">
      <c r="A199" s="66" t="s">
        <v>34</v>
      </c>
      <c r="B199" s="57">
        <v>885026.79303299997</v>
      </c>
      <c r="C199" s="57">
        <v>0</v>
      </c>
      <c r="D199" s="57">
        <v>1009982.8098731868</v>
      </c>
      <c r="E199" s="57">
        <v>0</v>
      </c>
      <c r="F199" s="57">
        <v>885026.79303299997</v>
      </c>
      <c r="G199" s="57">
        <v>1009982.8098731868</v>
      </c>
    </row>
    <row r="200" spans="1:7" ht="11.25" customHeight="1" x14ac:dyDescent="0.2">
      <c r="A200" s="67">
        <v>44440</v>
      </c>
      <c r="B200" s="57">
        <v>72831.824999999997</v>
      </c>
      <c r="C200" s="57">
        <v>0</v>
      </c>
      <c r="D200" s="57">
        <v>83114.874985428178</v>
      </c>
      <c r="E200" s="57">
        <v>0</v>
      </c>
      <c r="F200" s="57">
        <v>72831.824999999997</v>
      </c>
      <c r="G200" s="57">
        <v>83114.874985428178</v>
      </c>
    </row>
    <row r="201" spans="1:7" ht="11.25" customHeight="1" x14ac:dyDescent="0.2">
      <c r="A201" s="67">
        <v>44470</v>
      </c>
      <c r="B201" s="57">
        <v>72613.329524999994</v>
      </c>
      <c r="C201" s="57">
        <v>0</v>
      </c>
      <c r="D201" s="57">
        <v>82865.530360471894</v>
      </c>
      <c r="E201" s="57">
        <v>0</v>
      </c>
      <c r="F201" s="57">
        <v>72613.329524999994</v>
      </c>
      <c r="G201" s="57">
        <v>82865.530360471894</v>
      </c>
    </row>
    <row r="202" spans="1:7" ht="11.25" customHeight="1" x14ac:dyDescent="0.2">
      <c r="A202" s="67">
        <v>44501</v>
      </c>
      <c r="B202" s="57">
        <v>72700.727715000001</v>
      </c>
      <c r="C202" s="57">
        <v>0</v>
      </c>
      <c r="D202" s="57">
        <v>82965.268210454407</v>
      </c>
      <c r="E202" s="57">
        <v>0</v>
      </c>
      <c r="F202" s="57">
        <v>72700.727715000001</v>
      </c>
      <c r="G202" s="57">
        <v>82965.268210454407</v>
      </c>
    </row>
    <row r="203" spans="1:7" ht="11.25" customHeight="1" x14ac:dyDescent="0.2">
      <c r="A203" s="67">
        <v>44531</v>
      </c>
      <c r="B203" s="57">
        <v>72394.834050000005</v>
      </c>
      <c r="C203" s="57">
        <v>0</v>
      </c>
      <c r="D203" s="57">
        <v>82616.18573551561</v>
      </c>
      <c r="E203" s="57">
        <v>0</v>
      </c>
      <c r="F203" s="57">
        <v>72394.834050000005</v>
      </c>
      <c r="G203" s="57">
        <v>82616.18573551561</v>
      </c>
    </row>
    <row r="204" spans="1:7" ht="11.25" customHeight="1" x14ac:dyDescent="0.2">
      <c r="A204" s="67">
        <v>44562</v>
      </c>
      <c r="B204" s="57">
        <v>72627.89589</v>
      </c>
      <c r="C204" s="57">
        <v>0</v>
      </c>
      <c r="D204" s="57">
        <v>82882.153335468975</v>
      </c>
      <c r="E204" s="57">
        <v>0</v>
      </c>
      <c r="F204" s="57">
        <v>72627.89589</v>
      </c>
      <c r="G204" s="57">
        <v>82882.153335468975</v>
      </c>
    </row>
    <row r="205" spans="1:7" ht="11.25" customHeight="1" x14ac:dyDescent="0.2">
      <c r="A205" s="67">
        <v>44593</v>
      </c>
      <c r="B205" s="57">
        <v>74176.760069999989</v>
      </c>
      <c r="C205" s="57">
        <v>0</v>
      </c>
      <c r="D205" s="57">
        <v>84649.700045854261</v>
      </c>
      <c r="E205" s="57">
        <v>0</v>
      </c>
      <c r="F205" s="57">
        <v>74176.760069999989</v>
      </c>
      <c r="G205" s="57">
        <v>84649.700045854261</v>
      </c>
    </row>
    <row r="206" spans="1:7" ht="11.25" customHeight="1" x14ac:dyDescent="0.2">
      <c r="A206" s="67">
        <v>44621</v>
      </c>
      <c r="B206" s="57">
        <v>72671.594985000003</v>
      </c>
      <c r="C206" s="57">
        <v>0</v>
      </c>
      <c r="D206" s="57">
        <v>82932.022260460231</v>
      </c>
      <c r="E206" s="57">
        <v>0</v>
      </c>
      <c r="F206" s="57">
        <v>72671.594985000003</v>
      </c>
      <c r="G206" s="57">
        <v>82932.022260460231</v>
      </c>
    </row>
    <row r="207" spans="1:7" ht="11.25" customHeight="1" x14ac:dyDescent="0.2">
      <c r="A207" s="67">
        <v>44652</v>
      </c>
      <c r="B207" s="57">
        <v>73735.095419999998</v>
      </c>
      <c r="C207" s="57">
        <v>0</v>
      </c>
      <c r="D207" s="57">
        <v>84145.67722107633</v>
      </c>
      <c r="E207" s="57">
        <v>0</v>
      </c>
      <c r="F207" s="57">
        <v>73735.095419999998</v>
      </c>
      <c r="G207" s="57">
        <v>84145.67722107633</v>
      </c>
    </row>
    <row r="208" spans="1:7" ht="11.25" customHeight="1" x14ac:dyDescent="0.2">
      <c r="A208" s="67">
        <v>44682</v>
      </c>
      <c r="B208" s="57">
        <v>76719.543678000002</v>
      </c>
      <c r="C208" s="57">
        <v>0</v>
      </c>
      <c r="D208" s="57">
        <v>87551.49663949883</v>
      </c>
      <c r="E208" s="57">
        <v>0</v>
      </c>
      <c r="F208" s="57">
        <v>76719.543678000002</v>
      </c>
      <c r="G208" s="57">
        <v>87551.49663949883</v>
      </c>
    </row>
    <row r="209" spans="1:7" ht="11.25" customHeight="1" x14ac:dyDescent="0.2">
      <c r="A209" s="67">
        <v>44713</v>
      </c>
      <c r="B209" s="57">
        <v>75162.962700000004</v>
      </c>
      <c r="C209" s="57">
        <v>0</v>
      </c>
      <c r="D209" s="57">
        <v>85775.143604391371</v>
      </c>
      <c r="E209" s="57">
        <v>0</v>
      </c>
      <c r="F209" s="57">
        <v>75162.962700000004</v>
      </c>
      <c r="G209" s="57">
        <v>85775.143604391371</v>
      </c>
    </row>
    <row r="210" spans="1:7" ht="11.25" customHeight="1" x14ac:dyDescent="0.2">
      <c r="A210" s="67">
        <v>44743</v>
      </c>
      <c r="B210" s="57">
        <v>74696.112000000008</v>
      </c>
      <c r="C210" s="57">
        <v>0</v>
      </c>
      <c r="D210" s="57">
        <v>85242.378737283347</v>
      </c>
      <c r="E210" s="57">
        <v>0</v>
      </c>
      <c r="F210" s="57">
        <v>74696.112000000008</v>
      </c>
      <c r="G210" s="57">
        <v>85242.378737283347</v>
      </c>
    </row>
    <row r="211" spans="1:7" ht="11.25" customHeight="1" x14ac:dyDescent="0.2">
      <c r="A211" s="67">
        <v>44774</v>
      </c>
      <c r="B211" s="57">
        <v>74696.112000000008</v>
      </c>
      <c r="C211" s="57">
        <v>0</v>
      </c>
      <c r="D211" s="57">
        <v>85242.378737283347</v>
      </c>
      <c r="E211" s="57">
        <v>0</v>
      </c>
      <c r="F211" s="57">
        <v>74696.112000000008</v>
      </c>
      <c r="G211" s="57">
        <v>85242.378737283347</v>
      </c>
    </row>
    <row r="212" spans="1:7" ht="11.25" customHeight="1" x14ac:dyDescent="0.2">
      <c r="A212" s="61" t="s">
        <v>40</v>
      </c>
      <c r="B212" s="57">
        <v>2432882.1637120005</v>
      </c>
      <c r="C212" s="57">
        <v>4051442.0829899251</v>
      </c>
      <c r="D212" s="57">
        <v>2767606.8153427434</v>
      </c>
      <c r="E212" s="57">
        <v>4821961.3840082558</v>
      </c>
      <c r="F212" s="57">
        <v>6484324.246701926</v>
      </c>
      <c r="G212" s="57">
        <v>7589568.1993509997</v>
      </c>
    </row>
    <row r="213" spans="1:7" ht="11.25" customHeight="1" x14ac:dyDescent="0.2">
      <c r="A213" s="62" t="s">
        <v>38</v>
      </c>
      <c r="B213" s="57">
        <v>2432882.1637120005</v>
      </c>
      <c r="C213" s="57">
        <v>4051442.0829899251</v>
      </c>
      <c r="D213" s="57">
        <v>2767606.8153427434</v>
      </c>
      <c r="E213" s="57">
        <v>4821961.3840082558</v>
      </c>
      <c r="F213" s="57">
        <v>6484324.246701926</v>
      </c>
      <c r="G213" s="57">
        <v>7589568.1993509997</v>
      </c>
    </row>
    <row r="214" spans="1:7" ht="11.25" customHeight="1" x14ac:dyDescent="0.2">
      <c r="A214" s="63" t="s">
        <v>25</v>
      </c>
      <c r="B214" s="57">
        <v>2432882.1637120005</v>
      </c>
      <c r="C214" s="57">
        <v>4051442.0829899251</v>
      </c>
      <c r="D214" s="57">
        <v>2767606.8153427434</v>
      </c>
      <c r="E214" s="57">
        <v>4821961.3840082558</v>
      </c>
      <c r="F214" s="57">
        <v>6484324.246701926</v>
      </c>
      <c r="G214" s="57">
        <v>7589568.1993509997</v>
      </c>
    </row>
    <row r="215" spans="1:7" ht="11.25" customHeight="1" x14ac:dyDescent="0.2">
      <c r="A215" s="64" t="s">
        <v>57</v>
      </c>
      <c r="B215" s="57">
        <v>2432882.1637120005</v>
      </c>
      <c r="C215" s="57">
        <v>4051442.0829899251</v>
      </c>
      <c r="D215" s="57">
        <v>2767606.8153427434</v>
      </c>
      <c r="E215" s="57">
        <v>4821961.3840082558</v>
      </c>
      <c r="F215" s="57">
        <v>6484324.246701926</v>
      </c>
      <c r="G215" s="57">
        <v>7589568.1993509997</v>
      </c>
    </row>
    <row r="216" spans="1:7" ht="11.25" customHeight="1" x14ac:dyDescent="0.2">
      <c r="A216" s="65" t="s">
        <v>25</v>
      </c>
      <c r="B216" s="57">
        <v>2432882.1637120005</v>
      </c>
      <c r="C216" s="57">
        <v>4051442.0829899251</v>
      </c>
      <c r="D216" s="57">
        <v>2767606.8153427434</v>
      </c>
      <c r="E216" s="57">
        <v>4821961.3840082558</v>
      </c>
      <c r="F216" s="57">
        <v>6484324.246701926</v>
      </c>
      <c r="G216" s="57">
        <v>7589568.1993509997</v>
      </c>
    </row>
    <row r="217" spans="1:7" ht="11.25" customHeight="1" x14ac:dyDescent="0.2">
      <c r="A217" s="66" t="s">
        <v>35</v>
      </c>
      <c r="B217" s="57">
        <v>0</v>
      </c>
      <c r="C217" s="57">
        <v>0</v>
      </c>
      <c r="D217" s="57">
        <v>0</v>
      </c>
      <c r="E217" s="57">
        <v>0</v>
      </c>
      <c r="F217" s="57">
        <v>0</v>
      </c>
      <c r="G217" s="57">
        <v>0</v>
      </c>
    </row>
    <row r="218" spans="1:7" ht="11.25" customHeight="1" x14ac:dyDescent="0.2">
      <c r="A218" s="67">
        <v>44440</v>
      </c>
      <c r="B218" s="57">
        <v>0</v>
      </c>
      <c r="C218" s="57">
        <v>0</v>
      </c>
      <c r="D218" s="57">
        <v>0</v>
      </c>
      <c r="E218" s="57">
        <v>0</v>
      </c>
      <c r="F218" s="57">
        <v>0</v>
      </c>
      <c r="G218" s="57">
        <v>0</v>
      </c>
    </row>
    <row r="219" spans="1:7" ht="11.25" customHeight="1" x14ac:dyDescent="0.2">
      <c r="A219" s="67">
        <v>44470</v>
      </c>
      <c r="B219" s="57">
        <v>0</v>
      </c>
      <c r="C219" s="57">
        <v>0</v>
      </c>
      <c r="D219" s="57">
        <v>0</v>
      </c>
      <c r="E219" s="57">
        <v>0</v>
      </c>
      <c r="F219" s="57">
        <v>0</v>
      </c>
      <c r="G219" s="57">
        <v>0</v>
      </c>
    </row>
    <row r="220" spans="1:7" ht="11.25" customHeight="1" x14ac:dyDescent="0.2">
      <c r="A220" s="67">
        <v>44501</v>
      </c>
      <c r="B220" s="57">
        <v>0</v>
      </c>
      <c r="C220" s="57">
        <v>0</v>
      </c>
      <c r="D220" s="57">
        <v>0</v>
      </c>
      <c r="E220" s="57">
        <v>0</v>
      </c>
      <c r="F220" s="57">
        <v>0</v>
      </c>
      <c r="G220" s="57">
        <v>0</v>
      </c>
    </row>
    <row r="221" spans="1:7" ht="11.25" customHeight="1" x14ac:dyDescent="0.2">
      <c r="A221" s="67">
        <v>44531</v>
      </c>
      <c r="B221" s="57">
        <v>0</v>
      </c>
      <c r="C221" s="57">
        <v>0</v>
      </c>
      <c r="D221" s="57">
        <v>0</v>
      </c>
      <c r="E221" s="57">
        <v>0</v>
      </c>
      <c r="F221" s="57">
        <v>0</v>
      </c>
      <c r="G221" s="57">
        <v>0</v>
      </c>
    </row>
    <row r="222" spans="1:7" ht="11.25" customHeight="1" x14ac:dyDescent="0.2">
      <c r="A222" s="67">
        <v>44562</v>
      </c>
      <c r="B222" s="57">
        <v>0</v>
      </c>
      <c r="C222" s="57">
        <v>0</v>
      </c>
      <c r="D222" s="57">
        <v>0</v>
      </c>
      <c r="E222" s="57">
        <v>0</v>
      </c>
      <c r="F222" s="57">
        <v>0</v>
      </c>
      <c r="G222" s="57">
        <v>0</v>
      </c>
    </row>
    <row r="223" spans="1:7" ht="11.25" customHeight="1" x14ac:dyDescent="0.2">
      <c r="A223" s="67">
        <v>44593</v>
      </c>
      <c r="B223" s="57">
        <v>0</v>
      </c>
      <c r="C223" s="57">
        <v>0</v>
      </c>
      <c r="D223" s="57">
        <v>0</v>
      </c>
      <c r="E223" s="57">
        <v>0</v>
      </c>
      <c r="F223" s="57">
        <v>0</v>
      </c>
      <c r="G223" s="57">
        <v>0</v>
      </c>
    </row>
    <row r="224" spans="1:7" ht="11.25" customHeight="1" x14ac:dyDescent="0.2">
      <c r="A224" s="67">
        <v>44621</v>
      </c>
      <c r="B224" s="57">
        <v>0</v>
      </c>
      <c r="C224" s="57">
        <v>0</v>
      </c>
      <c r="D224" s="57">
        <v>0</v>
      </c>
      <c r="E224" s="57">
        <v>0</v>
      </c>
      <c r="F224" s="57">
        <v>0</v>
      </c>
      <c r="G224" s="57">
        <v>0</v>
      </c>
    </row>
    <row r="225" spans="1:7" ht="11.25" customHeight="1" x14ac:dyDescent="0.2">
      <c r="A225" s="67">
        <v>44652</v>
      </c>
      <c r="B225" s="57">
        <v>0</v>
      </c>
      <c r="C225" s="57">
        <v>0</v>
      </c>
      <c r="D225" s="57">
        <v>0</v>
      </c>
      <c r="E225" s="57">
        <v>0</v>
      </c>
      <c r="F225" s="57">
        <v>0</v>
      </c>
      <c r="G225" s="57">
        <v>0</v>
      </c>
    </row>
    <row r="226" spans="1:7" ht="11.25" customHeight="1" x14ac:dyDescent="0.2">
      <c r="A226" s="67">
        <v>44682</v>
      </c>
      <c r="B226" s="57">
        <v>0</v>
      </c>
      <c r="C226" s="57">
        <v>0</v>
      </c>
      <c r="D226" s="57">
        <v>0</v>
      </c>
      <c r="E226" s="57">
        <v>0</v>
      </c>
      <c r="F226" s="57">
        <v>0</v>
      </c>
      <c r="G226" s="57">
        <v>0</v>
      </c>
    </row>
    <row r="227" spans="1:7" ht="11.25" customHeight="1" x14ac:dyDescent="0.2">
      <c r="A227" s="67">
        <v>44713</v>
      </c>
      <c r="B227" s="57">
        <v>0</v>
      </c>
      <c r="C227" s="57">
        <v>0</v>
      </c>
      <c r="D227" s="57">
        <v>0</v>
      </c>
      <c r="E227" s="57">
        <v>0</v>
      </c>
      <c r="F227" s="57">
        <v>0</v>
      </c>
      <c r="G227" s="57">
        <v>0</v>
      </c>
    </row>
    <row r="228" spans="1:7" ht="11.25" customHeight="1" x14ac:dyDescent="0.2">
      <c r="A228" s="67">
        <v>44743</v>
      </c>
      <c r="B228" s="57">
        <v>0</v>
      </c>
      <c r="C228" s="57">
        <v>0</v>
      </c>
      <c r="D228" s="57">
        <v>0</v>
      </c>
      <c r="E228" s="57">
        <v>0</v>
      </c>
      <c r="F228" s="57">
        <v>0</v>
      </c>
      <c r="G228" s="57">
        <v>0</v>
      </c>
    </row>
    <row r="229" spans="1:7" ht="11.25" customHeight="1" x14ac:dyDescent="0.2">
      <c r="A229" s="67">
        <v>44774</v>
      </c>
      <c r="B229" s="57">
        <v>0</v>
      </c>
      <c r="C229" s="57">
        <v>0</v>
      </c>
      <c r="D229" s="57">
        <v>0</v>
      </c>
      <c r="E229" s="57">
        <v>0</v>
      </c>
      <c r="F229" s="57">
        <v>0</v>
      </c>
      <c r="G229" s="57">
        <v>0</v>
      </c>
    </row>
    <row r="230" spans="1:7" ht="11.25" customHeight="1" x14ac:dyDescent="0.2">
      <c r="A230" s="66" t="s">
        <v>25</v>
      </c>
      <c r="B230" s="57">
        <v>2432882.1637120005</v>
      </c>
      <c r="C230" s="57">
        <v>0</v>
      </c>
      <c r="D230" s="57">
        <v>2767606.8153427434</v>
      </c>
      <c r="E230" s="57">
        <v>0</v>
      </c>
      <c r="F230" s="57">
        <v>2432882.1637120005</v>
      </c>
      <c r="G230" s="57">
        <v>2767606.8153427434</v>
      </c>
    </row>
    <row r="231" spans="1:7" ht="11.25" customHeight="1" x14ac:dyDescent="0.2">
      <c r="A231" s="67">
        <v>44440</v>
      </c>
      <c r="B231" s="57">
        <v>208623.00159999999</v>
      </c>
      <c r="C231" s="57">
        <v>0</v>
      </c>
      <c r="D231" s="57">
        <v>237326.1022163381</v>
      </c>
      <c r="E231" s="57">
        <v>0</v>
      </c>
      <c r="F231" s="57">
        <v>208623.00159999999</v>
      </c>
      <c r="G231" s="57">
        <v>237326.1022163381</v>
      </c>
    </row>
    <row r="232" spans="1:7" ht="11.25" customHeight="1" x14ac:dyDescent="0.2">
      <c r="A232" s="67">
        <v>44470</v>
      </c>
      <c r="B232" s="57">
        <v>216840.49088000003</v>
      </c>
      <c r="C232" s="57">
        <v>0</v>
      </c>
      <c r="D232" s="57">
        <v>246674.18313680237</v>
      </c>
      <c r="E232" s="57">
        <v>0</v>
      </c>
      <c r="F232" s="57">
        <v>216840.49088000003</v>
      </c>
      <c r="G232" s="57">
        <v>246674.18313680237</v>
      </c>
    </row>
    <row r="233" spans="1:7" ht="11.25" customHeight="1" x14ac:dyDescent="0.2">
      <c r="A233" s="67">
        <v>44501</v>
      </c>
      <c r="B233" s="57">
        <v>217390.71244800001</v>
      </c>
      <c r="C233" s="57">
        <v>0</v>
      </c>
      <c r="D233" s="57">
        <v>247300.10616104861</v>
      </c>
      <c r="E233" s="57">
        <v>0</v>
      </c>
      <c r="F233" s="57">
        <v>217390.71244800001</v>
      </c>
      <c r="G233" s="57">
        <v>247300.10616104861</v>
      </c>
    </row>
    <row r="234" spans="1:7" ht="11.25" customHeight="1" x14ac:dyDescent="0.2">
      <c r="A234" s="67">
        <v>44531</v>
      </c>
      <c r="B234" s="57">
        <v>214330.23871999999</v>
      </c>
      <c r="C234" s="57">
        <v>0</v>
      </c>
      <c r="D234" s="57">
        <v>243818.56148365792</v>
      </c>
      <c r="E234" s="57">
        <v>0</v>
      </c>
      <c r="F234" s="57">
        <v>214330.23871999999</v>
      </c>
      <c r="G234" s="57">
        <v>243818.56148365792</v>
      </c>
    </row>
    <row r="235" spans="1:7" ht="11.25" customHeight="1" x14ac:dyDescent="0.2">
      <c r="A235" s="67">
        <v>44562</v>
      </c>
      <c r="B235" s="57">
        <v>219570.683904</v>
      </c>
      <c r="C235" s="57">
        <v>0</v>
      </c>
      <c r="D235" s="57">
        <v>249780.00590665441</v>
      </c>
      <c r="E235" s="57">
        <v>0</v>
      </c>
      <c r="F235" s="57">
        <v>219570.683904</v>
      </c>
      <c r="G235" s="57">
        <v>249780.00590665441</v>
      </c>
    </row>
    <row r="236" spans="1:7" ht="11.25" customHeight="1" x14ac:dyDescent="0.2">
      <c r="A236" s="67">
        <v>44593</v>
      </c>
      <c r="B236" s="57">
        <v>215709.32863999999</v>
      </c>
      <c r="C236" s="57">
        <v>0</v>
      </c>
      <c r="D236" s="57">
        <v>245387.39153983255</v>
      </c>
      <c r="E236" s="57">
        <v>0</v>
      </c>
      <c r="F236" s="57">
        <v>215709.32863999999</v>
      </c>
      <c r="G236" s="57">
        <v>245387.39153983255</v>
      </c>
    </row>
    <row r="237" spans="1:7" ht="11.25" customHeight="1" x14ac:dyDescent="0.2">
      <c r="A237" s="67">
        <v>44621</v>
      </c>
      <c r="B237" s="57">
        <v>217109.43820800001</v>
      </c>
      <c r="C237" s="57">
        <v>0</v>
      </c>
      <c r="D237" s="57">
        <v>246980.13320254881</v>
      </c>
      <c r="E237" s="57">
        <v>0</v>
      </c>
      <c r="F237" s="57">
        <v>217109.43820800001</v>
      </c>
      <c r="G237" s="57">
        <v>246980.13320254881</v>
      </c>
    </row>
    <row r="238" spans="1:7" ht="11.25" customHeight="1" x14ac:dyDescent="0.2">
      <c r="A238" s="67">
        <v>44652</v>
      </c>
      <c r="B238" s="57">
        <v>207807.69817600001</v>
      </c>
      <c r="C238" s="57">
        <v>0</v>
      </c>
      <c r="D238" s="57">
        <v>236398.62642384355</v>
      </c>
      <c r="E238" s="57">
        <v>0</v>
      </c>
      <c r="F238" s="57">
        <v>207807.69817600001</v>
      </c>
      <c r="G238" s="57">
        <v>236398.62642384355</v>
      </c>
    </row>
    <row r="239" spans="1:7" ht="11.25" customHeight="1" x14ac:dyDescent="0.2">
      <c r="A239" s="67">
        <v>44682</v>
      </c>
      <c r="B239" s="57">
        <v>227478.69081600002</v>
      </c>
      <c r="C239" s="57">
        <v>0</v>
      </c>
      <c r="D239" s="57">
        <v>258776.02476522318</v>
      </c>
      <c r="E239" s="57">
        <v>0</v>
      </c>
      <c r="F239" s="57">
        <v>227478.69081600002</v>
      </c>
      <c r="G239" s="57">
        <v>258776.02476522318</v>
      </c>
    </row>
    <row r="240" spans="1:7" ht="11.25" customHeight="1" x14ac:dyDescent="0.2">
      <c r="A240" s="67">
        <v>44743</v>
      </c>
      <c r="B240" s="57">
        <v>244010.94016000003</v>
      </c>
      <c r="C240" s="57">
        <v>0</v>
      </c>
      <c r="D240" s="57">
        <v>277582.84025339672</v>
      </c>
      <c r="E240" s="57">
        <v>0</v>
      </c>
      <c r="F240" s="57">
        <v>244010.94016000003</v>
      </c>
      <c r="G240" s="57">
        <v>277582.84025339672</v>
      </c>
    </row>
    <row r="241" spans="1:7" ht="11.25" customHeight="1" x14ac:dyDescent="0.2">
      <c r="A241" s="67">
        <v>44774</v>
      </c>
      <c r="B241" s="57">
        <v>244010.94016000003</v>
      </c>
      <c r="C241" s="57">
        <v>0</v>
      </c>
      <c r="D241" s="57">
        <v>277582.84025339672</v>
      </c>
      <c r="E241" s="57">
        <v>0</v>
      </c>
      <c r="F241" s="57">
        <v>244010.94016000003</v>
      </c>
      <c r="G241" s="57">
        <v>277582.84025339672</v>
      </c>
    </row>
    <row r="242" spans="1:7" ht="11.25" customHeight="1" x14ac:dyDescent="0.2">
      <c r="A242" s="66" t="s">
        <v>34</v>
      </c>
      <c r="B242" s="57">
        <v>0</v>
      </c>
      <c r="C242" s="57">
        <v>4051442.0829899251</v>
      </c>
      <c r="D242" s="57">
        <v>0</v>
      </c>
      <c r="E242" s="57">
        <v>4821961.3840082558</v>
      </c>
      <c r="F242" s="57">
        <v>4051442.0829899251</v>
      </c>
      <c r="G242" s="57">
        <v>4821961.3840082558</v>
      </c>
    </row>
    <row r="243" spans="1:7" ht="11.25" customHeight="1" x14ac:dyDescent="0.2">
      <c r="A243" s="67">
        <v>44440</v>
      </c>
      <c r="B243" s="57">
        <v>0</v>
      </c>
      <c r="C243" s="57">
        <v>361445.51785633201</v>
      </c>
      <c r="D243" s="57">
        <v>0</v>
      </c>
      <c r="E243" s="57">
        <v>430186.65794177511</v>
      </c>
      <c r="F243" s="57">
        <v>361445.51785633201</v>
      </c>
      <c r="G243" s="57">
        <v>430186.65794177511</v>
      </c>
    </row>
    <row r="244" spans="1:7" ht="11.25" customHeight="1" x14ac:dyDescent="0.2">
      <c r="A244" s="67">
        <v>44470</v>
      </c>
      <c r="B244" s="57">
        <v>0</v>
      </c>
      <c r="C244" s="57">
        <v>303710.25530008797</v>
      </c>
      <c r="D244" s="57">
        <v>0</v>
      </c>
      <c r="E244" s="57">
        <v>361471.07449294743</v>
      </c>
      <c r="F244" s="57">
        <v>303710.25530008797</v>
      </c>
      <c r="G244" s="57">
        <v>361471.07449294743</v>
      </c>
    </row>
    <row r="245" spans="1:7" ht="11.25" customHeight="1" x14ac:dyDescent="0.2">
      <c r="A245" s="67">
        <v>44501</v>
      </c>
      <c r="B245" s="57">
        <v>0</v>
      </c>
      <c r="C245" s="57">
        <v>358227.43680500402</v>
      </c>
      <c r="D245" s="57">
        <v>0</v>
      </c>
      <c r="E245" s="57">
        <v>426356.54949094407</v>
      </c>
      <c r="F245" s="57">
        <v>358227.43680500402</v>
      </c>
      <c r="G245" s="57">
        <v>426356.54949094407</v>
      </c>
    </row>
    <row r="246" spans="1:7" ht="11.25" customHeight="1" x14ac:dyDescent="0.2">
      <c r="A246" s="67">
        <v>44531</v>
      </c>
      <c r="B246" s="57">
        <v>0</v>
      </c>
      <c r="C246" s="57">
        <v>335754.93628544395</v>
      </c>
      <c r="D246" s="57">
        <v>0</v>
      </c>
      <c r="E246" s="57">
        <v>399610.13982057443</v>
      </c>
      <c r="F246" s="57">
        <v>335754.93628544395</v>
      </c>
      <c r="G246" s="57">
        <v>399610.13982057443</v>
      </c>
    </row>
    <row r="247" spans="1:7" ht="11.25" customHeight="1" x14ac:dyDescent="0.2">
      <c r="A247" s="67">
        <v>44562</v>
      </c>
      <c r="B247" s="57">
        <v>0</v>
      </c>
      <c r="C247" s="57">
        <v>324491.74094337004</v>
      </c>
      <c r="D247" s="57">
        <v>0</v>
      </c>
      <c r="E247" s="57">
        <v>386204.86538062949</v>
      </c>
      <c r="F247" s="57">
        <v>324491.74094337004</v>
      </c>
      <c r="G247" s="57">
        <v>386204.86538062949</v>
      </c>
    </row>
    <row r="248" spans="1:7" ht="11.25" customHeight="1" x14ac:dyDescent="0.2">
      <c r="A248" s="67">
        <v>44593</v>
      </c>
      <c r="B248" s="57">
        <v>0</v>
      </c>
      <c r="C248" s="57">
        <v>343224.47557319998</v>
      </c>
      <c r="D248" s="57">
        <v>0</v>
      </c>
      <c r="E248" s="57">
        <v>408500.26567307371</v>
      </c>
      <c r="F248" s="57">
        <v>343224.47557319998</v>
      </c>
      <c r="G248" s="57">
        <v>408500.26567307371</v>
      </c>
    </row>
    <row r="249" spans="1:7" ht="11.25" customHeight="1" x14ac:dyDescent="0.2">
      <c r="A249" s="67">
        <v>44621</v>
      </c>
      <c r="B249" s="57">
        <v>0</v>
      </c>
      <c r="C249" s="57">
        <v>348005.55125606403</v>
      </c>
      <c r="D249" s="57">
        <v>0</v>
      </c>
      <c r="E249" s="57">
        <v>414190.62526468298</v>
      </c>
      <c r="F249" s="57">
        <v>348005.55125606403</v>
      </c>
      <c r="G249" s="57">
        <v>414190.62526468298</v>
      </c>
    </row>
    <row r="250" spans="1:7" ht="11.25" customHeight="1" x14ac:dyDescent="0.2">
      <c r="A250" s="67">
        <v>44652</v>
      </c>
      <c r="B250" s="57">
        <v>0</v>
      </c>
      <c r="C250" s="57">
        <v>349705.34298761107</v>
      </c>
      <c r="D250" s="57">
        <v>0</v>
      </c>
      <c r="E250" s="57">
        <v>416213.69011973514</v>
      </c>
      <c r="F250" s="57">
        <v>349705.34298761107</v>
      </c>
      <c r="G250" s="57">
        <v>416213.69011973514</v>
      </c>
    </row>
    <row r="251" spans="1:7" ht="11.25" customHeight="1" x14ac:dyDescent="0.2">
      <c r="A251" s="67">
        <v>44682</v>
      </c>
      <c r="B251" s="57">
        <v>0</v>
      </c>
      <c r="C251" s="57">
        <v>307127.65881283209</v>
      </c>
      <c r="D251" s="57">
        <v>0</v>
      </c>
      <c r="E251" s="57">
        <v>365538.41334032023</v>
      </c>
      <c r="F251" s="57">
        <v>307127.65881283209</v>
      </c>
      <c r="G251" s="57">
        <v>365538.41334032023</v>
      </c>
    </row>
    <row r="252" spans="1:7" ht="11.25" customHeight="1" x14ac:dyDescent="0.2">
      <c r="A252" s="67">
        <v>44713</v>
      </c>
      <c r="B252" s="57">
        <v>0</v>
      </c>
      <c r="C252" s="57">
        <v>329837.94551214005</v>
      </c>
      <c r="D252" s="57">
        <v>0</v>
      </c>
      <c r="E252" s="57">
        <v>392567.83230785083</v>
      </c>
      <c r="F252" s="57">
        <v>329837.94551214005</v>
      </c>
      <c r="G252" s="57">
        <v>392567.83230785083</v>
      </c>
    </row>
    <row r="253" spans="1:7" ht="11.25" customHeight="1" x14ac:dyDescent="0.2">
      <c r="A253" s="67">
        <v>44743</v>
      </c>
      <c r="B253" s="57">
        <v>0</v>
      </c>
      <c r="C253" s="57">
        <v>344955.61082891998</v>
      </c>
      <c r="D253" s="57">
        <v>0</v>
      </c>
      <c r="E253" s="57">
        <v>410560.63508786156</v>
      </c>
      <c r="F253" s="57">
        <v>344955.61082891998</v>
      </c>
      <c r="G253" s="57">
        <v>410560.63508786156</v>
      </c>
    </row>
    <row r="254" spans="1:7" ht="11.25" customHeight="1" x14ac:dyDescent="0.2">
      <c r="A254" s="67">
        <v>44774</v>
      </c>
      <c r="B254" s="57">
        <v>0</v>
      </c>
      <c r="C254" s="57">
        <v>344955.61082891998</v>
      </c>
      <c r="D254" s="57">
        <v>0</v>
      </c>
      <c r="E254" s="57">
        <v>410560.63508786156</v>
      </c>
      <c r="F254" s="57">
        <v>344955.61082891998</v>
      </c>
      <c r="G254" s="57">
        <v>410560.63508786156</v>
      </c>
    </row>
    <row r="255" spans="1:7" ht="11.25" customHeight="1" x14ac:dyDescent="0.2">
      <c r="A255" s="59" t="s">
        <v>848</v>
      </c>
      <c r="B255" s="57">
        <v>89885.880000000063</v>
      </c>
      <c r="C255" s="57">
        <v>0</v>
      </c>
      <c r="D255" s="57">
        <v>98268.508814913817</v>
      </c>
      <c r="E255" s="57">
        <v>0</v>
      </c>
      <c r="F255" s="57">
        <v>89885.880000000063</v>
      </c>
      <c r="G255" s="57">
        <v>98268.508814913817</v>
      </c>
    </row>
    <row r="256" spans="1:7" ht="11.25" customHeight="1" x14ac:dyDescent="0.2">
      <c r="A256" s="60" t="s">
        <v>39</v>
      </c>
      <c r="B256" s="57">
        <v>89885.880000000063</v>
      </c>
      <c r="C256" s="57">
        <v>0</v>
      </c>
      <c r="D256" s="57">
        <v>98268.508814913817</v>
      </c>
      <c r="E256" s="57">
        <v>0</v>
      </c>
      <c r="F256" s="57">
        <v>89885.880000000063</v>
      </c>
      <c r="G256" s="57">
        <v>98268.508814913817</v>
      </c>
    </row>
    <row r="257" spans="1:7" ht="11.25" customHeight="1" x14ac:dyDescent="0.2">
      <c r="A257" s="61" t="s">
        <v>59</v>
      </c>
      <c r="B257" s="57">
        <v>89885.880000000063</v>
      </c>
      <c r="C257" s="57">
        <v>0</v>
      </c>
      <c r="D257" s="57">
        <v>98268.508814913817</v>
      </c>
      <c r="E257" s="57">
        <v>0</v>
      </c>
      <c r="F257" s="57">
        <v>89885.880000000063</v>
      </c>
      <c r="G257" s="57">
        <v>98268.508814913817</v>
      </c>
    </row>
    <row r="258" spans="1:7" ht="11.25" customHeight="1" x14ac:dyDescent="0.2">
      <c r="A258" s="62" t="s">
        <v>25</v>
      </c>
      <c r="B258" s="57">
        <v>89885.880000000063</v>
      </c>
      <c r="C258" s="57">
        <v>0</v>
      </c>
      <c r="D258" s="57">
        <v>98268.508814913817</v>
      </c>
      <c r="E258" s="57">
        <v>0</v>
      </c>
      <c r="F258" s="57">
        <v>89885.880000000063</v>
      </c>
      <c r="G258" s="57">
        <v>98268.508814913817</v>
      </c>
    </row>
    <row r="259" spans="1:7" ht="11.25" customHeight="1" x14ac:dyDescent="0.2">
      <c r="A259" s="63" t="s">
        <v>25</v>
      </c>
      <c r="B259" s="57">
        <v>89885.880000000063</v>
      </c>
      <c r="C259" s="57">
        <v>0</v>
      </c>
      <c r="D259" s="57">
        <v>98268.508814913817</v>
      </c>
      <c r="E259" s="57">
        <v>0</v>
      </c>
      <c r="F259" s="57">
        <v>89885.880000000063</v>
      </c>
      <c r="G259" s="57">
        <v>98268.508814913817</v>
      </c>
    </row>
    <row r="260" spans="1:7" ht="11.25" customHeight="1" x14ac:dyDescent="0.2">
      <c r="A260" s="64" t="s">
        <v>25</v>
      </c>
      <c r="B260" s="57">
        <v>89885.880000000063</v>
      </c>
      <c r="C260" s="57">
        <v>0</v>
      </c>
      <c r="D260" s="57">
        <v>98268.508814913817</v>
      </c>
      <c r="E260" s="57">
        <v>0</v>
      </c>
      <c r="F260" s="57">
        <v>89885.880000000063</v>
      </c>
      <c r="G260" s="57">
        <v>98268.508814913817</v>
      </c>
    </row>
    <row r="261" spans="1:7" ht="11.25" customHeight="1" x14ac:dyDescent="0.2">
      <c r="A261" s="65" t="s">
        <v>60</v>
      </c>
      <c r="B261" s="57">
        <v>60102</v>
      </c>
      <c r="C261" s="57">
        <v>0</v>
      </c>
      <c r="D261" s="57">
        <v>65707.026696450499</v>
      </c>
      <c r="E261" s="57">
        <v>0</v>
      </c>
      <c r="F261" s="57">
        <v>60102</v>
      </c>
      <c r="G261" s="57">
        <v>65707.026696450499</v>
      </c>
    </row>
    <row r="262" spans="1:7" ht="11.25" customHeight="1" x14ac:dyDescent="0.2">
      <c r="A262" s="66" t="s">
        <v>25</v>
      </c>
      <c r="B262" s="57">
        <v>60102</v>
      </c>
      <c r="C262" s="57">
        <v>0</v>
      </c>
      <c r="D262" s="57">
        <v>65707.026696450499</v>
      </c>
      <c r="E262" s="57">
        <v>0</v>
      </c>
      <c r="F262" s="57">
        <v>60102</v>
      </c>
      <c r="G262" s="57">
        <v>65707.026696450499</v>
      </c>
    </row>
    <row r="263" spans="1:7" ht="11.25" customHeight="1" x14ac:dyDescent="0.2">
      <c r="A263" s="67">
        <v>44440</v>
      </c>
      <c r="B263" s="57">
        <v>5008.5</v>
      </c>
      <c r="C263" s="57">
        <v>0</v>
      </c>
      <c r="D263" s="57">
        <v>5475.585558037541</v>
      </c>
      <c r="E263" s="57">
        <v>0</v>
      </c>
      <c r="F263" s="57">
        <v>5008.5</v>
      </c>
      <c r="G263" s="57">
        <v>5475.585558037541</v>
      </c>
    </row>
    <row r="264" spans="1:7" ht="11.25" customHeight="1" x14ac:dyDescent="0.2">
      <c r="A264" s="67">
        <v>44470</v>
      </c>
      <c r="B264" s="57">
        <v>5008.5</v>
      </c>
      <c r="C264" s="57">
        <v>0</v>
      </c>
      <c r="D264" s="57">
        <v>5475.585558037541</v>
      </c>
      <c r="E264" s="57">
        <v>0</v>
      </c>
      <c r="F264" s="57">
        <v>5008.5</v>
      </c>
      <c r="G264" s="57">
        <v>5475.585558037541</v>
      </c>
    </row>
    <row r="265" spans="1:7" ht="11.25" customHeight="1" x14ac:dyDescent="0.2">
      <c r="A265" s="67">
        <v>44501</v>
      </c>
      <c r="B265" s="57">
        <v>5008.5</v>
      </c>
      <c r="C265" s="57">
        <v>0</v>
      </c>
      <c r="D265" s="57">
        <v>5475.585558037541</v>
      </c>
      <c r="E265" s="57">
        <v>0</v>
      </c>
      <c r="F265" s="57">
        <v>5008.5</v>
      </c>
      <c r="G265" s="57">
        <v>5475.585558037541</v>
      </c>
    </row>
    <row r="266" spans="1:7" ht="11.25" customHeight="1" x14ac:dyDescent="0.2">
      <c r="A266" s="67">
        <v>44531</v>
      </c>
      <c r="B266" s="57">
        <v>5008.5</v>
      </c>
      <c r="C266" s="57">
        <v>0</v>
      </c>
      <c r="D266" s="57">
        <v>5475.585558037541</v>
      </c>
      <c r="E266" s="57">
        <v>0</v>
      </c>
      <c r="F266" s="57">
        <v>5008.5</v>
      </c>
      <c r="G266" s="57">
        <v>5475.585558037541</v>
      </c>
    </row>
    <row r="267" spans="1:7" ht="11.25" customHeight="1" x14ac:dyDescent="0.2">
      <c r="A267" s="67">
        <v>44562</v>
      </c>
      <c r="B267" s="57">
        <v>5008.5</v>
      </c>
      <c r="C267" s="57">
        <v>0</v>
      </c>
      <c r="D267" s="57">
        <v>5475.585558037541</v>
      </c>
      <c r="E267" s="57">
        <v>0</v>
      </c>
      <c r="F267" s="57">
        <v>5008.5</v>
      </c>
      <c r="G267" s="57">
        <v>5475.585558037541</v>
      </c>
    </row>
    <row r="268" spans="1:7" ht="11.25" customHeight="1" x14ac:dyDescent="0.2">
      <c r="A268" s="67">
        <v>44593</v>
      </c>
      <c r="B268" s="57">
        <v>5008.5</v>
      </c>
      <c r="C268" s="57">
        <v>0</v>
      </c>
      <c r="D268" s="57">
        <v>5475.585558037541</v>
      </c>
      <c r="E268" s="57">
        <v>0</v>
      </c>
      <c r="F268" s="57">
        <v>5008.5</v>
      </c>
      <c r="G268" s="57">
        <v>5475.585558037541</v>
      </c>
    </row>
    <row r="269" spans="1:7" ht="11.25" customHeight="1" x14ac:dyDescent="0.2">
      <c r="A269" s="67">
        <v>44621</v>
      </c>
      <c r="B269" s="57">
        <v>5008.5</v>
      </c>
      <c r="C269" s="57">
        <v>0</v>
      </c>
      <c r="D269" s="57">
        <v>5475.585558037541</v>
      </c>
      <c r="E269" s="57">
        <v>0</v>
      </c>
      <c r="F269" s="57">
        <v>5008.5</v>
      </c>
      <c r="G269" s="57">
        <v>5475.585558037541</v>
      </c>
    </row>
    <row r="270" spans="1:7" ht="11.25" customHeight="1" x14ac:dyDescent="0.2">
      <c r="A270" s="67">
        <v>44652</v>
      </c>
      <c r="B270" s="57">
        <v>5008.5</v>
      </c>
      <c r="C270" s="57">
        <v>0</v>
      </c>
      <c r="D270" s="57">
        <v>5475.585558037541</v>
      </c>
      <c r="E270" s="57">
        <v>0</v>
      </c>
      <c r="F270" s="57">
        <v>5008.5</v>
      </c>
      <c r="G270" s="57">
        <v>5475.585558037541</v>
      </c>
    </row>
    <row r="271" spans="1:7" ht="11.25" customHeight="1" x14ac:dyDescent="0.2">
      <c r="A271" s="67">
        <v>44682</v>
      </c>
      <c r="B271" s="57">
        <v>5008.5</v>
      </c>
      <c r="C271" s="57">
        <v>0</v>
      </c>
      <c r="D271" s="57">
        <v>5475.585558037541</v>
      </c>
      <c r="E271" s="57">
        <v>0</v>
      </c>
      <c r="F271" s="57">
        <v>5008.5</v>
      </c>
      <c r="G271" s="57">
        <v>5475.585558037541</v>
      </c>
    </row>
    <row r="272" spans="1:7" ht="11.25" customHeight="1" x14ac:dyDescent="0.2">
      <c r="A272" s="67">
        <v>44713</v>
      </c>
      <c r="B272" s="57">
        <v>5008.5</v>
      </c>
      <c r="C272" s="57">
        <v>0</v>
      </c>
      <c r="D272" s="57">
        <v>5475.585558037541</v>
      </c>
      <c r="E272" s="57">
        <v>0</v>
      </c>
      <c r="F272" s="57">
        <v>5008.5</v>
      </c>
      <c r="G272" s="57">
        <v>5475.585558037541</v>
      </c>
    </row>
    <row r="273" spans="1:7" ht="11.25" customHeight="1" x14ac:dyDescent="0.2">
      <c r="A273" s="67">
        <v>44743</v>
      </c>
      <c r="B273" s="57">
        <v>5008.5</v>
      </c>
      <c r="C273" s="57">
        <v>0</v>
      </c>
      <c r="D273" s="57">
        <v>5475.585558037541</v>
      </c>
      <c r="E273" s="57">
        <v>0</v>
      </c>
      <c r="F273" s="57">
        <v>5008.5</v>
      </c>
      <c r="G273" s="57">
        <v>5475.585558037541</v>
      </c>
    </row>
    <row r="274" spans="1:7" ht="11.25" customHeight="1" x14ac:dyDescent="0.2">
      <c r="A274" s="67">
        <v>44774</v>
      </c>
      <c r="B274" s="57">
        <v>5008.5</v>
      </c>
      <c r="C274" s="57">
        <v>0</v>
      </c>
      <c r="D274" s="57">
        <v>5475.585558037541</v>
      </c>
      <c r="E274" s="57">
        <v>0</v>
      </c>
      <c r="F274" s="57">
        <v>5008.5</v>
      </c>
      <c r="G274" s="57">
        <v>5475.585558037541</v>
      </c>
    </row>
    <row r="275" spans="1:7" ht="11.25" customHeight="1" x14ac:dyDescent="0.2">
      <c r="A275" s="65" t="s">
        <v>62</v>
      </c>
      <c r="B275" s="57">
        <v>13756.679999999998</v>
      </c>
      <c r="C275" s="57">
        <v>0</v>
      </c>
      <c r="D275" s="57">
        <v>15039.60833274311</v>
      </c>
      <c r="E275" s="57">
        <v>0</v>
      </c>
      <c r="F275" s="57">
        <v>13756.679999999998</v>
      </c>
      <c r="G275" s="57">
        <v>15039.60833274311</v>
      </c>
    </row>
    <row r="276" spans="1:7" ht="11.25" customHeight="1" x14ac:dyDescent="0.2">
      <c r="A276" s="66" t="s">
        <v>25</v>
      </c>
      <c r="B276" s="57">
        <v>13756.679999999998</v>
      </c>
      <c r="C276" s="57">
        <v>0</v>
      </c>
      <c r="D276" s="57">
        <v>15039.60833274311</v>
      </c>
      <c r="E276" s="57">
        <v>0</v>
      </c>
      <c r="F276" s="57">
        <v>13756.679999999998</v>
      </c>
      <c r="G276" s="57">
        <v>15039.60833274311</v>
      </c>
    </row>
    <row r="277" spans="1:7" ht="11.25" customHeight="1" x14ac:dyDescent="0.2">
      <c r="A277" s="67">
        <v>44440</v>
      </c>
      <c r="B277" s="57">
        <v>1146.3900000000001</v>
      </c>
      <c r="C277" s="57">
        <v>0</v>
      </c>
      <c r="D277" s="57">
        <v>1253.3006943952594</v>
      </c>
      <c r="E277" s="57">
        <v>0</v>
      </c>
      <c r="F277" s="57">
        <v>1146.3900000000001</v>
      </c>
      <c r="G277" s="57">
        <v>1253.3006943952594</v>
      </c>
    </row>
    <row r="278" spans="1:7" ht="11.25" customHeight="1" x14ac:dyDescent="0.2">
      <c r="A278" s="67">
        <v>44470</v>
      </c>
      <c r="B278" s="57">
        <v>1146.3900000000001</v>
      </c>
      <c r="C278" s="57">
        <v>0</v>
      </c>
      <c r="D278" s="57">
        <v>1253.3006943952594</v>
      </c>
      <c r="E278" s="57">
        <v>0</v>
      </c>
      <c r="F278" s="57">
        <v>1146.3900000000001</v>
      </c>
      <c r="G278" s="57">
        <v>1253.3006943952594</v>
      </c>
    </row>
    <row r="279" spans="1:7" ht="11.25" customHeight="1" x14ac:dyDescent="0.2">
      <c r="A279" s="67">
        <v>44501</v>
      </c>
      <c r="B279" s="57">
        <v>1146.3900000000001</v>
      </c>
      <c r="C279" s="57">
        <v>0</v>
      </c>
      <c r="D279" s="57">
        <v>1253.3006943952594</v>
      </c>
      <c r="E279" s="57">
        <v>0</v>
      </c>
      <c r="F279" s="57">
        <v>1146.3900000000001</v>
      </c>
      <c r="G279" s="57">
        <v>1253.3006943952594</v>
      </c>
    </row>
    <row r="280" spans="1:7" ht="11.25" customHeight="1" x14ac:dyDescent="0.2">
      <c r="A280" s="67">
        <v>44531</v>
      </c>
      <c r="B280" s="57">
        <v>1146.3900000000001</v>
      </c>
      <c r="C280" s="57">
        <v>0</v>
      </c>
      <c r="D280" s="57">
        <v>1253.3006943952594</v>
      </c>
      <c r="E280" s="57">
        <v>0</v>
      </c>
      <c r="F280" s="57">
        <v>1146.3900000000001</v>
      </c>
      <c r="G280" s="57">
        <v>1253.3006943952594</v>
      </c>
    </row>
    <row r="281" spans="1:7" ht="11.25" customHeight="1" x14ac:dyDescent="0.2">
      <c r="A281" s="67">
        <v>44562</v>
      </c>
      <c r="B281" s="57">
        <v>1146.3900000000001</v>
      </c>
      <c r="C281" s="57">
        <v>0</v>
      </c>
      <c r="D281" s="57">
        <v>1253.3006943952594</v>
      </c>
      <c r="E281" s="57">
        <v>0</v>
      </c>
      <c r="F281" s="57">
        <v>1146.3900000000001</v>
      </c>
      <c r="G281" s="57">
        <v>1253.3006943952594</v>
      </c>
    </row>
    <row r="282" spans="1:7" ht="11.25" customHeight="1" x14ac:dyDescent="0.2">
      <c r="A282" s="67">
        <v>44593</v>
      </c>
      <c r="B282" s="57">
        <v>1146.3900000000001</v>
      </c>
      <c r="C282" s="57">
        <v>0</v>
      </c>
      <c r="D282" s="57">
        <v>1253.3006943952594</v>
      </c>
      <c r="E282" s="57">
        <v>0</v>
      </c>
      <c r="F282" s="57">
        <v>1146.3900000000001</v>
      </c>
      <c r="G282" s="57">
        <v>1253.3006943952594</v>
      </c>
    </row>
    <row r="283" spans="1:7" ht="11.25" customHeight="1" x14ac:dyDescent="0.2">
      <c r="A283" s="67">
        <v>44621</v>
      </c>
      <c r="B283" s="57">
        <v>1146.3900000000001</v>
      </c>
      <c r="C283" s="57">
        <v>0</v>
      </c>
      <c r="D283" s="57">
        <v>1253.3006943952594</v>
      </c>
      <c r="E283" s="57">
        <v>0</v>
      </c>
      <c r="F283" s="57">
        <v>1146.3900000000001</v>
      </c>
      <c r="G283" s="57">
        <v>1253.3006943952594</v>
      </c>
    </row>
    <row r="284" spans="1:7" ht="11.25" customHeight="1" x14ac:dyDescent="0.2">
      <c r="A284" s="67">
        <v>44652</v>
      </c>
      <c r="B284" s="57">
        <v>1146.3900000000001</v>
      </c>
      <c r="C284" s="57">
        <v>0</v>
      </c>
      <c r="D284" s="57">
        <v>1253.3006943952594</v>
      </c>
      <c r="E284" s="57">
        <v>0</v>
      </c>
      <c r="F284" s="57">
        <v>1146.3900000000001</v>
      </c>
      <c r="G284" s="57">
        <v>1253.3006943952594</v>
      </c>
    </row>
    <row r="285" spans="1:7" ht="11.25" customHeight="1" x14ac:dyDescent="0.2">
      <c r="A285" s="67">
        <v>44682</v>
      </c>
      <c r="B285" s="57">
        <v>1146.3900000000001</v>
      </c>
      <c r="C285" s="57">
        <v>0</v>
      </c>
      <c r="D285" s="57">
        <v>1253.3006943952594</v>
      </c>
      <c r="E285" s="57">
        <v>0</v>
      </c>
      <c r="F285" s="57">
        <v>1146.3900000000001</v>
      </c>
      <c r="G285" s="57">
        <v>1253.3006943952594</v>
      </c>
    </row>
    <row r="286" spans="1:7" ht="11.25" customHeight="1" x14ac:dyDescent="0.2">
      <c r="A286" s="67">
        <v>44713</v>
      </c>
      <c r="B286" s="57">
        <v>1146.3900000000001</v>
      </c>
      <c r="C286" s="57">
        <v>0</v>
      </c>
      <c r="D286" s="57">
        <v>1253.3006943952594</v>
      </c>
      <c r="E286" s="57">
        <v>0</v>
      </c>
      <c r="F286" s="57">
        <v>1146.3900000000001</v>
      </c>
      <c r="G286" s="57">
        <v>1253.3006943952594</v>
      </c>
    </row>
    <row r="287" spans="1:7" ht="11.25" customHeight="1" x14ac:dyDescent="0.2">
      <c r="A287" s="67">
        <v>44743</v>
      </c>
      <c r="B287" s="57">
        <v>1146.3900000000001</v>
      </c>
      <c r="C287" s="57">
        <v>0</v>
      </c>
      <c r="D287" s="57">
        <v>1253.3006943952594</v>
      </c>
      <c r="E287" s="57">
        <v>0</v>
      </c>
      <c r="F287" s="57">
        <v>1146.3900000000001</v>
      </c>
      <c r="G287" s="57">
        <v>1253.3006943952594</v>
      </c>
    </row>
    <row r="288" spans="1:7" ht="11.25" customHeight="1" x14ac:dyDescent="0.2">
      <c r="A288" s="67">
        <v>44774</v>
      </c>
      <c r="B288" s="57">
        <v>1146.3900000000001</v>
      </c>
      <c r="C288" s="57">
        <v>0</v>
      </c>
      <c r="D288" s="57">
        <v>1253.3006943952594</v>
      </c>
      <c r="E288" s="57">
        <v>0</v>
      </c>
      <c r="F288" s="57">
        <v>1146.3900000000001</v>
      </c>
      <c r="G288" s="57">
        <v>1253.3006943952594</v>
      </c>
    </row>
    <row r="289" spans="1:7" ht="11.25" customHeight="1" x14ac:dyDescent="0.2">
      <c r="A289" s="65" t="s">
        <v>63</v>
      </c>
      <c r="B289" s="57">
        <v>16027.200000000003</v>
      </c>
      <c r="C289" s="57">
        <v>0</v>
      </c>
      <c r="D289" s="57">
        <v>17521.87378572013</v>
      </c>
      <c r="E289" s="57">
        <v>0</v>
      </c>
      <c r="F289" s="57">
        <v>16027.200000000003</v>
      </c>
      <c r="G289" s="57">
        <v>17521.87378572013</v>
      </c>
    </row>
    <row r="290" spans="1:7" ht="11.25" customHeight="1" x14ac:dyDescent="0.2">
      <c r="A290" s="66" t="s">
        <v>25</v>
      </c>
      <c r="B290" s="57">
        <v>16027.200000000003</v>
      </c>
      <c r="C290" s="57">
        <v>0</v>
      </c>
      <c r="D290" s="57">
        <v>17521.87378572013</v>
      </c>
      <c r="E290" s="57">
        <v>0</v>
      </c>
      <c r="F290" s="57">
        <v>16027.200000000003</v>
      </c>
      <c r="G290" s="57">
        <v>17521.87378572013</v>
      </c>
    </row>
    <row r="291" spans="1:7" ht="11.25" customHeight="1" x14ac:dyDescent="0.2">
      <c r="A291" s="67">
        <v>44440</v>
      </c>
      <c r="B291" s="57">
        <v>1335.6000000000001</v>
      </c>
      <c r="C291" s="57">
        <v>0</v>
      </c>
      <c r="D291" s="57">
        <v>1460.156148810011</v>
      </c>
      <c r="E291" s="57">
        <v>0</v>
      </c>
      <c r="F291" s="57">
        <v>1335.6000000000001</v>
      </c>
      <c r="G291" s="57">
        <v>1460.156148810011</v>
      </c>
    </row>
    <row r="292" spans="1:7" ht="11.25" customHeight="1" x14ac:dyDescent="0.2">
      <c r="A292" s="67">
        <v>44470</v>
      </c>
      <c r="B292" s="57">
        <v>1335.6000000000001</v>
      </c>
      <c r="C292" s="57">
        <v>0</v>
      </c>
      <c r="D292" s="57">
        <v>1460.156148810011</v>
      </c>
      <c r="E292" s="57">
        <v>0</v>
      </c>
      <c r="F292" s="57">
        <v>1335.6000000000001</v>
      </c>
      <c r="G292" s="57">
        <v>1460.156148810011</v>
      </c>
    </row>
    <row r="293" spans="1:7" ht="11.25" customHeight="1" x14ac:dyDescent="0.2">
      <c r="A293" s="67">
        <v>44501</v>
      </c>
      <c r="B293" s="57">
        <v>1335.6000000000001</v>
      </c>
      <c r="C293" s="57">
        <v>0</v>
      </c>
      <c r="D293" s="57">
        <v>1460.156148810011</v>
      </c>
      <c r="E293" s="57">
        <v>0</v>
      </c>
      <c r="F293" s="57">
        <v>1335.6000000000001</v>
      </c>
      <c r="G293" s="57">
        <v>1460.156148810011</v>
      </c>
    </row>
    <row r="294" spans="1:7" ht="11.25" customHeight="1" x14ac:dyDescent="0.2">
      <c r="A294" s="67">
        <v>44531</v>
      </c>
      <c r="B294" s="57">
        <v>1335.6000000000001</v>
      </c>
      <c r="C294" s="57">
        <v>0</v>
      </c>
      <c r="D294" s="57">
        <v>1460.156148810011</v>
      </c>
      <c r="E294" s="57">
        <v>0</v>
      </c>
      <c r="F294" s="57">
        <v>1335.6000000000001</v>
      </c>
      <c r="G294" s="57">
        <v>1460.156148810011</v>
      </c>
    </row>
    <row r="295" spans="1:7" ht="11.25" customHeight="1" x14ac:dyDescent="0.2">
      <c r="A295" s="67">
        <v>44562</v>
      </c>
      <c r="B295" s="57">
        <v>1335.6000000000001</v>
      </c>
      <c r="C295" s="57">
        <v>0</v>
      </c>
      <c r="D295" s="57">
        <v>1460.156148810011</v>
      </c>
      <c r="E295" s="57">
        <v>0</v>
      </c>
      <c r="F295" s="57">
        <v>1335.6000000000001</v>
      </c>
      <c r="G295" s="57">
        <v>1460.156148810011</v>
      </c>
    </row>
    <row r="296" spans="1:7" ht="11.25" customHeight="1" x14ac:dyDescent="0.2">
      <c r="A296" s="67">
        <v>44593</v>
      </c>
      <c r="B296" s="57">
        <v>1335.6000000000001</v>
      </c>
      <c r="C296" s="57">
        <v>0</v>
      </c>
      <c r="D296" s="57">
        <v>1460.156148810011</v>
      </c>
      <c r="E296" s="57">
        <v>0</v>
      </c>
      <c r="F296" s="57">
        <v>1335.6000000000001</v>
      </c>
      <c r="G296" s="57">
        <v>1460.156148810011</v>
      </c>
    </row>
    <row r="297" spans="1:7" ht="11.25" customHeight="1" x14ac:dyDescent="0.2">
      <c r="A297" s="67">
        <v>44621</v>
      </c>
      <c r="B297" s="57">
        <v>1335.6000000000001</v>
      </c>
      <c r="C297" s="57">
        <v>0</v>
      </c>
      <c r="D297" s="57">
        <v>1460.156148810011</v>
      </c>
      <c r="E297" s="57">
        <v>0</v>
      </c>
      <c r="F297" s="57">
        <v>1335.6000000000001</v>
      </c>
      <c r="G297" s="57">
        <v>1460.156148810011</v>
      </c>
    </row>
    <row r="298" spans="1:7" ht="11.25" customHeight="1" x14ac:dyDescent="0.2">
      <c r="A298" s="67">
        <v>44652</v>
      </c>
      <c r="B298" s="57">
        <v>1335.6000000000001</v>
      </c>
      <c r="C298" s="57">
        <v>0</v>
      </c>
      <c r="D298" s="57">
        <v>1460.156148810011</v>
      </c>
      <c r="E298" s="57">
        <v>0</v>
      </c>
      <c r="F298" s="57">
        <v>1335.6000000000001</v>
      </c>
      <c r="G298" s="57">
        <v>1460.156148810011</v>
      </c>
    </row>
    <row r="299" spans="1:7" ht="11.25" customHeight="1" x14ac:dyDescent="0.2">
      <c r="A299" s="67">
        <v>44682</v>
      </c>
      <c r="B299" s="57">
        <v>1335.6000000000001</v>
      </c>
      <c r="C299" s="57">
        <v>0</v>
      </c>
      <c r="D299" s="57">
        <v>1460.156148810011</v>
      </c>
      <c r="E299" s="57">
        <v>0</v>
      </c>
      <c r="F299" s="57">
        <v>1335.6000000000001</v>
      </c>
      <c r="G299" s="57">
        <v>1460.156148810011</v>
      </c>
    </row>
    <row r="300" spans="1:7" ht="11.25" customHeight="1" x14ac:dyDescent="0.2">
      <c r="A300" s="67">
        <v>44713</v>
      </c>
      <c r="B300" s="57">
        <v>1335.6000000000001</v>
      </c>
      <c r="C300" s="57">
        <v>0</v>
      </c>
      <c r="D300" s="57">
        <v>1460.156148810011</v>
      </c>
      <c r="E300" s="57">
        <v>0</v>
      </c>
      <c r="F300" s="57">
        <v>1335.6000000000001</v>
      </c>
      <c r="G300" s="57">
        <v>1460.156148810011</v>
      </c>
    </row>
    <row r="301" spans="1:7" ht="11.25" customHeight="1" x14ac:dyDescent="0.2">
      <c r="A301" s="67">
        <v>44743</v>
      </c>
      <c r="B301" s="57">
        <v>1335.6000000000001</v>
      </c>
      <c r="C301" s="57">
        <v>0</v>
      </c>
      <c r="D301" s="57">
        <v>1460.156148810011</v>
      </c>
      <c r="E301" s="57">
        <v>0</v>
      </c>
      <c r="F301" s="57">
        <v>1335.6000000000001</v>
      </c>
      <c r="G301" s="57">
        <v>1460.156148810011</v>
      </c>
    </row>
    <row r="302" spans="1:7" ht="11.25" customHeight="1" x14ac:dyDescent="0.2">
      <c r="A302" s="67">
        <v>44774</v>
      </c>
      <c r="B302" s="57">
        <v>1335.6000000000001</v>
      </c>
      <c r="C302" s="57">
        <v>0</v>
      </c>
      <c r="D302" s="57">
        <v>1460.156148810011</v>
      </c>
      <c r="E302" s="57">
        <v>0</v>
      </c>
      <c r="F302" s="57">
        <v>1335.6000000000001</v>
      </c>
      <c r="G302" s="57">
        <v>1460.156148810011</v>
      </c>
    </row>
    <row r="303" spans="1:7" ht="11.25" customHeight="1" x14ac:dyDescent="0.2">
      <c r="A303" s="59" t="s">
        <v>850</v>
      </c>
      <c r="B303" s="57">
        <v>0</v>
      </c>
      <c r="C303" s="57">
        <v>28840133.298073411</v>
      </c>
      <c r="D303" s="57">
        <v>0</v>
      </c>
      <c r="E303" s="57">
        <v>33586597.294622593</v>
      </c>
      <c r="F303" s="57">
        <v>28840133.298073415</v>
      </c>
      <c r="G303" s="57">
        <v>33586597.294622593</v>
      </c>
    </row>
    <row r="304" spans="1:7" ht="11.25" customHeight="1" x14ac:dyDescent="0.2">
      <c r="A304" s="60" t="s">
        <v>43</v>
      </c>
      <c r="B304" s="57">
        <v>0</v>
      </c>
      <c r="C304" s="57">
        <v>28840133.298073411</v>
      </c>
      <c r="D304" s="57">
        <v>0</v>
      </c>
      <c r="E304" s="57">
        <v>33586597.294622593</v>
      </c>
      <c r="F304" s="57">
        <v>28840133.298073415</v>
      </c>
      <c r="G304" s="57">
        <v>33586597.294622593</v>
      </c>
    </row>
    <row r="305" spans="1:7" ht="11.25" customHeight="1" x14ac:dyDescent="0.2">
      <c r="A305" s="61" t="s">
        <v>23</v>
      </c>
      <c r="B305" s="57">
        <v>0</v>
      </c>
      <c r="C305" s="57">
        <v>28840133.298073411</v>
      </c>
      <c r="D305" s="57">
        <v>0</v>
      </c>
      <c r="E305" s="57">
        <v>33586597.294622593</v>
      </c>
      <c r="F305" s="57">
        <v>28840133.298073415</v>
      </c>
      <c r="G305" s="57">
        <v>33586597.294622593</v>
      </c>
    </row>
    <row r="306" spans="1:7" ht="11.25" customHeight="1" x14ac:dyDescent="0.2">
      <c r="A306" s="62" t="s">
        <v>44</v>
      </c>
      <c r="B306" s="57">
        <v>0</v>
      </c>
      <c r="C306" s="57">
        <v>28840133.298073411</v>
      </c>
      <c r="D306" s="57">
        <v>0</v>
      </c>
      <c r="E306" s="57">
        <v>33586597.294622593</v>
      </c>
      <c r="F306" s="57">
        <v>28840133.298073415</v>
      </c>
      <c r="G306" s="57">
        <v>33586597.294622593</v>
      </c>
    </row>
    <row r="307" spans="1:7" ht="11.25" customHeight="1" x14ac:dyDescent="0.2">
      <c r="A307" s="63" t="s">
        <v>52</v>
      </c>
      <c r="B307" s="57">
        <v>0</v>
      </c>
      <c r="C307" s="57">
        <v>28829809.510667011</v>
      </c>
      <c r="D307" s="57">
        <v>0</v>
      </c>
      <c r="E307" s="57">
        <v>33574645.958477803</v>
      </c>
      <c r="F307" s="57">
        <v>28829809.510667015</v>
      </c>
      <c r="G307" s="57">
        <v>33574645.958477803</v>
      </c>
    </row>
    <row r="308" spans="1:7" ht="11.25" customHeight="1" x14ac:dyDescent="0.2">
      <c r="A308" s="64" t="s">
        <v>54</v>
      </c>
      <c r="B308" s="57">
        <v>0</v>
      </c>
      <c r="C308" s="57">
        <v>28829809.510667011</v>
      </c>
      <c r="D308" s="57">
        <v>0</v>
      </c>
      <c r="E308" s="57">
        <v>33574645.958477803</v>
      </c>
      <c r="F308" s="57">
        <v>28829809.510667015</v>
      </c>
      <c r="G308" s="57">
        <v>33574645.958477803</v>
      </c>
    </row>
    <row r="309" spans="1:7" ht="11.25" customHeight="1" x14ac:dyDescent="0.2">
      <c r="A309" s="65" t="s">
        <v>25</v>
      </c>
      <c r="B309" s="57">
        <v>0</v>
      </c>
      <c r="C309" s="57">
        <v>28829809.510667011</v>
      </c>
      <c r="D309" s="57">
        <v>0</v>
      </c>
      <c r="E309" s="57">
        <v>33574645.958477803</v>
      </c>
      <c r="F309" s="57">
        <v>28829809.510667015</v>
      </c>
      <c r="G309" s="57">
        <v>33574645.958477803</v>
      </c>
    </row>
    <row r="310" spans="1:7" ht="11.25" customHeight="1" x14ac:dyDescent="0.2">
      <c r="A310" s="66" t="s">
        <v>25</v>
      </c>
      <c r="B310" s="57">
        <v>0</v>
      </c>
      <c r="C310" s="57">
        <v>28829809.510667011</v>
      </c>
      <c r="D310" s="57">
        <v>0</v>
      </c>
      <c r="E310" s="57">
        <v>33574645.958477803</v>
      </c>
      <c r="F310" s="57">
        <v>28829809.510667015</v>
      </c>
      <c r="G310" s="57">
        <v>33574645.958477803</v>
      </c>
    </row>
    <row r="311" spans="1:7" ht="11.25" customHeight="1" x14ac:dyDescent="0.2">
      <c r="A311" s="67">
        <v>44440</v>
      </c>
      <c r="B311" s="57">
        <v>0</v>
      </c>
      <c r="C311" s="57">
        <v>4778040.9711125009</v>
      </c>
      <c r="D311" s="57">
        <v>0</v>
      </c>
      <c r="E311" s="57">
        <v>5613216.5813194467</v>
      </c>
      <c r="F311" s="57">
        <v>4778040.9711125009</v>
      </c>
      <c r="G311" s="57">
        <v>5613216.5813194467</v>
      </c>
    </row>
    <row r="312" spans="1:7" ht="11.25" customHeight="1" x14ac:dyDescent="0.2">
      <c r="A312" s="67">
        <v>44470</v>
      </c>
      <c r="B312" s="57">
        <v>0</v>
      </c>
      <c r="C312" s="57">
        <v>4860221.7209980022</v>
      </c>
      <c r="D312" s="57">
        <v>0</v>
      </c>
      <c r="E312" s="57">
        <v>5709762.0799268289</v>
      </c>
      <c r="F312" s="57">
        <v>4860221.7209980022</v>
      </c>
      <c r="G312" s="57">
        <v>5709762.0799268289</v>
      </c>
    </row>
    <row r="313" spans="1:7" ht="11.25" customHeight="1" x14ac:dyDescent="0.2">
      <c r="A313" s="67">
        <v>44501</v>
      </c>
      <c r="B313" s="57">
        <v>0</v>
      </c>
      <c r="C313" s="57">
        <v>939367.01344090025</v>
      </c>
      <c r="D313" s="57">
        <v>0</v>
      </c>
      <c r="E313" s="57">
        <v>1103563.2652943265</v>
      </c>
      <c r="F313" s="57">
        <v>939367.01344090025</v>
      </c>
      <c r="G313" s="57">
        <v>1103563.2652943265</v>
      </c>
    </row>
    <row r="314" spans="1:7" ht="11.25" customHeight="1" x14ac:dyDescent="0.2">
      <c r="A314" s="67">
        <v>44531</v>
      </c>
      <c r="B314" s="57">
        <v>0</v>
      </c>
      <c r="C314" s="57">
        <v>529161.69796690007</v>
      </c>
      <c r="D314" s="57">
        <v>0</v>
      </c>
      <c r="E314" s="57">
        <v>621656.28867250239</v>
      </c>
      <c r="F314" s="57">
        <v>529161.69796690007</v>
      </c>
      <c r="G314" s="57">
        <v>621656.28867250239</v>
      </c>
    </row>
    <row r="315" spans="1:7" ht="11.25" customHeight="1" x14ac:dyDescent="0.2">
      <c r="A315" s="67">
        <v>44562</v>
      </c>
      <c r="B315" s="57">
        <v>0</v>
      </c>
      <c r="C315" s="57">
        <v>540552.34132020024</v>
      </c>
      <c r="D315" s="57">
        <v>0</v>
      </c>
      <c r="E315" s="57">
        <v>635037.95461660007</v>
      </c>
      <c r="F315" s="57">
        <v>540552.34132020024</v>
      </c>
      <c r="G315" s="57">
        <v>635037.95461660007</v>
      </c>
    </row>
    <row r="316" spans="1:7" ht="11.25" customHeight="1" x14ac:dyDescent="0.2">
      <c r="A316" s="67">
        <v>44593</v>
      </c>
      <c r="B316" s="57">
        <v>0</v>
      </c>
      <c r="C316" s="57">
        <v>1632401.5542078002</v>
      </c>
      <c r="D316" s="57">
        <v>0</v>
      </c>
      <c r="E316" s="57">
        <v>1917736.4796261627</v>
      </c>
      <c r="F316" s="57">
        <v>1632401.5542078002</v>
      </c>
      <c r="G316" s="57">
        <v>1917736.4796261627</v>
      </c>
    </row>
    <row r="317" spans="1:7" ht="11.25" customHeight="1" x14ac:dyDescent="0.2">
      <c r="A317" s="67">
        <v>44621</v>
      </c>
      <c r="B317" s="57">
        <v>0</v>
      </c>
      <c r="C317" s="57">
        <v>831480.19031460013</v>
      </c>
      <c r="D317" s="57">
        <v>0</v>
      </c>
      <c r="E317" s="57">
        <v>961062.0910445191</v>
      </c>
      <c r="F317" s="57">
        <v>831480.19031460013</v>
      </c>
      <c r="G317" s="57">
        <v>961062.0910445191</v>
      </c>
    </row>
    <row r="318" spans="1:7" ht="11.25" customHeight="1" x14ac:dyDescent="0.2">
      <c r="A318" s="67">
        <v>44652</v>
      </c>
      <c r="B318" s="57">
        <v>0</v>
      </c>
      <c r="C318" s="57">
        <v>2251236.3327760007</v>
      </c>
      <c r="D318" s="57">
        <v>0</v>
      </c>
      <c r="E318" s="57">
        <v>2602078.0342595675</v>
      </c>
      <c r="F318" s="57">
        <v>2251236.3327760007</v>
      </c>
      <c r="G318" s="57">
        <v>2602078.0342595675</v>
      </c>
    </row>
    <row r="319" spans="1:7" ht="11.25" customHeight="1" x14ac:dyDescent="0.2">
      <c r="A319" s="67">
        <v>44682</v>
      </c>
      <c r="B319" s="57">
        <v>0</v>
      </c>
      <c r="C319" s="57">
        <v>3569895.7163077001</v>
      </c>
      <c r="D319" s="57">
        <v>0</v>
      </c>
      <c r="E319" s="57">
        <v>4126238.2179918974</v>
      </c>
      <c r="F319" s="57">
        <v>3569895.7163077001</v>
      </c>
      <c r="G319" s="57">
        <v>4126238.2179918974</v>
      </c>
    </row>
    <row r="320" spans="1:7" ht="11.25" customHeight="1" x14ac:dyDescent="0.2">
      <c r="A320" s="67">
        <v>44713</v>
      </c>
      <c r="B320" s="57">
        <v>0</v>
      </c>
      <c r="C320" s="57">
        <v>2584279.7628428005</v>
      </c>
      <c r="D320" s="57">
        <v>0</v>
      </c>
      <c r="E320" s="57">
        <v>2987052.088225774</v>
      </c>
      <c r="F320" s="57">
        <v>2584279.7628428005</v>
      </c>
      <c r="G320" s="57">
        <v>2987052.088225774</v>
      </c>
    </row>
    <row r="321" spans="1:7" ht="11.25" customHeight="1" x14ac:dyDescent="0.2">
      <c r="A321" s="67">
        <v>44743</v>
      </c>
      <c r="B321" s="57">
        <v>0</v>
      </c>
      <c r="C321" s="57">
        <v>3156586.1046898016</v>
      </c>
      <c r="D321" s="57">
        <v>0</v>
      </c>
      <c r="E321" s="57">
        <v>3648621.4387500896</v>
      </c>
      <c r="F321" s="57">
        <v>3156586.1046898016</v>
      </c>
      <c r="G321" s="57">
        <v>3648621.4387500896</v>
      </c>
    </row>
    <row r="322" spans="1:7" ht="11.25" customHeight="1" x14ac:dyDescent="0.2">
      <c r="A322" s="67">
        <v>44774</v>
      </c>
      <c r="B322" s="57">
        <v>0</v>
      </c>
      <c r="C322" s="57">
        <v>3156586.1046898016</v>
      </c>
      <c r="D322" s="57">
        <v>0</v>
      </c>
      <c r="E322" s="57">
        <v>3648621.4387500896</v>
      </c>
      <c r="F322" s="57">
        <v>3156586.1046898016</v>
      </c>
      <c r="G322" s="57">
        <v>3648621.4387500896</v>
      </c>
    </row>
    <row r="323" spans="1:7" ht="11.25" customHeight="1" x14ac:dyDescent="0.2">
      <c r="A323" s="63" t="s">
        <v>55</v>
      </c>
      <c r="B323" s="57">
        <v>0</v>
      </c>
      <c r="C323" s="57">
        <v>10323.787406400003</v>
      </c>
      <c r="D323" s="57">
        <v>0</v>
      </c>
      <c r="E323" s="57">
        <v>11951.336144788449</v>
      </c>
      <c r="F323" s="57">
        <v>10323.787406400003</v>
      </c>
      <c r="G323" s="57">
        <v>11951.336144788449</v>
      </c>
    </row>
    <row r="324" spans="1:7" ht="11.25" customHeight="1" x14ac:dyDescent="0.2">
      <c r="A324" s="64" t="s">
        <v>54</v>
      </c>
      <c r="B324" s="57">
        <v>0</v>
      </c>
      <c r="C324" s="57">
        <v>10323.787406400003</v>
      </c>
      <c r="D324" s="57">
        <v>0</v>
      </c>
      <c r="E324" s="57">
        <v>11951.336144788449</v>
      </c>
      <c r="F324" s="57">
        <v>10323.787406400003</v>
      </c>
      <c r="G324" s="57">
        <v>11951.336144788449</v>
      </c>
    </row>
    <row r="325" spans="1:7" ht="11.25" customHeight="1" x14ac:dyDescent="0.2">
      <c r="A325" s="65" t="s">
        <v>25</v>
      </c>
      <c r="B325" s="57">
        <v>0</v>
      </c>
      <c r="C325" s="57">
        <v>10323.787406400003</v>
      </c>
      <c r="D325" s="57">
        <v>0</v>
      </c>
      <c r="E325" s="57">
        <v>11951.336144788449</v>
      </c>
      <c r="F325" s="57">
        <v>10323.787406400003</v>
      </c>
      <c r="G325" s="57">
        <v>11951.336144788449</v>
      </c>
    </row>
    <row r="326" spans="1:7" ht="11.25" customHeight="1" x14ac:dyDescent="0.2">
      <c r="A326" s="66" t="s">
        <v>25</v>
      </c>
      <c r="B326" s="57">
        <v>0</v>
      </c>
      <c r="C326" s="57">
        <v>10323.787406400003</v>
      </c>
      <c r="D326" s="57">
        <v>0</v>
      </c>
      <c r="E326" s="57">
        <v>11951.336144788449</v>
      </c>
      <c r="F326" s="57">
        <v>10323.787406400003</v>
      </c>
      <c r="G326" s="57">
        <v>11951.336144788449</v>
      </c>
    </row>
    <row r="327" spans="1:7" ht="11.25" customHeight="1" x14ac:dyDescent="0.2">
      <c r="A327" s="67">
        <v>44440</v>
      </c>
      <c r="B327" s="57">
        <v>0</v>
      </c>
      <c r="C327" s="57">
        <v>1703.4846296000001</v>
      </c>
      <c r="D327" s="57">
        <v>0</v>
      </c>
      <c r="E327" s="57">
        <v>1973.2984880081685</v>
      </c>
      <c r="F327" s="57">
        <v>1703.4846296000001</v>
      </c>
      <c r="G327" s="57">
        <v>1973.2984880081685</v>
      </c>
    </row>
    <row r="328" spans="1:7" ht="11.25" customHeight="1" x14ac:dyDescent="0.2">
      <c r="A328" s="67">
        <v>44470</v>
      </c>
      <c r="B328" s="57">
        <v>0</v>
      </c>
      <c r="C328" s="57">
        <v>2237.1063208</v>
      </c>
      <c r="D328" s="57">
        <v>0</v>
      </c>
      <c r="E328" s="57">
        <v>2591.4401830468723</v>
      </c>
      <c r="F328" s="57">
        <v>2237.1063208</v>
      </c>
      <c r="G328" s="57">
        <v>2591.4401830468723</v>
      </c>
    </row>
    <row r="329" spans="1:7" ht="11.25" customHeight="1" x14ac:dyDescent="0.2">
      <c r="A329" s="67">
        <v>44501</v>
      </c>
      <c r="B329" s="57">
        <v>0</v>
      </c>
      <c r="C329" s="57">
        <v>20.523911200000004</v>
      </c>
      <c r="D329" s="57">
        <v>0</v>
      </c>
      <c r="E329" s="57">
        <v>23.774680578411672</v>
      </c>
      <c r="F329" s="57">
        <v>20.523911200000004</v>
      </c>
      <c r="G329" s="57">
        <v>23.774680578411672</v>
      </c>
    </row>
    <row r="330" spans="1:7" ht="11.25" customHeight="1" x14ac:dyDescent="0.2">
      <c r="A330" s="67">
        <v>44531</v>
      </c>
      <c r="B330" s="57">
        <v>0</v>
      </c>
      <c r="C330" s="57">
        <v>369.43040160000004</v>
      </c>
      <c r="D330" s="57">
        <v>0</v>
      </c>
      <c r="E330" s="57">
        <v>427.94425041141005</v>
      </c>
      <c r="F330" s="57">
        <v>369.43040160000004</v>
      </c>
      <c r="G330" s="57">
        <v>427.94425041141005</v>
      </c>
    </row>
    <row r="331" spans="1:7" ht="11.25" customHeight="1" x14ac:dyDescent="0.2">
      <c r="A331" s="67">
        <v>44562</v>
      </c>
      <c r="B331" s="57">
        <v>0</v>
      </c>
      <c r="C331" s="57">
        <v>697.8129808000001</v>
      </c>
      <c r="D331" s="57">
        <v>0</v>
      </c>
      <c r="E331" s="57">
        <v>808.33913966599675</v>
      </c>
      <c r="F331" s="57">
        <v>697.8129808000001</v>
      </c>
      <c r="G331" s="57">
        <v>808.33913966599675</v>
      </c>
    </row>
    <row r="332" spans="1:7" ht="11.25" customHeight="1" x14ac:dyDescent="0.2">
      <c r="A332" s="67">
        <v>44593</v>
      </c>
      <c r="B332" s="57">
        <v>0</v>
      </c>
      <c r="C332" s="57">
        <v>1103.7859560000002</v>
      </c>
      <c r="D332" s="57">
        <v>0</v>
      </c>
      <c r="E332" s="57">
        <v>1278.6139189121398</v>
      </c>
      <c r="F332" s="57">
        <v>1103.7859560000002</v>
      </c>
      <c r="G332" s="57">
        <v>1278.6139189121398</v>
      </c>
    </row>
    <row r="333" spans="1:7" ht="11.25" customHeight="1" x14ac:dyDescent="0.2">
      <c r="A333" s="67">
        <v>44621</v>
      </c>
      <c r="B333" s="57">
        <v>0</v>
      </c>
      <c r="C333" s="57">
        <v>251.052256</v>
      </c>
      <c r="D333" s="57">
        <v>0</v>
      </c>
      <c r="E333" s="57">
        <v>283.18681311040871</v>
      </c>
      <c r="F333" s="57">
        <v>251.052256</v>
      </c>
      <c r="G333" s="57">
        <v>283.18681311040871</v>
      </c>
    </row>
    <row r="334" spans="1:7" ht="11.25" customHeight="1" x14ac:dyDescent="0.2">
      <c r="A334" s="67">
        <v>44652</v>
      </c>
      <c r="B334" s="57">
        <v>0</v>
      </c>
      <c r="C334" s="57">
        <v>1251.9585832</v>
      </c>
      <c r="D334" s="57">
        <v>0</v>
      </c>
      <c r="E334" s="57">
        <v>1450.2555152831117</v>
      </c>
      <c r="F334" s="57">
        <v>1251.9585832</v>
      </c>
      <c r="G334" s="57">
        <v>1450.2555152831117</v>
      </c>
    </row>
    <row r="335" spans="1:7" ht="11.25" customHeight="1" x14ac:dyDescent="0.2">
      <c r="A335" s="67">
        <v>44682</v>
      </c>
      <c r="B335" s="57">
        <v>0</v>
      </c>
      <c r="C335" s="57">
        <v>1662.4368072000002</v>
      </c>
      <c r="D335" s="57">
        <v>0</v>
      </c>
      <c r="E335" s="57">
        <v>1925.7491268513454</v>
      </c>
      <c r="F335" s="57">
        <v>1662.4368072000002</v>
      </c>
      <c r="G335" s="57">
        <v>1925.7491268513454</v>
      </c>
    </row>
    <row r="336" spans="1:7" ht="11.25" customHeight="1" x14ac:dyDescent="0.2">
      <c r="A336" s="67">
        <v>44713</v>
      </c>
      <c r="B336" s="57">
        <v>0</v>
      </c>
      <c r="C336" s="57">
        <v>369.43040160000004</v>
      </c>
      <c r="D336" s="57">
        <v>0</v>
      </c>
      <c r="E336" s="57">
        <v>427.94425041141005</v>
      </c>
      <c r="F336" s="57">
        <v>369.43040160000004</v>
      </c>
      <c r="G336" s="57">
        <v>427.94425041141005</v>
      </c>
    </row>
    <row r="337" spans="1:7" ht="11.25" customHeight="1" x14ac:dyDescent="0.2">
      <c r="A337" s="67">
        <v>44743</v>
      </c>
      <c r="B337" s="57">
        <v>0</v>
      </c>
      <c r="C337" s="57">
        <v>328.38257920000007</v>
      </c>
      <c r="D337" s="57">
        <v>0</v>
      </c>
      <c r="E337" s="57">
        <v>380.39488925458676</v>
      </c>
      <c r="F337" s="57">
        <v>328.38257920000007</v>
      </c>
      <c r="G337" s="57">
        <v>380.39488925458676</v>
      </c>
    </row>
    <row r="338" spans="1:7" ht="11.25" customHeight="1" x14ac:dyDescent="0.2">
      <c r="A338" s="67">
        <v>44774</v>
      </c>
      <c r="B338" s="57">
        <v>0</v>
      </c>
      <c r="C338" s="57">
        <v>328.38257920000007</v>
      </c>
      <c r="D338" s="57">
        <v>0</v>
      </c>
      <c r="E338" s="57">
        <v>380.39488925458676</v>
      </c>
      <c r="F338" s="57">
        <v>328.38257920000007</v>
      </c>
      <c r="G338" s="57">
        <v>380.39488925458676</v>
      </c>
    </row>
    <row r="339" spans="1:7" ht="11.25" customHeight="1" x14ac:dyDescent="0.2">
      <c r="A339" s="59" t="s">
        <v>846</v>
      </c>
      <c r="B339" s="57">
        <v>9980.7180000000026</v>
      </c>
      <c r="C339" s="57">
        <v>9306046.7914185748</v>
      </c>
      <c r="D339" s="57">
        <v>11377.588973709844</v>
      </c>
      <c r="E339" s="57">
        <v>5599694.3747940576</v>
      </c>
      <c r="F339" s="57">
        <v>9316027.5094185732</v>
      </c>
      <c r="G339" s="57">
        <v>5611071.9637677679</v>
      </c>
    </row>
    <row r="340" spans="1:7" ht="11.25" customHeight="1" x14ac:dyDescent="0.2">
      <c r="A340" s="60" t="s">
        <v>39</v>
      </c>
      <c r="B340" s="57">
        <v>9980.7180000000026</v>
      </c>
      <c r="C340" s="57">
        <v>23058.3738792</v>
      </c>
      <c r="D340" s="57">
        <v>11377.588973709844</v>
      </c>
      <c r="E340" s="57">
        <v>27771.32807464337</v>
      </c>
      <c r="F340" s="57">
        <v>33039.091879200001</v>
      </c>
      <c r="G340" s="57">
        <v>39148.917048353214</v>
      </c>
    </row>
    <row r="341" spans="1:7" ht="11.25" customHeight="1" x14ac:dyDescent="0.2">
      <c r="A341" s="61" t="s">
        <v>42</v>
      </c>
      <c r="B341" s="57">
        <v>9980.7180000000026</v>
      </c>
      <c r="C341" s="57">
        <v>23058.3738792</v>
      </c>
      <c r="D341" s="57">
        <v>11377.588973709844</v>
      </c>
      <c r="E341" s="57">
        <v>27771.32807464337</v>
      </c>
      <c r="F341" s="57">
        <v>33039.091879200001</v>
      </c>
      <c r="G341" s="57">
        <v>39148.917048353214</v>
      </c>
    </row>
    <row r="342" spans="1:7" ht="11.25" customHeight="1" x14ac:dyDescent="0.2">
      <c r="A342" s="62" t="s">
        <v>44</v>
      </c>
      <c r="B342" s="57">
        <v>9980.7180000000026</v>
      </c>
      <c r="C342" s="57">
        <v>23058.3738792</v>
      </c>
      <c r="D342" s="57">
        <v>11377.588973709844</v>
      </c>
      <c r="E342" s="57">
        <v>27771.32807464337</v>
      </c>
      <c r="F342" s="57">
        <v>33039.091879200001</v>
      </c>
      <c r="G342" s="57">
        <v>39148.917048353214</v>
      </c>
    </row>
    <row r="343" spans="1:7" ht="11.25" customHeight="1" x14ac:dyDescent="0.2">
      <c r="A343" s="63" t="s">
        <v>25</v>
      </c>
      <c r="B343" s="57">
        <v>9980.7180000000026</v>
      </c>
      <c r="C343" s="57">
        <v>23058.3738792</v>
      </c>
      <c r="D343" s="57">
        <v>11377.588973709844</v>
      </c>
      <c r="E343" s="57">
        <v>27771.32807464337</v>
      </c>
      <c r="F343" s="57">
        <v>33039.091879200001</v>
      </c>
      <c r="G343" s="57">
        <v>39148.917048353214</v>
      </c>
    </row>
    <row r="344" spans="1:7" ht="11.25" customHeight="1" x14ac:dyDescent="0.2">
      <c r="A344" s="64" t="s">
        <v>25</v>
      </c>
      <c r="B344" s="57">
        <v>9980.7180000000026</v>
      </c>
      <c r="C344" s="57">
        <v>23058.3738792</v>
      </c>
      <c r="D344" s="57">
        <v>11377.588973709844</v>
      </c>
      <c r="E344" s="57">
        <v>27771.32807464337</v>
      </c>
      <c r="F344" s="57">
        <v>33039.091879200001</v>
      </c>
      <c r="G344" s="57">
        <v>39148.917048353214</v>
      </c>
    </row>
    <row r="345" spans="1:7" ht="11.25" customHeight="1" x14ac:dyDescent="0.2">
      <c r="A345" s="65" t="s">
        <v>25</v>
      </c>
      <c r="B345" s="57">
        <v>9980.7180000000026</v>
      </c>
      <c r="C345" s="57">
        <v>23058.3738792</v>
      </c>
      <c r="D345" s="57">
        <v>11377.588973709844</v>
      </c>
      <c r="E345" s="57">
        <v>27771.32807464337</v>
      </c>
      <c r="F345" s="57">
        <v>33039.091879200001</v>
      </c>
      <c r="G345" s="57">
        <v>39148.917048353214</v>
      </c>
    </row>
    <row r="346" spans="1:7" ht="11.25" customHeight="1" x14ac:dyDescent="0.2">
      <c r="A346" s="66" t="s">
        <v>35</v>
      </c>
      <c r="B346" s="57">
        <v>3410.5343999999986</v>
      </c>
      <c r="C346" s="57">
        <v>19992.983099599998</v>
      </c>
      <c r="D346" s="57">
        <v>3879.7679518514651</v>
      </c>
      <c r="E346" s="57">
        <v>24262.650521858312</v>
      </c>
      <c r="F346" s="57">
        <v>23403.517499599999</v>
      </c>
      <c r="G346" s="57">
        <v>28142.418473709775</v>
      </c>
    </row>
    <row r="347" spans="1:7" ht="11.25" customHeight="1" x14ac:dyDescent="0.2">
      <c r="A347" s="67">
        <v>44440</v>
      </c>
      <c r="B347" s="57">
        <v>161.74079999999998</v>
      </c>
      <c r="C347" s="57">
        <v>1195.9835736000009</v>
      </c>
      <c r="D347" s="57">
        <v>183.99367921543842</v>
      </c>
      <c r="E347" s="57">
        <v>1451.3957887915483</v>
      </c>
      <c r="F347" s="57">
        <v>1357.7243736000009</v>
      </c>
      <c r="G347" s="57">
        <v>1635.3894680069866</v>
      </c>
    </row>
    <row r="348" spans="1:7" ht="11.25" customHeight="1" x14ac:dyDescent="0.2">
      <c r="A348" s="67">
        <v>44470</v>
      </c>
      <c r="B348" s="57">
        <v>217.65119999999973</v>
      </c>
      <c r="C348" s="57">
        <v>1496.1693399999986</v>
      </c>
      <c r="D348" s="57">
        <v>247.59643252447859</v>
      </c>
      <c r="E348" s="57">
        <v>1815.6887162409321</v>
      </c>
      <c r="F348" s="57">
        <v>1713.8205399999983</v>
      </c>
      <c r="G348" s="57">
        <v>2063.2851487654107</v>
      </c>
    </row>
    <row r="349" spans="1:7" ht="11.25" customHeight="1" x14ac:dyDescent="0.2">
      <c r="A349" s="67">
        <v>44501</v>
      </c>
      <c r="B349" s="57">
        <v>249.60000000000002</v>
      </c>
      <c r="C349" s="57">
        <v>1526.6147356000024</v>
      </c>
      <c r="D349" s="57">
        <v>283.94086298678769</v>
      </c>
      <c r="E349" s="57">
        <v>1852.6359786760909</v>
      </c>
      <c r="F349" s="57">
        <v>1776.2147356000023</v>
      </c>
      <c r="G349" s="57">
        <v>2136.5768416628785</v>
      </c>
    </row>
    <row r="350" spans="1:7" ht="11.25" customHeight="1" x14ac:dyDescent="0.2">
      <c r="A350" s="67">
        <v>44531</v>
      </c>
      <c r="B350" s="57">
        <v>247.60319999999993</v>
      </c>
      <c r="C350" s="57">
        <v>1615.7707679999978</v>
      </c>
      <c r="D350" s="57">
        <v>281.66933608289332</v>
      </c>
      <c r="E350" s="57">
        <v>1960.832021520735</v>
      </c>
      <c r="F350" s="57">
        <v>1863.3739679999978</v>
      </c>
      <c r="G350" s="57">
        <v>2242.5013576036281</v>
      </c>
    </row>
    <row r="351" spans="1:7" ht="11.25" customHeight="1" x14ac:dyDescent="0.2">
      <c r="A351" s="67">
        <v>44562</v>
      </c>
      <c r="B351" s="57">
        <v>284.87680000000006</v>
      </c>
      <c r="C351" s="57">
        <v>1446.7320359999992</v>
      </c>
      <c r="D351" s="57">
        <v>324.07117162225381</v>
      </c>
      <c r="E351" s="57">
        <v>1755.6936657915144</v>
      </c>
      <c r="F351" s="57">
        <v>1731.6088359999992</v>
      </c>
      <c r="G351" s="57">
        <v>2079.764837413768</v>
      </c>
    </row>
    <row r="352" spans="1:7" ht="11.25" customHeight="1" x14ac:dyDescent="0.2">
      <c r="A352" s="67">
        <v>44593</v>
      </c>
      <c r="B352" s="57">
        <v>316.82560000000035</v>
      </c>
      <c r="C352" s="57">
        <v>1692.5521211999985</v>
      </c>
      <c r="D352" s="57">
        <v>360.41560208456292</v>
      </c>
      <c r="E352" s="57">
        <v>2054.0106697497854</v>
      </c>
      <c r="F352" s="57">
        <v>2009.3777211999989</v>
      </c>
      <c r="G352" s="57">
        <v>2414.4262718343484</v>
      </c>
    </row>
    <row r="353" spans="1:7" ht="11.25" customHeight="1" x14ac:dyDescent="0.2">
      <c r="A353" s="67">
        <v>44621</v>
      </c>
      <c r="B353" s="57">
        <v>358.09279999999973</v>
      </c>
      <c r="C353" s="57">
        <v>1944.912669600001</v>
      </c>
      <c r="D353" s="57">
        <v>407.36049143171113</v>
      </c>
      <c r="E353" s="57">
        <v>2360.264907090499</v>
      </c>
      <c r="F353" s="57">
        <v>2303.0054696000007</v>
      </c>
      <c r="G353" s="57">
        <v>2767.6253985222102</v>
      </c>
    </row>
    <row r="354" spans="1:7" ht="11.25" customHeight="1" x14ac:dyDescent="0.2">
      <c r="A354" s="67">
        <v>44652</v>
      </c>
      <c r="B354" s="57">
        <v>408.6783999999991</v>
      </c>
      <c r="C354" s="57">
        <v>2040.1792756000054</v>
      </c>
      <c r="D354" s="57">
        <v>464.9058396636994</v>
      </c>
      <c r="E354" s="57">
        <v>2475.8764872267279</v>
      </c>
      <c r="F354" s="57">
        <v>2448.8576756000048</v>
      </c>
      <c r="G354" s="57">
        <v>2940.7823268904272</v>
      </c>
    </row>
    <row r="355" spans="1:7" ht="11.25" customHeight="1" x14ac:dyDescent="0.2">
      <c r="A355" s="67">
        <v>44682</v>
      </c>
      <c r="B355" s="57">
        <v>362.08639999999986</v>
      </c>
      <c r="C355" s="57">
        <v>2012.8198731999992</v>
      </c>
      <c r="D355" s="57">
        <v>411.90354523949986</v>
      </c>
      <c r="E355" s="57">
        <v>2442.674257443844</v>
      </c>
      <c r="F355" s="57">
        <v>2374.9062731999989</v>
      </c>
      <c r="G355" s="57">
        <v>2854.5778026833441</v>
      </c>
    </row>
    <row r="356" spans="1:7" ht="11.25" customHeight="1" x14ac:dyDescent="0.2">
      <c r="A356" s="67">
        <v>44713</v>
      </c>
      <c r="B356" s="57">
        <v>278.88639999999987</v>
      </c>
      <c r="C356" s="57">
        <v>1641.3031396000022</v>
      </c>
      <c r="D356" s="57">
        <v>317.25659091057065</v>
      </c>
      <c r="E356" s="57">
        <v>1991.8170429174429</v>
      </c>
      <c r="F356" s="57">
        <v>1920.189539600002</v>
      </c>
      <c r="G356" s="57">
        <v>2309.0736338280135</v>
      </c>
    </row>
    <row r="357" spans="1:7" ht="11.25" customHeight="1" x14ac:dyDescent="0.2">
      <c r="A357" s="67">
        <v>44743</v>
      </c>
      <c r="B357" s="57">
        <v>262.24639999999988</v>
      </c>
      <c r="C357" s="57">
        <v>1689.9727835999979</v>
      </c>
      <c r="D357" s="57">
        <v>298.32720004478477</v>
      </c>
      <c r="E357" s="57">
        <v>2050.8804932045978</v>
      </c>
      <c r="F357" s="57">
        <v>1952.2191835999979</v>
      </c>
      <c r="G357" s="57">
        <v>2349.2076932493824</v>
      </c>
    </row>
    <row r="358" spans="1:7" ht="11.25" customHeight="1" x14ac:dyDescent="0.2">
      <c r="A358" s="67">
        <v>44774</v>
      </c>
      <c r="B358" s="57">
        <v>262.24639999999988</v>
      </c>
      <c r="C358" s="57">
        <v>1689.9727835999979</v>
      </c>
      <c r="D358" s="57">
        <v>298.32720004478477</v>
      </c>
      <c r="E358" s="57">
        <v>2050.8804932045978</v>
      </c>
      <c r="F358" s="57">
        <v>1952.2191835999979</v>
      </c>
      <c r="G358" s="57">
        <v>2349.2076932493824</v>
      </c>
    </row>
    <row r="359" spans="1:7" ht="11.25" customHeight="1" x14ac:dyDescent="0.2">
      <c r="A359" s="66" t="s">
        <v>34</v>
      </c>
      <c r="B359" s="57">
        <v>6570.1836000000021</v>
      </c>
      <c r="C359" s="57">
        <v>3065.3907795999999</v>
      </c>
      <c r="D359" s="57">
        <v>7497.821021858379</v>
      </c>
      <c r="E359" s="57">
        <v>3508.6775527850577</v>
      </c>
      <c r="F359" s="57">
        <v>9635.5743796000024</v>
      </c>
      <c r="G359" s="57">
        <v>11006.498574643436</v>
      </c>
    </row>
    <row r="360" spans="1:7" ht="11.25" customHeight="1" x14ac:dyDescent="0.2">
      <c r="A360" s="67">
        <v>44440</v>
      </c>
      <c r="B360" s="57">
        <v>328.19759999999962</v>
      </c>
      <c r="C360" s="57">
        <v>179.0617672000003</v>
      </c>
      <c r="D360" s="57">
        <v>374.53547943522676</v>
      </c>
      <c r="E360" s="57">
        <v>204.95592513612482</v>
      </c>
      <c r="F360" s="57">
        <v>507.25936719999993</v>
      </c>
      <c r="G360" s="57">
        <v>579.49140457135161</v>
      </c>
    </row>
    <row r="361" spans="1:7" ht="11.25" customHeight="1" x14ac:dyDescent="0.2">
      <c r="A361" s="67">
        <v>44470</v>
      </c>
      <c r="B361" s="57">
        <v>450.75240000000036</v>
      </c>
      <c r="C361" s="57">
        <v>230.12466239999952</v>
      </c>
      <c r="D361" s="57">
        <v>514.39366479395164</v>
      </c>
      <c r="E361" s="57">
        <v>263.40303581472875</v>
      </c>
      <c r="F361" s="57">
        <v>680.87706239999989</v>
      </c>
      <c r="G361" s="57">
        <v>777.79670060868034</v>
      </c>
    </row>
    <row r="362" spans="1:7" ht="11.25" customHeight="1" x14ac:dyDescent="0.2">
      <c r="A362" s="67">
        <v>44501</v>
      </c>
      <c r="B362" s="57">
        <v>508.91400000000061</v>
      </c>
      <c r="C362" s="57">
        <v>225.77452280000037</v>
      </c>
      <c r="D362" s="57">
        <v>580.76704089639713</v>
      </c>
      <c r="E362" s="57">
        <v>258.4238216578994</v>
      </c>
      <c r="F362" s="57">
        <v>734.68852280000101</v>
      </c>
      <c r="G362" s="57">
        <v>839.19086255429647</v>
      </c>
    </row>
    <row r="363" spans="1:7" ht="11.25" customHeight="1" x14ac:dyDescent="0.2">
      <c r="A363" s="67">
        <v>44531</v>
      </c>
      <c r="B363" s="57">
        <v>475.6787999999998</v>
      </c>
      <c r="C363" s="57">
        <v>250.87323399999991</v>
      </c>
      <c r="D363" s="57">
        <v>542.83939740928474</v>
      </c>
      <c r="E363" s="57">
        <v>287.15206249992502</v>
      </c>
      <c r="F363" s="57">
        <v>726.55203399999971</v>
      </c>
      <c r="G363" s="57">
        <v>829.99145990920977</v>
      </c>
    </row>
    <row r="364" spans="1:7" ht="11.25" customHeight="1" x14ac:dyDescent="0.2">
      <c r="A364" s="67">
        <v>44562</v>
      </c>
      <c r="B364" s="57">
        <v>496.45080000000013</v>
      </c>
      <c r="C364" s="57">
        <v>201.58683560000071</v>
      </c>
      <c r="D364" s="57">
        <v>566.54417458872979</v>
      </c>
      <c r="E364" s="57">
        <v>230.73834817856067</v>
      </c>
      <c r="F364" s="57">
        <v>698.03763560000084</v>
      </c>
      <c r="G364" s="57">
        <v>797.2825227672904</v>
      </c>
    </row>
    <row r="365" spans="1:7" ht="11.25" customHeight="1" x14ac:dyDescent="0.2">
      <c r="A365" s="67">
        <v>44593</v>
      </c>
      <c r="B365" s="57">
        <v>521.37719999999956</v>
      </c>
      <c r="C365" s="57">
        <v>242.4234864000002</v>
      </c>
      <c r="D365" s="57">
        <v>594.98990720406289</v>
      </c>
      <c r="E365" s="57">
        <v>277.48039521100367</v>
      </c>
      <c r="F365" s="57">
        <v>763.80068639999979</v>
      </c>
      <c r="G365" s="57">
        <v>872.4703024150665</v>
      </c>
    </row>
    <row r="366" spans="1:7" ht="11.25" customHeight="1" x14ac:dyDescent="0.2">
      <c r="A366" s="67">
        <v>44621</v>
      </c>
      <c r="B366" s="57">
        <v>660.54960000000142</v>
      </c>
      <c r="C366" s="57">
        <v>277.81676880000043</v>
      </c>
      <c r="D366" s="57">
        <v>753.81191430634487</v>
      </c>
      <c r="E366" s="57">
        <v>317.99190725139283</v>
      </c>
      <c r="F366" s="57">
        <v>938.36636880000185</v>
      </c>
      <c r="G366" s="57">
        <v>1071.8038215577376</v>
      </c>
    </row>
    <row r="367" spans="1:7" ht="11.25" customHeight="1" x14ac:dyDescent="0.2">
      <c r="A367" s="67">
        <v>44652</v>
      </c>
      <c r="B367" s="57">
        <v>714.5567999999995</v>
      </c>
      <c r="C367" s="57">
        <v>307.92611199999948</v>
      </c>
      <c r="D367" s="57">
        <v>815.44433497289901</v>
      </c>
      <c r="E367" s="57">
        <v>352.45536858819611</v>
      </c>
      <c r="F367" s="57">
        <v>1022.482911999999</v>
      </c>
      <c r="G367" s="57">
        <v>1167.8997035610951</v>
      </c>
    </row>
    <row r="368" spans="1:7" ht="11.25" customHeight="1" x14ac:dyDescent="0.2">
      <c r="A368" s="67">
        <v>44682</v>
      </c>
      <c r="B368" s="57">
        <v>710.4024000000004</v>
      </c>
      <c r="C368" s="57">
        <v>319.08615599999979</v>
      </c>
      <c r="D368" s="57">
        <v>810.70337953701107</v>
      </c>
      <c r="E368" s="57">
        <v>365.2292687811119</v>
      </c>
      <c r="F368" s="57">
        <v>1029.4885560000002</v>
      </c>
      <c r="G368" s="57">
        <v>1175.932648318123</v>
      </c>
    </row>
    <row r="369" spans="1:7" ht="11.25" customHeight="1" x14ac:dyDescent="0.2">
      <c r="A369" s="67">
        <v>44713</v>
      </c>
      <c r="B369" s="57">
        <v>573.3072000000011</v>
      </c>
      <c r="C369" s="57">
        <v>275.12924800000002</v>
      </c>
      <c r="D369" s="57">
        <v>654.25185015267641</v>
      </c>
      <c r="E369" s="57">
        <v>314.91574353146581</v>
      </c>
      <c r="F369" s="57">
        <v>848.43644800000106</v>
      </c>
      <c r="G369" s="57">
        <v>969.16759368414228</v>
      </c>
    </row>
    <row r="370" spans="1:7" ht="11.25" customHeight="1" x14ac:dyDescent="0.2">
      <c r="A370" s="67">
        <v>44743</v>
      </c>
      <c r="B370" s="57">
        <v>564.99839999999972</v>
      </c>
      <c r="C370" s="57">
        <v>277.79399319999931</v>
      </c>
      <c r="D370" s="57">
        <v>644.76993928089712</v>
      </c>
      <c r="E370" s="57">
        <v>317.96583806732428</v>
      </c>
      <c r="F370" s="57">
        <v>842.79239319999897</v>
      </c>
      <c r="G370" s="57">
        <v>962.7357773482214</v>
      </c>
    </row>
    <row r="371" spans="1:7" ht="11.25" customHeight="1" x14ac:dyDescent="0.2">
      <c r="A371" s="67">
        <v>44774</v>
      </c>
      <c r="B371" s="57">
        <v>564.99839999999972</v>
      </c>
      <c r="C371" s="57">
        <v>277.79399319999931</v>
      </c>
      <c r="D371" s="57">
        <v>644.76993928089712</v>
      </c>
      <c r="E371" s="57">
        <v>317.96583806732428</v>
      </c>
      <c r="F371" s="57">
        <v>842.79239319999897</v>
      </c>
      <c r="G371" s="57">
        <v>962.7357773482214</v>
      </c>
    </row>
    <row r="372" spans="1:7" ht="11.25" customHeight="1" x14ac:dyDescent="0.2">
      <c r="A372" s="60" t="s">
        <v>43</v>
      </c>
      <c r="B372" s="57">
        <v>0</v>
      </c>
      <c r="C372" s="57">
        <v>9282988.417539373</v>
      </c>
      <c r="D372" s="57">
        <v>0</v>
      </c>
      <c r="E372" s="57">
        <v>5571923.0467194142</v>
      </c>
      <c r="F372" s="57">
        <v>9282988.417539373</v>
      </c>
      <c r="G372" s="57">
        <v>5571923.0467194142</v>
      </c>
    </row>
    <row r="373" spans="1:7" ht="11.25" customHeight="1" x14ac:dyDescent="0.2">
      <c r="A373" s="61" t="s">
        <v>33</v>
      </c>
      <c r="B373" s="57">
        <v>0</v>
      </c>
      <c r="C373" s="57">
        <v>203.23145936170218</v>
      </c>
      <c r="D373" s="57">
        <v>0</v>
      </c>
      <c r="E373" s="57">
        <v>261.63340920569038</v>
      </c>
      <c r="F373" s="57">
        <v>203.23145936170218</v>
      </c>
      <c r="G373" s="57">
        <v>261.63340920569038</v>
      </c>
    </row>
    <row r="374" spans="1:7" ht="11.25" customHeight="1" x14ac:dyDescent="0.2">
      <c r="A374" s="62" t="s">
        <v>44</v>
      </c>
      <c r="B374" s="57">
        <v>0</v>
      </c>
      <c r="C374" s="57">
        <v>203.23145936170218</v>
      </c>
      <c r="D374" s="57">
        <v>0</v>
      </c>
      <c r="E374" s="57">
        <v>261.63340920569038</v>
      </c>
      <c r="F374" s="57">
        <v>203.23145936170218</v>
      </c>
      <c r="G374" s="57">
        <v>261.63340920569038</v>
      </c>
    </row>
    <row r="375" spans="1:7" ht="11.25" customHeight="1" x14ac:dyDescent="0.2">
      <c r="A375" s="63" t="s">
        <v>25</v>
      </c>
      <c r="B375" s="57">
        <v>0</v>
      </c>
      <c r="C375" s="57">
        <v>203.23145936170218</v>
      </c>
      <c r="D375" s="57">
        <v>0</v>
      </c>
      <c r="E375" s="57">
        <v>261.63340920569038</v>
      </c>
      <c r="F375" s="57">
        <v>203.23145936170218</v>
      </c>
      <c r="G375" s="57">
        <v>261.63340920569038</v>
      </c>
    </row>
    <row r="376" spans="1:7" ht="11.25" customHeight="1" x14ac:dyDescent="0.2">
      <c r="A376" s="64" t="s">
        <v>25</v>
      </c>
      <c r="B376" s="57">
        <v>0</v>
      </c>
      <c r="C376" s="57">
        <v>203.23145936170218</v>
      </c>
      <c r="D376" s="57">
        <v>0</v>
      </c>
      <c r="E376" s="57">
        <v>261.63340920569038</v>
      </c>
      <c r="F376" s="57">
        <v>203.23145936170218</v>
      </c>
      <c r="G376" s="57">
        <v>261.63340920569038</v>
      </c>
    </row>
    <row r="377" spans="1:7" ht="11.25" customHeight="1" x14ac:dyDescent="0.2">
      <c r="A377" s="65" t="s">
        <v>25</v>
      </c>
      <c r="B377" s="57">
        <v>0</v>
      </c>
      <c r="C377" s="57">
        <v>203.23145936170218</v>
      </c>
      <c r="D377" s="57">
        <v>0</v>
      </c>
      <c r="E377" s="57">
        <v>261.63340920569038</v>
      </c>
      <c r="F377" s="57">
        <v>203.23145936170218</v>
      </c>
      <c r="G377" s="57">
        <v>261.63340920569038</v>
      </c>
    </row>
    <row r="378" spans="1:7" ht="11.25" customHeight="1" x14ac:dyDescent="0.2">
      <c r="A378" s="66" t="s">
        <v>35</v>
      </c>
      <c r="B378" s="57">
        <v>0</v>
      </c>
      <c r="C378" s="57">
        <v>171.89549106382984</v>
      </c>
      <c r="D378" s="57">
        <v>0</v>
      </c>
      <c r="E378" s="57">
        <v>222.80184919168505</v>
      </c>
      <c r="F378" s="57">
        <v>171.89549106382984</v>
      </c>
      <c r="G378" s="57">
        <v>222.80184919168505</v>
      </c>
    </row>
    <row r="379" spans="1:7" ht="11.25" customHeight="1" x14ac:dyDescent="0.2">
      <c r="A379" s="67">
        <v>44440</v>
      </c>
      <c r="B379" s="57">
        <v>0</v>
      </c>
      <c r="C379" s="57">
        <v>13.964122978723406</v>
      </c>
      <c r="D379" s="57">
        <v>0</v>
      </c>
      <c r="E379" s="57">
        <v>18.099558067200171</v>
      </c>
      <c r="F379" s="57">
        <v>13.964122978723406</v>
      </c>
      <c r="G379" s="57">
        <v>18.099558067200171</v>
      </c>
    </row>
    <row r="380" spans="1:7" ht="11.25" customHeight="1" x14ac:dyDescent="0.2">
      <c r="A380" s="67">
        <v>44470</v>
      </c>
      <c r="B380" s="57">
        <v>0</v>
      </c>
      <c r="C380" s="57">
        <v>21.693694468085113</v>
      </c>
      <c r="D380" s="57">
        <v>0</v>
      </c>
      <c r="E380" s="57">
        <v>28.118220049727835</v>
      </c>
      <c r="F380" s="57">
        <v>21.693694468085113</v>
      </c>
      <c r="G380" s="57">
        <v>28.118220049727835</v>
      </c>
    </row>
    <row r="381" spans="1:7" ht="11.25" customHeight="1" x14ac:dyDescent="0.2">
      <c r="A381" s="67">
        <v>44501</v>
      </c>
      <c r="B381" s="57">
        <v>0</v>
      </c>
      <c r="C381" s="57">
        <v>10.083432765957451</v>
      </c>
      <c r="D381" s="57">
        <v>0</v>
      </c>
      <c r="E381" s="57">
        <v>13.069612545108097</v>
      </c>
      <c r="F381" s="57">
        <v>10.083432765957451</v>
      </c>
      <c r="G381" s="57">
        <v>13.069612545108097</v>
      </c>
    </row>
    <row r="382" spans="1:7" ht="11.25" customHeight="1" x14ac:dyDescent="0.2">
      <c r="A382" s="67">
        <v>44531</v>
      </c>
      <c r="B382" s="57">
        <v>0</v>
      </c>
      <c r="C382" s="57">
        <v>8.3339412765957466</v>
      </c>
      <c r="D382" s="57">
        <v>0</v>
      </c>
      <c r="E382" s="57">
        <v>10.802014154001014</v>
      </c>
      <c r="F382" s="57">
        <v>8.3339412765957466</v>
      </c>
      <c r="G382" s="57">
        <v>10.802014154001014</v>
      </c>
    </row>
    <row r="383" spans="1:7" ht="11.25" customHeight="1" x14ac:dyDescent="0.2">
      <c r="A383" s="67">
        <v>44562</v>
      </c>
      <c r="B383" s="57">
        <v>0</v>
      </c>
      <c r="C383" s="57">
        <v>13.55060680851064</v>
      </c>
      <c r="D383" s="57">
        <v>0</v>
      </c>
      <c r="E383" s="57">
        <v>17.56358026566577</v>
      </c>
      <c r="F383" s="57">
        <v>13.55060680851064</v>
      </c>
      <c r="G383" s="57">
        <v>17.56358026566577</v>
      </c>
    </row>
    <row r="384" spans="1:7" ht="11.25" customHeight="1" x14ac:dyDescent="0.2">
      <c r="A384" s="67">
        <v>44593</v>
      </c>
      <c r="B384" s="57">
        <v>0</v>
      </c>
      <c r="C384" s="57">
        <v>11.037700851063828</v>
      </c>
      <c r="D384" s="57">
        <v>0</v>
      </c>
      <c r="E384" s="57">
        <v>14.306484394802869</v>
      </c>
      <c r="F384" s="57">
        <v>11.037700851063828</v>
      </c>
      <c r="G384" s="57">
        <v>14.306484394802869</v>
      </c>
    </row>
    <row r="385" spans="1:7" ht="11.25" customHeight="1" x14ac:dyDescent="0.2">
      <c r="A385" s="67">
        <v>44621</v>
      </c>
      <c r="B385" s="57">
        <v>0</v>
      </c>
      <c r="C385" s="57">
        <v>11.164936595744679</v>
      </c>
      <c r="D385" s="57">
        <v>0</v>
      </c>
      <c r="E385" s="57">
        <v>14.471400641428838</v>
      </c>
      <c r="F385" s="57">
        <v>11.164936595744679</v>
      </c>
      <c r="G385" s="57">
        <v>14.471400641428838</v>
      </c>
    </row>
    <row r="386" spans="1:7" ht="11.25" customHeight="1" x14ac:dyDescent="0.2">
      <c r="A386" s="67">
        <v>44652</v>
      </c>
      <c r="B386" s="57">
        <v>0</v>
      </c>
      <c r="C386" s="57">
        <v>9.6062987234042545</v>
      </c>
      <c r="D386" s="57">
        <v>0</v>
      </c>
      <c r="E386" s="57">
        <v>12.451176620260711</v>
      </c>
      <c r="F386" s="57">
        <v>9.6062987234042545</v>
      </c>
      <c r="G386" s="57">
        <v>12.451176620260711</v>
      </c>
    </row>
    <row r="387" spans="1:7" ht="11.25" customHeight="1" x14ac:dyDescent="0.2">
      <c r="A387" s="67">
        <v>44682</v>
      </c>
      <c r="B387" s="57">
        <v>0</v>
      </c>
      <c r="C387" s="57">
        <v>17.335870212765965</v>
      </c>
      <c r="D387" s="57">
        <v>0</v>
      </c>
      <c r="E387" s="57">
        <v>22.469838602788371</v>
      </c>
      <c r="F387" s="57">
        <v>17.335870212765965</v>
      </c>
      <c r="G387" s="57">
        <v>22.469838602788371</v>
      </c>
    </row>
    <row r="388" spans="1:7" ht="11.25" customHeight="1" x14ac:dyDescent="0.2">
      <c r="A388" s="67">
        <v>44713</v>
      </c>
      <c r="B388" s="57">
        <v>0</v>
      </c>
      <c r="C388" s="57">
        <v>17.590341702127663</v>
      </c>
      <c r="D388" s="57">
        <v>0</v>
      </c>
      <c r="E388" s="57">
        <v>22.799671096040314</v>
      </c>
      <c r="F388" s="57">
        <v>17.590341702127663</v>
      </c>
      <c r="G388" s="57">
        <v>22.799671096040314</v>
      </c>
    </row>
    <row r="389" spans="1:7" ht="11.25" customHeight="1" x14ac:dyDescent="0.2">
      <c r="A389" s="67">
        <v>44743</v>
      </c>
      <c r="B389" s="57">
        <v>0</v>
      </c>
      <c r="C389" s="57">
        <v>18.767272340425531</v>
      </c>
      <c r="D389" s="57">
        <v>0</v>
      </c>
      <c r="E389" s="57">
        <v>24.325146377330526</v>
      </c>
      <c r="F389" s="57">
        <v>18.767272340425531</v>
      </c>
      <c r="G389" s="57">
        <v>24.325146377330526</v>
      </c>
    </row>
    <row r="390" spans="1:7" ht="11.25" customHeight="1" x14ac:dyDescent="0.2">
      <c r="A390" s="67">
        <v>44774</v>
      </c>
      <c r="B390" s="57">
        <v>0</v>
      </c>
      <c r="C390" s="57">
        <v>18.767272340425531</v>
      </c>
      <c r="D390" s="57">
        <v>0</v>
      </c>
      <c r="E390" s="57">
        <v>24.325146377330526</v>
      </c>
      <c r="F390" s="57">
        <v>18.767272340425531</v>
      </c>
      <c r="G390" s="57">
        <v>24.325146377330526</v>
      </c>
    </row>
    <row r="391" spans="1:7" ht="11.25" customHeight="1" x14ac:dyDescent="0.2">
      <c r="A391" s="66" t="s">
        <v>36</v>
      </c>
      <c r="B391" s="57">
        <v>0</v>
      </c>
      <c r="C391" s="57">
        <v>10.023784468085106</v>
      </c>
      <c r="D391" s="57">
        <v>0</v>
      </c>
      <c r="E391" s="57">
        <v>12.683637729620301</v>
      </c>
      <c r="F391" s="57">
        <v>10.023784468085106</v>
      </c>
      <c r="G391" s="57">
        <v>12.683637729620301</v>
      </c>
    </row>
    <row r="392" spans="1:7" ht="11.25" customHeight="1" x14ac:dyDescent="0.2">
      <c r="A392" s="67">
        <v>44440</v>
      </c>
      <c r="B392" s="57">
        <v>0</v>
      </c>
      <c r="C392" s="57">
        <v>0.6981740425531916</v>
      </c>
      <c r="D392" s="57">
        <v>0</v>
      </c>
      <c r="E392" s="57">
        <v>0.88343745380439942</v>
      </c>
      <c r="F392" s="57">
        <v>0.6981740425531916</v>
      </c>
      <c r="G392" s="57">
        <v>0.88343745380439942</v>
      </c>
    </row>
    <row r="393" spans="1:7" ht="11.25" customHeight="1" x14ac:dyDescent="0.2">
      <c r="A393" s="67">
        <v>44470</v>
      </c>
      <c r="B393" s="57">
        <v>0</v>
      </c>
      <c r="C393" s="57">
        <v>0.84778276595744684</v>
      </c>
      <c r="D393" s="57">
        <v>0</v>
      </c>
      <c r="E393" s="57">
        <v>1.0727454796196276</v>
      </c>
      <c r="F393" s="57">
        <v>0.84778276595744684</v>
      </c>
      <c r="G393" s="57">
        <v>1.0727454796196276</v>
      </c>
    </row>
    <row r="394" spans="1:7" ht="11.25" customHeight="1" x14ac:dyDescent="0.2">
      <c r="A394" s="67">
        <v>44501</v>
      </c>
      <c r="B394" s="57">
        <v>0</v>
      </c>
      <c r="C394" s="57">
        <v>0.79791319148936179</v>
      </c>
      <c r="D394" s="57">
        <v>0</v>
      </c>
      <c r="E394" s="57">
        <v>1.0096428043478849</v>
      </c>
      <c r="F394" s="57">
        <v>0.79791319148936179</v>
      </c>
      <c r="G394" s="57">
        <v>1.0096428043478849</v>
      </c>
    </row>
    <row r="395" spans="1:7" ht="11.25" customHeight="1" x14ac:dyDescent="0.2">
      <c r="A395" s="67">
        <v>44531</v>
      </c>
      <c r="B395" s="57">
        <v>0</v>
      </c>
      <c r="C395" s="57">
        <v>0.74804361702127653</v>
      </c>
      <c r="D395" s="57">
        <v>0</v>
      </c>
      <c r="E395" s="57">
        <v>0.94654012907614204</v>
      </c>
      <c r="F395" s="57">
        <v>0.74804361702127653</v>
      </c>
      <c r="G395" s="57">
        <v>0.94654012907614204</v>
      </c>
    </row>
    <row r="396" spans="1:7" ht="11.25" customHeight="1" x14ac:dyDescent="0.2">
      <c r="A396" s="67">
        <v>44562</v>
      </c>
      <c r="B396" s="57">
        <v>0</v>
      </c>
      <c r="C396" s="57">
        <v>0.84778276595744684</v>
      </c>
      <c r="D396" s="57">
        <v>0</v>
      </c>
      <c r="E396" s="57">
        <v>1.0727454796196276</v>
      </c>
      <c r="F396" s="57">
        <v>0.84778276595744684</v>
      </c>
      <c r="G396" s="57">
        <v>1.0727454796196276</v>
      </c>
    </row>
    <row r="397" spans="1:7" ht="11.25" customHeight="1" x14ac:dyDescent="0.2">
      <c r="A397" s="67">
        <v>44593</v>
      </c>
      <c r="B397" s="57">
        <v>0</v>
      </c>
      <c r="C397" s="57">
        <v>0.79791319148936179</v>
      </c>
      <c r="D397" s="57">
        <v>0</v>
      </c>
      <c r="E397" s="57">
        <v>1.0096428043478849</v>
      </c>
      <c r="F397" s="57">
        <v>0.79791319148936179</v>
      </c>
      <c r="G397" s="57">
        <v>1.0096428043478849</v>
      </c>
    </row>
    <row r="398" spans="1:7" ht="11.25" customHeight="1" x14ac:dyDescent="0.2">
      <c r="A398" s="67">
        <v>44621</v>
      </c>
      <c r="B398" s="57">
        <v>0</v>
      </c>
      <c r="C398" s="57">
        <v>0.79791319148936179</v>
      </c>
      <c r="D398" s="57">
        <v>0</v>
      </c>
      <c r="E398" s="57">
        <v>1.0096428043478849</v>
      </c>
      <c r="F398" s="57">
        <v>0.79791319148936179</v>
      </c>
      <c r="G398" s="57">
        <v>1.0096428043478849</v>
      </c>
    </row>
    <row r="399" spans="1:7" ht="11.25" customHeight="1" x14ac:dyDescent="0.2">
      <c r="A399" s="67">
        <v>44652</v>
      </c>
      <c r="B399" s="57">
        <v>0</v>
      </c>
      <c r="C399" s="57">
        <v>1.0971306382978723</v>
      </c>
      <c r="D399" s="57">
        <v>0</v>
      </c>
      <c r="E399" s="57">
        <v>1.3882588559783415</v>
      </c>
      <c r="F399" s="57">
        <v>1.0971306382978723</v>
      </c>
      <c r="G399" s="57">
        <v>1.3882588559783415</v>
      </c>
    </row>
    <row r="400" spans="1:7" ht="11.25" customHeight="1" x14ac:dyDescent="0.2">
      <c r="A400" s="67">
        <v>44682</v>
      </c>
      <c r="B400" s="57">
        <v>0</v>
      </c>
      <c r="C400" s="57">
        <v>1.1470002127659575</v>
      </c>
      <c r="D400" s="57">
        <v>0</v>
      </c>
      <c r="E400" s="57">
        <v>1.4513615312500845</v>
      </c>
      <c r="F400" s="57">
        <v>1.1470002127659575</v>
      </c>
      <c r="G400" s="57">
        <v>1.4513615312500845</v>
      </c>
    </row>
    <row r="401" spans="1:7" ht="11.25" customHeight="1" x14ac:dyDescent="0.2">
      <c r="A401" s="67">
        <v>44713</v>
      </c>
      <c r="B401" s="57">
        <v>0</v>
      </c>
      <c r="C401" s="57">
        <v>0.84778276595744684</v>
      </c>
      <c r="D401" s="57">
        <v>0</v>
      </c>
      <c r="E401" s="57">
        <v>1.0727454796196276</v>
      </c>
      <c r="F401" s="57">
        <v>0.84778276595744684</v>
      </c>
      <c r="G401" s="57">
        <v>1.0727454796196276</v>
      </c>
    </row>
    <row r="402" spans="1:7" ht="11.25" customHeight="1" x14ac:dyDescent="0.2">
      <c r="A402" s="67">
        <v>44743</v>
      </c>
      <c r="B402" s="57">
        <v>0</v>
      </c>
      <c r="C402" s="57">
        <v>0.6981740425531916</v>
      </c>
      <c r="D402" s="57">
        <v>0</v>
      </c>
      <c r="E402" s="57">
        <v>0.88343745380439942</v>
      </c>
      <c r="F402" s="57">
        <v>0.6981740425531916</v>
      </c>
      <c r="G402" s="57">
        <v>0.88343745380439942</v>
      </c>
    </row>
    <row r="403" spans="1:7" ht="11.25" customHeight="1" x14ac:dyDescent="0.2">
      <c r="A403" s="67">
        <v>44774</v>
      </c>
      <c r="B403" s="57">
        <v>0</v>
      </c>
      <c r="C403" s="57">
        <v>0.6981740425531916</v>
      </c>
      <c r="D403" s="57">
        <v>0</v>
      </c>
      <c r="E403" s="57">
        <v>0.88343745380439942</v>
      </c>
      <c r="F403" s="57">
        <v>0.6981740425531916</v>
      </c>
      <c r="G403" s="57">
        <v>0.88343745380439942</v>
      </c>
    </row>
    <row r="404" spans="1:7" ht="11.25" customHeight="1" x14ac:dyDescent="0.2">
      <c r="A404" s="66" t="s">
        <v>34</v>
      </c>
      <c r="B404" s="57">
        <v>0</v>
      </c>
      <c r="C404" s="57">
        <v>21.31218382978723</v>
      </c>
      <c r="D404" s="57">
        <v>0</v>
      </c>
      <c r="E404" s="57">
        <v>26.147922284385064</v>
      </c>
      <c r="F404" s="57">
        <v>21.31218382978723</v>
      </c>
      <c r="G404" s="57">
        <v>26.147922284385064</v>
      </c>
    </row>
    <row r="405" spans="1:7" ht="11.25" customHeight="1" x14ac:dyDescent="0.2">
      <c r="A405" s="67">
        <v>44440</v>
      </c>
      <c r="B405" s="57">
        <v>0</v>
      </c>
      <c r="C405" s="57">
        <v>1.4887187234042554</v>
      </c>
      <c r="D405" s="57">
        <v>0</v>
      </c>
      <c r="E405" s="57">
        <v>1.8265092772180742</v>
      </c>
      <c r="F405" s="57">
        <v>1.4887187234042554</v>
      </c>
      <c r="G405" s="57">
        <v>1.8265092772180742</v>
      </c>
    </row>
    <row r="406" spans="1:7" ht="11.25" customHeight="1" x14ac:dyDescent="0.2">
      <c r="A406" s="67">
        <v>44470</v>
      </c>
      <c r="B406" s="57">
        <v>0</v>
      </c>
      <c r="C406" s="57">
        <v>1.5670723404255318</v>
      </c>
      <c r="D406" s="57">
        <v>0</v>
      </c>
      <c r="E406" s="57">
        <v>1.9226413444400781</v>
      </c>
      <c r="F406" s="57">
        <v>1.5670723404255318</v>
      </c>
      <c r="G406" s="57">
        <v>1.9226413444400781</v>
      </c>
    </row>
    <row r="407" spans="1:7" ht="11.25" customHeight="1" x14ac:dyDescent="0.2">
      <c r="A407" s="67">
        <v>44501</v>
      </c>
      <c r="B407" s="57">
        <v>0</v>
      </c>
      <c r="C407" s="57">
        <v>1.6454259574468086</v>
      </c>
      <c r="D407" s="57">
        <v>0</v>
      </c>
      <c r="E407" s="57">
        <v>2.0187734116620817</v>
      </c>
      <c r="F407" s="57">
        <v>1.6454259574468086</v>
      </c>
      <c r="G407" s="57">
        <v>2.0187734116620817</v>
      </c>
    </row>
    <row r="408" spans="1:7" ht="11.25" customHeight="1" x14ac:dyDescent="0.2">
      <c r="A408" s="67">
        <v>44531</v>
      </c>
      <c r="B408" s="57">
        <v>0</v>
      </c>
      <c r="C408" s="57">
        <v>1.5670723404255318</v>
      </c>
      <c r="D408" s="57">
        <v>0</v>
      </c>
      <c r="E408" s="57">
        <v>1.9226413444400781</v>
      </c>
      <c r="F408" s="57">
        <v>1.5670723404255318</v>
      </c>
      <c r="G408" s="57">
        <v>1.9226413444400781</v>
      </c>
    </row>
    <row r="409" spans="1:7" ht="11.25" customHeight="1" x14ac:dyDescent="0.2">
      <c r="A409" s="67">
        <v>44562</v>
      </c>
      <c r="B409" s="57">
        <v>0</v>
      </c>
      <c r="C409" s="57">
        <v>1.7237795744680851</v>
      </c>
      <c r="D409" s="57">
        <v>0</v>
      </c>
      <c r="E409" s="57">
        <v>2.114905478884086</v>
      </c>
      <c r="F409" s="57">
        <v>1.7237795744680851</v>
      </c>
      <c r="G409" s="57">
        <v>2.114905478884086</v>
      </c>
    </row>
    <row r="410" spans="1:7" ht="11.25" customHeight="1" x14ac:dyDescent="0.2">
      <c r="A410" s="67">
        <v>44593</v>
      </c>
      <c r="B410" s="57">
        <v>0</v>
      </c>
      <c r="C410" s="57">
        <v>1.6454259574468086</v>
      </c>
      <c r="D410" s="57">
        <v>0</v>
      </c>
      <c r="E410" s="57">
        <v>2.0187734116620817</v>
      </c>
      <c r="F410" s="57">
        <v>1.6454259574468086</v>
      </c>
      <c r="G410" s="57">
        <v>2.0187734116620817</v>
      </c>
    </row>
    <row r="411" spans="1:7" ht="11.25" customHeight="1" x14ac:dyDescent="0.2">
      <c r="A411" s="67">
        <v>44621</v>
      </c>
      <c r="B411" s="57">
        <v>0</v>
      </c>
      <c r="C411" s="57">
        <v>1.4887187234042554</v>
      </c>
      <c r="D411" s="57">
        <v>0</v>
      </c>
      <c r="E411" s="57">
        <v>1.8265092772180742</v>
      </c>
      <c r="F411" s="57">
        <v>1.4887187234042554</v>
      </c>
      <c r="G411" s="57">
        <v>1.8265092772180742</v>
      </c>
    </row>
    <row r="412" spans="1:7" ht="11.25" customHeight="1" x14ac:dyDescent="0.2">
      <c r="A412" s="67">
        <v>44652</v>
      </c>
      <c r="B412" s="57">
        <v>0</v>
      </c>
      <c r="C412" s="57">
        <v>2.5856693617021276</v>
      </c>
      <c r="D412" s="57">
        <v>0</v>
      </c>
      <c r="E412" s="57">
        <v>3.1723582183261287</v>
      </c>
      <c r="F412" s="57">
        <v>2.5856693617021276</v>
      </c>
      <c r="G412" s="57">
        <v>3.1723582183261287</v>
      </c>
    </row>
    <row r="413" spans="1:7" ht="11.25" customHeight="1" x14ac:dyDescent="0.2">
      <c r="A413" s="67">
        <v>44682</v>
      </c>
      <c r="B413" s="57">
        <v>0</v>
      </c>
      <c r="C413" s="57">
        <v>2.0371940425531916</v>
      </c>
      <c r="D413" s="57">
        <v>0</v>
      </c>
      <c r="E413" s="57">
        <v>2.4994337477721014</v>
      </c>
      <c r="F413" s="57">
        <v>2.0371940425531916</v>
      </c>
      <c r="G413" s="57">
        <v>2.4994337477721014</v>
      </c>
    </row>
    <row r="414" spans="1:7" ht="11.25" customHeight="1" x14ac:dyDescent="0.2">
      <c r="A414" s="67">
        <v>44713</v>
      </c>
      <c r="B414" s="57">
        <v>0</v>
      </c>
      <c r="C414" s="57">
        <v>1.958840425531915</v>
      </c>
      <c r="D414" s="57">
        <v>0</v>
      </c>
      <c r="E414" s="57">
        <v>2.4033016805500975</v>
      </c>
      <c r="F414" s="57">
        <v>1.958840425531915</v>
      </c>
      <c r="G414" s="57">
        <v>2.4033016805500975</v>
      </c>
    </row>
    <row r="415" spans="1:7" ht="11.25" customHeight="1" x14ac:dyDescent="0.2">
      <c r="A415" s="67">
        <v>44743</v>
      </c>
      <c r="B415" s="57">
        <v>0</v>
      </c>
      <c r="C415" s="57">
        <v>1.8021331914893619</v>
      </c>
      <c r="D415" s="57">
        <v>0</v>
      </c>
      <c r="E415" s="57">
        <v>2.2110375461060898</v>
      </c>
      <c r="F415" s="57">
        <v>1.8021331914893619</v>
      </c>
      <c r="G415" s="57">
        <v>2.2110375461060898</v>
      </c>
    </row>
    <row r="416" spans="1:7" ht="11.25" customHeight="1" x14ac:dyDescent="0.2">
      <c r="A416" s="67">
        <v>44774</v>
      </c>
      <c r="B416" s="57">
        <v>0</v>
      </c>
      <c r="C416" s="57">
        <v>1.8021331914893619</v>
      </c>
      <c r="D416" s="57">
        <v>0</v>
      </c>
      <c r="E416" s="57">
        <v>2.2110375461060898</v>
      </c>
      <c r="F416" s="57">
        <v>1.8021331914893619</v>
      </c>
      <c r="G416" s="57">
        <v>2.2110375461060898</v>
      </c>
    </row>
    <row r="417" spans="1:7" ht="11.25" customHeight="1" x14ac:dyDescent="0.2">
      <c r="A417" s="61" t="s">
        <v>23</v>
      </c>
      <c r="B417" s="57">
        <v>0</v>
      </c>
      <c r="C417" s="57">
        <v>9282785.1860800125</v>
      </c>
      <c r="D417" s="57">
        <v>0</v>
      </c>
      <c r="E417" s="57">
        <v>5571661.4133102093</v>
      </c>
      <c r="F417" s="57">
        <v>9282785.1860800125</v>
      </c>
      <c r="G417" s="57">
        <v>5571661.4133102084</v>
      </c>
    </row>
    <row r="418" spans="1:7" ht="11.25" customHeight="1" x14ac:dyDescent="0.2">
      <c r="A418" s="62" t="s">
        <v>44</v>
      </c>
      <c r="B418" s="57">
        <v>0</v>
      </c>
      <c r="C418" s="57">
        <v>9282785.1860800125</v>
      </c>
      <c r="D418" s="57">
        <v>0</v>
      </c>
      <c r="E418" s="57">
        <v>5571661.4133102093</v>
      </c>
      <c r="F418" s="57">
        <v>9282785.1860800125</v>
      </c>
      <c r="G418" s="57">
        <v>5571661.4133102084</v>
      </c>
    </row>
    <row r="419" spans="1:7" ht="11.25" customHeight="1" x14ac:dyDescent="0.2">
      <c r="A419" s="63" t="s">
        <v>52</v>
      </c>
      <c r="B419" s="57">
        <v>0</v>
      </c>
      <c r="C419" s="57">
        <v>2037047.7264500032</v>
      </c>
      <c r="D419" s="57">
        <v>0</v>
      </c>
      <c r="E419" s="57">
        <v>1222539.5635293094</v>
      </c>
      <c r="F419" s="57">
        <v>2037047.7264500032</v>
      </c>
      <c r="G419" s="57">
        <v>1222539.5635293096</v>
      </c>
    </row>
    <row r="420" spans="1:7" ht="11.25" customHeight="1" x14ac:dyDescent="0.2">
      <c r="A420" s="64" t="s">
        <v>53</v>
      </c>
      <c r="B420" s="57">
        <v>0</v>
      </c>
      <c r="C420" s="57">
        <v>2037047.7264500032</v>
      </c>
      <c r="D420" s="57">
        <v>0</v>
      </c>
      <c r="E420" s="57">
        <v>1222539.5635293094</v>
      </c>
      <c r="F420" s="57">
        <v>2037047.7264500032</v>
      </c>
      <c r="G420" s="57">
        <v>1222539.5635293096</v>
      </c>
    </row>
    <row r="421" spans="1:7" ht="11.25" customHeight="1" x14ac:dyDescent="0.2">
      <c r="A421" s="65" t="s">
        <v>25</v>
      </c>
      <c r="B421" s="57">
        <v>0</v>
      </c>
      <c r="C421" s="57">
        <v>2037047.7264500032</v>
      </c>
      <c r="D421" s="57">
        <v>0</v>
      </c>
      <c r="E421" s="57">
        <v>1222539.5635293094</v>
      </c>
      <c r="F421" s="57">
        <v>2037047.7264500032</v>
      </c>
      <c r="G421" s="57">
        <v>1222539.5635293096</v>
      </c>
    </row>
    <row r="422" spans="1:7" ht="11.25" customHeight="1" x14ac:dyDescent="0.2">
      <c r="A422" s="66" t="s">
        <v>25</v>
      </c>
      <c r="B422" s="57">
        <v>0</v>
      </c>
      <c r="C422" s="57">
        <v>2037047.7264500032</v>
      </c>
      <c r="D422" s="57">
        <v>0</v>
      </c>
      <c r="E422" s="57">
        <v>1222539.5635293094</v>
      </c>
      <c r="F422" s="57">
        <v>2037047.7264500032</v>
      </c>
      <c r="G422" s="57">
        <v>1222539.5635293096</v>
      </c>
    </row>
    <row r="423" spans="1:7" ht="11.25" customHeight="1" x14ac:dyDescent="0.2">
      <c r="A423" s="67">
        <v>44440</v>
      </c>
      <c r="B423" s="57">
        <v>0</v>
      </c>
      <c r="C423" s="57">
        <v>329472.80185000045</v>
      </c>
      <c r="D423" s="57">
        <v>0</v>
      </c>
      <c r="E423" s="57">
        <v>197733.97065685509</v>
      </c>
      <c r="F423" s="57">
        <v>329472.80185000045</v>
      </c>
      <c r="G423" s="57">
        <v>197733.97065685509</v>
      </c>
    </row>
    <row r="424" spans="1:7" ht="11.25" customHeight="1" x14ac:dyDescent="0.2">
      <c r="A424" s="67">
        <v>44470</v>
      </c>
      <c r="B424" s="57">
        <v>0</v>
      </c>
      <c r="C424" s="57">
        <v>323490.51647000044</v>
      </c>
      <c r="D424" s="57">
        <v>0</v>
      </c>
      <c r="E424" s="57">
        <v>194143.68631426949</v>
      </c>
      <c r="F424" s="57">
        <v>323490.51647000044</v>
      </c>
      <c r="G424" s="57">
        <v>194143.68631426949</v>
      </c>
    </row>
    <row r="425" spans="1:7" ht="11.25" customHeight="1" x14ac:dyDescent="0.2">
      <c r="A425" s="67">
        <v>44501</v>
      </c>
      <c r="B425" s="57">
        <v>0</v>
      </c>
      <c r="C425" s="57">
        <v>89924.776580000136</v>
      </c>
      <c r="D425" s="57">
        <v>0</v>
      </c>
      <c r="E425" s="57">
        <v>53968.591743391487</v>
      </c>
      <c r="F425" s="57">
        <v>89924.776580000136</v>
      </c>
      <c r="G425" s="57">
        <v>53968.591743391487</v>
      </c>
    </row>
    <row r="426" spans="1:7" ht="11.25" customHeight="1" x14ac:dyDescent="0.2">
      <c r="A426" s="67">
        <v>44531</v>
      </c>
      <c r="B426" s="57">
        <v>0</v>
      </c>
      <c r="C426" s="57">
        <v>66492.695680000106</v>
      </c>
      <c r="D426" s="57">
        <v>0</v>
      </c>
      <c r="E426" s="57">
        <v>39905.766614599583</v>
      </c>
      <c r="F426" s="57">
        <v>66492.695680000106</v>
      </c>
      <c r="G426" s="57">
        <v>39905.766614599583</v>
      </c>
    </row>
    <row r="427" spans="1:7" ht="11.25" customHeight="1" x14ac:dyDescent="0.2">
      <c r="A427" s="67">
        <v>44562</v>
      </c>
      <c r="B427" s="57">
        <v>0</v>
      </c>
      <c r="C427" s="57">
        <v>67047.402280000082</v>
      </c>
      <c r="D427" s="57">
        <v>0</v>
      </c>
      <c r="E427" s="57">
        <v>40238.675243025617</v>
      </c>
      <c r="F427" s="57">
        <v>67047.402280000082</v>
      </c>
      <c r="G427" s="57">
        <v>40238.675243025617</v>
      </c>
    </row>
    <row r="428" spans="1:7" ht="11.25" customHeight="1" x14ac:dyDescent="0.2">
      <c r="A428" s="67">
        <v>44593</v>
      </c>
      <c r="B428" s="57">
        <v>0</v>
      </c>
      <c r="C428" s="57">
        <v>114223.87788000016</v>
      </c>
      <c r="D428" s="57">
        <v>0</v>
      </c>
      <c r="E428" s="57">
        <v>68551.761451067752</v>
      </c>
      <c r="F428" s="57">
        <v>114223.87788000016</v>
      </c>
      <c r="G428" s="57">
        <v>68551.761451067752</v>
      </c>
    </row>
    <row r="429" spans="1:7" ht="11.25" customHeight="1" x14ac:dyDescent="0.2">
      <c r="A429" s="67">
        <v>44621</v>
      </c>
      <c r="B429" s="57">
        <v>0</v>
      </c>
      <c r="C429" s="57">
        <v>86738.476610000143</v>
      </c>
      <c r="D429" s="57">
        <v>0</v>
      </c>
      <c r="E429" s="57">
        <v>52056.325415991392</v>
      </c>
      <c r="F429" s="57">
        <v>86738.476610000143</v>
      </c>
      <c r="G429" s="57">
        <v>52056.325415991392</v>
      </c>
    </row>
    <row r="430" spans="1:7" ht="11.25" customHeight="1" x14ac:dyDescent="0.2">
      <c r="A430" s="67">
        <v>44652</v>
      </c>
      <c r="B430" s="57">
        <v>0</v>
      </c>
      <c r="C430" s="57">
        <v>169938.01834000024</v>
      </c>
      <c r="D430" s="57">
        <v>0</v>
      </c>
      <c r="E430" s="57">
        <v>101988.74973365472</v>
      </c>
      <c r="F430" s="57">
        <v>169938.01834000024</v>
      </c>
      <c r="G430" s="57">
        <v>101988.74973365472</v>
      </c>
    </row>
    <row r="431" spans="1:7" ht="11.25" customHeight="1" x14ac:dyDescent="0.2">
      <c r="A431" s="67">
        <v>44682</v>
      </c>
      <c r="B431" s="57">
        <v>0</v>
      </c>
      <c r="C431" s="57">
        <v>243011.44547000036</v>
      </c>
      <c r="D431" s="57">
        <v>0</v>
      </c>
      <c r="E431" s="57">
        <v>145843.95967750173</v>
      </c>
      <c r="F431" s="57">
        <v>243011.44547000036</v>
      </c>
      <c r="G431" s="57">
        <v>145843.95967750173</v>
      </c>
    </row>
    <row r="432" spans="1:7" ht="11.25" customHeight="1" x14ac:dyDescent="0.2">
      <c r="A432" s="67">
        <v>44713</v>
      </c>
      <c r="B432" s="57">
        <v>0</v>
      </c>
      <c r="C432" s="57">
        <v>163313.62511000026</v>
      </c>
      <c r="D432" s="57">
        <v>0</v>
      </c>
      <c r="E432" s="57">
        <v>98013.102672029781</v>
      </c>
      <c r="F432" s="57">
        <v>163313.62511000026</v>
      </c>
      <c r="G432" s="57">
        <v>98013.102672029781</v>
      </c>
    </row>
    <row r="433" spans="1:7" ht="11.25" customHeight="1" x14ac:dyDescent="0.2">
      <c r="A433" s="67">
        <v>44743</v>
      </c>
      <c r="B433" s="57">
        <v>0</v>
      </c>
      <c r="C433" s="57">
        <v>191697.04509000029</v>
      </c>
      <c r="D433" s="57">
        <v>0</v>
      </c>
      <c r="E433" s="57">
        <v>115047.48700346139</v>
      </c>
      <c r="F433" s="57">
        <v>191697.04509000029</v>
      </c>
      <c r="G433" s="57">
        <v>115047.48700346139</v>
      </c>
    </row>
    <row r="434" spans="1:7" ht="11.25" customHeight="1" x14ac:dyDescent="0.2">
      <c r="A434" s="67">
        <v>44774</v>
      </c>
      <c r="B434" s="57">
        <v>0</v>
      </c>
      <c r="C434" s="57">
        <v>191697.04509000029</v>
      </c>
      <c r="D434" s="57">
        <v>0</v>
      </c>
      <c r="E434" s="57">
        <v>115047.48700346139</v>
      </c>
      <c r="F434" s="57">
        <v>191697.04509000029</v>
      </c>
      <c r="G434" s="57">
        <v>115047.48700346139</v>
      </c>
    </row>
    <row r="435" spans="1:7" ht="11.25" customHeight="1" x14ac:dyDescent="0.2">
      <c r="A435" s="63" t="s">
        <v>25</v>
      </c>
      <c r="B435" s="57">
        <v>0</v>
      </c>
      <c r="C435" s="57">
        <v>7244782.14129001</v>
      </c>
      <c r="D435" s="57">
        <v>0</v>
      </c>
      <c r="E435" s="57">
        <v>4347975.1023374023</v>
      </c>
      <c r="F435" s="57">
        <v>7244782.1412900118</v>
      </c>
      <c r="G435" s="57">
        <v>4347975.1023374023</v>
      </c>
    </row>
    <row r="436" spans="1:7" ht="11.25" customHeight="1" x14ac:dyDescent="0.2">
      <c r="A436" s="64" t="s">
        <v>25</v>
      </c>
      <c r="B436" s="57">
        <v>0</v>
      </c>
      <c r="C436" s="57">
        <v>7244782.14129001</v>
      </c>
      <c r="D436" s="57">
        <v>0</v>
      </c>
      <c r="E436" s="57">
        <v>4347975.1023374023</v>
      </c>
      <c r="F436" s="57">
        <v>7244782.1412900118</v>
      </c>
      <c r="G436" s="57">
        <v>4347975.1023374023</v>
      </c>
    </row>
    <row r="437" spans="1:7" ht="11.25" customHeight="1" x14ac:dyDescent="0.2">
      <c r="A437" s="65" t="s">
        <v>25</v>
      </c>
      <c r="B437" s="57">
        <v>0</v>
      </c>
      <c r="C437" s="57">
        <v>7244782.14129001</v>
      </c>
      <c r="D437" s="57">
        <v>0</v>
      </c>
      <c r="E437" s="57">
        <v>4347975.1023374023</v>
      </c>
      <c r="F437" s="57">
        <v>7244782.1412900118</v>
      </c>
      <c r="G437" s="57">
        <v>4347975.1023374023</v>
      </c>
    </row>
    <row r="438" spans="1:7" ht="11.25" customHeight="1" x14ac:dyDescent="0.2">
      <c r="A438" s="66" t="s">
        <v>25</v>
      </c>
      <c r="B438" s="57">
        <v>0</v>
      </c>
      <c r="C438" s="57">
        <v>7244782.14129001</v>
      </c>
      <c r="D438" s="57">
        <v>0</v>
      </c>
      <c r="E438" s="57">
        <v>4347975.1023374023</v>
      </c>
      <c r="F438" s="57">
        <v>7244782.1412900118</v>
      </c>
      <c r="G438" s="57">
        <v>4347975.1023374023</v>
      </c>
    </row>
    <row r="439" spans="1:7" ht="11.25" customHeight="1" x14ac:dyDescent="0.2">
      <c r="A439" s="67">
        <v>44440</v>
      </c>
      <c r="B439" s="57">
        <v>0</v>
      </c>
      <c r="C439" s="57">
        <v>555792.00699000072</v>
      </c>
      <c r="D439" s="57">
        <v>0</v>
      </c>
      <c r="E439" s="57">
        <v>333560.03829265776</v>
      </c>
      <c r="F439" s="57">
        <v>555792.00699000072</v>
      </c>
      <c r="G439" s="57">
        <v>333560.03829265776</v>
      </c>
    </row>
    <row r="440" spans="1:7" ht="11.25" customHeight="1" x14ac:dyDescent="0.2">
      <c r="A440" s="67">
        <v>44470</v>
      </c>
      <c r="B440" s="57">
        <v>0</v>
      </c>
      <c r="C440" s="57">
        <v>575565.12196000083</v>
      </c>
      <c r="D440" s="57">
        <v>0</v>
      </c>
      <c r="E440" s="57">
        <v>345426.92537201266</v>
      </c>
      <c r="F440" s="57">
        <v>575565.12196000083</v>
      </c>
      <c r="G440" s="57">
        <v>345426.92537201266</v>
      </c>
    </row>
    <row r="441" spans="1:7" ht="11.25" customHeight="1" x14ac:dyDescent="0.2">
      <c r="A441" s="67">
        <v>44501</v>
      </c>
      <c r="B441" s="57">
        <v>0</v>
      </c>
      <c r="C441" s="57">
        <v>488980.2384800007</v>
      </c>
      <c r="D441" s="57">
        <v>0</v>
      </c>
      <c r="E441" s="57">
        <v>293462.77927792579</v>
      </c>
      <c r="F441" s="57">
        <v>488980.2384800007</v>
      </c>
      <c r="G441" s="57">
        <v>293462.77927792579</v>
      </c>
    </row>
    <row r="442" spans="1:7" ht="11.25" customHeight="1" x14ac:dyDescent="0.2">
      <c r="A442" s="67">
        <v>44531</v>
      </c>
      <c r="B442" s="57">
        <v>0</v>
      </c>
      <c r="C442" s="57">
        <v>494323.60130000068</v>
      </c>
      <c r="D442" s="57">
        <v>0</v>
      </c>
      <c r="E442" s="57">
        <v>296669.61256166321</v>
      </c>
      <c r="F442" s="57">
        <v>494323.60130000068</v>
      </c>
      <c r="G442" s="57">
        <v>296669.61256166321</v>
      </c>
    </row>
    <row r="443" spans="1:7" ht="11.25" customHeight="1" x14ac:dyDescent="0.2">
      <c r="A443" s="67">
        <v>44562</v>
      </c>
      <c r="B443" s="57">
        <v>0</v>
      </c>
      <c r="C443" s="57">
        <v>516859.37267000077</v>
      </c>
      <c r="D443" s="57">
        <v>0</v>
      </c>
      <c r="E443" s="57">
        <v>310194.51516298298</v>
      </c>
      <c r="F443" s="57">
        <v>516859.37267000077</v>
      </c>
      <c r="G443" s="57">
        <v>310194.51516298298</v>
      </c>
    </row>
    <row r="444" spans="1:7" ht="11.25" customHeight="1" x14ac:dyDescent="0.2">
      <c r="A444" s="67">
        <v>44593</v>
      </c>
      <c r="B444" s="57">
        <v>0</v>
      </c>
      <c r="C444" s="57">
        <v>528639.50737000071</v>
      </c>
      <c r="D444" s="57">
        <v>0</v>
      </c>
      <c r="E444" s="57">
        <v>317264.39406049537</v>
      </c>
      <c r="F444" s="57">
        <v>528639.50737000071</v>
      </c>
      <c r="G444" s="57">
        <v>317264.39406049537</v>
      </c>
    </row>
    <row r="445" spans="1:7" ht="11.25" customHeight="1" x14ac:dyDescent="0.2">
      <c r="A445" s="67">
        <v>44621</v>
      </c>
      <c r="B445" s="57">
        <v>0</v>
      </c>
      <c r="C445" s="57">
        <v>535033.00592000072</v>
      </c>
      <c r="D445" s="57">
        <v>0</v>
      </c>
      <c r="E445" s="57">
        <v>321101.4690711844</v>
      </c>
      <c r="F445" s="57">
        <v>535033.00592000072</v>
      </c>
      <c r="G445" s="57">
        <v>321101.4690711844</v>
      </c>
    </row>
    <row r="446" spans="1:7" ht="11.25" customHeight="1" x14ac:dyDescent="0.2">
      <c r="A446" s="67">
        <v>44652</v>
      </c>
      <c r="B446" s="57">
        <v>0</v>
      </c>
      <c r="C446" s="57">
        <v>550377.94627000077</v>
      </c>
      <c r="D446" s="57">
        <v>0</v>
      </c>
      <c r="E446" s="57">
        <v>330310.77547784644</v>
      </c>
      <c r="F446" s="57">
        <v>550377.94627000077</v>
      </c>
      <c r="G446" s="57">
        <v>330310.77547784644</v>
      </c>
    </row>
    <row r="447" spans="1:7" ht="11.25" customHeight="1" x14ac:dyDescent="0.2">
      <c r="A447" s="67">
        <v>44682</v>
      </c>
      <c r="B447" s="57">
        <v>0</v>
      </c>
      <c r="C447" s="57">
        <v>671208.03792000096</v>
      </c>
      <c r="D447" s="57">
        <v>0</v>
      </c>
      <c r="E447" s="57">
        <v>402827.27353969158</v>
      </c>
      <c r="F447" s="57">
        <v>671208.03792000096</v>
      </c>
      <c r="G447" s="57">
        <v>402827.27353969158</v>
      </c>
    </row>
    <row r="448" spans="1:7" ht="11.25" customHeight="1" x14ac:dyDescent="0.2">
      <c r="A448" s="67">
        <v>44713</v>
      </c>
      <c r="B448" s="57">
        <v>0</v>
      </c>
      <c r="C448" s="57">
        <v>824525.44611000118</v>
      </c>
      <c r="D448" s="57">
        <v>0</v>
      </c>
      <c r="E448" s="57">
        <v>494841.12027302111</v>
      </c>
      <c r="F448" s="57">
        <v>824525.44611000118</v>
      </c>
      <c r="G448" s="57">
        <v>494841.12027302111</v>
      </c>
    </row>
    <row r="449" spans="1:7" ht="11.25" customHeight="1" x14ac:dyDescent="0.2">
      <c r="A449" s="67">
        <v>44743</v>
      </c>
      <c r="B449" s="57">
        <v>0</v>
      </c>
      <c r="C449" s="57">
        <v>751738.92815000098</v>
      </c>
      <c r="D449" s="57">
        <v>0</v>
      </c>
      <c r="E449" s="57">
        <v>451158.09962396068</v>
      </c>
      <c r="F449" s="57">
        <v>751738.92815000098</v>
      </c>
      <c r="G449" s="57">
        <v>451158.09962396068</v>
      </c>
    </row>
    <row r="450" spans="1:7" ht="11.25" customHeight="1" x14ac:dyDescent="0.2">
      <c r="A450" s="67">
        <v>44774</v>
      </c>
      <c r="B450" s="57">
        <v>0</v>
      </c>
      <c r="C450" s="57">
        <v>751738.92815000098</v>
      </c>
      <c r="D450" s="57">
        <v>0</v>
      </c>
      <c r="E450" s="57">
        <v>451158.09962396068</v>
      </c>
      <c r="F450" s="57">
        <v>751738.92815000098</v>
      </c>
      <c r="G450" s="57">
        <v>451158.09962396068</v>
      </c>
    </row>
    <row r="451" spans="1:7" ht="11.25" customHeight="1" x14ac:dyDescent="0.2">
      <c r="A451" s="63" t="s">
        <v>55</v>
      </c>
      <c r="B451" s="57">
        <v>0</v>
      </c>
      <c r="C451" s="57">
        <v>955.31834000000094</v>
      </c>
      <c r="D451" s="57">
        <v>0</v>
      </c>
      <c r="E451" s="57">
        <v>1146.7474435007462</v>
      </c>
      <c r="F451" s="57">
        <v>955.31834000000094</v>
      </c>
      <c r="G451" s="57">
        <v>1146.7474435007462</v>
      </c>
    </row>
    <row r="452" spans="1:7" ht="11.25" customHeight="1" x14ac:dyDescent="0.2">
      <c r="A452" s="64" t="s">
        <v>53</v>
      </c>
      <c r="B452" s="57">
        <v>0</v>
      </c>
      <c r="C452" s="57">
        <v>955.31834000000094</v>
      </c>
      <c r="D452" s="57">
        <v>0</v>
      </c>
      <c r="E452" s="57">
        <v>1146.7474435007462</v>
      </c>
      <c r="F452" s="57">
        <v>955.31834000000094</v>
      </c>
      <c r="G452" s="57">
        <v>1146.7474435007462</v>
      </c>
    </row>
    <row r="453" spans="1:7" ht="11.25" customHeight="1" x14ac:dyDescent="0.2">
      <c r="A453" s="65" t="s">
        <v>25</v>
      </c>
      <c r="B453" s="57">
        <v>0</v>
      </c>
      <c r="C453" s="57">
        <v>955.31834000000094</v>
      </c>
      <c r="D453" s="57">
        <v>0</v>
      </c>
      <c r="E453" s="57">
        <v>1146.7474435007462</v>
      </c>
      <c r="F453" s="57">
        <v>955.31834000000094</v>
      </c>
      <c r="G453" s="57">
        <v>1146.7474435007462</v>
      </c>
    </row>
    <row r="454" spans="1:7" ht="11.25" customHeight="1" x14ac:dyDescent="0.2">
      <c r="A454" s="66" t="s">
        <v>25</v>
      </c>
      <c r="B454" s="57">
        <v>0</v>
      </c>
      <c r="C454" s="57">
        <v>955.31834000000094</v>
      </c>
      <c r="D454" s="57">
        <v>0</v>
      </c>
      <c r="E454" s="57">
        <v>1146.7474435007462</v>
      </c>
      <c r="F454" s="57">
        <v>955.31834000000094</v>
      </c>
      <c r="G454" s="57">
        <v>1146.7474435007462</v>
      </c>
    </row>
    <row r="455" spans="1:7" ht="11.25" customHeight="1" x14ac:dyDescent="0.2">
      <c r="A455" s="67">
        <v>44440</v>
      </c>
      <c r="B455" s="57">
        <v>0</v>
      </c>
      <c r="C455" s="57">
        <v>203.8454400000002</v>
      </c>
      <c r="D455" s="57">
        <v>0</v>
      </c>
      <c r="E455" s="57">
        <v>244.69250447896223</v>
      </c>
      <c r="F455" s="57">
        <v>203.8454400000002</v>
      </c>
      <c r="G455" s="57">
        <v>244.69250447896223</v>
      </c>
    </row>
    <row r="456" spans="1:7" ht="11.25" customHeight="1" x14ac:dyDescent="0.2">
      <c r="A456" s="67">
        <v>44470</v>
      </c>
      <c r="B456" s="57">
        <v>0</v>
      </c>
      <c r="C456" s="57">
        <v>233.5729000000002</v>
      </c>
      <c r="D456" s="57">
        <v>0</v>
      </c>
      <c r="E456" s="57">
        <v>280.37682804881086</v>
      </c>
      <c r="F456" s="57">
        <v>233.5729000000002</v>
      </c>
      <c r="G456" s="57">
        <v>280.37682804881086</v>
      </c>
    </row>
    <row r="457" spans="1:7" ht="11.25" customHeight="1" x14ac:dyDescent="0.2">
      <c r="A457" s="67">
        <v>44501</v>
      </c>
      <c r="B457" s="57">
        <v>0</v>
      </c>
      <c r="C457" s="57">
        <v>10.358000000000011</v>
      </c>
      <c r="D457" s="57">
        <v>0</v>
      </c>
      <c r="E457" s="57">
        <v>12.433562219459464</v>
      </c>
      <c r="F457" s="57">
        <v>10.358000000000011</v>
      </c>
      <c r="G457" s="57">
        <v>12.433562219459464</v>
      </c>
    </row>
    <row r="458" spans="1:7" ht="11.25" customHeight="1" x14ac:dyDescent="0.2">
      <c r="A458" s="67">
        <v>44531</v>
      </c>
      <c r="B458" s="57">
        <v>0</v>
      </c>
      <c r="C458" s="57">
        <v>4.2467800000000038</v>
      </c>
      <c r="D458" s="57">
        <v>0</v>
      </c>
      <c r="E458" s="57">
        <v>5.0977605099783805</v>
      </c>
      <c r="F458" s="57">
        <v>4.2467800000000038</v>
      </c>
      <c r="G458" s="57">
        <v>5.0977605099783805</v>
      </c>
    </row>
    <row r="459" spans="1:7" ht="11.25" customHeight="1" x14ac:dyDescent="0.2">
      <c r="A459" s="67">
        <v>44562</v>
      </c>
      <c r="B459" s="57">
        <v>0</v>
      </c>
      <c r="C459" s="57">
        <v>69.398600000000073</v>
      </c>
      <c r="D459" s="57">
        <v>0</v>
      </c>
      <c r="E459" s="57">
        <v>83.304866870378405</v>
      </c>
      <c r="F459" s="57">
        <v>69.398600000000073</v>
      </c>
      <c r="G459" s="57">
        <v>83.304866870378405</v>
      </c>
    </row>
    <row r="460" spans="1:7" ht="11.25" customHeight="1" x14ac:dyDescent="0.2">
      <c r="A460" s="67">
        <v>44593</v>
      </c>
      <c r="B460" s="57">
        <v>0</v>
      </c>
      <c r="C460" s="57">
        <v>74.266860000000065</v>
      </c>
      <c r="D460" s="57">
        <v>0</v>
      </c>
      <c r="E460" s="57">
        <v>89.148641113524349</v>
      </c>
      <c r="F460" s="57">
        <v>74.266860000000065</v>
      </c>
      <c r="G460" s="57">
        <v>89.148641113524349</v>
      </c>
    </row>
    <row r="461" spans="1:7" ht="11.25" customHeight="1" x14ac:dyDescent="0.2">
      <c r="A461" s="67">
        <v>44621</v>
      </c>
      <c r="B461" s="57">
        <v>0</v>
      </c>
      <c r="C461" s="57">
        <v>2.9002400000000028</v>
      </c>
      <c r="D461" s="57">
        <v>0</v>
      </c>
      <c r="E461" s="57">
        <v>3.4813974214486501</v>
      </c>
      <c r="F461" s="57">
        <v>2.9002400000000028</v>
      </c>
      <c r="G461" s="57">
        <v>3.4813974214486501</v>
      </c>
    </row>
    <row r="462" spans="1:7" ht="11.25" customHeight="1" x14ac:dyDescent="0.2">
      <c r="A462" s="67">
        <v>44652</v>
      </c>
      <c r="B462" s="57">
        <v>0</v>
      </c>
      <c r="C462" s="57">
        <v>148.63730000000015</v>
      </c>
      <c r="D462" s="57">
        <v>0</v>
      </c>
      <c r="E462" s="57">
        <v>178.42161784924332</v>
      </c>
      <c r="F462" s="57">
        <v>148.63730000000015</v>
      </c>
      <c r="G462" s="57">
        <v>178.42161784924332</v>
      </c>
    </row>
    <row r="463" spans="1:7" ht="11.25" customHeight="1" x14ac:dyDescent="0.2">
      <c r="A463" s="67">
        <v>44682</v>
      </c>
      <c r="B463" s="57">
        <v>0</v>
      </c>
      <c r="C463" s="57">
        <v>140.14374000000012</v>
      </c>
      <c r="D463" s="57">
        <v>0</v>
      </c>
      <c r="E463" s="57">
        <v>168.22609682928655</v>
      </c>
      <c r="F463" s="57">
        <v>140.14374000000012</v>
      </c>
      <c r="G463" s="57">
        <v>168.22609682928655</v>
      </c>
    </row>
    <row r="464" spans="1:7" ht="11.25" customHeight="1" x14ac:dyDescent="0.2">
      <c r="A464" s="67">
        <v>44713</v>
      </c>
      <c r="B464" s="57">
        <v>0</v>
      </c>
      <c r="C464" s="57">
        <v>25.480680000000024</v>
      </c>
      <c r="D464" s="57">
        <v>0</v>
      </c>
      <c r="E464" s="57">
        <v>30.586563059870279</v>
      </c>
      <c r="F464" s="57">
        <v>25.480680000000024</v>
      </c>
      <c r="G464" s="57">
        <v>30.586563059870279</v>
      </c>
    </row>
    <row r="465" spans="1:7" ht="11.25" customHeight="1" x14ac:dyDescent="0.2">
      <c r="A465" s="67">
        <v>44743</v>
      </c>
      <c r="B465" s="57">
        <v>0</v>
      </c>
      <c r="C465" s="57">
        <v>21.23390000000002</v>
      </c>
      <c r="D465" s="57">
        <v>0</v>
      </c>
      <c r="E465" s="57">
        <v>25.488802549891897</v>
      </c>
      <c r="F465" s="57">
        <v>21.23390000000002</v>
      </c>
      <c r="G465" s="57">
        <v>25.488802549891897</v>
      </c>
    </row>
    <row r="466" spans="1:7" ht="11.25" customHeight="1" x14ac:dyDescent="0.2">
      <c r="A466" s="67">
        <v>44774</v>
      </c>
      <c r="B466" s="57">
        <v>0</v>
      </c>
      <c r="C466" s="57">
        <v>21.23390000000002</v>
      </c>
      <c r="D466" s="57">
        <v>0</v>
      </c>
      <c r="E466" s="57">
        <v>25.488802549891897</v>
      </c>
      <c r="F466" s="57">
        <v>21.23390000000002</v>
      </c>
      <c r="G466" s="57">
        <v>25.488802549891897</v>
      </c>
    </row>
    <row r="467" spans="1:7" ht="11.25" customHeight="1" x14ac:dyDescent="0.2">
      <c r="A467" s="59" t="s">
        <v>855</v>
      </c>
      <c r="B467" s="57">
        <v>0</v>
      </c>
      <c r="C467" s="57">
        <v>0</v>
      </c>
      <c r="D467" s="57">
        <v>0</v>
      </c>
      <c r="E467" s="57">
        <v>0</v>
      </c>
      <c r="F467" s="57">
        <v>0</v>
      </c>
      <c r="G467" s="57">
        <v>0</v>
      </c>
    </row>
    <row r="468" spans="1:7" ht="11.25" customHeight="1" x14ac:dyDescent="0.2">
      <c r="A468" s="60" t="s">
        <v>22</v>
      </c>
      <c r="B468" s="57">
        <v>0</v>
      </c>
      <c r="C468" s="57">
        <v>0</v>
      </c>
      <c r="D468" s="57">
        <v>0</v>
      </c>
      <c r="E468" s="57">
        <v>0</v>
      </c>
      <c r="F468" s="57">
        <v>0</v>
      </c>
      <c r="G468" s="57">
        <v>0</v>
      </c>
    </row>
    <row r="469" spans="1:7" ht="11.25" customHeight="1" x14ac:dyDescent="0.2">
      <c r="A469" s="61" t="s">
        <v>23</v>
      </c>
      <c r="B469" s="57">
        <v>0</v>
      </c>
      <c r="C469" s="57">
        <v>0</v>
      </c>
      <c r="D469" s="57">
        <v>0</v>
      </c>
      <c r="E469" s="57">
        <v>0</v>
      </c>
      <c r="F469" s="57">
        <v>0</v>
      </c>
      <c r="G469" s="57">
        <v>0</v>
      </c>
    </row>
    <row r="470" spans="1:7" ht="11.25" customHeight="1" x14ac:dyDescent="0.2">
      <c r="A470" s="62" t="s">
        <v>24</v>
      </c>
      <c r="B470" s="57">
        <v>0</v>
      </c>
      <c r="C470" s="57">
        <v>0</v>
      </c>
      <c r="D470" s="57">
        <v>0</v>
      </c>
      <c r="E470" s="57">
        <v>0</v>
      </c>
      <c r="F470" s="57">
        <v>0</v>
      </c>
      <c r="G470" s="57">
        <v>0</v>
      </c>
    </row>
    <row r="471" spans="1:7" ht="11.25" customHeight="1" x14ac:dyDescent="0.2">
      <c r="A471" s="63" t="s">
        <v>24</v>
      </c>
      <c r="B471" s="57">
        <v>0</v>
      </c>
      <c r="C471" s="57">
        <v>0</v>
      </c>
      <c r="D471" s="57">
        <v>0</v>
      </c>
      <c r="E471" s="57">
        <v>0</v>
      </c>
      <c r="F471" s="57">
        <v>0</v>
      </c>
      <c r="G471" s="57">
        <v>0</v>
      </c>
    </row>
    <row r="472" spans="1:7" ht="11.25" customHeight="1" x14ac:dyDescent="0.2">
      <c r="A472" s="64" t="s">
        <v>25</v>
      </c>
      <c r="B472" s="57">
        <v>0</v>
      </c>
      <c r="C472" s="57">
        <v>0</v>
      </c>
      <c r="D472" s="57">
        <v>0</v>
      </c>
      <c r="E472" s="57">
        <v>0</v>
      </c>
      <c r="F472" s="57">
        <v>0</v>
      </c>
      <c r="G472" s="57">
        <v>0</v>
      </c>
    </row>
    <row r="473" spans="1:7" ht="11.25" customHeight="1" x14ac:dyDescent="0.2">
      <c r="A473" s="65" t="s">
        <v>25</v>
      </c>
      <c r="B473" s="57">
        <v>0</v>
      </c>
      <c r="C473" s="57">
        <v>0</v>
      </c>
      <c r="D473" s="57">
        <v>0</v>
      </c>
      <c r="E473" s="57">
        <v>0</v>
      </c>
      <c r="F473" s="57">
        <v>0</v>
      </c>
      <c r="G473" s="57">
        <v>0</v>
      </c>
    </row>
    <row r="474" spans="1:7" ht="11.25" customHeight="1" x14ac:dyDescent="0.2">
      <c r="A474" s="66" t="s">
        <v>25</v>
      </c>
      <c r="B474" s="57">
        <v>0</v>
      </c>
      <c r="C474" s="57">
        <v>0</v>
      </c>
      <c r="D474" s="57">
        <v>0</v>
      </c>
      <c r="E474" s="57">
        <v>0</v>
      </c>
      <c r="F474" s="57">
        <v>0</v>
      </c>
      <c r="G474" s="57">
        <v>0</v>
      </c>
    </row>
    <row r="475" spans="1:7" ht="11.25" customHeight="1" x14ac:dyDescent="0.2">
      <c r="A475" s="67">
        <v>44440</v>
      </c>
      <c r="B475" s="57">
        <v>0</v>
      </c>
      <c r="C475" s="57">
        <v>0</v>
      </c>
      <c r="D475" s="57">
        <v>0</v>
      </c>
      <c r="E475" s="57">
        <v>0</v>
      </c>
      <c r="F475" s="57">
        <v>0</v>
      </c>
      <c r="G475" s="57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EFD7E-8489-4574-968F-011CDEB704F0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78" bestFit="1" customWidth="1"/>
    <col min="2" max="2" width="11.140625" style="78" bestFit="1" customWidth="1"/>
    <col min="3" max="3" width="10.28515625" style="78" bestFit="1" customWidth="1"/>
    <col min="4" max="4" width="6.28515625" style="78" bestFit="1" customWidth="1"/>
    <col min="5" max="10" width="7.7109375" style="78" customWidth="1"/>
    <col min="11" max="12" width="9.140625" style="78"/>
    <col min="13" max="13" width="14.28515625" style="78" customWidth="1"/>
    <col min="14" max="14" width="16.7109375" style="78" customWidth="1"/>
    <col min="15" max="15" width="31.7109375" style="78" customWidth="1"/>
    <col min="16" max="22" width="7.7109375" style="78" customWidth="1"/>
    <col min="23" max="16384" width="9.140625" style="78"/>
  </cols>
  <sheetData>
    <row r="1" spans="1:22" ht="11.25" customHeight="1" x14ac:dyDescent="0.25">
      <c r="A1" s="108" t="s">
        <v>921</v>
      </c>
      <c r="B1" s="137"/>
      <c r="C1" s="137"/>
      <c r="D1" s="137"/>
      <c r="E1" s="137"/>
      <c r="F1" s="137"/>
      <c r="G1" s="137"/>
      <c r="H1" s="137"/>
      <c r="I1" s="137"/>
      <c r="J1" s="137"/>
      <c r="L1" s="108" t="s">
        <v>931</v>
      </c>
      <c r="M1" s="109"/>
      <c r="N1" s="109"/>
      <c r="O1" s="109"/>
      <c r="P1" s="109"/>
      <c r="Q1" s="109"/>
      <c r="R1" s="109"/>
      <c r="S1" s="109"/>
      <c r="T1" s="109"/>
      <c r="U1" s="109"/>
      <c r="V1" s="109"/>
    </row>
    <row r="2" spans="1:22" ht="11.25" customHeight="1" x14ac:dyDescent="0.25">
      <c r="A2" s="129" t="s">
        <v>70</v>
      </c>
      <c r="B2" s="129" t="s">
        <v>71</v>
      </c>
      <c r="C2" s="129" t="s">
        <v>922</v>
      </c>
      <c r="D2" s="129" t="s">
        <v>76</v>
      </c>
      <c r="E2" s="129" t="s">
        <v>923</v>
      </c>
      <c r="F2" s="135"/>
      <c r="G2" s="135"/>
      <c r="H2" s="129" t="s">
        <v>686</v>
      </c>
      <c r="I2" s="135"/>
      <c r="J2" s="135"/>
      <c r="L2" s="129" t="s">
        <v>70</v>
      </c>
      <c r="M2" s="129" t="s">
        <v>71</v>
      </c>
      <c r="N2" s="129" t="s">
        <v>72</v>
      </c>
      <c r="O2" s="129" t="s">
        <v>73</v>
      </c>
      <c r="P2" s="129" t="s">
        <v>76</v>
      </c>
      <c r="Q2" s="129" t="s">
        <v>923</v>
      </c>
      <c r="R2" s="136"/>
      <c r="S2" s="136"/>
      <c r="T2" s="129" t="s">
        <v>686</v>
      </c>
      <c r="U2" s="136"/>
      <c r="V2" s="136"/>
    </row>
    <row r="3" spans="1:22" ht="11.25" customHeight="1" x14ac:dyDescent="0.25">
      <c r="A3" s="135"/>
      <c r="B3" s="135"/>
      <c r="C3" s="135"/>
      <c r="D3" s="135"/>
      <c r="E3" s="129" t="s">
        <v>644</v>
      </c>
      <c r="F3" s="135"/>
      <c r="G3" s="91" t="s">
        <v>672</v>
      </c>
      <c r="H3" s="129" t="s">
        <v>644</v>
      </c>
      <c r="I3" s="135"/>
      <c r="J3" s="91" t="s">
        <v>672</v>
      </c>
      <c r="L3" s="136"/>
      <c r="M3" s="136"/>
      <c r="N3" s="136"/>
      <c r="O3" s="136"/>
      <c r="P3" s="136"/>
      <c r="Q3" s="129" t="s">
        <v>644</v>
      </c>
      <c r="R3" s="136"/>
      <c r="S3" s="91" t="s">
        <v>672</v>
      </c>
      <c r="T3" s="129" t="s">
        <v>644</v>
      </c>
      <c r="U3" s="136"/>
      <c r="V3" s="91" t="s">
        <v>672</v>
      </c>
    </row>
    <row r="4" spans="1:22" ht="11.25" customHeight="1" x14ac:dyDescent="0.25">
      <c r="A4" s="135"/>
      <c r="B4" s="135"/>
      <c r="C4" s="135"/>
      <c r="D4" s="135"/>
      <c r="E4" s="91" t="s">
        <v>924</v>
      </c>
      <c r="F4" s="91" t="s">
        <v>925</v>
      </c>
      <c r="G4" s="91" t="s">
        <v>925</v>
      </c>
      <c r="H4" s="91" t="s">
        <v>924</v>
      </c>
      <c r="I4" s="91" t="s">
        <v>925</v>
      </c>
      <c r="J4" s="91" t="s">
        <v>925</v>
      </c>
      <c r="L4" s="136"/>
      <c r="M4" s="136"/>
      <c r="N4" s="136"/>
      <c r="O4" s="136"/>
      <c r="P4" s="136"/>
      <c r="Q4" s="91" t="s">
        <v>924</v>
      </c>
      <c r="R4" s="91" t="s">
        <v>925</v>
      </c>
      <c r="S4" s="91" t="s">
        <v>925</v>
      </c>
      <c r="T4" s="91" t="s">
        <v>924</v>
      </c>
      <c r="U4" s="91" t="s">
        <v>925</v>
      </c>
      <c r="V4" s="91" t="s">
        <v>925</v>
      </c>
    </row>
    <row r="5" spans="1:22" ht="11.25" customHeight="1" x14ac:dyDescent="0.25">
      <c r="A5" s="134" t="s">
        <v>39</v>
      </c>
      <c r="B5" s="134" t="s">
        <v>42</v>
      </c>
      <c r="C5" s="134" t="s">
        <v>25</v>
      </c>
      <c r="D5" s="92" t="s">
        <v>926</v>
      </c>
      <c r="E5" s="45">
        <f ca="1">ROUND('TUSD BE'!$AM$5+'TUSD BF'!$AM$5+'TUSD CVA'!$AM$5,2)</f>
        <v>57.52</v>
      </c>
      <c r="F5" s="45">
        <f ca="1">ROUND('TUSD BE'!$AM$7+'TUSD BF'!$AM$7+'TUSD CVA'!$AM$7,2)</f>
        <v>147.99</v>
      </c>
      <c r="G5" s="45">
        <f>ROUND('TE BE'!$AB$5+'TE BF'!$AB$5+'TE CVA'!$AB$5,2)</f>
        <v>485.88</v>
      </c>
      <c r="H5" s="45">
        <f ca="1">ROUND('TUSD BE'!$AM$5,2)</f>
        <v>58.29</v>
      </c>
      <c r="I5" s="45">
        <f ca="1">ROUND('TUSD BE'!$AM$7,2)</f>
        <v>121.3</v>
      </c>
      <c r="J5" s="45">
        <f>ROUND('TE BE'!$AB$5,2)</f>
        <v>464.57</v>
      </c>
      <c r="L5" s="131" t="s">
        <v>22</v>
      </c>
      <c r="M5" s="131" t="s">
        <v>932</v>
      </c>
      <c r="N5" s="131" t="s">
        <v>933</v>
      </c>
      <c r="O5" s="131" t="s">
        <v>933</v>
      </c>
      <c r="P5" s="92" t="s">
        <v>926</v>
      </c>
      <c r="Q5" s="45">
        <v>0</v>
      </c>
      <c r="R5" s="45">
        <f ca="1">ROUND('TUSD BE'!$AM$17+'TUSD BF'!$AM$17+'TUSD CVA'!$AM$17,2)</f>
        <v>970.46</v>
      </c>
      <c r="S5" s="45">
        <f>ROUND('TE BE'!$AB$7+'TE BF'!$AB$7+'TE CVA'!$AB$7,2)</f>
        <v>485.88</v>
      </c>
      <c r="T5" s="45">
        <v>0</v>
      </c>
      <c r="U5" s="45">
        <f ca="1">ROUND('TUSD BE'!$AM$17,2)</f>
        <v>950.62</v>
      </c>
      <c r="V5" s="45">
        <f>ROUND('TE BE'!$AB$7,2)</f>
        <v>464.57</v>
      </c>
    </row>
    <row r="6" spans="1:22" ht="11.25" customHeight="1" x14ac:dyDescent="0.25">
      <c r="A6" s="135"/>
      <c r="B6" s="135"/>
      <c r="C6" s="135"/>
      <c r="D6" s="92" t="s">
        <v>927</v>
      </c>
      <c r="E6" s="45">
        <f ca="1">ROUND('TUSD BE'!$AM$6+'TUSD BF'!$AM$6+'TUSD CVA'!$AM$6,2)</f>
        <v>18.37</v>
      </c>
      <c r="F6" s="45">
        <f ca="1">ROUND('TUSD BE'!$AM$7+'TUSD BF'!$AM$7+'TUSD CVA'!$AM$7,2)</f>
        <v>147.99</v>
      </c>
      <c r="G6" s="45">
        <f>ROUND('TE BE'!$AB$6+'TE BF'!$AB$6+'TE CVA'!$AB$6,2)</f>
        <v>304.87</v>
      </c>
      <c r="H6" s="45">
        <f ca="1">ROUND('TUSD BE'!$AM$6,2)</f>
        <v>18.61</v>
      </c>
      <c r="I6" s="45">
        <f ca="1">ROUND('TUSD BE'!$AM$7,2)</f>
        <v>121.3</v>
      </c>
      <c r="J6" s="45">
        <f>ROUND('TE BE'!$AB$6,2)</f>
        <v>289.05</v>
      </c>
      <c r="L6" s="132"/>
      <c r="M6" s="132"/>
      <c r="N6" s="132"/>
      <c r="O6" s="132"/>
      <c r="P6" s="92" t="s">
        <v>934</v>
      </c>
      <c r="Q6" s="45">
        <v>0</v>
      </c>
      <c r="R6" s="45">
        <f ca="1">ROUND('TUSD BE'!$AM$18+'TUSD BF'!$AM$18+'TUSD CVA'!$AM$18,2)</f>
        <v>656.54</v>
      </c>
      <c r="S6" s="45">
        <f>ROUND('TE BE'!$AB$8+'TE BF'!$AB$8+'TE CVA'!$AB$8,2)</f>
        <v>304.87</v>
      </c>
      <c r="T6" s="45">
        <v>0</v>
      </c>
      <c r="U6" s="45">
        <f ca="1">ROUND('TUSD BE'!$AM$18,2)</f>
        <v>632.16</v>
      </c>
      <c r="V6" s="45">
        <f>ROUND('TE BE'!$AB$8,2)</f>
        <v>289.05</v>
      </c>
    </row>
    <row r="7" spans="1:22" ht="11.25" customHeight="1" x14ac:dyDescent="0.25">
      <c r="A7" s="135"/>
      <c r="B7" s="134" t="s">
        <v>928</v>
      </c>
      <c r="C7" s="134" t="s">
        <v>25</v>
      </c>
      <c r="D7" s="92" t="s">
        <v>926</v>
      </c>
      <c r="E7" s="45">
        <f ca="1">ROUND('TUSD BE'!$AM$5+'TUSD BF'!$AM$5+'TUSD CVA'!$AM$5,2)</f>
        <v>57.52</v>
      </c>
      <c r="F7" s="45">
        <f ca="1">ROUND('TUSD BE'!$AM$8+'TUSD BF'!$AM$8+'TUSD CVA'!$AM$8,2)</f>
        <v>22.27</v>
      </c>
      <c r="G7" s="45">
        <v>0</v>
      </c>
      <c r="H7" s="45">
        <f ca="1">ROUND('TUSD BE'!$AM$5,2)</f>
        <v>58.29</v>
      </c>
      <c r="I7" s="45">
        <f ca="1">ROUND('TUSD BE'!$AM$8,2)</f>
        <v>21.73</v>
      </c>
      <c r="J7" s="45">
        <v>0</v>
      </c>
      <c r="L7" s="132"/>
      <c r="M7" s="133"/>
      <c r="N7" s="133"/>
      <c r="O7" s="133"/>
      <c r="P7" s="92" t="s">
        <v>927</v>
      </c>
      <c r="Q7" s="45">
        <v>0</v>
      </c>
      <c r="R7" s="45">
        <f ca="1">ROUND('TUSD BE'!$AM$19+'TUSD BF'!$AM$19+'TUSD CVA'!$AM$19,2)</f>
        <v>342.62</v>
      </c>
      <c r="S7" s="45">
        <f>ROUND('TE BE'!$AB$9+'TE BF'!$AB$9+'TE CVA'!$AB$9,2)</f>
        <v>304.87</v>
      </c>
      <c r="T7" s="45">
        <v>0</v>
      </c>
      <c r="U7" s="45">
        <f ca="1">ROUND('TUSD BE'!$AM$19,2)</f>
        <v>313.70999999999998</v>
      </c>
      <c r="V7" s="45">
        <f>ROUND('TE BE'!$AB$9,2)</f>
        <v>289.05</v>
      </c>
    </row>
    <row r="8" spans="1:22" ht="11.25" customHeight="1" x14ac:dyDescent="0.25">
      <c r="A8" s="135"/>
      <c r="B8" s="135"/>
      <c r="C8" s="135"/>
      <c r="D8" s="92" t="s">
        <v>927</v>
      </c>
      <c r="E8" s="45">
        <f ca="1">ROUND('TUSD BE'!$AM$6+'TUSD BF'!$AM$6+'TUSD CVA'!$AM$6,2)</f>
        <v>18.37</v>
      </c>
      <c r="F8" s="45">
        <f ca="1">ROUND('TUSD BE'!$AM$8+'TUSD BF'!$AM$8+'TUSD CVA'!$AM$8,2)</f>
        <v>22.27</v>
      </c>
      <c r="G8" s="45">
        <v>0</v>
      </c>
      <c r="H8" s="45">
        <f ca="1">ROUND('TUSD BE'!$AM$6,2)</f>
        <v>18.61</v>
      </c>
      <c r="I8" s="45">
        <f ca="1">ROUND('TUSD BE'!$AM$8,2)</f>
        <v>21.73</v>
      </c>
      <c r="J8" s="45">
        <v>0</v>
      </c>
      <c r="L8" s="132"/>
      <c r="M8" s="92" t="s">
        <v>935</v>
      </c>
      <c r="N8" s="92" t="s">
        <v>933</v>
      </c>
      <c r="O8" s="92" t="s">
        <v>933</v>
      </c>
      <c r="P8" s="92" t="s">
        <v>929</v>
      </c>
      <c r="Q8" s="45">
        <v>0</v>
      </c>
      <c r="R8" s="45">
        <f ca="1">ROUND('TUSD BE'!$AM$25+'TUSD BF'!$AM$25+'TUSD CVA'!$AM$25,2)</f>
        <v>434.8</v>
      </c>
      <c r="S8" s="45">
        <f>ROUND('TE BE'!$AB$15+'TE BF'!$AB$15+'TE CVA'!$AB$15,2)</f>
        <v>319.95</v>
      </c>
      <c r="T8" s="45">
        <v>0</v>
      </c>
      <c r="U8" s="45">
        <f ca="1">ROUND('TUSD BE'!$AM$25,2)</f>
        <v>407.22</v>
      </c>
      <c r="V8" s="45">
        <f>ROUND('TE BE'!$AB$15,2)</f>
        <v>303.68</v>
      </c>
    </row>
    <row r="9" spans="1:22" ht="11.25" customHeight="1" x14ac:dyDescent="0.25">
      <c r="A9" s="135"/>
      <c r="B9" s="134" t="s">
        <v>40</v>
      </c>
      <c r="C9" s="134" t="s">
        <v>25</v>
      </c>
      <c r="D9" s="92" t="s">
        <v>929</v>
      </c>
      <c r="E9" s="45">
        <f ca="1">ROUND('TUSD BE'!$AM$10+'TUSD BF'!$AM$10+'TUSD CVA'!$AM$10,2)</f>
        <v>18.37</v>
      </c>
      <c r="F9" s="45">
        <v>0</v>
      </c>
      <c r="G9" s="45">
        <v>0</v>
      </c>
      <c r="H9" s="45">
        <f ca="1">ROUND('TUSD BE'!$AM$10,2)</f>
        <v>18.61</v>
      </c>
      <c r="I9" s="45">
        <v>0</v>
      </c>
      <c r="J9" s="45">
        <v>0</v>
      </c>
      <c r="L9" s="132"/>
      <c r="M9" s="92" t="s">
        <v>937</v>
      </c>
      <c r="N9" s="92" t="s">
        <v>933</v>
      </c>
      <c r="O9" s="92" t="s">
        <v>933</v>
      </c>
      <c r="P9" s="92" t="s">
        <v>929</v>
      </c>
      <c r="Q9" s="45">
        <v>0</v>
      </c>
      <c r="R9" s="45">
        <f ca="1">ROUND('TUSD BE'!$AM$20+'TUSD BF'!$AM$20+'TUSD CVA'!$AM$20,2)</f>
        <v>434.8</v>
      </c>
      <c r="S9" s="45">
        <f>ROUND('TE BE'!$AB$10+'TE BF'!$AB$10+'TE CVA'!$AB$10,2)</f>
        <v>319.95</v>
      </c>
      <c r="T9" s="45">
        <v>0</v>
      </c>
      <c r="U9" s="45">
        <f ca="1">ROUND('TUSD BE'!$AM$20,2)</f>
        <v>407.22</v>
      </c>
      <c r="V9" s="45">
        <f>ROUND('TE BE'!$AB$10,2)</f>
        <v>303.68</v>
      </c>
    </row>
    <row r="10" spans="1:22" ht="11.25" customHeight="1" x14ac:dyDescent="0.25">
      <c r="A10" s="135"/>
      <c r="B10" s="135"/>
      <c r="C10" s="135"/>
      <c r="D10" s="92" t="s">
        <v>926</v>
      </c>
      <c r="E10" s="45">
        <v>0</v>
      </c>
      <c r="F10" s="45">
        <f ca="1">ROUND('TUSD BE'!$AM$11+'TUSD BF'!$AM$11+'TUSD CVA'!$AM$11,2)</f>
        <v>1532</v>
      </c>
      <c r="G10" s="45">
        <f>ROUND('TE BE'!$AB$5+'TE BF'!$AB$5+'TE CVA'!$AB$5,2)</f>
        <v>485.88</v>
      </c>
      <c r="H10" s="45">
        <v>0</v>
      </c>
      <c r="I10" s="45">
        <f ca="1">ROUND('TUSD BE'!$AM$11,2)</f>
        <v>1523.87</v>
      </c>
      <c r="J10" s="45">
        <f>ROUND('TE BE'!$AB$5,2)</f>
        <v>464.57</v>
      </c>
      <c r="L10" s="132"/>
      <c r="M10" s="92" t="s">
        <v>935</v>
      </c>
      <c r="N10" s="92" t="s">
        <v>933</v>
      </c>
      <c r="O10" s="92" t="s">
        <v>936</v>
      </c>
      <c r="P10" s="92" t="s">
        <v>929</v>
      </c>
      <c r="Q10" s="45">
        <v>0</v>
      </c>
      <c r="R10" s="45">
        <f ca="1">ROUND('TUSD BE'!$AM$26+'TUSD BF'!$AM$26+'TUSD CVA'!$AM$26,2)</f>
        <v>288.89</v>
      </c>
      <c r="S10" s="45">
        <f>ROUND('TE BE'!$AB$16+'TE BF'!$AB$16+'TE CVA'!$AB$16,2)</f>
        <v>319.95</v>
      </c>
      <c r="T10" s="45">
        <v>0</v>
      </c>
      <c r="U10" s="45">
        <f ca="1">ROUND('TUSD BE'!$AM$26,2)</f>
        <v>291.52999999999997</v>
      </c>
      <c r="V10" s="45">
        <f>ROUND('TE BE'!$AB$16,2)</f>
        <v>303.68</v>
      </c>
    </row>
    <row r="11" spans="1:22" ht="11.25" customHeight="1" x14ac:dyDescent="0.25">
      <c r="A11" s="135"/>
      <c r="B11" s="135"/>
      <c r="C11" s="135"/>
      <c r="D11" s="92" t="s">
        <v>927</v>
      </c>
      <c r="E11" s="45">
        <v>0</v>
      </c>
      <c r="F11" s="45">
        <f ca="1">ROUND('TUSD BE'!$AM$12+'TUSD BF'!$AM$12+'TUSD CVA'!$AM$12,2)</f>
        <v>147.99</v>
      </c>
      <c r="G11" s="45">
        <f>ROUND('TE BE'!$AB$6+'TE BF'!$AB$6+'TE CVA'!$AB$6,2)</f>
        <v>304.87</v>
      </c>
      <c r="H11" s="45">
        <v>0</v>
      </c>
      <c r="I11" s="45">
        <f ca="1">ROUND('TUSD BE'!$AM$12,2)</f>
        <v>121.3</v>
      </c>
      <c r="J11" s="45">
        <f>ROUND('TE BE'!$AB$6,2)</f>
        <v>289.05</v>
      </c>
      <c r="L11" s="133"/>
      <c r="M11" s="92" t="s">
        <v>937</v>
      </c>
      <c r="N11" s="92" t="s">
        <v>933</v>
      </c>
      <c r="O11" s="92" t="s">
        <v>936</v>
      </c>
      <c r="P11" s="92" t="s">
        <v>929</v>
      </c>
      <c r="Q11" s="45">
        <v>0</v>
      </c>
      <c r="R11" s="45">
        <f ca="1">ROUND('TUSD BE'!$AM$21+'TUSD BF'!$AM$21+'TUSD CVA'!$AM$21,2)</f>
        <v>288.89</v>
      </c>
      <c r="S11" s="45">
        <f>ROUND('TE BE'!$AB$11+'TE BF'!$AB$11+'TE CVA'!$AB$11,2)</f>
        <v>319.95</v>
      </c>
      <c r="T11" s="45">
        <v>0</v>
      </c>
      <c r="U11" s="45">
        <f ca="1">ROUND('TUSD BE'!$AM$21,2)</f>
        <v>291.52999999999997</v>
      </c>
      <c r="V11" s="45">
        <f>ROUND('TE BE'!$AB$11,2)</f>
        <v>303.68</v>
      </c>
    </row>
    <row r="12" spans="1:22" ht="11.25" customHeight="1" x14ac:dyDescent="0.25">
      <c r="A12" s="135"/>
      <c r="B12" s="134" t="s">
        <v>930</v>
      </c>
      <c r="C12" s="134" t="s">
        <v>25</v>
      </c>
      <c r="D12" s="92" t="s">
        <v>929</v>
      </c>
      <c r="E12" s="45">
        <f ca="1">ROUND('TUSD BE'!$AM$10+'TUSD BF'!$AM$10+'TUSD CVA'!$AM$10,2)</f>
        <v>18.37</v>
      </c>
      <c r="F12" s="45">
        <v>0</v>
      </c>
      <c r="G12" s="45">
        <v>0</v>
      </c>
      <c r="H12" s="45">
        <f ca="1">ROUND('TUSD BE'!$AM$10,2)</f>
        <v>18.61</v>
      </c>
      <c r="I12" s="45">
        <v>0</v>
      </c>
      <c r="J12" s="45">
        <v>0</v>
      </c>
      <c r="L12" s="131" t="s">
        <v>43</v>
      </c>
      <c r="M12" s="131" t="s">
        <v>932</v>
      </c>
      <c r="N12" s="131" t="s">
        <v>938</v>
      </c>
      <c r="O12" s="131" t="s">
        <v>939</v>
      </c>
      <c r="P12" s="92" t="s">
        <v>926</v>
      </c>
      <c r="Q12" s="45">
        <v>0</v>
      </c>
      <c r="R12" s="45">
        <f ca="1">ROUND(('TUSD BE'!$AM$30+'TUSD BF'!$AM$30+'TUSD CVA'!$AM$30)*(1-CUSTOS!$M$38),2)</f>
        <v>1005.91</v>
      </c>
      <c r="S12" s="45">
        <f>ROUND(('TE BE'!$AB$20+'TE BF'!$AB$20+'TE CVA'!$AB$20)*(1-CUSTOS!$M$38),2)</f>
        <v>456.72</v>
      </c>
      <c r="T12" s="45">
        <v>0</v>
      </c>
      <c r="U12" s="45">
        <f ca="1">ROUND('TUSD BE'!$AM$30*(1-CUSTOS!$M$38),2)</f>
        <v>988.61</v>
      </c>
      <c r="V12" s="45">
        <f>ROUND('TE BE'!$AB$20*(1-CUSTOS!$M$38),2)</f>
        <v>436.69</v>
      </c>
    </row>
    <row r="13" spans="1:22" ht="11.25" customHeight="1" x14ac:dyDescent="0.25">
      <c r="A13" s="135"/>
      <c r="B13" s="135"/>
      <c r="C13" s="135"/>
      <c r="D13" s="92" t="s">
        <v>926</v>
      </c>
      <c r="E13" s="45">
        <v>0</v>
      </c>
      <c r="F13" s="45">
        <f ca="1">ROUND('TUSD BE'!$AM$13+'TUSD BF'!$AM$13+'TUSD CVA'!$AM$13,2)</f>
        <v>1406.28</v>
      </c>
      <c r="G13" s="45">
        <v>0</v>
      </c>
      <c r="H13" s="45">
        <v>0</v>
      </c>
      <c r="I13" s="45">
        <f ca="1">ROUND('TUSD BE'!$AM$13,2)</f>
        <v>1424.3</v>
      </c>
      <c r="J13" s="45">
        <v>0</v>
      </c>
      <c r="L13" s="132"/>
      <c r="M13" s="132"/>
      <c r="N13" s="132"/>
      <c r="O13" s="132"/>
      <c r="P13" s="92" t="s">
        <v>934</v>
      </c>
      <c r="Q13" s="45">
        <v>0</v>
      </c>
      <c r="R13" s="45">
        <f ca="1">ROUND(('TUSD BE'!$AM$31+'TUSD BF'!$AM$31+'TUSD CVA'!$AM$31)*(1-CUSTOS!$M$38),2)</f>
        <v>673.36</v>
      </c>
      <c r="S13" s="45">
        <f>ROUND(('TE BE'!$AB$21+'TE BF'!$AB$21+'TE CVA'!$AB$21)*(1-CUSTOS!$M$38),2)</f>
        <v>286.58</v>
      </c>
      <c r="T13" s="45">
        <v>0</v>
      </c>
      <c r="U13" s="45">
        <f ca="1">ROUND('TUSD BE'!$AM$31*(1-CUSTOS!$M$38),2)</f>
        <v>651.25</v>
      </c>
      <c r="V13" s="45">
        <f>ROUND('TE BE'!$AB$21*(1-CUSTOS!$M$38),2)</f>
        <v>271.70999999999998</v>
      </c>
    </row>
    <row r="14" spans="1:22" ht="11.25" customHeight="1" x14ac:dyDescent="0.25">
      <c r="A14" s="135"/>
      <c r="B14" s="135"/>
      <c r="C14" s="135"/>
      <c r="D14" s="92" t="s">
        <v>927</v>
      </c>
      <c r="E14" s="45">
        <v>0</v>
      </c>
      <c r="F14" s="45">
        <f ca="1">ROUND('TUSD BE'!$AM$14+'TUSD BF'!$AM$14+'TUSD CVA'!$AM$14,2)</f>
        <v>22.27</v>
      </c>
      <c r="G14" s="45">
        <v>0</v>
      </c>
      <c r="H14" s="45">
        <v>0</v>
      </c>
      <c r="I14" s="45">
        <f ca="1">ROUND('TUSD BE'!$AM$14,2)</f>
        <v>21.73</v>
      </c>
      <c r="J14" s="45">
        <v>0</v>
      </c>
      <c r="L14" s="132"/>
      <c r="M14" s="133"/>
      <c r="N14" s="133"/>
      <c r="O14" s="133"/>
      <c r="P14" s="92" t="s">
        <v>927</v>
      </c>
      <c r="Q14" s="45">
        <v>0</v>
      </c>
      <c r="R14" s="45">
        <f ca="1">ROUND(('TUSD BE'!$AM$32+'TUSD BF'!$AM$32+'TUSD CVA'!$AM$32)*(1-CUSTOS!$M$38),2)</f>
        <v>340.8</v>
      </c>
      <c r="S14" s="45">
        <f>ROUND(('TE BE'!$AB$22+'TE BF'!$AB$22+'TE CVA'!$AB$22)*(1-CUSTOS!$M$38),2)</f>
        <v>286.58</v>
      </c>
      <c r="T14" s="45">
        <v>0</v>
      </c>
      <c r="U14" s="45">
        <f ca="1">ROUND('TUSD BE'!$AM$32*(1-CUSTOS!$M$38),2)</f>
        <v>313.89</v>
      </c>
      <c r="V14" s="45">
        <f>ROUND('TE BE'!$AB$22*(1-CUSTOS!$M$38),2)</f>
        <v>271.70999999999998</v>
      </c>
    </row>
    <row r="15" spans="1:22" ht="11.25" customHeight="1" x14ac:dyDescent="0.25">
      <c r="A15" s="135"/>
      <c r="B15" s="92" t="s">
        <v>59</v>
      </c>
      <c r="C15" s="92" t="s">
        <v>25</v>
      </c>
      <c r="D15" s="92" t="s">
        <v>929</v>
      </c>
      <c r="E15" s="45">
        <f ca="1">ROUND('TUSD BE'!$AM$9+'TUSD BF'!$AM$9+'TUSD CVA'!$AM$9,2)</f>
        <v>11.8</v>
      </c>
      <c r="F15" s="45">
        <v>0</v>
      </c>
      <c r="G15" s="45">
        <v>0</v>
      </c>
      <c r="H15" s="45">
        <f ca="1">ROUND('TUSD BE'!$AM$9,2)</f>
        <v>12.16</v>
      </c>
      <c r="I15" s="45">
        <v>0</v>
      </c>
      <c r="J15" s="45">
        <v>0</v>
      </c>
      <c r="L15" s="132"/>
      <c r="M15" s="92" t="s">
        <v>935</v>
      </c>
      <c r="N15" s="92" t="s">
        <v>938</v>
      </c>
      <c r="O15" s="92" t="s">
        <v>939</v>
      </c>
      <c r="P15" s="92" t="s">
        <v>929</v>
      </c>
      <c r="Q15" s="45">
        <v>0</v>
      </c>
      <c r="R15" s="45">
        <f ca="1">ROUND(('TUSD BE'!$AM$42+'TUSD BF'!$AM$42+'TUSD CVA'!$AM$42)*(1-CUSTOS!$M$38),2)</f>
        <v>408.71</v>
      </c>
      <c r="S15" s="45">
        <f>ROUND(('TE BE'!$AB$32+'TE BF'!$AB$32+'TE CVA'!$AB$32)*(1-CUSTOS!$M$38),2)</f>
        <v>300.76</v>
      </c>
      <c r="T15" s="45">
        <v>0</v>
      </c>
      <c r="U15" s="45">
        <f ca="1">ROUND(('TUSD BE'!$AM$42)*(1-CUSTOS!$M$38),2)</f>
        <v>382.79</v>
      </c>
      <c r="V15" s="45">
        <f>ROUND(('TE BE'!$AB$32)*(1-CUSTOS!$M$38),2)</f>
        <v>285.45999999999998</v>
      </c>
    </row>
    <row r="16" spans="1:22" ht="11.25" customHeight="1" x14ac:dyDescent="0.25">
      <c r="L16" s="132"/>
      <c r="M16" s="92" t="s">
        <v>937</v>
      </c>
      <c r="N16" s="92" t="s">
        <v>938</v>
      </c>
      <c r="O16" s="92" t="s">
        <v>939</v>
      </c>
      <c r="P16" s="92" t="s">
        <v>929</v>
      </c>
      <c r="Q16" s="45">
        <v>0</v>
      </c>
      <c r="R16" s="45">
        <f ca="1">ROUND(('TUSD BE'!$AM$33+'TUSD BF'!$AM$33+'TUSD CVA'!$AM$33)*(1-CUSTOS!$M$38),2)</f>
        <v>408.71</v>
      </c>
      <c r="S16" s="45">
        <f>ROUND(('TE BE'!$AB$23+'TE BF'!$AB$23+'TE CVA'!$AB$23)*(1-CUSTOS!$M$38),2)</f>
        <v>300.76</v>
      </c>
      <c r="T16" s="45">
        <v>0</v>
      </c>
      <c r="U16" s="45">
        <f ca="1">ROUND(('TUSD BE'!$AM$33)*(1-CUSTOS!$M$38),2)</f>
        <v>382.79</v>
      </c>
      <c r="V16" s="45">
        <f>ROUND(('TE BE'!$AB$23)*(1-CUSTOS!$M$38),2)</f>
        <v>285.45999999999998</v>
      </c>
    </row>
    <row r="17" spans="12:22" ht="11.25" customHeight="1" x14ac:dyDescent="0.25">
      <c r="L17" s="132"/>
      <c r="M17" s="131" t="s">
        <v>932</v>
      </c>
      <c r="N17" s="131" t="s">
        <v>938</v>
      </c>
      <c r="O17" s="131" t="s">
        <v>940</v>
      </c>
      <c r="P17" s="92" t="s">
        <v>926</v>
      </c>
      <c r="Q17" s="45">
        <v>0</v>
      </c>
      <c r="R17" s="45">
        <f ca="1">ROUND(('TUSD BE'!$AM$34+'TUSD BF'!$AM$34+'TUSD CVA'!$AM$34)*(1-CUSTOS!$M$39),2)</f>
        <v>1005.91</v>
      </c>
      <c r="S17" s="45">
        <f>ROUND(('TE BE'!$AB$24+'TE BF'!$AB$24+'TE CVA'!$AB$24)*(1-CUSTOS!$M$39),2)</f>
        <v>456.72</v>
      </c>
      <c r="T17" s="45">
        <v>0</v>
      </c>
      <c r="U17" s="45">
        <f ca="1">ROUND('TUSD BE'!$AM$34*(1-CUSTOS!$M$39),2)</f>
        <v>988.61</v>
      </c>
      <c r="V17" s="45">
        <f>ROUND('TE BE'!$AB$24*(1-CUSTOS!$M$39),2)</f>
        <v>436.69</v>
      </c>
    </row>
    <row r="18" spans="12:22" ht="11.25" customHeight="1" x14ac:dyDescent="0.25">
      <c r="L18" s="132"/>
      <c r="M18" s="132"/>
      <c r="N18" s="132"/>
      <c r="O18" s="132"/>
      <c r="P18" s="92" t="s">
        <v>934</v>
      </c>
      <c r="Q18" s="45">
        <v>0</v>
      </c>
      <c r="R18" s="45">
        <f ca="1">ROUND(('TUSD BE'!$AM$35+'TUSD BF'!$AM$35+'TUSD CVA'!$AM$35)*(1-CUSTOS!$M$39),2)</f>
        <v>673.36</v>
      </c>
      <c r="S18" s="45">
        <f>ROUND(('TE BE'!$AB$25+'TE BF'!$AB$25+'TE CVA'!$AB$25)*(1-CUSTOS!$M$39),2)</f>
        <v>286.58</v>
      </c>
      <c r="T18" s="45">
        <v>0</v>
      </c>
      <c r="U18" s="45">
        <f ca="1">ROUND('TUSD BE'!$AM$35*(1-CUSTOS!$M$39),2)</f>
        <v>651.25</v>
      </c>
      <c r="V18" s="45">
        <f>ROUND('TE BE'!$AB$25*(1-CUSTOS!$M$39),2)</f>
        <v>271.70999999999998</v>
      </c>
    </row>
    <row r="19" spans="12:22" ht="11.25" customHeight="1" x14ac:dyDescent="0.25">
      <c r="L19" s="132"/>
      <c r="M19" s="133"/>
      <c r="N19" s="133"/>
      <c r="O19" s="133"/>
      <c r="P19" s="92" t="s">
        <v>927</v>
      </c>
      <c r="Q19" s="45">
        <v>0</v>
      </c>
      <c r="R19" s="45">
        <f ca="1">ROUND(('TUSD BE'!$AM$36+'TUSD BF'!$AM$36+'TUSD CVA'!$AM$36)*(1-CUSTOS!$M$39),2)</f>
        <v>340.8</v>
      </c>
      <c r="S19" s="45">
        <f>ROUND(('TE BE'!$AB$26+'TE BF'!$AB$26+'TE CVA'!$AB$26)*(1-CUSTOS!$M$39),2)</f>
        <v>286.58</v>
      </c>
      <c r="T19" s="45">
        <v>0</v>
      </c>
      <c r="U19" s="45">
        <f ca="1">ROUND('TUSD BE'!$AM$36*(1-CUSTOS!$M$39),2)</f>
        <v>313.89</v>
      </c>
      <c r="V19" s="45">
        <f>ROUND('TE BE'!$AB$26*(1-CUSTOS!$M$39),2)</f>
        <v>271.70999999999998</v>
      </c>
    </row>
    <row r="20" spans="12:22" ht="11.25" customHeight="1" x14ac:dyDescent="0.25">
      <c r="L20" s="132"/>
      <c r="M20" s="92" t="s">
        <v>935</v>
      </c>
      <c r="N20" s="92" t="s">
        <v>938</v>
      </c>
      <c r="O20" s="92" t="s">
        <v>940</v>
      </c>
      <c r="P20" s="92" t="s">
        <v>929</v>
      </c>
      <c r="Q20" s="45">
        <v>0</v>
      </c>
      <c r="R20" s="45">
        <f ca="1">ROUND(('TUSD BE'!$AM$42+'TUSD BF'!$AM$42+'TUSD CVA'!$AM$42)*(1-CUSTOS!$M$39),2)</f>
        <v>408.71</v>
      </c>
      <c r="S20" s="45">
        <f>ROUND(('TE BE'!$AB$32+'TE BF'!$AB$32+'TE CVA'!$AB$32)*(1-CUSTOS!$M$39),2)</f>
        <v>300.76</v>
      </c>
      <c r="T20" s="45">
        <v>0</v>
      </c>
      <c r="U20" s="45">
        <f ca="1">ROUND(('TUSD BE'!$AM$42)*(1-CUSTOS!$M$39),2)</f>
        <v>382.79</v>
      </c>
      <c r="V20" s="45">
        <f>ROUND(('TE BE'!$AB$32)*(1-CUSTOS!$M$39),2)</f>
        <v>285.45999999999998</v>
      </c>
    </row>
    <row r="21" spans="12:22" ht="11.25" customHeight="1" x14ac:dyDescent="0.25">
      <c r="L21" s="132"/>
      <c r="M21" s="92" t="s">
        <v>937</v>
      </c>
      <c r="N21" s="92" t="s">
        <v>938</v>
      </c>
      <c r="O21" s="92" t="s">
        <v>940</v>
      </c>
      <c r="P21" s="92" t="s">
        <v>929</v>
      </c>
      <c r="Q21" s="45">
        <v>0</v>
      </c>
      <c r="R21" s="45">
        <f ca="1">ROUND(('TUSD BE'!$AM$33+'TUSD BF'!$AM$33+'TUSD CVA'!$AM$33)*(1-CUSTOS!$M$39),2)</f>
        <v>408.71</v>
      </c>
      <c r="S21" s="45">
        <f>ROUND(('TE BE'!$AB$23+'TE BF'!$AB$23+'TE CVA'!$AB$23)*(1-CUSTOS!$M$39),2)</f>
        <v>300.76</v>
      </c>
      <c r="T21" s="45">
        <v>0</v>
      </c>
      <c r="U21" s="45">
        <f ca="1">ROUND(('TUSD BE'!$AM$33)*(1-CUSTOS!$M$39),2)</f>
        <v>382.79</v>
      </c>
      <c r="V21" s="45">
        <f>ROUND(('TE BE'!$AB$23)*(1-CUSTOS!$M$39),2)</f>
        <v>285.45999999999998</v>
      </c>
    </row>
    <row r="22" spans="12:22" ht="11.25" customHeight="1" x14ac:dyDescent="0.25">
      <c r="L22" s="132"/>
      <c r="M22" s="131" t="s">
        <v>932</v>
      </c>
      <c r="N22" s="131" t="s">
        <v>938</v>
      </c>
      <c r="O22" s="131" t="s">
        <v>941</v>
      </c>
      <c r="P22" s="92" t="s">
        <v>926</v>
      </c>
      <c r="Q22" s="45">
        <v>0</v>
      </c>
      <c r="R22" s="45">
        <f ca="1">ROUND(('TUSD BE'!$AM$38+'TUSD BF'!$AM$38+'TUSD CVA'!$AM$38)*(1-CUSTOS!$M$40),2)</f>
        <v>984.51</v>
      </c>
      <c r="S22" s="45">
        <f>ROUND(('TE BE'!$AB$28+'TE BF'!$AB$28+'TE CVA'!$AB$28)*(1-CUSTOS!$M$40),2)</f>
        <v>447.01</v>
      </c>
      <c r="T22" s="45">
        <v>0</v>
      </c>
      <c r="U22" s="45">
        <f ca="1">ROUND('TUSD BE'!$AM$38*(1-CUSTOS!$M$40),2)</f>
        <v>967.58</v>
      </c>
      <c r="V22" s="45">
        <f>ROUND('TE BE'!$AB$28*(1-CUSTOS!$M$40),2)</f>
        <v>427.4</v>
      </c>
    </row>
    <row r="23" spans="12:22" ht="11.25" customHeight="1" x14ac:dyDescent="0.25">
      <c r="L23" s="132"/>
      <c r="M23" s="132"/>
      <c r="N23" s="132"/>
      <c r="O23" s="132"/>
      <c r="P23" s="92" t="s">
        <v>934</v>
      </c>
      <c r="Q23" s="45">
        <v>0</v>
      </c>
      <c r="R23" s="45">
        <f ca="1">ROUND(('TUSD BE'!$AM$39+'TUSD BF'!$AM$39+'TUSD CVA'!$AM$39)*(1-CUSTOS!$M$40),2)</f>
        <v>659.03</v>
      </c>
      <c r="S23" s="45">
        <f>ROUND(('TE BE'!$AB$29+'TE BF'!$AB$29+'TE CVA'!$AB$29)*(1-CUSTOS!$M$40),2)</f>
        <v>280.48</v>
      </c>
      <c r="T23" s="45">
        <v>0</v>
      </c>
      <c r="U23" s="45">
        <f ca="1">ROUND('TUSD BE'!$AM$39*(1-CUSTOS!$M$40),2)</f>
        <v>637.39</v>
      </c>
      <c r="V23" s="45">
        <f>ROUND('TE BE'!$AB$29*(1-CUSTOS!$M$40),2)</f>
        <v>265.93</v>
      </c>
    </row>
    <row r="24" spans="12:22" ht="11.25" customHeight="1" x14ac:dyDescent="0.25">
      <c r="L24" s="132"/>
      <c r="M24" s="133"/>
      <c r="N24" s="133"/>
      <c r="O24" s="133"/>
      <c r="P24" s="92" t="s">
        <v>927</v>
      </c>
      <c r="Q24" s="45">
        <v>0</v>
      </c>
      <c r="R24" s="45">
        <f ca="1">ROUND(('TUSD BE'!$AM$40+'TUSD BF'!$AM$40+'TUSD CVA'!$AM$40)*(1-CUSTOS!$M$40),2)</f>
        <v>333.55</v>
      </c>
      <c r="S24" s="45">
        <f>ROUND(('TE BE'!$AB$30+'TE BF'!$AB$30+'TE CVA'!$AB$30)*(1-CUSTOS!$M$40),2)</f>
        <v>280.48</v>
      </c>
      <c r="T24" s="45">
        <v>0</v>
      </c>
      <c r="U24" s="45">
        <f ca="1">ROUND('TUSD BE'!$AM$40*(1-CUSTOS!$M$40),2)</f>
        <v>307.20999999999998</v>
      </c>
      <c r="V24" s="45">
        <f>ROUND('TE BE'!$AB$30*(1-CUSTOS!$M$40),2)</f>
        <v>265.93</v>
      </c>
    </row>
    <row r="25" spans="12:22" ht="11.25" customHeight="1" x14ac:dyDescent="0.25">
      <c r="L25" s="132"/>
      <c r="M25" s="92" t="s">
        <v>935</v>
      </c>
      <c r="N25" s="92" t="s">
        <v>938</v>
      </c>
      <c r="O25" s="92" t="s">
        <v>941</v>
      </c>
      <c r="P25" s="92" t="s">
        <v>929</v>
      </c>
      <c r="Q25" s="45">
        <v>0</v>
      </c>
      <c r="R25" s="45">
        <f ca="1">ROUND(('TUSD BE'!$AM$42+'TUSD BF'!$AM$42+'TUSD CVA'!$AM$42)*(1-CUSTOS!$M$40),2)</f>
        <v>400.02</v>
      </c>
      <c r="S25" s="45">
        <f>ROUND(('TE BE'!$AB$32+'TE BF'!$AB$32+'TE CVA'!$AB$32)*(1-CUSTOS!$M$40),2)</f>
        <v>294.36</v>
      </c>
      <c r="T25" s="45">
        <v>0</v>
      </c>
      <c r="U25" s="45">
        <f ca="1">ROUND(('TUSD BE'!$AM$42)*(1-CUSTOS!$M$40),2)</f>
        <v>374.64</v>
      </c>
      <c r="V25" s="45">
        <f>ROUND(('TE BE'!$AB$32)*(1-CUSTOS!$M$40),2)</f>
        <v>279.38</v>
      </c>
    </row>
    <row r="26" spans="12:22" ht="11.25" customHeight="1" x14ac:dyDescent="0.25">
      <c r="L26" s="133"/>
      <c r="M26" s="92" t="s">
        <v>937</v>
      </c>
      <c r="N26" s="92" t="s">
        <v>938</v>
      </c>
      <c r="O26" s="92" t="s">
        <v>941</v>
      </c>
      <c r="P26" s="92" t="s">
        <v>929</v>
      </c>
      <c r="Q26" s="45">
        <v>0</v>
      </c>
      <c r="R26" s="45">
        <f ca="1">ROUND(('TUSD BE'!$AM$33+'TUSD BF'!$AM$33+'TUSD CVA'!$AM$33)*(1-CUSTOS!$M$40),2)</f>
        <v>400.02</v>
      </c>
      <c r="S26" s="45">
        <f>ROUND(('TE BE'!$AB$23+'TE BF'!$AB$23+'TE CVA'!$AB$23)*(1-CUSTOS!$M$40),2)</f>
        <v>294.36</v>
      </c>
      <c r="T26" s="45">
        <v>0</v>
      </c>
      <c r="U26" s="45">
        <f ca="1">ROUND(('TUSD BE'!$AM$33)*(1-CUSTOS!$M$40),2)</f>
        <v>374.64</v>
      </c>
      <c r="V26" s="45">
        <f>ROUND(('TE BE'!$AB$23)*(1-CUSTOS!$M$40),2)</f>
        <v>279.38</v>
      </c>
    </row>
    <row r="27" spans="12:22" ht="11.25" customHeight="1" x14ac:dyDescent="0.25">
      <c r="L27" s="131" t="s">
        <v>37</v>
      </c>
      <c r="M27" s="131" t="s">
        <v>932</v>
      </c>
      <c r="N27" s="131" t="s">
        <v>929</v>
      </c>
      <c r="O27" s="131" t="s">
        <v>929</v>
      </c>
      <c r="P27" s="92" t="s">
        <v>926</v>
      </c>
      <c r="Q27" s="45">
        <v>0</v>
      </c>
      <c r="R27" s="45">
        <f ca="1">ROUND(('TUSD BE'!$AM$45+'TUSD BF'!$AM$45+'TUSD CVA'!$AM$45)*(1-CUSTOS!$M$31),2)</f>
        <v>1070.1199999999999</v>
      </c>
      <c r="S27" s="45">
        <f>ROUND(('TE BE'!$AB$35+'TE BF'!$AB$35+'TE CVA'!$AB$35)*(1-CUSTOS!$M$31),2)</f>
        <v>485.88</v>
      </c>
      <c r="T27" s="45">
        <v>0</v>
      </c>
      <c r="U27" s="45">
        <f ca="1">ROUND('TUSD BE'!$AM$45*(1-CUSTOS!$M$31),2)</f>
        <v>1051.72</v>
      </c>
      <c r="V27" s="45">
        <f>ROUND('TE BE'!$AB$35*(1-CUSTOS!$M$31),2)</f>
        <v>464.57</v>
      </c>
    </row>
    <row r="28" spans="12:22" ht="11.25" customHeight="1" x14ac:dyDescent="0.25">
      <c r="L28" s="132"/>
      <c r="M28" s="132"/>
      <c r="N28" s="132"/>
      <c r="O28" s="132"/>
      <c r="P28" s="92" t="s">
        <v>934</v>
      </c>
      <c r="Q28" s="45">
        <v>0</v>
      </c>
      <c r="R28" s="45">
        <f ca="1">ROUND(('TUSD BE'!$AM$46+'TUSD BF'!$AM$46+'TUSD CVA'!$AM$46)*(1-CUSTOS!$M$31),2)</f>
        <v>716.34</v>
      </c>
      <c r="S28" s="45">
        <f>ROUND(('TE BE'!$AB$36+'TE BF'!$AB$36+'TE CVA'!$AB$36)*(1-CUSTOS!$M$31),2)</f>
        <v>304.87</v>
      </c>
      <c r="T28" s="45">
        <v>0</v>
      </c>
      <c r="U28" s="45">
        <f ca="1">ROUND('TUSD BE'!$AM$46*(1-CUSTOS!$M$31),2)</f>
        <v>692.82</v>
      </c>
      <c r="V28" s="45">
        <f>ROUND('TE BE'!$AB$36*(1-CUSTOS!$M$31),2)</f>
        <v>289.05</v>
      </c>
    </row>
    <row r="29" spans="12:22" ht="11.25" customHeight="1" x14ac:dyDescent="0.25">
      <c r="L29" s="132"/>
      <c r="M29" s="133"/>
      <c r="N29" s="133"/>
      <c r="O29" s="133"/>
      <c r="P29" s="92" t="s">
        <v>927</v>
      </c>
      <c r="Q29" s="45">
        <v>0</v>
      </c>
      <c r="R29" s="45">
        <f ca="1">ROUND(('TUSD BE'!$AM$47+'TUSD BF'!$AM$47+'TUSD CVA'!$AM$47)*(1-CUSTOS!$M$31),2)</f>
        <v>362.55</v>
      </c>
      <c r="S29" s="45">
        <f>ROUND(('TE BE'!$AB$37+'TE BF'!$AB$37+'TE CVA'!$AB$37)*(1-CUSTOS!$M$31),2)</f>
        <v>304.87</v>
      </c>
      <c r="T29" s="45">
        <v>0</v>
      </c>
      <c r="U29" s="45">
        <f ca="1">ROUND('TUSD BE'!$AM$47*(1-CUSTOS!$M$31),2)</f>
        <v>333.92</v>
      </c>
      <c r="V29" s="45">
        <f>ROUND('TE BE'!$AB$37*(1-CUSTOS!$M$31),2)</f>
        <v>289.05</v>
      </c>
    </row>
    <row r="30" spans="12:22" ht="11.25" customHeight="1" x14ac:dyDescent="0.25">
      <c r="L30" s="132"/>
      <c r="M30" s="92" t="s">
        <v>935</v>
      </c>
      <c r="N30" s="92" t="s">
        <v>929</v>
      </c>
      <c r="O30" s="92" t="s">
        <v>929</v>
      </c>
      <c r="P30" s="92" t="s">
        <v>929</v>
      </c>
      <c r="Q30" s="45">
        <v>0</v>
      </c>
      <c r="R30" s="45">
        <f ca="1">ROUND(('TUSD BE'!$AM$49+'TUSD BF'!$AM$49+'TUSD CVA'!$AM$49)*(1-CUSTOS!$M$31),2)</f>
        <v>434.8</v>
      </c>
      <c r="S30" s="45">
        <f>ROUND(('TE BE'!$AB$39+'TE BF'!$AB$39+'TE CVA'!$AB$39)*(1-CUSTOS!$M$31),2)</f>
        <v>319.95</v>
      </c>
      <c r="T30" s="45">
        <v>0</v>
      </c>
      <c r="U30" s="45">
        <f ca="1">ROUND(('TUSD BE'!$AM$49)*(1-CUSTOS!$M$31),2)</f>
        <v>407.22</v>
      </c>
      <c r="V30" s="45">
        <f>ROUND(('TE BE'!$AB$39)*(1-CUSTOS!$M$31),2)</f>
        <v>303.68</v>
      </c>
    </row>
    <row r="31" spans="12:22" ht="11.25" customHeight="1" x14ac:dyDescent="0.25">
      <c r="L31" s="133"/>
      <c r="M31" s="92" t="s">
        <v>937</v>
      </c>
      <c r="N31" s="92" t="s">
        <v>929</v>
      </c>
      <c r="O31" s="92" t="s">
        <v>929</v>
      </c>
      <c r="P31" s="92" t="s">
        <v>929</v>
      </c>
      <c r="Q31" s="45">
        <v>0</v>
      </c>
      <c r="R31" s="45">
        <f ca="1">ROUND(('TUSD BE'!$AM$48+'TUSD BF'!$AM$48+'TUSD CVA'!$AM$48)*(1-CUSTOS!$M$31),2)</f>
        <v>434.8</v>
      </c>
      <c r="S31" s="45">
        <f>ROUND(('TE BE'!$AB$38+'TE BF'!$AB$38+'TE CVA'!$AB$38)*(1-CUSTOS!$M$31),2)</f>
        <v>319.95</v>
      </c>
      <c r="T31" s="45">
        <v>0</v>
      </c>
      <c r="U31" s="45">
        <f ca="1">ROUND(('TUSD BE'!$AM$48)*(1-CUSTOS!$M$31),2)</f>
        <v>407.22</v>
      </c>
      <c r="V31" s="45">
        <f>ROUND(('TE BE'!$AB$38)*(1-CUSTOS!$M$31),2)</f>
        <v>303.68</v>
      </c>
    </row>
    <row r="32" spans="12:22" ht="11.25" customHeight="1" x14ac:dyDescent="0.25">
      <c r="L32" s="131" t="s">
        <v>46</v>
      </c>
      <c r="M32" s="131" t="s">
        <v>937</v>
      </c>
      <c r="N32" s="131" t="s">
        <v>942</v>
      </c>
      <c r="O32" s="92" t="s">
        <v>943</v>
      </c>
      <c r="P32" s="92" t="s">
        <v>929</v>
      </c>
      <c r="Q32" s="45">
        <v>0</v>
      </c>
      <c r="R32" s="45">
        <f ca="1">ROUND(('TUSD BE'!$AM$50+'TUSD BF'!$AM$50+'TUSD CVA'!$AM$50),2)</f>
        <v>239.14</v>
      </c>
      <c r="S32" s="45">
        <f>ROUND(('TE BE'!$AB$40+'TE BF'!$AB$40+'TE CVA'!$AB$40),2)</f>
        <v>175.97</v>
      </c>
      <c r="T32" s="45">
        <v>0</v>
      </c>
      <c r="U32" s="45">
        <f ca="1">ROUND(('TUSD BE'!$AM$50),2)</f>
        <v>223.97</v>
      </c>
      <c r="V32" s="45">
        <f>ROUND(('TE BE'!$AB$40),2)</f>
        <v>167.02</v>
      </c>
    </row>
    <row r="33" spans="12:22" ht="11.25" customHeight="1" x14ac:dyDescent="0.25">
      <c r="L33" s="133"/>
      <c r="M33" s="133"/>
      <c r="N33" s="133"/>
      <c r="O33" s="92" t="s">
        <v>944</v>
      </c>
      <c r="P33" s="92" t="s">
        <v>929</v>
      </c>
      <c r="Q33" s="45">
        <v>0</v>
      </c>
      <c r="R33" s="45">
        <f ca="1">ROUND(('TUSD BE'!$AM$51+'TUSD BF'!$AM$51+'TUSD CVA'!$AM$51),2)</f>
        <v>260.88</v>
      </c>
      <c r="S33" s="45">
        <f>ROUND(('TE BE'!$AB$41+'TE BF'!$AB$41+'TE CVA'!$AB$41),2)</f>
        <v>191.97</v>
      </c>
      <c r="T33" s="45">
        <v>0</v>
      </c>
      <c r="U33" s="45">
        <f ca="1">ROUND(('TUSD BE'!$AM$51),2)</f>
        <v>244.33</v>
      </c>
      <c r="V33" s="45">
        <f>ROUND(('TE BE'!$AB$41),2)</f>
        <v>182.21</v>
      </c>
    </row>
    <row r="34" spans="12:22" ht="11.25" customHeight="1" x14ac:dyDescent="0.25">
      <c r="L34" s="131" t="s">
        <v>88</v>
      </c>
      <c r="M34" s="131" t="s">
        <v>61</v>
      </c>
      <c r="N34" s="92" t="s">
        <v>89</v>
      </c>
      <c r="O34" s="92" t="s">
        <v>929</v>
      </c>
      <c r="P34" s="92" t="s">
        <v>929</v>
      </c>
      <c r="Q34" s="45">
        <f ca="1">ROUND(('TUSD BE'!$AM$15+'TUSD BF'!$AM$15+'TUSD CVA'!$AM$15),2)</f>
        <v>1.7</v>
      </c>
      <c r="R34" s="45">
        <v>0</v>
      </c>
      <c r="S34" s="45">
        <v>0</v>
      </c>
      <c r="T34" s="45">
        <f ca="1">ROUND(('TUSD BE'!$AM$15),2)</f>
        <v>1.75</v>
      </c>
      <c r="U34" s="45">
        <v>0</v>
      </c>
      <c r="V34" s="45">
        <v>0</v>
      </c>
    </row>
    <row r="35" spans="12:22" ht="11.25" customHeight="1" x14ac:dyDescent="0.25">
      <c r="L35" s="133"/>
      <c r="M35" s="133"/>
      <c r="N35" s="92" t="s">
        <v>90</v>
      </c>
      <c r="O35" s="92" t="s">
        <v>929</v>
      </c>
      <c r="P35" s="92" t="s">
        <v>929</v>
      </c>
      <c r="Q35" s="45">
        <f ca="1">ROUND(('TUSD BE'!$AM$16+'TUSD BF'!$AM$16+'TUSD CVA'!$AM$16),2)</f>
        <v>15.21</v>
      </c>
      <c r="R35" s="45">
        <v>0</v>
      </c>
      <c r="S35" s="45">
        <v>0</v>
      </c>
      <c r="T35" s="45">
        <f ca="1">ROUND(('TUSD BE'!$AM$16),2)</f>
        <v>15.67</v>
      </c>
      <c r="U35" s="45">
        <v>0</v>
      </c>
      <c r="V35" s="45">
        <v>0</v>
      </c>
    </row>
  </sheetData>
  <mergeCells count="51"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L27:L31"/>
    <mergeCell ref="L32:L33"/>
    <mergeCell ref="L34:L35"/>
    <mergeCell ref="M32:M33"/>
    <mergeCell ref="M34:M35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O5:O7"/>
    <mergeCell ref="O12:O14"/>
    <mergeCell ref="O17:O19"/>
    <mergeCell ref="O22:O24"/>
    <mergeCell ref="O27:O29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1455-6FED-413F-A94F-D15EDF0878D5}">
  <dimension ref="A1:AN1261"/>
  <sheetViews>
    <sheetView showGridLines="0" workbookViewId="0">
      <selection sqref="A1:O1261 Q1:AJ13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27.85546875" style="4" bestFit="1" customWidth="1"/>
    <col min="8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10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7.855468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74" t="s">
        <v>8</v>
      </c>
      <c r="J1" s="73" t="s">
        <v>892</v>
      </c>
      <c r="K1" s="73" t="s">
        <v>893</v>
      </c>
      <c r="L1" s="73" t="s">
        <v>894</v>
      </c>
      <c r="M1" s="73" t="s">
        <v>895</v>
      </c>
      <c r="N1" s="73" t="s">
        <v>896</v>
      </c>
      <c r="O1" s="73" t="s">
        <v>897</v>
      </c>
      <c r="P1" s="72"/>
      <c r="Q1" s="129" t="s">
        <v>898</v>
      </c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L1" s="52" t="s">
        <v>919</v>
      </c>
      <c r="AM1" s="52" t="s">
        <v>67</v>
      </c>
      <c r="AN1" s="52" t="s">
        <v>920</v>
      </c>
    </row>
    <row r="2" spans="1:40" ht="11.25" customHeight="1" x14ac:dyDescent="0.2">
      <c r="A2" s="53" t="s">
        <v>21</v>
      </c>
      <c r="B2" s="53" t="s">
        <v>39</v>
      </c>
      <c r="C2" s="53" t="s">
        <v>42</v>
      </c>
      <c r="D2" s="53" t="s">
        <v>41</v>
      </c>
      <c r="E2" s="53" t="s">
        <v>25</v>
      </c>
      <c r="F2" s="53" t="s">
        <v>25</v>
      </c>
      <c r="G2" s="53" t="s">
        <v>25</v>
      </c>
      <c r="H2" s="53" t="s">
        <v>35</v>
      </c>
      <c r="I2" s="75">
        <v>44440</v>
      </c>
      <c r="J2" s="76">
        <f ca="1">EFEITO!$J$2*EFEITO!$Y$2</f>
        <v>7789.666275630635</v>
      </c>
      <c r="K2" s="76">
        <f ca="1">EFEITO!$L$2*EFEITO!$Z$2</f>
        <v>17291.21137124607</v>
      </c>
      <c r="L2" s="76">
        <f>EFEITO!$N$2*EFEITO!$AA$2</f>
        <v>35620.128733372978</v>
      </c>
      <c r="M2" s="76">
        <f ca="1">$J$2-EFEITO!$K$2*EFEITO!$Y$2</f>
        <v>0</v>
      </c>
      <c r="N2" s="76">
        <f ca="1">$K$2-EFEITO!$M$2*EFEITO!$Z$2</f>
        <v>0</v>
      </c>
      <c r="O2" s="76">
        <f>$L$2-EFEITO!$O$2*EFEITO!$AA$2</f>
        <v>0</v>
      </c>
      <c r="P2" s="57"/>
      <c r="Q2" s="44" t="s">
        <v>70</v>
      </c>
      <c r="R2" s="44" t="s">
        <v>900</v>
      </c>
      <c r="S2" s="44" t="s">
        <v>901</v>
      </c>
      <c r="T2" s="44" t="s">
        <v>902</v>
      </c>
      <c r="U2" s="44" t="s">
        <v>903</v>
      </c>
      <c r="V2" s="44" t="s">
        <v>904</v>
      </c>
      <c r="W2" s="44" t="s">
        <v>905</v>
      </c>
      <c r="X2" s="77" t="s">
        <v>906</v>
      </c>
      <c r="Y2" s="77" t="s">
        <v>907</v>
      </c>
      <c r="Z2" s="77" t="s">
        <v>908</v>
      </c>
      <c r="AA2" s="77" t="s">
        <v>909</v>
      </c>
      <c r="AB2" s="77" t="s">
        <v>910</v>
      </c>
      <c r="AC2" s="77" t="s">
        <v>911</v>
      </c>
      <c r="AD2" s="77" t="s">
        <v>912</v>
      </c>
      <c r="AE2" s="77" t="s">
        <v>913</v>
      </c>
      <c r="AF2" s="77" t="s">
        <v>914</v>
      </c>
      <c r="AG2" s="77" t="s">
        <v>915</v>
      </c>
      <c r="AH2" s="77" t="s">
        <v>916</v>
      </c>
      <c r="AI2" s="77" t="s">
        <v>917</v>
      </c>
      <c r="AJ2" s="77" t="s">
        <v>918</v>
      </c>
      <c r="AL2" s="53"/>
      <c r="AM2" s="53"/>
      <c r="AN2" s="53"/>
    </row>
    <row r="3" spans="1:40" ht="11.25" customHeight="1" x14ac:dyDescent="0.2">
      <c r="A3" s="53" t="s">
        <v>28</v>
      </c>
      <c r="B3" s="53" t="s">
        <v>39</v>
      </c>
      <c r="C3" s="53" t="s">
        <v>42</v>
      </c>
      <c r="D3" s="53" t="s">
        <v>41</v>
      </c>
      <c r="E3" s="53" t="s">
        <v>25</v>
      </c>
      <c r="F3" s="53" t="s">
        <v>25</v>
      </c>
      <c r="G3" s="53" t="s">
        <v>25</v>
      </c>
      <c r="H3" s="53" t="s">
        <v>35</v>
      </c>
      <c r="I3" s="75">
        <v>44440</v>
      </c>
      <c r="J3" s="76">
        <f ca="1">EFEITO!$J$3*EFEITO!$Y$3</f>
        <v>698.13046809897196</v>
      </c>
      <c r="K3" s="76">
        <f ca="1">EFEITO!$L$3*EFEITO!$Z$3</f>
        <v>865.61872788943799</v>
      </c>
      <c r="L3" s="76">
        <f>EFEITO!$N$3*EFEITO!$AA$3</f>
        <v>1783.186259160185</v>
      </c>
      <c r="M3" s="76">
        <f ca="1">$J$3-EFEITO!$K$3*EFEITO!$Y$3</f>
        <v>0</v>
      </c>
      <c r="N3" s="76">
        <f ca="1">$K$3-EFEITO!$M$3*EFEITO!$Z$3</f>
        <v>0</v>
      </c>
      <c r="O3" s="76">
        <f>$L$3-EFEITO!$O$3*EFEITO!$AA$3</f>
        <v>0</v>
      </c>
      <c r="P3" s="57"/>
      <c r="Q3" s="76" t="s">
        <v>899</v>
      </c>
      <c r="R3" s="76">
        <f>SUMIF($B$2:$B$1261,$Q$3,$J$2:$J$1261)</f>
        <v>0</v>
      </c>
      <c r="S3" s="76">
        <f>SUMIF($B$2:$B$1261,$Q$3,$K$2:$K$1261)</f>
        <v>0</v>
      </c>
      <c r="T3" s="76">
        <f>SUMIF($B$2:$B$1261,$Q$3,$L$2:$L$1261)</f>
        <v>0</v>
      </c>
      <c r="U3" s="76">
        <f>SUMIF($B$2:$B$1261,$Q$3,$M$2:$M$1261)</f>
        <v>0</v>
      </c>
      <c r="V3" s="76">
        <f>SUMIF($B$2:$B$1261,$Q$3,$N$2:$N$1261)</f>
        <v>0</v>
      </c>
      <c r="W3" s="76">
        <f>SUMIF($B$2:$B$1261,$Q$3,$O$2:$O$1261)</f>
        <v>0</v>
      </c>
      <c r="X3" s="54">
        <f>$R$3-$U$3</f>
        <v>0</v>
      </c>
      <c r="Y3" s="54">
        <f>$S$3-$V$3</f>
        <v>0</v>
      </c>
      <c r="Z3" s="54">
        <f>$T$3-$W$3</f>
        <v>0</v>
      </c>
      <c r="AA3" s="54">
        <f>SUMIF(EFEITO!$B$2:$B$1261,$Q$3,EFEITO!$AE$2:$AE$1261)</f>
        <v>0</v>
      </c>
      <c r="AB3" s="54">
        <f>SUMIF(EFEITO!$B$2:$B$1261,$Q$3,EFEITO!$AF$2:$AF$1261)</f>
        <v>0</v>
      </c>
      <c r="AC3" s="54">
        <f>SUMIF(EFEITO!$B$2:$B$1261,$Q$3,EFEITO!$AG$2:$AH$1261)</f>
        <v>0</v>
      </c>
      <c r="AD3" s="54">
        <f>SUMIF(SUBSIDIO!$B$2:$B$1261,$Q$3,SUBSIDIO!$AD$2:$AD$1261)</f>
        <v>0</v>
      </c>
      <c r="AE3" s="54">
        <f>SUMIF(SUBSIDIO!$B$2:$B$1261,$Q$3,SUBSIDIO!$AE$2:$AE$1261)</f>
        <v>0</v>
      </c>
      <c r="AF3" s="54" t="str">
        <f>IF(ABS($X$3-$AA$3)&lt;0.01,"OK","ERRO")</f>
        <v>OK</v>
      </c>
      <c r="AG3" s="54" t="str">
        <f>IF(ABS($Y$3-$AB$3)&lt;0.01,"OK","ERRO")</f>
        <v>OK</v>
      </c>
      <c r="AH3" s="54" t="str">
        <f>IF(ABS($Z$3-$AC$3)&lt;0.01,"OK","ERRO")</f>
        <v>OK</v>
      </c>
      <c r="AI3" s="54" t="str">
        <f>IF(ABS($U$3-$AD$3)&lt;0.01,"OK","ERRO")</f>
        <v>OK</v>
      </c>
      <c r="AJ3" s="54" t="str">
        <f>IF(ABS(($V$3+$W$3)-$AE$3)&lt;0.01,"OK","ERRO")</f>
        <v>OK</v>
      </c>
    </row>
    <row r="4" spans="1:40" ht="11.25" customHeight="1" x14ac:dyDescent="0.2">
      <c r="A4" s="53" t="s">
        <v>21</v>
      </c>
      <c r="B4" s="53" t="s">
        <v>39</v>
      </c>
      <c r="C4" s="53" t="s">
        <v>42</v>
      </c>
      <c r="D4" s="53" t="s">
        <v>41</v>
      </c>
      <c r="E4" s="53" t="s">
        <v>25</v>
      </c>
      <c r="F4" s="53" t="s">
        <v>25</v>
      </c>
      <c r="G4" s="53" t="s">
        <v>25</v>
      </c>
      <c r="H4" s="53" t="s">
        <v>35</v>
      </c>
      <c r="I4" s="75">
        <v>44470</v>
      </c>
      <c r="J4" s="76">
        <f ca="1">EFEITO!$J$4*EFEITO!$Y$4</f>
        <v>8065.2440919854926</v>
      </c>
      <c r="K4" s="76">
        <f ca="1">EFEITO!$L$4*EFEITO!$Z$4</f>
        <v>20899.312685307363</v>
      </c>
      <c r="L4" s="76">
        <f>EFEITO!$N$4*EFEITO!$AA$4</f>
        <v>43052.866124093671</v>
      </c>
      <c r="M4" s="76">
        <f ca="1">$J$4-EFEITO!$K$4*EFEITO!$Y$4</f>
        <v>0</v>
      </c>
      <c r="N4" s="76">
        <f ca="1">$K$4-EFEITO!$M$4*EFEITO!$Z$4</f>
        <v>0</v>
      </c>
      <c r="O4" s="76">
        <f>$L$4-EFEITO!$O$4*EFEITO!$AA$4</f>
        <v>0</v>
      </c>
      <c r="P4" s="57"/>
      <c r="Q4" s="76" t="s">
        <v>777</v>
      </c>
      <c r="R4" s="76">
        <f>SUMIF($B$2:$B$1261,$Q$4,$J$2:$J$1261)</f>
        <v>0</v>
      </c>
      <c r="S4" s="76">
        <f>SUMIF($B$2:$B$1261,$Q$4,$K$2:$K$1261)</f>
        <v>0</v>
      </c>
      <c r="T4" s="76">
        <f>SUMIF($B$2:$B$1261,$Q$4,$L$2:$L$1261)</f>
        <v>0</v>
      </c>
      <c r="U4" s="76">
        <f>SUMIF($B$2:$B$1261,$Q$4,$M$2:$M$1261)</f>
        <v>0</v>
      </c>
      <c r="V4" s="76">
        <f>SUMIF($B$2:$B$1261,$Q$4,$N$2:$N$1261)</f>
        <v>0</v>
      </c>
      <c r="W4" s="76">
        <f>SUMIF($B$2:$B$1261,$Q$4,$O$2:$O$1261)</f>
        <v>0</v>
      </c>
      <c r="X4" s="54">
        <f>$R$4-$U$4</f>
        <v>0</v>
      </c>
      <c r="Y4" s="54">
        <f>$S$4-$V$4</f>
        <v>0</v>
      </c>
      <c r="Z4" s="54">
        <f>$T$4-$W$4</f>
        <v>0</v>
      </c>
      <c r="AA4" s="54">
        <f>SUMIF(EFEITO!$B$2:$B$1261,$Q$4,EFEITO!$AE$2:$AE$1261)</f>
        <v>0</v>
      </c>
      <c r="AB4" s="54">
        <f>SUMIF(EFEITO!$B$2:$B$1261,$Q$4,EFEITO!$AF$2:$AF$1261)</f>
        <v>0</v>
      </c>
      <c r="AC4" s="54">
        <f>SUMIF(EFEITO!$B$2:$B$1261,$Q$4,EFEITO!$AG$2:$AH$1261)</f>
        <v>0</v>
      </c>
      <c r="AD4" s="54">
        <f>SUMIF(SUBSIDIO!$B$2:$B$1261,$Q$4,SUBSIDIO!$AD$2:$AD$1261)</f>
        <v>0</v>
      </c>
      <c r="AE4" s="54">
        <f>SUMIF(SUBSIDIO!$B$2:$B$1261,$Q$4,SUBSIDIO!$AE$2:$AE$1261)</f>
        <v>0</v>
      </c>
      <c r="AF4" s="54" t="str">
        <f>IF(ABS($X$4-$AA$4)&lt;0.01,"OK","ERRO")</f>
        <v>OK</v>
      </c>
      <c r="AG4" s="54" t="str">
        <f>IF(ABS($Y$4-$AB$4)&lt;0.01,"OK","ERRO")</f>
        <v>OK</v>
      </c>
      <c r="AH4" s="54" t="str">
        <f>IF(ABS($Z$4-$AC$4)&lt;0.01,"OK","ERRO")</f>
        <v>OK</v>
      </c>
      <c r="AI4" s="54" t="str">
        <f>IF(ABS($U$4-$AD$4)&lt;0.01,"OK","ERRO")</f>
        <v>OK</v>
      </c>
      <c r="AJ4" s="54" t="str">
        <f>IF(ABS(($V$4+$W$4)-$AE$4)&lt;0.01,"OK","ERRO")</f>
        <v>OK</v>
      </c>
    </row>
    <row r="5" spans="1:40" ht="11.25" customHeight="1" x14ac:dyDescent="0.2">
      <c r="A5" s="53" t="s">
        <v>28</v>
      </c>
      <c r="B5" s="53" t="s">
        <v>39</v>
      </c>
      <c r="C5" s="53" t="s">
        <v>42</v>
      </c>
      <c r="D5" s="53" t="s">
        <v>41</v>
      </c>
      <c r="E5" s="53" t="s">
        <v>25</v>
      </c>
      <c r="F5" s="53" t="s">
        <v>25</v>
      </c>
      <c r="G5" s="53" t="s">
        <v>25</v>
      </c>
      <c r="H5" s="53" t="s">
        <v>35</v>
      </c>
      <c r="I5" s="75">
        <v>44470</v>
      </c>
      <c r="J5" s="76">
        <f ca="1">EFEITO!$J$5*EFEITO!$Y$5</f>
        <v>698.13046809897196</v>
      </c>
      <c r="K5" s="76">
        <f ca="1">EFEITO!$L$5*EFEITO!$Z$5</f>
        <v>985.19813157120677</v>
      </c>
      <c r="L5" s="76">
        <f>EFEITO!$N$5*EFEITO!$AA$5</f>
        <v>2029.5214442177041</v>
      </c>
      <c r="M5" s="76">
        <f ca="1">$J$5-EFEITO!$K$5*EFEITO!$Y$5</f>
        <v>0</v>
      </c>
      <c r="N5" s="76">
        <f ca="1">$K$5-EFEITO!$M$5*EFEITO!$Z$5</f>
        <v>0</v>
      </c>
      <c r="O5" s="76">
        <f>$L$5-EFEITO!$O$5*EFEITO!$AA$5</f>
        <v>0</v>
      </c>
      <c r="P5" s="57"/>
      <c r="Q5" s="76" t="s">
        <v>778</v>
      </c>
      <c r="R5" s="76">
        <f>SUMIF($B$2:$B$1261,$Q$5,$J$2:$J$1261)</f>
        <v>0</v>
      </c>
      <c r="S5" s="76">
        <f>SUMIF($B$2:$B$1261,$Q$5,$K$2:$K$1261)</f>
        <v>0</v>
      </c>
      <c r="T5" s="76">
        <f>SUMIF($B$2:$B$1261,$Q$5,$L$2:$L$1261)</f>
        <v>0</v>
      </c>
      <c r="U5" s="76">
        <f>SUMIF($B$2:$B$1261,$Q$5,$M$2:$M$1261)</f>
        <v>0</v>
      </c>
      <c r="V5" s="76">
        <f>SUMIF($B$2:$B$1261,$Q$5,$N$2:$N$1261)</f>
        <v>0</v>
      </c>
      <c r="W5" s="76">
        <f>SUMIF($B$2:$B$1261,$Q$5,$O$2:$O$1261)</f>
        <v>0</v>
      </c>
      <c r="X5" s="54">
        <f>$R$5-$U$5</f>
        <v>0</v>
      </c>
      <c r="Y5" s="54">
        <f>$S$5-$V$5</f>
        <v>0</v>
      </c>
      <c r="Z5" s="54">
        <f>$T$5-$W$5</f>
        <v>0</v>
      </c>
      <c r="AA5" s="54">
        <f>SUMIF(EFEITO!$B$2:$B$1261,$Q$5,EFEITO!$AE$2:$AE$1261)</f>
        <v>0</v>
      </c>
      <c r="AB5" s="54">
        <f>SUMIF(EFEITO!$B$2:$B$1261,$Q$5,EFEITO!$AF$2:$AF$1261)</f>
        <v>0</v>
      </c>
      <c r="AC5" s="54">
        <f>SUMIF(EFEITO!$B$2:$B$1261,$Q$5,EFEITO!$AG$2:$AH$1261)</f>
        <v>0</v>
      </c>
      <c r="AD5" s="54">
        <f>SUMIF(SUBSIDIO!$B$2:$B$1261,$Q$5,SUBSIDIO!$AD$2:$AD$1261)</f>
        <v>0</v>
      </c>
      <c r="AE5" s="54">
        <f>SUMIF(SUBSIDIO!$B$2:$B$1261,$Q$5,SUBSIDIO!$AE$2:$AE$1261)</f>
        <v>0</v>
      </c>
      <c r="AF5" s="54" t="str">
        <f>IF(ABS($X$5-$AA$5)&lt;0.01,"OK","ERRO")</f>
        <v>OK</v>
      </c>
      <c r="AG5" s="54" t="str">
        <f>IF(ABS($Y$5-$AB$5)&lt;0.01,"OK","ERRO")</f>
        <v>OK</v>
      </c>
      <c r="AH5" s="54" t="str">
        <f>IF(ABS($Z$5-$AC$5)&lt;0.01,"OK","ERRO")</f>
        <v>OK</v>
      </c>
      <c r="AI5" s="54" t="str">
        <f>IF(ABS($U$5-$AD$5)&lt;0.01,"OK","ERRO")</f>
        <v>OK</v>
      </c>
      <c r="AJ5" s="54" t="str">
        <f>IF(ABS(($V$5+$W$5)-$AE$5)&lt;0.01,"OK","ERRO")</f>
        <v>OK</v>
      </c>
    </row>
    <row r="6" spans="1:40" ht="11.25" customHeight="1" x14ac:dyDescent="0.2">
      <c r="A6" s="53" t="s">
        <v>21</v>
      </c>
      <c r="B6" s="53" t="s">
        <v>39</v>
      </c>
      <c r="C6" s="53" t="s">
        <v>42</v>
      </c>
      <c r="D6" s="53" t="s">
        <v>41</v>
      </c>
      <c r="E6" s="53" t="s">
        <v>25</v>
      </c>
      <c r="F6" s="53" t="s">
        <v>25</v>
      </c>
      <c r="G6" s="53" t="s">
        <v>25</v>
      </c>
      <c r="H6" s="53" t="s">
        <v>35</v>
      </c>
      <c r="I6" s="75">
        <v>44501</v>
      </c>
      <c r="J6" s="76">
        <f ca="1">EFEITO!$J$6*EFEITO!$Y$6</f>
        <v>8781.7464145081212</v>
      </c>
      <c r="K6" s="76">
        <f ca="1">EFEITO!$L$6*EFEITO!$Z$6</f>
        <v>21585.41431336266</v>
      </c>
      <c r="L6" s="76">
        <f>EFEITO!$N$6*EFEITO!$AA$6</f>
        <v>44466.244735389038</v>
      </c>
      <c r="M6" s="76">
        <f ca="1">$J$6-EFEITO!$K$6*EFEITO!$Y$6</f>
        <v>0</v>
      </c>
      <c r="N6" s="76">
        <f ca="1">$K$6-EFEITO!$M$6*EFEITO!$Z$6</f>
        <v>0</v>
      </c>
      <c r="O6" s="76">
        <f>$L$6-EFEITO!$O$6*EFEITO!$AA$6</f>
        <v>0</v>
      </c>
      <c r="P6" s="57"/>
      <c r="Q6" s="76" t="s">
        <v>779</v>
      </c>
      <c r="R6" s="76">
        <f>SUMIF($B$2:$B$1261,$Q$6,$J$2:$J$1261)</f>
        <v>0</v>
      </c>
      <c r="S6" s="76">
        <f>SUMIF($B$2:$B$1261,$Q$6,$K$2:$K$1261)</f>
        <v>0</v>
      </c>
      <c r="T6" s="76">
        <f>SUMIF($B$2:$B$1261,$Q$6,$L$2:$L$1261)</f>
        <v>0</v>
      </c>
      <c r="U6" s="76">
        <f>SUMIF($B$2:$B$1261,$Q$6,$M$2:$M$1261)</f>
        <v>0</v>
      </c>
      <c r="V6" s="76">
        <f>SUMIF($B$2:$B$1261,$Q$6,$N$2:$N$1261)</f>
        <v>0</v>
      </c>
      <c r="W6" s="76">
        <f>SUMIF($B$2:$B$1261,$Q$6,$O$2:$O$1261)</f>
        <v>0</v>
      </c>
      <c r="X6" s="54">
        <f>$R$6-$U$6</f>
        <v>0</v>
      </c>
      <c r="Y6" s="54">
        <f>$S$6-$V$6</f>
        <v>0</v>
      </c>
      <c r="Z6" s="54">
        <f>$T$6-$W$6</f>
        <v>0</v>
      </c>
      <c r="AA6" s="54">
        <f>SUMIF(EFEITO!$B$2:$B$1261,$Q$6,EFEITO!$AE$2:$AE$1261)</f>
        <v>0</v>
      </c>
      <c r="AB6" s="54">
        <f>SUMIF(EFEITO!$B$2:$B$1261,$Q$6,EFEITO!$AF$2:$AF$1261)</f>
        <v>0</v>
      </c>
      <c r="AC6" s="54">
        <f>SUMIF(EFEITO!$B$2:$B$1261,$Q$6,EFEITO!$AG$2:$AH$1261)</f>
        <v>0</v>
      </c>
      <c r="AD6" s="54">
        <f>SUMIF(SUBSIDIO!$B$2:$B$1261,$Q$6,SUBSIDIO!$AD$2:$AD$1261)</f>
        <v>0</v>
      </c>
      <c r="AE6" s="54">
        <f>SUMIF(SUBSIDIO!$B$2:$B$1261,$Q$6,SUBSIDIO!$AE$2:$AE$1261)</f>
        <v>0</v>
      </c>
      <c r="AF6" s="54" t="str">
        <f>IF(ABS($X$6-$AA$6)&lt;0.01,"OK","ERRO")</f>
        <v>OK</v>
      </c>
      <c r="AG6" s="54" t="str">
        <f>IF(ABS($Y$6-$AB$6)&lt;0.01,"OK","ERRO")</f>
        <v>OK</v>
      </c>
      <c r="AH6" s="54" t="str">
        <f>IF(ABS($Z$6-$AC$6)&lt;0.01,"OK","ERRO")</f>
        <v>OK</v>
      </c>
      <c r="AI6" s="54" t="str">
        <f>IF(ABS($U$6-$AD$6)&lt;0.01,"OK","ERRO")</f>
        <v>OK</v>
      </c>
      <c r="AJ6" s="54" t="str">
        <f>IF(ABS(($V$6+$W$6)-$AE$6)&lt;0.01,"OK","ERRO")</f>
        <v>OK</v>
      </c>
    </row>
    <row r="7" spans="1:40" ht="11.25" customHeight="1" x14ac:dyDescent="0.2">
      <c r="A7" s="53" t="s">
        <v>28</v>
      </c>
      <c r="B7" s="53" t="s">
        <v>39</v>
      </c>
      <c r="C7" s="53" t="s">
        <v>42</v>
      </c>
      <c r="D7" s="53" t="s">
        <v>41</v>
      </c>
      <c r="E7" s="53" t="s">
        <v>25</v>
      </c>
      <c r="F7" s="53" t="s">
        <v>25</v>
      </c>
      <c r="G7" s="53" t="s">
        <v>25</v>
      </c>
      <c r="H7" s="53" t="s">
        <v>35</v>
      </c>
      <c r="I7" s="75">
        <v>44501</v>
      </c>
      <c r="J7" s="76">
        <f ca="1">EFEITO!$J$7*EFEITO!$Y$7</f>
        <v>698.13046809897196</v>
      </c>
      <c r="K7" s="76">
        <f ca="1">EFEITO!$L$7*EFEITO!$Z$7</f>
        <v>852.15124554409022</v>
      </c>
      <c r="L7" s="76">
        <f>EFEITO!$N$7*EFEITO!$AA$7</f>
        <v>1755.4430638133604</v>
      </c>
      <c r="M7" s="76">
        <f ca="1">$J$7-EFEITO!$K$7*EFEITO!$Y$7</f>
        <v>0</v>
      </c>
      <c r="N7" s="76">
        <f ca="1">$K$7-EFEITO!$M$7*EFEITO!$Z$7</f>
        <v>0</v>
      </c>
      <c r="O7" s="76">
        <f>$L$7-EFEITO!$O$7*EFEITO!$AA$7</f>
        <v>0</v>
      </c>
      <c r="P7" s="57"/>
      <c r="Q7" s="76" t="s">
        <v>39</v>
      </c>
      <c r="R7" s="76">
        <f ca="1">SUMIF($B$2:$B$1261,$Q$7,$J$2:$J$1261)</f>
        <v>15046313.908890584</v>
      </c>
      <c r="S7" s="76">
        <f ca="1">SUMIF($B$2:$B$1261,$Q$7,$K$2:$K$1261)</f>
        <v>30787929.508207649</v>
      </c>
      <c r="T7" s="76">
        <f>SUMIF($B$2:$B$1261,$Q$7,$L$2:$L$1261)</f>
        <v>18658727.01098834</v>
      </c>
      <c r="U7" s="76">
        <f ca="1">SUMIF($B$2:$B$1261,$Q$7,$M$2:$M$1261)</f>
        <v>4164361.0091310767</v>
      </c>
      <c r="V7" s="76">
        <f ca="1">SUMIF($B$2:$B$1261,$Q$7,$N$2:$N$1261)</f>
        <v>4736726.2831345722</v>
      </c>
      <c r="W7" s="76">
        <f>SUMIF($B$2:$B$1261,$Q$7,$O$2:$O$1261)</f>
        <v>106395.51993519015</v>
      </c>
      <c r="X7" s="54">
        <f ca="1">$R$7-$U$7</f>
        <v>10881952.899759509</v>
      </c>
      <c r="Y7" s="54">
        <f ca="1">$S$7-$V$7</f>
        <v>26051203.225073077</v>
      </c>
      <c r="Z7" s="54">
        <f>$T$7-$W$7</f>
        <v>18552331.491053149</v>
      </c>
      <c r="AA7" s="54">
        <f ca="1">SUMIF(EFEITO!$B$2:$B$1261,$Q$7,EFEITO!$AE$2:$AE$1261)</f>
        <v>10881952.899759503</v>
      </c>
      <c r="AB7" s="54">
        <f ca="1">SUMIF(EFEITO!$B$2:$B$1261,$Q$7,EFEITO!$AF$2:$AF$1261)</f>
        <v>26051203.225073081</v>
      </c>
      <c r="AC7" s="54">
        <f>SUMIF(EFEITO!$B$2:$B$1261,$Q$7,EFEITO!$AG$2:$AH$1261)</f>
        <v>18552331.491053164</v>
      </c>
      <c r="AD7" s="54">
        <f ca="1">SUMIF(SUBSIDIO!$B$2:$B$1261,$Q$7,SUBSIDIO!$AD$2:$AD$1261)</f>
        <v>4164361.0091310767</v>
      </c>
      <c r="AE7" s="54">
        <f ca="1">SUMIF(SUBSIDIO!$B$2:$B$1261,$Q$7,SUBSIDIO!$AE$2:$AE$1261)</f>
        <v>4843121.8030697657</v>
      </c>
      <c r="AF7" s="54" t="str">
        <f ca="1">IF(ABS($X$7-$AA$7)&lt;0.01,"OK","ERRO")</f>
        <v>OK</v>
      </c>
      <c r="AG7" s="54" t="str">
        <f ca="1">IF(ABS($Y$7-$AB$7)&lt;0.01,"OK","ERRO")</f>
        <v>OK</v>
      </c>
      <c r="AH7" s="54" t="str">
        <f>IF(ABS($Z$7-$AC$7)&lt;0.01,"OK","ERRO")</f>
        <v>OK</v>
      </c>
      <c r="AI7" s="54" t="str">
        <f ca="1">IF(ABS($U$7-$AD$7)&lt;0.01,"OK","ERRO")</f>
        <v>OK</v>
      </c>
      <c r="AJ7" s="54" t="str">
        <f ca="1">IF(ABS(($V$7+$W$7)-$AE$7)&lt;0.01,"OK","ERRO")</f>
        <v>OK</v>
      </c>
    </row>
    <row r="8" spans="1:40" ht="11.25" customHeight="1" x14ac:dyDescent="0.2">
      <c r="A8" s="53" t="s">
        <v>21</v>
      </c>
      <c r="B8" s="53" t="s">
        <v>39</v>
      </c>
      <c r="C8" s="53" t="s">
        <v>42</v>
      </c>
      <c r="D8" s="53" t="s">
        <v>41</v>
      </c>
      <c r="E8" s="53" t="s">
        <v>25</v>
      </c>
      <c r="F8" s="53" t="s">
        <v>25</v>
      </c>
      <c r="G8" s="53" t="s">
        <v>25</v>
      </c>
      <c r="H8" s="53" t="s">
        <v>35</v>
      </c>
      <c r="I8" s="75">
        <v>44531</v>
      </c>
      <c r="J8" s="76">
        <f ca="1">EFEITO!$J$8*EFEITO!$Y$8</f>
        <v>8304.0781994930348</v>
      </c>
      <c r="K8" s="76">
        <f ca="1">EFEITO!$L$8*EFEITO!$Z$8</f>
        <v>20231.414357565009</v>
      </c>
      <c r="L8" s="76">
        <f>EFEITO!$N$8*EFEITO!$AA$8</f>
        <v>41676.986557058292</v>
      </c>
      <c r="M8" s="76">
        <f ca="1">$J$8-EFEITO!$K$8*EFEITO!$Y$8</f>
        <v>0</v>
      </c>
      <c r="N8" s="76">
        <f ca="1">$K$8-EFEITO!$M$8*EFEITO!$Z$8</f>
        <v>0</v>
      </c>
      <c r="O8" s="76">
        <f>$L$8-EFEITO!$O$8*EFEITO!$AA$8</f>
        <v>0</v>
      </c>
      <c r="P8" s="57"/>
      <c r="Q8" s="76" t="s">
        <v>780</v>
      </c>
      <c r="R8" s="76">
        <f>SUMIF($B$2:$B$1261,$Q$8,$J$2:$J$1261)</f>
        <v>0</v>
      </c>
      <c r="S8" s="76">
        <f>SUMIF($B$2:$B$1261,$Q$8,$K$2:$K$1261)</f>
        <v>0</v>
      </c>
      <c r="T8" s="76">
        <f>SUMIF($B$2:$B$1261,$Q$8,$L$2:$L$1261)</f>
        <v>0</v>
      </c>
      <c r="U8" s="76">
        <f>SUMIF($B$2:$B$1261,$Q$8,$M$2:$M$1261)</f>
        <v>0</v>
      </c>
      <c r="V8" s="76">
        <f>SUMIF($B$2:$B$1261,$Q$8,$N$2:$N$1261)</f>
        <v>0</v>
      </c>
      <c r="W8" s="76">
        <f>SUMIF($B$2:$B$1261,$Q$8,$O$2:$O$1261)</f>
        <v>0</v>
      </c>
      <c r="X8" s="54">
        <f>$R$8-$U$8</f>
        <v>0</v>
      </c>
      <c r="Y8" s="54">
        <f>$S$8-$V$8</f>
        <v>0</v>
      </c>
      <c r="Z8" s="54">
        <f>$T$8-$W$8</f>
        <v>0</v>
      </c>
      <c r="AA8" s="54">
        <f>SUMIF(EFEITO!$B$2:$B$1261,$Q$8,EFEITO!$AE$2:$AE$1261)</f>
        <v>0</v>
      </c>
      <c r="AB8" s="54">
        <f>SUMIF(EFEITO!$B$2:$B$1261,$Q$8,EFEITO!$AF$2:$AF$1261)</f>
        <v>0</v>
      </c>
      <c r="AC8" s="54">
        <f>SUMIF(EFEITO!$B$2:$B$1261,$Q$8,EFEITO!$AG$2:$AH$1261)</f>
        <v>0</v>
      </c>
      <c r="AD8" s="54">
        <f>SUMIF(SUBSIDIO!$B$2:$B$1261,$Q$8,SUBSIDIO!$AD$2:$AD$1261)</f>
        <v>0</v>
      </c>
      <c r="AE8" s="54">
        <f>SUMIF(SUBSIDIO!$B$2:$B$1261,$Q$8,SUBSIDIO!$AE$2:$AE$1261)</f>
        <v>0</v>
      </c>
      <c r="AF8" s="54" t="str">
        <f>IF(ABS($X$8-$AA$8)&lt;0.01,"OK","ERRO")</f>
        <v>OK</v>
      </c>
      <c r="AG8" s="54" t="str">
        <f>IF(ABS($Y$8-$AB$8)&lt;0.01,"OK","ERRO")</f>
        <v>OK</v>
      </c>
      <c r="AH8" s="54" t="str">
        <f>IF(ABS($Z$8-$AC$8)&lt;0.01,"OK","ERRO")</f>
        <v>OK</v>
      </c>
      <c r="AI8" s="54" t="str">
        <f>IF(ABS($U$8-$AD$8)&lt;0.01,"OK","ERRO")</f>
        <v>OK</v>
      </c>
      <c r="AJ8" s="54" t="str">
        <f>IF(ABS(($V$8+$W$8)-$AE$8)&lt;0.01,"OK","ERRO")</f>
        <v>OK</v>
      </c>
    </row>
    <row r="9" spans="1:40" ht="11.25" customHeight="1" x14ac:dyDescent="0.2">
      <c r="A9" s="53" t="s">
        <v>28</v>
      </c>
      <c r="B9" s="53" t="s">
        <v>39</v>
      </c>
      <c r="C9" s="53" t="s">
        <v>42</v>
      </c>
      <c r="D9" s="53" t="s">
        <v>41</v>
      </c>
      <c r="E9" s="53" t="s">
        <v>25</v>
      </c>
      <c r="F9" s="53" t="s">
        <v>25</v>
      </c>
      <c r="G9" s="53" t="s">
        <v>25</v>
      </c>
      <c r="H9" s="53" t="s">
        <v>35</v>
      </c>
      <c r="I9" s="75">
        <v>44531</v>
      </c>
      <c r="J9" s="76">
        <f ca="1">EFEITO!$J$9*EFEITO!$Y$9</f>
        <v>698.13046809897196</v>
      </c>
      <c r="K9" s="76">
        <f ca="1">EFEITO!$L$9*EFEITO!$Z$9</f>
        <v>982.68222827592194</v>
      </c>
      <c r="L9" s="76">
        <f>EFEITO!$N$9*EFEITO!$AA$9</f>
        <v>2024.3386494825829</v>
      </c>
      <c r="M9" s="76">
        <f ca="1">$J$9-EFEITO!$K$9*EFEITO!$Y$9</f>
        <v>0</v>
      </c>
      <c r="N9" s="76">
        <f ca="1">$K$9-EFEITO!$M$9*EFEITO!$Z$9</f>
        <v>0</v>
      </c>
      <c r="O9" s="76">
        <f>$L$9-EFEITO!$O$9*EFEITO!$AA$9</f>
        <v>0</v>
      </c>
      <c r="P9" s="57"/>
      <c r="Q9" s="76" t="s">
        <v>22</v>
      </c>
      <c r="R9" s="76">
        <f>SUMIF($B$2:$B$1261,$Q$9,$J$2:$J$1261)</f>
        <v>0</v>
      </c>
      <c r="S9" s="76">
        <f ca="1">SUMIF($B$2:$B$1261,$Q$9,$K$2:$K$1261)</f>
        <v>60539595.144437708</v>
      </c>
      <c r="T9" s="76">
        <f>SUMIF($B$2:$B$1261,$Q$9,$L$2:$L$1261)</f>
        <v>46804985.61802008</v>
      </c>
      <c r="U9" s="76">
        <f>SUMIF($B$2:$B$1261,$Q$9,$M$2:$M$1261)</f>
        <v>0</v>
      </c>
      <c r="V9" s="76">
        <f ca="1">SUMIF($B$2:$B$1261,$Q$9,$N$2:$N$1261)</f>
        <v>1942949.9081127706</v>
      </c>
      <c r="W9" s="76">
        <f>SUMIF($B$2:$B$1261,$Q$9,$O$2:$O$1261)</f>
        <v>2151837.3240488777</v>
      </c>
      <c r="X9" s="54">
        <f>$R$9-$U$9</f>
        <v>0</v>
      </c>
      <c r="Y9" s="54">
        <f ca="1">$S$9-$V$9</f>
        <v>58596645.236324936</v>
      </c>
      <c r="Z9" s="54">
        <f>$T$9-$W$9</f>
        <v>44653148.293971203</v>
      </c>
      <c r="AA9" s="54">
        <f>SUMIF(EFEITO!$B$2:$B$1261,$Q$9,EFEITO!$AE$2:$AE$1261)</f>
        <v>0</v>
      </c>
      <c r="AB9" s="54">
        <f ca="1">SUMIF(EFEITO!$B$2:$B$1261,$Q$9,EFEITO!$AF$2:$AF$1261)</f>
        <v>58596645.236324988</v>
      </c>
      <c r="AC9" s="54">
        <f>SUMIF(EFEITO!$B$2:$B$1261,$Q$9,EFEITO!$AG$2:$AH$1261)</f>
        <v>44653148.293971226</v>
      </c>
      <c r="AD9" s="54">
        <f>SUMIF(SUBSIDIO!$B$2:$B$1261,$Q$9,SUBSIDIO!$AD$2:$AD$1261)</f>
        <v>0</v>
      </c>
      <c r="AE9" s="54">
        <f ca="1">SUMIF(SUBSIDIO!$B$2:$B$1261,$Q$9,SUBSIDIO!$AE$2:$AE$1261)</f>
        <v>4094787.2321616481</v>
      </c>
      <c r="AF9" s="54" t="str">
        <f>IF(ABS($X$9-$AA$9)&lt;0.01,"OK","ERRO")</f>
        <v>OK</v>
      </c>
      <c r="AG9" s="54" t="str">
        <f ca="1">IF(ABS($Y$9-$AB$9)&lt;0.01,"OK","ERRO")</f>
        <v>OK</v>
      </c>
      <c r="AH9" s="54" t="str">
        <f>IF(ABS($Z$9-$AC$9)&lt;0.01,"OK","ERRO")</f>
        <v>OK</v>
      </c>
      <c r="AI9" s="54" t="str">
        <f>IF(ABS($U$9-$AD$9)&lt;0.01,"OK","ERRO")</f>
        <v>OK</v>
      </c>
      <c r="AJ9" s="54" t="str">
        <f ca="1">IF(ABS(($V$9+$W$9)-$AE$9)&lt;0.01,"OK","ERRO")</f>
        <v>OK</v>
      </c>
    </row>
    <row r="10" spans="1:40" ht="11.25" customHeight="1" x14ac:dyDescent="0.2">
      <c r="A10" s="53" t="s">
        <v>21</v>
      </c>
      <c r="B10" s="53" t="s">
        <v>39</v>
      </c>
      <c r="C10" s="53" t="s">
        <v>42</v>
      </c>
      <c r="D10" s="53" t="s">
        <v>41</v>
      </c>
      <c r="E10" s="53" t="s">
        <v>25</v>
      </c>
      <c r="F10" s="53" t="s">
        <v>25</v>
      </c>
      <c r="G10" s="53" t="s">
        <v>25</v>
      </c>
      <c r="H10" s="53" t="s">
        <v>35</v>
      </c>
      <c r="I10" s="75">
        <v>44562</v>
      </c>
      <c r="J10" s="76">
        <f ca="1">EFEITO!$J$10*EFEITO!$Y$10</f>
        <v>8616.3997246952076</v>
      </c>
      <c r="K10" s="76">
        <f ca="1">EFEITO!$L$10*EFEITO!$Z$10</f>
        <v>22247.392868645518</v>
      </c>
      <c r="L10" s="76">
        <f>EFEITO!$N$10*EFEITO!$AA$10</f>
        <v>45829.92949128295</v>
      </c>
      <c r="M10" s="76">
        <f ca="1">$J$10-EFEITO!$K$10*EFEITO!$Y$10</f>
        <v>0</v>
      </c>
      <c r="N10" s="76">
        <f ca="1">$K$10-EFEITO!$M$10*EFEITO!$Z$10</f>
        <v>0</v>
      </c>
      <c r="O10" s="76">
        <f>$L$10-EFEITO!$O$10*EFEITO!$AA$10</f>
        <v>0</v>
      </c>
      <c r="P10" s="57"/>
      <c r="Q10" s="76" t="s">
        <v>43</v>
      </c>
      <c r="R10" s="76">
        <f>SUMIF($B$2:$B$1261,$Q$10,$J$2:$J$1261)</f>
        <v>0</v>
      </c>
      <c r="S10" s="76">
        <f ca="1">SUMIF($B$2:$B$1261,$Q$10,$K$2:$K$1261)</f>
        <v>79774937.22239472</v>
      </c>
      <c r="T10" s="76">
        <f>SUMIF($B$2:$B$1261,$Q$10,$L$2:$L$1261)</f>
        <v>58703240.684544615</v>
      </c>
      <c r="U10" s="76">
        <f>SUMIF($B$2:$B$1261,$Q$10,$M$2:$M$1261)</f>
        <v>0</v>
      </c>
      <c r="V10" s="76">
        <f ca="1">SUMIF($B$2:$B$1261,$Q$10,$N$2:$N$1261)</f>
        <v>21909724.237562738</v>
      </c>
      <c r="W10" s="76">
        <f>SUMIF($B$2:$B$1261,$Q$10,$O$2:$O$1261)</f>
        <v>16122487.908975525</v>
      </c>
      <c r="X10" s="54">
        <f>$R$10-$U$10</f>
        <v>0</v>
      </c>
      <c r="Y10" s="54">
        <f ca="1">$S$10-$V$10</f>
        <v>57865212.984831981</v>
      </c>
      <c r="Z10" s="54">
        <f>$T$10-$W$10</f>
        <v>42580752.775569089</v>
      </c>
      <c r="AA10" s="54">
        <f>SUMIF(EFEITO!$B$2:$B$1261,$Q$10,EFEITO!$AE$2:$AE$1261)</f>
        <v>0</v>
      </c>
      <c r="AB10" s="54">
        <f ca="1">SUMIF(EFEITO!$B$2:$B$1261,$Q$10,EFEITO!$AF$2:$AF$1261)</f>
        <v>57865212.984831974</v>
      </c>
      <c r="AC10" s="54">
        <f>SUMIF(EFEITO!$B$2:$B$1261,$Q$10,EFEITO!$AG$2:$AH$1261)</f>
        <v>42580752.775569066</v>
      </c>
      <c r="AD10" s="54">
        <f>SUMIF(SUBSIDIO!$B$2:$B$1261,$Q$10,SUBSIDIO!$AD$2:$AD$1261)</f>
        <v>0</v>
      </c>
      <c r="AE10" s="54">
        <f ca="1">SUMIF(SUBSIDIO!$B$2:$B$1261,$Q$10,SUBSIDIO!$AE$2:$AE$1261)</f>
        <v>38032212.146538265</v>
      </c>
      <c r="AF10" s="54" t="str">
        <f>IF(ABS($X$10-$AA$10)&lt;0.01,"OK","ERRO")</f>
        <v>OK</v>
      </c>
      <c r="AG10" s="54" t="str">
        <f ca="1">IF(ABS($Y$10-$AB$10)&lt;0.01,"OK","ERRO")</f>
        <v>OK</v>
      </c>
      <c r="AH10" s="54" t="str">
        <f>IF(ABS($Z$10-$AC$10)&lt;0.01,"OK","ERRO")</f>
        <v>OK</v>
      </c>
      <c r="AI10" s="54" t="str">
        <f>IF(ABS($U$10-$AD$10)&lt;0.01,"OK","ERRO")</f>
        <v>OK</v>
      </c>
      <c r="AJ10" s="54" t="str">
        <f ca="1">IF(ABS(($V$10+$W$10)-$AE$10)&lt;0.01,"OK","ERRO")</f>
        <v>OK</v>
      </c>
    </row>
    <row r="11" spans="1:40" ht="11.25" customHeight="1" x14ac:dyDescent="0.2">
      <c r="A11" s="53" t="s">
        <v>28</v>
      </c>
      <c r="B11" s="53" t="s">
        <v>39</v>
      </c>
      <c r="C11" s="53" t="s">
        <v>42</v>
      </c>
      <c r="D11" s="53" t="s">
        <v>41</v>
      </c>
      <c r="E11" s="53" t="s">
        <v>25</v>
      </c>
      <c r="F11" s="53" t="s">
        <v>25</v>
      </c>
      <c r="G11" s="53" t="s">
        <v>25</v>
      </c>
      <c r="H11" s="53" t="s">
        <v>35</v>
      </c>
      <c r="I11" s="75">
        <v>44562</v>
      </c>
      <c r="J11" s="76">
        <f ca="1">EFEITO!$J$11*EFEITO!$Y$11</f>
        <v>698.13046809897196</v>
      </c>
      <c r="K11" s="76">
        <f ca="1">EFEITO!$L$11*EFEITO!$Z$11</f>
        <v>911.64495876199999</v>
      </c>
      <c r="L11" s="76">
        <f>EFEITO!$N$11*EFEITO!$AA$11</f>
        <v>1878.000915785047</v>
      </c>
      <c r="M11" s="76">
        <f ca="1">$J$11-EFEITO!$K$11*EFEITO!$Y$11</f>
        <v>0</v>
      </c>
      <c r="N11" s="76">
        <f ca="1">$K$11-EFEITO!$M$11*EFEITO!$Z$11</f>
        <v>0</v>
      </c>
      <c r="O11" s="76">
        <f>$L$11-EFEITO!$O$11*EFEITO!$AA$11</f>
        <v>0</v>
      </c>
      <c r="P11" s="57"/>
      <c r="Q11" s="76" t="s">
        <v>37</v>
      </c>
      <c r="R11" s="76">
        <f>SUMIF($B$2:$B$1261,$Q$11,$J$2:$J$1261)</f>
        <v>0</v>
      </c>
      <c r="S11" s="76">
        <f ca="1">SUMIF($B$2:$B$1261,$Q$11,$K$2:$K$1261)</f>
        <v>38147583.381134622</v>
      </c>
      <c r="T11" s="76">
        <f>SUMIF($B$2:$B$1261,$Q$11,$L$2:$L$1261)</f>
        <v>28079977.497338817</v>
      </c>
      <c r="U11" s="76">
        <f>SUMIF($B$2:$B$1261,$Q$11,$M$2:$M$1261)</f>
        <v>0</v>
      </c>
      <c r="V11" s="76">
        <f ca="1">SUMIF($B$2:$B$1261,$Q$11,$N$2:$N$1261)</f>
        <v>43781.820793282619</v>
      </c>
      <c r="W11" s="76">
        <f>SUMIF($B$2:$B$1261,$Q$11,$O$2:$O$1261)</f>
        <v>32217.277631213437</v>
      </c>
      <c r="X11" s="54">
        <f>$R$11-$U$11</f>
        <v>0</v>
      </c>
      <c r="Y11" s="54">
        <f ca="1">$S$11-$V$11</f>
        <v>38103801.560341336</v>
      </c>
      <c r="Z11" s="54">
        <f>$T$11-$W$11</f>
        <v>28047760.219707604</v>
      </c>
      <c r="AA11" s="54">
        <f>SUMIF(EFEITO!$B$2:$B$1261,$Q$11,EFEITO!$AE$2:$AE$1261)</f>
        <v>0</v>
      </c>
      <c r="AB11" s="54">
        <f ca="1">SUMIF(EFEITO!$B$2:$B$1261,$Q$11,EFEITO!$AF$2:$AF$1261)</f>
        <v>38103801.560341343</v>
      </c>
      <c r="AC11" s="54">
        <f>SUMIF(EFEITO!$B$2:$B$1261,$Q$11,EFEITO!$AG$2:$AH$1261)</f>
        <v>28047760.219707601</v>
      </c>
      <c r="AD11" s="54">
        <f>SUMIF(SUBSIDIO!$B$2:$B$1261,$Q$11,SUBSIDIO!$AD$2:$AD$1261)</f>
        <v>0</v>
      </c>
      <c r="AE11" s="54">
        <f ca="1">SUMIF(SUBSIDIO!$B$2:$B$1261,$Q$11,SUBSIDIO!$AE$2:$AE$1261)</f>
        <v>75999.098424496042</v>
      </c>
      <c r="AF11" s="54" t="str">
        <f>IF(ABS($X$11-$AA$11)&lt;0.01,"OK","ERRO")</f>
        <v>OK</v>
      </c>
      <c r="AG11" s="54" t="str">
        <f ca="1">IF(ABS($Y$11-$AB$11)&lt;0.01,"OK","ERRO")</f>
        <v>OK</v>
      </c>
      <c r="AH11" s="54" t="str">
        <f>IF(ABS($Z$11-$AC$11)&lt;0.01,"OK","ERRO")</f>
        <v>OK</v>
      </c>
      <c r="AI11" s="54" t="str">
        <f>IF(ABS($U$11-$AD$11)&lt;0.01,"OK","ERRO")</f>
        <v>OK</v>
      </c>
      <c r="AJ11" s="54" t="str">
        <f ca="1">IF(ABS(($V$11+$W$11)-$AE$11)&lt;0.01,"OK","ERRO")</f>
        <v>OK</v>
      </c>
    </row>
    <row r="12" spans="1:40" ht="11.25" customHeight="1" x14ac:dyDescent="0.2">
      <c r="A12" s="53" t="s">
        <v>21</v>
      </c>
      <c r="B12" s="53" t="s">
        <v>39</v>
      </c>
      <c r="C12" s="53" t="s">
        <v>42</v>
      </c>
      <c r="D12" s="53" t="s">
        <v>41</v>
      </c>
      <c r="E12" s="53" t="s">
        <v>25</v>
      </c>
      <c r="F12" s="53" t="s">
        <v>25</v>
      </c>
      <c r="G12" s="53" t="s">
        <v>25</v>
      </c>
      <c r="H12" s="53" t="s">
        <v>35</v>
      </c>
      <c r="I12" s="75">
        <v>44593</v>
      </c>
      <c r="J12" s="76">
        <f ca="1">EFEITO!$J$12*EFEITO!$Y$12</f>
        <v>9130.8116485576084</v>
      </c>
      <c r="K12" s="76">
        <f ca="1">EFEITO!$L$12*EFEITO!$Z$12</f>
        <v>20946.07888773736</v>
      </c>
      <c r="L12" s="76">
        <f>EFEITO!$N$12*EFEITO!$AA$12</f>
        <v>43149.205132111201</v>
      </c>
      <c r="M12" s="76">
        <f ca="1">$J$12-EFEITO!$K$12*EFEITO!$Y$12</f>
        <v>0</v>
      </c>
      <c r="N12" s="76">
        <f ca="1">$K$12-EFEITO!$M$12*EFEITO!$Z$12</f>
        <v>0</v>
      </c>
      <c r="O12" s="76">
        <f>$L$12-EFEITO!$O$12*EFEITO!$AA$12</f>
        <v>0</v>
      </c>
      <c r="P12" s="57"/>
      <c r="Q12" s="76" t="s">
        <v>46</v>
      </c>
      <c r="R12" s="76">
        <f>SUMIF($B$2:$B$1261,$Q$12,$J$2:$J$1261)</f>
        <v>0</v>
      </c>
      <c r="S12" s="76">
        <f ca="1">SUMIF($B$2:$B$1261,$Q$12,$K$2:$K$1261)</f>
        <v>4538033.203114463</v>
      </c>
      <c r="T12" s="76">
        <f>SUMIF($B$2:$B$1261,$Q$12,$L$2:$L$1261)</f>
        <v>3339355.7635418046</v>
      </c>
      <c r="U12" s="76">
        <f>SUMIF($B$2:$B$1261,$Q$12,$M$2:$M$1261)</f>
        <v>0</v>
      </c>
      <c r="V12" s="76">
        <f ca="1">SUMIF($B$2:$B$1261,$Q$12,$N$2:$N$1261)</f>
        <v>0</v>
      </c>
      <c r="W12" s="76">
        <f>SUMIF($B$2:$B$1261,$Q$12,$O$2:$O$1261)</f>
        <v>0</v>
      </c>
      <c r="X12" s="54">
        <f>$R$12-$U$12</f>
        <v>0</v>
      </c>
      <c r="Y12" s="54">
        <f ca="1">$S$12-$V$12</f>
        <v>4538033.203114463</v>
      </c>
      <c r="Z12" s="54">
        <f>$T$12-$W$12</f>
        <v>3339355.7635418046</v>
      </c>
      <c r="AA12" s="54">
        <f>SUMIF(EFEITO!$B$2:$B$1261,$Q$12,EFEITO!$AE$2:$AE$1261)</f>
        <v>0</v>
      </c>
      <c r="AB12" s="54">
        <f ca="1">SUMIF(EFEITO!$B$2:$B$1261,$Q$12,EFEITO!$AF$2:$AF$1261)</f>
        <v>4538033.203114463</v>
      </c>
      <c r="AC12" s="54">
        <f>SUMIF(EFEITO!$B$2:$B$1261,$Q$12,EFEITO!$AG$2:$AH$1261)</f>
        <v>3339355.7635418046</v>
      </c>
      <c r="AD12" s="54">
        <f>SUMIF(SUBSIDIO!$B$2:$B$1261,$Q$12,SUBSIDIO!$AD$2:$AD$1261)</f>
        <v>0</v>
      </c>
      <c r="AE12" s="54">
        <f>SUMIF(SUBSIDIO!$B$2:$B$1261,$Q$12,SUBSIDIO!$AE$2:$AE$1261)</f>
        <v>0</v>
      </c>
      <c r="AF12" s="54" t="str">
        <f>IF(ABS($X$12-$AA$12)&lt;0.01,"OK","ERRO")</f>
        <v>OK</v>
      </c>
      <c r="AG12" s="54" t="str">
        <f ca="1">IF(ABS($Y$12-$AB$12)&lt;0.01,"OK","ERRO")</f>
        <v>OK</v>
      </c>
      <c r="AH12" s="54" t="str">
        <f>IF(ABS($Z$12-$AC$12)&lt;0.01,"OK","ERRO")</f>
        <v>OK</v>
      </c>
      <c r="AI12" s="54" t="str">
        <f>IF(ABS($U$12-$AD$12)&lt;0.01,"OK","ERRO")</f>
        <v>OK</v>
      </c>
      <c r="AJ12" s="54" t="str">
        <f ca="1">IF(ABS(($V$12+$W$12)-$AE$12)&lt;0.01,"OK","ERRO")</f>
        <v>OK</v>
      </c>
    </row>
    <row r="13" spans="1:40" ht="11.25" customHeight="1" x14ac:dyDescent="0.2">
      <c r="A13" s="53" t="s">
        <v>28</v>
      </c>
      <c r="B13" s="53" t="s">
        <v>39</v>
      </c>
      <c r="C13" s="53" t="s">
        <v>42</v>
      </c>
      <c r="D13" s="53" t="s">
        <v>41</v>
      </c>
      <c r="E13" s="53" t="s">
        <v>25</v>
      </c>
      <c r="F13" s="53" t="s">
        <v>25</v>
      </c>
      <c r="G13" s="53" t="s">
        <v>25</v>
      </c>
      <c r="H13" s="53" t="s">
        <v>35</v>
      </c>
      <c r="I13" s="75">
        <v>44593</v>
      </c>
      <c r="J13" s="76">
        <f ca="1">EFEITO!$J$13*EFEITO!$Y$13</f>
        <v>698.13046809897196</v>
      </c>
      <c r="K13" s="76">
        <f ca="1">EFEITO!$L$13*EFEITO!$Z$13</f>
        <v>908.24108959779107</v>
      </c>
      <c r="L13" s="76">
        <f>EFEITO!$N$13*EFEITO!$AA$13</f>
        <v>1870.9888993787065</v>
      </c>
      <c r="M13" s="76">
        <f ca="1">$J$13-EFEITO!$K$13*EFEITO!$Y$13</f>
        <v>0</v>
      </c>
      <c r="N13" s="76">
        <f ca="1">$K$13-EFEITO!$M$13*EFEITO!$Z$13</f>
        <v>0</v>
      </c>
      <c r="O13" s="76">
        <f>$L$13-EFEITO!$O$13*EFEITO!$AA$13</f>
        <v>0</v>
      </c>
      <c r="P13" s="57"/>
      <c r="Q13" s="76" t="s">
        <v>88</v>
      </c>
      <c r="R13" s="76">
        <f>SUMIF($B$2:$B$1261,$Q$13,$J$2:$J$1261)</f>
        <v>0</v>
      </c>
      <c r="S13" s="76">
        <f>SUMIF($B$2:$B$1261,$Q$13,$K$2:$K$1261)</f>
        <v>0</v>
      </c>
      <c r="T13" s="76">
        <f>SUMIF($B$2:$B$1261,$Q$13,$L$2:$L$1261)</f>
        <v>0</v>
      </c>
      <c r="U13" s="76">
        <f>SUMIF($B$2:$B$1261,$Q$13,$M$2:$M$1261)</f>
        <v>0</v>
      </c>
      <c r="V13" s="76">
        <f>SUMIF($B$2:$B$1261,$Q$13,$N$2:$N$1261)</f>
        <v>0</v>
      </c>
      <c r="W13" s="76">
        <f>SUMIF($B$2:$B$1261,$Q$13,$O$2:$O$1261)</f>
        <v>0</v>
      </c>
      <c r="X13" s="54">
        <f>$R$13-$U$13</f>
        <v>0</v>
      </c>
      <c r="Y13" s="54">
        <f>$S$13-$V$13</f>
        <v>0</v>
      </c>
      <c r="Z13" s="54">
        <f>$T$13-$W$13</f>
        <v>0</v>
      </c>
      <c r="AA13" s="54">
        <f>SUMIF(EFEITO!$B$2:$B$1261,$Q$13,EFEITO!$AE$2:$AE$1261)</f>
        <v>0</v>
      </c>
      <c r="AB13" s="54">
        <f>SUMIF(EFEITO!$B$2:$B$1261,$Q$13,EFEITO!$AF$2:$AF$1261)</f>
        <v>0</v>
      </c>
      <c r="AC13" s="54">
        <f>SUMIF(EFEITO!$B$2:$B$1261,$Q$13,EFEITO!$AG$2:$AH$1261)</f>
        <v>0</v>
      </c>
      <c r="AD13" s="54">
        <f>SUMIF(SUBSIDIO!$B$2:$B$1261,$Q$13,SUBSIDIO!$AD$2:$AD$1261)</f>
        <v>0</v>
      </c>
      <c r="AE13" s="54">
        <f>SUMIF(SUBSIDIO!$B$2:$B$1261,$Q$13,SUBSIDIO!$AE$2:$AE$1261)</f>
        <v>0</v>
      </c>
      <c r="AF13" s="54" t="str">
        <f>IF(ABS($X$13-$AA$13)&lt;0.01,"OK","ERRO")</f>
        <v>OK</v>
      </c>
      <c r="AG13" s="54" t="str">
        <f>IF(ABS($Y$13-$AB$13)&lt;0.01,"OK","ERRO")</f>
        <v>OK</v>
      </c>
      <c r="AH13" s="54" t="str">
        <f>IF(ABS($Z$13-$AC$13)&lt;0.01,"OK","ERRO")</f>
        <v>OK</v>
      </c>
      <c r="AI13" s="54" t="str">
        <f>IF(ABS($U$13-$AD$13)&lt;0.01,"OK","ERRO")</f>
        <v>OK</v>
      </c>
      <c r="AJ13" s="54" t="str">
        <f>IF(ABS(($V$13+$W$13)-$AE$13)&lt;0.01,"OK","ERRO")</f>
        <v>OK</v>
      </c>
    </row>
    <row r="14" spans="1:40" ht="11.25" customHeight="1" x14ac:dyDescent="0.2">
      <c r="A14" s="53" t="s">
        <v>21</v>
      </c>
      <c r="B14" s="53" t="s">
        <v>39</v>
      </c>
      <c r="C14" s="53" t="s">
        <v>42</v>
      </c>
      <c r="D14" s="53" t="s">
        <v>41</v>
      </c>
      <c r="E14" s="53" t="s">
        <v>25</v>
      </c>
      <c r="F14" s="53" t="s">
        <v>25</v>
      </c>
      <c r="G14" s="53" t="s">
        <v>25</v>
      </c>
      <c r="H14" s="53" t="s">
        <v>35</v>
      </c>
      <c r="I14" s="75">
        <v>44621</v>
      </c>
      <c r="J14" s="76">
        <f ca="1">EFEITO!$J$14*EFEITO!$Y$14</f>
        <v>7716.1788579360064</v>
      </c>
      <c r="K14" s="76">
        <f ca="1">EFEITO!$L$14*EFEITO!$Z$14</f>
        <v>19864.980442322361</v>
      </c>
      <c r="L14" s="76">
        <f>EFEITO!$N$14*EFEITO!$AA$14</f>
        <v>40922.127747401835</v>
      </c>
      <c r="M14" s="76">
        <f ca="1">$J$14-EFEITO!$K$14*EFEITO!$Y$14</f>
        <v>0</v>
      </c>
      <c r="N14" s="76">
        <f ca="1">$K$14-EFEITO!$M$14*EFEITO!$Z$14</f>
        <v>0</v>
      </c>
      <c r="O14" s="76">
        <f>$L$14-EFEITO!$O$14*EFEITO!$AA$14</f>
        <v>0</v>
      </c>
      <c r="P14" s="57"/>
      <c r="Q14" s="57"/>
      <c r="R14" s="57"/>
      <c r="S14" s="57"/>
      <c r="T14" s="57"/>
      <c r="U14" s="57"/>
      <c r="V14" s="57"/>
      <c r="W14" s="57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53" t="s">
        <v>28</v>
      </c>
      <c r="B15" s="53" t="s">
        <v>39</v>
      </c>
      <c r="C15" s="53" t="s">
        <v>42</v>
      </c>
      <c r="D15" s="53" t="s">
        <v>41</v>
      </c>
      <c r="E15" s="53" t="s">
        <v>25</v>
      </c>
      <c r="F15" s="53" t="s">
        <v>25</v>
      </c>
      <c r="G15" s="53" t="s">
        <v>25</v>
      </c>
      <c r="H15" s="53" t="s">
        <v>35</v>
      </c>
      <c r="I15" s="75">
        <v>44621</v>
      </c>
      <c r="J15" s="76">
        <f ca="1">EFEITO!$J$15*EFEITO!$Y$15</f>
        <v>698.13046809897196</v>
      </c>
      <c r="K15" s="76">
        <f ca="1">EFEITO!$L$15*EFEITO!$Z$15</f>
        <v>908.24108959779107</v>
      </c>
      <c r="L15" s="76">
        <f>EFEITO!$N$15*EFEITO!$AA$15</f>
        <v>1870.9888993787065</v>
      </c>
      <c r="M15" s="76">
        <f ca="1">$J$15-EFEITO!$K$15*EFEITO!$Y$15</f>
        <v>0</v>
      </c>
      <c r="N15" s="76">
        <f ca="1">$K$15-EFEITO!$M$15*EFEITO!$Z$15</f>
        <v>0</v>
      </c>
      <c r="O15" s="76">
        <f>$L$15-EFEITO!$O$15*EFEITO!$AA$15</f>
        <v>0</v>
      </c>
      <c r="P15" s="57"/>
      <c r="Q15" s="57"/>
      <c r="R15" s="57"/>
      <c r="S15" s="57"/>
      <c r="T15" s="57"/>
      <c r="U15" s="57"/>
      <c r="V15" s="57"/>
      <c r="W15" s="57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53" t="s">
        <v>21</v>
      </c>
      <c r="B16" s="53" t="s">
        <v>39</v>
      </c>
      <c r="C16" s="53" t="s">
        <v>42</v>
      </c>
      <c r="D16" s="53" t="s">
        <v>41</v>
      </c>
      <c r="E16" s="53" t="s">
        <v>25</v>
      </c>
      <c r="F16" s="53" t="s">
        <v>25</v>
      </c>
      <c r="G16" s="53" t="s">
        <v>25</v>
      </c>
      <c r="H16" s="53" t="s">
        <v>35</v>
      </c>
      <c r="I16" s="75">
        <v>44652</v>
      </c>
      <c r="J16" s="76">
        <f ca="1">EFEITO!$J$16*EFEITO!$Y$16</f>
        <v>7458.972896004806</v>
      </c>
      <c r="K16" s="76">
        <f ca="1">EFEITO!$L$16*EFEITO!$Z$16</f>
        <v>18083.868903572249</v>
      </c>
      <c r="L16" s="76">
        <f>EFEITO!$N$16*EFEITO!$AA$16</f>
        <v>37253.013945214647</v>
      </c>
      <c r="M16" s="76">
        <f ca="1">$J$16-EFEITO!$K$16*EFEITO!$Y$16</f>
        <v>0</v>
      </c>
      <c r="N16" s="76">
        <f ca="1">$K$16-EFEITO!$M$16*EFEITO!$Z$16</f>
        <v>0</v>
      </c>
      <c r="O16" s="76">
        <f>$L$16-EFEITO!$O$16*EFEITO!$AA$16</f>
        <v>0</v>
      </c>
      <c r="P16" s="57"/>
      <c r="Q16" s="57"/>
      <c r="R16" s="57"/>
      <c r="S16" s="57"/>
      <c r="T16" s="57"/>
      <c r="U16" s="57"/>
      <c r="V16" s="57"/>
      <c r="W16" s="57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53" t="s">
        <v>28</v>
      </c>
      <c r="B17" s="53" t="s">
        <v>39</v>
      </c>
      <c r="C17" s="53" t="s">
        <v>42</v>
      </c>
      <c r="D17" s="53" t="s">
        <v>41</v>
      </c>
      <c r="E17" s="53" t="s">
        <v>25</v>
      </c>
      <c r="F17" s="53" t="s">
        <v>25</v>
      </c>
      <c r="G17" s="53" t="s">
        <v>25</v>
      </c>
      <c r="H17" s="53" t="s">
        <v>35</v>
      </c>
      <c r="I17" s="75">
        <v>44652</v>
      </c>
      <c r="J17" s="76">
        <f ca="1">EFEITO!$J$17*EFEITO!$Y$17</f>
        <v>698.13046809897196</v>
      </c>
      <c r="K17" s="76">
        <f ca="1">EFEITO!$L$17*EFEITO!$Z$17</f>
        <v>867.83864256174797</v>
      </c>
      <c r="L17" s="76">
        <f>EFEITO!$N$17*EFEITO!$AA$17</f>
        <v>1787.7593133382329</v>
      </c>
      <c r="M17" s="76">
        <f ca="1">$J$17-EFEITO!$K$17*EFEITO!$Y$17</f>
        <v>0</v>
      </c>
      <c r="N17" s="76">
        <f ca="1">$K$17-EFEITO!$M$17*EFEITO!$Z$17</f>
        <v>0</v>
      </c>
      <c r="O17" s="76">
        <f>$L$17-EFEITO!$O$17*EFEITO!$AA$17</f>
        <v>0</v>
      </c>
      <c r="P17" s="57"/>
      <c r="Q17" s="57"/>
      <c r="R17" s="57"/>
      <c r="S17" s="57"/>
      <c r="T17" s="57"/>
      <c r="U17" s="57"/>
      <c r="V17" s="57"/>
      <c r="W17" s="57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53" t="s">
        <v>21</v>
      </c>
      <c r="B18" s="53" t="s">
        <v>39</v>
      </c>
      <c r="C18" s="53" t="s">
        <v>42</v>
      </c>
      <c r="D18" s="53" t="s">
        <v>41</v>
      </c>
      <c r="E18" s="53" t="s">
        <v>25</v>
      </c>
      <c r="F18" s="53" t="s">
        <v>25</v>
      </c>
      <c r="G18" s="53" t="s">
        <v>25</v>
      </c>
      <c r="H18" s="53" t="s">
        <v>35</v>
      </c>
      <c r="I18" s="75">
        <v>44682</v>
      </c>
      <c r="J18" s="76">
        <f ca="1">EFEITO!$J$18*EFEITO!$Y$18</f>
        <v>7936.6411110198924</v>
      </c>
      <c r="K18" s="76">
        <f ca="1">EFEITO!$L$18*EFEITO!$Z$18</f>
        <v>15924.927887594969</v>
      </c>
      <c r="L18" s="76">
        <f>EFEITO!$N$18*EFEITO!$AA$18</f>
        <v>32805.566321923696</v>
      </c>
      <c r="M18" s="76">
        <f ca="1">$J$18-EFEITO!$K$18*EFEITO!$Y$18</f>
        <v>0</v>
      </c>
      <c r="N18" s="76">
        <f ca="1">$K$18-EFEITO!$M$18*EFEITO!$Z$18</f>
        <v>0</v>
      </c>
      <c r="O18" s="76">
        <f>$L$18-EFEITO!$O$18*EFEITO!$AA$18</f>
        <v>0</v>
      </c>
      <c r="P18" s="57"/>
      <c r="Q18" s="57"/>
      <c r="R18" s="57"/>
      <c r="S18" s="57"/>
      <c r="T18" s="57"/>
      <c r="U18" s="57"/>
      <c r="V18" s="57"/>
      <c r="W18" s="57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53" t="s">
        <v>28</v>
      </c>
      <c r="B19" s="53" t="s">
        <v>39</v>
      </c>
      <c r="C19" s="53" t="s">
        <v>42</v>
      </c>
      <c r="D19" s="53" t="s">
        <v>41</v>
      </c>
      <c r="E19" s="53" t="s">
        <v>25</v>
      </c>
      <c r="F19" s="53" t="s">
        <v>25</v>
      </c>
      <c r="G19" s="53" t="s">
        <v>25</v>
      </c>
      <c r="H19" s="53" t="s">
        <v>35</v>
      </c>
      <c r="I19" s="75">
        <v>44682</v>
      </c>
      <c r="J19" s="76">
        <f ca="1">EFEITO!$J$19*EFEITO!$Y$19</f>
        <v>698.13046809897196</v>
      </c>
      <c r="K19" s="76">
        <f ca="1">EFEITO!$L$19*EFEITO!$Z$19</f>
        <v>829.80410450950228</v>
      </c>
      <c r="L19" s="76">
        <f>EFEITO!$N$19*EFEITO!$AA$19</f>
        <v>1709.407651754344</v>
      </c>
      <c r="M19" s="76">
        <f ca="1">$J$19-EFEITO!$K$19*EFEITO!$Y$19</f>
        <v>0</v>
      </c>
      <c r="N19" s="76">
        <f ca="1">$K$19-EFEITO!$M$19*EFEITO!$Z$19</f>
        <v>0</v>
      </c>
      <c r="O19" s="76">
        <f>$L$19-EFEITO!$O$19*EFEITO!$AA$19</f>
        <v>0</v>
      </c>
      <c r="P19" s="57"/>
      <c r="Q19" s="57"/>
      <c r="R19" s="57"/>
      <c r="S19" s="57"/>
      <c r="T19" s="57"/>
      <c r="U19" s="57"/>
      <c r="V19" s="57"/>
      <c r="W19" s="57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53" t="s">
        <v>21</v>
      </c>
      <c r="B20" s="53" t="s">
        <v>39</v>
      </c>
      <c r="C20" s="53" t="s">
        <v>42</v>
      </c>
      <c r="D20" s="53" t="s">
        <v>41</v>
      </c>
      <c r="E20" s="53" t="s">
        <v>25</v>
      </c>
      <c r="F20" s="53" t="s">
        <v>25</v>
      </c>
      <c r="G20" s="53" t="s">
        <v>25</v>
      </c>
      <c r="H20" s="53" t="s">
        <v>35</v>
      </c>
      <c r="I20" s="75">
        <v>44713</v>
      </c>
      <c r="J20" s="76">
        <f ca="1">EFEITO!$J$20*EFEITO!$Y$20</f>
        <v>7348.741769462863</v>
      </c>
      <c r="K20" s="76">
        <f ca="1">EFEITO!$L$20*EFEITO!$Z$20</f>
        <v>15518.683502562226</v>
      </c>
      <c r="L20" s="76">
        <f>EFEITO!$N$20*EFEITO!$AA$20</f>
        <v>31968.697407340911</v>
      </c>
      <c r="M20" s="76">
        <f ca="1">$J$20-EFEITO!$K$20*EFEITO!$Y$20</f>
        <v>0</v>
      </c>
      <c r="N20" s="76">
        <f ca="1">$K$20-EFEITO!$M$20*EFEITO!$Z$20</f>
        <v>0</v>
      </c>
      <c r="O20" s="76">
        <f>$L$20-EFEITO!$O$20*EFEITO!$AA$20</f>
        <v>0</v>
      </c>
      <c r="P20" s="57"/>
      <c r="Q20" s="57"/>
      <c r="R20" s="57"/>
      <c r="S20" s="57"/>
      <c r="T20" s="57"/>
      <c r="U20" s="57"/>
      <c r="V20" s="57"/>
      <c r="W20" s="57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53" t="s">
        <v>28</v>
      </c>
      <c r="B21" s="53" t="s">
        <v>39</v>
      </c>
      <c r="C21" s="53" t="s">
        <v>42</v>
      </c>
      <c r="D21" s="53" t="s">
        <v>41</v>
      </c>
      <c r="E21" s="53" t="s">
        <v>25</v>
      </c>
      <c r="F21" s="53" t="s">
        <v>25</v>
      </c>
      <c r="G21" s="53" t="s">
        <v>25</v>
      </c>
      <c r="H21" s="53" t="s">
        <v>35</v>
      </c>
      <c r="I21" s="75">
        <v>44713</v>
      </c>
      <c r="J21" s="76">
        <f ca="1">EFEITO!$J$21*EFEITO!$Y$21</f>
        <v>698.13046809897196</v>
      </c>
      <c r="K21" s="76">
        <f ca="1">EFEITO!$L$21*EFEITO!$Z$21</f>
        <v>754.77098858542195</v>
      </c>
      <c r="L21" s="76">
        <f>EFEITO!$N$21*EFEITO!$AA$21</f>
        <v>1554.8384205363211</v>
      </c>
      <c r="M21" s="76">
        <f ca="1">$J$21-EFEITO!$K$21*EFEITO!$Y$21</f>
        <v>0</v>
      </c>
      <c r="N21" s="76">
        <f ca="1">$K$21-EFEITO!$M$21*EFEITO!$Z$21</f>
        <v>0</v>
      </c>
      <c r="O21" s="76">
        <f>$L$21-EFEITO!$O$21*EFEITO!$AA$21</f>
        <v>0</v>
      </c>
      <c r="P21" s="57"/>
      <c r="Q21" s="57"/>
      <c r="R21" s="57"/>
      <c r="S21" s="57"/>
      <c r="T21" s="57"/>
      <c r="U21" s="57"/>
      <c r="V21" s="57"/>
      <c r="W21" s="57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53" t="s">
        <v>21</v>
      </c>
      <c r="B22" s="53" t="s">
        <v>39</v>
      </c>
      <c r="C22" s="53" t="s">
        <v>42</v>
      </c>
      <c r="D22" s="53" t="s">
        <v>41</v>
      </c>
      <c r="E22" s="53" t="s">
        <v>25</v>
      </c>
      <c r="F22" s="53" t="s">
        <v>25</v>
      </c>
      <c r="G22" s="53" t="s">
        <v>25</v>
      </c>
      <c r="H22" s="53" t="s">
        <v>35</v>
      </c>
      <c r="I22" s="75">
        <v>44743</v>
      </c>
      <c r="J22" s="76">
        <f ca="1">EFEITO!$J$22*EFEITO!$Y$22</f>
        <v>7458.972896004806</v>
      </c>
      <c r="K22" s="76">
        <f ca="1">EFEITO!$L$22*EFEITO!$Z$22</f>
        <v>15627.903304439882</v>
      </c>
      <c r="L22" s="76">
        <f>EFEITO!$N$22*EFEITO!$AA$22</f>
        <v>32193.691672900874</v>
      </c>
      <c r="M22" s="76">
        <f ca="1">$J$22-EFEITO!$K$22*EFEITO!$Y$22</f>
        <v>0</v>
      </c>
      <c r="N22" s="76">
        <f ca="1">$K$22-EFEITO!$M$22*EFEITO!$Z$22</f>
        <v>0</v>
      </c>
      <c r="O22" s="76">
        <f>$L$22-EFEITO!$O$22*EFEITO!$AA$22</f>
        <v>0</v>
      </c>
      <c r="P22" s="57"/>
      <c r="Q22" s="57"/>
      <c r="R22" s="57"/>
      <c r="S22" s="57"/>
      <c r="T22" s="57"/>
      <c r="U22" s="57"/>
      <c r="V22" s="57"/>
      <c r="W22" s="57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53" t="s">
        <v>28</v>
      </c>
      <c r="B23" s="53" t="s">
        <v>39</v>
      </c>
      <c r="C23" s="53" t="s">
        <v>42</v>
      </c>
      <c r="D23" s="53" t="s">
        <v>41</v>
      </c>
      <c r="E23" s="53" t="s">
        <v>25</v>
      </c>
      <c r="F23" s="53" t="s">
        <v>25</v>
      </c>
      <c r="G23" s="53" t="s">
        <v>25</v>
      </c>
      <c r="H23" s="53" t="s">
        <v>35</v>
      </c>
      <c r="I23" s="75">
        <v>44743</v>
      </c>
      <c r="J23" s="76">
        <f ca="1">EFEITO!$J$23*EFEITO!$Y$23</f>
        <v>698.13046809897196</v>
      </c>
      <c r="K23" s="76">
        <f ca="1">EFEITO!$L$23*EFEITO!$Z$23</f>
        <v>793.10151526064249</v>
      </c>
      <c r="L23" s="76">
        <f>EFEITO!$N$23*EFEITO!$AA$23</f>
        <v>1633.7998226772836</v>
      </c>
      <c r="M23" s="76">
        <f ca="1">$J$23-EFEITO!$K$23*EFEITO!$Y$23</f>
        <v>0</v>
      </c>
      <c r="N23" s="76">
        <f ca="1">$K$23-EFEITO!$M$23*EFEITO!$Z$23</f>
        <v>0</v>
      </c>
      <c r="O23" s="76">
        <f>$L$23-EFEITO!$O$23*EFEITO!$AA$23</f>
        <v>0</v>
      </c>
      <c r="P23" s="57"/>
      <c r="Q23" s="57"/>
      <c r="R23" s="57"/>
      <c r="S23" s="57"/>
      <c r="T23" s="57"/>
      <c r="U23" s="57"/>
      <c r="V23" s="57"/>
      <c r="W23" s="57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53" t="s">
        <v>56</v>
      </c>
      <c r="B24" s="53" t="s">
        <v>39</v>
      </c>
      <c r="C24" s="53" t="s">
        <v>42</v>
      </c>
      <c r="D24" s="53" t="s">
        <v>41</v>
      </c>
      <c r="E24" s="53" t="s">
        <v>25</v>
      </c>
      <c r="F24" s="53" t="s">
        <v>25</v>
      </c>
      <c r="G24" s="53" t="s">
        <v>25</v>
      </c>
      <c r="H24" s="53" t="s">
        <v>35</v>
      </c>
      <c r="I24" s="75">
        <v>44774</v>
      </c>
      <c r="J24" s="76">
        <f ca="1">EFEITO!$J$24*EFEITO!$Y$24</f>
        <v>7458.972896004806</v>
      </c>
      <c r="K24" s="76">
        <f ca="1">EFEITO!$L$24*EFEITO!$Z$24</f>
        <v>15627.903304439882</v>
      </c>
      <c r="L24" s="76">
        <f>EFEITO!$N$24*EFEITO!$AA$24</f>
        <v>32193.691672900874</v>
      </c>
      <c r="M24" s="76">
        <f ca="1">$J$24-EFEITO!$K$24*EFEITO!$Y$24</f>
        <v>0</v>
      </c>
      <c r="N24" s="76">
        <f ca="1">$K$24-EFEITO!$M$24*EFEITO!$Z$24</f>
        <v>0</v>
      </c>
      <c r="O24" s="76">
        <f>$L$24-EFEITO!$O$24*EFEITO!$AA$24</f>
        <v>0</v>
      </c>
      <c r="P24" s="57"/>
      <c r="Q24" s="57"/>
      <c r="R24" s="57"/>
      <c r="S24" s="57"/>
      <c r="T24" s="57"/>
      <c r="U24" s="57"/>
      <c r="V24" s="57"/>
      <c r="W24" s="57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53" t="s">
        <v>56</v>
      </c>
      <c r="B25" s="53" t="s">
        <v>39</v>
      </c>
      <c r="C25" s="53" t="s">
        <v>42</v>
      </c>
      <c r="D25" s="53" t="s">
        <v>41</v>
      </c>
      <c r="E25" s="53" t="s">
        <v>25</v>
      </c>
      <c r="F25" s="53" t="s">
        <v>25</v>
      </c>
      <c r="G25" s="53" t="s">
        <v>25</v>
      </c>
      <c r="H25" s="53" t="s">
        <v>35</v>
      </c>
      <c r="I25" s="75">
        <v>44774</v>
      </c>
      <c r="J25" s="76">
        <f ca="1">EFEITO!$J$25*EFEITO!$Y$25</f>
        <v>698.13046809897196</v>
      </c>
      <c r="K25" s="76">
        <f ca="1">EFEITO!$L$25*EFEITO!$Z$25</f>
        <v>793.10151526064249</v>
      </c>
      <c r="L25" s="76">
        <f>EFEITO!$N$25*EFEITO!$AA$25</f>
        <v>1633.7998226772836</v>
      </c>
      <c r="M25" s="76">
        <f ca="1">$J$25-EFEITO!$K$25*EFEITO!$Y$25</f>
        <v>0</v>
      </c>
      <c r="N25" s="76">
        <f ca="1">$K$25-EFEITO!$M$25*EFEITO!$Z$25</f>
        <v>0</v>
      </c>
      <c r="O25" s="76">
        <f>$L$25-EFEITO!$O$25*EFEITO!$AA$25</f>
        <v>0</v>
      </c>
      <c r="P25" s="57"/>
      <c r="Q25" s="57"/>
      <c r="R25" s="57"/>
      <c r="S25" s="57"/>
      <c r="T25" s="57"/>
      <c r="U25" s="57"/>
      <c r="V25" s="57"/>
      <c r="W25" s="57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53" t="s">
        <v>21</v>
      </c>
      <c r="B26" s="53" t="s">
        <v>39</v>
      </c>
      <c r="C26" s="53" t="s">
        <v>42</v>
      </c>
      <c r="D26" s="53" t="s">
        <v>41</v>
      </c>
      <c r="E26" s="53" t="s">
        <v>25</v>
      </c>
      <c r="F26" s="53" t="s">
        <v>25</v>
      </c>
      <c r="G26" s="53" t="s">
        <v>25</v>
      </c>
      <c r="H26" s="53" t="s">
        <v>34</v>
      </c>
      <c r="I26" s="75">
        <v>44440</v>
      </c>
      <c r="J26" s="76">
        <f ca="1">EFEITO!$J$26*EFEITO!$Y$26</f>
        <v>18520.369052606533</v>
      </c>
      <c r="K26" s="76">
        <f ca="1">EFEITO!$L$26*EFEITO!$Z$26</f>
        <v>1599.0785356206834</v>
      </c>
      <c r="L26" s="76">
        <f>EFEITO!$N$26*EFEITO!$AA$26</f>
        <v>5249.8899252022611</v>
      </c>
      <c r="M26" s="76">
        <f ca="1">$J$26-EFEITO!$K$26*EFEITO!$Y$26</f>
        <v>0</v>
      </c>
      <c r="N26" s="76">
        <f ca="1">$K$26-EFEITO!$M$26*EFEITO!$Z$26</f>
        <v>0</v>
      </c>
      <c r="O26" s="76">
        <f>$L$26-EFEITO!$O$26*EFEITO!$AA$26</f>
        <v>0</v>
      </c>
      <c r="P26" s="57"/>
      <c r="Q26" s="57"/>
      <c r="R26" s="57"/>
      <c r="S26" s="57"/>
      <c r="T26" s="57"/>
      <c r="U26" s="57"/>
      <c r="V26" s="57"/>
      <c r="W26" s="57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53" t="s">
        <v>28</v>
      </c>
      <c r="B27" s="53" t="s">
        <v>39</v>
      </c>
      <c r="C27" s="53" t="s">
        <v>42</v>
      </c>
      <c r="D27" s="53" t="s">
        <v>41</v>
      </c>
      <c r="E27" s="53" t="s">
        <v>25</v>
      </c>
      <c r="F27" s="53" t="s">
        <v>25</v>
      </c>
      <c r="G27" s="53" t="s">
        <v>25</v>
      </c>
      <c r="H27" s="53" t="s">
        <v>34</v>
      </c>
      <c r="I27" s="75">
        <v>44440</v>
      </c>
      <c r="J27" s="76">
        <f ca="1">EFEITO!$J$27*EFEITO!$Y$27</f>
        <v>2185.6336149038766</v>
      </c>
      <c r="K27" s="76">
        <f ca="1">EFEITO!$L$27*EFEITO!$Z$27</f>
        <v>120.76335817366751</v>
      </c>
      <c r="L27" s="76">
        <f>EFEITO!$N$27*EFEITO!$AA$27</f>
        <v>396.47479675752379</v>
      </c>
      <c r="M27" s="76">
        <f ca="1">$J$27-EFEITO!$K$27*EFEITO!$Y$27</f>
        <v>0</v>
      </c>
      <c r="N27" s="76">
        <f ca="1">$K$27-EFEITO!$M$27*EFEITO!$Z$27</f>
        <v>0</v>
      </c>
      <c r="O27" s="76">
        <f>$L$27-EFEITO!$O$27*EFEITO!$AA$27</f>
        <v>0</v>
      </c>
      <c r="P27" s="57"/>
      <c r="Q27" s="57"/>
      <c r="R27" s="57"/>
      <c r="S27" s="57"/>
      <c r="T27" s="57"/>
      <c r="U27" s="57"/>
      <c r="V27" s="57"/>
      <c r="W27" s="57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53" t="s">
        <v>21</v>
      </c>
      <c r="B28" s="53" t="s">
        <v>39</v>
      </c>
      <c r="C28" s="53" t="s">
        <v>42</v>
      </c>
      <c r="D28" s="53" t="s">
        <v>41</v>
      </c>
      <c r="E28" s="53" t="s">
        <v>25</v>
      </c>
      <c r="F28" s="53" t="s">
        <v>25</v>
      </c>
      <c r="G28" s="53" t="s">
        <v>25</v>
      </c>
      <c r="H28" s="53" t="s">
        <v>34</v>
      </c>
      <c r="I28" s="75">
        <v>44470</v>
      </c>
      <c r="J28" s="76">
        <f ca="1">EFEITO!$J$28*EFEITO!$Y$28</f>
        <v>19498.152511905635</v>
      </c>
      <c r="K28" s="76">
        <f ca="1">EFEITO!$L$28*EFEITO!$Z$28</f>
        <v>1799.3148390630511</v>
      </c>
      <c r="L28" s="76">
        <f>EFEITO!$N$28*EFEITO!$AA$28</f>
        <v>5907.2801212965369</v>
      </c>
      <c r="M28" s="76">
        <f ca="1">$J$28-EFEITO!$K$28*EFEITO!$Y$28</f>
        <v>0</v>
      </c>
      <c r="N28" s="76">
        <f ca="1">$K$28-EFEITO!$M$28*EFEITO!$Z$28</f>
        <v>0</v>
      </c>
      <c r="O28" s="76">
        <f>$L$28-EFEITO!$O$28*EFEITO!$AA$28</f>
        <v>0</v>
      </c>
      <c r="P28" s="57"/>
      <c r="Q28" s="57"/>
      <c r="R28" s="57"/>
      <c r="S28" s="57"/>
      <c r="T28" s="57"/>
      <c r="U28" s="57"/>
      <c r="V28" s="57"/>
      <c r="W28" s="57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53" t="s">
        <v>28</v>
      </c>
      <c r="B29" s="53" t="s">
        <v>39</v>
      </c>
      <c r="C29" s="53" t="s">
        <v>42</v>
      </c>
      <c r="D29" s="53" t="s">
        <v>41</v>
      </c>
      <c r="E29" s="53" t="s">
        <v>25</v>
      </c>
      <c r="F29" s="53" t="s">
        <v>25</v>
      </c>
      <c r="G29" s="53" t="s">
        <v>25</v>
      </c>
      <c r="H29" s="53" t="s">
        <v>34</v>
      </c>
      <c r="I29" s="75">
        <v>44470</v>
      </c>
      <c r="J29" s="76">
        <f ca="1">EFEITO!$J$29*EFEITO!$Y$29</f>
        <v>2185.6336149038766</v>
      </c>
      <c r="K29" s="76">
        <f ca="1">EFEITO!$L$29*EFEITO!$Z$29</f>
        <v>118.98742643581949</v>
      </c>
      <c r="L29" s="76">
        <f>EFEITO!$N$29*EFEITO!$AA$29</f>
        <v>390.64428504050142</v>
      </c>
      <c r="M29" s="76">
        <f ca="1">$J$29-EFEITO!$K$29*EFEITO!$Y$29</f>
        <v>0</v>
      </c>
      <c r="N29" s="76">
        <f ca="1">$K$29-EFEITO!$M$29*EFEITO!$Z$29</f>
        <v>0</v>
      </c>
      <c r="O29" s="76">
        <f>$L$29-EFEITO!$O$29*EFEITO!$AA$29</f>
        <v>0</v>
      </c>
      <c r="P29" s="57"/>
      <c r="Q29" s="57"/>
      <c r="R29" s="57"/>
      <c r="S29" s="57"/>
      <c r="T29" s="57"/>
      <c r="U29" s="57"/>
      <c r="V29" s="57"/>
      <c r="W29" s="57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53" t="s">
        <v>21</v>
      </c>
      <c r="B30" s="53" t="s">
        <v>39</v>
      </c>
      <c r="C30" s="53" t="s">
        <v>42</v>
      </c>
      <c r="D30" s="53" t="s">
        <v>41</v>
      </c>
      <c r="E30" s="53" t="s">
        <v>25</v>
      </c>
      <c r="F30" s="53" t="s">
        <v>25</v>
      </c>
      <c r="G30" s="53" t="s">
        <v>25</v>
      </c>
      <c r="H30" s="53" t="s">
        <v>34</v>
      </c>
      <c r="I30" s="75">
        <v>44501</v>
      </c>
      <c r="J30" s="76">
        <f ca="1">EFEITO!$J$30*EFEITO!$Y$30</f>
        <v>21741.302800885929</v>
      </c>
      <c r="K30" s="76">
        <f ca="1">EFEITO!$L$30*EFEITO!$Z$30</f>
        <v>1867.5402166587139</v>
      </c>
      <c r="L30" s="76">
        <f>EFEITO!$N$30*EFEITO!$AA$30</f>
        <v>6131.2689464254818</v>
      </c>
      <c r="M30" s="76">
        <f ca="1">$J$30-EFEITO!$K$30*EFEITO!$Y$30</f>
        <v>0</v>
      </c>
      <c r="N30" s="76">
        <f ca="1">$K$30-EFEITO!$M$30*EFEITO!$Z$30</f>
        <v>0</v>
      </c>
      <c r="O30" s="76">
        <f>$L$30-EFEITO!$O$30*EFEITO!$AA$30</f>
        <v>0</v>
      </c>
      <c r="P30" s="57"/>
      <c r="Q30" s="57"/>
      <c r="R30" s="57"/>
      <c r="S30" s="57"/>
      <c r="T30" s="57"/>
      <c r="U30" s="57"/>
      <c r="V30" s="57"/>
      <c r="W30" s="57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53" t="s">
        <v>28</v>
      </c>
      <c r="B31" s="53" t="s">
        <v>39</v>
      </c>
      <c r="C31" s="53" t="s">
        <v>42</v>
      </c>
      <c r="D31" s="53" t="s">
        <v>41</v>
      </c>
      <c r="E31" s="53" t="s">
        <v>25</v>
      </c>
      <c r="F31" s="53" t="s">
        <v>25</v>
      </c>
      <c r="G31" s="53" t="s">
        <v>25</v>
      </c>
      <c r="H31" s="53" t="s">
        <v>34</v>
      </c>
      <c r="I31" s="75">
        <v>44501</v>
      </c>
      <c r="J31" s="76">
        <f ca="1">EFEITO!$J$31*EFEITO!$Y$31</f>
        <v>2185.6336149038766</v>
      </c>
      <c r="K31" s="76">
        <f ca="1">EFEITO!$L$31*EFEITO!$Z$31</f>
        <v>105.81593271344641</v>
      </c>
      <c r="L31" s="76">
        <f>EFEITO!$N$31*EFEITO!$AA$31</f>
        <v>347.40132313925187</v>
      </c>
      <c r="M31" s="76">
        <f ca="1">$J$31-EFEITO!$K$31*EFEITO!$Y$31</f>
        <v>0</v>
      </c>
      <c r="N31" s="76">
        <f ca="1">$K$31-EFEITO!$M$31*EFEITO!$Z$31</f>
        <v>0</v>
      </c>
      <c r="O31" s="76">
        <f>$L$31-EFEITO!$O$31*EFEITO!$AA$31</f>
        <v>0</v>
      </c>
      <c r="P31" s="57"/>
      <c r="Q31" s="57"/>
      <c r="R31" s="57"/>
      <c r="S31" s="57"/>
      <c r="T31" s="57"/>
      <c r="U31" s="57"/>
      <c r="V31" s="57"/>
      <c r="W31" s="57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53" t="s">
        <v>21</v>
      </c>
      <c r="B32" s="53" t="s">
        <v>39</v>
      </c>
      <c r="C32" s="53" t="s">
        <v>42</v>
      </c>
      <c r="D32" s="53" t="s">
        <v>41</v>
      </c>
      <c r="E32" s="53" t="s">
        <v>25</v>
      </c>
      <c r="F32" s="53" t="s">
        <v>25</v>
      </c>
      <c r="G32" s="53" t="s">
        <v>25</v>
      </c>
      <c r="H32" s="53" t="s">
        <v>34</v>
      </c>
      <c r="I32" s="75">
        <v>44531</v>
      </c>
      <c r="J32" s="76">
        <f ca="1">EFEITO!$J$32*EFEITO!$Y$32</f>
        <v>21798.819474962347</v>
      </c>
      <c r="K32" s="76">
        <f ca="1">EFEITO!$L$32*EFEITO!$Z$32</f>
        <v>1897.1390789561815</v>
      </c>
      <c r="L32" s="76">
        <f>EFEITO!$N$32*EFEITO!$AA$32</f>
        <v>6228.4441417091894</v>
      </c>
      <c r="M32" s="76">
        <f ca="1">$J$32-EFEITO!$K$32*EFEITO!$Y$32</f>
        <v>0</v>
      </c>
      <c r="N32" s="76">
        <f ca="1">$K$32-EFEITO!$M$32*EFEITO!$Z$32</f>
        <v>0</v>
      </c>
      <c r="O32" s="76">
        <f>$L$32-EFEITO!$O$32*EFEITO!$AA$32</f>
        <v>0</v>
      </c>
      <c r="P32" s="57"/>
      <c r="Q32" s="57"/>
      <c r="R32" s="57"/>
      <c r="S32" s="57"/>
      <c r="T32" s="57"/>
      <c r="U32" s="57"/>
      <c r="V32" s="57"/>
      <c r="W32" s="57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53" t="s">
        <v>28</v>
      </c>
      <c r="B33" s="53" t="s">
        <v>39</v>
      </c>
      <c r="C33" s="53" t="s">
        <v>42</v>
      </c>
      <c r="D33" s="53" t="s">
        <v>41</v>
      </c>
      <c r="E33" s="53" t="s">
        <v>25</v>
      </c>
      <c r="F33" s="53" t="s">
        <v>25</v>
      </c>
      <c r="G33" s="53" t="s">
        <v>25</v>
      </c>
      <c r="H33" s="53" t="s">
        <v>34</v>
      </c>
      <c r="I33" s="75">
        <v>44531</v>
      </c>
      <c r="J33" s="76">
        <f ca="1">EFEITO!$J$33*EFEITO!$Y$33</f>
        <v>2185.6336149038766</v>
      </c>
      <c r="K33" s="76">
        <f ca="1">EFEITO!$L$33*EFEITO!$Z$33</f>
        <v>142.66651627379349</v>
      </c>
      <c r="L33" s="76">
        <f>EFEITO!$N$33*EFEITO!$AA$33</f>
        <v>468.38444126746685</v>
      </c>
      <c r="M33" s="76">
        <f ca="1">$J$33-EFEITO!$K$33*EFEITO!$Y$33</f>
        <v>0</v>
      </c>
      <c r="N33" s="76">
        <f ca="1">$K$33-EFEITO!$M$33*EFEITO!$Z$33</f>
        <v>0</v>
      </c>
      <c r="O33" s="76">
        <f>$L$33-EFEITO!$O$33*EFEITO!$AA$33</f>
        <v>0</v>
      </c>
      <c r="P33" s="57"/>
      <c r="Q33" s="57"/>
      <c r="R33" s="57"/>
      <c r="S33" s="57"/>
      <c r="T33" s="57"/>
      <c r="U33" s="57"/>
      <c r="V33" s="57"/>
      <c r="W33" s="57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53" t="s">
        <v>21</v>
      </c>
      <c r="B34" s="53" t="s">
        <v>39</v>
      </c>
      <c r="C34" s="53" t="s">
        <v>42</v>
      </c>
      <c r="D34" s="53" t="s">
        <v>41</v>
      </c>
      <c r="E34" s="53" t="s">
        <v>25</v>
      </c>
      <c r="F34" s="53" t="s">
        <v>25</v>
      </c>
      <c r="G34" s="53" t="s">
        <v>25</v>
      </c>
      <c r="H34" s="53" t="s">
        <v>34</v>
      </c>
      <c r="I34" s="75">
        <v>44562</v>
      </c>
      <c r="J34" s="76">
        <f ca="1">EFEITO!$J$34*EFEITO!$Y$34</f>
        <v>22201.436193497269</v>
      </c>
      <c r="K34" s="76">
        <f ca="1">EFEITO!$L$34*EFEITO!$Z$34</f>
        <v>1842.6771723288412</v>
      </c>
      <c r="L34" s="76">
        <f>EFEITO!$N$34*EFEITO!$AA$34</f>
        <v>6049.641782387168</v>
      </c>
      <c r="M34" s="76">
        <f ca="1">$J$34-EFEITO!$K$34*EFEITO!$Y$34</f>
        <v>0</v>
      </c>
      <c r="N34" s="76">
        <f ca="1">$K$34-EFEITO!$M$34*EFEITO!$Z$34</f>
        <v>0</v>
      </c>
      <c r="O34" s="76">
        <f>$L$34-EFEITO!$O$34*EFEITO!$AA$34</f>
        <v>0</v>
      </c>
      <c r="P34" s="57"/>
      <c r="Q34" s="57"/>
      <c r="R34" s="57"/>
      <c r="S34" s="57"/>
      <c r="T34" s="57"/>
      <c r="U34" s="57"/>
      <c r="V34" s="57"/>
      <c r="W34" s="57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53" t="s">
        <v>28</v>
      </c>
      <c r="B35" s="53" t="s">
        <v>39</v>
      </c>
      <c r="C35" s="53" t="s">
        <v>42</v>
      </c>
      <c r="D35" s="53" t="s">
        <v>41</v>
      </c>
      <c r="E35" s="53" t="s">
        <v>25</v>
      </c>
      <c r="F35" s="53" t="s">
        <v>25</v>
      </c>
      <c r="G35" s="53" t="s">
        <v>25</v>
      </c>
      <c r="H35" s="53" t="s">
        <v>34</v>
      </c>
      <c r="I35" s="75">
        <v>44562</v>
      </c>
      <c r="J35" s="76">
        <f ca="1">EFEITO!$J$35*EFEITO!$Y$35</f>
        <v>2185.6336149038766</v>
      </c>
      <c r="K35" s="76">
        <f ca="1">EFEITO!$L$35*EFEITO!$Z$35</f>
        <v>131.41894860075584</v>
      </c>
      <c r="L35" s="76">
        <f>EFEITO!$N$35*EFEITO!$AA$35</f>
        <v>431.45786705965827</v>
      </c>
      <c r="M35" s="76">
        <f ca="1">$J$35-EFEITO!$K$35*EFEITO!$Y$35</f>
        <v>0</v>
      </c>
      <c r="N35" s="76">
        <f ca="1">$K$35-EFEITO!$M$35*EFEITO!$Z$35</f>
        <v>0</v>
      </c>
      <c r="O35" s="76">
        <f>$L$35-EFEITO!$O$35*EFEITO!$AA$35</f>
        <v>0</v>
      </c>
      <c r="P35" s="57"/>
      <c r="Q35" s="57"/>
      <c r="R35" s="57"/>
      <c r="S35" s="57"/>
      <c r="T35" s="57"/>
      <c r="U35" s="57"/>
      <c r="V35" s="57"/>
      <c r="W35" s="57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53" t="s">
        <v>21</v>
      </c>
      <c r="B36" s="53" t="s">
        <v>39</v>
      </c>
      <c r="C36" s="53" t="s">
        <v>42</v>
      </c>
      <c r="D36" s="53" t="s">
        <v>41</v>
      </c>
      <c r="E36" s="53" t="s">
        <v>25</v>
      </c>
      <c r="F36" s="53" t="s">
        <v>25</v>
      </c>
      <c r="G36" s="53" t="s">
        <v>25</v>
      </c>
      <c r="H36" s="53" t="s">
        <v>34</v>
      </c>
      <c r="I36" s="75">
        <v>44593</v>
      </c>
      <c r="J36" s="76">
        <f ca="1">EFEITO!$J$36*EFEITO!$Y$36</f>
        <v>20936.069363816081</v>
      </c>
      <c r="K36" s="76">
        <f ca="1">EFEITO!$L$36*EFEITO!$Z$36</f>
        <v>1772.9718516183052</v>
      </c>
      <c r="L36" s="76">
        <f>EFEITO!$N$36*EFEITO!$AA$36</f>
        <v>5820.7941974940386</v>
      </c>
      <c r="M36" s="76">
        <f ca="1">$J$36-EFEITO!$K$36*EFEITO!$Y$36</f>
        <v>0</v>
      </c>
      <c r="N36" s="76">
        <f ca="1">$K$36-EFEITO!$M$36*EFEITO!$Z$36</f>
        <v>0</v>
      </c>
      <c r="O36" s="76">
        <f>$L$36-EFEITO!$O$36*EFEITO!$AA$36</f>
        <v>0</v>
      </c>
      <c r="P36" s="57"/>
      <c r="Q36" s="57"/>
      <c r="R36" s="57"/>
      <c r="S36" s="57"/>
      <c r="T36" s="57"/>
      <c r="U36" s="57"/>
      <c r="V36" s="57"/>
      <c r="W36" s="57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53" t="s">
        <v>28</v>
      </c>
      <c r="B37" s="53" t="s">
        <v>39</v>
      </c>
      <c r="C37" s="53" t="s">
        <v>42</v>
      </c>
      <c r="D37" s="53" t="s">
        <v>41</v>
      </c>
      <c r="E37" s="53" t="s">
        <v>25</v>
      </c>
      <c r="F37" s="53" t="s">
        <v>25</v>
      </c>
      <c r="G37" s="53" t="s">
        <v>25</v>
      </c>
      <c r="H37" s="53" t="s">
        <v>34</v>
      </c>
      <c r="I37" s="75">
        <v>44593</v>
      </c>
      <c r="J37" s="76">
        <f ca="1">EFEITO!$J$37*EFEITO!$Y$37</f>
        <v>2185.6336149038766</v>
      </c>
      <c r="K37" s="76">
        <f ca="1">EFEITO!$L$37*EFEITO!$Z$37</f>
        <v>130.82697135480649</v>
      </c>
      <c r="L37" s="76">
        <f>EFEITO!$N$37*EFEITO!$AA$37</f>
        <v>429.51436315398416</v>
      </c>
      <c r="M37" s="76">
        <f ca="1">$J$37-EFEITO!$K$37*EFEITO!$Y$37</f>
        <v>0</v>
      </c>
      <c r="N37" s="76">
        <f ca="1">$K$37-EFEITO!$M$37*EFEITO!$Z$37</f>
        <v>0</v>
      </c>
      <c r="O37" s="76">
        <f>$L$37-EFEITO!$O$37*EFEITO!$AA$37</f>
        <v>0</v>
      </c>
      <c r="P37" s="57"/>
      <c r="Q37" s="57"/>
      <c r="R37" s="57"/>
      <c r="S37" s="57"/>
      <c r="T37" s="57"/>
      <c r="U37" s="57"/>
      <c r="V37" s="57"/>
      <c r="W37" s="57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53" t="s">
        <v>21</v>
      </c>
      <c r="B38" s="53" t="s">
        <v>39</v>
      </c>
      <c r="C38" s="53" t="s">
        <v>42</v>
      </c>
      <c r="D38" s="53" t="s">
        <v>41</v>
      </c>
      <c r="E38" s="53" t="s">
        <v>25</v>
      </c>
      <c r="F38" s="53" t="s">
        <v>25</v>
      </c>
      <c r="G38" s="53" t="s">
        <v>25</v>
      </c>
      <c r="H38" s="53" t="s">
        <v>34</v>
      </c>
      <c r="I38" s="75">
        <v>44621</v>
      </c>
      <c r="J38" s="76">
        <f ca="1">EFEITO!$J$38*EFEITO!$Y$38</f>
        <v>19383.119163752799</v>
      </c>
      <c r="K38" s="76">
        <f ca="1">EFEITO!$L$38*EFEITO!$Z$38</f>
        <v>1920.2261915482061</v>
      </c>
      <c r="L38" s="76">
        <f>EFEITO!$N$38*EFEITO!$AA$38</f>
        <v>6304.2407940304793</v>
      </c>
      <c r="M38" s="76">
        <f ca="1">$J$38-EFEITO!$K$38*EFEITO!$Y$38</f>
        <v>0</v>
      </c>
      <c r="N38" s="76">
        <f ca="1">$K$38-EFEITO!$M$38*EFEITO!$Z$38</f>
        <v>0</v>
      </c>
      <c r="O38" s="76">
        <f>$L$38-EFEITO!$O$38*EFEITO!$AA$38</f>
        <v>0</v>
      </c>
      <c r="P38" s="57"/>
      <c r="Q38" s="57"/>
      <c r="R38" s="57"/>
      <c r="S38" s="57"/>
      <c r="T38" s="57"/>
      <c r="U38" s="57"/>
      <c r="V38" s="57"/>
      <c r="W38" s="57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53" t="s">
        <v>28</v>
      </c>
      <c r="B39" s="53" t="s">
        <v>39</v>
      </c>
      <c r="C39" s="53" t="s">
        <v>42</v>
      </c>
      <c r="D39" s="53" t="s">
        <v>41</v>
      </c>
      <c r="E39" s="53" t="s">
        <v>25</v>
      </c>
      <c r="F39" s="53" t="s">
        <v>25</v>
      </c>
      <c r="G39" s="53" t="s">
        <v>25</v>
      </c>
      <c r="H39" s="53" t="s">
        <v>34</v>
      </c>
      <c r="I39" s="75">
        <v>44621</v>
      </c>
      <c r="J39" s="76">
        <f ca="1">EFEITO!$J$39*EFEITO!$Y$39</f>
        <v>2185.6336149038766</v>
      </c>
      <c r="K39" s="76">
        <f ca="1">EFEITO!$L$39*EFEITO!$Z$39</f>
        <v>140.59459591297076</v>
      </c>
      <c r="L39" s="76">
        <f>EFEITO!$N$39*EFEITO!$AA$39</f>
        <v>461.58217759760737</v>
      </c>
      <c r="M39" s="76">
        <f ca="1">$J$39-EFEITO!$K$39*EFEITO!$Y$39</f>
        <v>0</v>
      </c>
      <c r="N39" s="76">
        <f ca="1">$K$39-EFEITO!$M$39*EFEITO!$Z$39</f>
        <v>0</v>
      </c>
      <c r="O39" s="76">
        <f>$L$39-EFEITO!$O$39*EFEITO!$AA$39</f>
        <v>0</v>
      </c>
      <c r="P39" s="57"/>
      <c r="Q39" s="57"/>
      <c r="R39" s="57"/>
      <c r="S39" s="57"/>
      <c r="T39" s="57"/>
      <c r="U39" s="57"/>
      <c r="V39" s="57"/>
      <c r="W39" s="57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53" t="s">
        <v>21</v>
      </c>
      <c r="B40" s="53" t="s">
        <v>39</v>
      </c>
      <c r="C40" s="53" t="s">
        <v>42</v>
      </c>
      <c r="D40" s="53" t="s">
        <v>41</v>
      </c>
      <c r="E40" s="53" t="s">
        <v>25</v>
      </c>
      <c r="F40" s="53" t="s">
        <v>25</v>
      </c>
      <c r="G40" s="53" t="s">
        <v>25</v>
      </c>
      <c r="H40" s="53" t="s">
        <v>34</v>
      </c>
      <c r="I40" s="75">
        <v>44652</v>
      </c>
      <c r="J40" s="76">
        <f ca="1">EFEITO!$J$40*EFEITO!$Y$40</f>
        <v>18865.469097065037</v>
      </c>
      <c r="K40" s="76">
        <f ca="1">EFEITO!$L$40*EFEITO!$Z$40</f>
        <v>1787.1793055210896</v>
      </c>
      <c r="L40" s="76">
        <f>EFEITO!$N$40*EFEITO!$AA$40</f>
        <v>5867.4382912302181</v>
      </c>
      <c r="M40" s="76">
        <f ca="1">$J$40-EFEITO!$K$40*EFEITO!$Y$40</f>
        <v>0</v>
      </c>
      <c r="N40" s="76">
        <f ca="1">$K$40-EFEITO!$M$40*EFEITO!$Z$40</f>
        <v>0</v>
      </c>
      <c r="O40" s="76">
        <f>$L$40-EFEITO!$O$40*EFEITO!$AA$40</f>
        <v>0</v>
      </c>
      <c r="P40" s="57"/>
      <c r="Q40" s="57"/>
      <c r="R40" s="57"/>
      <c r="S40" s="57"/>
      <c r="T40" s="57"/>
      <c r="U40" s="57"/>
      <c r="V40" s="57"/>
      <c r="W40" s="57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53" t="s">
        <v>28</v>
      </c>
      <c r="B41" s="53" t="s">
        <v>39</v>
      </c>
      <c r="C41" s="53" t="s">
        <v>42</v>
      </c>
      <c r="D41" s="53" t="s">
        <v>41</v>
      </c>
      <c r="E41" s="53" t="s">
        <v>25</v>
      </c>
      <c r="F41" s="53" t="s">
        <v>25</v>
      </c>
      <c r="G41" s="53" t="s">
        <v>25</v>
      </c>
      <c r="H41" s="53" t="s">
        <v>34</v>
      </c>
      <c r="I41" s="75">
        <v>44652</v>
      </c>
      <c r="J41" s="76">
        <f ca="1">EFEITO!$J$41*EFEITO!$Y$41</f>
        <v>2185.6336149038766</v>
      </c>
      <c r="K41" s="76">
        <f ca="1">EFEITO!$L$41*EFEITO!$Z$41</f>
        <v>124.75920458382564</v>
      </c>
      <c r="L41" s="76">
        <f>EFEITO!$N$41*EFEITO!$AA$41</f>
        <v>409.59344812082423</v>
      </c>
      <c r="M41" s="76">
        <f ca="1">$J$41-EFEITO!$K$41*EFEITO!$Y$41</f>
        <v>0</v>
      </c>
      <c r="N41" s="76">
        <f ca="1">$K$41-EFEITO!$M$41*EFEITO!$Z$41</f>
        <v>0</v>
      </c>
      <c r="O41" s="76">
        <f>$L$41-EFEITO!$O$41*EFEITO!$AA$41</f>
        <v>0</v>
      </c>
      <c r="P41" s="57"/>
      <c r="Q41" s="57"/>
      <c r="R41" s="57"/>
      <c r="S41" s="57"/>
      <c r="T41" s="57"/>
      <c r="U41" s="57"/>
      <c r="V41" s="57"/>
      <c r="W41" s="57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53" t="s">
        <v>21</v>
      </c>
      <c r="B42" s="53" t="s">
        <v>39</v>
      </c>
      <c r="C42" s="53" t="s">
        <v>42</v>
      </c>
      <c r="D42" s="53" t="s">
        <v>41</v>
      </c>
      <c r="E42" s="53" t="s">
        <v>25</v>
      </c>
      <c r="F42" s="53" t="s">
        <v>25</v>
      </c>
      <c r="G42" s="53" t="s">
        <v>25</v>
      </c>
      <c r="H42" s="53" t="s">
        <v>34</v>
      </c>
      <c r="I42" s="75">
        <v>44682</v>
      </c>
      <c r="J42" s="76">
        <f ca="1">EFEITO!$J$42*EFEITO!$Y$42</f>
        <v>18405.335704453697</v>
      </c>
      <c r="K42" s="76">
        <f ca="1">EFEITO!$L$42*EFEITO!$Z$42</f>
        <v>1479.3511376274273</v>
      </c>
      <c r="L42" s="76">
        <f>EFEITO!$N$42*EFEITO!$AA$42</f>
        <v>4856.8162602796674</v>
      </c>
      <c r="M42" s="76">
        <f ca="1">$J$42-EFEITO!$K$42*EFEITO!$Y$42</f>
        <v>0</v>
      </c>
      <c r="N42" s="76">
        <f ca="1">$K$42-EFEITO!$M$42*EFEITO!$Z$42</f>
        <v>0</v>
      </c>
      <c r="O42" s="76">
        <f>$L$42-EFEITO!$O$42*EFEITO!$AA$42</f>
        <v>0</v>
      </c>
      <c r="P42" s="57"/>
      <c r="Q42" s="57"/>
      <c r="R42" s="57"/>
      <c r="S42" s="57"/>
      <c r="T42" s="57"/>
      <c r="U42" s="57"/>
      <c r="V42" s="57"/>
      <c r="W42" s="57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53" t="s">
        <v>28</v>
      </c>
      <c r="B43" s="53" t="s">
        <v>39</v>
      </c>
      <c r="C43" s="53" t="s">
        <v>42</v>
      </c>
      <c r="D43" s="53" t="s">
        <v>41</v>
      </c>
      <c r="E43" s="53" t="s">
        <v>25</v>
      </c>
      <c r="F43" s="53" t="s">
        <v>25</v>
      </c>
      <c r="G43" s="53" t="s">
        <v>25</v>
      </c>
      <c r="H43" s="53" t="s">
        <v>34</v>
      </c>
      <c r="I43" s="75">
        <v>44682</v>
      </c>
      <c r="J43" s="76">
        <f ca="1">EFEITO!$J$43*EFEITO!$Y$43</f>
        <v>2185.6336149038766</v>
      </c>
      <c r="K43" s="76">
        <f ca="1">EFEITO!$L$43*EFEITO!$Z$43</f>
        <v>99.600171630978252</v>
      </c>
      <c r="L43" s="76">
        <f>EFEITO!$N$43*EFEITO!$AA$43</f>
        <v>326.99453212967347</v>
      </c>
      <c r="M43" s="76">
        <f ca="1">$J$43-EFEITO!$K$43*EFEITO!$Y$43</f>
        <v>0</v>
      </c>
      <c r="N43" s="76">
        <f ca="1">$K$43-EFEITO!$M$43*EFEITO!$Z$43</f>
        <v>0</v>
      </c>
      <c r="O43" s="76">
        <f>$L$43-EFEITO!$O$43*EFEITO!$AA$43</f>
        <v>0</v>
      </c>
      <c r="P43" s="57"/>
      <c r="Q43" s="57"/>
      <c r="R43" s="57"/>
      <c r="S43" s="57"/>
      <c r="T43" s="57"/>
      <c r="U43" s="57"/>
      <c r="V43" s="57"/>
      <c r="W43" s="57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53" t="s">
        <v>21</v>
      </c>
      <c r="B44" s="53" t="s">
        <v>39</v>
      </c>
      <c r="C44" s="53" t="s">
        <v>42</v>
      </c>
      <c r="D44" s="53" t="s">
        <v>41</v>
      </c>
      <c r="E44" s="53" t="s">
        <v>25</v>
      </c>
      <c r="F44" s="53" t="s">
        <v>25</v>
      </c>
      <c r="G44" s="53" t="s">
        <v>25</v>
      </c>
      <c r="H44" s="53" t="s">
        <v>34</v>
      </c>
      <c r="I44" s="75">
        <v>44713</v>
      </c>
      <c r="J44" s="76">
        <f ca="1">EFEITO!$J$44*EFEITO!$Y$44</f>
        <v>18405.335704453697</v>
      </c>
      <c r="K44" s="76">
        <f ca="1">EFEITO!$L$44*EFEITO!$Z$44</f>
        <v>1564.1518781096718</v>
      </c>
      <c r="L44" s="76">
        <f>EFEITO!$N$44*EFEITO!$AA$44</f>
        <v>5135.2231947674873</v>
      </c>
      <c r="M44" s="76">
        <f ca="1">$J$44-EFEITO!$K$44*EFEITO!$Y$44</f>
        <v>0</v>
      </c>
      <c r="N44" s="76">
        <f ca="1">$K$44-EFEITO!$M$44*EFEITO!$Z$44</f>
        <v>0</v>
      </c>
      <c r="O44" s="76">
        <f>$L$44-EFEITO!$O$44*EFEITO!$AA$44</f>
        <v>0</v>
      </c>
      <c r="P44" s="57"/>
      <c r="Q44" s="57"/>
      <c r="R44" s="57"/>
      <c r="S44" s="57"/>
      <c r="T44" s="57"/>
      <c r="U44" s="57"/>
      <c r="V44" s="57"/>
      <c r="W44" s="57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53" t="s">
        <v>28</v>
      </c>
      <c r="B45" s="53" t="s">
        <v>39</v>
      </c>
      <c r="C45" s="53" t="s">
        <v>42</v>
      </c>
      <c r="D45" s="53" t="s">
        <v>41</v>
      </c>
      <c r="E45" s="53" t="s">
        <v>25</v>
      </c>
      <c r="F45" s="53" t="s">
        <v>25</v>
      </c>
      <c r="G45" s="53" t="s">
        <v>25</v>
      </c>
      <c r="H45" s="53" t="s">
        <v>34</v>
      </c>
      <c r="I45" s="75">
        <v>44713</v>
      </c>
      <c r="J45" s="76">
        <f ca="1">EFEITO!$J$45*EFEITO!$Y$45</f>
        <v>2185.6336149038766</v>
      </c>
      <c r="K45" s="76">
        <f ca="1">EFEITO!$L$45*EFEITO!$Z$45</f>
        <v>98.564211450566887</v>
      </c>
      <c r="L45" s="76">
        <f>EFEITO!$N$45*EFEITO!$AA$45</f>
        <v>323.59340029474373</v>
      </c>
      <c r="M45" s="76">
        <f ca="1">$J$45-EFEITO!$K$45*EFEITO!$Y$45</f>
        <v>0</v>
      </c>
      <c r="N45" s="76">
        <f ca="1">$K$45-EFEITO!$M$45*EFEITO!$Z$45</f>
        <v>0</v>
      </c>
      <c r="O45" s="76">
        <f>$L$45-EFEITO!$O$45*EFEITO!$AA$45</f>
        <v>0</v>
      </c>
      <c r="P45" s="57"/>
      <c r="Q45" s="57"/>
      <c r="R45" s="57"/>
      <c r="S45" s="57"/>
      <c r="T45" s="57"/>
      <c r="U45" s="57"/>
      <c r="V45" s="57"/>
      <c r="W45" s="57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53" t="s">
        <v>21</v>
      </c>
      <c r="B46" s="53" t="s">
        <v>39</v>
      </c>
      <c r="C46" s="53" t="s">
        <v>42</v>
      </c>
      <c r="D46" s="53" t="s">
        <v>41</v>
      </c>
      <c r="E46" s="53" t="s">
        <v>25</v>
      </c>
      <c r="F46" s="53" t="s">
        <v>25</v>
      </c>
      <c r="G46" s="53" t="s">
        <v>25</v>
      </c>
      <c r="H46" s="53" t="s">
        <v>34</v>
      </c>
      <c r="I46" s="75">
        <v>44743</v>
      </c>
      <c r="J46" s="76">
        <f ca="1">EFEITO!$J$46*EFEITO!$Y$46</f>
        <v>18405.335704453697</v>
      </c>
      <c r="K46" s="76">
        <f ca="1">EFEITO!$L$46*EFEITO!$Z$46</f>
        <v>1550.5364014528366</v>
      </c>
      <c r="L46" s="76">
        <f>EFEITO!$N$46*EFEITO!$AA$46</f>
        <v>5090.5226049369821</v>
      </c>
      <c r="M46" s="76">
        <f ca="1">$J$46-EFEITO!$K$46*EFEITO!$Y$46</f>
        <v>0</v>
      </c>
      <c r="N46" s="76">
        <f ca="1">$K$46-EFEITO!$M$46*EFEITO!$Z$46</f>
        <v>0</v>
      </c>
      <c r="O46" s="76">
        <f>$L$46-EFEITO!$O$46*EFEITO!$AA$46</f>
        <v>0</v>
      </c>
      <c r="P46" s="57"/>
      <c r="Q46" s="57"/>
      <c r="R46" s="57"/>
      <c r="S46" s="57"/>
      <c r="T46" s="57"/>
      <c r="U46" s="57"/>
      <c r="V46" s="57"/>
      <c r="W46" s="57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53" t="s">
        <v>28</v>
      </c>
      <c r="B47" s="53" t="s">
        <v>39</v>
      </c>
      <c r="C47" s="53" t="s">
        <v>42</v>
      </c>
      <c r="D47" s="53" t="s">
        <v>41</v>
      </c>
      <c r="E47" s="53" t="s">
        <v>25</v>
      </c>
      <c r="F47" s="53" t="s">
        <v>25</v>
      </c>
      <c r="G47" s="53" t="s">
        <v>25</v>
      </c>
      <c r="H47" s="53" t="s">
        <v>34</v>
      </c>
      <c r="I47" s="75">
        <v>44743</v>
      </c>
      <c r="J47" s="76">
        <f ca="1">EFEITO!$J$47*EFEITO!$Y$47</f>
        <v>2185.6336149038766</v>
      </c>
      <c r="K47" s="76">
        <f ca="1">EFEITO!$L$47*EFEITO!$Z$47</f>
        <v>100.34014318841494</v>
      </c>
      <c r="L47" s="76">
        <f>EFEITO!$N$47*EFEITO!$AA$47</f>
        <v>329.42391201176616</v>
      </c>
      <c r="M47" s="76">
        <f ca="1">$J$47-EFEITO!$K$47*EFEITO!$Y$47</f>
        <v>0</v>
      </c>
      <c r="N47" s="76">
        <f ca="1">$K$47-EFEITO!$M$47*EFEITO!$Z$47</f>
        <v>0</v>
      </c>
      <c r="O47" s="76">
        <f>$L$47-EFEITO!$O$47*EFEITO!$AA$47</f>
        <v>0</v>
      </c>
      <c r="P47" s="57"/>
      <c r="Q47" s="57"/>
      <c r="R47" s="57"/>
      <c r="S47" s="57"/>
      <c r="T47" s="57"/>
      <c r="U47" s="57"/>
      <c r="V47" s="57"/>
      <c r="W47" s="57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53" t="s">
        <v>56</v>
      </c>
      <c r="B48" s="53" t="s">
        <v>39</v>
      </c>
      <c r="C48" s="53" t="s">
        <v>42</v>
      </c>
      <c r="D48" s="53" t="s">
        <v>41</v>
      </c>
      <c r="E48" s="53" t="s">
        <v>25</v>
      </c>
      <c r="F48" s="53" t="s">
        <v>25</v>
      </c>
      <c r="G48" s="53" t="s">
        <v>25</v>
      </c>
      <c r="H48" s="53" t="s">
        <v>34</v>
      </c>
      <c r="I48" s="75">
        <v>44774</v>
      </c>
      <c r="J48" s="76">
        <f ca="1">EFEITO!$J$48*EFEITO!$Y$48</f>
        <v>18405.335704453697</v>
      </c>
      <c r="K48" s="76">
        <f ca="1">EFEITO!$L$48*EFEITO!$Z$48</f>
        <v>1550.5364014528366</v>
      </c>
      <c r="L48" s="76">
        <f>EFEITO!$N$48*EFEITO!$AA$48</f>
        <v>5090.5226049369821</v>
      </c>
      <c r="M48" s="76">
        <f ca="1">$J$48-EFEITO!$K$48*EFEITO!$Y$48</f>
        <v>0</v>
      </c>
      <c r="N48" s="76">
        <f ca="1">$K$48-EFEITO!$M$48*EFEITO!$Z$48</f>
        <v>0</v>
      </c>
      <c r="O48" s="76">
        <f>$L$48-EFEITO!$O$48*EFEITO!$AA$48</f>
        <v>0</v>
      </c>
      <c r="P48" s="57"/>
      <c r="Q48" s="57"/>
      <c r="R48" s="57"/>
      <c r="S48" s="57"/>
      <c r="T48" s="57"/>
      <c r="U48" s="57"/>
      <c r="V48" s="57"/>
      <c r="W48" s="57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53" t="s">
        <v>56</v>
      </c>
      <c r="B49" s="53" t="s">
        <v>39</v>
      </c>
      <c r="C49" s="53" t="s">
        <v>42</v>
      </c>
      <c r="D49" s="53" t="s">
        <v>41</v>
      </c>
      <c r="E49" s="53" t="s">
        <v>25</v>
      </c>
      <c r="F49" s="53" t="s">
        <v>25</v>
      </c>
      <c r="G49" s="53" t="s">
        <v>25</v>
      </c>
      <c r="H49" s="53" t="s">
        <v>34</v>
      </c>
      <c r="I49" s="75">
        <v>44774</v>
      </c>
      <c r="J49" s="76">
        <f ca="1">EFEITO!$J$49*EFEITO!$Y$49</f>
        <v>2185.6336149038766</v>
      </c>
      <c r="K49" s="76">
        <f ca="1">EFEITO!$L$49*EFEITO!$Z$49</f>
        <v>100.34014318841494</v>
      </c>
      <c r="L49" s="76">
        <f>EFEITO!$N$49*EFEITO!$AA$49</f>
        <v>329.42391201176616</v>
      </c>
      <c r="M49" s="76">
        <f ca="1">$J$49-EFEITO!$K$49*EFEITO!$Y$49</f>
        <v>0</v>
      </c>
      <c r="N49" s="76">
        <f ca="1">$K$49-EFEITO!$M$49*EFEITO!$Z$49</f>
        <v>0</v>
      </c>
      <c r="O49" s="76">
        <f>$L$49-EFEITO!$O$49*EFEITO!$AA$49</f>
        <v>0</v>
      </c>
      <c r="P49" s="57"/>
      <c r="Q49" s="57"/>
      <c r="R49" s="57"/>
      <c r="S49" s="57"/>
      <c r="T49" s="57"/>
      <c r="U49" s="57"/>
      <c r="V49" s="57"/>
      <c r="W49" s="57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53" t="s">
        <v>21</v>
      </c>
      <c r="B50" s="53" t="s">
        <v>39</v>
      </c>
      <c r="C50" s="53" t="s">
        <v>42</v>
      </c>
      <c r="D50" s="53" t="s">
        <v>38</v>
      </c>
      <c r="E50" s="53" t="s">
        <v>25</v>
      </c>
      <c r="F50" s="53" t="s">
        <v>57</v>
      </c>
      <c r="G50" s="53" t="s">
        <v>25</v>
      </c>
      <c r="H50" s="53" t="s">
        <v>35</v>
      </c>
      <c r="I50" s="75">
        <v>44440</v>
      </c>
      <c r="J50" s="76">
        <f ca="1">EFEITO!$J$50*EFEITO!$Y$50</f>
        <v>56585.311624864044</v>
      </c>
      <c r="K50" s="76">
        <f ca="1">EFEITO!$L$50*EFEITO!$Z$50</f>
        <v>0</v>
      </c>
      <c r="L50" s="76">
        <f>EFEITO!$N$50*EFEITO!$AA$50</f>
        <v>0</v>
      </c>
      <c r="M50" s="76">
        <f ca="1">$J$50-EFEITO!$K$50*EFEITO!$Y$50</f>
        <v>28292.655812432022</v>
      </c>
      <c r="N50" s="76">
        <f ca="1">$K$50-EFEITO!$M$50*EFEITO!$Z$50</f>
        <v>0</v>
      </c>
      <c r="O50" s="76">
        <f>$L$50-EFEITO!$O$50*EFEITO!$AA$50</f>
        <v>0</v>
      </c>
      <c r="P50" s="57"/>
      <c r="Q50" s="57"/>
      <c r="R50" s="57"/>
      <c r="S50" s="57"/>
      <c r="T50" s="57"/>
      <c r="U50" s="57"/>
      <c r="V50" s="57"/>
      <c r="W50" s="57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53" t="s">
        <v>21</v>
      </c>
      <c r="B51" s="53" t="s">
        <v>39</v>
      </c>
      <c r="C51" s="53" t="s">
        <v>42</v>
      </c>
      <c r="D51" s="53" t="s">
        <v>38</v>
      </c>
      <c r="E51" s="53" t="s">
        <v>25</v>
      </c>
      <c r="F51" s="53" t="s">
        <v>57</v>
      </c>
      <c r="G51" s="53" t="s">
        <v>25</v>
      </c>
      <c r="H51" s="53" t="s">
        <v>35</v>
      </c>
      <c r="I51" s="75">
        <v>44470</v>
      </c>
      <c r="J51" s="76">
        <f ca="1">EFEITO!$J$51*EFEITO!$Y$51</f>
        <v>56585.311624864044</v>
      </c>
      <c r="K51" s="76">
        <f ca="1">EFEITO!$L$51*EFEITO!$Z$51</f>
        <v>0</v>
      </c>
      <c r="L51" s="76">
        <f>EFEITO!$N$51*EFEITO!$AA$51</f>
        <v>0</v>
      </c>
      <c r="M51" s="76">
        <f ca="1">$J$51-EFEITO!$K$51*EFEITO!$Y$51</f>
        <v>28207.777844994725</v>
      </c>
      <c r="N51" s="76">
        <f ca="1">$K$51-EFEITO!$M$51*EFEITO!$Z$51</f>
        <v>0</v>
      </c>
      <c r="O51" s="76">
        <f>$L$51-EFEITO!$O$51*EFEITO!$AA$51</f>
        <v>0</v>
      </c>
      <c r="P51" s="57"/>
      <c r="Q51" s="57"/>
      <c r="R51" s="57"/>
      <c r="S51" s="57"/>
      <c r="T51" s="57"/>
      <c r="U51" s="57"/>
      <c r="V51" s="57"/>
      <c r="W51" s="57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53" t="s">
        <v>21</v>
      </c>
      <c r="B52" s="53" t="s">
        <v>39</v>
      </c>
      <c r="C52" s="53" t="s">
        <v>42</v>
      </c>
      <c r="D52" s="53" t="s">
        <v>38</v>
      </c>
      <c r="E52" s="53" t="s">
        <v>25</v>
      </c>
      <c r="F52" s="53" t="s">
        <v>57</v>
      </c>
      <c r="G52" s="53" t="s">
        <v>25</v>
      </c>
      <c r="H52" s="53" t="s">
        <v>35</v>
      </c>
      <c r="I52" s="75">
        <v>44501</v>
      </c>
      <c r="J52" s="76">
        <f ca="1">EFEITO!$J$52*EFEITO!$Y$52</f>
        <v>59377.833497259933</v>
      </c>
      <c r="K52" s="76">
        <f ca="1">EFEITO!$L$52*EFEITO!$Z$52</f>
        <v>0</v>
      </c>
      <c r="L52" s="76">
        <f>EFEITO!$N$52*EFEITO!$AA$52</f>
        <v>0</v>
      </c>
      <c r="M52" s="76">
        <f ca="1">$J$52-EFEITO!$K$52*EFEITO!$Y$52</f>
        <v>29635.476698482435</v>
      </c>
      <c r="N52" s="76">
        <f ca="1">$K$52-EFEITO!$M$52*EFEITO!$Z$52</f>
        <v>0</v>
      </c>
      <c r="O52" s="76">
        <f>$L$52-EFEITO!$O$52*EFEITO!$AA$52</f>
        <v>0</v>
      </c>
      <c r="P52" s="57"/>
      <c r="Q52" s="57"/>
      <c r="R52" s="57"/>
      <c r="S52" s="57"/>
      <c r="T52" s="57"/>
      <c r="U52" s="57"/>
      <c r="V52" s="57"/>
      <c r="W52" s="57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53" t="s">
        <v>21</v>
      </c>
      <c r="B53" s="53" t="s">
        <v>39</v>
      </c>
      <c r="C53" s="53" t="s">
        <v>42</v>
      </c>
      <c r="D53" s="53" t="s">
        <v>38</v>
      </c>
      <c r="E53" s="53" t="s">
        <v>25</v>
      </c>
      <c r="F53" s="53" t="s">
        <v>57</v>
      </c>
      <c r="G53" s="53" t="s">
        <v>25</v>
      </c>
      <c r="H53" s="53" t="s">
        <v>35</v>
      </c>
      <c r="I53" s="75">
        <v>44531</v>
      </c>
      <c r="J53" s="76">
        <f ca="1">EFEITO!$J$53*EFEITO!$Y$53</f>
        <v>56585.311624864044</v>
      </c>
      <c r="K53" s="76">
        <f ca="1">EFEITO!$L$53*EFEITO!$Z$53</f>
        <v>0</v>
      </c>
      <c r="L53" s="76">
        <f>EFEITO!$N$53*EFEITO!$AA$53</f>
        <v>0</v>
      </c>
      <c r="M53" s="76">
        <f ca="1">$J$53-EFEITO!$K$53*EFEITO!$Y$53</f>
        <v>28122.899877557429</v>
      </c>
      <c r="N53" s="76">
        <f ca="1">$K$53-EFEITO!$M$53*EFEITO!$Z$53</f>
        <v>0</v>
      </c>
      <c r="O53" s="76">
        <f>$L$53-EFEITO!$O$53*EFEITO!$AA$53</f>
        <v>0</v>
      </c>
      <c r="P53" s="57"/>
      <c r="Q53" s="57"/>
      <c r="R53" s="57"/>
      <c r="S53" s="57"/>
      <c r="T53" s="57"/>
      <c r="U53" s="57"/>
      <c r="V53" s="57"/>
      <c r="W53" s="57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53" t="s">
        <v>21</v>
      </c>
      <c r="B54" s="53" t="s">
        <v>39</v>
      </c>
      <c r="C54" s="53" t="s">
        <v>42</v>
      </c>
      <c r="D54" s="53" t="s">
        <v>38</v>
      </c>
      <c r="E54" s="53" t="s">
        <v>25</v>
      </c>
      <c r="F54" s="53" t="s">
        <v>57</v>
      </c>
      <c r="G54" s="53" t="s">
        <v>25</v>
      </c>
      <c r="H54" s="53" t="s">
        <v>35</v>
      </c>
      <c r="I54" s="75">
        <v>44562</v>
      </c>
      <c r="J54" s="76">
        <f ca="1">EFEITO!$J$54*EFEITO!$Y$54</f>
        <v>59083.883826481419</v>
      </c>
      <c r="K54" s="76">
        <f ca="1">EFEITO!$L$54*EFEITO!$Z$54</f>
        <v>0</v>
      </c>
      <c r="L54" s="76">
        <f>EFEITO!$N$54*EFEITO!$AA$54</f>
        <v>0</v>
      </c>
      <c r="M54" s="76">
        <f ca="1">$J$54-EFEITO!$K$54*EFEITO!$Y$54</f>
        <v>29459.224475883631</v>
      </c>
      <c r="N54" s="76">
        <f ca="1">$K$54-EFEITO!$M$54*EFEITO!$Z$54</f>
        <v>0</v>
      </c>
      <c r="O54" s="76">
        <f>$L$54-EFEITO!$O$54*EFEITO!$AA$54</f>
        <v>0</v>
      </c>
      <c r="P54" s="57"/>
      <c r="Q54" s="57"/>
      <c r="R54" s="57"/>
      <c r="S54" s="57"/>
      <c r="T54" s="57"/>
      <c r="U54" s="57"/>
      <c r="V54" s="57"/>
      <c r="W54" s="57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53" t="s">
        <v>21</v>
      </c>
      <c r="B55" s="53" t="s">
        <v>39</v>
      </c>
      <c r="C55" s="53" t="s">
        <v>42</v>
      </c>
      <c r="D55" s="53" t="s">
        <v>38</v>
      </c>
      <c r="E55" s="53" t="s">
        <v>25</v>
      </c>
      <c r="F55" s="53" t="s">
        <v>57</v>
      </c>
      <c r="G55" s="53" t="s">
        <v>25</v>
      </c>
      <c r="H55" s="53" t="s">
        <v>35</v>
      </c>
      <c r="I55" s="75">
        <v>44593</v>
      </c>
      <c r="J55" s="76">
        <f ca="1">EFEITO!$J$55*EFEITO!$Y$55</f>
        <v>56897.63315006622</v>
      </c>
      <c r="K55" s="76">
        <f ca="1">EFEITO!$L$55*EFEITO!$Z$55</f>
        <v>0</v>
      </c>
      <c r="L55" s="76">
        <f>EFEITO!$N$55*EFEITO!$AA$55</f>
        <v>0</v>
      </c>
      <c r="M55" s="76">
        <f ca="1">$J$55-EFEITO!$K$55*EFEITO!$Y$55</f>
        <v>28317.952018787957</v>
      </c>
      <c r="N55" s="76">
        <f ca="1">$K$55-EFEITO!$M$55*EFEITO!$Z$55</f>
        <v>0</v>
      </c>
      <c r="O55" s="76">
        <f>$L$55-EFEITO!$O$55*EFEITO!$AA$55</f>
        <v>0</v>
      </c>
      <c r="P55" s="57"/>
      <c r="Q55" s="57"/>
      <c r="R55" s="57"/>
      <c r="S55" s="57"/>
      <c r="T55" s="57"/>
      <c r="U55" s="57"/>
      <c r="V55" s="57"/>
      <c r="W55" s="57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53" t="s">
        <v>21</v>
      </c>
      <c r="B56" s="53" t="s">
        <v>39</v>
      </c>
      <c r="C56" s="53" t="s">
        <v>42</v>
      </c>
      <c r="D56" s="53" t="s">
        <v>38</v>
      </c>
      <c r="E56" s="53" t="s">
        <v>25</v>
      </c>
      <c r="F56" s="53" t="s">
        <v>57</v>
      </c>
      <c r="G56" s="53" t="s">
        <v>25</v>
      </c>
      <c r="H56" s="53" t="s">
        <v>35</v>
      </c>
      <c r="I56" s="75">
        <v>44621</v>
      </c>
      <c r="J56" s="76">
        <f ca="1">EFEITO!$J$56*EFEITO!$Y$56</f>
        <v>59377.833497259933</v>
      </c>
      <c r="K56" s="76">
        <f ca="1">EFEITO!$L$56*EFEITO!$Z$56</f>
        <v>0</v>
      </c>
      <c r="L56" s="76">
        <f>EFEITO!$N$56*EFEITO!$AA$56</f>
        <v>0</v>
      </c>
      <c r="M56" s="76">
        <f ca="1">$J$56-EFEITO!$K$56*EFEITO!$Y$56</f>
        <v>29623.60113178298</v>
      </c>
      <c r="N56" s="76">
        <f ca="1">$K$56-EFEITO!$M$56*EFEITO!$Z$56</f>
        <v>0</v>
      </c>
      <c r="O56" s="76">
        <f>$L$56-EFEITO!$O$56*EFEITO!$AA$56</f>
        <v>0</v>
      </c>
      <c r="P56" s="57"/>
      <c r="Q56" s="57"/>
      <c r="R56" s="57"/>
      <c r="S56" s="57"/>
      <c r="T56" s="57"/>
      <c r="U56" s="57"/>
      <c r="V56" s="57"/>
      <c r="W56" s="57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53" t="s">
        <v>21</v>
      </c>
      <c r="B57" s="53" t="s">
        <v>39</v>
      </c>
      <c r="C57" s="53" t="s">
        <v>42</v>
      </c>
      <c r="D57" s="53" t="s">
        <v>38</v>
      </c>
      <c r="E57" s="53" t="s">
        <v>25</v>
      </c>
      <c r="F57" s="53" t="s">
        <v>57</v>
      </c>
      <c r="G57" s="53" t="s">
        <v>25</v>
      </c>
      <c r="H57" s="53" t="s">
        <v>35</v>
      </c>
      <c r="I57" s="75">
        <v>44652</v>
      </c>
      <c r="J57" s="76">
        <f ca="1">EFEITO!$J$57*EFEITO!$Y$57</f>
        <v>60553.632180373992</v>
      </c>
      <c r="K57" s="76">
        <f ca="1">EFEITO!$L$57*EFEITO!$Z$57</f>
        <v>0</v>
      </c>
      <c r="L57" s="76">
        <f>EFEITO!$N$57*EFEITO!$AA$57</f>
        <v>0</v>
      </c>
      <c r="M57" s="76">
        <f ca="1">$J$57-EFEITO!$K$57*EFEITO!$Y$57</f>
        <v>30010.380108593348</v>
      </c>
      <c r="N57" s="76">
        <f ca="1">$K$57-EFEITO!$M$57*EFEITO!$Z$57</f>
        <v>0</v>
      </c>
      <c r="O57" s="76">
        <f>$L$57-EFEITO!$O$57*EFEITO!$AA$57</f>
        <v>0</v>
      </c>
      <c r="P57" s="57"/>
      <c r="Q57" s="57"/>
      <c r="R57" s="57"/>
      <c r="S57" s="57"/>
      <c r="T57" s="57"/>
      <c r="U57" s="57"/>
      <c r="V57" s="57"/>
      <c r="W57" s="57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53" t="s">
        <v>21</v>
      </c>
      <c r="B58" s="53" t="s">
        <v>39</v>
      </c>
      <c r="C58" s="53" t="s">
        <v>42</v>
      </c>
      <c r="D58" s="53" t="s">
        <v>38</v>
      </c>
      <c r="E58" s="53" t="s">
        <v>25</v>
      </c>
      <c r="F58" s="53" t="s">
        <v>57</v>
      </c>
      <c r="G58" s="53" t="s">
        <v>25</v>
      </c>
      <c r="H58" s="53" t="s">
        <v>35</v>
      </c>
      <c r="I58" s="75">
        <v>44682</v>
      </c>
      <c r="J58" s="76">
        <f ca="1">EFEITO!$J$58*EFEITO!$Y$58</f>
        <v>62060.124243113882</v>
      </c>
      <c r="K58" s="76">
        <f ca="1">EFEITO!$L$58*EFEITO!$Z$58</f>
        <v>0</v>
      </c>
      <c r="L58" s="76">
        <f>EFEITO!$N$58*EFEITO!$AA$58</f>
        <v>0</v>
      </c>
      <c r="M58" s="76">
        <f ca="1">$J$58-EFEITO!$K$58*EFEITO!$Y$58</f>
        <v>30912.147885495026</v>
      </c>
      <c r="N58" s="76">
        <f ca="1">$K$58-EFEITO!$M$58*EFEITO!$Z$58</f>
        <v>0</v>
      </c>
      <c r="O58" s="76">
        <f>$L$58-EFEITO!$O$58*EFEITO!$AA$58</f>
        <v>0</v>
      </c>
      <c r="P58" s="57"/>
      <c r="Q58" s="57"/>
      <c r="R58" s="57"/>
      <c r="S58" s="57"/>
      <c r="T58" s="57"/>
      <c r="U58" s="57"/>
      <c r="V58" s="57"/>
      <c r="W58" s="57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53" t="s">
        <v>21</v>
      </c>
      <c r="B59" s="53" t="s">
        <v>39</v>
      </c>
      <c r="C59" s="53" t="s">
        <v>42</v>
      </c>
      <c r="D59" s="53" t="s">
        <v>38</v>
      </c>
      <c r="E59" s="53" t="s">
        <v>25</v>
      </c>
      <c r="F59" s="53" t="s">
        <v>57</v>
      </c>
      <c r="G59" s="53" t="s">
        <v>25</v>
      </c>
      <c r="H59" s="53" t="s">
        <v>35</v>
      </c>
      <c r="I59" s="75">
        <v>44713</v>
      </c>
      <c r="J59" s="76">
        <f ca="1">EFEITO!$J$59*EFEITO!$Y$59</f>
        <v>60663.863306915933</v>
      </c>
      <c r="K59" s="76">
        <f ca="1">EFEITO!$L$59*EFEITO!$Z$59</f>
        <v>0</v>
      </c>
      <c r="L59" s="76">
        <f>EFEITO!$N$59*EFEITO!$AA$59</f>
        <v>0</v>
      </c>
      <c r="M59" s="76">
        <f ca="1">$J$59-EFEITO!$K$59*EFEITO!$Y$59</f>
        <v>30277.334176481741</v>
      </c>
      <c r="N59" s="76">
        <f ca="1">$K$59-EFEITO!$M$59*EFEITO!$Z$59</f>
        <v>0</v>
      </c>
      <c r="O59" s="76">
        <f>$L$59-EFEITO!$O$59*EFEITO!$AA$59</f>
        <v>0</v>
      </c>
      <c r="P59" s="57"/>
      <c r="Q59" s="57"/>
      <c r="R59" s="57"/>
      <c r="S59" s="57"/>
      <c r="T59" s="57"/>
      <c r="U59" s="57"/>
      <c r="V59" s="57"/>
      <c r="W59" s="57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53" t="s">
        <v>21</v>
      </c>
      <c r="B60" s="53" t="s">
        <v>39</v>
      </c>
      <c r="C60" s="53" t="s">
        <v>42</v>
      </c>
      <c r="D60" s="53" t="s">
        <v>38</v>
      </c>
      <c r="E60" s="53" t="s">
        <v>25</v>
      </c>
      <c r="F60" s="53" t="s">
        <v>57</v>
      </c>
      <c r="G60" s="53" t="s">
        <v>25</v>
      </c>
      <c r="H60" s="53" t="s">
        <v>35</v>
      </c>
      <c r="I60" s="75">
        <v>44743</v>
      </c>
      <c r="J60" s="76">
        <f ca="1">EFEITO!$J$60*EFEITO!$Y$60</f>
        <v>60627.119598068624</v>
      </c>
      <c r="K60" s="76">
        <f ca="1">EFEITO!$L$60*EFEITO!$Z$60</f>
        <v>0</v>
      </c>
      <c r="L60" s="76">
        <f>EFEITO!$N$60*EFEITO!$AA$60</f>
        <v>0</v>
      </c>
      <c r="M60" s="76">
        <f ca="1">$J$60-EFEITO!$K$60*EFEITO!$Y$60</f>
        <v>30071.051320642036</v>
      </c>
      <c r="N60" s="76">
        <f ca="1">$K$60-EFEITO!$M$60*EFEITO!$Z$60</f>
        <v>0</v>
      </c>
      <c r="O60" s="76">
        <f>$L$60-EFEITO!$O$60*EFEITO!$AA$60</f>
        <v>0</v>
      </c>
      <c r="P60" s="57"/>
      <c r="Q60" s="57"/>
      <c r="R60" s="57"/>
      <c r="S60" s="57"/>
      <c r="T60" s="57"/>
      <c r="U60" s="57"/>
      <c r="V60" s="57"/>
      <c r="W60" s="57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53" t="s">
        <v>56</v>
      </c>
      <c r="B61" s="53" t="s">
        <v>39</v>
      </c>
      <c r="C61" s="53" t="s">
        <v>42</v>
      </c>
      <c r="D61" s="53" t="s">
        <v>38</v>
      </c>
      <c r="E61" s="53" t="s">
        <v>25</v>
      </c>
      <c r="F61" s="53" t="s">
        <v>57</v>
      </c>
      <c r="G61" s="53" t="s">
        <v>25</v>
      </c>
      <c r="H61" s="53" t="s">
        <v>35</v>
      </c>
      <c r="I61" s="75">
        <v>44774</v>
      </c>
      <c r="J61" s="76">
        <f ca="1">EFEITO!$J$61*EFEITO!$Y$61</f>
        <v>60627.119598068624</v>
      </c>
      <c r="K61" s="76">
        <f ca="1">EFEITO!$L$61*EFEITO!$Z$61</f>
        <v>0</v>
      </c>
      <c r="L61" s="76">
        <f>EFEITO!$N$61*EFEITO!$AA$61</f>
        <v>0</v>
      </c>
      <c r="M61" s="76">
        <f ca="1">$J$61-EFEITO!$K$61*EFEITO!$Y$61</f>
        <v>30071.051320642036</v>
      </c>
      <c r="N61" s="76">
        <f ca="1">$K$61-EFEITO!$M$61*EFEITO!$Z$61</f>
        <v>0</v>
      </c>
      <c r="O61" s="76">
        <f>$L$61-EFEITO!$O$61*EFEITO!$AA$61</f>
        <v>0</v>
      </c>
      <c r="P61" s="57"/>
      <c r="Q61" s="57"/>
      <c r="R61" s="57"/>
      <c r="S61" s="57"/>
      <c r="T61" s="57"/>
      <c r="U61" s="57"/>
      <c r="V61" s="57"/>
      <c r="W61" s="57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53" t="s">
        <v>21</v>
      </c>
      <c r="B62" s="53" t="s">
        <v>39</v>
      </c>
      <c r="C62" s="53" t="s">
        <v>42</v>
      </c>
      <c r="D62" s="53" t="s">
        <v>38</v>
      </c>
      <c r="E62" s="53" t="s">
        <v>25</v>
      </c>
      <c r="F62" s="53" t="s">
        <v>57</v>
      </c>
      <c r="G62" s="53" t="s">
        <v>25</v>
      </c>
      <c r="H62" s="53" t="s">
        <v>25</v>
      </c>
      <c r="I62" s="75">
        <v>44440</v>
      </c>
      <c r="J62" s="76">
        <f>EFEITO!$J$62*EFEITO!$Y$62</f>
        <v>0</v>
      </c>
      <c r="K62" s="76">
        <f ca="1">EFEITO!$L$62*EFEITO!$Z$62</f>
        <v>204475.30450629967</v>
      </c>
      <c r="L62" s="76">
        <f>EFEITO!$N$62*EFEITO!$AA$62</f>
        <v>0</v>
      </c>
      <c r="M62" s="76">
        <f>$J$62-EFEITO!$K$62*EFEITO!$Y$62</f>
        <v>0</v>
      </c>
      <c r="N62" s="76">
        <f ca="1">$K$62-EFEITO!$M$62*EFEITO!$Z$62</f>
        <v>0</v>
      </c>
      <c r="O62" s="76">
        <f>$L$62-EFEITO!$O$62*EFEITO!$AA$62</f>
        <v>0</v>
      </c>
      <c r="P62" s="57"/>
      <c r="Q62" s="57"/>
      <c r="R62" s="57"/>
      <c r="S62" s="57"/>
      <c r="T62" s="57"/>
      <c r="U62" s="57"/>
      <c r="V62" s="57"/>
      <c r="W62" s="57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53" t="s">
        <v>21</v>
      </c>
      <c r="B63" s="53" t="s">
        <v>39</v>
      </c>
      <c r="C63" s="53" t="s">
        <v>42</v>
      </c>
      <c r="D63" s="53" t="s">
        <v>38</v>
      </c>
      <c r="E63" s="53" t="s">
        <v>25</v>
      </c>
      <c r="F63" s="53" t="s">
        <v>57</v>
      </c>
      <c r="G63" s="53" t="s">
        <v>25</v>
      </c>
      <c r="H63" s="53" t="s">
        <v>25</v>
      </c>
      <c r="I63" s="75">
        <v>44470</v>
      </c>
      <c r="J63" s="76">
        <f>EFEITO!$J$63*EFEITO!$Y$63</f>
        <v>0</v>
      </c>
      <c r="K63" s="76">
        <f ca="1">EFEITO!$L$63*EFEITO!$Z$63</f>
        <v>206794.67135592923</v>
      </c>
      <c r="L63" s="76">
        <f>EFEITO!$N$63*EFEITO!$AA$63</f>
        <v>0</v>
      </c>
      <c r="M63" s="76">
        <f>$J$63-EFEITO!$K$63*EFEITO!$Y$63</f>
        <v>0</v>
      </c>
      <c r="N63" s="76">
        <f ca="1">$K$63-EFEITO!$M$63*EFEITO!$Z$63</f>
        <v>0</v>
      </c>
      <c r="O63" s="76">
        <f>$L$63-EFEITO!$O$63*EFEITO!$AA$63</f>
        <v>0</v>
      </c>
      <c r="P63" s="57"/>
      <c r="Q63" s="57"/>
      <c r="R63" s="57"/>
      <c r="S63" s="57"/>
      <c r="T63" s="57"/>
      <c r="U63" s="57"/>
      <c r="V63" s="57"/>
      <c r="W63" s="57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53" t="s">
        <v>21</v>
      </c>
      <c r="B64" s="53" t="s">
        <v>39</v>
      </c>
      <c r="C64" s="53" t="s">
        <v>42</v>
      </c>
      <c r="D64" s="53" t="s">
        <v>38</v>
      </c>
      <c r="E64" s="53" t="s">
        <v>25</v>
      </c>
      <c r="F64" s="53" t="s">
        <v>57</v>
      </c>
      <c r="G64" s="53" t="s">
        <v>25</v>
      </c>
      <c r="H64" s="53" t="s">
        <v>25</v>
      </c>
      <c r="I64" s="75">
        <v>44501</v>
      </c>
      <c r="J64" s="76">
        <f>EFEITO!$J$64*EFEITO!$Y$64</f>
        <v>0</v>
      </c>
      <c r="K64" s="76">
        <f ca="1">EFEITO!$L$64*EFEITO!$Z$64</f>
        <v>210463.30234338884</v>
      </c>
      <c r="L64" s="76">
        <f>EFEITO!$N$64*EFEITO!$AA$64</f>
        <v>0</v>
      </c>
      <c r="M64" s="76">
        <f>$J$64-EFEITO!$K$64*EFEITO!$Y$64</f>
        <v>0</v>
      </c>
      <c r="N64" s="76">
        <f ca="1">$K$64-EFEITO!$M$64*EFEITO!$Z$64</f>
        <v>0</v>
      </c>
      <c r="O64" s="76">
        <f>$L$64-EFEITO!$O$64*EFEITO!$AA$64</f>
        <v>0</v>
      </c>
      <c r="P64" s="57"/>
      <c r="Q64" s="57"/>
      <c r="R64" s="57"/>
      <c r="S64" s="57"/>
      <c r="T64" s="57"/>
      <c r="U64" s="57"/>
      <c r="V64" s="57"/>
      <c r="W64" s="57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53" t="s">
        <v>21</v>
      </c>
      <c r="B65" s="53" t="s">
        <v>39</v>
      </c>
      <c r="C65" s="53" t="s">
        <v>42</v>
      </c>
      <c r="D65" s="53" t="s">
        <v>38</v>
      </c>
      <c r="E65" s="53" t="s">
        <v>25</v>
      </c>
      <c r="F65" s="53" t="s">
        <v>57</v>
      </c>
      <c r="G65" s="53" t="s">
        <v>25</v>
      </c>
      <c r="H65" s="53" t="s">
        <v>25</v>
      </c>
      <c r="I65" s="75">
        <v>44531</v>
      </c>
      <c r="J65" s="76">
        <f>EFEITO!$J$65*EFEITO!$Y$65</f>
        <v>0</v>
      </c>
      <c r="K65" s="76">
        <f ca="1">EFEITO!$L$65*EFEITO!$Z$65</f>
        <v>205823.97666688377</v>
      </c>
      <c r="L65" s="76">
        <f>EFEITO!$N$65*EFEITO!$AA$65</f>
        <v>0</v>
      </c>
      <c r="M65" s="76">
        <f>$J$65-EFEITO!$K$65*EFEITO!$Y$65</f>
        <v>0</v>
      </c>
      <c r="N65" s="76">
        <f ca="1">$K$65-EFEITO!$M$65*EFEITO!$Z$65</f>
        <v>0</v>
      </c>
      <c r="O65" s="76">
        <f>$L$65-EFEITO!$O$65*EFEITO!$AA$65</f>
        <v>0</v>
      </c>
      <c r="P65" s="57"/>
      <c r="Q65" s="57"/>
      <c r="R65" s="57"/>
      <c r="S65" s="57"/>
      <c r="T65" s="57"/>
      <c r="U65" s="57"/>
      <c r="V65" s="57"/>
      <c r="W65" s="57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53" t="s">
        <v>21</v>
      </c>
      <c r="B66" s="53" t="s">
        <v>39</v>
      </c>
      <c r="C66" s="53" t="s">
        <v>42</v>
      </c>
      <c r="D66" s="53" t="s">
        <v>38</v>
      </c>
      <c r="E66" s="53" t="s">
        <v>25</v>
      </c>
      <c r="F66" s="53" t="s">
        <v>57</v>
      </c>
      <c r="G66" s="53" t="s">
        <v>25</v>
      </c>
      <c r="H66" s="53" t="s">
        <v>25</v>
      </c>
      <c r="I66" s="75">
        <v>44562</v>
      </c>
      <c r="J66" s="76">
        <f>EFEITO!$J$66*EFEITO!$Y$66</f>
        <v>0</v>
      </c>
      <c r="K66" s="76">
        <f ca="1">EFEITO!$L$66*EFEITO!$Z$66</f>
        <v>232130.26152238101</v>
      </c>
      <c r="L66" s="76">
        <f>EFEITO!$N$66*EFEITO!$AA$66</f>
        <v>0</v>
      </c>
      <c r="M66" s="76">
        <f>$J$66-EFEITO!$K$66*EFEITO!$Y$66</f>
        <v>0</v>
      </c>
      <c r="N66" s="76">
        <f ca="1">$K$66-EFEITO!$M$66*EFEITO!$Z$66</f>
        <v>0</v>
      </c>
      <c r="O66" s="76">
        <f>$L$66-EFEITO!$O$66*EFEITO!$AA$66</f>
        <v>0</v>
      </c>
      <c r="P66" s="57"/>
      <c r="Q66" s="57"/>
      <c r="R66" s="57"/>
      <c r="S66" s="57"/>
      <c r="T66" s="57"/>
      <c r="U66" s="57"/>
      <c r="V66" s="57"/>
      <c r="W66" s="57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53" t="s">
        <v>21</v>
      </c>
      <c r="B67" s="53" t="s">
        <v>39</v>
      </c>
      <c r="C67" s="53" t="s">
        <v>42</v>
      </c>
      <c r="D67" s="53" t="s">
        <v>38</v>
      </c>
      <c r="E67" s="53" t="s">
        <v>25</v>
      </c>
      <c r="F67" s="53" t="s">
        <v>57</v>
      </c>
      <c r="G67" s="53" t="s">
        <v>25</v>
      </c>
      <c r="H67" s="53" t="s">
        <v>25</v>
      </c>
      <c r="I67" s="75">
        <v>44593</v>
      </c>
      <c r="J67" s="76">
        <f>EFEITO!$J$67*EFEITO!$Y$67</f>
        <v>0</v>
      </c>
      <c r="K67" s="76">
        <f ca="1">EFEITO!$L$67*EFEITO!$Z$67</f>
        <v>221344.28810687235</v>
      </c>
      <c r="L67" s="76">
        <f>EFEITO!$N$67*EFEITO!$AA$67</f>
        <v>0</v>
      </c>
      <c r="M67" s="76">
        <f>$J$67-EFEITO!$K$67*EFEITO!$Y$67</f>
        <v>0</v>
      </c>
      <c r="N67" s="76">
        <f ca="1">$K$67-EFEITO!$M$67*EFEITO!$Z$67</f>
        <v>0</v>
      </c>
      <c r="O67" s="76">
        <f>$L$67-EFEITO!$O$67*EFEITO!$AA$67</f>
        <v>0</v>
      </c>
      <c r="P67" s="57"/>
      <c r="Q67" s="57"/>
      <c r="R67" s="57"/>
      <c r="S67" s="57"/>
      <c r="T67" s="57"/>
      <c r="U67" s="57"/>
      <c r="V67" s="57"/>
      <c r="W67" s="57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53" t="s">
        <v>21</v>
      </c>
      <c r="B68" s="53" t="s">
        <v>39</v>
      </c>
      <c r="C68" s="53" t="s">
        <v>42</v>
      </c>
      <c r="D68" s="53" t="s">
        <v>38</v>
      </c>
      <c r="E68" s="53" t="s">
        <v>25</v>
      </c>
      <c r="F68" s="53" t="s">
        <v>57</v>
      </c>
      <c r="G68" s="53" t="s">
        <v>25</v>
      </c>
      <c r="H68" s="53" t="s">
        <v>25</v>
      </c>
      <c r="I68" s="75">
        <v>44621</v>
      </c>
      <c r="J68" s="76">
        <f>EFEITO!$J$68*EFEITO!$Y$68</f>
        <v>0</v>
      </c>
      <c r="K68" s="76">
        <f ca="1">EFEITO!$L$68*EFEITO!$Z$68</f>
        <v>210703.4971109328</v>
      </c>
      <c r="L68" s="76">
        <f>EFEITO!$N$68*EFEITO!$AA$68</f>
        <v>0</v>
      </c>
      <c r="M68" s="76">
        <f>$J$68-EFEITO!$K$68*EFEITO!$Y$68</f>
        <v>0</v>
      </c>
      <c r="N68" s="76">
        <f ca="1">$K$68-EFEITO!$M$68*EFEITO!$Z$68</f>
        <v>0</v>
      </c>
      <c r="O68" s="76">
        <f>$L$68-EFEITO!$O$68*EFEITO!$AA$68</f>
        <v>0</v>
      </c>
      <c r="P68" s="57"/>
      <c r="Q68" s="57"/>
      <c r="R68" s="57"/>
      <c r="S68" s="57"/>
      <c r="T68" s="57"/>
      <c r="U68" s="57"/>
      <c r="V68" s="57"/>
      <c r="W68" s="57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53" t="s">
        <v>21</v>
      </c>
      <c r="B69" s="53" t="s">
        <v>39</v>
      </c>
      <c r="C69" s="53" t="s">
        <v>42</v>
      </c>
      <c r="D69" s="53" t="s">
        <v>38</v>
      </c>
      <c r="E69" s="53" t="s">
        <v>25</v>
      </c>
      <c r="F69" s="53" t="s">
        <v>57</v>
      </c>
      <c r="G69" s="53" t="s">
        <v>25</v>
      </c>
      <c r="H69" s="53" t="s">
        <v>25</v>
      </c>
      <c r="I69" s="75">
        <v>44652</v>
      </c>
      <c r="J69" s="76">
        <f>EFEITO!$J$69*EFEITO!$Y$69</f>
        <v>0</v>
      </c>
      <c r="K69" s="76">
        <f ca="1">EFEITO!$L$69*EFEITO!$Z$69</f>
        <v>248929.68779655464</v>
      </c>
      <c r="L69" s="76">
        <f>EFEITO!$N$69*EFEITO!$AA$69</f>
        <v>0</v>
      </c>
      <c r="M69" s="76">
        <f>$J$69-EFEITO!$K$69*EFEITO!$Y$69</f>
        <v>0</v>
      </c>
      <c r="N69" s="76">
        <f ca="1">$K$69-EFEITO!$M$69*EFEITO!$Z$69</f>
        <v>0</v>
      </c>
      <c r="O69" s="76">
        <f>$L$69-EFEITO!$O$69*EFEITO!$AA$69</f>
        <v>0</v>
      </c>
      <c r="P69" s="57"/>
      <c r="Q69" s="57"/>
      <c r="R69" s="57"/>
      <c r="S69" s="57"/>
      <c r="T69" s="57"/>
      <c r="U69" s="57"/>
      <c r="V69" s="57"/>
      <c r="W69" s="57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53" t="s">
        <v>21</v>
      </c>
      <c r="B70" s="53" t="s">
        <v>39</v>
      </c>
      <c r="C70" s="53" t="s">
        <v>42</v>
      </c>
      <c r="D70" s="53" t="s">
        <v>38</v>
      </c>
      <c r="E70" s="53" t="s">
        <v>25</v>
      </c>
      <c r="F70" s="53" t="s">
        <v>57</v>
      </c>
      <c r="G70" s="53" t="s">
        <v>25</v>
      </c>
      <c r="H70" s="53" t="s">
        <v>25</v>
      </c>
      <c r="I70" s="75">
        <v>44682</v>
      </c>
      <c r="J70" s="76">
        <f>EFEITO!$J$70*EFEITO!$Y$70</f>
        <v>0</v>
      </c>
      <c r="K70" s="76">
        <f ca="1">EFEITO!$L$70*EFEITO!$Z$70</f>
        <v>214386.63154091814</v>
      </c>
      <c r="L70" s="76">
        <f>EFEITO!$N$70*EFEITO!$AA$70</f>
        <v>0</v>
      </c>
      <c r="M70" s="76">
        <f>$J$70-EFEITO!$K$70*EFEITO!$Y$70</f>
        <v>0</v>
      </c>
      <c r="N70" s="76">
        <f ca="1">$K$70-EFEITO!$M$70*EFEITO!$Z$70</f>
        <v>0</v>
      </c>
      <c r="O70" s="76">
        <f>$L$70-EFEITO!$O$70*EFEITO!$AA$70</f>
        <v>0</v>
      </c>
      <c r="P70" s="57"/>
      <c r="Q70" s="57"/>
      <c r="R70" s="57"/>
      <c r="S70" s="57"/>
      <c r="T70" s="57"/>
      <c r="U70" s="57"/>
      <c r="V70" s="57"/>
      <c r="W70" s="57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53" t="s">
        <v>21</v>
      </c>
      <c r="B71" s="53" t="s">
        <v>39</v>
      </c>
      <c r="C71" s="53" t="s">
        <v>42</v>
      </c>
      <c r="D71" s="53" t="s">
        <v>38</v>
      </c>
      <c r="E71" s="53" t="s">
        <v>25</v>
      </c>
      <c r="F71" s="53" t="s">
        <v>57</v>
      </c>
      <c r="G71" s="53" t="s">
        <v>25</v>
      </c>
      <c r="H71" s="53" t="s">
        <v>25</v>
      </c>
      <c r="I71" s="75">
        <v>44713</v>
      </c>
      <c r="J71" s="76">
        <f>EFEITO!$J$71*EFEITO!$Y$71</f>
        <v>0</v>
      </c>
      <c r="K71" s="76">
        <f ca="1">EFEITO!$L$71*EFEITO!$Z$71</f>
        <v>244862.06414532519</v>
      </c>
      <c r="L71" s="76">
        <f>EFEITO!$N$71*EFEITO!$AA$71</f>
        <v>0</v>
      </c>
      <c r="M71" s="76">
        <f>$J$71-EFEITO!$K$71*EFEITO!$Y$71</f>
        <v>0</v>
      </c>
      <c r="N71" s="76">
        <f ca="1">$K$71-EFEITO!$M$71*EFEITO!$Z$71</f>
        <v>0</v>
      </c>
      <c r="O71" s="76">
        <f>$L$71-EFEITO!$O$71*EFEITO!$AA$71</f>
        <v>0</v>
      </c>
      <c r="P71" s="57"/>
      <c r="Q71" s="57"/>
      <c r="R71" s="57"/>
      <c r="S71" s="57"/>
      <c r="T71" s="57"/>
      <c r="U71" s="57"/>
      <c r="V71" s="57"/>
      <c r="W71" s="57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53" t="s">
        <v>21</v>
      </c>
      <c r="B72" s="53" t="s">
        <v>39</v>
      </c>
      <c r="C72" s="53" t="s">
        <v>42</v>
      </c>
      <c r="D72" s="53" t="s">
        <v>38</v>
      </c>
      <c r="E72" s="53" t="s">
        <v>25</v>
      </c>
      <c r="F72" s="53" t="s">
        <v>57</v>
      </c>
      <c r="G72" s="53" t="s">
        <v>25</v>
      </c>
      <c r="H72" s="53" t="s">
        <v>25</v>
      </c>
      <c r="I72" s="75">
        <v>44743</v>
      </c>
      <c r="J72" s="76">
        <f>EFEITO!$J$72*EFEITO!$Y$72</f>
        <v>0</v>
      </c>
      <c r="K72" s="76">
        <f ca="1">EFEITO!$L$72*EFEITO!$Z$72</f>
        <v>226430.2606154462</v>
      </c>
      <c r="L72" s="76">
        <f>EFEITO!$N$72*EFEITO!$AA$72</f>
        <v>0</v>
      </c>
      <c r="M72" s="76">
        <f>$J$72-EFEITO!$K$72*EFEITO!$Y$72</f>
        <v>0</v>
      </c>
      <c r="N72" s="76">
        <f ca="1">$K$72-EFEITO!$M$72*EFEITO!$Z$72</f>
        <v>0</v>
      </c>
      <c r="O72" s="76">
        <f>$L$72-EFEITO!$O$72*EFEITO!$AA$72</f>
        <v>0</v>
      </c>
      <c r="P72" s="57"/>
      <c r="Q72" s="57"/>
      <c r="R72" s="57"/>
      <c r="S72" s="57"/>
      <c r="T72" s="57"/>
      <c r="U72" s="57"/>
      <c r="V72" s="57"/>
      <c r="W72" s="57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53" t="s">
        <v>56</v>
      </c>
      <c r="B73" s="53" t="s">
        <v>39</v>
      </c>
      <c r="C73" s="53" t="s">
        <v>42</v>
      </c>
      <c r="D73" s="53" t="s">
        <v>38</v>
      </c>
      <c r="E73" s="53" t="s">
        <v>25</v>
      </c>
      <c r="F73" s="53" t="s">
        <v>57</v>
      </c>
      <c r="G73" s="53" t="s">
        <v>25</v>
      </c>
      <c r="H73" s="53" t="s">
        <v>25</v>
      </c>
      <c r="I73" s="75">
        <v>44774</v>
      </c>
      <c r="J73" s="76">
        <f>EFEITO!$J$73*EFEITO!$Y$73</f>
        <v>0</v>
      </c>
      <c r="K73" s="76">
        <f ca="1">EFEITO!$L$73*EFEITO!$Z$73</f>
        <v>226430.2606154462</v>
      </c>
      <c r="L73" s="76">
        <f>EFEITO!$N$73*EFEITO!$AA$73</f>
        <v>0</v>
      </c>
      <c r="M73" s="76">
        <f>$J$73-EFEITO!$K$73*EFEITO!$Y$73</f>
        <v>0</v>
      </c>
      <c r="N73" s="76">
        <f ca="1">$K$73-EFEITO!$M$73*EFEITO!$Z$73</f>
        <v>0</v>
      </c>
      <c r="O73" s="76">
        <f>$L$73-EFEITO!$O$73*EFEITO!$AA$73</f>
        <v>0</v>
      </c>
      <c r="P73" s="57"/>
      <c r="Q73" s="57"/>
      <c r="R73" s="57"/>
      <c r="S73" s="57"/>
      <c r="T73" s="57"/>
      <c r="U73" s="57"/>
      <c r="V73" s="57"/>
      <c r="W73" s="57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53" t="s">
        <v>21</v>
      </c>
      <c r="B74" s="53" t="s">
        <v>39</v>
      </c>
      <c r="C74" s="53" t="s">
        <v>42</v>
      </c>
      <c r="D74" s="53" t="s">
        <v>38</v>
      </c>
      <c r="E74" s="53" t="s">
        <v>25</v>
      </c>
      <c r="F74" s="53" t="s">
        <v>57</v>
      </c>
      <c r="G74" s="53" t="s">
        <v>25</v>
      </c>
      <c r="H74" s="53" t="s">
        <v>34</v>
      </c>
      <c r="I74" s="75">
        <v>44440</v>
      </c>
      <c r="J74" s="76">
        <f ca="1">EFEITO!$J$74*EFEITO!$Y$74</f>
        <v>161334.27078435192</v>
      </c>
      <c r="K74" s="76">
        <f ca="1">EFEITO!$L$74*EFEITO!$Z$74</f>
        <v>0</v>
      </c>
      <c r="L74" s="76">
        <f>EFEITO!$N$74*EFEITO!$AA$74</f>
        <v>0</v>
      </c>
      <c r="M74" s="76">
        <f ca="1">$J$74-EFEITO!$K$74*EFEITO!$Y$74</f>
        <v>80667.135392175958</v>
      </c>
      <c r="N74" s="76">
        <f ca="1">$K$74-EFEITO!$M$74*EFEITO!$Z$74</f>
        <v>0</v>
      </c>
      <c r="O74" s="76">
        <f>$L$74-EFEITO!$O$74*EFEITO!$AA$74</f>
        <v>0</v>
      </c>
      <c r="P74" s="57"/>
      <c r="Q74" s="57"/>
      <c r="R74" s="57"/>
      <c r="S74" s="57"/>
      <c r="T74" s="57"/>
      <c r="U74" s="57"/>
      <c r="V74" s="57"/>
      <c r="W74" s="57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53" t="s">
        <v>21</v>
      </c>
      <c r="B75" s="53" t="s">
        <v>39</v>
      </c>
      <c r="C75" s="53" t="s">
        <v>42</v>
      </c>
      <c r="D75" s="53" t="s">
        <v>38</v>
      </c>
      <c r="E75" s="53" t="s">
        <v>25</v>
      </c>
      <c r="F75" s="53" t="s">
        <v>57</v>
      </c>
      <c r="G75" s="53" t="s">
        <v>25</v>
      </c>
      <c r="H75" s="53" t="s">
        <v>34</v>
      </c>
      <c r="I75" s="75">
        <v>44470</v>
      </c>
      <c r="J75" s="76">
        <f ca="1">EFEITO!$J$75*EFEITO!$Y$75</f>
        <v>161334.27078435192</v>
      </c>
      <c r="K75" s="76">
        <f ca="1">EFEITO!$L$75*EFEITO!$Z$75</f>
        <v>0</v>
      </c>
      <c r="L75" s="76">
        <f>EFEITO!$N$75*EFEITO!$AA$75</f>
        <v>0</v>
      </c>
      <c r="M75" s="76">
        <f ca="1">$J$75-EFEITO!$K$75*EFEITO!$Y$75</f>
        <v>80425.133985999419</v>
      </c>
      <c r="N75" s="76">
        <f ca="1">$K$75-EFEITO!$M$75*EFEITO!$Z$75</f>
        <v>0</v>
      </c>
      <c r="O75" s="76">
        <f>$L$75-EFEITO!$O$75*EFEITO!$AA$75</f>
        <v>0</v>
      </c>
      <c r="P75" s="57"/>
      <c r="Q75" s="57"/>
      <c r="R75" s="57"/>
      <c r="S75" s="57"/>
      <c r="T75" s="57"/>
      <c r="U75" s="57"/>
      <c r="V75" s="57"/>
      <c r="W75" s="57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53" t="s">
        <v>21</v>
      </c>
      <c r="B76" s="53" t="s">
        <v>39</v>
      </c>
      <c r="C76" s="53" t="s">
        <v>42</v>
      </c>
      <c r="D76" s="53" t="s">
        <v>38</v>
      </c>
      <c r="E76" s="53" t="s">
        <v>25</v>
      </c>
      <c r="F76" s="53" t="s">
        <v>57</v>
      </c>
      <c r="G76" s="53" t="s">
        <v>25</v>
      </c>
      <c r="H76" s="53" t="s">
        <v>34</v>
      </c>
      <c r="I76" s="75">
        <v>44501</v>
      </c>
      <c r="J76" s="76">
        <f ca="1">EFEITO!$J$76*EFEITO!$Y$76</f>
        <v>161334.27078435192</v>
      </c>
      <c r="K76" s="76">
        <f ca="1">EFEITO!$L$76*EFEITO!$Z$76</f>
        <v>0</v>
      </c>
      <c r="L76" s="76">
        <f>EFEITO!$N$76*EFEITO!$AA$76</f>
        <v>0</v>
      </c>
      <c r="M76" s="76">
        <f ca="1">$J$76-EFEITO!$K$76*EFEITO!$Y$76</f>
        <v>80521.934548470032</v>
      </c>
      <c r="N76" s="76">
        <f ca="1">$K$76-EFEITO!$M$76*EFEITO!$Z$76</f>
        <v>0</v>
      </c>
      <c r="O76" s="76">
        <f>$L$76-EFEITO!$O$76*EFEITO!$AA$76</f>
        <v>0</v>
      </c>
      <c r="P76" s="57"/>
      <c r="Q76" s="57"/>
      <c r="R76" s="57"/>
      <c r="S76" s="57"/>
      <c r="T76" s="57"/>
      <c r="U76" s="57"/>
      <c r="V76" s="57"/>
      <c r="W76" s="57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53" t="s">
        <v>21</v>
      </c>
      <c r="B77" s="53" t="s">
        <v>39</v>
      </c>
      <c r="C77" s="53" t="s">
        <v>42</v>
      </c>
      <c r="D77" s="53" t="s">
        <v>38</v>
      </c>
      <c r="E77" s="53" t="s">
        <v>25</v>
      </c>
      <c r="F77" s="53" t="s">
        <v>57</v>
      </c>
      <c r="G77" s="53" t="s">
        <v>25</v>
      </c>
      <c r="H77" s="53" t="s">
        <v>34</v>
      </c>
      <c r="I77" s="75">
        <v>44531</v>
      </c>
      <c r="J77" s="76">
        <f ca="1">EFEITO!$J$77*EFEITO!$Y$77</f>
        <v>161334.27078435192</v>
      </c>
      <c r="K77" s="76">
        <f ca="1">EFEITO!$L$77*EFEITO!$Z$77</f>
        <v>0</v>
      </c>
      <c r="L77" s="76">
        <f>EFEITO!$N$77*EFEITO!$AA$77</f>
        <v>0</v>
      </c>
      <c r="M77" s="76">
        <f ca="1">$J$77-EFEITO!$K$77*EFEITO!$Y$77</f>
        <v>80183.132579822894</v>
      </c>
      <c r="N77" s="76">
        <f ca="1">$K$77-EFEITO!$M$77*EFEITO!$Z$77</f>
        <v>0</v>
      </c>
      <c r="O77" s="76">
        <f>$L$77-EFEITO!$O$77*EFEITO!$AA$77</f>
        <v>0</v>
      </c>
      <c r="P77" s="57"/>
      <c r="Q77" s="57"/>
      <c r="R77" s="57"/>
      <c r="S77" s="57"/>
      <c r="T77" s="57"/>
      <c r="U77" s="57"/>
      <c r="V77" s="57"/>
      <c r="W77" s="57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53" t="s">
        <v>21</v>
      </c>
      <c r="B78" s="53" t="s">
        <v>39</v>
      </c>
      <c r="C78" s="53" t="s">
        <v>42</v>
      </c>
      <c r="D78" s="53" t="s">
        <v>38</v>
      </c>
      <c r="E78" s="53" t="s">
        <v>25</v>
      </c>
      <c r="F78" s="53" t="s">
        <v>57</v>
      </c>
      <c r="G78" s="53" t="s">
        <v>25</v>
      </c>
      <c r="H78" s="53" t="s">
        <v>34</v>
      </c>
      <c r="I78" s="75">
        <v>44562</v>
      </c>
      <c r="J78" s="76">
        <f ca="1">EFEITO!$J$78*EFEITO!$Y$78</f>
        <v>161334.27078435192</v>
      </c>
      <c r="K78" s="76">
        <f ca="1">EFEITO!$L$78*EFEITO!$Z$78</f>
        <v>0</v>
      </c>
      <c r="L78" s="76">
        <f>EFEITO!$N$78*EFEITO!$AA$78</f>
        <v>0</v>
      </c>
      <c r="M78" s="76">
        <f ca="1">$J$78-EFEITO!$K$78*EFEITO!$Y$78</f>
        <v>80441.267413077861</v>
      </c>
      <c r="N78" s="76">
        <f ca="1">$K$78-EFEITO!$M$78*EFEITO!$Z$78</f>
        <v>0</v>
      </c>
      <c r="O78" s="76">
        <f>$L$78-EFEITO!$O$78*EFEITO!$AA$78</f>
        <v>0</v>
      </c>
      <c r="P78" s="57"/>
      <c r="Q78" s="57"/>
      <c r="R78" s="57"/>
      <c r="S78" s="57"/>
      <c r="T78" s="57"/>
      <c r="U78" s="57"/>
      <c r="V78" s="57"/>
      <c r="W78" s="57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53" t="s">
        <v>21</v>
      </c>
      <c r="B79" s="53" t="s">
        <v>39</v>
      </c>
      <c r="C79" s="53" t="s">
        <v>42</v>
      </c>
      <c r="D79" s="53" t="s">
        <v>38</v>
      </c>
      <c r="E79" s="53" t="s">
        <v>25</v>
      </c>
      <c r="F79" s="53" t="s">
        <v>57</v>
      </c>
      <c r="G79" s="53" t="s">
        <v>25</v>
      </c>
      <c r="H79" s="53" t="s">
        <v>34</v>
      </c>
      <c r="I79" s="75">
        <v>44593</v>
      </c>
      <c r="J79" s="76">
        <f ca="1">EFEITO!$J$79*EFEITO!$Y$79</f>
        <v>165072.85459931908</v>
      </c>
      <c r="K79" s="76">
        <f ca="1">EFEITO!$L$79*EFEITO!$Z$79</f>
        <v>0</v>
      </c>
      <c r="L79" s="76">
        <f>EFEITO!$N$79*EFEITO!$AA$79</f>
        <v>0</v>
      </c>
      <c r="M79" s="76">
        <f ca="1">$J$79-EFEITO!$K$79*EFEITO!$Y$79</f>
        <v>82156.75973408109</v>
      </c>
      <c r="N79" s="76">
        <f ca="1">$K$79-EFEITO!$M$79*EFEITO!$Z$79</f>
        <v>0</v>
      </c>
      <c r="O79" s="76">
        <f>$L$79-EFEITO!$O$79*EFEITO!$AA$79</f>
        <v>0</v>
      </c>
      <c r="P79" s="57"/>
      <c r="Q79" s="57"/>
      <c r="R79" s="57"/>
      <c r="S79" s="57"/>
      <c r="T79" s="57"/>
      <c r="U79" s="57"/>
      <c r="V79" s="57"/>
      <c r="W79" s="57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53" t="s">
        <v>21</v>
      </c>
      <c r="B80" s="53" t="s">
        <v>39</v>
      </c>
      <c r="C80" s="53" t="s">
        <v>42</v>
      </c>
      <c r="D80" s="53" t="s">
        <v>38</v>
      </c>
      <c r="E80" s="53" t="s">
        <v>25</v>
      </c>
      <c r="F80" s="53" t="s">
        <v>57</v>
      </c>
      <c r="G80" s="53" t="s">
        <v>25</v>
      </c>
      <c r="H80" s="53" t="s">
        <v>34</v>
      </c>
      <c r="I80" s="75">
        <v>44621</v>
      </c>
      <c r="J80" s="76">
        <f ca="1">EFEITO!$J$80*EFEITO!$Y$80</f>
        <v>161334.27078435192</v>
      </c>
      <c r="K80" s="76">
        <f ca="1">EFEITO!$L$80*EFEITO!$Z$80</f>
        <v>0</v>
      </c>
      <c r="L80" s="76">
        <f>EFEITO!$N$80*EFEITO!$AA$80</f>
        <v>0</v>
      </c>
      <c r="M80" s="76">
        <f ca="1">$J$80-EFEITO!$K$80*EFEITO!$Y$80</f>
        <v>80489.667694313175</v>
      </c>
      <c r="N80" s="76">
        <f ca="1">$K$80-EFEITO!$M$80*EFEITO!$Z$80</f>
        <v>0</v>
      </c>
      <c r="O80" s="76">
        <f>$L$80-EFEITO!$O$80*EFEITO!$AA$80</f>
        <v>0</v>
      </c>
      <c r="P80" s="57"/>
      <c r="Q80" s="57"/>
      <c r="R80" s="57"/>
      <c r="S80" s="57"/>
      <c r="T80" s="57"/>
      <c r="U80" s="57"/>
      <c r="V80" s="57"/>
      <c r="W80" s="57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53" t="s">
        <v>21</v>
      </c>
      <c r="B81" s="53" t="s">
        <v>39</v>
      </c>
      <c r="C81" s="53" t="s">
        <v>42</v>
      </c>
      <c r="D81" s="53" t="s">
        <v>38</v>
      </c>
      <c r="E81" s="53" t="s">
        <v>25</v>
      </c>
      <c r="F81" s="53" t="s">
        <v>57</v>
      </c>
      <c r="G81" s="53" t="s">
        <v>25</v>
      </c>
      <c r="H81" s="53" t="s">
        <v>34</v>
      </c>
      <c r="I81" s="75">
        <v>44652</v>
      </c>
      <c r="J81" s="76">
        <f ca="1">EFEITO!$J$81*EFEITO!$Y$81</f>
        <v>164785.271228937</v>
      </c>
      <c r="K81" s="76">
        <f ca="1">EFEITO!$L$81*EFEITO!$Z$81</f>
        <v>0</v>
      </c>
      <c r="L81" s="76">
        <f>EFEITO!$N$81*EFEITO!$AA$81</f>
        <v>0</v>
      </c>
      <c r="M81" s="76">
        <f ca="1">$J$81-EFEITO!$K$81*EFEITO!$Y$81</f>
        <v>81667.580421061168</v>
      </c>
      <c r="N81" s="76">
        <f ca="1">$K$81-EFEITO!$M$81*EFEITO!$Z$81</f>
        <v>0</v>
      </c>
      <c r="O81" s="76">
        <f>$L$81-EFEITO!$O$81*EFEITO!$AA$81</f>
        <v>0</v>
      </c>
      <c r="P81" s="57"/>
      <c r="Q81" s="57"/>
      <c r="R81" s="57"/>
      <c r="S81" s="57"/>
      <c r="T81" s="57"/>
      <c r="U81" s="57"/>
      <c r="V81" s="57"/>
      <c r="W81" s="57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53" t="s">
        <v>21</v>
      </c>
      <c r="B82" s="53" t="s">
        <v>39</v>
      </c>
      <c r="C82" s="53" t="s">
        <v>42</v>
      </c>
      <c r="D82" s="53" t="s">
        <v>38</v>
      </c>
      <c r="E82" s="53" t="s">
        <v>25</v>
      </c>
      <c r="F82" s="53" t="s">
        <v>57</v>
      </c>
      <c r="G82" s="53" t="s">
        <v>25</v>
      </c>
      <c r="H82" s="53" t="s">
        <v>34</v>
      </c>
      <c r="I82" s="75">
        <v>44682</v>
      </c>
      <c r="J82" s="76">
        <f ca="1">EFEITO!$J$82*EFEITO!$Y$82</f>
        <v>170594.4553106552</v>
      </c>
      <c r="K82" s="76">
        <f ca="1">EFEITO!$L$82*EFEITO!$Z$82</f>
        <v>0</v>
      </c>
      <c r="L82" s="76">
        <f>EFEITO!$N$82*EFEITO!$AA$82</f>
        <v>0</v>
      </c>
      <c r="M82" s="76">
        <f ca="1">$J$82-EFEITO!$K$82*EFEITO!$Y$82</f>
        <v>84973.098190237375</v>
      </c>
      <c r="N82" s="76">
        <f ca="1">$K$82-EFEITO!$M$82*EFEITO!$Z$82</f>
        <v>0</v>
      </c>
      <c r="O82" s="76">
        <f>$L$82-EFEITO!$O$82*EFEITO!$AA$82</f>
        <v>0</v>
      </c>
      <c r="P82" s="57"/>
      <c r="Q82" s="57"/>
      <c r="R82" s="57"/>
      <c r="S82" s="57"/>
      <c r="T82" s="57"/>
      <c r="U82" s="57"/>
      <c r="V82" s="57"/>
      <c r="W82" s="57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53" t="s">
        <v>21</v>
      </c>
      <c r="B83" s="53" t="s">
        <v>39</v>
      </c>
      <c r="C83" s="53" t="s">
        <v>42</v>
      </c>
      <c r="D83" s="53" t="s">
        <v>38</v>
      </c>
      <c r="E83" s="53" t="s">
        <v>25</v>
      </c>
      <c r="F83" s="53" t="s">
        <v>57</v>
      </c>
      <c r="G83" s="53" t="s">
        <v>25</v>
      </c>
      <c r="H83" s="53" t="s">
        <v>34</v>
      </c>
      <c r="I83" s="75">
        <v>44713</v>
      </c>
      <c r="J83" s="76">
        <f ca="1">EFEITO!$J$83*EFEITO!$Y$83</f>
        <v>166798.35482161163</v>
      </c>
      <c r="K83" s="76">
        <f ca="1">EFEITO!$L$83*EFEITO!$Z$83</f>
        <v>0</v>
      </c>
      <c r="L83" s="76">
        <f>EFEITO!$N$83*EFEITO!$AA$83</f>
        <v>0</v>
      </c>
      <c r="M83" s="76">
        <f ca="1">$J$83-EFEITO!$K$83*EFEITO!$Y$83</f>
        <v>83249.058891466382</v>
      </c>
      <c r="N83" s="76">
        <f ca="1">$K$83-EFEITO!$M$83*EFEITO!$Z$83</f>
        <v>0</v>
      </c>
      <c r="O83" s="76">
        <f>$L$83-EFEITO!$O$83*EFEITO!$AA$83</f>
        <v>0</v>
      </c>
      <c r="P83" s="57"/>
      <c r="Q83" s="57"/>
      <c r="R83" s="57"/>
      <c r="S83" s="57"/>
      <c r="T83" s="57"/>
      <c r="U83" s="57"/>
      <c r="V83" s="57"/>
      <c r="W83" s="57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53" t="s">
        <v>21</v>
      </c>
      <c r="B84" s="53" t="s">
        <v>39</v>
      </c>
      <c r="C84" s="53" t="s">
        <v>42</v>
      </c>
      <c r="D84" s="53" t="s">
        <v>38</v>
      </c>
      <c r="E84" s="53" t="s">
        <v>25</v>
      </c>
      <c r="F84" s="53" t="s">
        <v>57</v>
      </c>
      <c r="G84" s="53" t="s">
        <v>25</v>
      </c>
      <c r="H84" s="53" t="s">
        <v>34</v>
      </c>
      <c r="I84" s="75">
        <v>44743</v>
      </c>
      <c r="J84" s="76">
        <f ca="1">EFEITO!$J$84*EFEITO!$Y$84</f>
        <v>166798.35482161163</v>
      </c>
      <c r="K84" s="76">
        <f ca="1">EFEITO!$L$84*EFEITO!$Z$84</f>
        <v>0</v>
      </c>
      <c r="L84" s="76">
        <f>EFEITO!$N$84*EFEITO!$AA$84</f>
        <v>0</v>
      </c>
      <c r="M84" s="76">
        <f ca="1">$J$84-EFEITO!$K$84*EFEITO!$Y$84</f>
        <v>82731.983991519388</v>
      </c>
      <c r="N84" s="76">
        <f ca="1">$K$84-EFEITO!$M$84*EFEITO!$Z$84</f>
        <v>0</v>
      </c>
      <c r="O84" s="76">
        <f>$L$84-EFEITO!$O$84*EFEITO!$AA$84</f>
        <v>0</v>
      </c>
      <c r="P84" s="57"/>
      <c r="Q84" s="57"/>
      <c r="R84" s="57"/>
      <c r="S84" s="57"/>
      <c r="T84" s="57"/>
      <c r="U84" s="57"/>
      <c r="V84" s="57"/>
      <c r="W84" s="57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53" t="s">
        <v>56</v>
      </c>
      <c r="B85" s="53" t="s">
        <v>39</v>
      </c>
      <c r="C85" s="53" t="s">
        <v>42</v>
      </c>
      <c r="D85" s="53" t="s">
        <v>38</v>
      </c>
      <c r="E85" s="53" t="s">
        <v>25</v>
      </c>
      <c r="F85" s="53" t="s">
        <v>57</v>
      </c>
      <c r="G85" s="53" t="s">
        <v>25</v>
      </c>
      <c r="H85" s="53" t="s">
        <v>34</v>
      </c>
      <c r="I85" s="75">
        <v>44774</v>
      </c>
      <c r="J85" s="76">
        <f ca="1">EFEITO!$J$85*EFEITO!$Y$85</f>
        <v>166798.35482161163</v>
      </c>
      <c r="K85" s="76">
        <f ca="1">EFEITO!$L$85*EFEITO!$Z$85</f>
        <v>0</v>
      </c>
      <c r="L85" s="76">
        <f>EFEITO!$N$85*EFEITO!$AA$85</f>
        <v>0</v>
      </c>
      <c r="M85" s="76">
        <f ca="1">$J$85-EFEITO!$K$85*EFEITO!$Y$85</f>
        <v>82731.983991519388</v>
      </c>
      <c r="N85" s="76">
        <f ca="1">$K$85-EFEITO!$M$85*EFEITO!$Z$85</f>
        <v>0</v>
      </c>
      <c r="O85" s="76">
        <f>$L$85-EFEITO!$O$85*EFEITO!$AA$85</f>
        <v>0</v>
      </c>
      <c r="P85" s="57"/>
      <c r="Q85" s="57"/>
      <c r="R85" s="57"/>
      <c r="S85" s="57"/>
      <c r="T85" s="57"/>
      <c r="U85" s="57"/>
      <c r="V85" s="57"/>
      <c r="W85" s="57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53" t="s">
        <v>21</v>
      </c>
      <c r="B86" s="53" t="s">
        <v>39</v>
      </c>
      <c r="C86" s="53" t="s">
        <v>42</v>
      </c>
      <c r="D86" s="53" t="s">
        <v>45</v>
      </c>
      <c r="E86" s="53" t="s">
        <v>25</v>
      </c>
      <c r="F86" s="53" t="s">
        <v>25</v>
      </c>
      <c r="G86" s="53" t="s">
        <v>25</v>
      </c>
      <c r="H86" s="53" t="s">
        <v>35</v>
      </c>
      <c r="I86" s="75">
        <v>44440</v>
      </c>
      <c r="J86" s="76">
        <f ca="1">EFEITO!$J$86*EFEITO!$Y$86</f>
        <v>4023.4361187809177</v>
      </c>
      <c r="K86" s="76">
        <f ca="1">EFEITO!$L$86*EFEITO!$Z$86</f>
        <v>8418.8044032686903</v>
      </c>
      <c r="L86" s="76">
        <f>EFEITO!$N$86*EFEITO!$AA$86</f>
        <v>17342.85066482925</v>
      </c>
      <c r="M86" s="76">
        <f ca="1">$J$86-EFEITO!$K$86*EFEITO!$Y$86</f>
        <v>0</v>
      </c>
      <c r="N86" s="76">
        <f ca="1">$K$86-EFEITO!$M$86*EFEITO!$Z$86</f>
        <v>0</v>
      </c>
      <c r="O86" s="76">
        <f>$L$86-EFEITO!$O$86*EFEITO!$AA$86</f>
        <v>0</v>
      </c>
      <c r="P86" s="57"/>
      <c r="Q86" s="57"/>
      <c r="R86" s="57"/>
      <c r="S86" s="57"/>
      <c r="T86" s="57"/>
      <c r="U86" s="57"/>
      <c r="V86" s="57"/>
      <c r="W86" s="57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53" t="s">
        <v>28</v>
      </c>
      <c r="B87" s="53" t="s">
        <v>39</v>
      </c>
      <c r="C87" s="53" t="s">
        <v>42</v>
      </c>
      <c r="D87" s="53" t="s">
        <v>45</v>
      </c>
      <c r="E87" s="53" t="s">
        <v>25</v>
      </c>
      <c r="F87" s="53" t="s">
        <v>25</v>
      </c>
      <c r="G87" s="53" t="s">
        <v>25</v>
      </c>
      <c r="H87" s="53" t="s">
        <v>35</v>
      </c>
      <c r="I87" s="75">
        <v>44440</v>
      </c>
      <c r="J87" s="76">
        <f ca="1">EFEITO!$J$87*EFEITO!$Y$87</f>
        <v>1451.3764994689154</v>
      </c>
      <c r="K87" s="76">
        <f ca="1">EFEITO!$L$87*EFEITO!$Z$87</f>
        <v>1109.9573361550324</v>
      </c>
      <c r="L87" s="76">
        <f>EFEITO!$N$87*EFEITO!$AA$87</f>
        <v>2286.5270890240017</v>
      </c>
      <c r="M87" s="76">
        <f ca="1">$J$87-EFEITO!$K$87*EFEITO!$Y$87</f>
        <v>0</v>
      </c>
      <c r="N87" s="76">
        <f ca="1">$K$87-EFEITO!$M$87*EFEITO!$Z$87</f>
        <v>0</v>
      </c>
      <c r="O87" s="76">
        <f>$L$87-EFEITO!$O$87*EFEITO!$AA$87</f>
        <v>0</v>
      </c>
      <c r="P87" s="57"/>
      <c r="Q87" s="57"/>
      <c r="R87" s="57"/>
      <c r="S87" s="57"/>
      <c r="T87" s="57"/>
      <c r="U87" s="57"/>
      <c r="V87" s="57"/>
      <c r="W87" s="57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53" t="s">
        <v>21</v>
      </c>
      <c r="B88" s="53" t="s">
        <v>39</v>
      </c>
      <c r="C88" s="53" t="s">
        <v>42</v>
      </c>
      <c r="D88" s="53" t="s">
        <v>45</v>
      </c>
      <c r="E88" s="53" t="s">
        <v>25</v>
      </c>
      <c r="F88" s="53" t="s">
        <v>25</v>
      </c>
      <c r="G88" s="53" t="s">
        <v>25</v>
      </c>
      <c r="H88" s="53" t="s">
        <v>35</v>
      </c>
      <c r="I88" s="75">
        <v>44470</v>
      </c>
      <c r="J88" s="76">
        <f ca="1">EFEITO!$J$88*EFEITO!$Y$88</f>
        <v>4133.6672453228603</v>
      </c>
      <c r="K88" s="76">
        <f ca="1">EFEITO!$L$88*EFEITO!$Z$88</f>
        <v>9164.8437274763583</v>
      </c>
      <c r="L88" s="76">
        <f>EFEITO!$N$88*EFEITO!$AA$88</f>
        <v>18879.701738931915</v>
      </c>
      <c r="M88" s="76">
        <f ca="1">$J$88-EFEITO!$K$88*EFEITO!$Y$88</f>
        <v>0</v>
      </c>
      <c r="N88" s="76">
        <f ca="1">$K$88-EFEITO!$M$88*EFEITO!$Z$88</f>
        <v>0</v>
      </c>
      <c r="O88" s="76">
        <f>$L$88-EFEITO!$O$88*EFEITO!$AA$88</f>
        <v>0</v>
      </c>
      <c r="P88" s="57"/>
      <c r="Q88" s="57"/>
      <c r="R88" s="57"/>
      <c r="S88" s="57"/>
      <c r="T88" s="57"/>
      <c r="U88" s="57"/>
      <c r="V88" s="57"/>
      <c r="W88" s="57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53" t="s">
        <v>28</v>
      </c>
      <c r="B89" s="53" t="s">
        <v>39</v>
      </c>
      <c r="C89" s="53" t="s">
        <v>42</v>
      </c>
      <c r="D89" s="53" t="s">
        <v>45</v>
      </c>
      <c r="E89" s="53" t="s">
        <v>25</v>
      </c>
      <c r="F89" s="53" t="s">
        <v>25</v>
      </c>
      <c r="G89" s="53" t="s">
        <v>25</v>
      </c>
      <c r="H89" s="53" t="s">
        <v>35</v>
      </c>
      <c r="I89" s="75">
        <v>44470</v>
      </c>
      <c r="J89" s="76">
        <f ca="1">EFEITO!$J$89*EFEITO!$Y$89</f>
        <v>2535.3159104646879</v>
      </c>
      <c r="K89" s="76">
        <f ca="1">EFEITO!$L$89*EFEITO!$Z$89</f>
        <v>2587.6805363560989</v>
      </c>
      <c r="L89" s="76">
        <f>EFEITO!$N$89*EFEITO!$AA$89</f>
        <v>5330.6568202112894</v>
      </c>
      <c r="M89" s="76">
        <f ca="1">$J$89-EFEITO!$K$89*EFEITO!$Y$89</f>
        <v>0</v>
      </c>
      <c r="N89" s="76">
        <f ca="1">$K$89-EFEITO!$M$89*EFEITO!$Z$89</f>
        <v>0</v>
      </c>
      <c r="O89" s="76">
        <f>$L$89-EFEITO!$O$89*EFEITO!$AA$89</f>
        <v>0</v>
      </c>
      <c r="P89" s="57"/>
      <c r="Q89" s="57"/>
      <c r="R89" s="57"/>
      <c r="S89" s="57"/>
      <c r="T89" s="57"/>
      <c r="U89" s="57"/>
      <c r="V89" s="57"/>
      <c r="W89" s="57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53" t="s">
        <v>21</v>
      </c>
      <c r="B90" s="53" t="s">
        <v>39</v>
      </c>
      <c r="C90" s="53" t="s">
        <v>42</v>
      </c>
      <c r="D90" s="53" t="s">
        <v>45</v>
      </c>
      <c r="E90" s="53" t="s">
        <v>25</v>
      </c>
      <c r="F90" s="53" t="s">
        <v>25</v>
      </c>
      <c r="G90" s="53" t="s">
        <v>25</v>
      </c>
      <c r="H90" s="53" t="s">
        <v>35</v>
      </c>
      <c r="I90" s="75">
        <v>44501</v>
      </c>
      <c r="J90" s="76">
        <f ca="1">EFEITO!$J$90*EFEITO!$Y$90</f>
        <v>3821.3457201206888</v>
      </c>
      <c r="K90" s="76">
        <f ca="1">EFEITO!$L$90*EFEITO!$Z$90</f>
        <v>8398.5291825949244</v>
      </c>
      <c r="L90" s="76">
        <f>EFEITO!$N$90*EFEITO!$AA$90</f>
        <v>17301.083436669745</v>
      </c>
      <c r="M90" s="76">
        <f ca="1">$J$90-EFEITO!$K$90*EFEITO!$Y$90</f>
        <v>0</v>
      </c>
      <c r="N90" s="76">
        <f ca="1">$K$90-EFEITO!$M$90*EFEITO!$Z$90</f>
        <v>0</v>
      </c>
      <c r="O90" s="76">
        <f>$L$90-EFEITO!$O$90*EFEITO!$AA$90</f>
        <v>0</v>
      </c>
      <c r="P90" s="57"/>
      <c r="Q90" s="57"/>
      <c r="R90" s="57"/>
      <c r="S90" s="57"/>
      <c r="T90" s="57"/>
      <c r="U90" s="57"/>
      <c r="V90" s="57"/>
      <c r="W90" s="57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53" t="s">
        <v>28</v>
      </c>
      <c r="B91" s="53" t="s">
        <v>39</v>
      </c>
      <c r="C91" s="53" t="s">
        <v>42</v>
      </c>
      <c r="D91" s="53" t="s">
        <v>45</v>
      </c>
      <c r="E91" s="53" t="s">
        <v>25</v>
      </c>
      <c r="F91" s="53" t="s">
        <v>25</v>
      </c>
      <c r="G91" s="53" t="s">
        <v>25</v>
      </c>
      <c r="H91" s="53" t="s">
        <v>35</v>
      </c>
      <c r="I91" s="75">
        <v>44501</v>
      </c>
      <c r="J91" s="76">
        <f ca="1">EFEITO!$J$91*EFEITO!$Y$91</f>
        <v>2884.3811445141737</v>
      </c>
      <c r="K91" s="76">
        <f ca="1">EFEITO!$L$91*EFEITO!$Z$91</f>
        <v>2383.8923694380351</v>
      </c>
      <c r="L91" s="76">
        <f>EFEITO!$N$91*EFEITO!$AA$91</f>
        <v>4910.8504466664835</v>
      </c>
      <c r="M91" s="76">
        <f ca="1">$J$91-EFEITO!$K$91*EFEITO!$Y$91</f>
        <v>0</v>
      </c>
      <c r="N91" s="76">
        <f ca="1">$K$91-EFEITO!$M$91*EFEITO!$Z$91</f>
        <v>0</v>
      </c>
      <c r="O91" s="76">
        <f>$L$91-EFEITO!$O$91*EFEITO!$AA$91</f>
        <v>0</v>
      </c>
      <c r="P91" s="57"/>
      <c r="Q91" s="57"/>
      <c r="R91" s="57"/>
      <c r="S91" s="57"/>
      <c r="T91" s="57"/>
      <c r="U91" s="57"/>
      <c r="V91" s="57"/>
      <c r="W91" s="57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53" t="s">
        <v>21</v>
      </c>
      <c r="B92" s="53" t="s">
        <v>39</v>
      </c>
      <c r="C92" s="53" t="s">
        <v>42</v>
      </c>
      <c r="D92" s="53" t="s">
        <v>45</v>
      </c>
      <c r="E92" s="53" t="s">
        <v>25</v>
      </c>
      <c r="F92" s="53" t="s">
        <v>25</v>
      </c>
      <c r="G92" s="53" t="s">
        <v>25</v>
      </c>
      <c r="H92" s="53" t="s">
        <v>35</v>
      </c>
      <c r="I92" s="75">
        <v>44531</v>
      </c>
      <c r="J92" s="76">
        <f ca="1">EFEITO!$J$92*EFEITO!$Y$92</f>
        <v>3876.4612833916603</v>
      </c>
      <c r="K92" s="76">
        <f ca="1">EFEITO!$L$92*EFEITO!$Z$92</f>
        <v>9053.5520052378797</v>
      </c>
      <c r="L92" s="76">
        <f>EFEITO!$N$92*EFEITO!$AA$92</f>
        <v>18650.439289472441</v>
      </c>
      <c r="M92" s="76">
        <f ca="1">$J$92-EFEITO!$K$92*EFEITO!$Y$92</f>
        <v>0</v>
      </c>
      <c r="N92" s="76">
        <f ca="1">$K$92-EFEITO!$M$92*EFEITO!$Z$92</f>
        <v>0</v>
      </c>
      <c r="O92" s="76">
        <f>$L$92-EFEITO!$O$92*EFEITO!$AA$92</f>
        <v>0</v>
      </c>
      <c r="P92" s="57"/>
      <c r="Q92" s="57"/>
      <c r="R92" s="57"/>
      <c r="S92" s="57"/>
      <c r="T92" s="57"/>
      <c r="U92" s="57"/>
      <c r="V92" s="57"/>
      <c r="W92" s="57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53" t="s">
        <v>28</v>
      </c>
      <c r="B93" s="53" t="s">
        <v>39</v>
      </c>
      <c r="C93" s="53" t="s">
        <v>42</v>
      </c>
      <c r="D93" s="53" t="s">
        <v>45</v>
      </c>
      <c r="E93" s="53" t="s">
        <v>25</v>
      </c>
      <c r="F93" s="53" t="s">
        <v>25</v>
      </c>
      <c r="G93" s="53" t="s">
        <v>25</v>
      </c>
      <c r="H93" s="53" t="s">
        <v>35</v>
      </c>
      <c r="I93" s="75">
        <v>44531</v>
      </c>
      <c r="J93" s="76">
        <f ca="1">EFEITO!$J$93*EFEITO!$Y$93</f>
        <v>3031.355979903431</v>
      </c>
      <c r="K93" s="76">
        <f ca="1">EFEITO!$L$93*EFEITO!$Z$93</f>
        <v>2182.4721115037682</v>
      </c>
      <c r="L93" s="76">
        <f>EFEITO!$N$93*EFEITO!$AA$93</f>
        <v>4495.9219975782607</v>
      </c>
      <c r="M93" s="76">
        <f ca="1">$J$93-EFEITO!$K$93*EFEITO!$Y$93</f>
        <v>0</v>
      </c>
      <c r="N93" s="76">
        <f ca="1">$K$93-EFEITO!$M$93*EFEITO!$Z$93</f>
        <v>0</v>
      </c>
      <c r="O93" s="76">
        <f>$L$93-EFEITO!$O$93*EFEITO!$AA$93</f>
        <v>0</v>
      </c>
      <c r="P93" s="57"/>
      <c r="Q93" s="57"/>
      <c r="R93" s="57"/>
      <c r="S93" s="57"/>
      <c r="T93" s="57"/>
      <c r="U93" s="57"/>
      <c r="V93" s="57"/>
      <c r="W93" s="57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53" t="s">
        <v>21</v>
      </c>
      <c r="B94" s="53" t="s">
        <v>39</v>
      </c>
      <c r="C94" s="53" t="s">
        <v>42</v>
      </c>
      <c r="D94" s="53" t="s">
        <v>45</v>
      </c>
      <c r="E94" s="53" t="s">
        <v>25</v>
      </c>
      <c r="F94" s="53" t="s">
        <v>25</v>
      </c>
      <c r="G94" s="53" t="s">
        <v>25</v>
      </c>
      <c r="H94" s="53" t="s">
        <v>35</v>
      </c>
      <c r="I94" s="75">
        <v>44562</v>
      </c>
      <c r="J94" s="76">
        <f ca="1">EFEITO!$J$94*EFEITO!$Y$94</f>
        <v>3894.8331378153175</v>
      </c>
      <c r="K94" s="76">
        <f ca="1">EFEITO!$L$94*EFEITO!$Z$94</f>
        <v>8842.36412274545</v>
      </c>
      <c r="L94" s="76">
        <f>EFEITO!$N$94*EFEITO!$AA$94</f>
        <v>18215.389402000808</v>
      </c>
      <c r="M94" s="76">
        <f ca="1">$J$94-EFEITO!$K$94*EFEITO!$Y$94</f>
        <v>0</v>
      </c>
      <c r="N94" s="76">
        <f ca="1">$K$94-EFEITO!$M$94*EFEITO!$Z$94</f>
        <v>0</v>
      </c>
      <c r="O94" s="76">
        <f>$L$94-EFEITO!$O$94*EFEITO!$AA$94</f>
        <v>0</v>
      </c>
      <c r="P94" s="57"/>
      <c r="Q94" s="57"/>
      <c r="R94" s="57"/>
      <c r="S94" s="57"/>
      <c r="T94" s="57"/>
      <c r="U94" s="57"/>
      <c r="V94" s="57"/>
      <c r="W94" s="57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53" t="s">
        <v>28</v>
      </c>
      <c r="B95" s="53" t="s">
        <v>39</v>
      </c>
      <c r="C95" s="53" t="s">
        <v>42</v>
      </c>
      <c r="D95" s="53" t="s">
        <v>45</v>
      </c>
      <c r="E95" s="53" t="s">
        <v>25</v>
      </c>
      <c r="F95" s="53" t="s">
        <v>25</v>
      </c>
      <c r="G95" s="53" t="s">
        <v>25</v>
      </c>
      <c r="H95" s="53" t="s">
        <v>35</v>
      </c>
      <c r="I95" s="75">
        <v>44562</v>
      </c>
      <c r="J95" s="76">
        <f ca="1">EFEITO!$J$95*EFEITO!$Y$95</f>
        <v>1028.8238477248008</v>
      </c>
      <c r="K95" s="76">
        <f ca="1">EFEITO!$L$95*EFEITO!$Z$95</f>
        <v>361.10612002910386</v>
      </c>
      <c r="L95" s="76">
        <f>EFEITO!$N$95*EFEITO!$AA$95</f>
        <v>743.8834796291419</v>
      </c>
      <c r="M95" s="76">
        <f ca="1">$J$95-EFEITO!$K$95*EFEITO!$Y$95</f>
        <v>0</v>
      </c>
      <c r="N95" s="76">
        <f ca="1">$K$95-EFEITO!$M$95*EFEITO!$Z$95</f>
        <v>0</v>
      </c>
      <c r="O95" s="76">
        <f>$L$95-EFEITO!$O$95*EFEITO!$AA$95</f>
        <v>0</v>
      </c>
      <c r="P95" s="57"/>
      <c r="Q95" s="57"/>
      <c r="R95" s="57"/>
      <c r="S95" s="57"/>
      <c r="T95" s="57"/>
      <c r="U95" s="57"/>
      <c r="V95" s="57"/>
      <c r="W95" s="57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53" t="s">
        <v>21</v>
      </c>
      <c r="B96" s="53" t="s">
        <v>39</v>
      </c>
      <c r="C96" s="53" t="s">
        <v>42</v>
      </c>
      <c r="D96" s="53" t="s">
        <v>45</v>
      </c>
      <c r="E96" s="53" t="s">
        <v>25</v>
      </c>
      <c r="F96" s="53" t="s">
        <v>25</v>
      </c>
      <c r="G96" s="53" t="s">
        <v>25</v>
      </c>
      <c r="H96" s="53" t="s">
        <v>35</v>
      </c>
      <c r="I96" s="75">
        <v>44593</v>
      </c>
      <c r="J96" s="76">
        <f ca="1">EFEITO!$J$96*EFEITO!$Y$96</f>
        <v>4115.2953908992031</v>
      </c>
      <c r="K96" s="76">
        <f ca="1">EFEITO!$L$96*EFEITO!$Z$96</f>
        <v>9293.3027898473683</v>
      </c>
      <c r="L96" s="76">
        <f>EFEITO!$N$96*EFEITO!$AA$96</f>
        <v>19144.329140701626</v>
      </c>
      <c r="M96" s="76">
        <f ca="1">$J$96-EFEITO!$K$96*EFEITO!$Y$96</f>
        <v>0</v>
      </c>
      <c r="N96" s="76">
        <f ca="1">$K$96-EFEITO!$M$96*EFEITO!$Z$96</f>
        <v>0</v>
      </c>
      <c r="O96" s="76">
        <f>$L$96-EFEITO!$O$96*EFEITO!$AA$96</f>
        <v>0</v>
      </c>
      <c r="P96" s="57"/>
      <c r="Q96" s="57"/>
      <c r="R96" s="57"/>
      <c r="S96" s="57"/>
      <c r="T96" s="57"/>
      <c r="U96" s="57"/>
      <c r="V96" s="57"/>
      <c r="W96" s="57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53" t="s">
        <v>28</v>
      </c>
      <c r="B97" s="53" t="s">
        <v>39</v>
      </c>
      <c r="C97" s="53" t="s">
        <v>42</v>
      </c>
      <c r="D97" s="53" t="s">
        <v>45</v>
      </c>
      <c r="E97" s="53" t="s">
        <v>25</v>
      </c>
      <c r="F97" s="53" t="s">
        <v>25</v>
      </c>
      <c r="G97" s="53" t="s">
        <v>25</v>
      </c>
      <c r="H97" s="53" t="s">
        <v>35</v>
      </c>
      <c r="I97" s="75">
        <v>44593</v>
      </c>
      <c r="J97" s="76">
        <f ca="1">EFEITO!$J$97*EFEITO!$Y$97</f>
        <v>2645.5470370066309</v>
      </c>
      <c r="K97" s="76">
        <f ca="1">EFEITO!$L$97*EFEITO!$Z$97</f>
        <v>2886.481051249034</v>
      </c>
      <c r="L97" s="76">
        <f>EFEITO!$N$97*EFEITO!$AA$97</f>
        <v>5946.1899125765513</v>
      </c>
      <c r="M97" s="76">
        <f ca="1">$J$97-EFEITO!$K$97*EFEITO!$Y$97</f>
        <v>0</v>
      </c>
      <c r="N97" s="76">
        <f ca="1">$K$97-EFEITO!$M$97*EFEITO!$Z$97</f>
        <v>0</v>
      </c>
      <c r="O97" s="76">
        <f>$L$97-EFEITO!$O$97*EFEITO!$AA$97</f>
        <v>0</v>
      </c>
      <c r="P97" s="57"/>
      <c r="Q97" s="57"/>
      <c r="R97" s="57"/>
      <c r="S97" s="57"/>
      <c r="T97" s="57"/>
      <c r="U97" s="57"/>
      <c r="V97" s="57"/>
      <c r="W97" s="57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53" t="s">
        <v>21</v>
      </c>
      <c r="B98" s="53" t="s">
        <v>39</v>
      </c>
      <c r="C98" s="53" t="s">
        <v>42</v>
      </c>
      <c r="D98" s="53" t="s">
        <v>45</v>
      </c>
      <c r="E98" s="53" t="s">
        <v>25</v>
      </c>
      <c r="F98" s="53" t="s">
        <v>25</v>
      </c>
      <c r="G98" s="53" t="s">
        <v>25</v>
      </c>
      <c r="H98" s="53" t="s">
        <v>35</v>
      </c>
      <c r="I98" s="75">
        <v>44621</v>
      </c>
      <c r="J98" s="76">
        <f ca="1">EFEITO!$J$98*EFEITO!$Y$98</f>
        <v>4078.5516820518892</v>
      </c>
      <c r="K98" s="76">
        <f ca="1">EFEITO!$L$98*EFEITO!$Z$98</f>
        <v>10996.125337820675</v>
      </c>
      <c r="L98" s="76">
        <f>EFEITO!$N$98*EFEITO!$AA$98</f>
        <v>22652.166565542982</v>
      </c>
      <c r="M98" s="76">
        <f ca="1">$J$98-EFEITO!$K$98*EFEITO!$Y$98</f>
        <v>0</v>
      </c>
      <c r="N98" s="76">
        <f ca="1">$K$98-EFEITO!$M$98*EFEITO!$Z$98</f>
        <v>0</v>
      </c>
      <c r="O98" s="76">
        <f>$L$98-EFEITO!$O$98*EFEITO!$AA$98</f>
        <v>0</v>
      </c>
      <c r="P98" s="57"/>
      <c r="Q98" s="57"/>
      <c r="R98" s="57"/>
      <c r="S98" s="57"/>
      <c r="T98" s="57"/>
      <c r="U98" s="57"/>
      <c r="V98" s="57"/>
      <c r="W98" s="57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53" t="s">
        <v>28</v>
      </c>
      <c r="B99" s="53" t="s">
        <v>39</v>
      </c>
      <c r="C99" s="53" t="s">
        <v>42</v>
      </c>
      <c r="D99" s="53" t="s">
        <v>45</v>
      </c>
      <c r="E99" s="53" t="s">
        <v>25</v>
      </c>
      <c r="F99" s="53" t="s">
        <v>25</v>
      </c>
      <c r="G99" s="53" t="s">
        <v>25</v>
      </c>
      <c r="H99" s="53" t="s">
        <v>35</v>
      </c>
      <c r="I99" s="75">
        <v>44621</v>
      </c>
      <c r="J99" s="76">
        <f ca="1">EFEITO!$J$99*EFEITO!$Y$99</f>
        <v>3325.3056506819457</v>
      </c>
      <c r="K99" s="76">
        <f ca="1">EFEITO!$L$99*EFEITO!$Z$99</f>
        <v>4039.8007206698562</v>
      </c>
      <c r="L99" s="76">
        <f>EFEITO!$N$99*EFEITO!$AA$99</f>
        <v>8322.043993211757</v>
      </c>
      <c r="M99" s="76">
        <f ca="1">$J$99-EFEITO!$K$99*EFEITO!$Y$99</f>
        <v>0</v>
      </c>
      <c r="N99" s="76">
        <f ca="1">$K$99-EFEITO!$M$99*EFEITO!$Z$99</f>
        <v>0</v>
      </c>
      <c r="O99" s="76">
        <f>$L$99-EFEITO!$O$99*EFEITO!$AA$99</f>
        <v>0</v>
      </c>
      <c r="P99" s="57"/>
      <c r="Q99" s="57"/>
      <c r="R99" s="57"/>
      <c r="S99" s="57"/>
      <c r="T99" s="57"/>
      <c r="U99" s="57"/>
      <c r="V99" s="57"/>
      <c r="W99" s="57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53" t="s">
        <v>21</v>
      </c>
      <c r="B100" s="53" t="s">
        <v>39</v>
      </c>
      <c r="C100" s="53" t="s">
        <v>42</v>
      </c>
      <c r="D100" s="53" t="s">
        <v>45</v>
      </c>
      <c r="E100" s="53" t="s">
        <v>25</v>
      </c>
      <c r="F100" s="53" t="s">
        <v>25</v>
      </c>
      <c r="G100" s="53" t="s">
        <v>25</v>
      </c>
      <c r="H100" s="53" t="s">
        <v>35</v>
      </c>
      <c r="I100" s="75">
        <v>44652</v>
      </c>
      <c r="J100" s="76">
        <f ca="1">EFEITO!$J$100*EFEITO!$Y$100</f>
        <v>4170.4109541701746</v>
      </c>
      <c r="K100" s="76">
        <f ca="1">EFEITO!$L$100*EFEITO!$Z$100</f>
        <v>10072.640834139689</v>
      </c>
      <c r="L100" s="76">
        <f>EFEITO!$N$100*EFEITO!$AA$100</f>
        <v>20749.776027475014</v>
      </c>
      <c r="M100" s="76">
        <f ca="1">$J$100-EFEITO!$K$100*EFEITO!$Y$100</f>
        <v>0</v>
      </c>
      <c r="N100" s="76">
        <f ca="1">$K$100-EFEITO!$M$100*EFEITO!$Z$100</f>
        <v>0</v>
      </c>
      <c r="O100" s="76">
        <f>$L$100-EFEITO!$O$100*EFEITO!$AA$100</f>
        <v>0</v>
      </c>
      <c r="P100" s="57"/>
      <c r="Q100" s="57"/>
      <c r="R100" s="57"/>
      <c r="S100" s="57"/>
      <c r="T100" s="57"/>
      <c r="U100" s="57"/>
      <c r="V100" s="57"/>
      <c r="W100" s="57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53" t="s">
        <v>28</v>
      </c>
      <c r="B101" s="53" t="s">
        <v>39</v>
      </c>
      <c r="C101" s="53" t="s">
        <v>42</v>
      </c>
      <c r="D101" s="53" t="s">
        <v>45</v>
      </c>
      <c r="E101" s="53" t="s">
        <v>25</v>
      </c>
      <c r="F101" s="53" t="s">
        <v>25</v>
      </c>
      <c r="G101" s="53" t="s">
        <v>25</v>
      </c>
      <c r="H101" s="53" t="s">
        <v>35</v>
      </c>
      <c r="I101" s="75">
        <v>44652</v>
      </c>
      <c r="J101" s="76">
        <f ca="1">EFEITO!$J$101*EFEITO!$Y$101</f>
        <v>3472.2804860712031</v>
      </c>
      <c r="K101" s="76">
        <f ca="1">EFEITO!$L$101*EFEITO!$Z$101</f>
        <v>3780.8106755670151</v>
      </c>
      <c r="L101" s="76">
        <f>EFEITO!$N$101*EFEITO!$AA$101</f>
        <v>7788.5210057728236</v>
      </c>
      <c r="M101" s="76">
        <f ca="1">$J$101-EFEITO!$K$101*EFEITO!$Y$101</f>
        <v>0</v>
      </c>
      <c r="N101" s="76">
        <f ca="1">$K$101-EFEITO!$M$101*EFEITO!$Z$101</f>
        <v>0</v>
      </c>
      <c r="O101" s="76">
        <f>$L$101-EFEITO!$O$101*EFEITO!$AA$101</f>
        <v>0</v>
      </c>
      <c r="P101" s="57"/>
      <c r="Q101" s="57"/>
      <c r="R101" s="57"/>
      <c r="S101" s="57"/>
      <c r="T101" s="57"/>
      <c r="U101" s="57"/>
      <c r="V101" s="57"/>
      <c r="W101" s="57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53" t="s">
        <v>21</v>
      </c>
      <c r="B102" s="53" t="s">
        <v>39</v>
      </c>
      <c r="C102" s="53" t="s">
        <v>42</v>
      </c>
      <c r="D102" s="53" t="s">
        <v>45</v>
      </c>
      <c r="E102" s="53" t="s">
        <v>25</v>
      </c>
      <c r="F102" s="53" t="s">
        <v>25</v>
      </c>
      <c r="G102" s="53" t="s">
        <v>25</v>
      </c>
      <c r="H102" s="53" t="s">
        <v>35</v>
      </c>
      <c r="I102" s="75">
        <v>44682</v>
      </c>
      <c r="J102" s="76">
        <f ca="1">EFEITO!$J$102*EFEITO!$Y$102</f>
        <v>3913.2049922389747</v>
      </c>
      <c r="K102" s="76">
        <f ca="1">EFEITO!$L$102*EFEITO!$Z$102</f>
        <v>7406.9672956297618</v>
      </c>
      <c r="L102" s="76">
        <f>EFEITO!$N$102*EFEITO!$AA$102</f>
        <v>15258.45257047497</v>
      </c>
      <c r="M102" s="76">
        <f ca="1">$J$102-EFEITO!$K$102*EFEITO!$Y$102</f>
        <v>0</v>
      </c>
      <c r="N102" s="76">
        <f ca="1">$K$102-EFEITO!$M$102*EFEITO!$Z$102</f>
        <v>0</v>
      </c>
      <c r="O102" s="76">
        <f>$L$102-EFEITO!$O$102*EFEITO!$AA$102</f>
        <v>0</v>
      </c>
      <c r="P102" s="57"/>
      <c r="Q102" s="57"/>
      <c r="R102" s="57"/>
      <c r="S102" s="57"/>
      <c r="T102" s="57"/>
      <c r="U102" s="57"/>
      <c r="V102" s="57"/>
      <c r="W102" s="57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53" t="s">
        <v>28</v>
      </c>
      <c r="B103" s="53" t="s">
        <v>39</v>
      </c>
      <c r="C103" s="53" t="s">
        <v>42</v>
      </c>
      <c r="D103" s="53" t="s">
        <v>45</v>
      </c>
      <c r="E103" s="53" t="s">
        <v>25</v>
      </c>
      <c r="F103" s="53" t="s">
        <v>25</v>
      </c>
      <c r="G103" s="53" t="s">
        <v>25</v>
      </c>
      <c r="H103" s="53" t="s">
        <v>35</v>
      </c>
      <c r="I103" s="75">
        <v>44682</v>
      </c>
      <c r="J103" s="76">
        <f ca="1">EFEITO!$J$103*EFEITO!$Y$103</f>
        <v>3380.4212139529172</v>
      </c>
      <c r="K103" s="76">
        <f ca="1">EFEITO!$L$103*EFEITO!$Z$103</f>
        <v>3073.5458609690286</v>
      </c>
      <c r="L103" s="76">
        <f>EFEITO!$N$103*EFEITO!$AA$103</f>
        <v>6331.5459446467294</v>
      </c>
      <c r="M103" s="76">
        <f ca="1">$J$103-EFEITO!$K$103*EFEITO!$Y$103</f>
        <v>0</v>
      </c>
      <c r="N103" s="76">
        <f ca="1">$K$103-EFEITO!$M$103*EFEITO!$Z$103</f>
        <v>0</v>
      </c>
      <c r="O103" s="76">
        <f>$L$103-EFEITO!$O$103*EFEITO!$AA$103</f>
        <v>0</v>
      </c>
      <c r="P103" s="57"/>
      <c r="Q103" s="57"/>
      <c r="R103" s="57"/>
      <c r="S103" s="57"/>
      <c r="T103" s="57"/>
      <c r="U103" s="57"/>
      <c r="V103" s="57"/>
      <c r="W103" s="57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53" t="s">
        <v>21</v>
      </c>
      <c r="B104" s="53" t="s">
        <v>39</v>
      </c>
      <c r="C104" s="53" t="s">
        <v>42</v>
      </c>
      <c r="D104" s="53" t="s">
        <v>45</v>
      </c>
      <c r="E104" s="53" t="s">
        <v>25</v>
      </c>
      <c r="F104" s="53" t="s">
        <v>25</v>
      </c>
      <c r="G104" s="53" t="s">
        <v>25</v>
      </c>
      <c r="H104" s="53" t="s">
        <v>35</v>
      </c>
      <c r="I104" s="75">
        <v>44713</v>
      </c>
      <c r="J104" s="76">
        <f ca="1">EFEITO!$J$104*EFEITO!$Y$104</f>
        <v>3306.9337962582886</v>
      </c>
      <c r="K104" s="76">
        <f ca="1">EFEITO!$L$104*EFEITO!$Z$104</f>
        <v>5493.1048594755111</v>
      </c>
      <c r="L104" s="76">
        <f>EFEITO!$N$104*EFEITO!$AA$104</f>
        <v>11315.870128440516</v>
      </c>
      <c r="M104" s="76">
        <f ca="1">$J$104-EFEITO!$K$104*EFEITO!$Y$104</f>
        <v>0</v>
      </c>
      <c r="N104" s="76">
        <f ca="1">$K$104-EFEITO!$M$104*EFEITO!$Z$104</f>
        <v>0</v>
      </c>
      <c r="O104" s="76">
        <f>$L$104-EFEITO!$O$104*EFEITO!$AA$104</f>
        <v>0</v>
      </c>
      <c r="P104" s="57"/>
      <c r="Q104" s="57"/>
      <c r="R104" s="57"/>
      <c r="S104" s="57"/>
      <c r="T104" s="57"/>
      <c r="U104" s="57"/>
      <c r="V104" s="57"/>
      <c r="W104" s="57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53" t="s">
        <v>28</v>
      </c>
      <c r="B105" s="53" t="s">
        <v>39</v>
      </c>
      <c r="C105" s="53" t="s">
        <v>42</v>
      </c>
      <c r="D105" s="53" t="s">
        <v>45</v>
      </c>
      <c r="E105" s="53" t="s">
        <v>25</v>
      </c>
      <c r="F105" s="53" t="s">
        <v>25</v>
      </c>
      <c r="G105" s="53" t="s">
        <v>25</v>
      </c>
      <c r="H105" s="53" t="s">
        <v>35</v>
      </c>
      <c r="I105" s="75">
        <v>44713</v>
      </c>
      <c r="J105" s="76">
        <f ca="1">EFEITO!$J$105*EFEITO!$Y$105</f>
        <v>2939.4967077851452</v>
      </c>
      <c r="K105" s="76">
        <f ca="1">EFEITO!$L$105*EFEITO!$Z$105</f>
        <v>1865.1723076749165</v>
      </c>
      <c r="L105" s="76">
        <f>EFEITO!$N$105*EFEITO!$AA$105</f>
        <v>3842.280120395933</v>
      </c>
      <c r="M105" s="76">
        <f ca="1">$J$105-EFEITO!$K$105*EFEITO!$Y$105</f>
        <v>0</v>
      </c>
      <c r="N105" s="76">
        <f ca="1">$K$105-EFEITO!$M$105*EFEITO!$Z$105</f>
        <v>0</v>
      </c>
      <c r="O105" s="76">
        <f>$L$105-EFEITO!$O$105*EFEITO!$AA$105</f>
        <v>0</v>
      </c>
      <c r="P105" s="57"/>
      <c r="Q105" s="57"/>
      <c r="R105" s="57"/>
      <c r="S105" s="57"/>
      <c r="T105" s="57"/>
      <c r="U105" s="57"/>
      <c r="V105" s="57"/>
      <c r="W105" s="57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53" t="s">
        <v>21</v>
      </c>
      <c r="B106" s="53" t="s">
        <v>39</v>
      </c>
      <c r="C106" s="53" t="s">
        <v>42</v>
      </c>
      <c r="D106" s="53" t="s">
        <v>45</v>
      </c>
      <c r="E106" s="53" t="s">
        <v>25</v>
      </c>
      <c r="F106" s="53" t="s">
        <v>25</v>
      </c>
      <c r="G106" s="53" t="s">
        <v>25</v>
      </c>
      <c r="H106" s="53" t="s">
        <v>35</v>
      </c>
      <c r="I106" s="75">
        <v>44743</v>
      </c>
      <c r="J106" s="76">
        <f ca="1">EFEITO!$J$106*EFEITO!$Y$106</f>
        <v>3325.3056506819457</v>
      </c>
      <c r="K106" s="76">
        <f ca="1">EFEITO!$L$106*EFEITO!$Z$106</f>
        <v>6003.2412511723642</v>
      </c>
      <c r="L106" s="76">
        <f>EFEITO!$N$106*EFEITO!$AA$106</f>
        <v>12366.757978555948</v>
      </c>
      <c r="M106" s="76">
        <f ca="1">$J$106-EFEITO!$K$106*EFEITO!$Y$106</f>
        <v>0</v>
      </c>
      <c r="N106" s="76">
        <f ca="1">$K$106-EFEITO!$M$106*EFEITO!$Z$106</f>
        <v>0</v>
      </c>
      <c r="O106" s="76">
        <f>$L$106-EFEITO!$O$106*EFEITO!$AA$106</f>
        <v>0</v>
      </c>
      <c r="P106" s="57"/>
      <c r="Q106" s="57"/>
      <c r="R106" s="57"/>
      <c r="S106" s="57"/>
      <c r="T106" s="57"/>
      <c r="U106" s="57"/>
      <c r="V106" s="57"/>
      <c r="W106" s="57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53" t="s">
        <v>28</v>
      </c>
      <c r="B107" s="53" t="s">
        <v>39</v>
      </c>
      <c r="C107" s="53" t="s">
        <v>42</v>
      </c>
      <c r="D107" s="53" t="s">
        <v>45</v>
      </c>
      <c r="E107" s="53" t="s">
        <v>25</v>
      </c>
      <c r="F107" s="53" t="s">
        <v>25</v>
      </c>
      <c r="G107" s="53" t="s">
        <v>25</v>
      </c>
      <c r="H107" s="53" t="s">
        <v>35</v>
      </c>
      <c r="I107" s="75">
        <v>44743</v>
      </c>
      <c r="J107" s="76">
        <f ca="1">EFEITO!$J$107*EFEITO!$Y$107</f>
        <v>2939.4967077851452</v>
      </c>
      <c r="K107" s="76">
        <f ca="1">EFEITO!$L$107*EFEITO!$Z$107</f>
        <v>1081.9864112839257</v>
      </c>
      <c r="L107" s="76">
        <f>EFEITO!$N$107*EFEITO!$AA$107</f>
        <v>2228.9066063805972</v>
      </c>
      <c r="M107" s="76">
        <f ca="1">$J$107-EFEITO!$K$107*EFEITO!$Y$107</f>
        <v>0</v>
      </c>
      <c r="N107" s="76">
        <f ca="1">$K$107-EFEITO!$M$107*EFEITO!$Z$107</f>
        <v>0</v>
      </c>
      <c r="O107" s="76">
        <f>$L$107-EFEITO!$O$107*EFEITO!$AA$107</f>
        <v>0</v>
      </c>
      <c r="P107" s="57"/>
      <c r="Q107" s="57"/>
      <c r="R107" s="57"/>
      <c r="S107" s="57"/>
      <c r="T107" s="57"/>
      <c r="U107" s="57"/>
      <c r="V107" s="57"/>
      <c r="W107" s="57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53" t="s">
        <v>56</v>
      </c>
      <c r="B108" s="53" t="s">
        <v>39</v>
      </c>
      <c r="C108" s="53" t="s">
        <v>42</v>
      </c>
      <c r="D108" s="53" t="s">
        <v>45</v>
      </c>
      <c r="E108" s="53" t="s">
        <v>25</v>
      </c>
      <c r="F108" s="53" t="s">
        <v>25</v>
      </c>
      <c r="G108" s="53" t="s">
        <v>25</v>
      </c>
      <c r="H108" s="53" t="s">
        <v>35</v>
      </c>
      <c r="I108" s="75">
        <v>44774</v>
      </c>
      <c r="J108" s="76">
        <f ca="1">EFEITO!$J$108*EFEITO!$Y$108</f>
        <v>3325.3056506819457</v>
      </c>
      <c r="K108" s="76">
        <f ca="1">EFEITO!$L$108*EFEITO!$Z$108</f>
        <v>6003.2412511723642</v>
      </c>
      <c r="L108" s="76">
        <f>EFEITO!$N$108*EFEITO!$AA$108</f>
        <v>12366.757978555948</v>
      </c>
      <c r="M108" s="76">
        <f ca="1">$J$108-EFEITO!$K$108*EFEITO!$Y$108</f>
        <v>0</v>
      </c>
      <c r="N108" s="76">
        <f ca="1">$K$108-EFEITO!$M$108*EFEITO!$Z$108</f>
        <v>0</v>
      </c>
      <c r="O108" s="76">
        <f>$L$108-EFEITO!$O$108*EFEITO!$AA$108</f>
        <v>0</v>
      </c>
      <c r="P108" s="57"/>
      <c r="Q108" s="57"/>
      <c r="R108" s="57"/>
      <c r="S108" s="57"/>
      <c r="T108" s="57"/>
      <c r="U108" s="57"/>
      <c r="V108" s="57"/>
      <c r="W108" s="57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53" t="s">
        <v>56</v>
      </c>
      <c r="B109" s="53" t="s">
        <v>39</v>
      </c>
      <c r="C109" s="53" t="s">
        <v>42</v>
      </c>
      <c r="D109" s="53" t="s">
        <v>45</v>
      </c>
      <c r="E109" s="53" t="s">
        <v>25</v>
      </c>
      <c r="F109" s="53" t="s">
        <v>25</v>
      </c>
      <c r="G109" s="53" t="s">
        <v>25</v>
      </c>
      <c r="H109" s="53" t="s">
        <v>35</v>
      </c>
      <c r="I109" s="75">
        <v>44774</v>
      </c>
      <c r="J109" s="76">
        <f ca="1">EFEITO!$J$109*EFEITO!$Y$109</f>
        <v>2939.4967077851452</v>
      </c>
      <c r="K109" s="76">
        <f ca="1">EFEITO!$L$109*EFEITO!$Z$109</f>
        <v>1081.9864112839257</v>
      </c>
      <c r="L109" s="76">
        <f>EFEITO!$N$109*EFEITO!$AA$109</f>
        <v>2228.9066063805972</v>
      </c>
      <c r="M109" s="76">
        <f ca="1">$J$109-EFEITO!$K$109*EFEITO!$Y$109</f>
        <v>0</v>
      </c>
      <c r="N109" s="76">
        <f ca="1">$K$109-EFEITO!$M$109*EFEITO!$Z$109</f>
        <v>0</v>
      </c>
      <c r="O109" s="76">
        <f>$L$109-EFEITO!$O$109*EFEITO!$AA$109</f>
        <v>0</v>
      </c>
      <c r="P109" s="57"/>
      <c r="Q109" s="57"/>
      <c r="R109" s="57"/>
      <c r="S109" s="57"/>
      <c r="T109" s="57"/>
      <c r="U109" s="57"/>
      <c r="V109" s="57"/>
      <c r="W109" s="57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53" t="s">
        <v>21</v>
      </c>
      <c r="B110" s="53" t="s">
        <v>39</v>
      </c>
      <c r="C110" s="53" t="s">
        <v>42</v>
      </c>
      <c r="D110" s="53" t="s">
        <v>45</v>
      </c>
      <c r="E110" s="53" t="s">
        <v>25</v>
      </c>
      <c r="F110" s="53" t="s">
        <v>25</v>
      </c>
      <c r="G110" s="53" t="s">
        <v>25</v>
      </c>
      <c r="H110" s="53" t="s">
        <v>34</v>
      </c>
      <c r="I110" s="75">
        <v>44440</v>
      </c>
      <c r="J110" s="76">
        <f ca="1">EFEITO!$J$110*EFEITO!$Y$110</f>
        <v>12423.601600506245</v>
      </c>
      <c r="K110" s="76">
        <f ca="1">EFEITO!$L$110*EFEITO!$Z$110</f>
        <v>981.35027947253604</v>
      </c>
      <c r="L110" s="76">
        <f>EFEITO!$N$110*EFEITO!$AA$110</f>
        <v>3221.8435996312996</v>
      </c>
      <c r="M110" s="76">
        <f ca="1">$J$110-EFEITO!$K$110*EFEITO!$Y$110</f>
        <v>0</v>
      </c>
      <c r="N110" s="76">
        <f ca="1">$K$110-EFEITO!$M$110*EFEITO!$Z$110</f>
        <v>0</v>
      </c>
      <c r="O110" s="76">
        <f>$L$110-EFEITO!$O$110*EFEITO!$AA$110</f>
        <v>0</v>
      </c>
      <c r="P110" s="57"/>
      <c r="Q110" s="57"/>
      <c r="R110" s="57"/>
      <c r="S110" s="57"/>
      <c r="T110" s="57"/>
      <c r="U110" s="57"/>
      <c r="V110" s="57"/>
      <c r="W110" s="57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53" t="s">
        <v>28</v>
      </c>
      <c r="B111" s="53" t="s">
        <v>39</v>
      </c>
      <c r="C111" s="53" t="s">
        <v>42</v>
      </c>
      <c r="D111" s="53" t="s">
        <v>45</v>
      </c>
      <c r="E111" s="53" t="s">
        <v>25</v>
      </c>
      <c r="F111" s="53" t="s">
        <v>25</v>
      </c>
      <c r="G111" s="53" t="s">
        <v>25</v>
      </c>
      <c r="H111" s="53" t="s">
        <v>34</v>
      </c>
      <c r="I111" s="75">
        <v>44440</v>
      </c>
      <c r="J111" s="76">
        <f ca="1">EFEITO!$J$111*EFEITO!$Y$111</f>
        <v>4658.8506001898422</v>
      </c>
      <c r="K111" s="76">
        <f ca="1">EFEITO!$L$111*EFEITO!$Z$111</f>
        <v>371.61371614470488</v>
      </c>
      <c r="L111" s="76">
        <f>EFEITO!$N$111*EFEITO!$AA$111</f>
        <v>1220.0345767869392</v>
      </c>
      <c r="M111" s="76">
        <f ca="1">$J$111-EFEITO!$K$111*EFEITO!$Y$111</f>
        <v>0</v>
      </c>
      <c r="N111" s="76">
        <f ca="1">$K$111-EFEITO!$M$111*EFEITO!$Z$111</f>
        <v>0</v>
      </c>
      <c r="O111" s="76">
        <f>$L$111-EFEITO!$O$111*EFEITO!$AA$111</f>
        <v>0</v>
      </c>
      <c r="P111" s="57"/>
      <c r="Q111" s="57"/>
      <c r="R111" s="57"/>
      <c r="S111" s="57"/>
      <c r="T111" s="57"/>
      <c r="U111" s="57"/>
      <c r="V111" s="57"/>
      <c r="W111" s="57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53" t="s">
        <v>21</v>
      </c>
      <c r="B112" s="53" t="s">
        <v>39</v>
      </c>
      <c r="C112" s="53" t="s">
        <v>42</v>
      </c>
      <c r="D112" s="53" t="s">
        <v>45</v>
      </c>
      <c r="E112" s="53" t="s">
        <v>25</v>
      </c>
      <c r="F112" s="53" t="s">
        <v>25</v>
      </c>
      <c r="G112" s="53" t="s">
        <v>25</v>
      </c>
      <c r="H112" s="53" t="s">
        <v>34</v>
      </c>
      <c r="I112" s="75">
        <v>44470</v>
      </c>
      <c r="J112" s="76">
        <f ca="1">EFEITO!$J$112*EFEITO!$Y$112</f>
        <v>11905.951533818485</v>
      </c>
      <c r="K112" s="76">
        <f ca="1">EFEITO!$L$112*EFEITO!$Z$112</f>
        <v>981.64626809551066</v>
      </c>
      <c r="L112" s="76">
        <f>EFEITO!$N$112*EFEITO!$AA$112</f>
        <v>3222.8153515841368</v>
      </c>
      <c r="M112" s="76">
        <f ca="1">$J$112-EFEITO!$K$112*EFEITO!$Y$112</f>
        <v>0</v>
      </c>
      <c r="N112" s="76">
        <f ca="1">$K$112-EFEITO!$M$112*EFEITO!$Z$112</f>
        <v>0</v>
      </c>
      <c r="O112" s="76">
        <f>$L$112-EFEITO!$O$112*EFEITO!$AA$112</f>
        <v>0</v>
      </c>
      <c r="P112" s="57"/>
      <c r="Q112" s="57"/>
      <c r="R112" s="57"/>
      <c r="S112" s="57"/>
      <c r="T112" s="57"/>
      <c r="U112" s="57"/>
      <c r="V112" s="57"/>
      <c r="W112" s="57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53" t="s">
        <v>28</v>
      </c>
      <c r="B113" s="53" t="s">
        <v>39</v>
      </c>
      <c r="C113" s="53" t="s">
        <v>42</v>
      </c>
      <c r="D113" s="53" t="s">
        <v>45</v>
      </c>
      <c r="E113" s="53" t="s">
        <v>25</v>
      </c>
      <c r="F113" s="53" t="s">
        <v>25</v>
      </c>
      <c r="G113" s="53" t="s">
        <v>25</v>
      </c>
      <c r="H113" s="53" t="s">
        <v>34</v>
      </c>
      <c r="I113" s="75">
        <v>44470</v>
      </c>
      <c r="J113" s="76">
        <f ca="1">EFEITO!$J$113*EFEITO!$Y$113</f>
        <v>6326.8341484059583</v>
      </c>
      <c r="K113" s="76">
        <f ca="1">EFEITO!$L$113*EFEITO!$Z$113</f>
        <v>482.90543838318274</v>
      </c>
      <c r="L113" s="76">
        <f>EFEITO!$N$113*EFEITO!$AA$113</f>
        <v>1585.4133110536768</v>
      </c>
      <c r="M113" s="76">
        <f ca="1">$J$113-EFEITO!$K$113*EFEITO!$Y$113</f>
        <v>0</v>
      </c>
      <c r="N113" s="76">
        <f ca="1">$K$113-EFEITO!$M$113*EFEITO!$Z$113</f>
        <v>0</v>
      </c>
      <c r="O113" s="76">
        <f>$L$113-EFEITO!$O$113*EFEITO!$AA$113</f>
        <v>0</v>
      </c>
      <c r="P113" s="57"/>
      <c r="Q113" s="57"/>
      <c r="R113" s="57"/>
      <c r="S113" s="57"/>
      <c r="T113" s="57"/>
      <c r="U113" s="57"/>
      <c r="V113" s="57"/>
      <c r="W113" s="57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53" t="s">
        <v>21</v>
      </c>
      <c r="B114" s="53" t="s">
        <v>39</v>
      </c>
      <c r="C114" s="53" t="s">
        <v>42</v>
      </c>
      <c r="D114" s="53" t="s">
        <v>45</v>
      </c>
      <c r="E114" s="53" t="s">
        <v>25</v>
      </c>
      <c r="F114" s="53" t="s">
        <v>25</v>
      </c>
      <c r="G114" s="53" t="s">
        <v>25</v>
      </c>
      <c r="H114" s="53" t="s">
        <v>34</v>
      </c>
      <c r="I114" s="75">
        <v>44501</v>
      </c>
      <c r="J114" s="76">
        <f ca="1">EFEITO!$J$114*EFEITO!$Y$114</f>
        <v>10813.134726366547</v>
      </c>
      <c r="K114" s="76">
        <f ca="1">EFEITO!$L$114*EFEITO!$Z$114</f>
        <v>884.26601113684239</v>
      </c>
      <c r="L114" s="76">
        <f>EFEITO!$N$114*EFEITO!$AA$114</f>
        <v>2903.1089591007412</v>
      </c>
      <c r="M114" s="76">
        <f ca="1">$J$114-EFEITO!$K$114*EFEITO!$Y$114</f>
        <v>0</v>
      </c>
      <c r="N114" s="76">
        <f ca="1">$K$114-EFEITO!$M$114*EFEITO!$Z$114</f>
        <v>0</v>
      </c>
      <c r="O114" s="76">
        <f>$L$114-EFEITO!$O$114*EFEITO!$AA$114</f>
        <v>0</v>
      </c>
      <c r="P114" s="57"/>
      <c r="Q114" s="57"/>
      <c r="R114" s="57"/>
      <c r="S114" s="57"/>
      <c r="T114" s="57"/>
      <c r="U114" s="57"/>
      <c r="V114" s="57"/>
      <c r="W114" s="57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53" t="s">
        <v>28</v>
      </c>
      <c r="B115" s="53" t="s">
        <v>39</v>
      </c>
      <c r="C115" s="53" t="s">
        <v>42</v>
      </c>
      <c r="D115" s="53" t="s">
        <v>45</v>
      </c>
      <c r="E115" s="53" t="s">
        <v>25</v>
      </c>
      <c r="F115" s="53" t="s">
        <v>25</v>
      </c>
      <c r="G115" s="53" t="s">
        <v>25</v>
      </c>
      <c r="H115" s="53" t="s">
        <v>34</v>
      </c>
      <c r="I115" s="75">
        <v>44501</v>
      </c>
      <c r="J115" s="76">
        <f ca="1">EFEITO!$J$115*EFEITO!$Y$115</f>
        <v>5924.2174298710333</v>
      </c>
      <c r="K115" s="76">
        <f ca="1">EFEITO!$L$115*EFEITO!$Z$115</f>
        <v>494.89297761365708</v>
      </c>
      <c r="L115" s="76">
        <f>EFEITO!$N$115*EFEITO!$AA$115</f>
        <v>1624.769265143578</v>
      </c>
      <c r="M115" s="76">
        <f ca="1">$J$115-EFEITO!$K$115*EFEITO!$Y$115</f>
        <v>0</v>
      </c>
      <c r="N115" s="76">
        <f ca="1">$K$115-EFEITO!$M$115*EFEITO!$Z$115</f>
        <v>0</v>
      </c>
      <c r="O115" s="76">
        <f>$L$115-EFEITO!$O$115*EFEITO!$AA$115</f>
        <v>0</v>
      </c>
      <c r="P115" s="57"/>
      <c r="Q115" s="57"/>
      <c r="R115" s="57"/>
      <c r="S115" s="57"/>
      <c r="T115" s="57"/>
      <c r="U115" s="57"/>
      <c r="V115" s="57"/>
      <c r="W115" s="57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53" t="s">
        <v>21</v>
      </c>
      <c r="B116" s="53" t="s">
        <v>39</v>
      </c>
      <c r="C116" s="53" t="s">
        <v>42</v>
      </c>
      <c r="D116" s="53" t="s">
        <v>45</v>
      </c>
      <c r="E116" s="53" t="s">
        <v>25</v>
      </c>
      <c r="F116" s="53" t="s">
        <v>25</v>
      </c>
      <c r="G116" s="53" t="s">
        <v>25</v>
      </c>
      <c r="H116" s="53" t="s">
        <v>34</v>
      </c>
      <c r="I116" s="75">
        <v>44531</v>
      </c>
      <c r="J116" s="76">
        <f ca="1">EFEITO!$J$116*EFEITO!$Y$116</f>
        <v>11043.201422672217</v>
      </c>
      <c r="K116" s="76">
        <f ca="1">EFEITO!$L$116*EFEITO!$Z$116</f>
        <v>1051.3515888060467</v>
      </c>
      <c r="L116" s="76">
        <f>EFEITO!$N$116*EFEITO!$AA$116</f>
        <v>3451.6629364772662</v>
      </c>
      <c r="M116" s="76">
        <f ca="1">$J$116-EFEITO!$K$116*EFEITO!$Y$116</f>
        <v>0</v>
      </c>
      <c r="N116" s="76">
        <f ca="1">$K$116-EFEITO!$M$116*EFEITO!$Z$116</f>
        <v>0</v>
      </c>
      <c r="O116" s="76">
        <f>$L$116-EFEITO!$O$116*EFEITO!$AA$116</f>
        <v>0</v>
      </c>
      <c r="P116" s="57"/>
      <c r="Q116" s="57"/>
      <c r="R116" s="57"/>
      <c r="S116" s="57"/>
      <c r="T116" s="57"/>
      <c r="U116" s="57"/>
      <c r="V116" s="57"/>
      <c r="W116" s="57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53" t="s">
        <v>28</v>
      </c>
      <c r="B117" s="53" t="s">
        <v>39</v>
      </c>
      <c r="C117" s="53" t="s">
        <v>42</v>
      </c>
      <c r="D117" s="53" t="s">
        <v>45</v>
      </c>
      <c r="E117" s="53" t="s">
        <v>25</v>
      </c>
      <c r="F117" s="53" t="s">
        <v>25</v>
      </c>
      <c r="G117" s="53" t="s">
        <v>25</v>
      </c>
      <c r="H117" s="53" t="s">
        <v>34</v>
      </c>
      <c r="I117" s="75">
        <v>44531</v>
      </c>
      <c r="J117" s="76">
        <f ca="1">EFEITO!$J$117*EFEITO!$Y$117</f>
        <v>6441.8674965587934</v>
      </c>
      <c r="K117" s="76">
        <f ca="1">EFEITO!$L$117*EFEITO!$Z$117</f>
        <v>517.38811295973244</v>
      </c>
      <c r="L117" s="76">
        <f>EFEITO!$N$117*EFEITO!$AA$117</f>
        <v>1698.6224135591951</v>
      </c>
      <c r="M117" s="76">
        <f ca="1">$J$117-EFEITO!$K$117*EFEITO!$Y$117</f>
        <v>0</v>
      </c>
      <c r="N117" s="76">
        <f ca="1">$K$117-EFEITO!$M$117*EFEITO!$Z$117</f>
        <v>0</v>
      </c>
      <c r="O117" s="76">
        <f>$L$117-EFEITO!$O$117*EFEITO!$AA$117</f>
        <v>0</v>
      </c>
      <c r="P117" s="57"/>
      <c r="Q117" s="57"/>
      <c r="R117" s="57"/>
      <c r="S117" s="57"/>
      <c r="T117" s="57"/>
      <c r="U117" s="57"/>
      <c r="V117" s="57"/>
      <c r="W117" s="57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53" t="s">
        <v>21</v>
      </c>
      <c r="B118" s="53" t="s">
        <v>39</v>
      </c>
      <c r="C118" s="53" t="s">
        <v>42</v>
      </c>
      <c r="D118" s="53" t="s">
        <v>45</v>
      </c>
      <c r="E118" s="53" t="s">
        <v>25</v>
      </c>
      <c r="F118" s="53" t="s">
        <v>25</v>
      </c>
      <c r="G118" s="53" t="s">
        <v>25</v>
      </c>
      <c r="H118" s="53" t="s">
        <v>34</v>
      </c>
      <c r="I118" s="75">
        <v>44562</v>
      </c>
      <c r="J118" s="76">
        <f ca="1">EFEITO!$J$118*EFEITO!$Y$118</f>
        <v>11273.268118977889</v>
      </c>
      <c r="K118" s="76">
        <f ca="1">EFEITO!$L$118*EFEITO!$Z$118</f>
        <v>916.67676535256942</v>
      </c>
      <c r="L118" s="76">
        <f>EFEITO!$N$118*EFEITO!$AA$118</f>
        <v>3009.5157979364003</v>
      </c>
      <c r="M118" s="76">
        <f ca="1">$J$118-EFEITO!$K$118*EFEITO!$Y$118</f>
        <v>0</v>
      </c>
      <c r="N118" s="76">
        <f ca="1">$K$118-EFEITO!$M$118*EFEITO!$Z$118</f>
        <v>0</v>
      </c>
      <c r="O118" s="76">
        <f>$L$118-EFEITO!$O$118*EFEITO!$AA$118</f>
        <v>0</v>
      </c>
      <c r="P118" s="57"/>
      <c r="Q118" s="57"/>
      <c r="R118" s="57"/>
      <c r="S118" s="57"/>
      <c r="T118" s="57"/>
      <c r="U118" s="57"/>
      <c r="V118" s="57"/>
      <c r="W118" s="57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53" t="s">
        <v>28</v>
      </c>
      <c r="B119" s="53" t="s">
        <v>39</v>
      </c>
      <c r="C119" s="53" t="s">
        <v>42</v>
      </c>
      <c r="D119" s="53" t="s">
        <v>45</v>
      </c>
      <c r="E119" s="53" t="s">
        <v>25</v>
      </c>
      <c r="F119" s="53" t="s">
        <v>25</v>
      </c>
      <c r="G119" s="53" t="s">
        <v>25</v>
      </c>
      <c r="H119" s="53" t="s">
        <v>34</v>
      </c>
      <c r="I119" s="75">
        <v>44562</v>
      </c>
      <c r="J119" s="76">
        <f ca="1">EFEITO!$J$119*EFEITO!$Y$119</f>
        <v>2645.7670075152187</v>
      </c>
      <c r="K119" s="76">
        <f ca="1">EFEITO!$L$119*EFEITO!$Z$119</f>
        <v>214.59175165663959</v>
      </c>
      <c r="L119" s="76">
        <f>EFEITO!$N$119*EFEITO!$AA$119</f>
        <v>704.52016580687439</v>
      </c>
      <c r="M119" s="76">
        <f ca="1">$J$119-EFEITO!$K$119*EFEITO!$Y$119</f>
        <v>0</v>
      </c>
      <c r="N119" s="76">
        <f ca="1">$K$119-EFEITO!$M$119*EFEITO!$Z$119</f>
        <v>0</v>
      </c>
      <c r="O119" s="76">
        <f>$L$119-EFEITO!$O$119*EFEITO!$AA$119</f>
        <v>0</v>
      </c>
      <c r="P119" s="57"/>
      <c r="Q119" s="57"/>
      <c r="R119" s="57"/>
      <c r="S119" s="57"/>
      <c r="T119" s="57"/>
      <c r="U119" s="57"/>
      <c r="V119" s="57"/>
      <c r="W119" s="57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53" t="s">
        <v>21</v>
      </c>
      <c r="B120" s="53" t="s">
        <v>39</v>
      </c>
      <c r="C120" s="53" t="s">
        <v>42</v>
      </c>
      <c r="D120" s="53" t="s">
        <v>45</v>
      </c>
      <c r="E120" s="53" t="s">
        <v>25</v>
      </c>
      <c r="F120" s="53" t="s">
        <v>25</v>
      </c>
      <c r="G120" s="53" t="s">
        <v>25</v>
      </c>
      <c r="H120" s="53" t="s">
        <v>34</v>
      </c>
      <c r="I120" s="75">
        <v>44593</v>
      </c>
      <c r="J120" s="76">
        <f ca="1">EFEITO!$J$120*EFEITO!$Y$120</f>
        <v>11503.334815283561</v>
      </c>
      <c r="K120" s="76">
        <f ca="1">EFEITO!$L$120*EFEITO!$Z$120</f>
        <v>1088.2021723663938</v>
      </c>
      <c r="L120" s="76">
        <f>EFEITO!$N$120*EFEITO!$AA$120</f>
        <v>3572.6460546054809</v>
      </c>
      <c r="M120" s="76">
        <f ca="1">$J$120-EFEITO!$K$120*EFEITO!$Y$120</f>
        <v>0</v>
      </c>
      <c r="N120" s="76">
        <f ca="1">$K$120-EFEITO!$M$120*EFEITO!$Z$120</f>
        <v>0</v>
      </c>
      <c r="O120" s="76">
        <f>$L$120-EFEITO!$O$120*EFEITO!$AA$120</f>
        <v>0</v>
      </c>
      <c r="P120" s="57"/>
      <c r="Q120" s="57"/>
      <c r="R120" s="57"/>
      <c r="S120" s="57"/>
      <c r="T120" s="57"/>
      <c r="U120" s="57"/>
      <c r="V120" s="57"/>
      <c r="W120" s="57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53" t="s">
        <v>28</v>
      </c>
      <c r="B121" s="53" t="s">
        <v>39</v>
      </c>
      <c r="C121" s="53" t="s">
        <v>42</v>
      </c>
      <c r="D121" s="53" t="s">
        <v>45</v>
      </c>
      <c r="E121" s="53" t="s">
        <v>25</v>
      </c>
      <c r="F121" s="53" t="s">
        <v>25</v>
      </c>
      <c r="G121" s="53" t="s">
        <v>25</v>
      </c>
      <c r="H121" s="53" t="s">
        <v>34</v>
      </c>
      <c r="I121" s="75">
        <v>44593</v>
      </c>
      <c r="J121" s="76">
        <f ca="1">EFEITO!$J$121*EFEITO!$Y$121</f>
        <v>5636.6340594889443</v>
      </c>
      <c r="K121" s="76">
        <f ca="1">EFEITO!$L$121*EFEITO!$Z$121</f>
        <v>502.14469887653661</v>
      </c>
      <c r="L121" s="76">
        <f>EFEITO!$N$121*EFEITO!$AA$121</f>
        <v>1648.5771879880861</v>
      </c>
      <c r="M121" s="76">
        <f ca="1">$J$121-EFEITO!$K$121*EFEITO!$Y$121</f>
        <v>0</v>
      </c>
      <c r="N121" s="76">
        <f ca="1">$K$121-EFEITO!$M$121*EFEITO!$Z$121</f>
        <v>0</v>
      </c>
      <c r="O121" s="76">
        <f>$L$121-EFEITO!$O$121*EFEITO!$AA$121</f>
        <v>0</v>
      </c>
      <c r="P121" s="57"/>
      <c r="Q121" s="57"/>
      <c r="R121" s="57"/>
      <c r="S121" s="57"/>
      <c r="T121" s="57"/>
      <c r="U121" s="57"/>
      <c r="V121" s="57"/>
      <c r="W121" s="57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53" t="s">
        <v>21</v>
      </c>
      <c r="B122" s="53" t="s">
        <v>39</v>
      </c>
      <c r="C122" s="53" t="s">
        <v>42</v>
      </c>
      <c r="D122" s="53" t="s">
        <v>45</v>
      </c>
      <c r="E122" s="53" t="s">
        <v>25</v>
      </c>
      <c r="F122" s="53" t="s">
        <v>25</v>
      </c>
      <c r="G122" s="53" t="s">
        <v>25</v>
      </c>
      <c r="H122" s="53" t="s">
        <v>34</v>
      </c>
      <c r="I122" s="75">
        <v>44621</v>
      </c>
      <c r="J122" s="76">
        <f ca="1">EFEITO!$J$122*EFEITO!$Y$122</f>
        <v>11848.434859742067</v>
      </c>
      <c r="K122" s="76">
        <f ca="1">EFEITO!$L$122*EFEITO!$Z$122</f>
        <v>1302.0539524655967</v>
      </c>
      <c r="L122" s="76">
        <f>EFEITO!$N$122*EFEITO!$AA$122</f>
        <v>4274.7368405302632</v>
      </c>
      <c r="M122" s="76">
        <f ca="1">$J$122-EFEITO!$K$122*EFEITO!$Y$122</f>
        <v>0</v>
      </c>
      <c r="N122" s="76">
        <f ca="1">$K$122-EFEITO!$M$122*EFEITO!$Z$122</f>
        <v>0</v>
      </c>
      <c r="O122" s="76">
        <f>$L$122-EFEITO!$O$122*EFEITO!$AA$122</f>
        <v>0</v>
      </c>
      <c r="P122" s="57"/>
      <c r="Q122" s="57"/>
      <c r="R122" s="57"/>
      <c r="S122" s="57"/>
      <c r="T122" s="57"/>
      <c r="U122" s="57"/>
      <c r="V122" s="57"/>
      <c r="W122" s="57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53" t="s">
        <v>28</v>
      </c>
      <c r="B123" s="53" t="s">
        <v>39</v>
      </c>
      <c r="C123" s="53" t="s">
        <v>42</v>
      </c>
      <c r="D123" s="53" t="s">
        <v>45</v>
      </c>
      <c r="E123" s="53" t="s">
        <v>25</v>
      </c>
      <c r="F123" s="53" t="s">
        <v>25</v>
      </c>
      <c r="G123" s="53" t="s">
        <v>25</v>
      </c>
      <c r="H123" s="53" t="s">
        <v>34</v>
      </c>
      <c r="I123" s="75">
        <v>44621</v>
      </c>
      <c r="J123" s="76">
        <f ca="1">EFEITO!$J$123*EFEITO!$Y$123</f>
        <v>7879.7843484692385</v>
      </c>
      <c r="K123" s="76">
        <f ca="1">EFEITO!$L$123*EFEITO!$Z$123</f>
        <v>795.02544130997785</v>
      </c>
      <c r="L123" s="76">
        <f>EFEITO!$N$123*EFEITO!$AA$123</f>
        <v>2610.1257453203652</v>
      </c>
      <c r="M123" s="76">
        <f ca="1">$J$123-EFEITO!$K$123*EFEITO!$Y$123</f>
        <v>0</v>
      </c>
      <c r="N123" s="76">
        <f ca="1">$K$123-EFEITO!$M$123*EFEITO!$Z$123</f>
        <v>0</v>
      </c>
      <c r="O123" s="76">
        <f>$L$123-EFEITO!$O$123*EFEITO!$AA$123</f>
        <v>0</v>
      </c>
      <c r="P123" s="57"/>
      <c r="Q123" s="57"/>
      <c r="R123" s="57"/>
      <c r="S123" s="57"/>
      <c r="T123" s="57"/>
      <c r="U123" s="57"/>
      <c r="V123" s="57"/>
      <c r="W123" s="57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53" t="s">
        <v>21</v>
      </c>
      <c r="B124" s="53" t="s">
        <v>39</v>
      </c>
      <c r="C124" s="53" t="s">
        <v>42</v>
      </c>
      <c r="D124" s="53" t="s">
        <v>45</v>
      </c>
      <c r="E124" s="53" t="s">
        <v>25</v>
      </c>
      <c r="F124" s="53" t="s">
        <v>25</v>
      </c>
      <c r="G124" s="53" t="s">
        <v>25</v>
      </c>
      <c r="H124" s="53" t="s">
        <v>34</v>
      </c>
      <c r="I124" s="75">
        <v>44652</v>
      </c>
      <c r="J124" s="76">
        <f ca="1">EFEITO!$J$124*EFEITO!$Y$124</f>
        <v>11905.951533818485</v>
      </c>
      <c r="K124" s="76">
        <f ca="1">EFEITO!$L$124*EFEITO!$Z$124</f>
        <v>1211.1854452123712</v>
      </c>
      <c r="L124" s="76">
        <f>EFEITO!$N$124*EFEITO!$AA$124</f>
        <v>3976.4089910092825</v>
      </c>
      <c r="M124" s="76">
        <f ca="1">$J$124-EFEITO!$K$124*EFEITO!$Y$124</f>
        <v>0</v>
      </c>
      <c r="N124" s="76">
        <f ca="1">$K$124-EFEITO!$M$124*EFEITO!$Z$124</f>
        <v>0</v>
      </c>
      <c r="O124" s="76">
        <f>$L$124-EFEITO!$O$124*EFEITO!$AA$124</f>
        <v>0</v>
      </c>
      <c r="P124" s="57"/>
      <c r="Q124" s="57"/>
      <c r="R124" s="57"/>
      <c r="S124" s="57"/>
      <c r="T124" s="57"/>
      <c r="U124" s="57"/>
      <c r="V124" s="57"/>
      <c r="W124" s="57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53" t="s">
        <v>28</v>
      </c>
      <c r="B125" s="53" t="s">
        <v>39</v>
      </c>
      <c r="C125" s="53" t="s">
        <v>42</v>
      </c>
      <c r="D125" s="53" t="s">
        <v>45</v>
      </c>
      <c r="E125" s="53" t="s">
        <v>25</v>
      </c>
      <c r="F125" s="53" t="s">
        <v>25</v>
      </c>
      <c r="G125" s="53" t="s">
        <v>25</v>
      </c>
      <c r="H125" s="53" t="s">
        <v>34</v>
      </c>
      <c r="I125" s="75">
        <v>44652</v>
      </c>
      <c r="J125" s="76">
        <f ca="1">EFEITO!$J$125*EFEITO!$Y$125</f>
        <v>7477.1676299343144</v>
      </c>
      <c r="K125" s="76">
        <f ca="1">EFEITO!$L$125*EFEITO!$Z$125</f>
        <v>687.58157117017072</v>
      </c>
      <c r="L125" s="76">
        <f>EFEITO!$N$125*EFEITO!$AA$125</f>
        <v>2257.3797864405092</v>
      </c>
      <c r="M125" s="76">
        <f ca="1">$J$125-EFEITO!$K$125*EFEITO!$Y$125</f>
        <v>0</v>
      </c>
      <c r="N125" s="76">
        <f ca="1">$K$125-EFEITO!$M$125*EFEITO!$Z$125</f>
        <v>0</v>
      </c>
      <c r="O125" s="76">
        <f>$L$125-EFEITO!$O$125*EFEITO!$AA$125</f>
        <v>0</v>
      </c>
      <c r="P125" s="57"/>
      <c r="Q125" s="57"/>
      <c r="R125" s="57"/>
      <c r="S125" s="57"/>
      <c r="T125" s="57"/>
      <c r="U125" s="57"/>
      <c r="V125" s="57"/>
      <c r="W125" s="57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53" t="s">
        <v>21</v>
      </c>
      <c r="B126" s="53" t="s">
        <v>39</v>
      </c>
      <c r="C126" s="53" t="s">
        <v>42</v>
      </c>
      <c r="D126" s="53" t="s">
        <v>45</v>
      </c>
      <c r="E126" s="53" t="s">
        <v>25</v>
      </c>
      <c r="F126" s="53" t="s">
        <v>25</v>
      </c>
      <c r="G126" s="53" t="s">
        <v>25</v>
      </c>
      <c r="H126" s="53" t="s">
        <v>34</v>
      </c>
      <c r="I126" s="75">
        <v>44682</v>
      </c>
      <c r="J126" s="76">
        <f ca="1">EFEITO!$J$126*EFEITO!$Y$126</f>
        <v>10985.684748595801</v>
      </c>
      <c r="K126" s="76">
        <f ca="1">EFEITO!$L$126*EFEITO!$Z$126</f>
        <v>889.00182910443721</v>
      </c>
      <c r="L126" s="76">
        <f>EFEITO!$N$126*EFEITO!$AA$126</f>
        <v>2918.6569903461341</v>
      </c>
      <c r="M126" s="76">
        <f ca="1">$J$126-EFEITO!$K$126*EFEITO!$Y$126</f>
        <v>0</v>
      </c>
      <c r="N126" s="76">
        <f ca="1">$K$126-EFEITO!$M$126*EFEITO!$Z$126</f>
        <v>0</v>
      </c>
      <c r="O126" s="76">
        <f>$L$126-EFEITO!$O$126*EFEITO!$AA$126</f>
        <v>0</v>
      </c>
      <c r="P126" s="57"/>
      <c r="Q126" s="57"/>
      <c r="R126" s="57"/>
      <c r="S126" s="57"/>
      <c r="T126" s="57"/>
      <c r="U126" s="57"/>
      <c r="V126" s="57"/>
      <c r="W126" s="57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53" t="s">
        <v>28</v>
      </c>
      <c r="B127" s="53" t="s">
        <v>39</v>
      </c>
      <c r="C127" s="53" t="s">
        <v>42</v>
      </c>
      <c r="D127" s="53" t="s">
        <v>45</v>
      </c>
      <c r="E127" s="53" t="s">
        <v>25</v>
      </c>
      <c r="F127" s="53" t="s">
        <v>25</v>
      </c>
      <c r="G127" s="53" t="s">
        <v>25</v>
      </c>
      <c r="H127" s="53" t="s">
        <v>34</v>
      </c>
      <c r="I127" s="75">
        <v>44682</v>
      </c>
      <c r="J127" s="76">
        <f ca="1">EFEITO!$J$127*EFEITO!$Y$127</f>
        <v>6326.8341484059583</v>
      </c>
      <c r="K127" s="76">
        <f ca="1">EFEITO!$L$127*EFEITO!$Z$127</f>
        <v>570.07408784922461</v>
      </c>
      <c r="L127" s="76">
        <f>EFEITO!$N$127*EFEITO!$AA$127</f>
        <v>1871.5942611641933</v>
      </c>
      <c r="M127" s="76">
        <f ca="1">$J$127-EFEITO!$K$127*EFEITO!$Y$127</f>
        <v>0</v>
      </c>
      <c r="N127" s="76">
        <f ca="1">$K$127-EFEITO!$M$127*EFEITO!$Z$127</f>
        <v>0</v>
      </c>
      <c r="O127" s="76">
        <f>$L$127-EFEITO!$O$127*EFEITO!$AA$127</f>
        <v>0</v>
      </c>
      <c r="P127" s="57"/>
      <c r="Q127" s="57"/>
      <c r="R127" s="57"/>
      <c r="S127" s="57"/>
      <c r="T127" s="57"/>
      <c r="U127" s="57"/>
      <c r="V127" s="57"/>
      <c r="W127" s="57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53" t="s">
        <v>21</v>
      </c>
      <c r="B128" s="53" t="s">
        <v>39</v>
      </c>
      <c r="C128" s="53" t="s">
        <v>42</v>
      </c>
      <c r="D128" s="53" t="s">
        <v>45</v>
      </c>
      <c r="E128" s="53" t="s">
        <v>25</v>
      </c>
      <c r="F128" s="53" t="s">
        <v>25</v>
      </c>
      <c r="G128" s="53" t="s">
        <v>25</v>
      </c>
      <c r="H128" s="53" t="s">
        <v>34</v>
      </c>
      <c r="I128" s="75">
        <v>44713</v>
      </c>
      <c r="J128" s="76">
        <f ca="1">EFEITO!$J$128*EFEITO!$Y$128</f>
        <v>10353.001333755205</v>
      </c>
      <c r="K128" s="76">
        <f ca="1">EFEITO!$L$128*EFEITO!$Z$128</f>
        <v>725.91209784539126</v>
      </c>
      <c r="L128" s="76">
        <f>EFEITO!$N$128*EFEITO!$AA$128</f>
        <v>2383.2216643329098</v>
      </c>
      <c r="M128" s="76">
        <f ca="1">$J$128-EFEITO!$K$128*EFEITO!$Y$128</f>
        <v>0</v>
      </c>
      <c r="N128" s="76">
        <f ca="1">$K$128-EFEITO!$M$128*EFEITO!$Z$128</f>
        <v>0</v>
      </c>
      <c r="O128" s="76">
        <f>$L$128-EFEITO!$O$128*EFEITO!$AA$128</f>
        <v>0</v>
      </c>
      <c r="P128" s="57"/>
      <c r="Q128" s="57"/>
      <c r="R128" s="57"/>
      <c r="S128" s="57"/>
      <c r="T128" s="57"/>
      <c r="U128" s="57"/>
      <c r="V128" s="57"/>
      <c r="W128" s="57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53" t="s">
        <v>28</v>
      </c>
      <c r="B129" s="53" t="s">
        <v>39</v>
      </c>
      <c r="C129" s="53" t="s">
        <v>42</v>
      </c>
      <c r="D129" s="53" t="s">
        <v>45</v>
      </c>
      <c r="E129" s="53" t="s">
        <v>25</v>
      </c>
      <c r="F129" s="53" t="s">
        <v>25</v>
      </c>
      <c r="G129" s="53" t="s">
        <v>25</v>
      </c>
      <c r="H129" s="53" t="s">
        <v>34</v>
      </c>
      <c r="I129" s="75">
        <v>44713</v>
      </c>
      <c r="J129" s="76">
        <f ca="1">EFEITO!$J$129*EFEITO!$Y$129</f>
        <v>6326.8341484059583</v>
      </c>
      <c r="K129" s="76">
        <f ca="1">EFEITO!$L$129*EFEITO!$Z$129</f>
        <v>467.66202429998702</v>
      </c>
      <c r="L129" s="76">
        <f>EFEITO!$N$129*EFEITO!$AA$129</f>
        <v>1535.3680854825677</v>
      </c>
      <c r="M129" s="76">
        <f ca="1">$J$129-EFEITO!$K$129*EFEITO!$Y$129</f>
        <v>0</v>
      </c>
      <c r="N129" s="76">
        <f ca="1">$K$129-EFEITO!$M$129*EFEITO!$Z$129</f>
        <v>0</v>
      </c>
      <c r="O129" s="76">
        <f>$L$129-EFEITO!$O$129*EFEITO!$AA$129</f>
        <v>0</v>
      </c>
      <c r="P129" s="57"/>
      <c r="Q129" s="57"/>
      <c r="R129" s="57"/>
      <c r="S129" s="57"/>
      <c r="T129" s="57"/>
      <c r="U129" s="57"/>
      <c r="V129" s="57"/>
      <c r="W129" s="57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53" t="s">
        <v>21</v>
      </c>
      <c r="B130" s="53" t="s">
        <v>39</v>
      </c>
      <c r="C130" s="53" t="s">
        <v>42</v>
      </c>
      <c r="D130" s="53" t="s">
        <v>45</v>
      </c>
      <c r="E130" s="53" t="s">
        <v>25</v>
      </c>
      <c r="F130" s="53" t="s">
        <v>25</v>
      </c>
      <c r="G130" s="53" t="s">
        <v>25</v>
      </c>
      <c r="H130" s="53" t="s">
        <v>34</v>
      </c>
      <c r="I130" s="75">
        <v>44743</v>
      </c>
      <c r="J130" s="76">
        <f ca="1">EFEITO!$J$130*EFEITO!$Y$130</f>
        <v>10353.001333755205</v>
      </c>
      <c r="K130" s="76">
        <f ca="1">EFEITO!$L$130*EFEITO!$Z$130</f>
        <v>777.41411824298473</v>
      </c>
      <c r="L130" s="76">
        <f>EFEITO!$N$130*EFEITO!$AA$130</f>
        <v>2552.3065041265595</v>
      </c>
      <c r="M130" s="76">
        <f ca="1">$J$130-EFEITO!$K$130*EFEITO!$Y$130</f>
        <v>0</v>
      </c>
      <c r="N130" s="76">
        <f ca="1">$K$130-EFEITO!$M$130*EFEITO!$Z$130</f>
        <v>0</v>
      </c>
      <c r="O130" s="76">
        <f>$L$130-EFEITO!$O$130*EFEITO!$AA$130</f>
        <v>0</v>
      </c>
      <c r="P130" s="57"/>
      <c r="Q130" s="57"/>
      <c r="R130" s="57"/>
      <c r="S130" s="57"/>
      <c r="T130" s="57"/>
      <c r="U130" s="57"/>
      <c r="V130" s="57"/>
      <c r="W130" s="57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53" t="s">
        <v>28</v>
      </c>
      <c r="B131" s="53" t="s">
        <v>39</v>
      </c>
      <c r="C131" s="53" t="s">
        <v>42</v>
      </c>
      <c r="D131" s="53" t="s">
        <v>45</v>
      </c>
      <c r="E131" s="53" t="s">
        <v>25</v>
      </c>
      <c r="F131" s="53" t="s">
        <v>25</v>
      </c>
      <c r="G131" s="53" t="s">
        <v>25</v>
      </c>
      <c r="H131" s="53" t="s">
        <v>34</v>
      </c>
      <c r="I131" s="75">
        <v>44743</v>
      </c>
      <c r="J131" s="76">
        <f ca="1">EFEITO!$J$131*EFEITO!$Y$131</f>
        <v>6326.8341484059583</v>
      </c>
      <c r="K131" s="76">
        <f ca="1">EFEITO!$L$131*EFEITO!$Z$131</f>
        <v>331.80324635461102</v>
      </c>
      <c r="L131" s="76">
        <f>EFEITO!$N$131*EFEITO!$AA$131</f>
        <v>1089.3339391303534</v>
      </c>
      <c r="M131" s="76">
        <f ca="1">$J$131-EFEITO!$K$131*EFEITO!$Y$131</f>
        <v>0</v>
      </c>
      <c r="N131" s="76">
        <f ca="1">$K$131-EFEITO!$M$131*EFEITO!$Z$131</f>
        <v>0</v>
      </c>
      <c r="O131" s="76">
        <f>$L$131-EFEITO!$O$131*EFEITO!$AA$131</f>
        <v>0</v>
      </c>
      <c r="P131" s="57"/>
      <c r="Q131" s="57"/>
      <c r="R131" s="57"/>
      <c r="S131" s="57"/>
      <c r="T131" s="57"/>
      <c r="U131" s="57"/>
      <c r="V131" s="57"/>
      <c r="W131" s="57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53" t="s">
        <v>56</v>
      </c>
      <c r="B132" s="53" t="s">
        <v>39</v>
      </c>
      <c r="C132" s="53" t="s">
        <v>42</v>
      </c>
      <c r="D132" s="53" t="s">
        <v>45</v>
      </c>
      <c r="E132" s="53" t="s">
        <v>25</v>
      </c>
      <c r="F132" s="53" t="s">
        <v>25</v>
      </c>
      <c r="G132" s="53" t="s">
        <v>25</v>
      </c>
      <c r="H132" s="53" t="s">
        <v>34</v>
      </c>
      <c r="I132" s="75">
        <v>44774</v>
      </c>
      <c r="J132" s="76">
        <f ca="1">EFEITO!$J$132*EFEITO!$Y$132</f>
        <v>10353.001333755205</v>
      </c>
      <c r="K132" s="76">
        <f ca="1">EFEITO!$L$132*EFEITO!$Z$132</f>
        <v>777.41411824298473</v>
      </c>
      <c r="L132" s="76">
        <f>EFEITO!$N$132*EFEITO!$AA$132</f>
        <v>2552.3065041265595</v>
      </c>
      <c r="M132" s="76">
        <f ca="1">$J$132-EFEITO!$K$132*EFEITO!$Y$132</f>
        <v>0</v>
      </c>
      <c r="N132" s="76">
        <f ca="1">$K$132-EFEITO!$M$132*EFEITO!$Z$132</f>
        <v>0</v>
      </c>
      <c r="O132" s="76">
        <f>$L$132-EFEITO!$O$132*EFEITO!$AA$132</f>
        <v>0</v>
      </c>
      <c r="P132" s="57"/>
      <c r="Q132" s="57"/>
      <c r="R132" s="57"/>
      <c r="S132" s="57"/>
      <c r="T132" s="57"/>
      <c r="U132" s="57"/>
      <c r="V132" s="57"/>
      <c r="W132" s="57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53" t="s">
        <v>56</v>
      </c>
      <c r="B133" s="53" t="s">
        <v>39</v>
      </c>
      <c r="C133" s="53" t="s">
        <v>42</v>
      </c>
      <c r="D133" s="53" t="s">
        <v>45</v>
      </c>
      <c r="E133" s="53" t="s">
        <v>25</v>
      </c>
      <c r="F133" s="53" t="s">
        <v>25</v>
      </c>
      <c r="G133" s="53" t="s">
        <v>25</v>
      </c>
      <c r="H133" s="53" t="s">
        <v>34</v>
      </c>
      <c r="I133" s="75">
        <v>44774</v>
      </c>
      <c r="J133" s="76">
        <f ca="1">EFEITO!$J$133*EFEITO!$Y$133</f>
        <v>6326.8341484059583</v>
      </c>
      <c r="K133" s="76">
        <f ca="1">EFEITO!$L$133*EFEITO!$Z$133</f>
        <v>331.80324635461102</v>
      </c>
      <c r="L133" s="76">
        <f>EFEITO!$N$133*EFEITO!$AA$133</f>
        <v>1089.3339391303534</v>
      </c>
      <c r="M133" s="76">
        <f ca="1">$J$133-EFEITO!$K$133*EFEITO!$Y$133</f>
        <v>0</v>
      </c>
      <c r="N133" s="76">
        <f ca="1">$K$133-EFEITO!$M$133*EFEITO!$Z$133</f>
        <v>0</v>
      </c>
      <c r="O133" s="76">
        <f>$L$133-EFEITO!$O$133*EFEITO!$AA$133</f>
        <v>0</v>
      </c>
      <c r="P133" s="57"/>
      <c r="Q133" s="57"/>
      <c r="R133" s="57"/>
      <c r="S133" s="57"/>
      <c r="T133" s="57"/>
      <c r="U133" s="57"/>
      <c r="V133" s="57"/>
      <c r="W133" s="57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53" t="s">
        <v>21</v>
      </c>
      <c r="B134" s="53" t="s">
        <v>39</v>
      </c>
      <c r="C134" s="53" t="s">
        <v>42</v>
      </c>
      <c r="D134" s="53" t="s">
        <v>44</v>
      </c>
      <c r="E134" s="53" t="s">
        <v>25</v>
      </c>
      <c r="F134" s="53" t="s">
        <v>25</v>
      </c>
      <c r="G134" s="53" t="s">
        <v>25</v>
      </c>
      <c r="H134" s="53" t="s">
        <v>35</v>
      </c>
      <c r="I134" s="75">
        <v>44440</v>
      </c>
      <c r="J134" s="76">
        <f ca="1">EFEITO!$J$134*EFEITO!$Y$109</f>
        <v>4464.3606249486893</v>
      </c>
      <c r="K134" s="76">
        <f ca="1">EFEITO!$L$134*EFEITO!$Z$109</f>
        <v>11528.460876240628</v>
      </c>
      <c r="L134" s="76">
        <f>EFEITO!$N$134*EFEITO!$AA$109</f>
        <v>23748.784957438893</v>
      </c>
      <c r="M134" s="76">
        <f ca="1">$J$134-EFEITO!$K$134*EFEITO!$Y$134</f>
        <v>89.287212498973531</v>
      </c>
      <c r="N134" s="76">
        <f ca="1">$K$134-EFEITO!$M$134*EFEITO!$Z$134</f>
        <v>230.56921752481321</v>
      </c>
      <c r="O134" s="76">
        <f>$L$134-EFEITO!$O$134*EFEITO!$AA$134</f>
        <v>474.97569914878113</v>
      </c>
      <c r="P134" s="57"/>
      <c r="Q134" s="57"/>
      <c r="R134" s="57"/>
      <c r="S134" s="57"/>
      <c r="T134" s="57"/>
      <c r="U134" s="57"/>
      <c r="V134" s="57"/>
      <c r="W134" s="57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53" t="s">
        <v>21</v>
      </c>
      <c r="B135" s="53" t="s">
        <v>39</v>
      </c>
      <c r="C135" s="53" t="s">
        <v>42</v>
      </c>
      <c r="D135" s="53" t="s">
        <v>44</v>
      </c>
      <c r="E135" s="53" t="s">
        <v>25</v>
      </c>
      <c r="F135" s="53" t="s">
        <v>25</v>
      </c>
      <c r="G135" s="53" t="s">
        <v>25</v>
      </c>
      <c r="H135" s="53" t="s">
        <v>35</v>
      </c>
      <c r="I135" s="75">
        <v>44470</v>
      </c>
      <c r="J135" s="76">
        <f ca="1">EFEITO!$J$135*EFEITO!$Y$109</f>
        <v>6007.5963965358906</v>
      </c>
      <c r="K135" s="76">
        <f ca="1">EFEITO!$L$135*EFEITO!$Z$109</f>
        <v>14422.045654441055</v>
      </c>
      <c r="L135" s="76">
        <f>EFEITO!$N$135*EFEITO!$AA$109</f>
        <v>29709.6086433852</v>
      </c>
      <c r="M135" s="76">
        <f ca="1">$J$135-EFEITO!$K$135*EFEITO!$Y$135</f>
        <v>120.15192793071765</v>
      </c>
      <c r="N135" s="76">
        <f ca="1">$K$135-EFEITO!$M$135*EFEITO!$Z$135</f>
        <v>288.44091308882162</v>
      </c>
      <c r="O135" s="76">
        <f>$L$135-EFEITO!$O$135*EFEITO!$AA$135</f>
        <v>594.192172867708</v>
      </c>
      <c r="P135" s="57"/>
      <c r="Q135" s="57"/>
      <c r="R135" s="57"/>
      <c r="S135" s="57"/>
      <c r="T135" s="57"/>
      <c r="U135" s="57"/>
      <c r="V135" s="57"/>
      <c r="W135" s="57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53" t="s">
        <v>21</v>
      </c>
      <c r="B136" s="53" t="s">
        <v>39</v>
      </c>
      <c r="C136" s="53" t="s">
        <v>42</v>
      </c>
      <c r="D136" s="53" t="s">
        <v>44</v>
      </c>
      <c r="E136" s="53" t="s">
        <v>25</v>
      </c>
      <c r="F136" s="53" t="s">
        <v>25</v>
      </c>
      <c r="G136" s="53" t="s">
        <v>25</v>
      </c>
      <c r="H136" s="53" t="s">
        <v>35</v>
      </c>
      <c r="I136" s="75">
        <v>44501</v>
      </c>
      <c r="J136" s="76">
        <f ca="1">EFEITO!$J$136*EFEITO!$Y$109</f>
        <v>6889.4454088714347</v>
      </c>
      <c r="K136" s="76">
        <f ca="1">EFEITO!$L$136*EFEITO!$Z$109</f>
        <v>14715.518374120446</v>
      </c>
      <c r="L136" s="76">
        <f>EFEITO!$N$136*EFEITO!$AA$109</f>
        <v>30314.166405723146</v>
      </c>
      <c r="M136" s="76">
        <f ca="1">$J$136-EFEITO!$K$136*EFEITO!$Y$136</f>
        <v>137.78890817742831</v>
      </c>
      <c r="N136" s="76">
        <f ca="1">$K$136-EFEITO!$M$136*EFEITO!$Z$136</f>
        <v>294.31036748240876</v>
      </c>
      <c r="O136" s="76">
        <f>$L$136-EFEITO!$O$136*EFEITO!$AA$136</f>
        <v>606.28332811446671</v>
      </c>
      <c r="P136" s="57"/>
      <c r="Q136" s="57"/>
      <c r="R136" s="57"/>
      <c r="S136" s="57"/>
      <c r="T136" s="57"/>
      <c r="U136" s="57"/>
      <c r="V136" s="57"/>
      <c r="W136" s="57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53" t="s">
        <v>21</v>
      </c>
      <c r="B137" s="53" t="s">
        <v>39</v>
      </c>
      <c r="C137" s="53" t="s">
        <v>42</v>
      </c>
      <c r="D137" s="53" t="s">
        <v>44</v>
      </c>
      <c r="E137" s="53" t="s">
        <v>25</v>
      </c>
      <c r="F137" s="53" t="s">
        <v>25</v>
      </c>
      <c r="G137" s="53" t="s">
        <v>25</v>
      </c>
      <c r="H137" s="53" t="s">
        <v>35</v>
      </c>
      <c r="I137" s="75">
        <v>44531</v>
      </c>
      <c r="J137" s="76">
        <f ca="1">EFEITO!$J$137*EFEITO!$Y$109</f>
        <v>6834.3298456004632</v>
      </c>
      <c r="K137" s="76">
        <f ca="1">EFEITO!$L$137*EFEITO!$Z$109</f>
        <v>15574.921340927414</v>
      </c>
      <c r="L137" s="76">
        <f>EFEITO!$N$137*EFEITO!$AA$109</f>
        <v>32084.548113184792</v>
      </c>
      <c r="M137" s="76">
        <f ca="1">$J$137-EFEITO!$K$137*EFEITO!$Y$137</f>
        <v>136.68659691200901</v>
      </c>
      <c r="N137" s="76">
        <f ca="1">$K$137-EFEITO!$M$137*EFEITO!$Z$137</f>
        <v>311.49842681854898</v>
      </c>
      <c r="O137" s="76">
        <f>$L$137-EFEITO!$O$137*EFEITO!$AA$137</f>
        <v>641.69096226369584</v>
      </c>
      <c r="P137" s="57"/>
      <c r="Q137" s="57"/>
      <c r="R137" s="57"/>
      <c r="S137" s="57"/>
      <c r="T137" s="57"/>
      <c r="U137" s="57"/>
      <c r="V137" s="57"/>
      <c r="W137" s="57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53" t="s">
        <v>21</v>
      </c>
      <c r="B138" s="53" t="s">
        <v>39</v>
      </c>
      <c r="C138" s="53" t="s">
        <v>42</v>
      </c>
      <c r="D138" s="53" t="s">
        <v>44</v>
      </c>
      <c r="E138" s="53" t="s">
        <v>25</v>
      </c>
      <c r="F138" s="53" t="s">
        <v>25</v>
      </c>
      <c r="G138" s="53" t="s">
        <v>25</v>
      </c>
      <c r="H138" s="53" t="s">
        <v>35</v>
      </c>
      <c r="I138" s="75">
        <v>44562</v>
      </c>
      <c r="J138" s="76">
        <f ca="1">EFEITO!$J$138*EFEITO!$Y$109</f>
        <v>7863.1536933252637</v>
      </c>
      <c r="K138" s="76">
        <f ca="1">EFEITO!$L$138*EFEITO!$Z$109</f>
        <v>13945.503971451828</v>
      </c>
      <c r="L138" s="76">
        <f>EFEITO!$N$138*EFEITO!$AA$109</f>
        <v>28727.926346497563</v>
      </c>
      <c r="M138" s="76">
        <f ca="1">$J$138-EFEITO!$K$138*EFEITO!$Y$138</f>
        <v>157.26307386650478</v>
      </c>
      <c r="N138" s="76">
        <f ca="1">$K$138-EFEITO!$M$138*EFEITO!$Z$138</f>
        <v>278.91007942903707</v>
      </c>
      <c r="O138" s="76">
        <f>$L$138-EFEITO!$O$138*EFEITO!$AA$138</f>
        <v>574.55852692995541</v>
      </c>
      <c r="P138" s="57"/>
      <c r="Q138" s="57"/>
      <c r="R138" s="57"/>
      <c r="S138" s="57"/>
      <c r="T138" s="57"/>
      <c r="U138" s="57"/>
      <c r="V138" s="57"/>
      <c r="W138" s="57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53" t="s">
        <v>21</v>
      </c>
      <c r="B139" s="53" t="s">
        <v>39</v>
      </c>
      <c r="C139" s="53" t="s">
        <v>42</v>
      </c>
      <c r="D139" s="53" t="s">
        <v>44</v>
      </c>
      <c r="E139" s="53" t="s">
        <v>25</v>
      </c>
      <c r="F139" s="53" t="s">
        <v>25</v>
      </c>
      <c r="G139" s="53" t="s">
        <v>25</v>
      </c>
      <c r="H139" s="53" t="s">
        <v>35</v>
      </c>
      <c r="I139" s="75">
        <v>44593</v>
      </c>
      <c r="J139" s="76">
        <f ca="1">EFEITO!$J$139*EFEITO!$Y$109</f>
        <v>8745.0027056608069</v>
      </c>
      <c r="K139" s="76">
        <f ca="1">EFEITO!$L$139*EFEITO!$Z$109</f>
        <v>16315.04089267559</v>
      </c>
      <c r="L139" s="76">
        <f>EFEITO!$N$139*EFEITO!$AA$109</f>
        <v>33609.204376146001</v>
      </c>
      <c r="M139" s="76">
        <f ca="1">$J$139-EFEITO!$K$139*EFEITO!$Y$139</f>
        <v>174.90005411321545</v>
      </c>
      <c r="N139" s="76">
        <f ca="1">$K$139-EFEITO!$M$139*EFEITO!$Z$139</f>
        <v>326.30081785351103</v>
      </c>
      <c r="O139" s="76">
        <f>$L$139-EFEITO!$O$139*EFEITO!$AA$139</f>
        <v>672.18408752292453</v>
      </c>
      <c r="P139" s="57"/>
      <c r="Q139" s="57"/>
      <c r="R139" s="57"/>
      <c r="S139" s="57"/>
      <c r="T139" s="57"/>
      <c r="U139" s="57"/>
      <c r="V139" s="57"/>
      <c r="W139" s="57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53" t="s">
        <v>21</v>
      </c>
      <c r="B140" s="53" t="s">
        <v>39</v>
      </c>
      <c r="C140" s="53" t="s">
        <v>42</v>
      </c>
      <c r="D140" s="53" t="s">
        <v>44</v>
      </c>
      <c r="E140" s="53" t="s">
        <v>25</v>
      </c>
      <c r="F140" s="53" t="s">
        <v>25</v>
      </c>
      <c r="G140" s="53" t="s">
        <v>25</v>
      </c>
      <c r="H140" s="53" t="s">
        <v>35</v>
      </c>
      <c r="I140" s="75">
        <v>44621</v>
      </c>
      <c r="J140" s="76">
        <f ca="1">EFEITO!$J$140*EFEITO!$Y$109</f>
        <v>9884.0576799275514</v>
      </c>
      <c r="K140" s="76">
        <f ca="1">EFEITO!$L$140*EFEITO!$Z$109</f>
        <v>18747.623390592958</v>
      </c>
      <c r="L140" s="76">
        <f>EFEITO!$N$140*EFEITO!$AA$109</f>
        <v>38620.357144451002</v>
      </c>
      <c r="M140" s="76">
        <f ca="1">$J$140-EFEITO!$K$140*EFEITO!$Y$140</f>
        <v>197.68115359855074</v>
      </c>
      <c r="N140" s="76">
        <f ca="1">$K$140-EFEITO!$M$140*EFEITO!$Z$140</f>
        <v>374.95246781185779</v>
      </c>
      <c r="O140" s="76">
        <f>$L$140-EFEITO!$O$140*EFEITO!$AA$140</f>
        <v>772.40714288902382</v>
      </c>
      <c r="P140" s="57"/>
      <c r="Q140" s="57"/>
      <c r="R140" s="57"/>
      <c r="S140" s="57"/>
      <c r="T140" s="57"/>
      <c r="U140" s="57"/>
      <c r="V140" s="57"/>
      <c r="W140" s="57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53" t="s">
        <v>21</v>
      </c>
      <c r="B141" s="53" t="s">
        <v>39</v>
      </c>
      <c r="C141" s="53" t="s">
        <v>42</v>
      </c>
      <c r="D141" s="53" t="s">
        <v>44</v>
      </c>
      <c r="E141" s="53" t="s">
        <v>25</v>
      </c>
      <c r="F141" s="53" t="s">
        <v>25</v>
      </c>
      <c r="G141" s="53" t="s">
        <v>25</v>
      </c>
      <c r="H141" s="53" t="s">
        <v>35</v>
      </c>
      <c r="I141" s="75">
        <v>44652</v>
      </c>
      <c r="J141" s="76">
        <f ca="1">EFEITO!$J$141*EFEITO!$Y$109</f>
        <v>11280.318616125494</v>
      </c>
      <c r="K141" s="76">
        <f ca="1">EFEITO!$L$141*EFEITO!$Z$109</f>
        <v>19665.928093371891</v>
      </c>
      <c r="L141" s="76">
        <f>EFEITO!$N$141*EFEITO!$AA$109</f>
        <v>40512.077222770196</v>
      </c>
      <c r="M141" s="76">
        <f ca="1">$J$141-EFEITO!$K$141*EFEITO!$Y$141</f>
        <v>225.60637232250883</v>
      </c>
      <c r="N141" s="76">
        <f ca="1">$K$141-EFEITO!$M$141*EFEITO!$Z$141</f>
        <v>393.31856186743971</v>
      </c>
      <c r="O141" s="76">
        <f>$L$141-EFEITO!$O$141*EFEITO!$AA$141</f>
        <v>810.24154445540626</v>
      </c>
      <c r="P141" s="57"/>
      <c r="Q141" s="57"/>
      <c r="R141" s="57"/>
      <c r="S141" s="57"/>
      <c r="T141" s="57"/>
      <c r="U141" s="57"/>
      <c r="V141" s="57"/>
      <c r="W141" s="57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53" t="s">
        <v>21</v>
      </c>
      <c r="B142" s="53" t="s">
        <v>39</v>
      </c>
      <c r="C142" s="53" t="s">
        <v>42</v>
      </c>
      <c r="D142" s="53" t="s">
        <v>44</v>
      </c>
      <c r="E142" s="53" t="s">
        <v>25</v>
      </c>
      <c r="F142" s="53" t="s">
        <v>25</v>
      </c>
      <c r="G142" s="53" t="s">
        <v>25</v>
      </c>
      <c r="H142" s="53" t="s">
        <v>35</v>
      </c>
      <c r="I142" s="75">
        <v>44682</v>
      </c>
      <c r="J142" s="76">
        <f ca="1">EFEITO!$J$142*EFEITO!$Y$109</f>
        <v>9994.2888064694944</v>
      </c>
      <c r="K142" s="76">
        <f ca="1">EFEITO!$L$142*EFEITO!$Z$109</f>
        <v>19402.202230301453</v>
      </c>
      <c r="L142" s="76">
        <f>EFEITO!$N$142*EFEITO!$AA$109</f>
        <v>39968.798386418093</v>
      </c>
      <c r="M142" s="76">
        <f ca="1">$J$142-EFEITO!$K$142*EFEITO!$Y$142</f>
        <v>199.88577612938934</v>
      </c>
      <c r="N142" s="76">
        <f ca="1">$K$142-EFEITO!$M$142*EFEITO!$Z$142</f>
        <v>388.04404460602746</v>
      </c>
      <c r="O142" s="76">
        <f>$L$142-EFEITO!$O$142*EFEITO!$AA$142</f>
        <v>799.37596772836696</v>
      </c>
      <c r="P142" s="57"/>
      <c r="Q142" s="57"/>
      <c r="R142" s="57"/>
      <c r="S142" s="57"/>
      <c r="T142" s="57"/>
      <c r="U142" s="57"/>
      <c r="V142" s="57"/>
      <c r="W142" s="57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53" t="s">
        <v>21</v>
      </c>
      <c r="B143" s="53" t="s">
        <v>39</v>
      </c>
      <c r="C143" s="53" t="s">
        <v>42</v>
      </c>
      <c r="D143" s="53" t="s">
        <v>44</v>
      </c>
      <c r="E143" s="53" t="s">
        <v>25</v>
      </c>
      <c r="F143" s="53" t="s">
        <v>25</v>
      </c>
      <c r="G143" s="53" t="s">
        <v>25</v>
      </c>
      <c r="H143" s="53" t="s">
        <v>35</v>
      </c>
      <c r="I143" s="75">
        <v>44713</v>
      </c>
      <c r="J143" s="76">
        <f ca="1">EFEITO!$J$143*EFEITO!$Y$109</f>
        <v>7697.8070035123492</v>
      </c>
      <c r="K143" s="76">
        <f ca="1">EFEITO!$L$143*EFEITO!$Z$109</f>
        <v>15821.035880930858</v>
      </c>
      <c r="L143" s="76">
        <f>EFEITO!$N$143*EFEITO!$AA$109</f>
        <v>32591.547386391052</v>
      </c>
      <c r="M143" s="76">
        <f ca="1">$J$143-EFEITO!$K$143*EFEITO!$Y$143</f>
        <v>153.95614007024687</v>
      </c>
      <c r="N143" s="76">
        <f ca="1">$K$143-EFEITO!$M$143*EFEITO!$Z$143</f>
        <v>316.42071761861735</v>
      </c>
      <c r="O143" s="76">
        <f>$L$143-EFEITO!$O$143*EFEITO!$AA$143</f>
        <v>651.83094772782351</v>
      </c>
      <c r="P143" s="57"/>
      <c r="Q143" s="57"/>
      <c r="R143" s="57"/>
      <c r="S143" s="57"/>
      <c r="T143" s="57"/>
      <c r="U143" s="57"/>
      <c r="V143" s="57"/>
      <c r="W143" s="57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53" t="s">
        <v>21</v>
      </c>
      <c r="B144" s="53" t="s">
        <v>39</v>
      </c>
      <c r="C144" s="53" t="s">
        <v>42</v>
      </c>
      <c r="D144" s="53" t="s">
        <v>44</v>
      </c>
      <c r="E144" s="53" t="s">
        <v>25</v>
      </c>
      <c r="F144" s="53" t="s">
        <v>25</v>
      </c>
      <c r="G144" s="53" t="s">
        <v>25</v>
      </c>
      <c r="H144" s="53" t="s">
        <v>35</v>
      </c>
      <c r="I144" s="75">
        <v>44743</v>
      </c>
      <c r="J144" s="76">
        <f ca="1">EFEITO!$J$144*EFEITO!$Y$109</f>
        <v>7238.51064292092</v>
      </c>
      <c r="K144" s="76">
        <f ca="1">EFEITO!$L$144*EFEITO!$Z$109</f>
        <v>16290.177848345716</v>
      </c>
      <c r="L144" s="76">
        <f>EFEITO!$N$144*EFEITO!$AA$109</f>
        <v>33557.986169351861</v>
      </c>
      <c r="M144" s="76">
        <f ca="1">$J$144-EFEITO!$K$144*EFEITO!$Y$144</f>
        <v>144.77021285841784</v>
      </c>
      <c r="N144" s="76">
        <f ca="1">$K$144-EFEITO!$M$144*EFEITO!$Z$144</f>
        <v>325.80355696691549</v>
      </c>
      <c r="O144" s="76">
        <f>$L$144-EFEITO!$O$144*EFEITO!$AA$144</f>
        <v>671.15972338704159</v>
      </c>
      <c r="P144" s="57"/>
      <c r="Q144" s="57"/>
      <c r="R144" s="57"/>
      <c r="S144" s="57"/>
      <c r="T144" s="57"/>
      <c r="U144" s="57"/>
      <c r="V144" s="57"/>
      <c r="W144" s="57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53" t="s">
        <v>56</v>
      </c>
      <c r="B145" s="53" t="s">
        <v>39</v>
      </c>
      <c r="C145" s="53" t="s">
        <v>42</v>
      </c>
      <c r="D145" s="53" t="s">
        <v>44</v>
      </c>
      <c r="E145" s="53" t="s">
        <v>25</v>
      </c>
      <c r="F145" s="53" t="s">
        <v>25</v>
      </c>
      <c r="G145" s="53" t="s">
        <v>25</v>
      </c>
      <c r="H145" s="53" t="s">
        <v>35</v>
      </c>
      <c r="I145" s="75">
        <v>44774</v>
      </c>
      <c r="J145" s="76">
        <f ca="1">EFEITO!$J$145*EFEITO!$Y$109</f>
        <v>7238.51064292092</v>
      </c>
      <c r="K145" s="76">
        <f ca="1">EFEITO!$L$145*EFEITO!$Z$109</f>
        <v>16290.177848345716</v>
      </c>
      <c r="L145" s="76">
        <f>EFEITO!$N$145*EFEITO!$AA$109</f>
        <v>33557.986169351861</v>
      </c>
      <c r="M145" s="76">
        <f ca="1">$J$145-EFEITO!$K$145*EFEITO!$Y$145</f>
        <v>144.77021285841784</v>
      </c>
      <c r="N145" s="76">
        <f ca="1">$K$145-EFEITO!$M$145*EFEITO!$Z$145</f>
        <v>325.80355696691549</v>
      </c>
      <c r="O145" s="76">
        <f>$L$145-EFEITO!$O$145*EFEITO!$AA$145</f>
        <v>671.15972338704159</v>
      </c>
      <c r="P145" s="57"/>
      <c r="Q145" s="57"/>
      <c r="R145" s="57"/>
      <c r="S145" s="57"/>
      <c r="T145" s="57"/>
      <c r="U145" s="57"/>
      <c r="V145" s="57"/>
      <c r="W145" s="57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53" t="s">
        <v>21</v>
      </c>
      <c r="B146" s="53" t="s">
        <v>39</v>
      </c>
      <c r="C146" s="53" t="s">
        <v>42</v>
      </c>
      <c r="D146" s="53" t="s">
        <v>44</v>
      </c>
      <c r="E146" s="53" t="s">
        <v>25</v>
      </c>
      <c r="F146" s="53" t="s">
        <v>25</v>
      </c>
      <c r="G146" s="53" t="s">
        <v>25</v>
      </c>
      <c r="H146" s="53" t="s">
        <v>34</v>
      </c>
      <c r="I146" s="75">
        <v>44440</v>
      </c>
      <c r="J146" s="76">
        <f ca="1">EFEITO!$J$146*EFEITO!$Y$133</f>
        <v>9087.6345040740125</v>
      </c>
      <c r="K146" s="76">
        <f ca="1">EFEITO!$L$146*EFEITO!$Z$133</f>
        <v>1163.5312769134487</v>
      </c>
      <c r="L146" s="76">
        <f>EFEITO!$N$146*EFEITO!$AA$133</f>
        <v>3819.9569266025151</v>
      </c>
      <c r="M146" s="76">
        <f ca="1">$J$146-EFEITO!$K$146*EFEITO!$Y$146</f>
        <v>181.75269008148098</v>
      </c>
      <c r="N146" s="76">
        <f ca="1">$K$146-EFEITO!$M$146*EFEITO!$Z$146</f>
        <v>23.270625538269087</v>
      </c>
      <c r="O146" s="76">
        <f>$L$146-EFEITO!$O$146*EFEITO!$AA$146</f>
        <v>76.399138532050529</v>
      </c>
      <c r="P146" s="57"/>
      <c r="Q146" s="57"/>
      <c r="R146" s="57"/>
      <c r="S146" s="57"/>
      <c r="T146" s="57"/>
      <c r="U146" s="57"/>
      <c r="V146" s="57"/>
      <c r="W146" s="57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53" t="s">
        <v>21</v>
      </c>
      <c r="B147" s="53" t="s">
        <v>39</v>
      </c>
      <c r="C147" s="53" t="s">
        <v>42</v>
      </c>
      <c r="D147" s="53" t="s">
        <v>44</v>
      </c>
      <c r="E147" s="53" t="s">
        <v>25</v>
      </c>
      <c r="F147" s="53" t="s">
        <v>25</v>
      </c>
      <c r="G147" s="53" t="s">
        <v>25</v>
      </c>
      <c r="H147" s="53" t="s">
        <v>34</v>
      </c>
      <c r="I147" s="75">
        <v>44470</v>
      </c>
      <c r="J147" s="76">
        <f ca="1">EFEITO!$J$147*EFEITO!$Y$133</f>
        <v>12481.118274582663</v>
      </c>
      <c r="K147" s="76">
        <f ca="1">EFEITO!$L$147*EFEITO!$Z$133</f>
        <v>1495.3345232680595</v>
      </c>
      <c r="L147" s="76">
        <f>EFEITO!$N$147*EFEITO!$AA$133</f>
        <v>4909.290865732868</v>
      </c>
      <c r="M147" s="76">
        <f ca="1">$J$147-EFEITO!$K$147*EFEITO!$Y$147</f>
        <v>249.62236549165391</v>
      </c>
      <c r="N147" s="76">
        <f ca="1">$K$147-EFEITO!$M$147*EFEITO!$Z$147</f>
        <v>29.90669046536118</v>
      </c>
      <c r="O147" s="76">
        <f>$L$147-EFEITO!$O$147*EFEITO!$AA$147</f>
        <v>98.18581731465747</v>
      </c>
      <c r="P147" s="57"/>
      <c r="Q147" s="57"/>
      <c r="R147" s="57"/>
      <c r="S147" s="57"/>
      <c r="T147" s="57"/>
      <c r="U147" s="57"/>
      <c r="V147" s="57"/>
      <c r="W147" s="57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53" t="s">
        <v>21</v>
      </c>
      <c r="B148" s="53" t="s">
        <v>39</v>
      </c>
      <c r="C148" s="53" t="s">
        <v>42</v>
      </c>
      <c r="D148" s="53" t="s">
        <v>44</v>
      </c>
      <c r="E148" s="53" t="s">
        <v>25</v>
      </c>
      <c r="F148" s="53" t="s">
        <v>25</v>
      </c>
      <c r="G148" s="53" t="s">
        <v>25</v>
      </c>
      <c r="H148" s="53" t="s">
        <v>34</v>
      </c>
      <c r="I148" s="75">
        <v>44501</v>
      </c>
      <c r="J148" s="76">
        <f ca="1">EFEITO!$J$148*EFEITO!$Y$133</f>
        <v>14091.585148722361</v>
      </c>
      <c r="K148" s="76">
        <f ca="1">EFEITO!$L$148*EFEITO!$Z$133</f>
        <v>1467.0676097739781</v>
      </c>
      <c r="L148" s="76">
        <f>EFEITO!$N$148*EFEITO!$AA$133</f>
        <v>4816.4885542369284</v>
      </c>
      <c r="M148" s="76">
        <f ca="1">$J$148-EFEITO!$K$148*EFEITO!$Y$148</f>
        <v>281.83170297444667</v>
      </c>
      <c r="N148" s="76">
        <f ca="1">$K$148-EFEITO!$M$148*EFEITO!$Z$148</f>
        <v>29.341352195479431</v>
      </c>
      <c r="O148" s="76">
        <f>$L$148-EFEITO!$O$148*EFEITO!$AA$148</f>
        <v>96.32977108473824</v>
      </c>
      <c r="P148" s="57"/>
      <c r="Q148" s="57"/>
      <c r="R148" s="57"/>
      <c r="S148" s="57"/>
      <c r="T148" s="57"/>
      <c r="U148" s="57"/>
      <c r="V148" s="57"/>
      <c r="W148" s="57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53" t="s">
        <v>21</v>
      </c>
      <c r="B149" s="53" t="s">
        <v>39</v>
      </c>
      <c r="C149" s="53" t="s">
        <v>42</v>
      </c>
      <c r="D149" s="53" t="s">
        <v>44</v>
      </c>
      <c r="E149" s="53" t="s">
        <v>25</v>
      </c>
      <c r="F149" s="53" t="s">
        <v>25</v>
      </c>
      <c r="G149" s="53" t="s">
        <v>25</v>
      </c>
      <c r="H149" s="53" t="s">
        <v>34</v>
      </c>
      <c r="I149" s="75">
        <v>44531</v>
      </c>
      <c r="J149" s="76">
        <f ca="1">EFEITO!$J$149*EFEITO!$Y$133</f>
        <v>13171.318363499677</v>
      </c>
      <c r="K149" s="76">
        <f ca="1">EFEITO!$L$149*EFEITO!$Z$133</f>
        <v>1630.1573410330243</v>
      </c>
      <c r="L149" s="76">
        <f>EFEITO!$N$149*EFEITO!$AA$133</f>
        <v>5351.9238802501532</v>
      </c>
      <c r="M149" s="76">
        <f ca="1">$J$149-EFEITO!$K$149*EFEITO!$Y$149</f>
        <v>263.42636726999444</v>
      </c>
      <c r="N149" s="76">
        <f ca="1">$K$149-EFEITO!$M$149*EFEITO!$Z$149</f>
        <v>32.603146820660413</v>
      </c>
      <c r="O149" s="76">
        <f>$L$149-EFEITO!$O$149*EFEITO!$AA$149</f>
        <v>107.03847760500321</v>
      </c>
      <c r="P149" s="57"/>
      <c r="Q149" s="57"/>
      <c r="R149" s="57"/>
      <c r="S149" s="57"/>
      <c r="T149" s="57"/>
      <c r="U149" s="57"/>
      <c r="V149" s="57"/>
      <c r="W149" s="57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53" t="s">
        <v>21</v>
      </c>
      <c r="B150" s="53" t="s">
        <v>39</v>
      </c>
      <c r="C150" s="53" t="s">
        <v>42</v>
      </c>
      <c r="D150" s="53" t="s">
        <v>44</v>
      </c>
      <c r="E150" s="53" t="s">
        <v>25</v>
      </c>
      <c r="F150" s="53" t="s">
        <v>25</v>
      </c>
      <c r="G150" s="53" t="s">
        <v>25</v>
      </c>
      <c r="H150" s="53" t="s">
        <v>34</v>
      </c>
      <c r="I150" s="75">
        <v>44562</v>
      </c>
      <c r="J150" s="76">
        <f ca="1">EFEITO!$J$150*EFEITO!$Y$133</f>
        <v>13746.485104263855</v>
      </c>
      <c r="K150" s="76">
        <f ca="1">EFEITO!$L$150*EFEITO!$Z$133</f>
        <v>1309.8976509744257</v>
      </c>
      <c r="L150" s="76">
        <f>EFEITO!$N$150*EFEITO!$AA$133</f>
        <v>4300.4882672804461</v>
      </c>
      <c r="M150" s="76">
        <f ca="1">$J$150-EFEITO!$K$150*EFEITO!$Y$150</f>
        <v>274.92970208527731</v>
      </c>
      <c r="N150" s="76">
        <f ca="1">$K$150-EFEITO!$M$150*EFEITO!$Z$150</f>
        <v>26.197953019488523</v>
      </c>
      <c r="O150" s="76">
        <f>$L$150-EFEITO!$O$150*EFEITO!$AA$150</f>
        <v>86.009765345609594</v>
      </c>
      <c r="P150" s="57"/>
      <c r="Q150" s="57"/>
      <c r="R150" s="57"/>
      <c r="S150" s="57"/>
      <c r="T150" s="57"/>
      <c r="U150" s="57"/>
      <c r="V150" s="57"/>
      <c r="W150" s="57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53" t="s">
        <v>21</v>
      </c>
      <c r="B151" s="53" t="s">
        <v>39</v>
      </c>
      <c r="C151" s="53" t="s">
        <v>42</v>
      </c>
      <c r="D151" s="53" t="s">
        <v>44</v>
      </c>
      <c r="E151" s="53" t="s">
        <v>25</v>
      </c>
      <c r="F151" s="53" t="s">
        <v>25</v>
      </c>
      <c r="G151" s="53" t="s">
        <v>25</v>
      </c>
      <c r="H151" s="53" t="s">
        <v>34</v>
      </c>
      <c r="I151" s="75">
        <v>44593</v>
      </c>
      <c r="J151" s="76">
        <f ca="1">EFEITO!$J$151*EFEITO!$Y$133</f>
        <v>14436.685193180869</v>
      </c>
      <c r="K151" s="76">
        <f ca="1">EFEITO!$L$151*EFEITO!$Z$133</f>
        <v>1575.251451471222</v>
      </c>
      <c r="L151" s="76">
        <f>EFEITO!$N$151*EFEITO!$AA$133</f>
        <v>5171.6638929988767</v>
      </c>
      <c r="M151" s="76">
        <f ca="1">$J$151-EFEITO!$K$151*EFEITO!$Y$151</f>
        <v>288.73370386361785</v>
      </c>
      <c r="N151" s="76">
        <f ca="1">$K$151-EFEITO!$M$151*EFEITO!$Z$151</f>
        <v>31.505029029424577</v>
      </c>
      <c r="O151" s="76">
        <f>$L$151-EFEITO!$O$151*EFEITO!$AA$151</f>
        <v>103.43327785997735</v>
      </c>
      <c r="P151" s="57"/>
      <c r="Q151" s="57"/>
      <c r="R151" s="57"/>
      <c r="S151" s="57"/>
      <c r="T151" s="57"/>
      <c r="U151" s="57"/>
      <c r="V151" s="57"/>
      <c r="W151" s="57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53" t="s">
        <v>21</v>
      </c>
      <c r="B152" s="53" t="s">
        <v>39</v>
      </c>
      <c r="C152" s="53" t="s">
        <v>42</v>
      </c>
      <c r="D152" s="53" t="s">
        <v>44</v>
      </c>
      <c r="E152" s="53" t="s">
        <v>25</v>
      </c>
      <c r="F152" s="53" t="s">
        <v>25</v>
      </c>
      <c r="G152" s="53" t="s">
        <v>25</v>
      </c>
      <c r="H152" s="53" t="s">
        <v>34</v>
      </c>
      <c r="I152" s="75">
        <v>44621</v>
      </c>
      <c r="J152" s="76">
        <f ca="1">EFEITO!$J$152*EFEITO!$Y$133</f>
        <v>18290.302356300861</v>
      </c>
      <c r="K152" s="76">
        <f ca="1">EFEITO!$L$152*EFEITO!$Z$133</f>
        <v>1805.2346115225448</v>
      </c>
      <c r="L152" s="76">
        <f>EFEITO!$N$152*EFEITO!$AA$133</f>
        <v>5926.7151603532793</v>
      </c>
      <c r="M152" s="76">
        <f ca="1">$J$152-EFEITO!$K$152*EFEITO!$Y$152</f>
        <v>365.8060471260178</v>
      </c>
      <c r="N152" s="76">
        <f ca="1">$K$152-EFEITO!$M$152*EFEITO!$Z$152</f>
        <v>36.104692230451064</v>
      </c>
      <c r="O152" s="76">
        <f>$L$152-EFEITO!$O$152*EFEITO!$AA$152</f>
        <v>118.53430320706593</v>
      </c>
      <c r="P152" s="57"/>
      <c r="Q152" s="57"/>
      <c r="R152" s="57"/>
      <c r="S152" s="57"/>
      <c r="T152" s="57"/>
      <c r="U152" s="57"/>
      <c r="V152" s="57"/>
      <c r="W152" s="57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53" t="s">
        <v>21</v>
      </c>
      <c r="B153" s="53" t="s">
        <v>39</v>
      </c>
      <c r="C153" s="53" t="s">
        <v>42</v>
      </c>
      <c r="D153" s="53" t="s">
        <v>44</v>
      </c>
      <c r="E153" s="53" t="s">
        <v>25</v>
      </c>
      <c r="F153" s="53" t="s">
        <v>25</v>
      </c>
      <c r="G153" s="53" t="s">
        <v>25</v>
      </c>
      <c r="H153" s="53" t="s">
        <v>34</v>
      </c>
      <c r="I153" s="75">
        <v>44652</v>
      </c>
      <c r="J153" s="76">
        <f ca="1">EFEITO!$J$153*EFEITO!$Y$133</f>
        <v>19785.735882287725</v>
      </c>
      <c r="K153" s="76">
        <f ca="1">EFEITO!$L$153*EFEITO!$Z$133</f>
        <v>2000.883091308805</v>
      </c>
      <c r="L153" s="76">
        <f>EFEITO!$N$153*EFEITO!$AA$133</f>
        <v>6569.0432011785806</v>
      </c>
      <c r="M153" s="76">
        <f ca="1">$J$153-EFEITO!$K$153*EFEITO!$Y$153</f>
        <v>395.71471764575472</v>
      </c>
      <c r="N153" s="76">
        <f ca="1">$K$153-EFEITO!$M$153*EFEITO!$Z$153</f>
        <v>40.017661826176209</v>
      </c>
      <c r="O153" s="76">
        <f>$L$153-EFEITO!$O$153*EFEITO!$AA$153</f>
        <v>131.38086402357203</v>
      </c>
      <c r="P153" s="57"/>
      <c r="Q153" s="57"/>
      <c r="R153" s="57"/>
      <c r="S153" s="57"/>
      <c r="T153" s="57"/>
      <c r="U153" s="57"/>
      <c r="V153" s="57"/>
      <c r="W153" s="57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53" t="s">
        <v>21</v>
      </c>
      <c r="B154" s="53" t="s">
        <v>39</v>
      </c>
      <c r="C154" s="53" t="s">
        <v>42</v>
      </c>
      <c r="D154" s="53" t="s">
        <v>44</v>
      </c>
      <c r="E154" s="53" t="s">
        <v>25</v>
      </c>
      <c r="F154" s="53" t="s">
        <v>25</v>
      </c>
      <c r="G154" s="53" t="s">
        <v>25</v>
      </c>
      <c r="H154" s="53" t="s">
        <v>34</v>
      </c>
      <c r="I154" s="75">
        <v>44682</v>
      </c>
      <c r="J154" s="76">
        <f ca="1">EFEITO!$J$154*EFEITO!$Y$133</f>
        <v>19670.702534134889</v>
      </c>
      <c r="K154" s="76">
        <f ca="1">EFEITO!$L$154*EFEITO!$Z$133</f>
        <v>2073.4003039376007</v>
      </c>
      <c r="L154" s="76">
        <f>EFEITO!$N$154*EFEITO!$AA$133</f>
        <v>6807.1224296236624</v>
      </c>
      <c r="M154" s="76">
        <f ca="1">$J$154-EFEITO!$K$154*EFEITO!$Y$154</f>
        <v>393.41405068269887</v>
      </c>
      <c r="N154" s="76">
        <f ca="1">$K$154-EFEITO!$M$154*EFEITO!$Z$154</f>
        <v>41.468006078752296</v>
      </c>
      <c r="O154" s="76">
        <f>$L$154-EFEITO!$O$154*EFEITO!$AA$154</f>
        <v>136.14244859247356</v>
      </c>
      <c r="P154" s="57"/>
      <c r="Q154" s="57"/>
      <c r="R154" s="57"/>
      <c r="S154" s="57"/>
      <c r="T154" s="57"/>
      <c r="U154" s="57"/>
      <c r="V154" s="57"/>
      <c r="W154" s="57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53" t="s">
        <v>21</v>
      </c>
      <c r="B155" s="53" t="s">
        <v>39</v>
      </c>
      <c r="C155" s="53" t="s">
        <v>42</v>
      </c>
      <c r="D155" s="53" t="s">
        <v>44</v>
      </c>
      <c r="E155" s="53" t="s">
        <v>25</v>
      </c>
      <c r="F155" s="53" t="s">
        <v>25</v>
      </c>
      <c r="G155" s="53" t="s">
        <v>25</v>
      </c>
      <c r="H155" s="53" t="s">
        <v>34</v>
      </c>
      <c r="I155" s="75">
        <v>44713</v>
      </c>
      <c r="J155" s="76">
        <f ca="1">EFEITO!$J$155*EFEITO!$Y$133</f>
        <v>15874.602045091313</v>
      </c>
      <c r="K155" s="76">
        <f ca="1">EFEITO!$L$155*EFEITO!$Z$133</f>
        <v>1787.7712827670389</v>
      </c>
      <c r="L155" s="76">
        <f>EFEITO!$N$155*EFEITO!$AA$133</f>
        <v>5869.3817951358915</v>
      </c>
      <c r="M155" s="76">
        <f ca="1">$J$155-EFEITO!$K$155*EFEITO!$Y$155</f>
        <v>317.49204090182684</v>
      </c>
      <c r="N155" s="76">
        <f ca="1">$K$155-EFEITO!$M$155*EFEITO!$Z$155</f>
        <v>35.755425655340787</v>
      </c>
      <c r="O155" s="76">
        <f>$L$155-EFEITO!$O$155*EFEITO!$AA$155</f>
        <v>117.3876359027181</v>
      </c>
      <c r="P155" s="57"/>
      <c r="Q155" s="57"/>
      <c r="R155" s="57"/>
      <c r="S155" s="57"/>
      <c r="T155" s="57"/>
      <c r="U155" s="57"/>
      <c r="V155" s="57"/>
      <c r="W155" s="57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53" t="s">
        <v>21</v>
      </c>
      <c r="B156" s="53" t="s">
        <v>39</v>
      </c>
      <c r="C156" s="53" t="s">
        <v>42</v>
      </c>
      <c r="D156" s="53" t="s">
        <v>44</v>
      </c>
      <c r="E156" s="53" t="s">
        <v>25</v>
      </c>
      <c r="F156" s="53" t="s">
        <v>25</v>
      </c>
      <c r="G156" s="53" t="s">
        <v>25</v>
      </c>
      <c r="H156" s="53" t="s">
        <v>34</v>
      </c>
      <c r="I156" s="75">
        <v>44743</v>
      </c>
      <c r="J156" s="76">
        <f ca="1">EFEITO!$J$156*EFEITO!$Y$133</f>
        <v>15644.535348785641</v>
      </c>
      <c r="K156" s="76">
        <f ca="1">EFEITO!$L$156*EFEITO!$Z$133</f>
        <v>1805.0866172110573</v>
      </c>
      <c r="L156" s="76">
        <f>EFEITO!$N$156*EFEITO!$AA$133</f>
        <v>5926.2292843768601</v>
      </c>
      <c r="M156" s="76">
        <f ca="1">$J$156-EFEITO!$K$156*EFEITO!$Y$156</f>
        <v>312.89070697571151</v>
      </c>
      <c r="N156" s="76">
        <f ca="1">$K$156-EFEITO!$M$156*EFEITO!$Z$156</f>
        <v>36.101732344221318</v>
      </c>
      <c r="O156" s="76">
        <f>$L$156-EFEITO!$O$156*EFEITO!$AA$156</f>
        <v>118.52458568753718</v>
      </c>
      <c r="P156" s="57"/>
      <c r="Q156" s="57"/>
      <c r="R156" s="57"/>
      <c r="S156" s="57"/>
      <c r="T156" s="57"/>
      <c r="U156" s="57"/>
      <c r="V156" s="57"/>
      <c r="W156" s="57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53" t="s">
        <v>56</v>
      </c>
      <c r="B157" s="53" t="s">
        <v>39</v>
      </c>
      <c r="C157" s="53" t="s">
        <v>42</v>
      </c>
      <c r="D157" s="53" t="s">
        <v>44</v>
      </c>
      <c r="E157" s="53" t="s">
        <v>25</v>
      </c>
      <c r="F157" s="53" t="s">
        <v>25</v>
      </c>
      <c r="G157" s="53" t="s">
        <v>25</v>
      </c>
      <c r="H157" s="53" t="s">
        <v>34</v>
      </c>
      <c r="I157" s="75">
        <v>44774</v>
      </c>
      <c r="J157" s="76">
        <f ca="1">EFEITO!$J$157*EFEITO!$Y$133</f>
        <v>15644.535348785641</v>
      </c>
      <c r="K157" s="76">
        <f ca="1">EFEITO!$L$157*EFEITO!$Z$133</f>
        <v>1805.0866172110573</v>
      </c>
      <c r="L157" s="76">
        <f>EFEITO!$N$157*EFEITO!$AA$133</f>
        <v>5926.2292843768601</v>
      </c>
      <c r="M157" s="76">
        <f ca="1">$J$157-EFEITO!$K$157*EFEITO!$Y$157</f>
        <v>312.89070697571151</v>
      </c>
      <c r="N157" s="76">
        <f ca="1">$K$157-EFEITO!$M$157*EFEITO!$Z$157</f>
        <v>36.101732344221318</v>
      </c>
      <c r="O157" s="76">
        <f>$L$157-EFEITO!$O$157*EFEITO!$AA$157</f>
        <v>118.52458568753718</v>
      </c>
      <c r="P157" s="57"/>
      <c r="Q157" s="57"/>
      <c r="R157" s="57"/>
      <c r="S157" s="57"/>
      <c r="T157" s="57"/>
      <c r="U157" s="57"/>
      <c r="V157" s="57"/>
      <c r="W157" s="57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53" t="s">
        <v>21</v>
      </c>
      <c r="B158" s="53" t="s">
        <v>39</v>
      </c>
      <c r="C158" s="53" t="s">
        <v>42</v>
      </c>
      <c r="D158" s="53" t="s">
        <v>49</v>
      </c>
      <c r="E158" s="53" t="s">
        <v>50</v>
      </c>
      <c r="F158" s="53" t="s">
        <v>25</v>
      </c>
      <c r="G158" s="53" t="s">
        <v>25</v>
      </c>
      <c r="H158" s="53" t="s">
        <v>35</v>
      </c>
      <c r="I158" s="75">
        <v>44440</v>
      </c>
      <c r="J158" s="76">
        <f ca="1">EFEITO!$J$158*EFEITO!$Y$109</f>
        <v>27925.218723958882</v>
      </c>
      <c r="K158" s="76">
        <f ca="1">EFEITO!$L$158*EFEITO!$Z$109</f>
        <v>90972.547254200908</v>
      </c>
      <c r="L158" s="76">
        <f>EFEITO!$N$158*EFEITO!$AA$109</f>
        <v>187404.67482724279</v>
      </c>
      <c r="M158" s="76">
        <f ca="1">$J$158-EFEITO!$K$158*EFEITO!$Y$158</f>
        <v>837.75656171876835</v>
      </c>
      <c r="N158" s="76">
        <f ca="1">$K$158-EFEITO!$M$158*EFEITO!$Z$158</f>
        <v>2729.1764176260185</v>
      </c>
      <c r="O158" s="76">
        <f>$L$158-EFEITO!$O$158*EFEITO!$AA$158</f>
        <v>5622.1402448172739</v>
      </c>
      <c r="P158" s="57"/>
      <c r="Q158" s="57"/>
      <c r="R158" s="57"/>
      <c r="S158" s="57"/>
      <c r="T158" s="57"/>
      <c r="U158" s="57"/>
      <c r="V158" s="57"/>
      <c r="W158" s="57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53" t="s">
        <v>21</v>
      </c>
      <c r="B159" s="53" t="s">
        <v>39</v>
      </c>
      <c r="C159" s="53" t="s">
        <v>42</v>
      </c>
      <c r="D159" s="53" t="s">
        <v>49</v>
      </c>
      <c r="E159" s="53" t="s">
        <v>50</v>
      </c>
      <c r="F159" s="53" t="s">
        <v>25</v>
      </c>
      <c r="G159" s="53" t="s">
        <v>25</v>
      </c>
      <c r="H159" s="53" t="s">
        <v>35</v>
      </c>
      <c r="I159" s="75">
        <v>44470</v>
      </c>
      <c r="J159" s="76">
        <f ca="1">EFEITO!$J$159*EFEITO!$Y$109</f>
        <v>28182.424685890081</v>
      </c>
      <c r="K159" s="76">
        <f ca="1">EFEITO!$L$159*EFEITO!$Z$109</f>
        <v>93659.087990630564</v>
      </c>
      <c r="L159" s="76">
        <f>EFEITO!$N$159*EFEITO!$AA$109</f>
        <v>192938.9849935165</v>
      </c>
      <c r="M159" s="76">
        <f ca="1">$J$159-EFEITO!$K$159*EFEITO!$Y$159</f>
        <v>845.47274057670438</v>
      </c>
      <c r="N159" s="76">
        <f ca="1">$K$159-EFEITO!$M$159*EFEITO!$Z$159</f>
        <v>2809.7726397189253</v>
      </c>
      <c r="O159" s="76">
        <f>$L$159-EFEITO!$O$159*EFEITO!$AA$159</f>
        <v>5788.1695498054905</v>
      </c>
      <c r="P159" s="57"/>
      <c r="Q159" s="57"/>
      <c r="R159" s="57"/>
      <c r="S159" s="57"/>
      <c r="T159" s="57"/>
      <c r="U159" s="57"/>
      <c r="V159" s="57"/>
      <c r="W159" s="57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53" t="s">
        <v>21</v>
      </c>
      <c r="B160" s="53" t="s">
        <v>39</v>
      </c>
      <c r="C160" s="53" t="s">
        <v>42</v>
      </c>
      <c r="D160" s="53" t="s">
        <v>49</v>
      </c>
      <c r="E160" s="53" t="s">
        <v>50</v>
      </c>
      <c r="F160" s="53" t="s">
        <v>25</v>
      </c>
      <c r="G160" s="53" t="s">
        <v>25</v>
      </c>
      <c r="H160" s="53" t="s">
        <v>35</v>
      </c>
      <c r="I160" s="75">
        <v>44501</v>
      </c>
      <c r="J160" s="76">
        <f ca="1">EFEITO!$J$160*EFEITO!$Y$109</f>
        <v>27631.269053180367</v>
      </c>
      <c r="K160" s="76">
        <f ca="1">EFEITO!$L$160*EFEITO!$Z$109</f>
        <v>85735.620547909988</v>
      </c>
      <c r="L160" s="76">
        <f>EFEITO!$N$160*EFEITO!$AA$109</f>
        <v>176616.53515094903</v>
      </c>
      <c r="M160" s="76">
        <f ca="1">$J$160-EFEITO!$K$160*EFEITO!$Y$160</f>
        <v>828.93807159541393</v>
      </c>
      <c r="N160" s="76">
        <f ca="1">$K$160-EFEITO!$M$160*EFEITO!$Z$160</f>
        <v>2572.0686164373037</v>
      </c>
      <c r="O160" s="76">
        <f>$L$160-EFEITO!$O$160*EFEITO!$AA$160</f>
        <v>5298.4960545284848</v>
      </c>
      <c r="P160" s="57"/>
      <c r="Q160" s="57"/>
      <c r="R160" s="57"/>
      <c r="S160" s="57"/>
      <c r="T160" s="57"/>
      <c r="U160" s="57"/>
      <c r="V160" s="57"/>
      <c r="W160" s="57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53" t="s">
        <v>27</v>
      </c>
      <c r="B161" s="53" t="s">
        <v>39</v>
      </c>
      <c r="C161" s="53" t="s">
        <v>42</v>
      </c>
      <c r="D161" s="53" t="s">
        <v>49</v>
      </c>
      <c r="E161" s="53" t="s">
        <v>50</v>
      </c>
      <c r="F161" s="53" t="s">
        <v>25</v>
      </c>
      <c r="G161" s="53" t="s">
        <v>25</v>
      </c>
      <c r="H161" s="53" t="s">
        <v>35</v>
      </c>
      <c r="I161" s="75">
        <v>44501</v>
      </c>
      <c r="J161" s="76">
        <f ca="1">EFEITO!$J$161*EFEITO!$Y$109</f>
        <v>-1047.1957021484579</v>
      </c>
      <c r="K161" s="76">
        <f ca="1">EFEITO!$L$161*EFEITO!$Z$109</f>
        <v>-4227.4575076358005</v>
      </c>
      <c r="L161" s="76">
        <f>EFEITO!$N$161*EFEITO!$AA$109</f>
        <v>-8708.6195063960822</v>
      </c>
      <c r="M161" s="76">
        <f ca="1">$J$161-EFEITO!$K$161*EFEITO!$Y$161</f>
        <v>-31.415871064453654</v>
      </c>
      <c r="N161" s="76">
        <f ca="1">$K$161-EFEITO!$M$161*EFEITO!$Z$161</f>
        <v>-126.82372522907463</v>
      </c>
      <c r="O161" s="76">
        <f>$L$161-EFEITO!$O$161*EFEITO!$AA$161</f>
        <v>-261.25858519188296</v>
      </c>
      <c r="P161" s="57"/>
      <c r="Q161" s="57"/>
      <c r="R161" s="57"/>
      <c r="S161" s="57"/>
      <c r="T161" s="57"/>
      <c r="U161" s="57"/>
      <c r="V161" s="57"/>
      <c r="W161" s="57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53" t="s">
        <v>21</v>
      </c>
      <c r="B162" s="53" t="s">
        <v>39</v>
      </c>
      <c r="C162" s="53" t="s">
        <v>42</v>
      </c>
      <c r="D162" s="53" t="s">
        <v>49</v>
      </c>
      <c r="E162" s="53" t="s">
        <v>50</v>
      </c>
      <c r="F162" s="53" t="s">
        <v>25</v>
      </c>
      <c r="G162" s="53" t="s">
        <v>25</v>
      </c>
      <c r="H162" s="53" t="s">
        <v>35</v>
      </c>
      <c r="I162" s="75">
        <v>44531</v>
      </c>
      <c r="J162" s="76">
        <f ca="1">EFEITO!$J$162*EFEITO!$Y$109</f>
        <v>27061.741566046992</v>
      </c>
      <c r="K162" s="76">
        <f ca="1">EFEITO!$L$162*EFEITO!$Z$109</f>
        <v>86670.648607886993</v>
      </c>
      <c r="L162" s="76">
        <f>EFEITO!$N$162*EFEITO!$AA$109</f>
        <v>178542.70557074284</v>
      </c>
      <c r="M162" s="76">
        <f ca="1">$J$162-EFEITO!$K$162*EFEITO!$Y$162</f>
        <v>811.85224698140883</v>
      </c>
      <c r="N162" s="76">
        <f ca="1">$K$162-EFEITO!$M$162*EFEITO!$Z$162</f>
        <v>2600.1194582366152</v>
      </c>
      <c r="O162" s="76">
        <f>$L$162-EFEITO!$O$162*EFEITO!$AA$162</f>
        <v>5356.2811671222735</v>
      </c>
      <c r="P162" s="57"/>
      <c r="Q162" s="57"/>
      <c r="R162" s="57"/>
      <c r="S162" s="57"/>
      <c r="T162" s="57"/>
      <c r="U162" s="57"/>
      <c r="V162" s="57"/>
      <c r="W162" s="57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53" t="s">
        <v>21</v>
      </c>
      <c r="B163" s="53" t="s">
        <v>39</v>
      </c>
      <c r="C163" s="53" t="s">
        <v>42</v>
      </c>
      <c r="D163" s="53" t="s">
        <v>49</v>
      </c>
      <c r="E163" s="53" t="s">
        <v>50</v>
      </c>
      <c r="F163" s="53" t="s">
        <v>25</v>
      </c>
      <c r="G163" s="53" t="s">
        <v>25</v>
      </c>
      <c r="H163" s="53" t="s">
        <v>35</v>
      </c>
      <c r="I163" s="75">
        <v>44562</v>
      </c>
      <c r="J163" s="76">
        <f ca="1">EFEITO!$J$163*EFEITO!$Y$109</f>
        <v>27631.269053180367</v>
      </c>
      <c r="K163" s="76">
        <f ca="1">EFEITO!$L$163*EFEITO!$Z$109</f>
        <v>89779.269120678509</v>
      </c>
      <c r="L163" s="76">
        <f>EFEITO!$N$163*EFEITO!$AA$109</f>
        <v>184946.50577140274</v>
      </c>
      <c r="M163" s="76">
        <f ca="1">$J$163-EFEITO!$K$163*EFEITO!$Y$163</f>
        <v>828.93807159541393</v>
      </c>
      <c r="N163" s="76">
        <f ca="1">$K$163-EFEITO!$M$163*EFEITO!$Z$163</f>
        <v>2693.3780736203626</v>
      </c>
      <c r="O163" s="76">
        <f>$L$163-EFEITO!$O$163*EFEITO!$AA$163</f>
        <v>5548.3951731420821</v>
      </c>
      <c r="P163" s="57"/>
      <c r="Q163" s="57"/>
      <c r="R163" s="57"/>
      <c r="S163" s="57"/>
      <c r="T163" s="57"/>
      <c r="U163" s="57"/>
      <c r="V163" s="57"/>
      <c r="W163" s="57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53" t="s">
        <v>21</v>
      </c>
      <c r="B164" s="53" t="s">
        <v>39</v>
      </c>
      <c r="C164" s="53" t="s">
        <v>42</v>
      </c>
      <c r="D164" s="53" t="s">
        <v>49</v>
      </c>
      <c r="E164" s="53" t="s">
        <v>50</v>
      </c>
      <c r="F164" s="53" t="s">
        <v>25</v>
      </c>
      <c r="G164" s="53" t="s">
        <v>25</v>
      </c>
      <c r="H164" s="53" t="s">
        <v>35</v>
      </c>
      <c r="I164" s="75">
        <v>44593</v>
      </c>
      <c r="J164" s="76">
        <f ca="1">EFEITO!$J$164*EFEITO!$Y$109</f>
        <v>27355.691236825507</v>
      </c>
      <c r="K164" s="76">
        <f ca="1">EFEITO!$L$164*EFEITO!$Z$109</f>
        <v>81267.080306861317</v>
      </c>
      <c r="L164" s="76">
        <f>EFEITO!$N$164*EFEITO!$AA$109</f>
        <v>167411.28196081694</v>
      </c>
      <c r="M164" s="76">
        <f ca="1">$J$164-EFEITO!$K$164*EFEITO!$Y$164</f>
        <v>820.67073710476325</v>
      </c>
      <c r="N164" s="76">
        <f ca="1">$K$164-EFEITO!$M$164*EFEITO!$Z$164</f>
        <v>2438.0124092058395</v>
      </c>
      <c r="O164" s="76">
        <f>$L$164-EFEITO!$O$164*EFEITO!$AA$164</f>
        <v>5022.3384588244953</v>
      </c>
      <c r="P164" s="57"/>
      <c r="Q164" s="57"/>
      <c r="R164" s="57"/>
      <c r="S164" s="57"/>
      <c r="T164" s="57"/>
      <c r="U164" s="57"/>
      <c r="V164" s="57"/>
      <c r="W164" s="57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53" t="s">
        <v>21</v>
      </c>
      <c r="B165" s="53" t="s">
        <v>39</v>
      </c>
      <c r="C165" s="53" t="s">
        <v>42</v>
      </c>
      <c r="D165" s="53" t="s">
        <v>49</v>
      </c>
      <c r="E165" s="53" t="s">
        <v>50</v>
      </c>
      <c r="F165" s="53" t="s">
        <v>25</v>
      </c>
      <c r="G165" s="53" t="s">
        <v>25</v>
      </c>
      <c r="H165" s="53" t="s">
        <v>35</v>
      </c>
      <c r="I165" s="75">
        <v>44621</v>
      </c>
      <c r="J165" s="76">
        <f ca="1">EFEITO!$J$165*EFEITO!$Y$109</f>
        <v>28274.283958008367</v>
      </c>
      <c r="K165" s="76">
        <f ca="1">EFEITO!$L$165*EFEITO!$Z$109</f>
        <v>94431.766290905944</v>
      </c>
      <c r="L165" s="76">
        <f>EFEITO!$N$165*EFEITO!$AA$109</f>
        <v>194530.71271775576</v>
      </c>
      <c r="M165" s="76">
        <f ca="1">$J$165-EFEITO!$K$165*EFEITO!$Y$165</f>
        <v>848.22851874025218</v>
      </c>
      <c r="N165" s="76">
        <f ca="1">$K$165-EFEITO!$M$165*EFEITO!$Z$165</f>
        <v>2832.9529887271783</v>
      </c>
      <c r="O165" s="76">
        <f>$L$165-EFEITO!$O$165*EFEITO!$AA$165</f>
        <v>5835.9213815326802</v>
      </c>
      <c r="P165" s="57"/>
      <c r="Q165" s="57"/>
      <c r="R165" s="57"/>
      <c r="S165" s="57"/>
      <c r="T165" s="57"/>
      <c r="U165" s="57"/>
      <c r="V165" s="57"/>
      <c r="W165" s="57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53" t="s">
        <v>21</v>
      </c>
      <c r="B166" s="53" t="s">
        <v>39</v>
      </c>
      <c r="C166" s="53" t="s">
        <v>42</v>
      </c>
      <c r="D166" s="53" t="s">
        <v>49</v>
      </c>
      <c r="E166" s="53" t="s">
        <v>50</v>
      </c>
      <c r="F166" s="53" t="s">
        <v>25</v>
      </c>
      <c r="G166" s="53" t="s">
        <v>25</v>
      </c>
      <c r="H166" s="53" t="s">
        <v>35</v>
      </c>
      <c r="I166" s="75">
        <v>44652</v>
      </c>
      <c r="J166" s="76">
        <f ca="1">EFEITO!$J$166*EFEITO!$Y$109</f>
        <v>28108.937268195452</v>
      </c>
      <c r="K166" s="76">
        <f ca="1">EFEITO!$L$166*EFEITO!$Z$109</f>
        <v>90157.838569463114</v>
      </c>
      <c r="L166" s="76">
        <f>EFEITO!$N$166*EFEITO!$AA$109</f>
        <v>185726.3639438992</v>
      </c>
      <c r="M166" s="76">
        <f ca="1">$J$166-EFEITO!$K$166*EFEITO!$Y$166</f>
        <v>843.26811804586396</v>
      </c>
      <c r="N166" s="76">
        <f ca="1">$K$166-EFEITO!$M$166*EFEITO!$Z$166</f>
        <v>2704.7351570838946</v>
      </c>
      <c r="O166" s="76">
        <f>$L$166-EFEITO!$O$166*EFEITO!$AA$166</f>
        <v>5571.7909183169832</v>
      </c>
      <c r="P166" s="57"/>
      <c r="Q166" s="57"/>
      <c r="R166" s="57"/>
      <c r="S166" s="57"/>
      <c r="T166" s="57"/>
      <c r="U166" s="57"/>
      <c r="V166" s="57"/>
      <c r="W166" s="57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53" t="s">
        <v>21</v>
      </c>
      <c r="B167" s="53" t="s">
        <v>39</v>
      </c>
      <c r="C167" s="53" t="s">
        <v>42</v>
      </c>
      <c r="D167" s="53" t="s">
        <v>49</v>
      </c>
      <c r="E167" s="53" t="s">
        <v>50</v>
      </c>
      <c r="F167" s="53" t="s">
        <v>25</v>
      </c>
      <c r="G167" s="53" t="s">
        <v>25</v>
      </c>
      <c r="H167" s="53" t="s">
        <v>35</v>
      </c>
      <c r="I167" s="75">
        <v>44682</v>
      </c>
      <c r="J167" s="76">
        <f ca="1">EFEITO!$J$167*EFEITO!$Y$109</f>
        <v>27778.243888569625</v>
      </c>
      <c r="K167" s="76">
        <f ca="1">EFEITO!$L$167*EFEITO!$Z$109</f>
        <v>93803.826427265172</v>
      </c>
      <c r="L167" s="76">
        <f>EFEITO!$N$167*EFEITO!$AA$109</f>
        <v>193237.14812592522</v>
      </c>
      <c r="M167" s="76">
        <f ca="1">$J$167-EFEITO!$K$167*EFEITO!$Y$167</f>
        <v>833.34731665709114</v>
      </c>
      <c r="N167" s="76">
        <f ca="1">$K$167-EFEITO!$M$167*EFEITO!$Z$167</f>
        <v>2814.1147928179707</v>
      </c>
      <c r="O167" s="76">
        <f>$L$167-EFEITO!$O$167*EFEITO!$AA$167</f>
        <v>5797.1144437777693</v>
      </c>
      <c r="P167" s="57"/>
      <c r="Q167" s="57"/>
      <c r="R167" s="57"/>
      <c r="S167" s="57"/>
      <c r="T167" s="57"/>
      <c r="U167" s="57"/>
      <c r="V167" s="57"/>
      <c r="W167" s="57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53" t="s">
        <v>21</v>
      </c>
      <c r="B168" s="53" t="s">
        <v>39</v>
      </c>
      <c r="C168" s="53" t="s">
        <v>42</v>
      </c>
      <c r="D168" s="53" t="s">
        <v>49</v>
      </c>
      <c r="E168" s="53" t="s">
        <v>50</v>
      </c>
      <c r="F168" s="53" t="s">
        <v>25</v>
      </c>
      <c r="G168" s="53" t="s">
        <v>25</v>
      </c>
      <c r="H168" s="53" t="s">
        <v>35</v>
      </c>
      <c r="I168" s="75">
        <v>44713</v>
      </c>
      <c r="J168" s="76">
        <f ca="1">EFEITO!$J$168*EFEITO!$Y$109</f>
        <v>28017.077996077165</v>
      </c>
      <c r="K168" s="76">
        <f ca="1">EFEITO!$L$168*EFEITO!$Z$109</f>
        <v>88792.147063057972</v>
      </c>
      <c r="L168" s="76">
        <f>EFEITO!$N$168*EFEITO!$AA$109</f>
        <v>182913.02101356405</v>
      </c>
      <c r="M168" s="76">
        <f ca="1">$J$168-EFEITO!$K$168*EFEITO!$Y$168</f>
        <v>840.51233988231616</v>
      </c>
      <c r="N168" s="76">
        <f ca="1">$K$168-EFEITO!$M$168*EFEITO!$Z$168</f>
        <v>2663.7644118917378</v>
      </c>
      <c r="O168" s="76">
        <f>$L$168-EFEITO!$O$168*EFEITO!$AA$168</f>
        <v>5487.3906304069096</v>
      </c>
      <c r="P168" s="57"/>
      <c r="Q168" s="57"/>
      <c r="R168" s="57"/>
      <c r="S168" s="57"/>
      <c r="T168" s="57"/>
      <c r="U168" s="57"/>
      <c r="V168" s="57"/>
      <c r="W168" s="57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53" t="s">
        <v>21</v>
      </c>
      <c r="B169" s="53" t="s">
        <v>39</v>
      </c>
      <c r="C169" s="53" t="s">
        <v>42</v>
      </c>
      <c r="D169" s="53" t="s">
        <v>49</v>
      </c>
      <c r="E169" s="53" t="s">
        <v>50</v>
      </c>
      <c r="F169" s="53" t="s">
        <v>25</v>
      </c>
      <c r="G169" s="53" t="s">
        <v>25</v>
      </c>
      <c r="H169" s="53" t="s">
        <v>35</v>
      </c>
      <c r="I169" s="75">
        <v>44743</v>
      </c>
      <c r="J169" s="76">
        <f ca="1">EFEITO!$J$169*EFEITO!$Y$109</f>
        <v>28145.680977042768</v>
      </c>
      <c r="K169" s="76">
        <f ca="1">EFEITO!$L$169*EFEITO!$Z$109</f>
        <v>94456.925323858784</v>
      </c>
      <c r="L169" s="76">
        <f>EFEITO!$N$169*EFEITO!$AA$109</f>
        <v>194582.54066510694</v>
      </c>
      <c r="M169" s="76">
        <f ca="1">$J$169-EFEITO!$K$169*EFEITO!$Y$169</f>
        <v>844.37042931128599</v>
      </c>
      <c r="N169" s="76">
        <f ca="1">$K$169-EFEITO!$M$169*EFEITO!$Z$169</f>
        <v>2833.7077597157622</v>
      </c>
      <c r="O169" s="76">
        <f>$L$169-EFEITO!$O$169*EFEITO!$AA$169</f>
        <v>5837.4762199532124</v>
      </c>
      <c r="P169" s="57"/>
      <c r="Q169" s="57"/>
      <c r="R169" s="57"/>
      <c r="S169" s="57"/>
      <c r="T169" s="57"/>
      <c r="U169" s="57"/>
      <c r="V169" s="57"/>
      <c r="W169" s="57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53" t="s">
        <v>56</v>
      </c>
      <c r="B170" s="53" t="s">
        <v>39</v>
      </c>
      <c r="C170" s="53" t="s">
        <v>42</v>
      </c>
      <c r="D170" s="53" t="s">
        <v>49</v>
      </c>
      <c r="E170" s="53" t="s">
        <v>50</v>
      </c>
      <c r="F170" s="53" t="s">
        <v>25</v>
      </c>
      <c r="G170" s="53" t="s">
        <v>25</v>
      </c>
      <c r="H170" s="53" t="s">
        <v>35</v>
      </c>
      <c r="I170" s="75">
        <v>44774</v>
      </c>
      <c r="J170" s="76">
        <f ca="1">EFEITO!$J$170*EFEITO!$Y$109</f>
        <v>28145.680977042768</v>
      </c>
      <c r="K170" s="76">
        <f ca="1">EFEITO!$L$170*EFEITO!$Z$109</f>
        <v>94456.925323858784</v>
      </c>
      <c r="L170" s="76">
        <f>EFEITO!$N$170*EFEITO!$AA$109</f>
        <v>194582.54066510694</v>
      </c>
      <c r="M170" s="76">
        <f ca="1">$J$170-EFEITO!$K$170*EFEITO!$Y$170</f>
        <v>844.37042931128599</v>
      </c>
      <c r="N170" s="76">
        <f ca="1">$K$170-EFEITO!$M$170*EFEITO!$Z$170</f>
        <v>2833.7077597157622</v>
      </c>
      <c r="O170" s="76">
        <f>$L$170-EFEITO!$O$170*EFEITO!$AA$170</f>
        <v>5837.4762199532124</v>
      </c>
      <c r="P170" s="57"/>
      <c r="Q170" s="57"/>
      <c r="R170" s="57"/>
      <c r="S170" s="57"/>
      <c r="T170" s="57"/>
      <c r="U170" s="57"/>
      <c r="V170" s="57"/>
      <c r="W170" s="57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53" t="s">
        <v>21</v>
      </c>
      <c r="B171" s="53" t="s">
        <v>39</v>
      </c>
      <c r="C171" s="53" t="s">
        <v>42</v>
      </c>
      <c r="D171" s="53" t="s">
        <v>49</v>
      </c>
      <c r="E171" s="53" t="s">
        <v>50</v>
      </c>
      <c r="F171" s="53" t="s">
        <v>25</v>
      </c>
      <c r="G171" s="53" t="s">
        <v>25</v>
      </c>
      <c r="H171" s="53" t="s">
        <v>34</v>
      </c>
      <c r="I171" s="75">
        <v>44440</v>
      </c>
      <c r="J171" s="76">
        <f ca="1">EFEITO!$J$171*EFEITO!$Y$133</f>
        <v>86620.111159085209</v>
      </c>
      <c r="K171" s="76">
        <f ca="1">EFEITO!$L$171*EFEITO!$Z$133</f>
        <v>11117.48067324029</v>
      </c>
      <c r="L171" s="76">
        <f>EFEITO!$N$171*EFEITO!$AA$133</f>
        <v>36499.489224536701</v>
      </c>
      <c r="M171" s="76">
        <f ca="1">$J$171-EFEITO!$K$171*EFEITO!$Y$171</f>
        <v>2598.6033347725606</v>
      </c>
      <c r="N171" s="76">
        <f ca="1">$K$171-EFEITO!$M$171*EFEITO!$Z$171</f>
        <v>333.52442019720911</v>
      </c>
      <c r="O171" s="76">
        <f>$L$171-EFEITO!$O$171*EFEITO!$AA$171</f>
        <v>1094.9846767361014</v>
      </c>
      <c r="P171" s="57"/>
      <c r="Q171" s="57"/>
      <c r="R171" s="57"/>
      <c r="S171" s="57"/>
      <c r="T171" s="57"/>
      <c r="U171" s="57"/>
      <c r="V171" s="57"/>
      <c r="W171" s="57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53" t="s">
        <v>21</v>
      </c>
      <c r="B172" s="53" t="s">
        <v>39</v>
      </c>
      <c r="C172" s="53" t="s">
        <v>42</v>
      </c>
      <c r="D172" s="53" t="s">
        <v>49</v>
      </c>
      <c r="E172" s="53" t="s">
        <v>50</v>
      </c>
      <c r="F172" s="53" t="s">
        <v>25</v>
      </c>
      <c r="G172" s="53" t="s">
        <v>25</v>
      </c>
      <c r="H172" s="53" t="s">
        <v>34</v>
      </c>
      <c r="I172" s="75">
        <v>44470</v>
      </c>
      <c r="J172" s="76">
        <f ca="1">EFEITO!$J$172*EFEITO!$Y$133</f>
        <v>87712.927966537143</v>
      </c>
      <c r="K172" s="76">
        <f ca="1">EFEITO!$L$172*EFEITO!$Z$133</f>
        <v>10978.810003376657</v>
      </c>
      <c r="L172" s="76">
        <f>EFEITO!$N$172*EFEITO!$AA$133</f>
        <v>36044.223434632535</v>
      </c>
      <c r="M172" s="76">
        <f ca="1">$J$172-EFEITO!$K$172*EFEITO!$Y$172</f>
        <v>2631.3878389961174</v>
      </c>
      <c r="N172" s="76">
        <f ca="1">$K$172-EFEITO!$M$172*EFEITO!$Z$172</f>
        <v>329.36430010130061</v>
      </c>
      <c r="O172" s="76">
        <f>$L$172-EFEITO!$O$172*EFEITO!$AA$172</f>
        <v>1081.3267030389761</v>
      </c>
      <c r="P172" s="57"/>
      <c r="Q172" s="57"/>
      <c r="R172" s="57"/>
      <c r="S172" s="57"/>
      <c r="T172" s="57"/>
      <c r="U172" s="57"/>
      <c r="V172" s="57"/>
      <c r="W172" s="57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53" t="s">
        <v>21</v>
      </c>
      <c r="B173" s="53" t="s">
        <v>39</v>
      </c>
      <c r="C173" s="53" t="s">
        <v>42</v>
      </c>
      <c r="D173" s="53" t="s">
        <v>49</v>
      </c>
      <c r="E173" s="53" t="s">
        <v>50</v>
      </c>
      <c r="F173" s="53" t="s">
        <v>25</v>
      </c>
      <c r="G173" s="53" t="s">
        <v>25</v>
      </c>
      <c r="H173" s="53" t="s">
        <v>34</v>
      </c>
      <c r="I173" s="75">
        <v>44501</v>
      </c>
      <c r="J173" s="76">
        <f ca="1">EFEITO!$J$173*EFEITO!$Y$133</f>
        <v>84031.860825646407</v>
      </c>
      <c r="K173" s="76">
        <f ca="1">EFEITO!$L$173*EFEITO!$Z$133</f>
        <v>9227.2973269240156</v>
      </c>
      <c r="L173" s="76">
        <f>EFEITO!$N$173*EFEITO!$AA$133</f>
        <v>30293.881253719181</v>
      </c>
      <c r="M173" s="76">
        <f ca="1">$J$173-EFEITO!$K$173*EFEITO!$Y$173</f>
        <v>2520.9558247693931</v>
      </c>
      <c r="N173" s="76">
        <f ca="1">$K$173-EFEITO!$M$173*EFEITO!$Z$173</f>
        <v>276.81891980772161</v>
      </c>
      <c r="O173" s="76">
        <f>$L$173-EFEITO!$O$173*EFEITO!$AA$173</f>
        <v>908.81643761157466</v>
      </c>
      <c r="P173" s="57"/>
      <c r="Q173" s="57"/>
      <c r="R173" s="57"/>
      <c r="S173" s="57"/>
      <c r="T173" s="57"/>
      <c r="U173" s="57"/>
      <c r="V173" s="57"/>
      <c r="W173" s="57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53" t="s">
        <v>27</v>
      </c>
      <c r="B174" s="53" t="s">
        <v>39</v>
      </c>
      <c r="C174" s="53" t="s">
        <v>42</v>
      </c>
      <c r="D174" s="53" t="s">
        <v>49</v>
      </c>
      <c r="E174" s="53" t="s">
        <v>50</v>
      </c>
      <c r="F174" s="53" t="s">
        <v>25</v>
      </c>
      <c r="G174" s="53" t="s">
        <v>25</v>
      </c>
      <c r="H174" s="53" t="s">
        <v>34</v>
      </c>
      <c r="I174" s="75">
        <v>44501</v>
      </c>
      <c r="J174" s="76">
        <f ca="1">EFEITO!$J$174*EFEITO!$Y$133</f>
        <v>-3163.4170742029792</v>
      </c>
      <c r="K174" s="76">
        <f ca="1">EFEITO!$L$174*EFEITO!$Z$133</f>
        <v>-496.66890935150514</v>
      </c>
      <c r="L174" s="76">
        <f>EFEITO!$N$174*EFEITO!$AA$133</f>
        <v>-1630.5997768606003</v>
      </c>
      <c r="M174" s="76">
        <f ca="1">$J$174-EFEITO!$K$174*EFEITO!$Y$174</f>
        <v>-94.902512226089584</v>
      </c>
      <c r="N174" s="76">
        <f ca="1">$K$174-EFEITO!$M$174*EFEITO!$Z$174</f>
        <v>-14.900067280545159</v>
      </c>
      <c r="O174" s="76">
        <f>$L$174-EFEITO!$O$174*EFEITO!$AA$174</f>
        <v>-48.917993305817845</v>
      </c>
      <c r="P174" s="57"/>
      <c r="Q174" s="57"/>
      <c r="R174" s="57"/>
      <c r="S174" s="57"/>
      <c r="T174" s="57"/>
      <c r="U174" s="57"/>
      <c r="V174" s="57"/>
      <c r="W174" s="57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53" t="s">
        <v>21</v>
      </c>
      <c r="B175" s="53" t="s">
        <v>39</v>
      </c>
      <c r="C175" s="53" t="s">
        <v>42</v>
      </c>
      <c r="D175" s="53" t="s">
        <v>49</v>
      </c>
      <c r="E175" s="53" t="s">
        <v>50</v>
      </c>
      <c r="F175" s="53" t="s">
        <v>25</v>
      </c>
      <c r="G175" s="53" t="s">
        <v>25</v>
      </c>
      <c r="H175" s="53" t="s">
        <v>34</v>
      </c>
      <c r="I175" s="75">
        <v>44531</v>
      </c>
      <c r="J175" s="76">
        <f ca="1">EFEITO!$J$175*EFEITO!$Y$133</f>
        <v>82363.877277430292</v>
      </c>
      <c r="K175" s="76">
        <f ca="1">EFEITO!$L$175*EFEITO!$Z$133</f>
        <v>11123.252451388298</v>
      </c>
      <c r="L175" s="76">
        <f>EFEITO!$N$175*EFEITO!$AA$133</f>
        <v>36518.438387617018</v>
      </c>
      <c r="M175" s="76">
        <f ca="1">$J$175-EFEITO!$K$175*EFEITO!$Y$175</f>
        <v>2470.9163183229248</v>
      </c>
      <c r="N175" s="76">
        <f ca="1">$K$175-EFEITO!$M$175*EFEITO!$Z$175</f>
        <v>333.69757354165085</v>
      </c>
      <c r="O175" s="76">
        <f>$L$175-EFEITO!$O$175*EFEITO!$AA$175</f>
        <v>1095.5531516285046</v>
      </c>
      <c r="P175" s="57"/>
      <c r="Q175" s="57"/>
      <c r="R175" s="57"/>
      <c r="S175" s="57"/>
      <c r="T175" s="57"/>
      <c r="U175" s="57"/>
      <c r="V175" s="57"/>
      <c r="W175" s="57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53" t="s">
        <v>21</v>
      </c>
      <c r="B176" s="53" t="s">
        <v>39</v>
      </c>
      <c r="C176" s="53" t="s">
        <v>42</v>
      </c>
      <c r="D176" s="53" t="s">
        <v>49</v>
      </c>
      <c r="E176" s="53" t="s">
        <v>50</v>
      </c>
      <c r="F176" s="53" t="s">
        <v>25</v>
      </c>
      <c r="G176" s="53" t="s">
        <v>25</v>
      </c>
      <c r="H176" s="53" t="s">
        <v>34</v>
      </c>
      <c r="I176" s="75">
        <v>44562</v>
      </c>
      <c r="J176" s="76">
        <f ca="1">EFEITO!$J$176*EFEITO!$Y$133</f>
        <v>85124.677633098341</v>
      </c>
      <c r="K176" s="76">
        <f ca="1">EFEITO!$L$176*EFEITO!$Z$133</f>
        <v>10518.547694651035</v>
      </c>
      <c r="L176" s="76">
        <f>EFEITO!$N$176*EFEITO!$AA$133</f>
        <v>34533.149147970893</v>
      </c>
      <c r="M176" s="76">
        <f ca="1">$J$176-EFEITO!$K$176*EFEITO!$Y$176</f>
        <v>2553.7403289929498</v>
      </c>
      <c r="N176" s="76">
        <f ca="1">$K$176-EFEITO!$M$176*EFEITO!$Z$176</f>
        <v>315.55643083953146</v>
      </c>
      <c r="O176" s="76">
        <f>$L$176-EFEITO!$O$176*EFEITO!$AA$176</f>
        <v>1035.994474439125</v>
      </c>
      <c r="P176" s="57"/>
      <c r="Q176" s="57"/>
      <c r="R176" s="57"/>
      <c r="S176" s="57"/>
      <c r="T176" s="57"/>
      <c r="U176" s="57"/>
      <c r="V176" s="57"/>
      <c r="W176" s="57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53" t="s">
        <v>21</v>
      </c>
      <c r="B177" s="53" t="s">
        <v>39</v>
      </c>
      <c r="C177" s="53" t="s">
        <v>42</v>
      </c>
      <c r="D177" s="53" t="s">
        <v>49</v>
      </c>
      <c r="E177" s="53" t="s">
        <v>50</v>
      </c>
      <c r="F177" s="53" t="s">
        <v>25</v>
      </c>
      <c r="G177" s="53" t="s">
        <v>25</v>
      </c>
      <c r="H177" s="53" t="s">
        <v>34</v>
      </c>
      <c r="I177" s="75">
        <v>44593</v>
      </c>
      <c r="J177" s="76">
        <f ca="1">EFEITO!$J$177*EFEITO!$Y$133</f>
        <v>82824.010670041636</v>
      </c>
      <c r="K177" s="76">
        <f ca="1">EFEITO!$L$177*EFEITO!$Z$133</f>
        <v>9991.8359400676018</v>
      </c>
      <c r="L177" s="76">
        <f>EFEITO!$N$177*EFEITO!$AA$133</f>
        <v>32803.91654789733</v>
      </c>
      <c r="M177" s="76">
        <f ca="1">$J$177-EFEITO!$K$177*EFEITO!$Y$177</f>
        <v>2484.7203201012599</v>
      </c>
      <c r="N177" s="76">
        <f ca="1">$K$177-EFEITO!$M$177*EFEITO!$Z$177</f>
        <v>299.75507820202802</v>
      </c>
      <c r="O177" s="76">
        <f>$L$177-EFEITO!$O$177*EFEITO!$AA$177</f>
        <v>984.11749643692019</v>
      </c>
      <c r="P177" s="57"/>
      <c r="Q177" s="57"/>
      <c r="R177" s="57"/>
      <c r="S177" s="57"/>
      <c r="T177" s="57"/>
      <c r="U177" s="57"/>
      <c r="V177" s="57"/>
      <c r="W177" s="57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53" t="s">
        <v>21</v>
      </c>
      <c r="B178" s="53" t="s">
        <v>39</v>
      </c>
      <c r="C178" s="53" t="s">
        <v>42</v>
      </c>
      <c r="D178" s="53" t="s">
        <v>49</v>
      </c>
      <c r="E178" s="53" t="s">
        <v>50</v>
      </c>
      <c r="F178" s="53" t="s">
        <v>25</v>
      </c>
      <c r="G178" s="53" t="s">
        <v>25</v>
      </c>
      <c r="H178" s="53" t="s">
        <v>34</v>
      </c>
      <c r="I178" s="75">
        <v>44621</v>
      </c>
      <c r="J178" s="76">
        <f ca="1">EFEITO!$J$178*EFEITO!$Y$133</f>
        <v>85297.227655327602</v>
      </c>
      <c r="K178" s="76">
        <f ca="1">EFEITO!$L$178*EFEITO!$Z$133</f>
        <v>11935.149244207832</v>
      </c>
      <c r="L178" s="76">
        <f>EFEITO!$N$178*EFEITO!$AA$133</f>
        <v>39183.953994249103</v>
      </c>
      <c r="M178" s="76">
        <f ca="1">$J$178-EFEITO!$K$178*EFEITO!$Y$178</f>
        <v>2558.9168296598364</v>
      </c>
      <c r="N178" s="76">
        <f ca="1">$K$178-EFEITO!$M$178*EFEITO!$Z$178</f>
        <v>358.05447732623543</v>
      </c>
      <c r="O178" s="76">
        <f>$L$178-EFEITO!$O$178*EFEITO!$AA$178</f>
        <v>1175.518619827475</v>
      </c>
      <c r="P178" s="57"/>
      <c r="Q178" s="57"/>
      <c r="R178" s="57"/>
      <c r="S178" s="57"/>
      <c r="T178" s="57"/>
      <c r="U178" s="57"/>
      <c r="V178" s="57"/>
      <c r="W178" s="57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53" t="s">
        <v>21</v>
      </c>
      <c r="B179" s="53" t="s">
        <v>39</v>
      </c>
      <c r="C179" s="53" t="s">
        <v>42</v>
      </c>
      <c r="D179" s="53" t="s">
        <v>49</v>
      </c>
      <c r="E179" s="53" t="s">
        <v>50</v>
      </c>
      <c r="F179" s="53" t="s">
        <v>25</v>
      </c>
      <c r="G179" s="53" t="s">
        <v>25</v>
      </c>
      <c r="H179" s="53" t="s">
        <v>34</v>
      </c>
      <c r="I179" s="75">
        <v>44652</v>
      </c>
      <c r="J179" s="76">
        <f ca="1">EFEITO!$J$179*EFEITO!$Y$133</f>
        <v>84146.894173799243</v>
      </c>
      <c r="K179" s="76">
        <f ca="1">EFEITO!$L$179*EFEITO!$Z$133</f>
        <v>11176.974386458201</v>
      </c>
      <c r="L179" s="76">
        <f>EFEITO!$N$179*EFEITO!$AA$133</f>
        <v>36694.811367056951</v>
      </c>
      <c r="M179" s="76">
        <f ca="1">$J$179-EFEITO!$K$179*EFEITO!$Y$179</f>
        <v>2524.4068252139841</v>
      </c>
      <c r="N179" s="76">
        <f ca="1">$K$179-EFEITO!$M$179*EFEITO!$Z$179</f>
        <v>335.30923159374652</v>
      </c>
      <c r="O179" s="76">
        <f>$L$179-EFEITO!$O$179*EFEITO!$AA$179</f>
        <v>1100.8443410117106</v>
      </c>
      <c r="P179" s="57"/>
      <c r="Q179" s="57"/>
      <c r="R179" s="57"/>
      <c r="S179" s="57"/>
      <c r="T179" s="57"/>
      <c r="U179" s="57"/>
      <c r="V179" s="57"/>
      <c r="W179" s="57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53" t="s">
        <v>21</v>
      </c>
      <c r="B180" s="53" t="s">
        <v>39</v>
      </c>
      <c r="C180" s="53" t="s">
        <v>42</v>
      </c>
      <c r="D180" s="53" t="s">
        <v>49</v>
      </c>
      <c r="E180" s="53" t="s">
        <v>50</v>
      </c>
      <c r="F180" s="53" t="s">
        <v>25</v>
      </c>
      <c r="G180" s="53" t="s">
        <v>25</v>
      </c>
      <c r="H180" s="53" t="s">
        <v>34</v>
      </c>
      <c r="I180" s="75">
        <v>44682</v>
      </c>
      <c r="J180" s="76">
        <f ca="1">EFEITO!$J$180*EFEITO!$Y$133</f>
        <v>83974.344151569981</v>
      </c>
      <c r="K180" s="76">
        <f ca="1">EFEITO!$L$180*EFEITO!$Z$133</f>
        <v>10743.055065177326</v>
      </c>
      <c r="L180" s="76">
        <f>EFEITO!$N$180*EFEITO!$AA$133</f>
        <v>35270.223004197804</v>
      </c>
      <c r="M180" s="76">
        <f ca="1">$J$180-EFEITO!$K$180*EFEITO!$Y$180</f>
        <v>2519.2303245470976</v>
      </c>
      <c r="N180" s="76">
        <f ca="1">$K$180-EFEITO!$M$180*EFEITO!$Z$180</f>
        <v>322.29165195532005</v>
      </c>
      <c r="O180" s="76">
        <f>$L$180-EFEITO!$O$180*EFEITO!$AA$180</f>
        <v>1058.1066901259328</v>
      </c>
      <c r="P180" s="57"/>
      <c r="Q180" s="57"/>
      <c r="R180" s="57"/>
      <c r="S180" s="57"/>
      <c r="T180" s="57"/>
      <c r="U180" s="57"/>
      <c r="V180" s="57"/>
      <c r="W180" s="57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53" t="s">
        <v>21</v>
      </c>
      <c r="B181" s="53" t="s">
        <v>39</v>
      </c>
      <c r="C181" s="53" t="s">
        <v>42</v>
      </c>
      <c r="D181" s="53" t="s">
        <v>49</v>
      </c>
      <c r="E181" s="53" t="s">
        <v>50</v>
      </c>
      <c r="F181" s="53" t="s">
        <v>25</v>
      </c>
      <c r="G181" s="53" t="s">
        <v>25</v>
      </c>
      <c r="H181" s="53" t="s">
        <v>34</v>
      </c>
      <c r="I181" s="75">
        <v>44713</v>
      </c>
      <c r="J181" s="76">
        <f ca="1">EFEITO!$J$181*EFEITO!$Y$133</f>
        <v>82766.493995965211</v>
      </c>
      <c r="K181" s="76">
        <f ca="1">EFEITO!$L$181*EFEITO!$Z$133</f>
        <v>11116.000730125419</v>
      </c>
      <c r="L181" s="76">
        <f>EFEITO!$N$181*EFEITO!$AA$133</f>
        <v>36494.630464772519</v>
      </c>
      <c r="M181" s="76">
        <f ca="1">$J$181-EFEITO!$K$181*EFEITO!$Y$181</f>
        <v>2482.9948198789643</v>
      </c>
      <c r="N181" s="76">
        <f ca="1">$K$181-EFEITO!$M$181*EFEITO!$Z$181</f>
        <v>333.48002190376246</v>
      </c>
      <c r="O181" s="76">
        <f>$L$181-EFEITO!$O$181*EFEITO!$AA$181</f>
        <v>1094.8389139431747</v>
      </c>
      <c r="P181" s="57"/>
      <c r="Q181" s="57"/>
      <c r="R181" s="57"/>
      <c r="S181" s="57"/>
      <c r="T181" s="57"/>
      <c r="U181" s="57"/>
      <c r="V181" s="57"/>
      <c r="W181" s="57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53" t="s">
        <v>21</v>
      </c>
      <c r="B182" s="53" t="s">
        <v>39</v>
      </c>
      <c r="C182" s="53" t="s">
        <v>42</v>
      </c>
      <c r="D182" s="53" t="s">
        <v>49</v>
      </c>
      <c r="E182" s="53" t="s">
        <v>50</v>
      </c>
      <c r="F182" s="53" t="s">
        <v>25</v>
      </c>
      <c r="G182" s="53" t="s">
        <v>25</v>
      </c>
      <c r="H182" s="53" t="s">
        <v>34</v>
      </c>
      <c r="I182" s="75">
        <v>44743</v>
      </c>
      <c r="J182" s="76">
        <f ca="1">EFEITO!$J$182*EFEITO!$Y$133</f>
        <v>84491.994218257751</v>
      </c>
      <c r="K182" s="76">
        <f ca="1">EFEITO!$L$182*EFEITO!$Z$133</f>
        <v>11329.112538667185</v>
      </c>
      <c r="L182" s="76">
        <f>EFEITO!$N$182*EFEITO!$AA$133</f>
        <v>37194.291870815206</v>
      </c>
      <c r="M182" s="76">
        <f ca="1">$J$182-EFEITO!$K$182*EFEITO!$Y$182</f>
        <v>2534.7598265477427</v>
      </c>
      <c r="N182" s="76">
        <f ca="1">$K$182-EFEITO!$M$182*EFEITO!$Z$182</f>
        <v>339.87337616001605</v>
      </c>
      <c r="O182" s="76">
        <f>$L$182-EFEITO!$O$182*EFEITO!$AA$182</f>
        <v>1115.8287561244579</v>
      </c>
      <c r="P182" s="57"/>
      <c r="Q182" s="57"/>
      <c r="R182" s="57"/>
      <c r="S182" s="57"/>
      <c r="T182" s="57"/>
      <c r="U182" s="57"/>
      <c r="V182" s="57"/>
      <c r="W182" s="57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53" t="s">
        <v>56</v>
      </c>
      <c r="B183" s="53" t="s">
        <v>39</v>
      </c>
      <c r="C183" s="53" t="s">
        <v>42</v>
      </c>
      <c r="D183" s="53" t="s">
        <v>49</v>
      </c>
      <c r="E183" s="53" t="s">
        <v>50</v>
      </c>
      <c r="F183" s="53" t="s">
        <v>25</v>
      </c>
      <c r="G183" s="53" t="s">
        <v>25</v>
      </c>
      <c r="H183" s="53" t="s">
        <v>34</v>
      </c>
      <c r="I183" s="75">
        <v>44774</v>
      </c>
      <c r="J183" s="76">
        <f ca="1">EFEITO!$J$183*EFEITO!$Y$133</f>
        <v>84491.994218257751</v>
      </c>
      <c r="K183" s="76">
        <f ca="1">EFEITO!$L$183*EFEITO!$Z$133</f>
        <v>11329.112538667185</v>
      </c>
      <c r="L183" s="76">
        <f>EFEITO!$N$183*EFEITO!$AA$133</f>
        <v>37194.291870815206</v>
      </c>
      <c r="M183" s="76">
        <f ca="1">$J$183-EFEITO!$K$183*EFEITO!$Y$183</f>
        <v>2534.7598265477427</v>
      </c>
      <c r="N183" s="76">
        <f ca="1">$K$183-EFEITO!$M$183*EFEITO!$Z$183</f>
        <v>339.87337616001605</v>
      </c>
      <c r="O183" s="76">
        <f>$L$183-EFEITO!$O$183*EFEITO!$AA$183</f>
        <v>1115.8287561244579</v>
      </c>
      <c r="P183" s="57"/>
      <c r="Q183" s="57"/>
      <c r="R183" s="57"/>
      <c r="S183" s="57"/>
      <c r="T183" s="57"/>
      <c r="U183" s="57"/>
      <c r="V183" s="57"/>
      <c r="W183" s="57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53" t="s">
        <v>21</v>
      </c>
      <c r="B184" s="53" t="s">
        <v>39</v>
      </c>
      <c r="C184" s="53" t="s">
        <v>59</v>
      </c>
      <c r="D184" s="53" t="s">
        <v>25</v>
      </c>
      <c r="E184" s="53" t="s">
        <v>25</v>
      </c>
      <c r="F184" s="53" t="s">
        <v>25</v>
      </c>
      <c r="G184" s="53" t="s">
        <v>60</v>
      </c>
      <c r="H184" s="53" t="s">
        <v>25</v>
      </c>
      <c r="I184" s="75">
        <v>44440</v>
      </c>
      <c r="J184" s="76">
        <f ca="1">EFEITO!$J$184*EFEITO!$Y$184</f>
        <v>10620.579484549609</v>
      </c>
      <c r="K184" s="76">
        <f>EFEITO!$L$184*EFEITO!$Z$184</f>
        <v>0</v>
      </c>
      <c r="L184" s="76">
        <f>EFEITO!$N$184*EFEITO!$AA$184</f>
        <v>0</v>
      </c>
      <c r="M184" s="76">
        <f ca="1">$J$184-EFEITO!$K$184*EFEITO!$Y$184</f>
        <v>5310.2897422748047</v>
      </c>
      <c r="N184" s="76">
        <f>$K$184-EFEITO!$M$184*EFEITO!$Z$184</f>
        <v>0</v>
      </c>
      <c r="O184" s="76">
        <f>$L$184-EFEITO!$O$184*EFEITO!$AA$184</f>
        <v>0</v>
      </c>
      <c r="P184" s="57"/>
      <c r="Q184" s="57"/>
      <c r="R184" s="57"/>
      <c r="S184" s="57"/>
      <c r="T184" s="57"/>
      <c r="U184" s="57"/>
      <c r="V184" s="57"/>
      <c r="W184" s="57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53" t="s">
        <v>21</v>
      </c>
      <c r="B185" s="53" t="s">
        <v>39</v>
      </c>
      <c r="C185" s="53" t="s">
        <v>59</v>
      </c>
      <c r="D185" s="53" t="s">
        <v>25</v>
      </c>
      <c r="E185" s="53" t="s">
        <v>25</v>
      </c>
      <c r="F185" s="53" t="s">
        <v>25</v>
      </c>
      <c r="G185" s="53" t="s">
        <v>62</v>
      </c>
      <c r="H185" s="53" t="s">
        <v>25</v>
      </c>
      <c r="I185" s="75">
        <v>44440</v>
      </c>
      <c r="J185" s="76">
        <f ca="1">EFEITO!$J$185*EFEITO!$Y$185</f>
        <v>2430.9326375746882</v>
      </c>
      <c r="K185" s="76">
        <f>EFEITO!$L$185*EFEITO!$Z$185</f>
        <v>0</v>
      </c>
      <c r="L185" s="76">
        <f>EFEITO!$N$185*EFEITO!$AA$185</f>
        <v>0</v>
      </c>
      <c r="M185" s="76">
        <f ca="1">$J$185-EFEITO!$K$185*EFEITO!$Y$185</f>
        <v>1215.4663187873441</v>
      </c>
      <c r="N185" s="76">
        <f>$K$185-EFEITO!$M$185*EFEITO!$Z$185</f>
        <v>0</v>
      </c>
      <c r="O185" s="76">
        <f>$L$185-EFEITO!$O$185*EFEITO!$AA$185</f>
        <v>0</v>
      </c>
      <c r="P185" s="57"/>
      <c r="Q185" s="57"/>
      <c r="R185" s="57"/>
      <c r="S185" s="57"/>
      <c r="T185" s="57"/>
      <c r="U185" s="57"/>
      <c r="V185" s="57"/>
      <c r="W185" s="57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53" t="s">
        <v>21</v>
      </c>
      <c r="B186" s="53" t="s">
        <v>39</v>
      </c>
      <c r="C186" s="53" t="s">
        <v>59</v>
      </c>
      <c r="D186" s="53" t="s">
        <v>25</v>
      </c>
      <c r="E186" s="53" t="s">
        <v>25</v>
      </c>
      <c r="F186" s="53" t="s">
        <v>25</v>
      </c>
      <c r="G186" s="53" t="s">
        <v>63</v>
      </c>
      <c r="H186" s="53" t="s">
        <v>25</v>
      </c>
      <c r="I186" s="75">
        <v>44440</v>
      </c>
      <c r="J186" s="76">
        <f ca="1">EFEITO!$J$186*EFEITO!$Y$186</f>
        <v>2832.1545292132291</v>
      </c>
      <c r="K186" s="76">
        <f>EFEITO!$L$186*EFEITO!$Z$186</f>
        <v>0</v>
      </c>
      <c r="L186" s="76">
        <f>EFEITO!$N$186*EFEITO!$AA$186</f>
        <v>0</v>
      </c>
      <c r="M186" s="76">
        <f ca="1">$J$186-EFEITO!$K$186*EFEITO!$Y$186</f>
        <v>1416.0772646066146</v>
      </c>
      <c r="N186" s="76">
        <f>$K$186-EFEITO!$M$186*EFEITO!$Z$186</f>
        <v>0</v>
      </c>
      <c r="O186" s="76">
        <f>$L$186-EFEITO!$O$186*EFEITO!$AA$186</f>
        <v>0</v>
      </c>
      <c r="P186" s="57"/>
      <c r="Q186" s="57"/>
      <c r="R186" s="57"/>
      <c r="S186" s="57"/>
      <c r="T186" s="57"/>
      <c r="U186" s="57"/>
      <c r="V186" s="57"/>
      <c r="W186" s="57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53" t="s">
        <v>21</v>
      </c>
      <c r="B187" s="53" t="s">
        <v>39</v>
      </c>
      <c r="C187" s="53" t="s">
        <v>59</v>
      </c>
      <c r="D187" s="53" t="s">
        <v>25</v>
      </c>
      <c r="E187" s="53" t="s">
        <v>25</v>
      </c>
      <c r="F187" s="53" t="s">
        <v>25</v>
      </c>
      <c r="G187" s="53" t="s">
        <v>60</v>
      </c>
      <c r="H187" s="53" t="s">
        <v>25</v>
      </c>
      <c r="I187" s="75">
        <v>44470</v>
      </c>
      <c r="J187" s="76">
        <f ca="1">EFEITO!$J$187*EFEITO!$Y$187</f>
        <v>10620.579484549609</v>
      </c>
      <c r="K187" s="76">
        <f>EFEITO!$L$187*EFEITO!$Z$187</f>
        <v>0</v>
      </c>
      <c r="L187" s="76">
        <f>EFEITO!$N$187*EFEITO!$AA$187</f>
        <v>0</v>
      </c>
      <c r="M187" s="76">
        <f ca="1">$J$187-EFEITO!$K$187*EFEITO!$Y$187</f>
        <v>5310.2897422748047</v>
      </c>
      <c r="N187" s="76">
        <f>$K$187-EFEITO!$M$187*EFEITO!$Z$187</f>
        <v>0</v>
      </c>
      <c r="O187" s="76">
        <f>$L$187-EFEITO!$O$187*EFEITO!$AA$187</f>
        <v>0</v>
      </c>
      <c r="P187" s="57"/>
      <c r="Q187" s="57"/>
      <c r="R187" s="57"/>
      <c r="S187" s="57"/>
      <c r="T187" s="57"/>
      <c r="U187" s="57"/>
      <c r="V187" s="57"/>
      <c r="W187" s="57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53" t="s">
        <v>21</v>
      </c>
      <c r="B188" s="53" t="s">
        <v>39</v>
      </c>
      <c r="C188" s="53" t="s">
        <v>59</v>
      </c>
      <c r="D188" s="53" t="s">
        <v>25</v>
      </c>
      <c r="E188" s="53" t="s">
        <v>25</v>
      </c>
      <c r="F188" s="53" t="s">
        <v>25</v>
      </c>
      <c r="G188" s="53" t="s">
        <v>62</v>
      </c>
      <c r="H188" s="53" t="s">
        <v>25</v>
      </c>
      <c r="I188" s="75">
        <v>44470</v>
      </c>
      <c r="J188" s="76">
        <f ca="1">EFEITO!$J$188*EFEITO!$Y$188</f>
        <v>2430.9326375746882</v>
      </c>
      <c r="K188" s="76">
        <f>EFEITO!$L$188*EFEITO!$Z$188</f>
        <v>0</v>
      </c>
      <c r="L188" s="76">
        <f>EFEITO!$N$188*EFEITO!$AA$188</f>
        <v>0</v>
      </c>
      <c r="M188" s="76">
        <f ca="1">$J$188-EFEITO!$K$188*EFEITO!$Y$188</f>
        <v>1215.4663187873441</v>
      </c>
      <c r="N188" s="76">
        <f>$K$188-EFEITO!$M$188*EFEITO!$Z$188</f>
        <v>0</v>
      </c>
      <c r="O188" s="76">
        <f>$L$188-EFEITO!$O$188*EFEITO!$AA$188</f>
        <v>0</v>
      </c>
      <c r="P188" s="57"/>
      <c r="Q188" s="57"/>
      <c r="R188" s="57"/>
      <c r="S188" s="57"/>
      <c r="T188" s="57"/>
      <c r="U188" s="57"/>
      <c r="V188" s="57"/>
      <c r="W188" s="57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53" t="s">
        <v>21</v>
      </c>
      <c r="B189" s="53" t="s">
        <v>39</v>
      </c>
      <c r="C189" s="53" t="s">
        <v>59</v>
      </c>
      <c r="D189" s="53" t="s">
        <v>25</v>
      </c>
      <c r="E189" s="53" t="s">
        <v>25</v>
      </c>
      <c r="F189" s="53" t="s">
        <v>25</v>
      </c>
      <c r="G189" s="53" t="s">
        <v>63</v>
      </c>
      <c r="H189" s="53" t="s">
        <v>25</v>
      </c>
      <c r="I189" s="75">
        <v>44470</v>
      </c>
      <c r="J189" s="76">
        <f ca="1">EFEITO!$J$189*EFEITO!$Y$189</f>
        <v>2832.1545292132291</v>
      </c>
      <c r="K189" s="76">
        <f>EFEITO!$L$189*EFEITO!$Z$189</f>
        <v>0</v>
      </c>
      <c r="L189" s="76">
        <f>EFEITO!$N$189*EFEITO!$AA$189</f>
        <v>0</v>
      </c>
      <c r="M189" s="76">
        <f ca="1">$J$189-EFEITO!$K$189*EFEITO!$Y$189</f>
        <v>1416.0772646066146</v>
      </c>
      <c r="N189" s="76">
        <f>$K$189-EFEITO!$M$189*EFEITO!$Z$189</f>
        <v>0</v>
      </c>
      <c r="O189" s="76">
        <f>$L$189-EFEITO!$O$189*EFEITO!$AA$189</f>
        <v>0</v>
      </c>
      <c r="P189" s="57"/>
      <c r="Q189" s="57"/>
      <c r="R189" s="57"/>
      <c r="S189" s="57"/>
      <c r="T189" s="57"/>
      <c r="U189" s="57"/>
      <c r="V189" s="57"/>
      <c r="W189" s="57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53" t="s">
        <v>21</v>
      </c>
      <c r="B190" s="53" t="s">
        <v>39</v>
      </c>
      <c r="C190" s="53" t="s">
        <v>59</v>
      </c>
      <c r="D190" s="53" t="s">
        <v>25</v>
      </c>
      <c r="E190" s="53" t="s">
        <v>25</v>
      </c>
      <c r="F190" s="53" t="s">
        <v>25</v>
      </c>
      <c r="G190" s="53" t="s">
        <v>60</v>
      </c>
      <c r="H190" s="53" t="s">
        <v>25</v>
      </c>
      <c r="I190" s="75">
        <v>44501</v>
      </c>
      <c r="J190" s="76">
        <f ca="1">EFEITO!$J$190*EFEITO!$Y$190</f>
        <v>10620.579484549609</v>
      </c>
      <c r="K190" s="76">
        <f>EFEITO!$L$190*EFEITO!$Z$190</f>
        <v>0</v>
      </c>
      <c r="L190" s="76">
        <f>EFEITO!$N$190*EFEITO!$AA$190</f>
        <v>0</v>
      </c>
      <c r="M190" s="76">
        <f ca="1">$J$190-EFEITO!$K$190*EFEITO!$Y$190</f>
        <v>5310.2897422748047</v>
      </c>
      <c r="N190" s="76">
        <f>$K$190-EFEITO!$M$190*EFEITO!$Z$190</f>
        <v>0</v>
      </c>
      <c r="O190" s="76">
        <f>$L$190-EFEITO!$O$190*EFEITO!$AA$190</f>
        <v>0</v>
      </c>
      <c r="P190" s="57"/>
      <c r="Q190" s="57"/>
      <c r="R190" s="57"/>
      <c r="S190" s="57"/>
      <c r="T190" s="57"/>
      <c r="U190" s="57"/>
      <c r="V190" s="57"/>
      <c r="W190" s="57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53" t="s">
        <v>21</v>
      </c>
      <c r="B191" s="53" t="s">
        <v>39</v>
      </c>
      <c r="C191" s="53" t="s">
        <v>59</v>
      </c>
      <c r="D191" s="53" t="s">
        <v>25</v>
      </c>
      <c r="E191" s="53" t="s">
        <v>25</v>
      </c>
      <c r="F191" s="53" t="s">
        <v>25</v>
      </c>
      <c r="G191" s="53" t="s">
        <v>62</v>
      </c>
      <c r="H191" s="53" t="s">
        <v>25</v>
      </c>
      <c r="I191" s="75">
        <v>44501</v>
      </c>
      <c r="J191" s="76">
        <f ca="1">EFEITO!$J$191*EFEITO!$Y$191</f>
        <v>2430.9326375746882</v>
      </c>
      <c r="K191" s="76">
        <f>EFEITO!$L$191*EFEITO!$Z$191</f>
        <v>0</v>
      </c>
      <c r="L191" s="76">
        <f>EFEITO!$N$191*EFEITO!$AA$191</f>
        <v>0</v>
      </c>
      <c r="M191" s="76">
        <f ca="1">$J$191-EFEITO!$K$191*EFEITO!$Y$191</f>
        <v>1215.4663187873441</v>
      </c>
      <c r="N191" s="76">
        <f>$K$191-EFEITO!$M$191*EFEITO!$Z$191</f>
        <v>0</v>
      </c>
      <c r="O191" s="76">
        <f>$L$191-EFEITO!$O$191*EFEITO!$AA$191</f>
        <v>0</v>
      </c>
      <c r="P191" s="57"/>
      <c r="Q191" s="57"/>
      <c r="R191" s="57"/>
      <c r="S191" s="57"/>
      <c r="T191" s="57"/>
      <c r="U191" s="57"/>
      <c r="V191" s="57"/>
      <c r="W191" s="57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53" t="s">
        <v>21</v>
      </c>
      <c r="B192" s="53" t="s">
        <v>39</v>
      </c>
      <c r="C192" s="53" t="s">
        <v>59</v>
      </c>
      <c r="D192" s="53" t="s">
        <v>25</v>
      </c>
      <c r="E192" s="53" t="s">
        <v>25</v>
      </c>
      <c r="F192" s="53" t="s">
        <v>25</v>
      </c>
      <c r="G192" s="53" t="s">
        <v>63</v>
      </c>
      <c r="H192" s="53" t="s">
        <v>25</v>
      </c>
      <c r="I192" s="75">
        <v>44501</v>
      </c>
      <c r="J192" s="76">
        <f ca="1">EFEITO!$J$192*EFEITO!$Y$192</f>
        <v>2832.1545292132291</v>
      </c>
      <c r="K192" s="76">
        <f>EFEITO!$L$192*EFEITO!$Z$192</f>
        <v>0</v>
      </c>
      <c r="L192" s="76">
        <f>EFEITO!$N$192*EFEITO!$AA$192</f>
        <v>0</v>
      </c>
      <c r="M192" s="76">
        <f ca="1">$J$192-EFEITO!$K$192*EFEITO!$Y$192</f>
        <v>1416.0772646066146</v>
      </c>
      <c r="N192" s="76">
        <f>$K$192-EFEITO!$M$192*EFEITO!$Z$192</f>
        <v>0</v>
      </c>
      <c r="O192" s="76">
        <f>$L$192-EFEITO!$O$192*EFEITO!$AA$192</f>
        <v>0</v>
      </c>
      <c r="P192" s="57"/>
      <c r="Q192" s="57"/>
      <c r="R192" s="57"/>
      <c r="S192" s="57"/>
      <c r="T192" s="57"/>
      <c r="U192" s="57"/>
      <c r="V192" s="57"/>
      <c r="W192" s="57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53" t="s">
        <v>21</v>
      </c>
      <c r="B193" s="53" t="s">
        <v>39</v>
      </c>
      <c r="C193" s="53" t="s">
        <v>59</v>
      </c>
      <c r="D193" s="53" t="s">
        <v>25</v>
      </c>
      <c r="E193" s="53" t="s">
        <v>25</v>
      </c>
      <c r="F193" s="53" t="s">
        <v>25</v>
      </c>
      <c r="G193" s="53" t="s">
        <v>60</v>
      </c>
      <c r="H193" s="53" t="s">
        <v>25</v>
      </c>
      <c r="I193" s="75">
        <v>44531</v>
      </c>
      <c r="J193" s="76">
        <f ca="1">EFEITO!$J$193*EFEITO!$Y$193</f>
        <v>10620.579484549609</v>
      </c>
      <c r="K193" s="76">
        <f>EFEITO!$L$193*EFEITO!$Z$193</f>
        <v>0</v>
      </c>
      <c r="L193" s="76">
        <f>EFEITO!$N$193*EFEITO!$AA$193</f>
        <v>0</v>
      </c>
      <c r="M193" s="76">
        <f ca="1">$J$193-EFEITO!$K$193*EFEITO!$Y$193</f>
        <v>5310.2897422748047</v>
      </c>
      <c r="N193" s="76">
        <f>$K$193-EFEITO!$M$193*EFEITO!$Z$193</f>
        <v>0</v>
      </c>
      <c r="O193" s="76">
        <f>$L$193-EFEITO!$O$193*EFEITO!$AA$193</f>
        <v>0</v>
      </c>
      <c r="P193" s="57"/>
      <c r="Q193" s="57"/>
      <c r="R193" s="57"/>
      <c r="S193" s="57"/>
      <c r="T193" s="57"/>
      <c r="U193" s="57"/>
      <c r="V193" s="57"/>
      <c r="W193" s="57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53" t="s">
        <v>21</v>
      </c>
      <c r="B194" s="53" t="s">
        <v>39</v>
      </c>
      <c r="C194" s="53" t="s">
        <v>59</v>
      </c>
      <c r="D194" s="53" t="s">
        <v>25</v>
      </c>
      <c r="E194" s="53" t="s">
        <v>25</v>
      </c>
      <c r="F194" s="53" t="s">
        <v>25</v>
      </c>
      <c r="G194" s="53" t="s">
        <v>62</v>
      </c>
      <c r="H194" s="53" t="s">
        <v>25</v>
      </c>
      <c r="I194" s="75">
        <v>44531</v>
      </c>
      <c r="J194" s="76">
        <f ca="1">EFEITO!$J$194*EFEITO!$Y$194</f>
        <v>2430.9326375746882</v>
      </c>
      <c r="K194" s="76">
        <f>EFEITO!$L$194*EFEITO!$Z$194</f>
        <v>0</v>
      </c>
      <c r="L194" s="76">
        <f>EFEITO!$N$194*EFEITO!$AA$194</f>
        <v>0</v>
      </c>
      <c r="M194" s="76">
        <f ca="1">$J$194-EFEITO!$K$194*EFEITO!$Y$194</f>
        <v>1215.4663187873441</v>
      </c>
      <c r="N194" s="76">
        <f>$K$194-EFEITO!$M$194*EFEITO!$Z$194</f>
        <v>0</v>
      </c>
      <c r="O194" s="76">
        <f>$L$194-EFEITO!$O$194*EFEITO!$AA$194</f>
        <v>0</v>
      </c>
      <c r="P194" s="57"/>
      <c r="Q194" s="57"/>
      <c r="R194" s="57"/>
      <c r="S194" s="57"/>
      <c r="T194" s="57"/>
      <c r="U194" s="57"/>
      <c r="V194" s="57"/>
      <c r="W194" s="57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53" t="s">
        <v>21</v>
      </c>
      <c r="B195" s="53" t="s">
        <v>39</v>
      </c>
      <c r="C195" s="53" t="s">
        <v>59</v>
      </c>
      <c r="D195" s="53" t="s">
        <v>25</v>
      </c>
      <c r="E195" s="53" t="s">
        <v>25</v>
      </c>
      <c r="F195" s="53" t="s">
        <v>25</v>
      </c>
      <c r="G195" s="53" t="s">
        <v>63</v>
      </c>
      <c r="H195" s="53" t="s">
        <v>25</v>
      </c>
      <c r="I195" s="75">
        <v>44531</v>
      </c>
      <c r="J195" s="76">
        <f ca="1">EFEITO!$J$195*EFEITO!$Y$195</f>
        <v>2832.1545292132291</v>
      </c>
      <c r="K195" s="76">
        <f>EFEITO!$L$195*EFEITO!$Z$195</f>
        <v>0</v>
      </c>
      <c r="L195" s="76">
        <f>EFEITO!$N$195*EFEITO!$AA$195</f>
        <v>0</v>
      </c>
      <c r="M195" s="76">
        <f ca="1">$J$195-EFEITO!$K$195*EFEITO!$Y$195</f>
        <v>1416.0772646066146</v>
      </c>
      <c r="N195" s="76">
        <f>$K$195-EFEITO!$M$195*EFEITO!$Z$195</f>
        <v>0</v>
      </c>
      <c r="O195" s="76">
        <f>$L$195-EFEITO!$O$195*EFEITO!$AA$195</f>
        <v>0</v>
      </c>
      <c r="P195" s="57"/>
      <c r="Q195" s="57"/>
      <c r="R195" s="57"/>
      <c r="S195" s="57"/>
      <c r="T195" s="57"/>
      <c r="U195" s="57"/>
      <c r="V195" s="57"/>
      <c r="W195" s="57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53" t="s">
        <v>21</v>
      </c>
      <c r="B196" s="53" t="s">
        <v>39</v>
      </c>
      <c r="C196" s="53" t="s">
        <v>59</v>
      </c>
      <c r="D196" s="53" t="s">
        <v>25</v>
      </c>
      <c r="E196" s="53" t="s">
        <v>25</v>
      </c>
      <c r="F196" s="53" t="s">
        <v>25</v>
      </c>
      <c r="G196" s="53" t="s">
        <v>60</v>
      </c>
      <c r="H196" s="53" t="s">
        <v>25</v>
      </c>
      <c r="I196" s="75">
        <v>44562</v>
      </c>
      <c r="J196" s="76">
        <f ca="1">EFEITO!$J$196*EFEITO!$Y$196</f>
        <v>10620.579484549609</v>
      </c>
      <c r="K196" s="76">
        <f>EFEITO!$L$196*EFEITO!$Z$196</f>
        <v>0</v>
      </c>
      <c r="L196" s="76">
        <f>EFEITO!$N$196*EFEITO!$AA$196</f>
        <v>0</v>
      </c>
      <c r="M196" s="76">
        <f ca="1">$J$196-EFEITO!$K$196*EFEITO!$Y$196</f>
        <v>5310.2897422748047</v>
      </c>
      <c r="N196" s="76">
        <f>$K$196-EFEITO!$M$196*EFEITO!$Z$196</f>
        <v>0</v>
      </c>
      <c r="O196" s="76">
        <f>$L$196-EFEITO!$O$196*EFEITO!$AA$196</f>
        <v>0</v>
      </c>
      <c r="P196" s="57"/>
      <c r="Q196" s="57"/>
      <c r="R196" s="57"/>
      <c r="S196" s="57"/>
      <c r="T196" s="57"/>
      <c r="U196" s="57"/>
      <c r="V196" s="57"/>
      <c r="W196" s="57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53" t="s">
        <v>21</v>
      </c>
      <c r="B197" s="53" t="s">
        <v>39</v>
      </c>
      <c r="C197" s="53" t="s">
        <v>59</v>
      </c>
      <c r="D197" s="53" t="s">
        <v>25</v>
      </c>
      <c r="E197" s="53" t="s">
        <v>25</v>
      </c>
      <c r="F197" s="53" t="s">
        <v>25</v>
      </c>
      <c r="G197" s="53" t="s">
        <v>62</v>
      </c>
      <c r="H197" s="53" t="s">
        <v>25</v>
      </c>
      <c r="I197" s="75">
        <v>44562</v>
      </c>
      <c r="J197" s="76">
        <f ca="1">EFEITO!$J$197*EFEITO!$Y$197</f>
        <v>2430.9326375746882</v>
      </c>
      <c r="K197" s="76">
        <f>EFEITO!$L$197*EFEITO!$Z$197</f>
        <v>0</v>
      </c>
      <c r="L197" s="76">
        <f>EFEITO!$N$197*EFEITO!$AA$197</f>
        <v>0</v>
      </c>
      <c r="M197" s="76">
        <f ca="1">$J$197-EFEITO!$K$197*EFEITO!$Y$197</f>
        <v>1215.4663187873441</v>
      </c>
      <c r="N197" s="76">
        <f>$K$197-EFEITO!$M$197*EFEITO!$Z$197</f>
        <v>0</v>
      </c>
      <c r="O197" s="76">
        <f>$L$197-EFEITO!$O$197*EFEITO!$AA$197</f>
        <v>0</v>
      </c>
      <c r="P197" s="57"/>
      <c r="Q197" s="57"/>
      <c r="R197" s="57"/>
      <c r="S197" s="57"/>
      <c r="T197" s="57"/>
      <c r="U197" s="57"/>
      <c r="V197" s="57"/>
      <c r="W197" s="57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53" t="s">
        <v>21</v>
      </c>
      <c r="B198" s="53" t="s">
        <v>39</v>
      </c>
      <c r="C198" s="53" t="s">
        <v>59</v>
      </c>
      <c r="D198" s="53" t="s">
        <v>25</v>
      </c>
      <c r="E198" s="53" t="s">
        <v>25</v>
      </c>
      <c r="F198" s="53" t="s">
        <v>25</v>
      </c>
      <c r="G198" s="53" t="s">
        <v>63</v>
      </c>
      <c r="H198" s="53" t="s">
        <v>25</v>
      </c>
      <c r="I198" s="75">
        <v>44562</v>
      </c>
      <c r="J198" s="76">
        <f ca="1">EFEITO!$J$198*EFEITO!$Y$198</f>
        <v>2832.1545292132291</v>
      </c>
      <c r="K198" s="76">
        <f>EFEITO!$L$198*EFEITO!$Z$198</f>
        <v>0</v>
      </c>
      <c r="L198" s="76">
        <f>EFEITO!$N$198*EFEITO!$AA$198</f>
        <v>0</v>
      </c>
      <c r="M198" s="76">
        <f ca="1">$J$198-EFEITO!$K$198*EFEITO!$Y$198</f>
        <v>1416.0772646066146</v>
      </c>
      <c r="N198" s="76">
        <f>$K$198-EFEITO!$M$198*EFEITO!$Z$198</f>
        <v>0</v>
      </c>
      <c r="O198" s="76">
        <f>$L$198-EFEITO!$O$198*EFEITO!$AA$198</f>
        <v>0</v>
      </c>
      <c r="P198" s="57"/>
      <c r="Q198" s="57"/>
      <c r="R198" s="57"/>
      <c r="S198" s="57"/>
      <c r="T198" s="57"/>
      <c r="U198" s="57"/>
      <c r="V198" s="57"/>
      <c r="W198" s="57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53" t="s">
        <v>21</v>
      </c>
      <c r="B199" s="53" t="s">
        <v>39</v>
      </c>
      <c r="C199" s="53" t="s">
        <v>59</v>
      </c>
      <c r="D199" s="53" t="s">
        <v>25</v>
      </c>
      <c r="E199" s="53" t="s">
        <v>25</v>
      </c>
      <c r="F199" s="53" t="s">
        <v>25</v>
      </c>
      <c r="G199" s="53" t="s">
        <v>60</v>
      </c>
      <c r="H199" s="53" t="s">
        <v>25</v>
      </c>
      <c r="I199" s="75">
        <v>44593</v>
      </c>
      <c r="J199" s="76">
        <f ca="1">EFEITO!$J$199*EFEITO!$Y$199</f>
        <v>10620.579484549609</v>
      </c>
      <c r="K199" s="76">
        <f>EFEITO!$L$199*EFEITO!$Z$199</f>
        <v>0</v>
      </c>
      <c r="L199" s="76">
        <f>EFEITO!$N$199*EFEITO!$AA$199</f>
        <v>0</v>
      </c>
      <c r="M199" s="76">
        <f ca="1">$J$199-EFEITO!$K$199*EFEITO!$Y$199</f>
        <v>5310.2897422748047</v>
      </c>
      <c r="N199" s="76">
        <f>$K$199-EFEITO!$M$199*EFEITO!$Z$199</f>
        <v>0</v>
      </c>
      <c r="O199" s="76">
        <f>$L$199-EFEITO!$O$199*EFEITO!$AA$199</f>
        <v>0</v>
      </c>
      <c r="P199" s="57"/>
      <c r="Q199" s="57"/>
      <c r="R199" s="57"/>
      <c r="S199" s="57"/>
      <c r="T199" s="57"/>
      <c r="U199" s="57"/>
      <c r="V199" s="57"/>
      <c r="W199" s="57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53" t="s">
        <v>21</v>
      </c>
      <c r="B200" s="53" t="s">
        <v>39</v>
      </c>
      <c r="C200" s="53" t="s">
        <v>59</v>
      </c>
      <c r="D200" s="53" t="s">
        <v>25</v>
      </c>
      <c r="E200" s="53" t="s">
        <v>25</v>
      </c>
      <c r="F200" s="53" t="s">
        <v>25</v>
      </c>
      <c r="G200" s="53" t="s">
        <v>62</v>
      </c>
      <c r="H200" s="53" t="s">
        <v>25</v>
      </c>
      <c r="I200" s="75">
        <v>44593</v>
      </c>
      <c r="J200" s="76">
        <f ca="1">EFEITO!$J$200*EFEITO!$Y$200</f>
        <v>2430.9326375746882</v>
      </c>
      <c r="K200" s="76">
        <f>EFEITO!$L$200*EFEITO!$Z$200</f>
        <v>0</v>
      </c>
      <c r="L200" s="76">
        <f>EFEITO!$N$200*EFEITO!$AA$200</f>
        <v>0</v>
      </c>
      <c r="M200" s="76">
        <f ca="1">$J$200-EFEITO!$K$200*EFEITO!$Y$200</f>
        <v>1215.4663187873441</v>
      </c>
      <c r="N200" s="76">
        <f>$K$200-EFEITO!$M$200*EFEITO!$Z$200</f>
        <v>0</v>
      </c>
      <c r="O200" s="76">
        <f>$L$200-EFEITO!$O$200*EFEITO!$AA$200</f>
        <v>0</v>
      </c>
      <c r="P200" s="57"/>
      <c r="Q200" s="57"/>
      <c r="R200" s="57"/>
      <c r="S200" s="57"/>
      <c r="T200" s="57"/>
      <c r="U200" s="57"/>
      <c r="V200" s="57"/>
      <c r="W200" s="57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53" t="s">
        <v>21</v>
      </c>
      <c r="B201" s="53" t="s">
        <v>39</v>
      </c>
      <c r="C201" s="53" t="s">
        <v>59</v>
      </c>
      <c r="D201" s="53" t="s">
        <v>25</v>
      </c>
      <c r="E201" s="53" t="s">
        <v>25</v>
      </c>
      <c r="F201" s="53" t="s">
        <v>25</v>
      </c>
      <c r="G201" s="53" t="s">
        <v>63</v>
      </c>
      <c r="H201" s="53" t="s">
        <v>25</v>
      </c>
      <c r="I201" s="75">
        <v>44593</v>
      </c>
      <c r="J201" s="76">
        <f ca="1">EFEITO!$J$201*EFEITO!$Y$201</f>
        <v>2832.1545292132291</v>
      </c>
      <c r="K201" s="76">
        <f>EFEITO!$L$201*EFEITO!$Z$201</f>
        <v>0</v>
      </c>
      <c r="L201" s="76">
        <f>EFEITO!$N$201*EFEITO!$AA$201</f>
        <v>0</v>
      </c>
      <c r="M201" s="76">
        <f ca="1">$J$201-EFEITO!$K$201*EFEITO!$Y$201</f>
        <v>1416.0772646066146</v>
      </c>
      <c r="N201" s="76">
        <f>$K$201-EFEITO!$M$201*EFEITO!$Z$201</f>
        <v>0</v>
      </c>
      <c r="O201" s="76">
        <f>$L$201-EFEITO!$O$201*EFEITO!$AA$201</f>
        <v>0</v>
      </c>
      <c r="P201" s="57"/>
      <c r="Q201" s="57"/>
      <c r="R201" s="57"/>
      <c r="S201" s="57"/>
      <c r="T201" s="57"/>
      <c r="U201" s="57"/>
      <c r="V201" s="57"/>
      <c r="W201" s="57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53" t="s">
        <v>21</v>
      </c>
      <c r="B202" s="53" t="s">
        <v>39</v>
      </c>
      <c r="C202" s="53" t="s">
        <v>59</v>
      </c>
      <c r="D202" s="53" t="s">
        <v>25</v>
      </c>
      <c r="E202" s="53" t="s">
        <v>25</v>
      </c>
      <c r="F202" s="53" t="s">
        <v>25</v>
      </c>
      <c r="G202" s="53" t="s">
        <v>60</v>
      </c>
      <c r="H202" s="53" t="s">
        <v>25</v>
      </c>
      <c r="I202" s="75">
        <v>44621</v>
      </c>
      <c r="J202" s="76">
        <f ca="1">EFEITO!$J$202*EFEITO!$Y$202</f>
        <v>10620.579484549609</v>
      </c>
      <c r="K202" s="76">
        <f>EFEITO!$L$202*EFEITO!$Z$202</f>
        <v>0</v>
      </c>
      <c r="L202" s="76">
        <f>EFEITO!$N$202*EFEITO!$AA$202</f>
        <v>0</v>
      </c>
      <c r="M202" s="76">
        <f ca="1">$J$202-EFEITO!$K$202*EFEITO!$Y$202</f>
        <v>5310.2897422748047</v>
      </c>
      <c r="N202" s="76">
        <f>$K$202-EFEITO!$M$202*EFEITO!$Z$202</f>
        <v>0</v>
      </c>
      <c r="O202" s="76">
        <f>$L$202-EFEITO!$O$202*EFEITO!$AA$202</f>
        <v>0</v>
      </c>
      <c r="P202" s="57"/>
      <c r="Q202" s="57"/>
      <c r="R202" s="57"/>
      <c r="S202" s="57"/>
      <c r="T202" s="57"/>
      <c r="U202" s="57"/>
      <c r="V202" s="57"/>
      <c r="W202" s="57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53" t="s">
        <v>21</v>
      </c>
      <c r="B203" s="53" t="s">
        <v>39</v>
      </c>
      <c r="C203" s="53" t="s">
        <v>59</v>
      </c>
      <c r="D203" s="53" t="s">
        <v>25</v>
      </c>
      <c r="E203" s="53" t="s">
        <v>25</v>
      </c>
      <c r="F203" s="53" t="s">
        <v>25</v>
      </c>
      <c r="G203" s="53" t="s">
        <v>62</v>
      </c>
      <c r="H203" s="53" t="s">
        <v>25</v>
      </c>
      <c r="I203" s="75">
        <v>44621</v>
      </c>
      <c r="J203" s="76">
        <f ca="1">EFEITO!$J$203*EFEITO!$Y$203</f>
        <v>2430.9326375746882</v>
      </c>
      <c r="K203" s="76">
        <f>EFEITO!$L$203*EFEITO!$Z$203</f>
        <v>0</v>
      </c>
      <c r="L203" s="76">
        <f>EFEITO!$N$203*EFEITO!$AA$203</f>
        <v>0</v>
      </c>
      <c r="M203" s="76">
        <f ca="1">$J$203-EFEITO!$K$203*EFEITO!$Y$203</f>
        <v>1215.4663187873441</v>
      </c>
      <c r="N203" s="76">
        <f>$K$203-EFEITO!$M$203*EFEITO!$Z$203</f>
        <v>0</v>
      </c>
      <c r="O203" s="76">
        <f>$L$203-EFEITO!$O$203*EFEITO!$AA$203</f>
        <v>0</v>
      </c>
      <c r="P203" s="57"/>
      <c r="Q203" s="57"/>
      <c r="R203" s="57"/>
      <c r="S203" s="57"/>
      <c r="T203" s="57"/>
      <c r="U203" s="57"/>
      <c r="V203" s="57"/>
      <c r="W203" s="57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53" t="s">
        <v>21</v>
      </c>
      <c r="B204" s="53" t="s">
        <v>39</v>
      </c>
      <c r="C204" s="53" t="s">
        <v>59</v>
      </c>
      <c r="D204" s="53" t="s">
        <v>25</v>
      </c>
      <c r="E204" s="53" t="s">
        <v>25</v>
      </c>
      <c r="F204" s="53" t="s">
        <v>25</v>
      </c>
      <c r="G204" s="53" t="s">
        <v>63</v>
      </c>
      <c r="H204" s="53" t="s">
        <v>25</v>
      </c>
      <c r="I204" s="75">
        <v>44621</v>
      </c>
      <c r="J204" s="76">
        <f ca="1">EFEITO!$J$204*EFEITO!$Y$204</f>
        <v>2832.1545292132291</v>
      </c>
      <c r="K204" s="76">
        <f>EFEITO!$L$204*EFEITO!$Z$204</f>
        <v>0</v>
      </c>
      <c r="L204" s="76">
        <f>EFEITO!$N$204*EFEITO!$AA$204</f>
        <v>0</v>
      </c>
      <c r="M204" s="76">
        <f ca="1">$J$204-EFEITO!$K$204*EFEITO!$Y$204</f>
        <v>1416.0772646066146</v>
      </c>
      <c r="N204" s="76">
        <f>$K$204-EFEITO!$M$204*EFEITO!$Z$204</f>
        <v>0</v>
      </c>
      <c r="O204" s="76">
        <f>$L$204-EFEITO!$O$204*EFEITO!$AA$204</f>
        <v>0</v>
      </c>
      <c r="P204" s="57"/>
      <c r="Q204" s="57"/>
      <c r="R204" s="57"/>
      <c r="S204" s="57"/>
      <c r="T204" s="57"/>
      <c r="U204" s="57"/>
      <c r="V204" s="57"/>
      <c r="W204" s="57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53" t="s">
        <v>21</v>
      </c>
      <c r="B205" s="53" t="s">
        <v>39</v>
      </c>
      <c r="C205" s="53" t="s">
        <v>59</v>
      </c>
      <c r="D205" s="53" t="s">
        <v>25</v>
      </c>
      <c r="E205" s="53" t="s">
        <v>25</v>
      </c>
      <c r="F205" s="53" t="s">
        <v>25</v>
      </c>
      <c r="G205" s="53" t="s">
        <v>60</v>
      </c>
      <c r="H205" s="53" t="s">
        <v>25</v>
      </c>
      <c r="I205" s="75">
        <v>44652</v>
      </c>
      <c r="J205" s="76">
        <f ca="1">EFEITO!$J$205*EFEITO!$Y$205</f>
        <v>10620.579484549609</v>
      </c>
      <c r="K205" s="76">
        <f>EFEITO!$L$205*EFEITO!$Z$205</f>
        <v>0</v>
      </c>
      <c r="L205" s="76">
        <f>EFEITO!$N$205*EFEITO!$AA$205</f>
        <v>0</v>
      </c>
      <c r="M205" s="76">
        <f ca="1">$J$205-EFEITO!$K$205*EFEITO!$Y$205</f>
        <v>5310.2897422748047</v>
      </c>
      <c r="N205" s="76">
        <f>$K$205-EFEITO!$M$205*EFEITO!$Z$205</f>
        <v>0</v>
      </c>
      <c r="O205" s="76">
        <f>$L$205-EFEITO!$O$205*EFEITO!$AA$205</f>
        <v>0</v>
      </c>
      <c r="P205" s="57"/>
      <c r="Q205" s="57"/>
      <c r="R205" s="57"/>
      <c r="S205" s="57"/>
      <c r="T205" s="57"/>
      <c r="U205" s="57"/>
      <c r="V205" s="57"/>
      <c r="W205" s="57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53" t="s">
        <v>21</v>
      </c>
      <c r="B206" s="53" t="s">
        <v>39</v>
      </c>
      <c r="C206" s="53" t="s">
        <v>59</v>
      </c>
      <c r="D206" s="53" t="s">
        <v>25</v>
      </c>
      <c r="E206" s="53" t="s">
        <v>25</v>
      </c>
      <c r="F206" s="53" t="s">
        <v>25</v>
      </c>
      <c r="G206" s="53" t="s">
        <v>62</v>
      </c>
      <c r="H206" s="53" t="s">
        <v>25</v>
      </c>
      <c r="I206" s="75">
        <v>44652</v>
      </c>
      <c r="J206" s="76">
        <f ca="1">EFEITO!$J$206*EFEITO!$Y$206</f>
        <v>2430.9326375746882</v>
      </c>
      <c r="K206" s="76">
        <f>EFEITO!$L$206*EFEITO!$Z$206</f>
        <v>0</v>
      </c>
      <c r="L206" s="76">
        <f>EFEITO!$N$206*EFEITO!$AA$206</f>
        <v>0</v>
      </c>
      <c r="M206" s="76">
        <f ca="1">$J$206-EFEITO!$K$206*EFEITO!$Y$206</f>
        <v>1215.4663187873441</v>
      </c>
      <c r="N206" s="76">
        <f>$K$206-EFEITO!$M$206*EFEITO!$Z$206</f>
        <v>0</v>
      </c>
      <c r="O206" s="76">
        <f>$L$206-EFEITO!$O$206*EFEITO!$AA$206</f>
        <v>0</v>
      </c>
      <c r="P206" s="57"/>
      <c r="Q206" s="57"/>
      <c r="R206" s="57"/>
      <c r="S206" s="57"/>
      <c r="T206" s="57"/>
      <c r="U206" s="57"/>
      <c r="V206" s="57"/>
      <c r="W206" s="57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53" t="s">
        <v>21</v>
      </c>
      <c r="B207" s="53" t="s">
        <v>39</v>
      </c>
      <c r="C207" s="53" t="s">
        <v>59</v>
      </c>
      <c r="D207" s="53" t="s">
        <v>25</v>
      </c>
      <c r="E207" s="53" t="s">
        <v>25</v>
      </c>
      <c r="F207" s="53" t="s">
        <v>25</v>
      </c>
      <c r="G207" s="53" t="s">
        <v>63</v>
      </c>
      <c r="H207" s="53" t="s">
        <v>25</v>
      </c>
      <c r="I207" s="75">
        <v>44652</v>
      </c>
      <c r="J207" s="76">
        <f ca="1">EFEITO!$J$207*EFEITO!$Y$207</f>
        <v>2832.1545292132291</v>
      </c>
      <c r="K207" s="76">
        <f>EFEITO!$L$207*EFEITO!$Z$207</f>
        <v>0</v>
      </c>
      <c r="L207" s="76">
        <f>EFEITO!$N$207*EFEITO!$AA$207</f>
        <v>0</v>
      </c>
      <c r="M207" s="76">
        <f ca="1">$J$207-EFEITO!$K$207*EFEITO!$Y$207</f>
        <v>1416.0772646066146</v>
      </c>
      <c r="N207" s="76">
        <f>$K$207-EFEITO!$M$207*EFEITO!$Z$207</f>
        <v>0</v>
      </c>
      <c r="O207" s="76">
        <f>$L$207-EFEITO!$O$207*EFEITO!$AA$207</f>
        <v>0</v>
      </c>
      <c r="P207" s="57"/>
      <c r="Q207" s="57"/>
      <c r="R207" s="57"/>
      <c r="S207" s="57"/>
      <c r="T207" s="57"/>
      <c r="U207" s="57"/>
      <c r="V207" s="57"/>
      <c r="W207" s="57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53" t="s">
        <v>21</v>
      </c>
      <c r="B208" s="53" t="s">
        <v>39</v>
      </c>
      <c r="C208" s="53" t="s">
        <v>59</v>
      </c>
      <c r="D208" s="53" t="s">
        <v>25</v>
      </c>
      <c r="E208" s="53" t="s">
        <v>25</v>
      </c>
      <c r="F208" s="53" t="s">
        <v>25</v>
      </c>
      <c r="G208" s="53" t="s">
        <v>60</v>
      </c>
      <c r="H208" s="53" t="s">
        <v>25</v>
      </c>
      <c r="I208" s="75">
        <v>44682</v>
      </c>
      <c r="J208" s="76">
        <f ca="1">EFEITO!$J$208*EFEITO!$Y$208</f>
        <v>10620.579484549609</v>
      </c>
      <c r="K208" s="76">
        <f>EFEITO!$L$208*EFEITO!$Z$208</f>
        <v>0</v>
      </c>
      <c r="L208" s="76">
        <f>EFEITO!$N$208*EFEITO!$AA$208</f>
        <v>0</v>
      </c>
      <c r="M208" s="76">
        <f ca="1">$J$208-EFEITO!$K$208*EFEITO!$Y$208</f>
        <v>5310.2897422748047</v>
      </c>
      <c r="N208" s="76">
        <f>$K$208-EFEITO!$M$208*EFEITO!$Z$208</f>
        <v>0</v>
      </c>
      <c r="O208" s="76">
        <f>$L$208-EFEITO!$O$208*EFEITO!$AA$208</f>
        <v>0</v>
      </c>
      <c r="P208" s="57"/>
      <c r="Q208" s="57"/>
      <c r="R208" s="57"/>
      <c r="S208" s="57"/>
      <c r="T208" s="57"/>
      <c r="U208" s="57"/>
      <c r="V208" s="57"/>
      <c r="W208" s="57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53" t="s">
        <v>21</v>
      </c>
      <c r="B209" s="53" t="s">
        <v>39</v>
      </c>
      <c r="C209" s="53" t="s">
        <v>59</v>
      </c>
      <c r="D209" s="53" t="s">
        <v>25</v>
      </c>
      <c r="E209" s="53" t="s">
        <v>25</v>
      </c>
      <c r="F209" s="53" t="s">
        <v>25</v>
      </c>
      <c r="G209" s="53" t="s">
        <v>62</v>
      </c>
      <c r="H209" s="53" t="s">
        <v>25</v>
      </c>
      <c r="I209" s="75">
        <v>44682</v>
      </c>
      <c r="J209" s="76">
        <f ca="1">EFEITO!$J$209*EFEITO!$Y$209</f>
        <v>2430.9326375746882</v>
      </c>
      <c r="K209" s="76">
        <f>EFEITO!$L$209*EFEITO!$Z$209</f>
        <v>0</v>
      </c>
      <c r="L209" s="76">
        <f>EFEITO!$N$209*EFEITO!$AA$209</f>
        <v>0</v>
      </c>
      <c r="M209" s="76">
        <f ca="1">$J$209-EFEITO!$K$209*EFEITO!$Y$209</f>
        <v>1215.4663187873441</v>
      </c>
      <c r="N209" s="76">
        <f>$K$209-EFEITO!$M$209*EFEITO!$Z$209</f>
        <v>0</v>
      </c>
      <c r="O209" s="76">
        <f>$L$209-EFEITO!$O$209*EFEITO!$AA$209</f>
        <v>0</v>
      </c>
      <c r="P209" s="57"/>
      <c r="Q209" s="57"/>
      <c r="R209" s="57"/>
      <c r="S209" s="57"/>
      <c r="T209" s="57"/>
      <c r="U209" s="57"/>
      <c r="V209" s="57"/>
      <c r="W209" s="57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53" t="s">
        <v>21</v>
      </c>
      <c r="B210" s="53" t="s">
        <v>39</v>
      </c>
      <c r="C210" s="53" t="s">
        <v>59</v>
      </c>
      <c r="D210" s="53" t="s">
        <v>25</v>
      </c>
      <c r="E210" s="53" t="s">
        <v>25</v>
      </c>
      <c r="F210" s="53" t="s">
        <v>25</v>
      </c>
      <c r="G210" s="53" t="s">
        <v>63</v>
      </c>
      <c r="H210" s="53" t="s">
        <v>25</v>
      </c>
      <c r="I210" s="75">
        <v>44682</v>
      </c>
      <c r="J210" s="76">
        <f ca="1">EFEITO!$J$210*EFEITO!$Y$210</f>
        <v>2832.1545292132291</v>
      </c>
      <c r="K210" s="76">
        <f>EFEITO!$L$210*EFEITO!$Z$210</f>
        <v>0</v>
      </c>
      <c r="L210" s="76">
        <f>EFEITO!$N$210*EFEITO!$AA$210</f>
        <v>0</v>
      </c>
      <c r="M210" s="76">
        <f ca="1">$J$210-EFEITO!$K$210*EFEITO!$Y$210</f>
        <v>1416.0772646066146</v>
      </c>
      <c r="N210" s="76">
        <f>$K$210-EFEITO!$M$210*EFEITO!$Z$210</f>
        <v>0</v>
      </c>
      <c r="O210" s="76">
        <f>$L$210-EFEITO!$O$210*EFEITO!$AA$210</f>
        <v>0</v>
      </c>
      <c r="P210" s="57"/>
      <c r="Q210" s="57"/>
      <c r="R210" s="57"/>
      <c r="S210" s="57"/>
      <c r="T210" s="57"/>
      <c r="U210" s="57"/>
      <c r="V210" s="57"/>
      <c r="W210" s="57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53" t="s">
        <v>21</v>
      </c>
      <c r="B211" s="53" t="s">
        <v>39</v>
      </c>
      <c r="C211" s="53" t="s">
        <v>59</v>
      </c>
      <c r="D211" s="53" t="s">
        <v>25</v>
      </c>
      <c r="E211" s="53" t="s">
        <v>25</v>
      </c>
      <c r="F211" s="53" t="s">
        <v>25</v>
      </c>
      <c r="G211" s="53" t="s">
        <v>60</v>
      </c>
      <c r="H211" s="53" t="s">
        <v>25</v>
      </c>
      <c r="I211" s="75">
        <v>44713</v>
      </c>
      <c r="J211" s="76">
        <f ca="1">EFEITO!$J$211*EFEITO!$Y$211</f>
        <v>10620.579484549609</v>
      </c>
      <c r="K211" s="76">
        <f>EFEITO!$L$211*EFEITO!$Z$211</f>
        <v>0</v>
      </c>
      <c r="L211" s="76">
        <f>EFEITO!$N$211*EFEITO!$AA$211</f>
        <v>0</v>
      </c>
      <c r="M211" s="76">
        <f ca="1">$J$211-EFEITO!$K$211*EFEITO!$Y$211</f>
        <v>5310.2897422748047</v>
      </c>
      <c r="N211" s="76">
        <f>$K$211-EFEITO!$M$211*EFEITO!$Z$211</f>
        <v>0</v>
      </c>
      <c r="O211" s="76">
        <f>$L$211-EFEITO!$O$211*EFEITO!$AA$211</f>
        <v>0</v>
      </c>
      <c r="P211" s="57"/>
      <c r="Q211" s="57"/>
      <c r="R211" s="57"/>
      <c r="S211" s="57"/>
      <c r="T211" s="57"/>
      <c r="U211" s="57"/>
      <c r="V211" s="57"/>
      <c r="W211" s="57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53" t="s">
        <v>21</v>
      </c>
      <c r="B212" s="53" t="s">
        <v>39</v>
      </c>
      <c r="C212" s="53" t="s">
        <v>59</v>
      </c>
      <c r="D212" s="53" t="s">
        <v>25</v>
      </c>
      <c r="E212" s="53" t="s">
        <v>25</v>
      </c>
      <c r="F212" s="53" t="s">
        <v>25</v>
      </c>
      <c r="G212" s="53" t="s">
        <v>62</v>
      </c>
      <c r="H212" s="53" t="s">
        <v>25</v>
      </c>
      <c r="I212" s="75">
        <v>44713</v>
      </c>
      <c r="J212" s="76">
        <f ca="1">EFEITO!$J$212*EFEITO!$Y$212</f>
        <v>2430.9326375746882</v>
      </c>
      <c r="K212" s="76">
        <f>EFEITO!$L$212*EFEITO!$Z$212</f>
        <v>0</v>
      </c>
      <c r="L212" s="76">
        <f>EFEITO!$N$212*EFEITO!$AA$212</f>
        <v>0</v>
      </c>
      <c r="M212" s="76">
        <f ca="1">$J$212-EFEITO!$K$212*EFEITO!$Y$212</f>
        <v>1215.4663187873441</v>
      </c>
      <c r="N212" s="76">
        <f>$K$212-EFEITO!$M$212*EFEITO!$Z$212</f>
        <v>0</v>
      </c>
      <c r="O212" s="76">
        <f>$L$212-EFEITO!$O$212*EFEITO!$AA$212</f>
        <v>0</v>
      </c>
      <c r="P212" s="57"/>
      <c r="Q212" s="57"/>
      <c r="R212" s="57"/>
      <c r="S212" s="57"/>
      <c r="T212" s="57"/>
      <c r="U212" s="57"/>
      <c r="V212" s="57"/>
      <c r="W212" s="57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53" t="s">
        <v>21</v>
      </c>
      <c r="B213" s="53" t="s">
        <v>39</v>
      </c>
      <c r="C213" s="53" t="s">
        <v>59</v>
      </c>
      <c r="D213" s="53" t="s">
        <v>25</v>
      </c>
      <c r="E213" s="53" t="s">
        <v>25</v>
      </c>
      <c r="F213" s="53" t="s">
        <v>25</v>
      </c>
      <c r="G213" s="53" t="s">
        <v>63</v>
      </c>
      <c r="H213" s="53" t="s">
        <v>25</v>
      </c>
      <c r="I213" s="75">
        <v>44713</v>
      </c>
      <c r="J213" s="76">
        <f ca="1">EFEITO!$J$213*EFEITO!$Y$213</f>
        <v>2832.1545292132291</v>
      </c>
      <c r="K213" s="76">
        <f>EFEITO!$L$213*EFEITO!$Z$213</f>
        <v>0</v>
      </c>
      <c r="L213" s="76">
        <f>EFEITO!$N$213*EFEITO!$AA$213</f>
        <v>0</v>
      </c>
      <c r="M213" s="76">
        <f ca="1">$J$213-EFEITO!$K$213*EFEITO!$Y$213</f>
        <v>1416.0772646066146</v>
      </c>
      <c r="N213" s="76">
        <f>$K$213-EFEITO!$M$213*EFEITO!$Z$213</f>
        <v>0</v>
      </c>
      <c r="O213" s="76">
        <f>$L$213-EFEITO!$O$213*EFEITO!$AA$213</f>
        <v>0</v>
      </c>
      <c r="P213" s="57"/>
      <c r="Q213" s="57"/>
      <c r="R213" s="57"/>
      <c r="S213" s="57"/>
      <c r="T213" s="57"/>
      <c r="U213" s="57"/>
      <c r="V213" s="57"/>
      <c r="W213" s="57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53" t="s">
        <v>21</v>
      </c>
      <c r="B214" s="53" t="s">
        <v>39</v>
      </c>
      <c r="C214" s="53" t="s">
        <v>59</v>
      </c>
      <c r="D214" s="53" t="s">
        <v>25</v>
      </c>
      <c r="E214" s="53" t="s">
        <v>25</v>
      </c>
      <c r="F214" s="53" t="s">
        <v>25</v>
      </c>
      <c r="G214" s="53" t="s">
        <v>60</v>
      </c>
      <c r="H214" s="53" t="s">
        <v>25</v>
      </c>
      <c r="I214" s="75">
        <v>44743</v>
      </c>
      <c r="J214" s="76">
        <f ca="1">EFEITO!$J$214*EFEITO!$Y$214</f>
        <v>10620.579484549609</v>
      </c>
      <c r="K214" s="76">
        <f>EFEITO!$L$214*EFEITO!$Z$214</f>
        <v>0</v>
      </c>
      <c r="L214" s="76">
        <f>EFEITO!$N$214*EFEITO!$AA$214</f>
        <v>0</v>
      </c>
      <c r="M214" s="76">
        <f ca="1">$J$214-EFEITO!$K$214*EFEITO!$Y$214</f>
        <v>5310.2897422748047</v>
      </c>
      <c r="N214" s="76">
        <f>$K$214-EFEITO!$M$214*EFEITO!$Z$214</f>
        <v>0</v>
      </c>
      <c r="O214" s="76">
        <f>$L$214-EFEITO!$O$214*EFEITO!$AA$214</f>
        <v>0</v>
      </c>
      <c r="P214" s="57"/>
      <c r="Q214" s="57"/>
      <c r="R214" s="57"/>
      <c r="S214" s="57"/>
      <c r="T214" s="57"/>
      <c r="U214" s="57"/>
      <c r="V214" s="57"/>
      <c r="W214" s="57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53" t="s">
        <v>21</v>
      </c>
      <c r="B215" s="53" t="s">
        <v>39</v>
      </c>
      <c r="C215" s="53" t="s">
        <v>59</v>
      </c>
      <c r="D215" s="53" t="s">
        <v>25</v>
      </c>
      <c r="E215" s="53" t="s">
        <v>25</v>
      </c>
      <c r="F215" s="53" t="s">
        <v>25</v>
      </c>
      <c r="G215" s="53" t="s">
        <v>62</v>
      </c>
      <c r="H215" s="53" t="s">
        <v>25</v>
      </c>
      <c r="I215" s="75">
        <v>44743</v>
      </c>
      <c r="J215" s="76">
        <f ca="1">EFEITO!$J$215*EFEITO!$Y$215</f>
        <v>2430.9326375746882</v>
      </c>
      <c r="K215" s="76">
        <f>EFEITO!$L$215*EFEITO!$Z$215</f>
        <v>0</v>
      </c>
      <c r="L215" s="76">
        <f>EFEITO!$N$215*EFEITO!$AA$215</f>
        <v>0</v>
      </c>
      <c r="M215" s="76">
        <f ca="1">$J$215-EFEITO!$K$215*EFEITO!$Y$215</f>
        <v>1215.4663187873441</v>
      </c>
      <c r="N215" s="76">
        <f>$K$215-EFEITO!$M$215*EFEITO!$Z$215</f>
        <v>0</v>
      </c>
      <c r="O215" s="76">
        <f>$L$215-EFEITO!$O$215*EFEITO!$AA$215</f>
        <v>0</v>
      </c>
      <c r="P215" s="57"/>
      <c r="Q215" s="57"/>
      <c r="R215" s="57"/>
      <c r="S215" s="57"/>
      <c r="T215" s="57"/>
      <c r="U215" s="57"/>
      <c r="V215" s="57"/>
      <c r="W215" s="57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53" t="s">
        <v>21</v>
      </c>
      <c r="B216" s="53" t="s">
        <v>39</v>
      </c>
      <c r="C216" s="53" t="s">
        <v>59</v>
      </c>
      <c r="D216" s="53" t="s">
        <v>25</v>
      </c>
      <c r="E216" s="53" t="s">
        <v>25</v>
      </c>
      <c r="F216" s="53" t="s">
        <v>25</v>
      </c>
      <c r="G216" s="53" t="s">
        <v>63</v>
      </c>
      <c r="H216" s="53" t="s">
        <v>25</v>
      </c>
      <c r="I216" s="75">
        <v>44743</v>
      </c>
      <c r="J216" s="76">
        <f ca="1">EFEITO!$J$216*EFEITO!$Y$216</f>
        <v>2832.1545292132291</v>
      </c>
      <c r="K216" s="76">
        <f>EFEITO!$L$216*EFEITO!$Z$216</f>
        <v>0</v>
      </c>
      <c r="L216" s="76">
        <f>EFEITO!$N$216*EFEITO!$AA$216</f>
        <v>0</v>
      </c>
      <c r="M216" s="76">
        <f ca="1">$J$216-EFEITO!$K$216*EFEITO!$Y$216</f>
        <v>1416.0772646066146</v>
      </c>
      <c r="N216" s="76">
        <f>$K$216-EFEITO!$M$216*EFEITO!$Z$216</f>
        <v>0</v>
      </c>
      <c r="O216" s="76">
        <f>$L$216-EFEITO!$O$216*EFEITO!$AA$216</f>
        <v>0</v>
      </c>
      <c r="P216" s="57"/>
      <c r="Q216" s="57"/>
      <c r="R216" s="57"/>
      <c r="S216" s="57"/>
      <c r="T216" s="57"/>
      <c r="U216" s="57"/>
      <c r="V216" s="57"/>
      <c r="W216" s="57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53" t="s">
        <v>56</v>
      </c>
      <c r="B217" s="53" t="s">
        <v>39</v>
      </c>
      <c r="C217" s="53" t="s">
        <v>59</v>
      </c>
      <c r="D217" s="53" t="s">
        <v>25</v>
      </c>
      <c r="E217" s="53" t="s">
        <v>25</v>
      </c>
      <c r="F217" s="53" t="s">
        <v>25</v>
      </c>
      <c r="G217" s="53" t="s">
        <v>60</v>
      </c>
      <c r="H217" s="53" t="s">
        <v>25</v>
      </c>
      <c r="I217" s="75">
        <v>44774</v>
      </c>
      <c r="J217" s="76">
        <f ca="1">EFEITO!$J$217*EFEITO!$Y$217</f>
        <v>10620.579484549609</v>
      </c>
      <c r="K217" s="76">
        <f>EFEITO!$L$217*EFEITO!$Z$217</f>
        <v>0</v>
      </c>
      <c r="L217" s="76">
        <f>EFEITO!$N$217*EFEITO!$AA$217</f>
        <v>0</v>
      </c>
      <c r="M217" s="76">
        <f ca="1">$J$217-EFEITO!$K$217*EFEITO!$Y$217</f>
        <v>5310.2897422748047</v>
      </c>
      <c r="N217" s="76">
        <f>$K$217-EFEITO!$M$217*EFEITO!$Z$217</f>
        <v>0</v>
      </c>
      <c r="O217" s="76">
        <f>$L$217-EFEITO!$O$217*EFEITO!$AA$217</f>
        <v>0</v>
      </c>
      <c r="P217" s="57"/>
      <c r="Q217" s="57"/>
      <c r="R217" s="57"/>
      <c r="S217" s="57"/>
      <c r="T217" s="57"/>
      <c r="U217" s="57"/>
      <c r="V217" s="57"/>
      <c r="W217" s="57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53" t="s">
        <v>56</v>
      </c>
      <c r="B218" s="53" t="s">
        <v>39</v>
      </c>
      <c r="C218" s="53" t="s">
        <v>59</v>
      </c>
      <c r="D218" s="53" t="s">
        <v>25</v>
      </c>
      <c r="E218" s="53" t="s">
        <v>25</v>
      </c>
      <c r="F218" s="53" t="s">
        <v>25</v>
      </c>
      <c r="G218" s="53" t="s">
        <v>62</v>
      </c>
      <c r="H218" s="53" t="s">
        <v>25</v>
      </c>
      <c r="I218" s="75">
        <v>44774</v>
      </c>
      <c r="J218" s="76">
        <f ca="1">EFEITO!$J$218*EFEITO!$Y$218</f>
        <v>2430.9326375746882</v>
      </c>
      <c r="K218" s="76">
        <f>EFEITO!$L$218*EFEITO!$Z$218</f>
        <v>0</v>
      </c>
      <c r="L218" s="76">
        <f>EFEITO!$N$218*EFEITO!$AA$218</f>
        <v>0</v>
      </c>
      <c r="M218" s="76">
        <f ca="1">$J$218-EFEITO!$K$218*EFEITO!$Y$218</f>
        <v>1215.4663187873441</v>
      </c>
      <c r="N218" s="76">
        <f>$K$218-EFEITO!$M$218*EFEITO!$Z$218</f>
        <v>0</v>
      </c>
      <c r="O218" s="76">
        <f>$L$218-EFEITO!$O$218*EFEITO!$AA$218</f>
        <v>0</v>
      </c>
      <c r="P218" s="57"/>
      <c r="Q218" s="57"/>
      <c r="R218" s="57"/>
      <c r="S218" s="57"/>
      <c r="T218" s="57"/>
      <c r="U218" s="57"/>
      <c r="V218" s="57"/>
      <c r="W218" s="57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53" t="s">
        <v>56</v>
      </c>
      <c r="B219" s="53" t="s">
        <v>39</v>
      </c>
      <c r="C219" s="53" t="s">
        <v>59</v>
      </c>
      <c r="D219" s="53" t="s">
        <v>25</v>
      </c>
      <c r="E219" s="53" t="s">
        <v>25</v>
      </c>
      <c r="F219" s="53" t="s">
        <v>25</v>
      </c>
      <c r="G219" s="53" t="s">
        <v>63</v>
      </c>
      <c r="H219" s="53" t="s">
        <v>25</v>
      </c>
      <c r="I219" s="75">
        <v>44774</v>
      </c>
      <c r="J219" s="76">
        <f ca="1">EFEITO!$J$219*EFEITO!$Y$219</f>
        <v>2832.1545292132291</v>
      </c>
      <c r="K219" s="76">
        <f>EFEITO!$L$219*EFEITO!$Z$219</f>
        <v>0</v>
      </c>
      <c r="L219" s="76">
        <f>EFEITO!$N$219*EFEITO!$AA$219</f>
        <v>0</v>
      </c>
      <c r="M219" s="76">
        <f ca="1">$J$219-EFEITO!$K$219*EFEITO!$Y$219</f>
        <v>1416.0772646066146</v>
      </c>
      <c r="N219" s="76">
        <f>$K$219-EFEITO!$M$219*EFEITO!$Z$219</f>
        <v>0</v>
      </c>
      <c r="O219" s="76">
        <f>$L$219-EFEITO!$O$219*EFEITO!$AA$219</f>
        <v>0</v>
      </c>
      <c r="P219" s="57"/>
      <c r="Q219" s="57"/>
      <c r="R219" s="57"/>
      <c r="S219" s="57"/>
      <c r="T219" s="57"/>
      <c r="U219" s="57"/>
      <c r="V219" s="57"/>
      <c r="W219" s="57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53" t="s">
        <v>21</v>
      </c>
      <c r="B220" s="53" t="s">
        <v>39</v>
      </c>
      <c r="C220" s="53" t="s">
        <v>40</v>
      </c>
      <c r="D220" s="53" t="s">
        <v>41</v>
      </c>
      <c r="E220" s="53" t="s">
        <v>25</v>
      </c>
      <c r="F220" s="53" t="s">
        <v>25</v>
      </c>
      <c r="G220" s="53" t="s">
        <v>25</v>
      </c>
      <c r="H220" s="53" t="s">
        <v>35</v>
      </c>
      <c r="I220" s="75">
        <v>44440</v>
      </c>
      <c r="J220" s="76">
        <f>EFEITO!$J$220*EFEITO!$Y$220</f>
        <v>0</v>
      </c>
      <c r="K220" s="76">
        <f ca="1">EFEITO!$L$220*EFEITO!$Z$220</f>
        <v>189882.91739933667</v>
      </c>
      <c r="L220" s="76">
        <f>EFEITO!$N$220*EFEITO!$AA$220</f>
        <v>391161.37191407109</v>
      </c>
      <c r="M220" s="76">
        <f>$J$220-EFEITO!$K$220*EFEITO!$Y$220</f>
        <v>0</v>
      </c>
      <c r="N220" s="76">
        <f ca="1">$K$220-EFEITO!$M$220*EFEITO!$Z$220</f>
        <v>0</v>
      </c>
      <c r="O220" s="76">
        <f>$L$220-EFEITO!$O$220*EFEITO!$AA$220</f>
        <v>0</v>
      </c>
      <c r="P220" s="57"/>
      <c r="Q220" s="57"/>
      <c r="R220" s="57"/>
      <c r="S220" s="57"/>
      <c r="T220" s="57"/>
      <c r="U220" s="57"/>
      <c r="V220" s="57"/>
      <c r="W220" s="57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53" t="s">
        <v>28</v>
      </c>
      <c r="B221" s="53" t="s">
        <v>39</v>
      </c>
      <c r="C221" s="53" t="s">
        <v>40</v>
      </c>
      <c r="D221" s="53" t="s">
        <v>41</v>
      </c>
      <c r="E221" s="53" t="s">
        <v>25</v>
      </c>
      <c r="F221" s="53" t="s">
        <v>25</v>
      </c>
      <c r="G221" s="53" t="s">
        <v>25</v>
      </c>
      <c r="H221" s="53" t="s">
        <v>35</v>
      </c>
      <c r="I221" s="75">
        <v>44440</v>
      </c>
      <c r="J221" s="76">
        <f>EFEITO!$J$221*EFEITO!$Y$221</f>
        <v>0</v>
      </c>
      <c r="K221" s="76">
        <f ca="1">EFEITO!$L$221*EFEITO!$Z$221</f>
        <v>2297.9076744638915</v>
      </c>
      <c r="L221" s="76">
        <f>EFEITO!$N$221*EFEITO!$AA$221</f>
        <v>4733.7208148367572</v>
      </c>
      <c r="M221" s="76">
        <f>$J$221-EFEITO!$K$221*EFEITO!$Y$221</f>
        <v>0</v>
      </c>
      <c r="N221" s="76">
        <f ca="1">$K$221-EFEITO!$M$221*EFEITO!$Z$221</f>
        <v>0</v>
      </c>
      <c r="O221" s="76">
        <f>$L$221-EFEITO!$O$221*EFEITO!$AA$221</f>
        <v>0</v>
      </c>
      <c r="P221" s="57"/>
      <c r="Q221" s="57"/>
      <c r="R221" s="57"/>
      <c r="S221" s="57"/>
      <c r="T221" s="57"/>
      <c r="U221" s="57"/>
      <c r="V221" s="57"/>
      <c r="W221" s="57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53" t="s">
        <v>21</v>
      </c>
      <c r="B222" s="53" t="s">
        <v>39</v>
      </c>
      <c r="C222" s="53" t="s">
        <v>40</v>
      </c>
      <c r="D222" s="53" t="s">
        <v>41</v>
      </c>
      <c r="E222" s="53" t="s">
        <v>25</v>
      </c>
      <c r="F222" s="53" t="s">
        <v>25</v>
      </c>
      <c r="G222" s="53" t="s">
        <v>25</v>
      </c>
      <c r="H222" s="53" t="s">
        <v>35</v>
      </c>
      <c r="I222" s="75">
        <v>44470</v>
      </c>
      <c r="J222" s="76">
        <f>EFEITO!$J$222*EFEITO!$Y$222</f>
        <v>0</v>
      </c>
      <c r="K222" s="76">
        <f ca="1">EFEITO!$L$222*EFEITO!$Z$222</f>
        <v>204681.31258789005</v>
      </c>
      <c r="L222" s="76">
        <f>EFEITO!$N$222*EFEITO!$AA$222</f>
        <v>421646.26567577478</v>
      </c>
      <c r="M222" s="76">
        <f>$J$222-EFEITO!$K$222*EFEITO!$Y$222</f>
        <v>0</v>
      </c>
      <c r="N222" s="76">
        <f ca="1">$K$222-EFEITO!$M$222*EFEITO!$Z$222</f>
        <v>0</v>
      </c>
      <c r="O222" s="76">
        <f>$L$222-EFEITO!$O$222*EFEITO!$AA$222</f>
        <v>0</v>
      </c>
      <c r="P222" s="57"/>
      <c r="Q222" s="57"/>
      <c r="R222" s="57"/>
      <c r="S222" s="57"/>
      <c r="T222" s="57"/>
      <c r="U222" s="57"/>
      <c r="V222" s="57"/>
      <c r="W222" s="57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53" t="s">
        <v>28</v>
      </c>
      <c r="B223" s="53" t="s">
        <v>39</v>
      </c>
      <c r="C223" s="53" t="s">
        <v>40</v>
      </c>
      <c r="D223" s="53" t="s">
        <v>41</v>
      </c>
      <c r="E223" s="53" t="s">
        <v>25</v>
      </c>
      <c r="F223" s="53" t="s">
        <v>25</v>
      </c>
      <c r="G223" s="53" t="s">
        <v>25</v>
      </c>
      <c r="H223" s="53" t="s">
        <v>35</v>
      </c>
      <c r="I223" s="75">
        <v>44470</v>
      </c>
      <c r="J223" s="76">
        <f>EFEITO!$J$223*EFEITO!$Y$223</f>
        <v>0</v>
      </c>
      <c r="K223" s="76">
        <f ca="1">EFEITO!$L$223*EFEITO!$Z$223</f>
        <v>1663.7520497406501</v>
      </c>
      <c r="L223" s="76">
        <f>EFEITO!$N$223*EFEITO!$AA$223</f>
        <v>3427.3516713077111</v>
      </c>
      <c r="M223" s="76">
        <f>$J$223-EFEITO!$K$223*EFEITO!$Y$223</f>
        <v>0</v>
      </c>
      <c r="N223" s="76">
        <f ca="1">$K$223-EFEITO!$M$223*EFEITO!$Z$223</f>
        <v>0</v>
      </c>
      <c r="O223" s="76">
        <f>$L$223-EFEITO!$O$223*EFEITO!$AA$223</f>
        <v>0</v>
      </c>
      <c r="P223" s="57"/>
      <c r="Q223" s="57"/>
      <c r="R223" s="57"/>
      <c r="S223" s="57"/>
      <c r="T223" s="57"/>
      <c r="U223" s="57"/>
      <c r="V223" s="57"/>
      <c r="W223" s="57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53" t="s">
        <v>21</v>
      </c>
      <c r="B224" s="53" t="s">
        <v>39</v>
      </c>
      <c r="C224" s="53" t="s">
        <v>40</v>
      </c>
      <c r="D224" s="53" t="s">
        <v>41</v>
      </c>
      <c r="E224" s="53" t="s">
        <v>25</v>
      </c>
      <c r="F224" s="53" t="s">
        <v>25</v>
      </c>
      <c r="G224" s="53" t="s">
        <v>25</v>
      </c>
      <c r="H224" s="53" t="s">
        <v>35</v>
      </c>
      <c r="I224" s="75">
        <v>44501</v>
      </c>
      <c r="J224" s="76">
        <f>EFEITO!$J$224*EFEITO!$Y$224</f>
        <v>0</v>
      </c>
      <c r="K224" s="76">
        <f ca="1">EFEITO!$L$224*EFEITO!$Z$224</f>
        <v>185598.92606471272</v>
      </c>
      <c r="L224" s="76">
        <f>EFEITO!$N$224*EFEITO!$AA$224</f>
        <v>382336.29196127411</v>
      </c>
      <c r="M224" s="76">
        <f>$J$224-EFEITO!$K$224*EFEITO!$Y$224</f>
        <v>0</v>
      </c>
      <c r="N224" s="76">
        <f ca="1">$K$224-EFEITO!$M$224*EFEITO!$Z$224</f>
        <v>0</v>
      </c>
      <c r="O224" s="76">
        <f>$L$224-EFEITO!$O$224*EFEITO!$AA$224</f>
        <v>0</v>
      </c>
      <c r="P224" s="57"/>
      <c r="Q224" s="57"/>
      <c r="R224" s="57"/>
      <c r="S224" s="57"/>
      <c r="T224" s="57"/>
      <c r="U224" s="57"/>
      <c r="V224" s="57"/>
      <c r="W224" s="57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53" t="s">
        <v>28</v>
      </c>
      <c r="B225" s="53" t="s">
        <v>39</v>
      </c>
      <c r="C225" s="53" t="s">
        <v>40</v>
      </c>
      <c r="D225" s="53" t="s">
        <v>41</v>
      </c>
      <c r="E225" s="53" t="s">
        <v>25</v>
      </c>
      <c r="F225" s="53" t="s">
        <v>25</v>
      </c>
      <c r="G225" s="53" t="s">
        <v>25</v>
      </c>
      <c r="H225" s="53" t="s">
        <v>35</v>
      </c>
      <c r="I225" s="75">
        <v>44501</v>
      </c>
      <c r="J225" s="76">
        <f>EFEITO!$J$225*EFEITO!$Y$225</f>
        <v>0</v>
      </c>
      <c r="K225" s="76">
        <f ca="1">EFEITO!$L$225*EFEITO!$Z$225</f>
        <v>1040.4000097559838</v>
      </c>
      <c r="L225" s="76">
        <f>EFEITO!$N$225*EFEITO!$AA$225</f>
        <v>2143.2380581118314</v>
      </c>
      <c r="M225" s="76">
        <f>$J$225-EFEITO!$K$225*EFEITO!$Y$225</f>
        <v>0</v>
      </c>
      <c r="N225" s="76">
        <f ca="1">$K$225-EFEITO!$M$225*EFEITO!$Z$225</f>
        <v>0</v>
      </c>
      <c r="O225" s="76">
        <f>$L$225-EFEITO!$O$225*EFEITO!$AA$225</f>
        <v>0</v>
      </c>
      <c r="P225" s="57"/>
      <c r="Q225" s="57"/>
      <c r="R225" s="57"/>
      <c r="S225" s="57"/>
      <c r="T225" s="57"/>
      <c r="U225" s="57"/>
      <c r="V225" s="57"/>
      <c r="W225" s="57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53" t="s">
        <v>21</v>
      </c>
      <c r="B226" s="53" t="s">
        <v>39</v>
      </c>
      <c r="C226" s="53" t="s">
        <v>40</v>
      </c>
      <c r="D226" s="53" t="s">
        <v>41</v>
      </c>
      <c r="E226" s="53" t="s">
        <v>25</v>
      </c>
      <c r="F226" s="53" t="s">
        <v>25</v>
      </c>
      <c r="G226" s="53" t="s">
        <v>25</v>
      </c>
      <c r="H226" s="53" t="s">
        <v>35</v>
      </c>
      <c r="I226" s="75">
        <v>44531</v>
      </c>
      <c r="J226" s="76">
        <f>EFEITO!$J$226*EFEITO!$Y$226</f>
        <v>0</v>
      </c>
      <c r="K226" s="76">
        <f ca="1">EFEITO!$L$226*EFEITO!$Z$226</f>
        <v>198082.54222729261</v>
      </c>
      <c r="L226" s="76">
        <f>EFEITO!$N$226*EFEITO!$AA$226</f>
        <v>408052.70969638776</v>
      </c>
      <c r="M226" s="76">
        <f>$J$226-EFEITO!$K$226*EFEITO!$Y$226</f>
        <v>0</v>
      </c>
      <c r="N226" s="76">
        <f ca="1">$K$226-EFEITO!$M$226*EFEITO!$Z$226</f>
        <v>0</v>
      </c>
      <c r="O226" s="76">
        <f>$L$226-EFEITO!$O$226*EFEITO!$AA$226</f>
        <v>0</v>
      </c>
      <c r="P226" s="57"/>
      <c r="Q226" s="57"/>
      <c r="R226" s="57"/>
      <c r="S226" s="57"/>
      <c r="T226" s="57"/>
      <c r="U226" s="57"/>
      <c r="V226" s="57"/>
      <c r="W226" s="57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53" t="s">
        <v>28</v>
      </c>
      <c r="B227" s="53" t="s">
        <v>39</v>
      </c>
      <c r="C227" s="53" t="s">
        <v>40</v>
      </c>
      <c r="D227" s="53" t="s">
        <v>41</v>
      </c>
      <c r="E227" s="53" t="s">
        <v>25</v>
      </c>
      <c r="F227" s="53" t="s">
        <v>25</v>
      </c>
      <c r="G227" s="53" t="s">
        <v>25</v>
      </c>
      <c r="H227" s="53" t="s">
        <v>35</v>
      </c>
      <c r="I227" s="75">
        <v>44531</v>
      </c>
      <c r="J227" s="76">
        <f>EFEITO!$J$227*EFEITO!$Y$227</f>
        <v>0</v>
      </c>
      <c r="K227" s="76">
        <f ca="1">EFEITO!$L$227*EFEITO!$Z$227</f>
        <v>1329.7288887137288</v>
      </c>
      <c r="L227" s="76">
        <f>EFEITO!$N$227*EFEITO!$AA$227</f>
        <v>2739.2594526507542</v>
      </c>
      <c r="M227" s="76">
        <f>$J$227-EFEITO!$K$227*EFEITO!$Y$227</f>
        <v>0</v>
      </c>
      <c r="N227" s="76">
        <f ca="1">$K$227-EFEITO!$M$227*EFEITO!$Z$227</f>
        <v>0</v>
      </c>
      <c r="O227" s="76">
        <f>$L$227-EFEITO!$O$227*EFEITO!$AA$227</f>
        <v>0</v>
      </c>
      <c r="P227" s="57"/>
      <c r="Q227" s="57"/>
      <c r="R227" s="57"/>
      <c r="S227" s="57"/>
      <c r="T227" s="57"/>
      <c r="U227" s="57"/>
      <c r="V227" s="57"/>
      <c r="W227" s="57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53" t="s">
        <v>21</v>
      </c>
      <c r="B228" s="53" t="s">
        <v>39</v>
      </c>
      <c r="C228" s="53" t="s">
        <v>40</v>
      </c>
      <c r="D228" s="53" t="s">
        <v>41</v>
      </c>
      <c r="E228" s="53" t="s">
        <v>25</v>
      </c>
      <c r="F228" s="53" t="s">
        <v>25</v>
      </c>
      <c r="G228" s="53" t="s">
        <v>25</v>
      </c>
      <c r="H228" s="53" t="s">
        <v>35</v>
      </c>
      <c r="I228" s="75">
        <v>44562</v>
      </c>
      <c r="J228" s="76">
        <f>EFEITO!$J$228*EFEITO!$Y$228</f>
        <v>0</v>
      </c>
      <c r="K228" s="76">
        <f ca="1">EFEITO!$L$228*EFEITO!$Z$228</f>
        <v>201982.93230654139</v>
      </c>
      <c r="L228" s="76">
        <f>EFEITO!$N$228*EFEITO!$AA$228</f>
        <v>416087.56588721811</v>
      </c>
      <c r="M228" s="76">
        <f>$J$228-EFEITO!$K$228*EFEITO!$Y$228</f>
        <v>0</v>
      </c>
      <c r="N228" s="76">
        <f ca="1">$K$228-EFEITO!$M$228*EFEITO!$Z$228</f>
        <v>0</v>
      </c>
      <c r="O228" s="76">
        <f>$L$228-EFEITO!$O$228*EFEITO!$AA$228</f>
        <v>0</v>
      </c>
      <c r="P228" s="57"/>
      <c r="Q228" s="57"/>
      <c r="R228" s="57"/>
      <c r="S228" s="57"/>
      <c r="T228" s="57"/>
      <c r="U228" s="57"/>
      <c r="V228" s="57"/>
      <c r="W228" s="57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53" t="s">
        <v>28</v>
      </c>
      <c r="B229" s="53" t="s">
        <v>39</v>
      </c>
      <c r="C229" s="53" t="s">
        <v>40</v>
      </c>
      <c r="D229" s="53" t="s">
        <v>41</v>
      </c>
      <c r="E229" s="53" t="s">
        <v>25</v>
      </c>
      <c r="F229" s="53" t="s">
        <v>25</v>
      </c>
      <c r="G229" s="53" t="s">
        <v>25</v>
      </c>
      <c r="H229" s="53" t="s">
        <v>35</v>
      </c>
      <c r="I229" s="75">
        <v>44562</v>
      </c>
      <c r="J229" s="76">
        <f>EFEITO!$J$229*EFEITO!$Y$229</f>
        <v>0</v>
      </c>
      <c r="K229" s="76">
        <f ca="1">EFEITO!$L$229*EFEITO!$Z$229</f>
        <v>645.6991810192543</v>
      </c>
      <c r="L229" s="76">
        <f>EFEITO!$N$229*EFEITO!$AA$229</f>
        <v>1330.1490252548963</v>
      </c>
      <c r="M229" s="76">
        <f>$J$229-EFEITO!$K$229*EFEITO!$Y$229</f>
        <v>0</v>
      </c>
      <c r="N229" s="76">
        <f ca="1">$K$229-EFEITO!$M$229*EFEITO!$Z$229</f>
        <v>0</v>
      </c>
      <c r="O229" s="76">
        <f>$L$229-EFEITO!$O$229*EFEITO!$AA$229</f>
        <v>0</v>
      </c>
      <c r="P229" s="57"/>
      <c r="Q229" s="57"/>
      <c r="R229" s="57"/>
      <c r="S229" s="57"/>
      <c r="T229" s="57"/>
      <c r="U229" s="57"/>
      <c r="V229" s="57"/>
      <c r="W229" s="57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53" t="s">
        <v>21</v>
      </c>
      <c r="B230" s="53" t="s">
        <v>39</v>
      </c>
      <c r="C230" s="53" t="s">
        <v>40</v>
      </c>
      <c r="D230" s="53" t="s">
        <v>41</v>
      </c>
      <c r="E230" s="53" t="s">
        <v>25</v>
      </c>
      <c r="F230" s="53" t="s">
        <v>25</v>
      </c>
      <c r="G230" s="53" t="s">
        <v>25</v>
      </c>
      <c r="H230" s="53" t="s">
        <v>35</v>
      </c>
      <c r="I230" s="75">
        <v>44593</v>
      </c>
      <c r="J230" s="76">
        <f>EFEITO!$J$230*EFEITO!$Y$230</f>
        <v>0</v>
      </c>
      <c r="K230" s="76">
        <f ca="1">EFEITO!$L$230*EFEITO!$Z$230</f>
        <v>207501.49218759272</v>
      </c>
      <c r="L230" s="76">
        <f>EFEITO!$N$230*EFEITO!$AA$230</f>
        <v>427455.8737035669</v>
      </c>
      <c r="M230" s="76">
        <f>$J$230-EFEITO!$K$230*EFEITO!$Y$230</f>
        <v>0</v>
      </c>
      <c r="N230" s="76">
        <f ca="1">$K$230-EFEITO!$M$230*EFEITO!$Z$230</f>
        <v>0</v>
      </c>
      <c r="O230" s="76">
        <f>$L$230-EFEITO!$O$230*EFEITO!$AA$230</f>
        <v>0</v>
      </c>
      <c r="P230" s="57"/>
      <c r="Q230" s="57"/>
      <c r="R230" s="57"/>
      <c r="S230" s="57"/>
      <c r="T230" s="57"/>
      <c r="U230" s="57"/>
      <c r="V230" s="57"/>
      <c r="W230" s="57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53" t="s">
        <v>28</v>
      </c>
      <c r="B231" s="53" t="s">
        <v>39</v>
      </c>
      <c r="C231" s="53" t="s">
        <v>40</v>
      </c>
      <c r="D231" s="53" t="s">
        <v>41</v>
      </c>
      <c r="E231" s="53" t="s">
        <v>25</v>
      </c>
      <c r="F231" s="53" t="s">
        <v>25</v>
      </c>
      <c r="G231" s="53" t="s">
        <v>25</v>
      </c>
      <c r="H231" s="53" t="s">
        <v>35</v>
      </c>
      <c r="I231" s="75">
        <v>44593</v>
      </c>
      <c r="J231" s="76">
        <f>EFEITO!$J$231*EFEITO!$Y$231</f>
        <v>0</v>
      </c>
      <c r="K231" s="76">
        <f ca="1">EFEITO!$L$231*EFEITO!$Z$231</f>
        <v>206.15607590186136</v>
      </c>
      <c r="L231" s="76">
        <f>EFEITO!$N$231*EFEITO!$AA$231</f>
        <v>424.68429800139131</v>
      </c>
      <c r="M231" s="76">
        <f>$J$231-EFEITO!$K$231*EFEITO!$Y$231</f>
        <v>0</v>
      </c>
      <c r="N231" s="76">
        <f ca="1">$K$231-EFEITO!$M$231*EFEITO!$Z$231</f>
        <v>0</v>
      </c>
      <c r="O231" s="76">
        <f>$L$231-EFEITO!$O$231*EFEITO!$AA$231</f>
        <v>0</v>
      </c>
      <c r="P231" s="57"/>
      <c r="Q231" s="57"/>
      <c r="R231" s="57"/>
      <c r="S231" s="57"/>
      <c r="T231" s="57"/>
      <c r="U231" s="57"/>
      <c r="V231" s="57"/>
      <c r="W231" s="57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53" t="s">
        <v>21</v>
      </c>
      <c r="B232" s="53" t="s">
        <v>39</v>
      </c>
      <c r="C232" s="53" t="s">
        <v>40</v>
      </c>
      <c r="D232" s="53" t="s">
        <v>41</v>
      </c>
      <c r="E232" s="53" t="s">
        <v>25</v>
      </c>
      <c r="F232" s="53" t="s">
        <v>25</v>
      </c>
      <c r="G232" s="53" t="s">
        <v>25</v>
      </c>
      <c r="H232" s="53" t="s">
        <v>35</v>
      </c>
      <c r="I232" s="75">
        <v>44621</v>
      </c>
      <c r="J232" s="76">
        <f>EFEITO!$J$232*EFEITO!$Y$232</f>
        <v>0</v>
      </c>
      <c r="K232" s="76">
        <f ca="1">EFEITO!$L$232*EFEITO!$Z$232</f>
        <v>222452.61750560103</v>
      </c>
      <c r="L232" s="76">
        <f>EFEITO!$N$232*EFEITO!$AA$232</f>
        <v>458255.39359272021</v>
      </c>
      <c r="M232" s="76">
        <f>$J$232-EFEITO!$K$232*EFEITO!$Y$232</f>
        <v>0</v>
      </c>
      <c r="N232" s="76">
        <f ca="1">$K$232-EFEITO!$M$232*EFEITO!$Z$232</f>
        <v>0</v>
      </c>
      <c r="O232" s="76">
        <f>$L$232-EFEITO!$O$232*EFEITO!$AA$232</f>
        <v>0</v>
      </c>
      <c r="P232" s="57"/>
      <c r="Q232" s="57"/>
      <c r="R232" s="57"/>
      <c r="S232" s="57"/>
      <c r="T232" s="57"/>
      <c r="U232" s="57"/>
      <c r="V232" s="57"/>
      <c r="W232" s="57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53" t="s">
        <v>28</v>
      </c>
      <c r="B233" s="53" t="s">
        <v>39</v>
      </c>
      <c r="C233" s="53" t="s">
        <v>40</v>
      </c>
      <c r="D233" s="53" t="s">
        <v>41</v>
      </c>
      <c r="E233" s="53" t="s">
        <v>25</v>
      </c>
      <c r="F233" s="53" t="s">
        <v>25</v>
      </c>
      <c r="G233" s="53" t="s">
        <v>25</v>
      </c>
      <c r="H233" s="53" t="s">
        <v>35</v>
      </c>
      <c r="I233" s="75">
        <v>44621</v>
      </c>
      <c r="J233" s="76">
        <f>EFEITO!$J$233*EFEITO!$Y$233</f>
        <v>0</v>
      </c>
      <c r="K233" s="76">
        <f ca="1">EFEITO!$L$233*EFEITO!$Z$233</f>
        <v>453.89855333166463</v>
      </c>
      <c r="L233" s="76">
        <f>EFEITO!$N$233*EFEITO!$AA$233</f>
        <v>935.03714427154853</v>
      </c>
      <c r="M233" s="76">
        <f>$J$233-EFEITO!$K$233*EFEITO!$Y$233</f>
        <v>0</v>
      </c>
      <c r="N233" s="76">
        <f ca="1">$K$233-EFEITO!$M$233*EFEITO!$Z$233</f>
        <v>0</v>
      </c>
      <c r="O233" s="76">
        <f>$L$233-EFEITO!$O$233*EFEITO!$AA$233</f>
        <v>0</v>
      </c>
      <c r="P233" s="57"/>
      <c r="Q233" s="57"/>
      <c r="R233" s="57"/>
      <c r="S233" s="57"/>
      <c r="T233" s="57"/>
      <c r="U233" s="57"/>
      <c r="V233" s="57"/>
      <c r="W233" s="57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53" t="s">
        <v>21</v>
      </c>
      <c r="B234" s="53" t="s">
        <v>39</v>
      </c>
      <c r="C234" s="53" t="s">
        <v>40</v>
      </c>
      <c r="D234" s="53" t="s">
        <v>41</v>
      </c>
      <c r="E234" s="53" t="s">
        <v>25</v>
      </c>
      <c r="F234" s="53" t="s">
        <v>25</v>
      </c>
      <c r="G234" s="53" t="s">
        <v>25</v>
      </c>
      <c r="H234" s="53" t="s">
        <v>35</v>
      </c>
      <c r="I234" s="75">
        <v>44652</v>
      </c>
      <c r="J234" s="76">
        <f>EFEITO!$J$234*EFEITO!$Y$234</f>
        <v>0</v>
      </c>
      <c r="K234" s="76">
        <f ca="1">EFEITO!$L$234*EFEITO!$Z$234</f>
        <v>197268.72150842377</v>
      </c>
      <c r="L234" s="76">
        <f>EFEITO!$N$234*EFEITO!$AA$234</f>
        <v>406376.2280347154</v>
      </c>
      <c r="M234" s="76">
        <f>$J$234-EFEITO!$K$234*EFEITO!$Y$234</f>
        <v>0</v>
      </c>
      <c r="N234" s="76">
        <f ca="1">$K$234-EFEITO!$M$234*EFEITO!$Z$234</f>
        <v>0</v>
      </c>
      <c r="O234" s="76">
        <f>$L$234-EFEITO!$O$234*EFEITO!$AA$234</f>
        <v>0</v>
      </c>
      <c r="P234" s="57"/>
      <c r="Q234" s="57"/>
      <c r="R234" s="57"/>
      <c r="S234" s="57"/>
      <c r="T234" s="57"/>
      <c r="U234" s="57"/>
      <c r="V234" s="57"/>
      <c r="W234" s="57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53" t="s">
        <v>28</v>
      </c>
      <c r="B235" s="53" t="s">
        <v>39</v>
      </c>
      <c r="C235" s="53" t="s">
        <v>40</v>
      </c>
      <c r="D235" s="53" t="s">
        <v>41</v>
      </c>
      <c r="E235" s="53" t="s">
        <v>25</v>
      </c>
      <c r="F235" s="53" t="s">
        <v>25</v>
      </c>
      <c r="G235" s="53" t="s">
        <v>25</v>
      </c>
      <c r="H235" s="53" t="s">
        <v>35</v>
      </c>
      <c r="I235" s="75">
        <v>44652</v>
      </c>
      <c r="J235" s="76">
        <f>EFEITO!$J$235*EFEITO!$Y$235</f>
        <v>0</v>
      </c>
      <c r="K235" s="76">
        <f ca="1">EFEITO!$L$235*EFEITO!$Z$235</f>
        <v>1219.4731266556623</v>
      </c>
      <c r="L235" s="76">
        <f>EFEITO!$N$235*EFEITO!$AA$235</f>
        <v>2512.1310951410369</v>
      </c>
      <c r="M235" s="76">
        <f>$J$235-EFEITO!$K$235*EFEITO!$Y$235</f>
        <v>0</v>
      </c>
      <c r="N235" s="76">
        <f ca="1">$K$235-EFEITO!$M$235*EFEITO!$Z$235</f>
        <v>0</v>
      </c>
      <c r="O235" s="76">
        <f>$L$235-EFEITO!$O$235*EFEITO!$AA$235</f>
        <v>0</v>
      </c>
      <c r="P235" s="57"/>
      <c r="Q235" s="57"/>
      <c r="R235" s="57"/>
      <c r="S235" s="57"/>
      <c r="T235" s="57"/>
      <c r="U235" s="57"/>
      <c r="V235" s="57"/>
      <c r="W235" s="57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53" t="s">
        <v>21</v>
      </c>
      <c r="B236" s="53" t="s">
        <v>39</v>
      </c>
      <c r="C236" s="53" t="s">
        <v>40</v>
      </c>
      <c r="D236" s="53" t="s">
        <v>41</v>
      </c>
      <c r="E236" s="53" t="s">
        <v>25</v>
      </c>
      <c r="F236" s="53" t="s">
        <v>25</v>
      </c>
      <c r="G236" s="53" t="s">
        <v>25</v>
      </c>
      <c r="H236" s="53" t="s">
        <v>35</v>
      </c>
      <c r="I236" s="75">
        <v>44682</v>
      </c>
      <c r="J236" s="76">
        <f>EFEITO!$J$236*EFEITO!$Y$236</f>
        <v>0</v>
      </c>
      <c r="K236" s="76">
        <f ca="1">EFEITO!$L$236*EFEITO!$Z$236</f>
        <v>176412.4751677592</v>
      </c>
      <c r="L236" s="76">
        <f>EFEITO!$N$236*EFEITO!$AA$236</f>
        <v>363412.07916167582</v>
      </c>
      <c r="M236" s="76">
        <f>$J$236-EFEITO!$K$236*EFEITO!$Y$236</f>
        <v>0</v>
      </c>
      <c r="N236" s="76">
        <f ca="1">$K$236-EFEITO!$M$236*EFEITO!$Z$236</f>
        <v>0</v>
      </c>
      <c r="O236" s="76">
        <f>$L$236-EFEITO!$O$236*EFEITO!$AA$236</f>
        <v>0</v>
      </c>
      <c r="P236" s="57"/>
      <c r="Q236" s="57"/>
      <c r="R236" s="57"/>
      <c r="S236" s="57"/>
      <c r="T236" s="57"/>
      <c r="U236" s="57"/>
      <c r="V236" s="57"/>
      <c r="W236" s="57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53" t="s">
        <v>28</v>
      </c>
      <c r="B237" s="53" t="s">
        <v>39</v>
      </c>
      <c r="C237" s="53" t="s">
        <v>40</v>
      </c>
      <c r="D237" s="53" t="s">
        <v>41</v>
      </c>
      <c r="E237" s="53" t="s">
        <v>25</v>
      </c>
      <c r="F237" s="53" t="s">
        <v>25</v>
      </c>
      <c r="G237" s="53" t="s">
        <v>25</v>
      </c>
      <c r="H237" s="53" t="s">
        <v>35</v>
      </c>
      <c r="I237" s="75">
        <v>44682</v>
      </c>
      <c r="J237" s="76">
        <f>EFEITO!$J$237*EFEITO!$Y$237</f>
        <v>0</v>
      </c>
      <c r="K237" s="76">
        <f ca="1">EFEITO!$L$237*EFEITO!$Z$237</f>
        <v>1376.0511082092655</v>
      </c>
      <c r="L237" s="76">
        <f>EFEITO!$N$237*EFEITO!$AA$237</f>
        <v>2834.6838498326892</v>
      </c>
      <c r="M237" s="76">
        <f>$J$237-EFEITO!$K$237*EFEITO!$Y$237</f>
        <v>0</v>
      </c>
      <c r="N237" s="76">
        <f ca="1">$K$237-EFEITO!$M$237*EFEITO!$Z$237</f>
        <v>0</v>
      </c>
      <c r="O237" s="76">
        <f>$L$237-EFEITO!$O$237*EFEITO!$AA$237</f>
        <v>0</v>
      </c>
      <c r="P237" s="57"/>
      <c r="Q237" s="57"/>
      <c r="R237" s="57"/>
      <c r="S237" s="57"/>
      <c r="T237" s="57"/>
      <c r="U237" s="57"/>
      <c r="V237" s="57"/>
      <c r="W237" s="57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53" t="s">
        <v>21</v>
      </c>
      <c r="B238" s="53" t="s">
        <v>39</v>
      </c>
      <c r="C238" s="53" t="s">
        <v>40</v>
      </c>
      <c r="D238" s="53" t="s">
        <v>41</v>
      </c>
      <c r="E238" s="53" t="s">
        <v>25</v>
      </c>
      <c r="F238" s="53" t="s">
        <v>25</v>
      </c>
      <c r="G238" s="53" t="s">
        <v>25</v>
      </c>
      <c r="H238" s="53" t="s">
        <v>35</v>
      </c>
      <c r="I238" s="75">
        <v>44713</v>
      </c>
      <c r="J238" s="76">
        <f>EFEITO!$J$238*EFEITO!$Y$238</f>
        <v>0</v>
      </c>
      <c r="K238" s="76">
        <f ca="1">EFEITO!$L$238*EFEITO!$Z$238</f>
        <v>163156.62468783837</v>
      </c>
      <c r="L238" s="76">
        <f>EFEITO!$N$238*EFEITO!$AA$238</f>
        <v>336104.84831315855</v>
      </c>
      <c r="M238" s="76">
        <f>$J$238-EFEITO!$K$238*EFEITO!$Y$238</f>
        <v>0</v>
      </c>
      <c r="N238" s="76">
        <f ca="1">$K$238-EFEITO!$M$238*EFEITO!$Z$238</f>
        <v>0</v>
      </c>
      <c r="O238" s="76">
        <f>$L$238-EFEITO!$O$238*EFEITO!$AA$238</f>
        <v>0</v>
      </c>
      <c r="P238" s="57"/>
      <c r="Q238" s="57"/>
      <c r="R238" s="57"/>
      <c r="S238" s="57"/>
      <c r="T238" s="57"/>
      <c r="U238" s="57"/>
      <c r="V238" s="57"/>
      <c r="W238" s="57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53" t="s">
        <v>28</v>
      </c>
      <c r="B239" s="53" t="s">
        <v>39</v>
      </c>
      <c r="C239" s="53" t="s">
        <v>40</v>
      </c>
      <c r="D239" s="53" t="s">
        <v>41</v>
      </c>
      <c r="E239" s="53" t="s">
        <v>25</v>
      </c>
      <c r="F239" s="53" t="s">
        <v>25</v>
      </c>
      <c r="G239" s="53" t="s">
        <v>25</v>
      </c>
      <c r="H239" s="53" t="s">
        <v>35</v>
      </c>
      <c r="I239" s="75">
        <v>44713</v>
      </c>
      <c r="J239" s="76">
        <f>EFEITO!$J$239*EFEITO!$Y$239</f>
        <v>0</v>
      </c>
      <c r="K239" s="76">
        <f ca="1">EFEITO!$L$239*EFEITO!$Z$239</f>
        <v>1310.6376225318622</v>
      </c>
      <c r="L239" s="76">
        <f>EFEITO!$N$239*EFEITO!$AA$239</f>
        <v>2699.9311867195415</v>
      </c>
      <c r="M239" s="76">
        <f>$J$239-EFEITO!$K$239*EFEITO!$Y$239</f>
        <v>0</v>
      </c>
      <c r="N239" s="76">
        <f ca="1">$K$239-EFEITO!$M$239*EFEITO!$Z$239</f>
        <v>0</v>
      </c>
      <c r="O239" s="76">
        <f>$L$239-EFEITO!$O$239*EFEITO!$AA$239</f>
        <v>0</v>
      </c>
      <c r="P239" s="57"/>
      <c r="Q239" s="57"/>
      <c r="R239" s="57"/>
      <c r="S239" s="57"/>
      <c r="T239" s="57"/>
      <c r="U239" s="57"/>
      <c r="V239" s="57"/>
      <c r="W239" s="57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53" t="s">
        <v>21</v>
      </c>
      <c r="B240" s="53" t="s">
        <v>39</v>
      </c>
      <c r="C240" s="53" t="s">
        <v>40</v>
      </c>
      <c r="D240" s="53" t="s">
        <v>41</v>
      </c>
      <c r="E240" s="53" t="s">
        <v>25</v>
      </c>
      <c r="F240" s="53" t="s">
        <v>25</v>
      </c>
      <c r="G240" s="53" t="s">
        <v>25</v>
      </c>
      <c r="H240" s="53" t="s">
        <v>35</v>
      </c>
      <c r="I240" s="75">
        <v>44743</v>
      </c>
      <c r="J240" s="76">
        <f>EFEITO!$J$240*EFEITO!$Y$240</f>
        <v>0</v>
      </c>
      <c r="K240" s="76">
        <f ca="1">EFEITO!$L$240*EFEITO!$Z$240</f>
        <v>157185.79419088172</v>
      </c>
      <c r="L240" s="76">
        <f>EFEITO!$N$240*EFEITO!$AA$240</f>
        <v>323804.85692560207</v>
      </c>
      <c r="M240" s="76">
        <f>$J$240-EFEITO!$K$240*EFEITO!$Y$240</f>
        <v>0</v>
      </c>
      <c r="N240" s="76">
        <f ca="1">$K$240-EFEITO!$M$240*EFEITO!$Z$240</f>
        <v>0</v>
      </c>
      <c r="O240" s="76">
        <f>$L$240-EFEITO!$O$240*EFEITO!$AA$240</f>
        <v>0</v>
      </c>
      <c r="P240" s="57"/>
      <c r="Q240" s="57"/>
      <c r="R240" s="57"/>
      <c r="S240" s="57"/>
      <c r="T240" s="57"/>
      <c r="U240" s="57"/>
      <c r="V240" s="57"/>
      <c r="W240" s="57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53" t="s">
        <v>28</v>
      </c>
      <c r="B241" s="53" t="s">
        <v>39</v>
      </c>
      <c r="C241" s="53" t="s">
        <v>40</v>
      </c>
      <c r="D241" s="53" t="s">
        <v>41</v>
      </c>
      <c r="E241" s="53" t="s">
        <v>25</v>
      </c>
      <c r="F241" s="53" t="s">
        <v>25</v>
      </c>
      <c r="G241" s="53" t="s">
        <v>25</v>
      </c>
      <c r="H241" s="53" t="s">
        <v>35</v>
      </c>
      <c r="I241" s="75">
        <v>44743</v>
      </c>
      <c r="J241" s="76">
        <f>EFEITO!$J$241*EFEITO!$Y$241</f>
        <v>0</v>
      </c>
      <c r="K241" s="76">
        <f ca="1">EFEITO!$L$241*EFEITO!$Z$241</f>
        <v>1489.5627451200535</v>
      </c>
      <c r="L241" s="76">
        <f>EFEITO!$N$241*EFEITO!$AA$241</f>
        <v>3068.5193534702103</v>
      </c>
      <c r="M241" s="76">
        <f>$J$241-EFEITO!$K$241*EFEITO!$Y$241</f>
        <v>0</v>
      </c>
      <c r="N241" s="76">
        <f ca="1">$K$241-EFEITO!$M$241*EFEITO!$Z$241</f>
        <v>0</v>
      </c>
      <c r="O241" s="76">
        <f>$L$241-EFEITO!$O$241*EFEITO!$AA$241</f>
        <v>0</v>
      </c>
      <c r="P241" s="57"/>
      <c r="Q241" s="57"/>
      <c r="R241" s="57"/>
      <c r="S241" s="57"/>
      <c r="T241" s="57"/>
      <c r="U241" s="57"/>
      <c r="V241" s="57"/>
      <c r="W241" s="57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53" t="s">
        <v>56</v>
      </c>
      <c r="B242" s="53" t="s">
        <v>39</v>
      </c>
      <c r="C242" s="53" t="s">
        <v>40</v>
      </c>
      <c r="D242" s="53" t="s">
        <v>41</v>
      </c>
      <c r="E242" s="53" t="s">
        <v>25</v>
      </c>
      <c r="F242" s="53" t="s">
        <v>25</v>
      </c>
      <c r="G242" s="53" t="s">
        <v>25</v>
      </c>
      <c r="H242" s="53" t="s">
        <v>35</v>
      </c>
      <c r="I242" s="75">
        <v>44774</v>
      </c>
      <c r="J242" s="76">
        <f>EFEITO!$J$242*EFEITO!$Y$242</f>
        <v>0</v>
      </c>
      <c r="K242" s="76">
        <f ca="1">EFEITO!$L$242*EFEITO!$Z$242</f>
        <v>157185.79419088172</v>
      </c>
      <c r="L242" s="76">
        <f>EFEITO!$N$242*EFEITO!$AA$242</f>
        <v>323804.85692560207</v>
      </c>
      <c r="M242" s="76">
        <f>$J$242-EFEITO!$K$242*EFEITO!$Y$242</f>
        <v>0</v>
      </c>
      <c r="N242" s="76">
        <f ca="1">$K$242-EFEITO!$M$242*EFEITO!$Z$242</f>
        <v>0</v>
      </c>
      <c r="O242" s="76">
        <f>$L$242-EFEITO!$O$242*EFEITO!$AA$242</f>
        <v>0</v>
      </c>
      <c r="P242" s="57"/>
      <c r="Q242" s="57"/>
      <c r="R242" s="57"/>
      <c r="S242" s="57"/>
      <c r="T242" s="57"/>
      <c r="U242" s="57"/>
      <c r="V242" s="57"/>
      <c r="W242" s="57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53" t="s">
        <v>56</v>
      </c>
      <c r="B243" s="53" t="s">
        <v>39</v>
      </c>
      <c r="C243" s="53" t="s">
        <v>40</v>
      </c>
      <c r="D243" s="53" t="s">
        <v>41</v>
      </c>
      <c r="E243" s="53" t="s">
        <v>25</v>
      </c>
      <c r="F243" s="53" t="s">
        <v>25</v>
      </c>
      <c r="G243" s="53" t="s">
        <v>25</v>
      </c>
      <c r="H243" s="53" t="s">
        <v>35</v>
      </c>
      <c r="I243" s="75">
        <v>44774</v>
      </c>
      <c r="J243" s="76">
        <f>EFEITO!$J$243*EFEITO!$Y$243</f>
        <v>0</v>
      </c>
      <c r="K243" s="76">
        <f ca="1">EFEITO!$L$243*EFEITO!$Z$243</f>
        <v>1489.5627451200535</v>
      </c>
      <c r="L243" s="76">
        <f>EFEITO!$N$243*EFEITO!$AA$243</f>
        <v>3068.5193534702103</v>
      </c>
      <c r="M243" s="76">
        <f>$J$243-EFEITO!$K$243*EFEITO!$Y$243</f>
        <v>0</v>
      </c>
      <c r="N243" s="76">
        <f ca="1">$K$243-EFEITO!$M$243*EFEITO!$Z$243</f>
        <v>0</v>
      </c>
      <c r="O243" s="76">
        <f>$L$243-EFEITO!$O$243*EFEITO!$AA$243</f>
        <v>0</v>
      </c>
      <c r="P243" s="57"/>
      <c r="Q243" s="57"/>
      <c r="R243" s="57"/>
      <c r="S243" s="57"/>
      <c r="T243" s="57"/>
      <c r="U243" s="57"/>
      <c r="V243" s="57"/>
      <c r="W243" s="57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53" t="s">
        <v>21</v>
      </c>
      <c r="B244" s="53" t="s">
        <v>39</v>
      </c>
      <c r="C244" s="53" t="s">
        <v>40</v>
      </c>
      <c r="D244" s="53" t="s">
        <v>41</v>
      </c>
      <c r="E244" s="53" t="s">
        <v>25</v>
      </c>
      <c r="F244" s="53" t="s">
        <v>25</v>
      </c>
      <c r="G244" s="53" t="s">
        <v>25</v>
      </c>
      <c r="H244" s="53" t="s">
        <v>25</v>
      </c>
      <c r="I244" s="75">
        <v>44440</v>
      </c>
      <c r="J244" s="76">
        <f ca="1">EFEITO!$J$244*EFEITO!$Y$244</f>
        <v>117781.95871006604</v>
      </c>
      <c r="K244" s="76">
        <f>EFEITO!$L$244*EFEITO!$Z$244</f>
        <v>0</v>
      </c>
      <c r="L244" s="76">
        <f>EFEITO!$N$244*EFEITO!$AA$244</f>
        <v>0</v>
      </c>
      <c r="M244" s="76">
        <f ca="1">$J$244-EFEITO!$K$244*EFEITO!$Y$244</f>
        <v>0</v>
      </c>
      <c r="N244" s="76">
        <f>$K$244-EFEITO!$M$244*EFEITO!$Z$244</f>
        <v>0</v>
      </c>
      <c r="O244" s="76">
        <f>$L$244-EFEITO!$O$244*EFEITO!$AA$244</f>
        <v>0</v>
      </c>
      <c r="P244" s="57"/>
      <c r="Q244" s="57"/>
      <c r="R244" s="57"/>
      <c r="S244" s="57"/>
      <c r="T244" s="57"/>
      <c r="U244" s="57"/>
      <c r="V244" s="57"/>
      <c r="W244" s="57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53" t="s">
        <v>28</v>
      </c>
      <c r="B245" s="53" t="s">
        <v>39</v>
      </c>
      <c r="C245" s="53" t="s">
        <v>40</v>
      </c>
      <c r="D245" s="53" t="s">
        <v>41</v>
      </c>
      <c r="E245" s="53" t="s">
        <v>25</v>
      </c>
      <c r="F245" s="53" t="s">
        <v>25</v>
      </c>
      <c r="G245" s="53" t="s">
        <v>25</v>
      </c>
      <c r="H245" s="53" t="s">
        <v>25</v>
      </c>
      <c r="I245" s="75">
        <v>44440</v>
      </c>
      <c r="J245" s="76">
        <f ca="1">EFEITO!$J$245*EFEITO!$Y$245</f>
        <v>6136.1993775014907</v>
      </c>
      <c r="K245" s="76">
        <f>EFEITO!$L$245*EFEITO!$Z$245</f>
        <v>0</v>
      </c>
      <c r="L245" s="76">
        <f>EFEITO!$N$245*EFEITO!$AA$245</f>
        <v>0</v>
      </c>
      <c r="M245" s="76">
        <f ca="1">$J$245-EFEITO!$K$245*EFEITO!$Y$245</f>
        <v>0</v>
      </c>
      <c r="N245" s="76">
        <f>$K$245-EFEITO!$M$245*EFEITO!$Z$245</f>
        <v>0</v>
      </c>
      <c r="O245" s="76">
        <f>$L$245-EFEITO!$O$245*EFEITO!$AA$245</f>
        <v>0</v>
      </c>
      <c r="P245" s="57"/>
      <c r="Q245" s="57"/>
      <c r="R245" s="57"/>
      <c r="S245" s="57"/>
      <c r="T245" s="57"/>
      <c r="U245" s="57"/>
      <c r="V245" s="57"/>
      <c r="W245" s="57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53" t="s">
        <v>21</v>
      </c>
      <c r="B246" s="53" t="s">
        <v>39</v>
      </c>
      <c r="C246" s="53" t="s">
        <v>40</v>
      </c>
      <c r="D246" s="53" t="s">
        <v>41</v>
      </c>
      <c r="E246" s="53" t="s">
        <v>25</v>
      </c>
      <c r="F246" s="53" t="s">
        <v>25</v>
      </c>
      <c r="G246" s="53" t="s">
        <v>25</v>
      </c>
      <c r="H246" s="53" t="s">
        <v>25</v>
      </c>
      <c r="I246" s="75">
        <v>44470</v>
      </c>
      <c r="J246" s="76">
        <f ca="1">EFEITO!$J$246*EFEITO!$Y$246</f>
        <v>121456.32959479747</v>
      </c>
      <c r="K246" s="76">
        <f>EFEITO!$L$246*EFEITO!$Z$246</f>
        <v>0</v>
      </c>
      <c r="L246" s="76">
        <f>EFEITO!$N$246*EFEITO!$AA$246</f>
        <v>0</v>
      </c>
      <c r="M246" s="76">
        <f ca="1">$J$246-EFEITO!$K$246*EFEITO!$Y$246</f>
        <v>0</v>
      </c>
      <c r="N246" s="76">
        <f>$K$246-EFEITO!$M$246*EFEITO!$Z$246</f>
        <v>0</v>
      </c>
      <c r="O246" s="76">
        <f>$L$246-EFEITO!$O$246*EFEITO!$AA$246</f>
        <v>0</v>
      </c>
      <c r="P246" s="57"/>
      <c r="Q246" s="57"/>
      <c r="R246" s="57"/>
      <c r="S246" s="57"/>
      <c r="T246" s="57"/>
      <c r="U246" s="57"/>
      <c r="V246" s="57"/>
      <c r="W246" s="57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53" t="s">
        <v>27</v>
      </c>
      <c r="B247" s="53" t="s">
        <v>39</v>
      </c>
      <c r="C247" s="53" t="s">
        <v>40</v>
      </c>
      <c r="D247" s="53" t="s">
        <v>41</v>
      </c>
      <c r="E247" s="53" t="s">
        <v>25</v>
      </c>
      <c r="F247" s="53" t="s">
        <v>25</v>
      </c>
      <c r="G247" s="53" t="s">
        <v>25</v>
      </c>
      <c r="H247" s="53" t="s">
        <v>25</v>
      </c>
      <c r="I247" s="75">
        <v>44470</v>
      </c>
      <c r="J247" s="76">
        <f ca="1">EFEITO!$J$247*EFEITO!$Y$247</f>
        <v>-4684.8228780325753</v>
      </c>
      <c r="K247" s="76">
        <f>EFEITO!$L$247*EFEITO!$Z$247</f>
        <v>0</v>
      </c>
      <c r="L247" s="76">
        <f>EFEITO!$N$247*EFEITO!$AA$247</f>
        <v>0</v>
      </c>
      <c r="M247" s="76">
        <f ca="1">$J$247-EFEITO!$K$247*EFEITO!$Y$247</f>
        <v>0</v>
      </c>
      <c r="N247" s="76">
        <f>$K$247-EFEITO!$M$247*EFEITO!$Z$247</f>
        <v>0</v>
      </c>
      <c r="O247" s="76">
        <f>$L$247-EFEITO!$O$247*EFEITO!$AA$247</f>
        <v>0</v>
      </c>
      <c r="P247" s="57"/>
      <c r="Q247" s="57"/>
      <c r="R247" s="57"/>
      <c r="S247" s="57"/>
      <c r="T247" s="57"/>
      <c r="U247" s="57"/>
      <c r="V247" s="57"/>
      <c r="W247" s="57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53" t="s">
        <v>28</v>
      </c>
      <c r="B248" s="53" t="s">
        <v>39</v>
      </c>
      <c r="C248" s="53" t="s">
        <v>40</v>
      </c>
      <c r="D248" s="53" t="s">
        <v>41</v>
      </c>
      <c r="E248" s="53" t="s">
        <v>25</v>
      </c>
      <c r="F248" s="53" t="s">
        <v>25</v>
      </c>
      <c r="G248" s="53" t="s">
        <v>25</v>
      </c>
      <c r="H248" s="53" t="s">
        <v>25</v>
      </c>
      <c r="I248" s="75">
        <v>44470</v>
      </c>
      <c r="J248" s="76">
        <f ca="1">EFEITO!$J$248*EFEITO!$Y$248</f>
        <v>5787.1341434520045</v>
      </c>
      <c r="K248" s="76">
        <f>EFEITO!$L$248*EFEITO!$Z$248</f>
        <v>0</v>
      </c>
      <c r="L248" s="76">
        <f>EFEITO!$N$248*EFEITO!$AA$248</f>
        <v>0</v>
      </c>
      <c r="M248" s="76">
        <f ca="1">$J$248-EFEITO!$K$248*EFEITO!$Y$248</f>
        <v>0</v>
      </c>
      <c r="N248" s="76">
        <f>$K$248-EFEITO!$M$248*EFEITO!$Z$248</f>
        <v>0</v>
      </c>
      <c r="O248" s="76">
        <f>$L$248-EFEITO!$O$248*EFEITO!$AA$248</f>
        <v>0</v>
      </c>
      <c r="P248" s="57"/>
      <c r="Q248" s="57"/>
      <c r="R248" s="57"/>
      <c r="S248" s="57"/>
      <c r="T248" s="57"/>
      <c r="U248" s="57"/>
      <c r="V248" s="57"/>
      <c r="W248" s="57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53" t="s">
        <v>21</v>
      </c>
      <c r="B249" s="53" t="s">
        <v>39</v>
      </c>
      <c r="C249" s="53" t="s">
        <v>40</v>
      </c>
      <c r="D249" s="53" t="s">
        <v>41</v>
      </c>
      <c r="E249" s="53" t="s">
        <v>25</v>
      </c>
      <c r="F249" s="53" t="s">
        <v>25</v>
      </c>
      <c r="G249" s="53" t="s">
        <v>25</v>
      </c>
      <c r="H249" s="53" t="s">
        <v>25</v>
      </c>
      <c r="I249" s="75">
        <v>44501</v>
      </c>
      <c r="J249" s="76">
        <f ca="1">EFEITO!$J$249*EFEITO!$Y$249</f>
        <v>118259.62692508113</v>
      </c>
      <c r="K249" s="76">
        <f>EFEITO!$L$249*EFEITO!$Z$249</f>
        <v>0</v>
      </c>
      <c r="L249" s="76">
        <f>EFEITO!$N$249*EFEITO!$AA$249</f>
        <v>0</v>
      </c>
      <c r="M249" s="76">
        <f ca="1">$J$249-EFEITO!$K$249*EFEITO!$Y$249</f>
        <v>0</v>
      </c>
      <c r="N249" s="76">
        <f>$K$249-EFEITO!$M$249*EFEITO!$Z$249</f>
        <v>0</v>
      </c>
      <c r="O249" s="76">
        <f>$L$249-EFEITO!$O$249*EFEITO!$AA$249</f>
        <v>0</v>
      </c>
      <c r="P249" s="57"/>
      <c r="Q249" s="57"/>
      <c r="R249" s="57"/>
      <c r="S249" s="57"/>
      <c r="T249" s="57"/>
      <c r="U249" s="57"/>
      <c r="V249" s="57"/>
      <c r="W249" s="57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53" t="s">
        <v>27</v>
      </c>
      <c r="B250" s="53" t="s">
        <v>39</v>
      </c>
      <c r="C250" s="53" t="s">
        <v>40</v>
      </c>
      <c r="D250" s="53" t="s">
        <v>41</v>
      </c>
      <c r="E250" s="53" t="s">
        <v>25</v>
      </c>
      <c r="F250" s="53" t="s">
        <v>25</v>
      </c>
      <c r="G250" s="53" t="s">
        <v>25</v>
      </c>
      <c r="H250" s="53" t="s">
        <v>25</v>
      </c>
      <c r="I250" s="75">
        <v>44501</v>
      </c>
      <c r="J250" s="76">
        <f ca="1">EFEITO!$J$250*EFEITO!$Y$250</f>
        <v>-367.43708847314315</v>
      </c>
      <c r="K250" s="76">
        <f>EFEITO!$L$250*EFEITO!$Z$250</f>
        <v>0</v>
      </c>
      <c r="L250" s="76">
        <f>EFEITO!$N$250*EFEITO!$AA$250</f>
        <v>0</v>
      </c>
      <c r="M250" s="76">
        <f ca="1">$J$250-EFEITO!$K$250*EFEITO!$Y$250</f>
        <v>0</v>
      </c>
      <c r="N250" s="76">
        <f>$K$250-EFEITO!$M$250*EFEITO!$Z$250</f>
        <v>0</v>
      </c>
      <c r="O250" s="76">
        <f>$L$250-EFEITO!$O$250*EFEITO!$AA$250</f>
        <v>0</v>
      </c>
      <c r="P250" s="57"/>
      <c r="Q250" s="57"/>
      <c r="R250" s="57"/>
      <c r="S250" s="57"/>
      <c r="T250" s="57"/>
      <c r="U250" s="57"/>
      <c r="V250" s="57"/>
      <c r="W250" s="57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53" t="s">
        <v>28</v>
      </c>
      <c r="B251" s="53" t="s">
        <v>39</v>
      </c>
      <c r="C251" s="53" t="s">
        <v>40</v>
      </c>
      <c r="D251" s="53" t="s">
        <v>41</v>
      </c>
      <c r="E251" s="53" t="s">
        <v>25</v>
      </c>
      <c r="F251" s="53" t="s">
        <v>25</v>
      </c>
      <c r="G251" s="53" t="s">
        <v>25</v>
      </c>
      <c r="H251" s="53" t="s">
        <v>25</v>
      </c>
      <c r="I251" s="75">
        <v>44501</v>
      </c>
      <c r="J251" s="76">
        <f ca="1">EFEITO!$J$251*EFEITO!$Y$251</f>
        <v>6062.7119598068621</v>
      </c>
      <c r="K251" s="76">
        <f>EFEITO!$L$251*EFEITO!$Z$251</f>
        <v>0</v>
      </c>
      <c r="L251" s="76">
        <f>EFEITO!$N$251*EFEITO!$AA$251</f>
        <v>0</v>
      </c>
      <c r="M251" s="76">
        <f ca="1">$J$251-EFEITO!$K$251*EFEITO!$Y$251</f>
        <v>0</v>
      </c>
      <c r="N251" s="76">
        <f>$K$251-EFEITO!$M$251*EFEITO!$Z$251</f>
        <v>0</v>
      </c>
      <c r="O251" s="76">
        <f>$L$251-EFEITO!$O$251*EFEITO!$AA$251</f>
        <v>0</v>
      </c>
      <c r="P251" s="57"/>
      <c r="Q251" s="57"/>
      <c r="R251" s="57"/>
      <c r="S251" s="57"/>
      <c r="T251" s="57"/>
      <c r="U251" s="57"/>
      <c r="V251" s="57"/>
      <c r="W251" s="57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53" t="s">
        <v>21</v>
      </c>
      <c r="B252" s="53" t="s">
        <v>39</v>
      </c>
      <c r="C252" s="53" t="s">
        <v>40</v>
      </c>
      <c r="D252" s="53" t="s">
        <v>41</v>
      </c>
      <c r="E252" s="53" t="s">
        <v>25</v>
      </c>
      <c r="F252" s="53" t="s">
        <v>25</v>
      </c>
      <c r="G252" s="53" t="s">
        <v>25</v>
      </c>
      <c r="H252" s="53" t="s">
        <v>25</v>
      </c>
      <c r="I252" s="75">
        <v>44531</v>
      </c>
      <c r="J252" s="76">
        <f ca="1">EFEITO!$J$252*EFEITO!$Y$252</f>
        <v>121529.8170124921</v>
      </c>
      <c r="K252" s="76">
        <f>EFEITO!$L$252*EFEITO!$Z$252</f>
        <v>0</v>
      </c>
      <c r="L252" s="76">
        <f>EFEITO!$N$252*EFEITO!$AA$252</f>
        <v>0</v>
      </c>
      <c r="M252" s="76">
        <f ca="1">$J$252-EFEITO!$K$252*EFEITO!$Y$252</f>
        <v>0</v>
      </c>
      <c r="N252" s="76">
        <f>$K$252-EFEITO!$M$252*EFEITO!$Z$252</f>
        <v>0</v>
      </c>
      <c r="O252" s="76">
        <f>$L$252-EFEITO!$O$252*EFEITO!$AA$252</f>
        <v>0</v>
      </c>
      <c r="P252" s="57"/>
      <c r="Q252" s="57"/>
      <c r="R252" s="57"/>
      <c r="S252" s="57"/>
      <c r="T252" s="57"/>
      <c r="U252" s="57"/>
      <c r="V252" s="57"/>
      <c r="W252" s="57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53" t="s">
        <v>28</v>
      </c>
      <c r="B253" s="53" t="s">
        <v>39</v>
      </c>
      <c r="C253" s="53" t="s">
        <v>40</v>
      </c>
      <c r="D253" s="53" t="s">
        <v>41</v>
      </c>
      <c r="E253" s="53" t="s">
        <v>25</v>
      </c>
      <c r="F253" s="53" t="s">
        <v>25</v>
      </c>
      <c r="G253" s="53" t="s">
        <v>25</v>
      </c>
      <c r="H253" s="53" t="s">
        <v>25</v>
      </c>
      <c r="I253" s="75">
        <v>44531</v>
      </c>
      <c r="J253" s="76">
        <f ca="1">EFEITO!$J$253*EFEITO!$Y$253</f>
        <v>6062.7119598068621</v>
      </c>
      <c r="K253" s="76">
        <f>EFEITO!$L$253*EFEITO!$Z$253</f>
        <v>0</v>
      </c>
      <c r="L253" s="76">
        <f>EFEITO!$N$253*EFEITO!$AA$253</f>
        <v>0</v>
      </c>
      <c r="M253" s="76">
        <f ca="1">$J$253-EFEITO!$K$253*EFEITO!$Y$253</f>
        <v>0</v>
      </c>
      <c r="N253" s="76">
        <f>$K$253-EFEITO!$M$253*EFEITO!$Z$253</f>
        <v>0</v>
      </c>
      <c r="O253" s="76">
        <f>$L$253-EFEITO!$O$253*EFEITO!$AA$253</f>
        <v>0</v>
      </c>
      <c r="P253" s="57"/>
      <c r="Q253" s="57"/>
      <c r="R253" s="57"/>
      <c r="S253" s="57"/>
      <c r="T253" s="57"/>
      <c r="U253" s="57"/>
      <c r="V253" s="57"/>
      <c r="W253" s="57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53" t="s">
        <v>21</v>
      </c>
      <c r="B254" s="53" t="s">
        <v>39</v>
      </c>
      <c r="C254" s="53" t="s">
        <v>40</v>
      </c>
      <c r="D254" s="53" t="s">
        <v>41</v>
      </c>
      <c r="E254" s="53" t="s">
        <v>25</v>
      </c>
      <c r="F254" s="53" t="s">
        <v>25</v>
      </c>
      <c r="G254" s="53" t="s">
        <v>25</v>
      </c>
      <c r="H254" s="53" t="s">
        <v>25</v>
      </c>
      <c r="I254" s="75">
        <v>44562</v>
      </c>
      <c r="J254" s="76">
        <f ca="1">EFEITO!$J$254*EFEITO!$Y$254</f>
        <v>119123.10408299301</v>
      </c>
      <c r="K254" s="76">
        <f>EFEITO!$L$254*EFEITO!$Z$254</f>
        <v>0</v>
      </c>
      <c r="L254" s="76">
        <f>EFEITO!$N$254*EFEITO!$AA$254</f>
        <v>0</v>
      </c>
      <c r="M254" s="76">
        <f ca="1">$J$254-EFEITO!$K$254*EFEITO!$Y$254</f>
        <v>0</v>
      </c>
      <c r="N254" s="76">
        <f>$K$254-EFEITO!$M$254*EFEITO!$Z$254</f>
        <v>0</v>
      </c>
      <c r="O254" s="76">
        <f>$L$254-EFEITO!$O$254*EFEITO!$AA$254</f>
        <v>0</v>
      </c>
      <c r="P254" s="57"/>
      <c r="Q254" s="57"/>
      <c r="R254" s="57"/>
      <c r="S254" s="57"/>
      <c r="T254" s="57"/>
      <c r="U254" s="57"/>
      <c r="V254" s="57"/>
      <c r="W254" s="57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53" t="s">
        <v>28</v>
      </c>
      <c r="B255" s="53" t="s">
        <v>39</v>
      </c>
      <c r="C255" s="53" t="s">
        <v>40</v>
      </c>
      <c r="D255" s="53" t="s">
        <v>41</v>
      </c>
      <c r="E255" s="53" t="s">
        <v>25</v>
      </c>
      <c r="F255" s="53" t="s">
        <v>25</v>
      </c>
      <c r="G255" s="53" t="s">
        <v>25</v>
      </c>
      <c r="H255" s="53" t="s">
        <v>25</v>
      </c>
      <c r="I255" s="75">
        <v>44562</v>
      </c>
      <c r="J255" s="76">
        <f ca="1">EFEITO!$J$255*EFEITO!$Y$255</f>
        <v>6209.6867951961194</v>
      </c>
      <c r="K255" s="76">
        <f>EFEITO!$L$255*EFEITO!$Z$255</f>
        <v>0</v>
      </c>
      <c r="L255" s="76">
        <f>EFEITO!$N$255*EFEITO!$AA$255</f>
        <v>0</v>
      </c>
      <c r="M255" s="76">
        <f ca="1">$J$255-EFEITO!$K$255*EFEITO!$Y$255</f>
        <v>0</v>
      </c>
      <c r="N255" s="76">
        <f>$K$255-EFEITO!$M$255*EFEITO!$Z$255</f>
        <v>0</v>
      </c>
      <c r="O255" s="76">
        <f>$L$255-EFEITO!$O$255*EFEITO!$AA$255</f>
        <v>0</v>
      </c>
      <c r="P255" s="57"/>
      <c r="Q255" s="57"/>
      <c r="R255" s="57"/>
      <c r="S255" s="57"/>
      <c r="T255" s="57"/>
      <c r="U255" s="57"/>
      <c r="V255" s="57"/>
      <c r="W255" s="57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53" t="s">
        <v>21</v>
      </c>
      <c r="B256" s="53" t="s">
        <v>39</v>
      </c>
      <c r="C256" s="53" t="s">
        <v>40</v>
      </c>
      <c r="D256" s="53" t="s">
        <v>41</v>
      </c>
      <c r="E256" s="53" t="s">
        <v>25</v>
      </c>
      <c r="F256" s="53" t="s">
        <v>25</v>
      </c>
      <c r="G256" s="53" t="s">
        <v>25</v>
      </c>
      <c r="H256" s="53" t="s">
        <v>25</v>
      </c>
      <c r="I256" s="75">
        <v>44593</v>
      </c>
      <c r="J256" s="76">
        <f ca="1">EFEITO!$J$256*EFEITO!$Y$256</f>
        <v>123017.93722080834</v>
      </c>
      <c r="K256" s="76">
        <f>EFEITO!$L$256*EFEITO!$Z$256</f>
        <v>0</v>
      </c>
      <c r="L256" s="76">
        <f>EFEITO!$N$256*EFEITO!$AA$256</f>
        <v>0</v>
      </c>
      <c r="M256" s="76">
        <f ca="1">$J$256-EFEITO!$K$256*EFEITO!$Y$256</f>
        <v>0</v>
      </c>
      <c r="N256" s="76">
        <f>$K$256-EFEITO!$M$256*EFEITO!$Z$256</f>
        <v>0</v>
      </c>
      <c r="O256" s="76">
        <f>$L$256-EFEITO!$O$256*EFEITO!$AA$256</f>
        <v>0</v>
      </c>
      <c r="P256" s="57"/>
      <c r="Q256" s="57"/>
      <c r="R256" s="57"/>
      <c r="S256" s="57"/>
      <c r="T256" s="57"/>
      <c r="U256" s="57"/>
      <c r="V256" s="57"/>
      <c r="W256" s="57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53" t="s">
        <v>28</v>
      </c>
      <c r="B257" s="53" t="s">
        <v>39</v>
      </c>
      <c r="C257" s="53" t="s">
        <v>40</v>
      </c>
      <c r="D257" s="53" t="s">
        <v>41</v>
      </c>
      <c r="E257" s="53" t="s">
        <v>25</v>
      </c>
      <c r="F257" s="53" t="s">
        <v>25</v>
      </c>
      <c r="G257" s="53" t="s">
        <v>25</v>
      </c>
      <c r="H257" s="53" t="s">
        <v>25</v>
      </c>
      <c r="I257" s="75">
        <v>44593</v>
      </c>
      <c r="J257" s="76">
        <f ca="1">EFEITO!$J$257*EFEITO!$Y$257</f>
        <v>6062.7119598068621</v>
      </c>
      <c r="K257" s="76">
        <f>EFEITO!$L$257*EFEITO!$Z$257</f>
        <v>0</v>
      </c>
      <c r="L257" s="76">
        <f>EFEITO!$N$257*EFEITO!$AA$257</f>
        <v>0</v>
      </c>
      <c r="M257" s="76">
        <f ca="1">$J$257-EFEITO!$K$257*EFEITO!$Y$257</f>
        <v>0</v>
      </c>
      <c r="N257" s="76">
        <f>$K$257-EFEITO!$M$257*EFEITO!$Z$257</f>
        <v>0</v>
      </c>
      <c r="O257" s="76">
        <f>$L$257-EFEITO!$O$257*EFEITO!$AA$257</f>
        <v>0</v>
      </c>
      <c r="P257" s="57"/>
      <c r="Q257" s="57"/>
      <c r="R257" s="57"/>
      <c r="S257" s="57"/>
      <c r="T257" s="57"/>
      <c r="U257" s="57"/>
      <c r="V257" s="57"/>
      <c r="W257" s="57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53" t="s">
        <v>21</v>
      </c>
      <c r="B258" s="53" t="s">
        <v>39</v>
      </c>
      <c r="C258" s="53" t="s">
        <v>40</v>
      </c>
      <c r="D258" s="53" t="s">
        <v>41</v>
      </c>
      <c r="E258" s="53" t="s">
        <v>25</v>
      </c>
      <c r="F258" s="53" t="s">
        <v>25</v>
      </c>
      <c r="G258" s="53" t="s">
        <v>25</v>
      </c>
      <c r="H258" s="53" t="s">
        <v>25</v>
      </c>
      <c r="I258" s="75">
        <v>44621</v>
      </c>
      <c r="J258" s="76">
        <f ca="1">EFEITO!$J$258*EFEITO!$Y$258</f>
        <v>121254.23919613725</v>
      </c>
      <c r="K258" s="76">
        <f>EFEITO!$L$258*EFEITO!$Z$258</f>
        <v>0</v>
      </c>
      <c r="L258" s="76">
        <f>EFEITO!$N$258*EFEITO!$AA$258</f>
        <v>0</v>
      </c>
      <c r="M258" s="76">
        <f ca="1">$J$258-EFEITO!$K$258*EFEITO!$Y$258</f>
        <v>0</v>
      </c>
      <c r="N258" s="76">
        <f>$K$258-EFEITO!$M$258*EFEITO!$Z$258</f>
        <v>0</v>
      </c>
      <c r="O258" s="76">
        <f>$L$258-EFEITO!$O$258*EFEITO!$AA$258</f>
        <v>0</v>
      </c>
      <c r="P258" s="57"/>
      <c r="Q258" s="57"/>
      <c r="R258" s="57"/>
      <c r="S258" s="57"/>
      <c r="T258" s="57"/>
      <c r="U258" s="57"/>
      <c r="V258" s="57"/>
      <c r="W258" s="57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53" t="s">
        <v>28</v>
      </c>
      <c r="B259" s="53" t="s">
        <v>39</v>
      </c>
      <c r="C259" s="53" t="s">
        <v>40</v>
      </c>
      <c r="D259" s="53" t="s">
        <v>41</v>
      </c>
      <c r="E259" s="53" t="s">
        <v>25</v>
      </c>
      <c r="F259" s="53" t="s">
        <v>25</v>
      </c>
      <c r="G259" s="53" t="s">
        <v>25</v>
      </c>
      <c r="H259" s="53" t="s">
        <v>25</v>
      </c>
      <c r="I259" s="75">
        <v>44621</v>
      </c>
      <c r="J259" s="76">
        <f ca="1">EFEITO!$J$259*EFEITO!$Y$259</f>
        <v>6062.7119598068621</v>
      </c>
      <c r="K259" s="76">
        <f>EFEITO!$L$259*EFEITO!$Z$259</f>
        <v>0</v>
      </c>
      <c r="L259" s="76">
        <f>EFEITO!$N$259*EFEITO!$AA$259</f>
        <v>0</v>
      </c>
      <c r="M259" s="76">
        <f ca="1">$J$259-EFEITO!$K$259*EFEITO!$Y$259</f>
        <v>0</v>
      </c>
      <c r="N259" s="76">
        <f>$K$259-EFEITO!$M$259*EFEITO!$Z$259</f>
        <v>0</v>
      </c>
      <c r="O259" s="76">
        <f>$L$259-EFEITO!$O$259*EFEITO!$AA$259</f>
        <v>0</v>
      </c>
      <c r="P259" s="57"/>
      <c r="Q259" s="57"/>
      <c r="R259" s="57"/>
      <c r="S259" s="57"/>
      <c r="T259" s="57"/>
      <c r="U259" s="57"/>
      <c r="V259" s="57"/>
      <c r="W259" s="57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53" t="s">
        <v>21</v>
      </c>
      <c r="B260" s="53" t="s">
        <v>39</v>
      </c>
      <c r="C260" s="53" t="s">
        <v>40</v>
      </c>
      <c r="D260" s="53" t="s">
        <v>41</v>
      </c>
      <c r="E260" s="53" t="s">
        <v>25</v>
      </c>
      <c r="F260" s="53" t="s">
        <v>25</v>
      </c>
      <c r="G260" s="53" t="s">
        <v>25</v>
      </c>
      <c r="H260" s="53" t="s">
        <v>25</v>
      </c>
      <c r="I260" s="75">
        <v>44652</v>
      </c>
      <c r="J260" s="76">
        <f ca="1">EFEITO!$J$260*EFEITO!$Y$260</f>
        <v>116055.00439424226</v>
      </c>
      <c r="K260" s="76">
        <f>EFEITO!$L$260*EFEITO!$Z$260</f>
        <v>0</v>
      </c>
      <c r="L260" s="76">
        <f>EFEITO!$N$260*EFEITO!$AA$260</f>
        <v>0</v>
      </c>
      <c r="M260" s="76">
        <f ca="1">$J$260-EFEITO!$K$260*EFEITO!$Y$260</f>
        <v>0</v>
      </c>
      <c r="N260" s="76">
        <f>$K$260-EFEITO!$M$260*EFEITO!$Z$260</f>
        <v>0</v>
      </c>
      <c r="O260" s="76">
        <f>$L$260-EFEITO!$O$260*EFEITO!$AA$260</f>
        <v>0</v>
      </c>
      <c r="P260" s="57"/>
      <c r="Q260" s="57"/>
      <c r="R260" s="57"/>
      <c r="S260" s="57"/>
      <c r="T260" s="57"/>
      <c r="U260" s="57"/>
      <c r="V260" s="57"/>
      <c r="W260" s="57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53" t="s">
        <v>27</v>
      </c>
      <c r="B261" s="53" t="s">
        <v>39</v>
      </c>
      <c r="C261" s="53" t="s">
        <v>40</v>
      </c>
      <c r="D261" s="53" t="s">
        <v>41</v>
      </c>
      <c r="E261" s="53" t="s">
        <v>25</v>
      </c>
      <c r="F261" s="53" t="s">
        <v>25</v>
      </c>
      <c r="G261" s="53" t="s">
        <v>25</v>
      </c>
      <c r="H261" s="53" t="s">
        <v>25</v>
      </c>
      <c r="I261" s="75">
        <v>44652</v>
      </c>
      <c r="J261" s="76">
        <f ca="1">EFEITO!$J$261*EFEITO!$Y$261</f>
        <v>734.8741769462863</v>
      </c>
      <c r="K261" s="76">
        <f>EFEITO!$L$261*EFEITO!$Z$261</f>
        <v>0</v>
      </c>
      <c r="L261" s="76">
        <f>EFEITO!$N$261*EFEITO!$AA$261</f>
        <v>0</v>
      </c>
      <c r="M261" s="76">
        <f ca="1">$J$261-EFEITO!$K$261*EFEITO!$Y$261</f>
        <v>0</v>
      </c>
      <c r="N261" s="76">
        <f>$K$261-EFEITO!$M$261*EFEITO!$Z$261</f>
        <v>0</v>
      </c>
      <c r="O261" s="76">
        <f>$L$261-EFEITO!$O$261*EFEITO!$AA$261</f>
        <v>0</v>
      </c>
      <c r="P261" s="57"/>
      <c r="Q261" s="57"/>
      <c r="R261" s="57"/>
      <c r="S261" s="57"/>
      <c r="T261" s="57"/>
      <c r="U261" s="57"/>
      <c r="V261" s="57"/>
      <c r="W261" s="57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53" t="s">
        <v>28</v>
      </c>
      <c r="B262" s="53" t="s">
        <v>39</v>
      </c>
      <c r="C262" s="53" t="s">
        <v>40</v>
      </c>
      <c r="D262" s="53" t="s">
        <v>41</v>
      </c>
      <c r="E262" s="53" t="s">
        <v>25</v>
      </c>
      <c r="F262" s="53" t="s">
        <v>25</v>
      </c>
      <c r="G262" s="53" t="s">
        <v>25</v>
      </c>
      <c r="H262" s="53" t="s">
        <v>25</v>
      </c>
      <c r="I262" s="75">
        <v>44652</v>
      </c>
      <c r="J262" s="76">
        <f ca="1">EFEITO!$J$262*EFEITO!$Y$262</f>
        <v>6264.8023584670909</v>
      </c>
      <c r="K262" s="76">
        <f>EFEITO!$L$262*EFEITO!$Z$262</f>
        <v>0</v>
      </c>
      <c r="L262" s="76">
        <f>EFEITO!$N$262*EFEITO!$AA$262</f>
        <v>0</v>
      </c>
      <c r="M262" s="76">
        <f ca="1">$J$262-EFEITO!$K$262*EFEITO!$Y$262</f>
        <v>0</v>
      </c>
      <c r="N262" s="76">
        <f>$K$262-EFEITO!$M$262*EFEITO!$Z$262</f>
        <v>0</v>
      </c>
      <c r="O262" s="76">
        <f>$L$262-EFEITO!$O$262*EFEITO!$AA$262</f>
        <v>0</v>
      </c>
      <c r="P262" s="57"/>
      <c r="Q262" s="57"/>
      <c r="R262" s="57"/>
      <c r="S262" s="57"/>
      <c r="T262" s="57"/>
      <c r="U262" s="57"/>
      <c r="V262" s="57"/>
      <c r="W262" s="57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53" t="s">
        <v>21</v>
      </c>
      <c r="B263" s="53" t="s">
        <v>39</v>
      </c>
      <c r="C263" s="53" t="s">
        <v>40</v>
      </c>
      <c r="D263" s="53" t="s">
        <v>41</v>
      </c>
      <c r="E263" s="53" t="s">
        <v>25</v>
      </c>
      <c r="F263" s="53" t="s">
        <v>25</v>
      </c>
      <c r="G263" s="53" t="s">
        <v>25</v>
      </c>
      <c r="H263" s="53" t="s">
        <v>25</v>
      </c>
      <c r="I263" s="75">
        <v>44682</v>
      </c>
      <c r="J263" s="76">
        <f ca="1">EFEITO!$J$263*EFEITO!$Y$263</f>
        <v>114621.99974919701</v>
      </c>
      <c r="K263" s="76">
        <f>EFEITO!$L$263*EFEITO!$Z$263</f>
        <v>0</v>
      </c>
      <c r="L263" s="76">
        <f>EFEITO!$N$263*EFEITO!$AA$263</f>
        <v>0</v>
      </c>
      <c r="M263" s="76">
        <f ca="1">$J$263-EFEITO!$K$263*EFEITO!$Y$263</f>
        <v>0</v>
      </c>
      <c r="N263" s="76">
        <f>$K$263-EFEITO!$M$263*EFEITO!$Z$263</f>
        <v>0</v>
      </c>
      <c r="O263" s="76">
        <f>$L$263-EFEITO!$O$263*EFEITO!$AA$263</f>
        <v>0</v>
      </c>
      <c r="P263" s="57"/>
      <c r="Q263" s="57"/>
      <c r="R263" s="57"/>
      <c r="S263" s="57"/>
      <c r="T263" s="57"/>
      <c r="U263" s="57"/>
      <c r="V263" s="57"/>
      <c r="W263" s="57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53" t="s">
        <v>28</v>
      </c>
      <c r="B264" s="53" t="s">
        <v>39</v>
      </c>
      <c r="C264" s="53" t="s">
        <v>40</v>
      </c>
      <c r="D264" s="53" t="s">
        <v>41</v>
      </c>
      <c r="E264" s="53" t="s">
        <v>25</v>
      </c>
      <c r="F264" s="53" t="s">
        <v>25</v>
      </c>
      <c r="G264" s="53" t="s">
        <v>25</v>
      </c>
      <c r="H264" s="53" t="s">
        <v>25</v>
      </c>
      <c r="I264" s="75">
        <v>44682</v>
      </c>
      <c r="J264" s="76">
        <f ca="1">EFEITO!$J$264*EFEITO!$Y$264</f>
        <v>6081.0838142305192</v>
      </c>
      <c r="K264" s="76">
        <f>EFEITO!$L$264*EFEITO!$Z$264</f>
        <v>0</v>
      </c>
      <c r="L264" s="76">
        <f>EFEITO!$N$264*EFEITO!$AA$264</f>
        <v>0</v>
      </c>
      <c r="M264" s="76">
        <f ca="1">$J$264-EFEITO!$K$264*EFEITO!$Y$264</f>
        <v>0</v>
      </c>
      <c r="N264" s="76">
        <f>$K$264-EFEITO!$M$264*EFEITO!$Z$264</f>
        <v>0</v>
      </c>
      <c r="O264" s="76">
        <f>$L$264-EFEITO!$O$264*EFEITO!$AA$264</f>
        <v>0</v>
      </c>
      <c r="P264" s="57"/>
      <c r="Q264" s="57"/>
      <c r="R264" s="57"/>
      <c r="S264" s="57"/>
      <c r="T264" s="57"/>
      <c r="U264" s="57"/>
      <c r="V264" s="57"/>
      <c r="W264" s="57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53" t="s">
        <v>21</v>
      </c>
      <c r="B265" s="53" t="s">
        <v>39</v>
      </c>
      <c r="C265" s="53" t="s">
        <v>40</v>
      </c>
      <c r="D265" s="53" t="s">
        <v>41</v>
      </c>
      <c r="E265" s="53" t="s">
        <v>25</v>
      </c>
      <c r="F265" s="53" t="s">
        <v>25</v>
      </c>
      <c r="G265" s="53" t="s">
        <v>25</v>
      </c>
      <c r="H265" s="53" t="s">
        <v>25</v>
      </c>
      <c r="I265" s="75">
        <v>44713</v>
      </c>
      <c r="J265" s="76">
        <f ca="1">EFEITO!$J$265*EFEITO!$Y$265</f>
        <v>115154.78352748307</v>
      </c>
      <c r="K265" s="76">
        <f>EFEITO!$L$265*EFEITO!$Z$265</f>
        <v>0</v>
      </c>
      <c r="L265" s="76">
        <f>EFEITO!$N$265*EFEITO!$AA$265</f>
        <v>0</v>
      </c>
      <c r="M265" s="76">
        <f ca="1">$J$265-EFEITO!$K$265*EFEITO!$Y$265</f>
        <v>0</v>
      </c>
      <c r="N265" s="76">
        <f>$K$265-EFEITO!$M$265*EFEITO!$Z$265</f>
        <v>0</v>
      </c>
      <c r="O265" s="76">
        <f>$L$265-EFEITO!$O$265*EFEITO!$AA$265</f>
        <v>0</v>
      </c>
      <c r="P265" s="57"/>
      <c r="Q265" s="57"/>
      <c r="R265" s="57"/>
      <c r="S265" s="57"/>
      <c r="T265" s="57"/>
      <c r="U265" s="57"/>
      <c r="V265" s="57"/>
      <c r="W265" s="57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53" t="s">
        <v>28</v>
      </c>
      <c r="B266" s="53" t="s">
        <v>39</v>
      </c>
      <c r="C266" s="53" t="s">
        <v>40</v>
      </c>
      <c r="D266" s="53" t="s">
        <v>41</v>
      </c>
      <c r="E266" s="53" t="s">
        <v>25</v>
      </c>
      <c r="F266" s="53" t="s">
        <v>25</v>
      </c>
      <c r="G266" s="53" t="s">
        <v>25</v>
      </c>
      <c r="H266" s="53" t="s">
        <v>25</v>
      </c>
      <c r="I266" s="75">
        <v>44713</v>
      </c>
      <c r="J266" s="76">
        <f ca="1">EFEITO!$J$266*EFEITO!$Y$266</f>
        <v>6062.7119598068621</v>
      </c>
      <c r="K266" s="76">
        <f>EFEITO!$L$266*EFEITO!$Z$266</f>
        <v>0</v>
      </c>
      <c r="L266" s="76">
        <f>EFEITO!$N$266*EFEITO!$AA$266</f>
        <v>0</v>
      </c>
      <c r="M266" s="76">
        <f ca="1">$J$266-EFEITO!$K$266*EFEITO!$Y$266</f>
        <v>0</v>
      </c>
      <c r="N266" s="76">
        <f>$K$266-EFEITO!$M$266*EFEITO!$Z$266</f>
        <v>0</v>
      </c>
      <c r="O266" s="76">
        <f>$L$266-EFEITO!$O$266*EFEITO!$AA$266</f>
        <v>0</v>
      </c>
      <c r="P266" s="57"/>
      <c r="Q266" s="57"/>
      <c r="R266" s="57"/>
      <c r="S266" s="57"/>
      <c r="T266" s="57"/>
      <c r="U266" s="57"/>
      <c r="V266" s="57"/>
      <c r="W266" s="57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53" t="s">
        <v>21</v>
      </c>
      <c r="B267" s="53" t="s">
        <v>39</v>
      </c>
      <c r="C267" s="53" t="s">
        <v>40</v>
      </c>
      <c r="D267" s="53" t="s">
        <v>41</v>
      </c>
      <c r="E267" s="53" t="s">
        <v>25</v>
      </c>
      <c r="F267" s="53" t="s">
        <v>25</v>
      </c>
      <c r="G267" s="53" t="s">
        <v>25</v>
      </c>
      <c r="H267" s="53" t="s">
        <v>25</v>
      </c>
      <c r="I267" s="75">
        <v>44743</v>
      </c>
      <c r="J267" s="76">
        <f ca="1">EFEITO!$J$267*EFEITO!$Y$267</f>
        <v>111572.27191486993</v>
      </c>
      <c r="K267" s="76">
        <f>EFEITO!$L$267*EFEITO!$Z$267</f>
        <v>0</v>
      </c>
      <c r="L267" s="76">
        <f>EFEITO!$N$267*EFEITO!$AA$267</f>
        <v>0</v>
      </c>
      <c r="M267" s="76">
        <f ca="1">$J$267-EFEITO!$K$267*EFEITO!$Y$267</f>
        <v>0</v>
      </c>
      <c r="N267" s="76">
        <f>$K$267-EFEITO!$M$267*EFEITO!$Z$267</f>
        <v>0</v>
      </c>
      <c r="O267" s="76">
        <f>$L$267-EFEITO!$O$267*EFEITO!$AA$267</f>
        <v>0</v>
      </c>
      <c r="P267" s="57"/>
      <c r="Q267" s="57"/>
      <c r="R267" s="57"/>
      <c r="S267" s="57"/>
      <c r="T267" s="57"/>
      <c r="U267" s="57"/>
      <c r="V267" s="57"/>
      <c r="W267" s="57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53" t="s">
        <v>28</v>
      </c>
      <c r="B268" s="53" t="s">
        <v>39</v>
      </c>
      <c r="C268" s="53" t="s">
        <v>40</v>
      </c>
      <c r="D268" s="53" t="s">
        <v>41</v>
      </c>
      <c r="E268" s="53" t="s">
        <v>25</v>
      </c>
      <c r="F268" s="53" t="s">
        <v>25</v>
      </c>
      <c r="G268" s="53" t="s">
        <v>25</v>
      </c>
      <c r="H268" s="53" t="s">
        <v>25</v>
      </c>
      <c r="I268" s="75">
        <v>44743</v>
      </c>
      <c r="J268" s="76">
        <f ca="1">EFEITO!$J$268*EFEITO!$Y$268</f>
        <v>6485.264611550977</v>
      </c>
      <c r="K268" s="76">
        <f>EFEITO!$L$268*EFEITO!$Z$268</f>
        <v>0</v>
      </c>
      <c r="L268" s="76">
        <f>EFEITO!$N$268*EFEITO!$AA$268</f>
        <v>0</v>
      </c>
      <c r="M268" s="76">
        <f ca="1">$J$268-EFEITO!$K$268*EFEITO!$Y$268</f>
        <v>0</v>
      </c>
      <c r="N268" s="76">
        <f>$K$268-EFEITO!$M$268*EFEITO!$Z$268</f>
        <v>0</v>
      </c>
      <c r="O268" s="76">
        <f>$L$268-EFEITO!$O$268*EFEITO!$AA$268</f>
        <v>0</v>
      </c>
      <c r="P268" s="57"/>
      <c r="Q268" s="57"/>
      <c r="R268" s="57"/>
      <c r="S268" s="57"/>
      <c r="T268" s="57"/>
      <c r="U268" s="57"/>
      <c r="V268" s="57"/>
      <c r="W268" s="57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53" t="s">
        <v>56</v>
      </c>
      <c r="B269" s="53" t="s">
        <v>39</v>
      </c>
      <c r="C269" s="53" t="s">
        <v>40</v>
      </c>
      <c r="D269" s="53" t="s">
        <v>41</v>
      </c>
      <c r="E269" s="53" t="s">
        <v>25</v>
      </c>
      <c r="F269" s="53" t="s">
        <v>25</v>
      </c>
      <c r="G269" s="53" t="s">
        <v>25</v>
      </c>
      <c r="H269" s="53" t="s">
        <v>25</v>
      </c>
      <c r="I269" s="75">
        <v>44774</v>
      </c>
      <c r="J269" s="76">
        <f ca="1">EFEITO!$J$269*EFEITO!$Y$269</f>
        <v>111572.27191486993</v>
      </c>
      <c r="K269" s="76">
        <f>EFEITO!$L$269*EFEITO!$Z$269</f>
        <v>0</v>
      </c>
      <c r="L269" s="76">
        <f>EFEITO!$N$269*EFEITO!$AA$269</f>
        <v>0</v>
      </c>
      <c r="M269" s="76">
        <f ca="1">$J$269-EFEITO!$K$269*EFEITO!$Y$269</f>
        <v>0</v>
      </c>
      <c r="N269" s="76">
        <f>$K$269-EFEITO!$M$269*EFEITO!$Z$269</f>
        <v>0</v>
      </c>
      <c r="O269" s="76">
        <f>$L$269-EFEITO!$O$269*EFEITO!$AA$269</f>
        <v>0</v>
      </c>
      <c r="P269" s="57"/>
      <c r="Q269" s="57"/>
      <c r="R269" s="57"/>
      <c r="S269" s="57"/>
      <c r="T269" s="57"/>
      <c r="U269" s="57"/>
      <c r="V269" s="57"/>
      <c r="W269" s="57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53" t="s">
        <v>56</v>
      </c>
      <c r="B270" s="53" t="s">
        <v>39</v>
      </c>
      <c r="C270" s="53" t="s">
        <v>40</v>
      </c>
      <c r="D270" s="53" t="s">
        <v>41</v>
      </c>
      <c r="E270" s="53" t="s">
        <v>25</v>
      </c>
      <c r="F270" s="53" t="s">
        <v>25</v>
      </c>
      <c r="G270" s="53" t="s">
        <v>25</v>
      </c>
      <c r="H270" s="53" t="s">
        <v>25</v>
      </c>
      <c r="I270" s="75">
        <v>44774</v>
      </c>
      <c r="J270" s="76">
        <f ca="1">EFEITO!$J$270*EFEITO!$Y$270</f>
        <v>6485.264611550977</v>
      </c>
      <c r="K270" s="76">
        <f>EFEITO!$L$270*EFEITO!$Z$270</f>
        <v>0</v>
      </c>
      <c r="L270" s="76">
        <f>EFEITO!$N$270*EFEITO!$AA$270</f>
        <v>0</v>
      </c>
      <c r="M270" s="76">
        <f ca="1">$J$270-EFEITO!$K$270*EFEITO!$Y$270</f>
        <v>0</v>
      </c>
      <c r="N270" s="76">
        <f>$K$270-EFEITO!$M$270*EFEITO!$Z$270</f>
        <v>0</v>
      </c>
      <c r="O270" s="76">
        <f>$L$270-EFEITO!$O$270*EFEITO!$AA$270</f>
        <v>0</v>
      </c>
      <c r="P270" s="57"/>
      <c r="Q270" s="57"/>
      <c r="R270" s="57"/>
      <c r="S270" s="57"/>
      <c r="T270" s="57"/>
      <c r="U270" s="57"/>
      <c r="V270" s="57"/>
      <c r="W270" s="57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53" t="s">
        <v>21</v>
      </c>
      <c r="B271" s="53" t="s">
        <v>39</v>
      </c>
      <c r="C271" s="53" t="s">
        <v>40</v>
      </c>
      <c r="D271" s="53" t="s">
        <v>41</v>
      </c>
      <c r="E271" s="53" t="s">
        <v>25</v>
      </c>
      <c r="F271" s="53" t="s">
        <v>25</v>
      </c>
      <c r="G271" s="53" t="s">
        <v>25</v>
      </c>
      <c r="H271" s="53" t="s">
        <v>34</v>
      </c>
      <c r="I271" s="75">
        <v>44440</v>
      </c>
      <c r="J271" s="76">
        <f>EFEITO!$J$271*EFEITO!$Y$271</f>
        <v>0</v>
      </c>
      <c r="K271" s="76">
        <f ca="1">EFEITO!$L$271*EFEITO!$Z$271</f>
        <v>79095.733223846357</v>
      </c>
      <c r="L271" s="76">
        <f>EFEITO!$N$271*EFEITO!$AA$271</f>
        <v>25085.290786512494</v>
      </c>
      <c r="M271" s="76">
        <f>$J$271-EFEITO!$K$271*EFEITO!$Y$271</f>
        <v>0</v>
      </c>
      <c r="N271" s="76">
        <f ca="1">$K$271-EFEITO!$M$271*EFEITO!$Z$271</f>
        <v>0</v>
      </c>
      <c r="O271" s="76">
        <f>$L$271-EFEITO!$O$271*EFEITO!$AA$271</f>
        <v>0</v>
      </c>
      <c r="P271" s="57"/>
      <c r="Q271" s="57"/>
      <c r="R271" s="57"/>
      <c r="S271" s="57"/>
      <c r="T271" s="57"/>
      <c r="U271" s="57"/>
      <c r="V271" s="57"/>
      <c r="W271" s="57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53" t="s">
        <v>28</v>
      </c>
      <c r="B272" s="53" t="s">
        <v>39</v>
      </c>
      <c r="C272" s="53" t="s">
        <v>40</v>
      </c>
      <c r="D272" s="53" t="s">
        <v>41</v>
      </c>
      <c r="E272" s="53" t="s">
        <v>25</v>
      </c>
      <c r="F272" s="53" t="s">
        <v>25</v>
      </c>
      <c r="G272" s="53" t="s">
        <v>25</v>
      </c>
      <c r="H272" s="53" t="s">
        <v>34</v>
      </c>
      <c r="I272" s="75">
        <v>44440</v>
      </c>
      <c r="J272" s="76">
        <f>EFEITO!$J$272*EFEITO!$Y$272</f>
        <v>0</v>
      </c>
      <c r="K272" s="76">
        <f ca="1">EFEITO!$L$272*EFEITO!$Z$272</f>
        <v>5438.6072351712128</v>
      </c>
      <c r="L272" s="76">
        <f>EFEITO!$N$272*EFEITO!$AA$272</f>
        <v>1724.8597162857959</v>
      </c>
      <c r="M272" s="76">
        <f>$J$272-EFEITO!$K$272*EFEITO!$Y$272</f>
        <v>0</v>
      </c>
      <c r="N272" s="76">
        <f ca="1">$K$272-EFEITO!$M$272*EFEITO!$Z$272</f>
        <v>0</v>
      </c>
      <c r="O272" s="76">
        <f>$L$272-EFEITO!$O$272*EFEITO!$AA$272</f>
        <v>0</v>
      </c>
      <c r="P272" s="57"/>
      <c r="Q272" s="57"/>
      <c r="R272" s="57"/>
      <c r="S272" s="57"/>
      <c r="T272" s="57"/>
      <c r="U272" s="57"/>
      <c r="V272" s="57"/>
      <c r="W272" s="57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53" t="s">
        <v>21</v>
      </c>
      <c r="B273" s="53" t="s">
        <v>39</v>
      </c>
      <c r="C273" s="53" t="s">
        <v>40</v>
      </c>
      <c r="D273" s="53" t="s">
        <v>41</v>
      </c>
      <c r="E273" s="53" t="s">
        <v>25</v>
      </c>
      <c r="F273" s="53" t="s">
        <v>25</v>
      </c>
      <c r="G273" s="53" t="s">
        <v>25</v>
      </c>
      <c r="H273" s="53" t="s">
        <v>34</v>
      </c>
      <c r="I273" s="75">
        <v>44470</v>
      </c>
      <c r="J273" s="76">
        <f>EFEITO!$J$273*EFEITO!$Y$273</f>
        <v>0</v>
      </c>
      <c r="K273" s="76">
        <f ca="1">EFEITO!$L$273*EFEITO!$Z$273</f>
        <v>84413.312298009536</v>
      </c>
      <c r="L273" s="76">
        <f>EFEITO!$N$273*EFEITO!$AA$273</f>
        <v>26771.766300661231</v>
      </c>
      <c r="M273" s="76">
        <f>$J$273-EFEITO!$K$273*EFEITO!$Y$273</f>
        <v>0</v>
      </c>
      <c r="N273" s="76">
        <f ca="1">$K$273-EFEITO!$M$273*EFEITO!$Z$273</f>
        <v>0</v>
      </c>
      <c r="O273" s="76">
        <f>$L$273-EFEITO!$O$273*EFEITO!$AA$273</f>
        <v>0</v>
      </c>
      <c r="P273" s="57"/>
      <c r="Q273" s="57"/>
      <c r="R273" s="57"/>
      <c r="S273" s="57"/>
      <c r="T273" s="57"/>
      <c r="U273" s="57"/>
      <c r="V273" s="57"/>
      <c r="W273" s="57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53" t="s">
        <v>28</v>
      </c>
      <c r="B274" s="53" t="s">
        <v>39</v>
      </c>
      <c r="C274" s="53" t="s">
        <v>40</v>
      </c>
      <c r="D274" s="53" t="s">
        <v>41</v>
      </c>
      <c r="E274" s="53" t="s">
        <v>25</v>
      </c>
      <c r="F274" s="53" t="s">
        <v>25</v>
      </c>
      <c r="G274" s="53" t="s">
        <v>25</v>
      </c>
      <c r="H274" s="53" t="s">
        <v>34</v>
      </c>
      <c r="I274" s="75">
        <v>44470</v>
      </c>
      <c r="J274" s="76">
        <f>EFEITO!$J$274*EFEITO!$Y$274</f>
        <v>0</v>
      </c>
      <c r="K274" s="76">
        <f ca="1">EFEITO!$L$274*EFEITO!$Z$274</f>
        <v>3408.704534719986</v>
      </c>
      <c r="L274" s="76">
        <f>EFEITO!$N$274*EFEITO!$AA$274</f>
        <v>1081.0740475312384</v>
      </c>
      <c r="M274" s="76">
        <f>$J$274-EFEITO!$K$274*EFEITO!$Y$274</f>
        <v>0</v>
      </c>
      <c r="N274" s="76">
        <f ca="1">$K$274-EFEITO!$M$274*EFEITO!$Z$274</f>
        <v>0</v>
      </c>
      <c r="O274" s="76">
        <f>$L$274-EFEITO!$O$274*EFEITO!$AA$274</f>
        <v>0</v>
      </c>
      <c r="P274" s="57"/>
      <c r="Q274" s="57"/>
      <c r="R274" s="57"/>
      <c r="S274" s="57"/>
      <c r="T274" s="57"/>
      <c r="U274" s="57"/>
      <c r="V274" s="57"/>
      <c r="W274" s="57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53" t="s">
        <v>21</v>
      </c>
      <c r="B275" s="53" t="s">
        <v>39</v>
      </c>
      <c r="C275" s="53" t="s">
        <v>40</v>
      </c>
      <c r="D275" s="53" t="s">
        <v>41</v>
      </c>
      <c r="E275" s="53" t="s">
        <v>25</v>
      </c>
      <c r="F275" s="53" t="s">
        <v>25</v>
      </c>
      <c r="G275" s="53" t="s">
        <v>25</v>
      </c>
      <c r="H275" s="53" t="s">
        <v>34</v>
      </c>
      <c r="I275" s="75">
        <v>44501</v>
      </c>
      <c r="J275" s="76">
        <f>EFEITO!$J$275*EFEITO!$Y$275</f>
        <v>0</v>
      </c>
      <c r="K275" s="76">
        <f ca="1">EFEITO!$L$275*EFEITO!$Z$275</f>
        <v>71599.647251538539</v>
      </c>
      <c r="L275" s="76">
        <f>EFEITO!$N$275*EFEITO!$AA$275</f>
        <v>22707.899633896606</v>
      </c>
      <c r="M275" s="76">
        <f>$J$275-EFEITO!$K$275*EFEITO!$Y$275</f>
        <v>0</v>
      </c>
      <c r="N275" s="76">
        <f ca="1">$K$275-EFEITO!$M$275*EFEITO!$Z$275</f>
        <v>0</v>
      </c>
      <c r="O275" s="76">
        <f>$L$275-EFEITO!$O$275*EFEITO!$AA$275</f>
        <v>0</v>
      </c>
      <c r="P275" s="57"/>
      <c r="Q275" s="57"/>
      <c r="R275" s="57"/>
      <c r="S275" s="57"/>
      <c r="T275" s="57"/>
      <c r="U275" s="57"/>
      <c r="V275" s="57"/>
      <c r="W275" s="57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53" t="s">
        <v>28</v>
      </c>
      <c r="B276" s="53" t="s">
        <v>39</v>
      </c>
      <c r="C276" s="53" t="s">
        <v>40</v>
      </c>
      <c r="D276" s="53" t="s">
        <v>41</v>
      </c>
      <c r="E276" s="53" t="s">
        <v>25</v>
      </c>
      <c r="F276" s="53" t="s">
        <v>25</v>
      </c>
      <c r="G276" s="53" t="s">
        <v>25</v>
      </c>
      <c r="H276" s="53" t="s">
        <v>34</v>
      </c>
      <c r="I276" s="75">
        <v>44501</v>
      </c>
      <c r="J276" s="76">
        <f>EFEITO!$J$276*EFEITO!$Y$276</f>
        <v>0</v>
      </c>
      <c r="K276" s="76">
        <f ca="1">EFEITO!$L$276*EFEITO!$Z$276</f>
        <v>2518.6113505975982</v>
      </c>
      <c r="L276" s="76">
        <f>EFEITO!$N$276*EFEITO!$AA$276</f>
        <v>798.78010523207001</v>
      </c>
      <c r="M276" s="76">
        <f>$J$276-EFEITO!$K$276*EFEITO!$Y$276</f>
        <v>0</v>
      </c>
      <c r="N276" s="76">
        <f ca="1">$K$276-EFEITO!$M$276*EFEITO!$Z$276</f>
        <v>0</v>
      </c>
      <c r="O276" s="76">
        <f>$L$276-EFEITO!$O$276*EFEITO!$AA$276</f>
        <v>0</v>
      </c>
      <c r="P276" s="57"/>
      <c r="Q276" s="57"/>
      <c r="R276" s="57"/>
      <c r="S276" s="57"/>
      <c r="T276" s="57"/>
      <c r="U276" s="57"/>
      <c r="V276" s="57"/>
      <c r="W276" s="57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53" t="s">
        <v>21</v>
      </c>
      <c r="B277" s="53" t="s">
        <v>39</v>
      </c>
      <c r="C277" s="53" t="s">
        <v>40</v>
      </c>
      <c r="D277" s="53" t="s">
        <v>41</v>
      </c>
      <c r="E277" s="53" t="s">
        <v>25</v>
      </c>
      <c r="F277" s="53" t="s">
        <v>25</v>
      </c>
      <c r="G277" s="53" t="s">
        <v>25</v>
      </c>
      <c r="H277" s="53" t="s">
        <v>34</v>
      </c>
      <c r="I277" s="75">
        <v>44531</v>
      </c>
      <c r="J277" s="76">
        <f>EFEITO!$J$277*EFEITO!$Y$277</f>
        <v>0</v>
      </c>
      <c r="K277" s="76">
        <f ca="1">EFEITO!$L$277*EFEITO!$Z$277</f>
        <v>80977.031726604167</v>
      </c>
      <c r="L277" s="76">
        <f>EFEITO!$N$277*EFEITO!$AA$277</f>
        <v>25681.946485554457</v>
      </c>
      <c r="M277" s="76">
        <f>$J$277-EFEITO!$K$277*EFEITO!$Y$277</f>
        <v>0</v>
      </c>
      <c r="N277" s="76">
        <f ca="1">$K$277-EFEITO!$M$277*EFEITO!$Z$277</f>
        <v>0</v>
      </c>
      <c r="O277" s="76">
        <f>$L$277-EFEITO!$O$277*EFEITO!$AA$277</f>
        <v>0</v>
      </c>
      <c r="P277" s="57"/>
      <c r="Q277" s="57"/>
      <c r="R277" s="57"/>
      <c r="S277" s="57"/>
      <c r="T277" s="57"/>
      <c r="U277" s="57"/>
      <c r="V277" s="57"/>
      <c r="W277" s="57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53" t="s">
        <v>28</v>
      </c>
      <c r="B278" s="53" t="s">
        <v>39</v>
      </c>
      <c r="C278" s="53" t="s">
        <v>40</v>
      </c>
      <c r="D278" s="53" t="s">
        <v>41</v>
      </c>
      <c r="E278" s="53" t="s">
        <v>25</v>
      </c>
      <c r="F278" s="53" t="s">
        <v>25</v>
      </c>
      <c r="G278" s="53" t="s">
        <v>25</v>
      </c>
      <c r="H278" s="53" t="s">
        <v>34</v>
      </c>
      <c r="I278" s="75">
        <v>44531</v>
      </c>
      <c r="J278" s="76">
        <f>EFEITO!$J$278*EFEITO!$Y$278</f>
        <v>0</v>
      </c>
      <c r="K278" s="76">
        <f ca="1">EFEITO!$L$278*EFEITO!$Z$278</f>
        <v>3260.1003370265753</v>
      </c>
      <c r="L278" s="76">
        <f>EFEITO!$N$278*EFEITO!$AA$278</f>
        <v>1033.9440778186406</v>
      </c>
      <c r="M278" s="76">
        <f>$J$278-EFEITO!$K$278*EFEITO!$Y$278</f>
        <v>0</v>
      </c>
      <c r="N278" s="76">
        <f ca="1">$K$278-EFEITO!$M$278*EFEITO!$Z$278</f>
        <v>0</v>
      </c>
      <c r="O278" s="76">
        <f>$L$278-EFEITO!$O$278*EFEITO!$AA$278</f>
        <v>0</v>
      </c>
      <c r="P278" s="57"/>
      <c r="Q278" s="57"/>
      <c r="R278" s="57"/>
      <c r="S278" s="57"/>
      <c r="T278" s="57"/>
      <c r="U278" s="57"/>
      <c r="V278" s="57"/>
      <c r="W278" s="57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53" t="s">
        <v>21</v>
      </c>
      <c r="B279" s="53" t="s">
        <v>39</v>
      </c>
      <c r="C279" s="53" t="s">
        <v>40</v>
      </c>
      <c r="D279" s="53" t="s">
        <v>41</v>
      </c>
      <c r="E279" s="53" t="s">
        <v>25</v>
      </c>
      <c r="F279" s="53" t="s">
        <v>25</v>
      </c>
      <c r="G279" s="53" t="s">
        <v>25</v>
      </c>
      <c r="H279" s="53" t="s">
        <v>34</v>
      </c>
      <c r="I279" s="75">
        <v>44562</v>
      </c>
      <c r="J279" s="76">
        <f>EFEITO!$J$279*EFEITO!$Y$279</f>
        <v>0</v>
      </c>
      <c r="K279" s="76">
        <f ca="1">EFEITO!$L$279*EFEITO!$Z$279</f>
        <v>69491.61244714541</v>
      </c>
      <c r="L279" s="76">
        <f>EFEITO!$N$279*EFEITO!$AA$279</f>
        <v>22039.334290344705</v>
      </c>
      <c r="M279" s="76">
        <f>$J$279-EFEITO!$K$279*EFEITO!$Y$279</f>
        <v>0</v>
      </c>
      <c r="N279" s="76">
        <f ca="1">$K$279-EFEITO!$M$279*EFEITO!$Z$279</f>
        <v>0</v>
      </c>
      <c r="O279" s="76">
        <f>$L$279-EFEITO!$O$279*EFEITO!$AA$279</f>
        <v>0</v>
      </c>
      <c r="P279" s="57"/>
      <c r="Q279" s="57"/>
      <c r="R279" s="57"/>
      <c r="S279" s="57"/>
      <c r="T279" s="57"/>
      <c r="U279" s="57"/>
      <c r="V279" s="57"/>
      <c r="W279" s="57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53" t="s">
        <v>28</v>
      </c>
      <c r="B280" s="53" t="s">
        <v>39</v>
      </c>
      <c r="C280" s="53" t="s">
        <v>40</v>
      </c>
      <c r="D280" s="53" t="s">
        <v>41</v>
      </c>
      <c r="E280" s="53" t="s">
        <v>25</v>
      </c>
      <c r="F280" s="53" t="s">
        <v>25</v>
      </c>
      <c r="G280" s="53" t="s">
        <v>25</v>
      </c>
      <c r="H280" s="53" t="s">
        <v>34</v>
      </c>
      <c r="I280" s="75">
        <v>44562</v>
      </c>
      <c r="J280" s="76">
        <f>EFEITO!$J$280*EFEITO!$Y$280</f>
        <v>0</v>
      </c>
      <c r="K280" s="76">
        <f ca="1">EFEITO!$L$280*EFEITO!$Z$280</f>
        <v>2360.8151406757293</v>
      </c>
      <c r="L280" s="76">
        <f>EFEITO!$N$280*EFEITO!$AA$280</f>
        <v>748.73487966096104</v>
      </c>
      <c r="M280" s="76">
        <f>$J$280-EFEITO!$K$280*EFEITO!$Y$280</f>
        <v>0</v>
      </c>
      <c r="N280" s="76">
        <f ca="1">$K$280-EFEITO!$M$280*EFEITO!$Z$280</f>
        <v>0</v>
      </c>
      <c r="O280" s="76">
        <f>$L$280-EFEITO!$O$280*EFEITO!$AA$280</f>
        <v>0</v>
      </c>
      <c r="P280" s="57"/>
      <c r="Q280" s="57"/>
      <c r="R280" s="57"/>
      <c r="S280" s="57"/>
      <c r="T280" s="57"/>
      <c r="U280" s="57"/>
      <c r="V280" s="57"/>
      <c r="W280" s="57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53" t="s">
        <v>21</v>
      </c>
      <c r="B281" s="53" t="s">
        <v>39</v>
      </c>
      <c r="C281" s="53" t="s">
        <v>40</v>
      </c>
      <c r="D281" s="53" t="s">
        <v>41</v>
      </c>
      <c r="E281" s="53" t="s">
        <v>25</v>
      </c>
      <c r="F281" s="53" t="s">
        <v>25</v>
      </c>
      <c r="G281" s="53" t="s">
        <v>25</v>
      </c>
      <c r="H281" s="53" t="s">
        <v>34</v>
      </c>
      <c r="I281" s="75">
        <v>44593</v>
      </c>
      <c r="J281" s="76">
        <f>EFEITO!$J$281*EFEITO!$Y$281</f>
        <v>0</v>
      </c>
      <c r="K281" s="76">
        <f ca="1">EFEITO!$L$281*EFEITO!$Z$281</f>
        <v>93404.632259479913</v>
      </c>
      <c r="L281" s="76">
        <f>EFEITO!$N$281*EFEITO!$AA$281</f>
        <v>29623.372406261606</v>
      </c>
      <c r="M281" s="76">
        <f>$J$281-EFEITO!$K$281*EFEITO!$Y$281</f>
        <v>0</v>
      </c>
      <c r="N281" s="76">
        <f ca="1">$K$281-EFEITO!$M$281*EFEITO!$Z$281</f>
        <v>0</v>
      </c>
      <c r="O281" s="76">
        <f>$L$281-EFEITO!$O$281*EFEITO!$AA$281</f>
        <v>0</v>
      </c>
      <c r="P281" s="57"/>
      <c r="Q281" s="57"/>
      <c r="R281" s="57"/>
      <c r="S281" s="57"/>
      <c r="T281" s="57"/>
      <c r="U281" s="57"/>
      <c r="V281" s="57"/>
      <c r="W281" s="57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53" t="s">
        <v>28</v>
      </c>
      <c r="B282" s="53" t="s">
        <v>39</v>
      </c>
      <c r="C282" s="53" t="s">
        <v>40</v>
      </c>
      <c r="D282" s="53" t="s">
        <v>41</v>
      </c>
      <c r="E282" s="53" t="s">
        <v>25</v>
      </c>
      <c r="F282" s="53" t="s">
        <v>25</v>
      </c>
      <c r="G282" s="53" t="s">
        <v>25</v>
      </c>
      <c r="H282" s="53" t="s">
        <v>34</v>
      </c>
      <c r="I282" s="75">
        <v>44593</v>
      </c>
      <c r="J282" s="76">
        <f>EFEITO!$J$282*EFEITO!$Y$282</f>
        <v>0</v>
      </c>
      <c r="K282" s="76">
        <f ca="1">EFEITO!$L$282*EFEITO!$Z$282</f>
        <v>1469.1899545152658</v>
      </c>
      <c r="L282" s="76">
        <f>EFEITO!$N$282*EFEITO!$AA$282</f>
        <v>465.95506138537417</v>
      </c>
      <c r="M282" s="76">
        <f>$J$282-EFEITO!$K$282*EFEITO!$Y$282</f>
        <v>0</v>
      </c>
      <c r="N282" s="76">
        <f ca="1">$K$282-EFEITO!$M$282*EFEITO!$Z$282</f>
        <v>0</v>
      </c>
      <c r="O282" s="76">
        <f>$L$282-EFEITO!$O$282*EFEITO!$AA$282</f>
        <v>0</v>
      </c>
      <c r="P282" s="57"/>
      <c r="Q282" s="57"/>
      <c r="R282" s="57"/>
      <c r="S282" s="57"/>
      <c r="T282" s="57"/>
      <c r="U282" s="57"/>
      <c r="V282" s="57"/>
      <c r="W282" s="57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53" t="s">
        <v>21</v>
      </c>
      <c r="B283" s="53" t="s">
        <v>39</v>
      </c>
      <c r="C283" s="53" t="s">
        <v>40</v>
      </c>
      <c r="D283" s="53" t="s">
        <v>41</v>
      </c>
      <c r="E283" s="53" t="s">
        <v>25</v>
      </c>
      <c r="F283" s="53" t="s">
        <v>25</v>
      </c>
      <c r="G283" s="53" t="s">
        <v>25</v>
      </c>
      <c r="H283" s="53" t="s">
        <v>34</v>
      </c>
      <c r="I283" s="75">
        <v>44621</v>
      </c>
      <c r="J283" s="76">
        <f>EFEITO!$J$283*EFEITO!$Y$283</f>
        <v>0</v>
      </c>
      <c r="K283" s="76">
        <f ca="1">EFEITO!$L$283*EFEITO!$Z$283</f>
        <v>109000.41300709765</v>
      </c>
      <c r="L283" s="76">
        <f>EFEITO!$N$283*EFEITO!$AA$283</f>
        <v>34569.589846202281</v>
      </c>
      <c r="M283" s="76">
        <f>$J$283-EFEITO!$K$283*EFEITO!$Y$283</f>
        <v>0</v>
      </c>
      <c r="N283" s="76">
        <f ca="1">$K$283-EFEITO!$M$283*EFEITO!$Z$283</f>
        <v>0</v>
      </c>
      <c r="O283" s="76">
        <f>$L$283-EFEITO!$O$283*EFEITO!$AA$283</f>
        <v>0</v>
      </c>
      <c r="P283" s="57"/>
      <c r="Q283" s="57"/>
      <c r="R283" s="57"/>
      <c r="S283" s="57"/>
      <c r="T283" s="57"/>
      <c r="U283" s="57"/>
      <c r="V283" s="57"/>
      <c r="W283" s="57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53" t="s">
        <v>28</v>
      </c>
      <c r="B284" s="53" t="s">
        <v>39</v>
      </c>
      <c r="C284" s="53" t="s">
        <v>40</v>
      </c>
      <c r="D284" s="53" t="s">
        <v>41</v>
      </c>
      <c r="E284" s="53" t="s">
        <v>25</v>
      </c>
      <c r="F284" s="53" t="s">
        <v>25</v>
      </c>
      <c r="G284" s="53" t="s">
        <v>25</v>
      </c>
      <c r="H284" s="53" t="s">
        <v>34</v>
      </c>
      <c r="I284" s="75">
        <v>44621</v>
      </c>
      <c r="J284" s="76">
        <f>EFEITO!$J$284*EFEITO!$Y$284</f>
        <v>0</v>
      </c>
      <c r="K284" s="76">
        <f ca="1">EFEITO!$L$284*EFEITO!$Z$284</f>
        <v>2195.3589205634785</v>
      </c>
      <c r="L284" s="76">
        <f>EFEITO!$N$284*EFEITO!$AA$284</f>
        <v>696.26027420775938</v>
      </c>
      <c r="M284" s="76">
        <f>$J$284-EFEITO!$K$284*EFEITO!$Y$284</f>
        <v>0</v>
      </c>
      <c r="N284" s="76">
        <f ca="1">$K$284-EFEITO!$M$284*EFEITO!$Z$284</f>
        <v>0</v>
      </c>
      <c r="O284" s="76">
        <f>$L$284-EFEITO!$O$284*EFEITO!$AA$284</f>
        <v>0</v>
      </c>
      <c r="P284" s="57"/>
      <c r="Q284" s="57"/>
      <c r="R284" s="57"/>
      <c r="S284" s="57"/>
      <c r="T284" s="57"/>
      <c r="U284" s="57"/>
      <c r="V284" s="57"/>
      <c r="W284" s="57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53" t="s">
        <v>21</v>
      </c>
      <c r="B285" s="53" t="s">
        <v>39</v>
      </c>
      <c r="C285" s="53" t="s">
        <v>40</v>
      </c>
      <c r="D285" s="53" t="s">
        <v>41</v>
      </c>
      <c r="E285" s="53" t="s">
        <v>25</v>
      </c>
      <c r="F285" s="53" t="s">
        <v>25</v>
      </c>
      <c r="G285" s="53" t="s">
        <v>25</v>
      </c>
      <c r="H285" s="53" t="s">
        <v>34</v>
      </c>
      <c r="I285" s="75">
        <v>44652</v>
      </c>
      <c r="J285" s="76">
        <f>EFEITO!$J$285*EFEITO!$Y$285</f>
        <v>0</v>
      </c>
      <c r="K285" s="76">
        <f ca="1">EFEITO!$L$285*EFEITO!$Z$285</f>
        <v>99457.572311919765</v>
      </c>
      <c r="L285" s="76">
        <f>EFEITO!$N$285*EFEITO!$AA$285</f>
        <v>31543.068389091233</v>
      </c>
      <c r="M285" s="76">
        <f>$J$285-EFEITO!$K$285*EFEITO!$Y$285</f>
        <v>0</v>
      </c>
      <c r="N285" s="76">
        <f ca="1">$K$285-EFEITO!$M$285*EFEITO!$Z$285</f>
        <v>0</v>
      </c>
      <c r="O285" s="76">
        <f>$L$285-EFEITO!$O$285*EFEITO!$AA$285</f>
        <v>0</v>
      </c>
      <c r="P285" s="57"/>
      <c r="Q285" s="57"/>
      <c r="R285" s="57"/>
      <c r="S285" s="57"/>
      <c r="T285" s="57"/>
      <c r="U285" s="57"/>
      <c r="V285" s="57"/>
      <c r="W285" s="57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53" t="s">
        <v>28</v>
      </c>
      <c r="B286" s="53" t="s">
        <v>39</v>
      </c>
      <c r="C286" s="53" t="s">
        <v>40</v>
      </c>
      <c r="D286" s="53" t="s">
        <v>41</v>
      </c>
      <c r="E286" s="53" t="s">
        <v>25</v>
      </c>
      <c r="F286" s="53" t="s">
        <v>25</v>
      </c>
      <c r="G286" s="53" t="s">
        <v>25</v>
      </c>
      <c r="H286" s="53" t="s">
        <v>34</v>
      </c>
      <c r="I286" s="75">
        <v>44652</v>
      </c>
      <c r="J286" s="76">
        <f>EFEITO!$J$286*EFEITO!$Y$286</f>
        <v>0</v>
      </c>
      <c r="K286" s="76">
        <f ca="1">EFEITO!$L$286*EFEITO!$Z$286</f>
        <v>2939.9119110686079</v>
      </c>
      <c r="L286" s="76">
        <f>EFEITO!$N$286*EFEITO!$AA$286</f>
        <v>932.39599874716691</v>
      </c>
      <c r="M286" s="76">
        <f>$J$286-EFEITO!$K$286*EFEITO!$Y$286</f>
        <v>0</v>
      </c>
      <c r="N286" s="76">
        <f ca="1">$K$286-EFEITO!$M$286*EFEITO!$Z$286</f>
        <v>0</v>
      </c>
      <c r="O286" s="76">
        <f>$L$286-EFEITO!$O$286*EFEITO!$AA$286</f>
        <v>0</v>
      </c>
      <c r="P286" s="57"/>
      <c r="Q286" s="57"/>
      <c r="R286" s="57"/>
      <c r="S286" s="57"/>
      <c r="T286" s="57"/>
      <c r="U286" s="57"/>
      <c r="V286" s="57"/>
      <c r="W286" s="57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53" t="s">
        <v>21</v>
      </c>
      <c r="B287" s="53" t="s">
        <v>39</v>
      </c>
      <c r="C287" s="53" t="s">
        <v>40</v>
      </c>
      <c r="D287" s="53" t="s">
        <v>41</v>
      </c>
      <c r="E287" s="53" t="s">
        <v>25</v>
      </c>
      <c r="F287" s="53" t="s">
        <v>25</v>
      </c>
      <c r="G287" s="53" t="s">
        <v>25</v>
      </c>
      <c r="H287" s="53" t="s">
        <v>34</v>
      </c>
      <c r="I287" s="75">
        <v>44682</v>
      </c>
      <c r="J287" s="76">
        <f>EFEITO!$J$287*EFEITO!$Y$287</f>
        <v>0</v>
      </c>
      <c r="K287" s="76">
        <f ca="1">EFEITO!$L$287*EFEITO!$Z$287</f>
        <v>70562.481871760814</v>
      </c>
      <c r="L287" s="76">
        <f>EFEITO!$N$287*EFEITO!$AA$287</f>
        <v>22378.96159786126</v>
      </c>
      <c r="M287" s="76">
        <f>$J$287-EFEITO!$K$287*EFEITO!$Y$287</f>
        <v>0</v>
      </c>
      <c r="N287" s="76">
        <f ca="1">$K$287-EFEITO!$M$287*EFEITO!$Z$287</f>
        <v>0</v>
      </c>
      <c r="O287" s="76">
        <f>$L$287-EFEITO!$O$287*EFEITO!$AA$287</f>
        <v>0</v>
      </c>
      <c r="P287" s="57"/>
      <c r="Q287" s="57"/>
      <c r="R287" s="57"/>
      <c r="S287" s="57"/>
      <c r="T287" s="57"/>
      <c r="U287" s="57"/>
      <c r="V287" s="57"/>
      <c r="W287" s="57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53" t="s">
        <v>28</v>
      </c>
      <c r="B288" s="53" t="s">
        <v>39</v>
      </c>
      <c r="C288" s="53" t="s">
        <v>40</v>
      </c>
      <c r="D288" s="53" t="s">
        <v>41</v>
      </c>
      <c r="E288" s="53" t="s">
        <v>25</v>
      </c>
      <c r="F288" s="53" t="s">
        <v>25</v>
      </c>
      <c r="G288" s="53" t="s">
        <v>25</v>
      </c>
      <c r="H288" s="53" t="s">
        <v>34</v>
      </c>
      <c r="I288" s="75">
        <v>44682</v>
      </c>
      <c r="J288" s="76">
        <f>EFEITO!$J$288*EFEITO!$Y$288</f>
        <v>0</v>
      </c>
      <c r="K288" s="76">
        <f ca="1">EFEITO!$L$288*EFEITO!$Z$288</f>
        <v>2648.8315238340924</v>
      </c>
      <c r="L288" s="76">
        <f>EFEITO!$N$288*EFEITO!$AA$288</f>
        <v>840.07956322764551</v>
      </c>
      <c r="M288" s="76">
        <f>$J$288-EFEITO!$K$288*EFEITO!$Y$288</f>
        <v>0</v>
      </c>
      <c r="N288" s="76">
        <f ca="1">$K$288-EFEITO!$M$288*EFEITO!$Z$288</f>
        <v>0</v>
      </c>
      <c r="O288" s="76">
        <f>$L$288-EFEITO!$O$288*EFEITO!$AA$288</f>
        <v>0</v>
      </c>
      <c r="P288" s="57"/>
      <c r="Q288" s="57"/>
      <c r="R288" s="57"/>
      <c r="S288" s="57"/>
      <c r="T288" s="57"/>
      <c r="U288" s="57"/>
      <c r="V288" s="57"/>
      <c r="W288" s="57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53" t="s">
        <v>21</v>
      </c>
      <c r="B289" s="53" t="s">
        <v>39</v>
      </c>
      <c r="C289" s="53" t="s">
        <v>40</v>
      </c>
      <c r="D289" s="53" t="s">
        <v>41</v>
      </c>
      <c r="E289" s="53" t="s">
        <v>25</v>
      </c>
      <c r="F289" s="53" t="s">
        <v>25</v>
      </c>
      <c r="G289" s="53" t="s">
        <v>25</v>
      </c>
      <c r="H289" s="53" t="s">
        <v>34</v>
      </c>
      <c r="I289" s="75">
        <v>44713</v>
      </c>
      <c r="J289" s="76">
        <f>EFEITO!$J$289*EFEITO!$Y$289</f>
        <v>0</v>
      </c>
      <c r="K289" s="76">
        <f ca="1">EFEITO!$L$289*EFEITO!$Z$289</f>
        <v>75224.364073627294</v>
      </c>
      <c r="L289" s="76">
        <f>EFEITO!$N$289*EFEITO!$AA$289</f>
        <v>23857.48219410286</v>
      </c>
      <c r="M289" s="76">
        <f>$J$289-EFEITO!$K$289*EFEITO!$Y$289</f>
        <v>0</v>
      </c>
      <c r="N289" s="76">
        <f ca="1">$K$289-EFEITO!$M$289*EFEITO!$Z$289</f>
        <v>0</v>
      </c>
      <c r="O289" s="76">
        <f>$L$289-EFEITO!$O$289*EFEITO!$AA$289</f>
        <v>0</v>
      </c>
      <c r="P289" s="57"/>
      <c r="Q289" s="57"/>
      <c r="R289" s="57"/>
      <c r="S289" s="57"/>
      <c r="T289" s="57"/>
      <c r="U289" s="57"/>
      <c r="V289" s="57"/>
      <c r="W289" s="57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53" t="s">
        <v>28</v>
      </c>
      <c r="B290" s="53" t="s">
        <v>39</v>
      </c>
      <c r="C290" s="53" t="s">
        <v>40</v>
      </c>
      <c r="D290" s="53" t="s">
        <v>41</v>
      </c>
      <c r="E290" s="53" t="s">
        <v>25</v>
      </c>
      <c r="F290" s="53" t="s">
        <v>25</v>
      </c>
      <c r="G290" s="53" t="s">
        <v>25</v>
      </c>
      <c r="H290" s="53" t="s">
        <v>34</v>
      </c>
      <c r="I290" s="75">
        <v>44713</v>
      </c>
      <c r="J290" s="76">
        <f>EFEITO!$J$290*EFEITO!$Y$290</f>
        <v>0</v>
      </c>
      <c r="K290" s="76">
        <f ca="1">EFEITO!$L$290*EFEITO!$Z$290</f>
        <v>2728.4956298140651</v>
      </c>
      <c r="L290" s="76">
        <f>EFEITO!$N$290*EFEITO!$AA$290</f>
        <v>865.34511400140923</v>
      </c>
      <c r="M290" s="76">
        <f>$J$290-EFEITO!$K$290*EFEITO!$Y$290</f>
        <v>0</v>
      </c>
      <c r="N290" s="76">
        <f ca="1">$K$290-EFEITO!$M$290*EFEITO!$Z$290</f>
        <v>0</v>
      </c>
      <c r="O290" s="76">
        <f>$L$290-EFEITO!$O$290*EFEITO!$AA$290</f>
        <v>0</v>
      </c>
      <c r="P290" s="57"/>
      <c r="Q290" s="57"/>
      <c r="R290" s="57"/>
      <c r="S290" s="57"/>
      <c r="T290" s="57"/>
      <c r="U290" s="57"/>
      <c r="V290" s="57"/>
      <c r="W290" s="57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53" t="s">
        <v>21</v>
      </c>
      <c r="B291" s="53" t="s">
        <v>39</v>
      </c>
      <c r="C291" s="53" t="s">
        <v>40</v>
      </c>
      <c r="D291" s="53" t="s">
        <v>41</v>
      </c>
      <c r="E291" s="53" t="s">
        <v>25</v>
      </c>
      <c r="F291" s="53" t="s">
        <v>25</v>
      </c>
      <c r="G291" s="53" t="s">
        <v>25</v>
      </c>
      <c r="H291" s="53" t="s">
        <v>34</v>
      </c>
      <c r="I291" s="75">
        <v>44743</v>
      </c>
      <c r="J291" s="76">
        <f>EFEITO!$J$291*EFEITO!$Y$291</f>
        <v>0</v>
      </c>
      <c r="K291" s="76">
        <f ca="1">EFEITO!$L$291*EFEITO!$Z$291</f>
        <v>64353.277611437181</v>
      </c>
      <c r="L291" s="76">
        <f>EFEITO!$N$291*EFEITO!$AA$291</f>
        <v>20409.706265436944</v>
      </c>
      <c r="M291" s="76">
        <f>$J$291-EFEITO!$K$291*EFEITO!$Y$291</f>
        <v>0</v>
      </c>
      <c r="N291" s="76">
        <f ca="1">$K$291-EFEITO!$M$291*EFEITO!$Z$291</f>
        <v>0</v>
      </c>
      <c r="O291" s="76">
        <f>$L$291-EFEITO!$O$291*EFEITO!$AA$291</f>
        <v>0</v>
      </c>
      <c r="P291" s="57"/>
      <c r="Q291" s="57"/>
      <c r="R291" s="57"/>
      <c r="S291" s="57"/>
      <c r="T291" s="57"/>
      <c r="U291" s="57"/>
      <c r="V291" s="57"/>
      <c r="W291" s="57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53" t="s">
        <v>28</v>
      </c>
      <c r="B292" s="53" t="s">
        <v>39</v>
      </c>
      <c r="C292" s="53" t="s">
        <v>40</v>
      </c>
      <c r="D292" s="53" t="s">
        <v>41</v>
      </c>
      <c r="E292" s="53" t="s">
        <v>25</v>
      </c>
      <c r="F292" s="53" t="s">
        <v>25</v>
      </c>
      <c r="G292" s="53" t="s">
        <v>25</v>
      </c>
      <c r="H292" s="53" t="s">
        <v>34</v>
      </c>
      <c r="I292" s="75">
        <v>44743</v>
      </c>
      <c r="J292" s="76">
        <f>EFEITO!$J$292*EFEITO!$Y$292</f>
        <v>0</v>
      </c>
      <c r="K292" s="76">
        <f ca="1">EFEITO!$L$292*EFEITO!$Z$292</f>
        <v>2671.8115544052384</v>
      </c>
      <c r="L292" s="76">
        <f>EFEITO!$N$292*EFEITO!$AA$292</f>
        <v>847.36770287392346</v>
      </c>
      <c r="M292" s="76">
        <f>$J$292-EFEITO!$K$292*EFEITO!$Y$292</f>
        <v>0</v>
      </c>
      <c r="N292" s="76">
        <f ca="1">$K$292-EFEITO!$M$292*EFEITO!$Z$292</f>
        <v>0</v>
      </c>
      <c r="O292" s="76">
        <f>$L$292-EFEITO!$O$292*EFEITO!$AA$292</f>
        <v>0</v>
      </c>
      <c r="P292" s="57"/>
      <c r="Q292" s="57"/>
      <c r="R292" s="57"/>
      <c r="S292" s="57"/>
      <c r="T292" s="57"/>
      <c r="U292" s="57"/>
      <c r="V292" s="57"/>
      <c r="W292" s="57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53" t="s">
        <v>56</v>
      </c>
      <c r="B293" s="53" t="s">
        <v>39</v>
      </c>
      <c r="C293" s="53" t="s">
        <v>40</v>
      </c>
      <c r="D293" s="53" t="s">
        <v>41</v>
      </c>
      <c r="E293" s="53" t="s">
        <v>25</v>
      </c>
      <c r="F293" s="53" t="s">
        <v>25</v>
      </c>
      <c r="G293" s="53" t="s">
        <v>25</v>
      </c>
      <c r="H293" s="53" t="s">
        <v>34</v>
      </c>
      <c r="I293" s="75">
        <v>44774</v>
      </c>
      <c r="J293" s="76">
        <f>EFEITO!$J$293*EFEITO!$Y$293</f>
        <v>0</v>
      </c>
      <c r="K293" s="76">
        <f ca="1">EFEITO!$L$293*EFEITO!$Z$293</f>
        <v>64353.277611437181</v>
      </c>
      <c r="L293" s="76">
        <f>EFEITO!$N$293*EFEITO!$AA$293</f>
        <v>20409.706265436944</v>
      </c>
      <c r="M293" s="76">
        <f>$J$293-EFEITO!$K$293*EFEITO!$Y$293</f>
        <v>0</v>
      </c>
      <c r="N293" s="76">
        <f ca="1">$K$293-EFEITO!$M$293*EFEITO!$Z$293</f>
        <v>0</v>
      </c>
      <c r="O293" s="76">
        <f>$L$293-EFEITO!$O$293*EFEITO!$AA$293</f>
        <v>0</v>
      </c>
      <c r="P293" s="57"/>
      <c r="Q293" s="57"/>
      <c r="R293" s="57"/>
      <c r="S293" s="57"/>
      <c r="T293" s="57"/>
      <c r="U293" s="57"/>
      <c r="V293" s="57"/>
      <c r="W293" s="57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53" t="s">
        <v>56</v>
      </c>
      <c r="B294" s="53" t="s">
        <v>39</v>
      </c>
      <c r="C294" s="53" t="s">
        <v>40</v>
      </c>
      <c r="D294" s="53" t="s">
        <v>41</v>
      </c>
      <c r="E294" s="53" t="s">
        <v>25</v>
      </c>
      <c r="F294" s="53" t="s">
        <v>25</v>
      </c>
      <c r="G294" s="53" t="s">
        <v>25</v>
      </c>
      <c r="H294" s="53" t="s">
        <v>34</v>
      </c>
      <c r="I294" s="75">
        <v>44774</v>
      </c>
      <c r="J294" s="76">
        <f>EFEITO!$J$294*EFEITO!$Y$294</f>
        <v>0</v>
      </c>
      <c r="K294" s="76">
        <f ca="1">EFEITO!$L$294*EFEITO!$Z$294</f>
        <v>2671.8115544052384</v>
      </c>
      <c r="L294" s="76">
        <f>EFEITO!$N$294*EFEITO!$AA$294</f>
        <v>847.36770287392346</v>
      </c>
      <c r="M294" s="76">
        <f>$J$294-EFEITO!$K$294*EFEITO!$Y$294</f>
        <v>0</v>
      </c>
      <c r="N294" s="76">
        <f ca="1">$K$294-EFEITO!$M$294*EFEITO!$Z$294</f>
        <v>0</v>
      </c>
      <c r="O294" s="76">
        <f>$L$294-EFEITO!$O$294*EFEITO!$AA$294</f>
        <v>0</v>
      </c>
      <c r="P294" s="57"/>
      <c r="Q294" s="57"/>
      <c r="R294" s="57"/>
      <c r="S294" s="57"/>
      <c r="T294" s="57"/>
      <c r="U294" s="57"/>
      <c r="V294" s="57"/>
      <c r="W294" s="57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53" t="s">
        <v>21</v>
      </c>
      <c r="B295" s="53" t="s">
        <v>39</v>
      </c>
      <c r="C295" s="53" t="s">
        <v>40</v>
      </c>
      <c r="D295" s="53" t="s">
        <v>51</v>
      </c>
      <c r="E295" s="53" t="s">
        <v>25</v>
      </c>
      <c r="F295" s="53" t="s">
        <v>25</v>
      </c>
      <c r="G295" s="53" t="s">
        <v>25</v>
      </c>
      <c r="H295" s="53" t="s">
        <v>35</v>
      </c>
      <c r="I295" s="75">
        <v>44440</v>
      </c>
      <c r="J295" s="76">
        <f>EFEITO!$J$295*EFEITO!$Y$295</f>
        <v>0</v>
      </c>
      <c r="K295" s="76">
        <f ca="1">EFEITO!$L$295*EFEITO!$Z$295</f>
        <v>1906.1667319569092</v>
      </c>
      <c r="L295" s="76">
        <f>EFEITO!$N$295*EFEITO!$AA$295</f>
        <v>3926.729187550553</v>
      </c>
      <c r="M295" s="76">
        <f>$J$295-EFEITO!$K$295*EFEITO!$Y$295</f>
        <v>0</v>
      </c>
      <c r="N295" s="76">
        <f ca="1">$K$295-EFEITO!$M$295*EFEITO!$Z$295</f>
        <v>0</v>
      </c>
      <c r="O295" s="76">
        <f>$L$295-EFEITO!$O$295*EFEITO!$AA$295</f>
        <v>0</v>
      </c>
      <c r="P295" s="57"/>
      <c r="Q295" s="57"/>
      <c r="R295" s="57"/>
      <c r="S295" s="57"/>
      <c r="T295" s="57"/>
      <c r="U295" s="57"/>
      <c r="V295" s="57"/>
      <c r="W295" s="57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53" t="s">
        <v>21</v>
      </c>
      <c r="B296" s="53" t="s">
        <v>39</v>
      </c>
      <c r="C296" s="53" t="s">
        <v>40</v>
      </c>
      <c r="D296" s="53" t="s">
        <v>51</v>
      </c>
      <c r="E296" s="53" t="s">
        <v>25</v>
      </c>
      <c r="F296" s="53" t="s">
        <v>25</v>
      </c>
      <c r="G296" s="53" t="s">
        <v>25</v>
      </c>
      <c r="H296" s="53" t="s">
        <v>35</v>
      </c>
      <c r="I296" s="75">
        <v>44470</v>
      </c>
      <c r="J296" s="76">
        <f>EFEITO!$J$296*EFEITO!$Y$296</f>
        <v>0</v>
      </c>
      <c r="K296" s="76">
        <f ca="1">EFEITO!$L$296*EFEITO!$Z$296</f>
        <v>1978.9799332086791</v>
      </c>
      <c r="L296" s="76">
        <f>EFEITO!$N$296*EFEITO!$AA$296</f>
        <v>4076.7253645905271</v>
      </c>
      <c r="M296" s="76">
        <f>$J$296-EFEITO!$K$296*EFEITO!$Y$296</f>
        <v>0</v>
      </c>
      <c r="N296" s="76">
        <f ca="1">$K$296-EFEITO!$M$296*EFEITO!$Z$296</f>
        <v>0</v>
      </c>
      <c r="O296" s="76">
        <f>$L$296-EFEITO!$O$296*EFEITO!$AA$296</f>
        <v>0</v>
      </c>
      <c r="P296" s="57"/>
      <c r="Q296" s="57"/>
      <c r="R296" s="57"/>
      <c r="S296" s="57"/>
      <c r="T296" s="57"/>
      <c r="U296" s="57"/>
      <c r="V296" s="57"/>
      <c r="W296" s="57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53" t="s">
        <v>21</v>
      </c>
      <c r="B297" s="53" t="s">
        <v>39</v>
      </c>
      <c r="C297" s="53" t="s">
        <v>40</v>
      </c>
      <c r="D297" s="53" t="s">
        <v>51</v>
      </c>
      <c r="E297" s="53" t="s">
        <v>25</v>
      </c>
      <c r="F297" s="53" t="s">
        <v>25</v>
      </c>
      <c r="G297" s="53" t="s">
        <v>25</v>
      </c>
      <c r="H297" s="53" t="s">
        <v>35</v>
      </c>
      <c r="I297" s="75">
        <v>44501</v>
      </c>
      <c r="J297" s="76">
        <f>EFEITO!$J$297*EFEITO!$Y$297</f>
        <v>0</v>
      </c>
      <c r="K297" s="76">
        <f ca="1">EFEITO!$L$297*EFEITO!$Z$297</f>
        <v>1900.3949538089028</v>
      </c>
      <c r="L297" s="76">
        <f>EFEITO!$N$297*EFEITO!$AA$297</f>
        <v>3914.8392466876276</v>
      </c>
      <c r="M297" s="76">
        <f>$J$297-EFEITO!$K$297*EFEITO!$Y$297</f>
        <v>0</v>
      </c>
      <c r="N297" s="76">
        <f ca="1">$K$297-EFEITO!$M$297*EFEITO!$Z$297</f>
        <v>0</v>
      </c>
      <c r="O297" s="76">
        <f>$L$297-EFEITO!$O$297*EFEITO!$AA$297</f>
        <v>0</v>
      </c>
      <c r="P297" s="57"/>
      <c r="Q297" s="57"/>
      <c r="R297" s="57"/>
      <c r="S297" s="57"/>
      <c r="T297" s="57"/>
      <c r="U297" s="57"/>
      <c r="V297" s="57"/>
      <c r="W297" s="57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53" t="s">
        <v>21</v>
      </c>
      <c r="B298" s="53" t="s">
        <v>39</v>
      </c>
      <c r="C298" s="53" t="s">
        <v>40</v>
      </c>
      <c r="D298" s="53" t="s">
        <v>51</v>
      </c>
      <c r="E298" s="53" t="s">
        <v>25</v>
      </c>
      <c r="F298" s="53" t="s">
        <v>25</v>
      </c>
      <c r="G298" s="53" t="s">
        <v>25</v>
      </c>
      <c r="H298" s="53" t="s">
        <v>35</v>
      </c>
      <c r="I298" s="75">
        <v>44531</v>
      </c>
      <c r="J298" s="76">
        <f>EFEITO!$J$298*EFEITO!$Y$298</f>
        <v>0</v>
      </c>
      <c r="K298" s="76">
        <f ca="1">EFEITO!$L$298*EFEITO!$Z$298</f>
        <v>2378.5645742244906</v>
      </c>
      <c r="L298" s="76">
        <f>EFEITO!$N$298*EFEITO!$AA$298</f>
        <v>4899.8751166391676</v>
      </c>
      <c r="M298" s="76">
        <f>$J$298-EFEITO!$K$298*EFEITO!$Y$298</f>
        <v>0</v>
      </c>
      <c r="N298" s="76">
        <f ca="1">$K$298-EFEITO!$M$298*EFEITO!$Z$298</f>
        <v>0</v>
      </c>
      <c r="O298" s="76">
        <f>$L$298-EFEITO!$O$298*EFEITO!$AA$298</f>
        <v>0</v>
      </c>
      <c r="P298" s="57"/>
      <c r="Q298" s="57"/>
      <c r="R298" s="57"/>
      <c r="S298" s="57"/>
      <c r="T298" s="57"/>
      <c r="U298" s="57"/>
      <c r="V298" s="57"/>
      <c r="W298" s="57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53" t="s">
        <v>21</v>
      </c>
      <c r="B299" s="53" t="s">
        <v>39</v>
      </c>
      <c r="C299" s="53" t="s">
        <v>40</v>
      </c>
      <c r="D299" s="53" t="s">
        <v>51</v>
      </c>
      <c r="E299" s="53" t="s">
        <v>25</v>
      </c>
      <c r="F299" s="53" t="s">
        <v>25</v>
      </c>
      <c r="G299" s="53" t="s">
        <v>25</v>
      </c>
      <c r="H299" s="53" t="s">
        <v>35</v>
      </c>
      <c r="I299" s="75">
        <v>44562</v>
      </c>
      <c r="J299" s="76">
        <f>EFEITO!$J$299*EFEITO!$Y$299</f>
        <v>0</v>
      </c>
      <c r="K299" s="76">
        <f ca="1">EFEITO!$L$299*EFEITO!$Z$299</f>
        <v>2637.4066250158444</v>
      </c>
      <c r="L299" s="76">
        <f>EFEITO!$N$299*EFEITO!$AA$299</f>
        <v>5433.0932337995655</v>
      </c>
      <c r="M299" s="76">
        <f>$J$299-EFEITO!$K$299*EFEITO!$Y$299</f>
        <v>0</v>
      </c>
      <c r="N299" s="76">
        <f ca="1">$K$299-EFEITO!$M$299*EFEITO!$Z$299</f>
        <v>0</v>
      </c>
      <c r="O299" s="76">
        <f>$L$299-EFEITO!$O$299*EFEITO!$AA$299</f>
        <v>0</v>
      </c>
      <c r="P299" s="57"/>
      <c r="Q299" s="57"/>
      <c r="R299" s="57"/>
      <c r="S299" s="57"/>
      <c r="T299" s="57"/>
      <c r="U299" s="57"/>
      <c r="V299" s="57"/>
      <c r="W299" s="57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53" t="s">
        <v>21</v>
      </c>
      <c r="B300" s="53" t="s">
        <v>39</v>
      </c>
      <c r="C300" s="53" t="s">
        <v>40</v>
      </c>
      <c r="D300" s="53" t="s">
        <v>51</v>
      </c>
      <c r="E300" s="53" t="s">
        <v>25</v>
      </c>
      <c r="F300" s="53" t="s">
        <v>25</v>
      </c>
      <c r="G300" s="53" t="s">
        <v>25</v>
      </c>
      <c r="H300" s="53" t="s">
        <v>35</v>
      </c>
      <c r="I300" s="75">
        <v>44593</v>
      </c>
      <c r="J300" s="76">
        <f>EFEITO!$J$300*EFEITO!$Y$300</f>
        <v>0</v>
      </c>
      <c r="K300" s="76">
        <f ca="1">EFEITO!$L$300*EFEITO!$Z$300</f>
        <v>2518.2712042685371</v>
      </c>
      <c r="L300" s="76">
        <f>EFEITO!$N$300*EFEITO!$AA$300</f>
        <v>5187.6726595776554</v>
      </c>
      <c r="M300" s="76">
        <f>$J$300-EFEITO!$K$300*EFEITO!$Y$300</f>
        <v>0</v>
      </c>
      <c r="N300" s="76">
        <f ca="1">$K$300-EFEITO!$M$300*EFEITO!$Z$300</f>
        <v>0</v>
      </c>
      <c r="O300" s="76">
        <f>$L$300-EFEITO!$O$300*EFEITO!$AA$300</f>
        <v>0</v>
      </c>
      <c r="P300" s="57"/>
      <c r="Q300" s="57"/>
      <c r="R300" s="57"/>
      <c r="S300" s="57"/>
      <c r="T300" s="57"/>
      <c r="U300" s="57"/>
      <c r="V300" s="57"/>
      <c r="W300" s="57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53" t="s">
        <v>21</v>
      </c>
      <c r="B301" s="53" t="s">
        <v>39</v>
      </c>
      <c r="C301" s="53" t="s">
        <v>40</v>
      </c>
      <c r="D301" s="53" t="s">
        <v>51</v>
      </c>
      <c r="E301" s="53" t="s">
        <v>25</v>
      </c>
      <c r="F301" s="53" t="s">
        <v>25</v>
      </c>
      <c r="G301" s="53" t="s">
        <v>25</v>
      </c>
      <c r="H301" s="53" t="s">
        <v>35</v>
      </c>
      <c r="I301" s="75">
        <v>44621</v>
      </c>
      <c r="J301" s="76">
        <f>EFEITO!$J$301*EFEITO!$Y$301</f>
        <v>0</v>
      </c>
      <c r="K301" s="76">
        <f ca="1">EFEITO!$L$301*EFEITO!$Z$301</f>
        <v>2862.6539670995721</v>
      </c>
      <c r="L301" s="76">
        <f>EFEITO!$N$301*EFEITO!$AA$301</f>
        <v>5897.1057977321689</v>
      </c>
      <c r="M301" s="76">
        <f>$J$301-EFEITO!$K$301*EFEITO!$Y$301</f>
        <v>0</v>
      </c>
      <c r="N301" s="76">
        <f ca="1">$K$301-EFEITO!$M$301*EFEITO!$Z$301</f>
        <v>0</v>
      </c>
      <c r="O301" s="76">
        <f>$L$301-EFEITO!$O$301*EFEITO!$AA$301</f>
        <v>0</v>
      </c>
      <c r="P301" s="57"/>
      <c r="Q301" s="57"/>
      <c r="R301" s="57"/>
      <c r="S301" s="57"/>
      <c r="T301" s="57"/>
      <c r="U301" s="57"/>
      <c r="V301" s="57"/>
      <c r="W301" s="57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53" t="s">
        <v>21</v>
      </c>
      <c r="B302" s="53" t="s">
        <v>39</v>
      </c>
      <c r="C302" s="53" t="s">
        <v>40</v>
      </c>
      <c r="D302" s="53" t="s">
        <v>51</v>
      </c>
      <c r="E302" s="53" t="s">
        <v>25</v>
      </c>
      <c r="F302" s="53" t="s">
        <v>25</v>
      </c>
      <c r="G302" s="53" t="s">
        <v>25</v>
      </c>
      <c r="H302" s="53" t="s">
        <v>35</v>
      </c>
      <c r="I302" s="75">
        <v>44652</v>
      </c>
      <c r="J302" s="76">
        <f>EFEITO!$J$302*EFEITO!$Y$302</f>
        <v>0</v>
      </c>
      <c r="K302" s="76">
        <f ca="1">EFEITO!$L$302*EFEITO!$Z$302</f>
        <v>2463.5133090182226</v>
      </c>
      <c r="L302" s="76">
        <f>EFEITO!$N$302*EFEITO!$AA$302</f>
        <v>5074.8706565191387</v>
      </c>
      <c r="M302" s="76">
        <f>$J$302-EFEITO!$K$302*EFEITO!$Y$302</f>
        <v>0</v>
      </c>
      <c r="N302" s="76">
        <f ca="1">$K$302-EFEITO!$M$302*EFEITO!$Z$302</f>
        <v>0</v>
      </c>
      <c r="O302" s="76">
        <f>$L$302-EFEITO!$O$302*EFEITO!$AA$302</f>
        <v>0</v>
      </c>
      <c r="P302" s="57"/>
      <c r="Q302" s="57"/>
      <c r="R302" s="57"/>
      <c r="S302" s="57"/>
      <c r="T302" s="57"/>
      <c r="U302" s="57"/>
      <c r="V302" s="57"/>
      <c r="W302" s="57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53" t="s">
        <v>21</v>
      </c>
      <c r="B303" s="53" t="s">
        <v>39</v>
      </c>
      <c r="C303" s="53" t="s">
        <v>40</v>
      </c>
      <c r="D303" s="53" t="s">
        <v>51</v>
      </c>
      <c r="E303" s="53" t="s">
        <v>25</v>
      </c>
      <c r="F303" s="53" t="s">
        <v>25</v>
      </c>
      <c r="G303" s="53" t="s">
        <v>25</v>
      </c>
      <c r="H303" s="53" t="s">
        <v>35</v>
      </c>
      <c r="I303" s="75">
        <v>44682</v>
      </c>
      <c r="J303" s="76">
        <f>EFEITO!$J$303*EFEITO!$Y$303</f>
        <v>0</v>
      </c>
      <c r="K303" s="76">
        <f ca="1">EFEITO!$L$303*EFEITO!$Z$303</f>
        <v>1961.0726215187112</v>
      </c>
      <c r="L303" s="76">
        <f>EFEITO!$N$303*EFEITO!$AA$303</f>
        <v>4039.8360608876064</v>
      </c>
      <c r="M303" s="76">
        <f>$J$303-EFEITO!$K$303*EFEITO!$Y$303</f>
        <v>0</v>
      </c>
      <c r="N303" s="76">
        <f ca="1">$K$303-EFEITO!$M$303*EFEITO!$Z$303</f>
        <v>0</v>
      </c>
      <c r="O303" s="76">
        <f>$L$303-EFEITO!$O$303*EFEITO!$AA$303</f>
        <v>0</v>
      </c>
      <c r="P303" s="57"/>
      <c r="Q303" s="57"/>
      <c r="R303" s="57"/>
      <c r="S303" s="57"/>
      <c r="T303" s="57"/>
      <c r="U303" s="57"/>
      <c r="V303" s="57"/>
      <c r="W303" s="57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53" t="s">
        <v>21</v>
      </c>
      <c r="B304" s="53" t="s">
        <v>39</v>
      </c>
      <c r="C304" s="53" t="s">
        <v>40</v>
      </c>
      <c r="D304" s="53" t="s">
        <v>51</v>
      </c>
      <c r="E304" s="53" t="s">
        <v>25</v>
      </c>
      <c r="F304" s="53" t="s">
        <v>25</v>
      </c>
      <c r="G304" s="53" t="s">
        <v>25</v>
      </c>
      <c r="H304" s="53" t="s">
        <v>35</v>
      </c>
      <c r="I304" s="75">
        <v>44713</v>
      </c>
      <c r="J304" s="76">
        <f>EFEITO!$J$304*EFEITO!$Y$304</f>
        <v>0</v>
      </c>
      <c r="K304" s="76">
        <f ca="1">EFEITO!$L$304*EFEITO!$Z$304</f>
        <v>1575.8434287171713</v>
      </c>
      <c r="L304" s="76">
        <f>EFEITO!$N$304*EFEITO!$AA$304</f>
        <v>3246.2587258570097</v>
      </c>
      <c r="M304" s="76">
        <f>$J$304-EFEITO!$K$304*EFEITO!$Y$304</f>
        <v>0</v>
      </c>
      <c r="N304" s="76">
        <f ca="1">$K$304-EFEITO!$M$304*EFEITO!$Z$304</f>
        <v>0</v>
      </c>
      <c r="O304" s="76">
        <f>$L$304-EFEITO!$O$304*EFEITO!$AA$304</f>
        <v>0</v>
      </c>
      <c r="P304" s="57"/>
      <c r="Q304" s="57"/>
      <c r="R304" s="57"/>
      <c r="S304" s="57"/>
      <c r="T304" s="57"/>
      <c r="U304" s="57"/>
      <c r="V304" s="57"/>
      <c r="W304" s="57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53" t="s">
        <v>21</v>
      </c>
      <c r="B305" s="53" t="s">
        <v>39</v>
      </c>
      <c r="C305" s="53" t="s">
        <v>40</v>
      </c>
      <c r="D305" s="53" t="s">
        <v>51</v>
      </c>
      <c r="E305" s="53" t="s">
        <v>25</v>
      </c>
      <c r="F305" s="53" t="s">
        <v>25</v>
      </c>
      <c r="G305" s="53" t="s">
        <v>25</v>
      </c>
      <c r="H305" s="53" t="s">
        <v>35</v>
      </c>
      <c r="I305" s="75">
        <v>44743</v>
      </c>
      <c r="J305" s="76">
        <f>EFEITO!$J$305*EFEITO!$Y$305</f>
        <v>0</v>
      </c>
      <c r="K305" s="76">
        <f ca="1">EFEITO!$L$305*EFEITO!$Z$305</f>
        <v>1695.7188210219149</v>
      </c>
      <c r="L305" s="76">
        <f>EFEITO!$N$305*EFEITO!$AA$305</f>
        <v>3493.2036514716019</v>
      </c>
      <c r="M305" s="76">
        <f>$J$305-EFEITO!$K$305*EFEITO!$Y$305</f>
        <v>0</v>
      </c>
      <c r="N305" s="76">
        <f ca="1">$K$305-EFEITO!$M$305*EFEITO!$Z$305</f>
        <v>0</v>
      </c>
      <c r="O305" s="76">
        <f>$L$305-EFEITO!$O$305*EFEITO!$AA$305</f>
        <v>0</v>
      </c>
      <c r="P305" s="57"/>
      <c r="Q305" s="57"/>
      <c r="R305" s="57"/>
      <c r="S305" s="57"/>
      <c r="T305" s="57"/>
      <c r="U305" s="57"/>
      <c r="V305" s="57"/>
      <c r="W305" s="57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53" t="s">
        <v>56</v>
      </c>
      <c r="B306" s="53" t="s">
        <v>39</v>
      </c>
      <c r="C306" s="53" t="s">
        <v>40</v>
      </c>
      <c r="D306" s="53" t="s">
        <v>51</v>
      </c>
      <c r="E306" s="53" t="s">
        <v>25</v>
      </c>
      <c r="F306" s="53" t="s">
        <v>25</v>
      </c>
      <c r="G306" s="53" t="s">
        <v>25</v>
      </c>
      <c r="H306" s="53" t="s">
        <v>35</v>
      </c>
      <c r="I306" s="75">
        <v>44774</v>
      </c>
      <c r="J306" s="76">
        <f>EFEITO!$J$306*EFEITO!$Y$306</f>
        <v>0</v>
      </c>
      <c r="K306" s="76">
        <f ca="1">EFEITO!$L$306*EFEITO!$Z$306</f>
        <v>1695.7188210219149</v>
      </c>
      <c r="L306" s="76">
        <f>EFEITO!$N$306*EFEITO!$AA$306</f>
        <v>3493.2036514716019</v>
      </c>
      <c r="M306" s="76">
        <f>$J$306-EFEITO!$K$306*EFEITO!$Y$306</f>
        <v>0</v>
      </c>
      <c r="N306" s="76">
        <f ca="1">$K$306-EFEITO!$M$306*EFEITO!$Z$306</f>
        <v>0</v>
      </c>
      <c r="O306" s="76">
        <f>$L$306-EFEITO!$O$306*EFEITO!$AA$306</f>
        <v>0</v>
      </c>
      <c r="P306" s="57"/>
      <c r="Q306" s="57"/>
      <c r="R306" s="57"/>
      <c r="S306" s="57"/>
      <c r="T306" s="57"/>
      <c r="U306" s="57"/>
      <c r="V306" s="57"/>
      <c r="W306" s="57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53" t="s">
        <v>21</v>
      </c>
      <c r="B307" s="53" t="s">
        <v>39</v>
      </c>
      <c r="C307" s="53" t="s">
        <v>40</v>
      </c>
      <c r="D307" s="53" t="s">
        <v>51</v>
      </c>
      <c r="E307" s="53" t="s">
        <v>25</v>
      </c>
      <c r="F307" s="53" t="s">
        <v>25</v>
      </c>
      <c r="G307" s="53" t="s">
        <v>25</v>
      </c>
      <c r="H307" s="53" t="s">
        <v>25</v>
      </c>
      <c r="I307" s="75">
        <v>44440</v>
      </c>
      <c r="J307" s="76">
        <f ca="1">EFEITO!$J$307*EFEITO!$Y$307</f>
        <v>1322.7735185033155</v>
      </c>
      <c r="K307" s="76">
        <f>EFEITO!$L$307*EFEITO!$Z$307</f>
        <v>0</v>
      </c>
      <c r="L307" s="76">
        <f>EFEITO!$N$307*EFEITO!$AA$307</f>
        <v>0</v>
      </c>
      <c r="M307" s="76">
        <f ca="1">$J$307-EFEITO!$K$307*EFEITO!$Y$307</f>
        <v>0</v>
      </c>
      <c r="N307" s="76">
        <f>$K$307-EFEITO!$M$307*EFEITO!$Z$307</f>
        <v>0</v>
      </c>
      <c r="O307" s="76">
        <f>$L$307-EFEITO!$O$307*EFEITO!$AA$307</f>
        <v>0</v>
      </c>
      <c r="P307" s="57"/>
      <c r="Q307" s="57"/>
      <c r="R307" s="57"/>
      <c r="S307" s="57"/>
      <c r="T307" s="57"/>
      <c r="U307" s="57"/>
      <c r="V307" s="57"/>
      <c r="W307" s="57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53" t="s">
        <v>21</v>
      </c>
      <c r="B308" s="53" t="s">
        <v>39</v>
      </c>
      <c r="C308" s="53" t="s">
        <v>40</v>
      </c>
      <c r="D308" s="53" t="s">
        <v>51</v>
      </c>
      <c r="E308" s="53" t="s">
        <v>25</v>
      </c>
      <c r="F308" s="53" t="s">
        <v>25</v>
      </c>
      <c r="G308" s="53" t="s">
        <v>25</v>
      </c>
      <c r="H308" s="53" t="s">
        <v>25</v>
      </c>
      <c r="I308" s="75">
        <v>44470</v>
      </c>
      <c r="J308" s="76">
        <f ca="1">EFEITO!$J$308*EFEITO!$Y$308</f>
        <v>1341.1453729269726</v>
      </c>
      <c r="K308" s="76">
        <f>EFEITO!$L$308*EFEITO!$Z$308</f>
        <v>0</v>
      </c>
      <c r="L308" s="76">
        <f>EFEITO!$N$308*EFEITO!$AA$308</f>
        <v>0</v>
      </c>
      <c r="M308" s="76">
        <f ca="1">$J$308-EFEITO!$K$308*EFEITO!$Y$308</f>
        <v>0</v>
      </c>
      <c r="N308" s="76">
        <f>$K$308-EFEITO!$M$308*EFEITO!$Z$308</f>
        <v>0</v>
      </c>
      <c r="O308" s="76">
        <f>$L$308-EFEITO!$O$308*EFEITO!$AA$308</f>
        <v>0</v>
      </c>
      <c r="P308" s="57"/>
      <c r="Q308" s="57"/>
      <c r="R308" s="57"/>
      <c r="S308" s="57"/>
      <c r="T308" s="57"/>
      <c r="U308" s="57"/>
      <c r="V308" s="57"/>
      <c r="W308" s="57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53" t="s">
        <v>21</v>
      </c>
      <c r="B309" s="53" t="s">
        <v>39</v>
      </c>
      <c r="C309" s="53" t="s">
        <v>40</v>
      </c>
      <c r="D309" s="53" t="s">
        <v>51</v>
      </c>
      <c r="E309" s="53" t="s">
        <v>25</v>
      </c>
      <c r="F309" s="53" t="s">
        <v>25</v>
      </c>
      <c r="G309" s="53" t="s">
        <v>25</v>
      </c>
      <c r="H309" s="53" t="s">
        <v>25</v>
      </c>
      <c r="I309" s="75">
        <v>44501</v>
      </c>
      <c r="J309" s="76">
        <f ca="1">EFEITO!$J$309*EFEITO!$Y$309</f>
        <v>1377.8890817742868</v>
      </c>
      <c r="K309" s="76">
        <f>EFEITO!$L$309*EFEITO!$Z$309</f>
        <v>0</v>
      </c>
      <c r="L309" s="76">
        <f>EFEITO!$N$309*EFEITO!$AA$309</f>
        <v>0</v>
      </c>
      <c r="M309" s="76">
        <f ca="1">$J$309-EFEITO!$K$309*EFEITO!$Y$309</f>
        <v>0</v>
      </c>
      <c r="N309" s="76">
        <f>$K$309-EFEITO!$M$309*EFEITO!$Z$309</f>
        <v>0</v>
      </c>
      <c r="O309" s="76">
        <f>$L$309-EFEITO!$O$309*EFEITO!$AA$309</f>
        <v>0</v>
      </c>
      <c r="P309" s="57"/>
      <c r="Q309" s="57"/>
      <c r="R309" s="57"/>
      <c r="S309" s="57"/>
      <c r="T309" s="57"/>
      <c r="U309" s="57"/>
      <c r="V309" s="57"/>
      <c r="W309" s="57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53" t="s">
        <v>21</v>
      </c>
      <c r="B310" s="53" t="s">
        <v>39</v>
      </c>
      <c r="C310" s="53" t="s">
        <v>40</v>
      </c>
      <c r="D310" s="53" t="s">
        <v>51</v>
      </c>
      <c r="E310" s="53" t="s">
        <v>25</v>
      </c>
      <c r="F310" s="53" t="s">
        <v>25</v>
      </c>
      <c r="G310" s="53" t="s">
        <v>25</v>
      </c>
      <c r="H310" s="53" t="s">
        <v>25</v>
      </c>
      <c r="I310" s="75">
        <v>44531</v>
      </c>
      <c r="J310" s="76">
        <f ca="1">EFEITO!$J$310*EFEITO!$Y$310</f>
        <v>1469.7483538925726</v>
      </c>
      <c r="K310" s="76">
        <f>EFEITO!$L$310*EFEITO!$Z$310</f>
        <v>0</v>
      </c>
      <c r="L310" s="76">
        <f>EFEITO!$N$310*EFEITO!$AA$310</f>
        <v>0</v>
      </c>
      <c r="M310" s="76">
        <f ca="1">$J$310-EFEITO!$K$310*EFEITO!$Y$310</f>
        <v>0</v>
      </c>
      <c r="N310" s="76">
        <f>$K$310-EFEITO!$M$310*EFEITO!$Z$310</f>
        <v>0</v>
      </c>
      <c r="O310" s="76">
        <f>$L$310-EFEITO!$O$310*EFEITO!$AA$310</f>
        <v>0</v>
      </c>
      <c r="P310" s="57"/>
      <c r="Q310" s="57"/>
      <c r="R310" s="57"/>
      <c r="S310" s="57"/>
      <c r="T310" s="57"/>
      <c r="U310" s="57"/>
      <c r="V310" s="57"/>
      <c r="W310" s="57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53" t="s">
        <v>21</v>
      </c>
      <c r="B311" s="53" t="s">
        <v>39</v>
      </c>
      <c r="C311" s="53" t="s">
        <v>40</v>
      </c>
      <c r="D311" s="53" t="s">
        <v>51</v>
      </c>
      <c r="E311" s="53" t="s">
        <v>25</v>
      </c>
      <c r="F311" s="53" t="s">
        <v>25</v>
      </c>
      <c r="G311" s="53" t="s">
        <v>25</v>
      </c>
      <c r="H311" s="53" t="s">
        <v>25</v>
      </c>
      <c r="I311" s="75">
        <v>44562</v>
      </c>
      <c r="J311" s="76">
        <f ca="1">EFEITO!$J$311*EFEITO!$Y$311</f>
        <v>1469.7483538925726</v>
      </c>
      <c r="K311" s="76">
        <f>EFEITO!$L$311*EFEITO!$Z$311</f>
        <v>0</v>
      </c>
      <c r="L311" s="76">
        <f>EFEITO!$N$311*EFEITO!$AA$311</f>
        <v>0</v>
      </c>
      <c r="M311" s="76">
        <f ca="1">$J$311-EFEITO!$K$311*EFEITO!$Y$311</f>
        <v>0</v>
      </c>
      <c r="N311" s="76">
        <f>$K$311-EFEITO!$M$311*EFEITO!$Z$311</f>
        <v>0</v>
      </c>
      <c r="O311" s="76">
        <f>$L$311-EFEITO!$O$311*EFEITO!$AA$311</f>
        <v>0</v>
      </c>
      <c r="P311" s="57"/>
      <c r="Q311" s="57"/>
      <c r="R311" s="57"/>
      <c r="S311" s="57"/>
      <c r="T311" s="57"/>
      <c r="U311" s="57"/>
      <c r="V311" s="57"/>
      <c r="W311" s="57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53" t="s">
        <v>21</v>
      </c>
      <c r="B312" s="53" t="s">
        <v>39</v>
      </c>
      <c r="C312" s="53" t="s">
        <v>40</v>
      </c>
      <c r="D312" s="53" t="s">
        <v>51</v>
      </c>
      <c r="E312" s="53" t="s">
        <v>25</v>
      </c>
      <c r="F312" s="53" t="s">
        <v>25</v>
      </c>
      <c r="G312" s="53" t="s">
        <v>25</v>
      </c>
      <c r="H312" s="53" t="s">
        <v>25</v>
      </c>
      <c r="I312" s="75">
        <v>44593</v>
      </c>
      <c r="J312" s="76">
        <f ca="1">EFEITO!$J$312*EFEITO!$Y$312</f>
        <v>1763.6980246710873</v>
      </c>
      <c r="K312" s="76">
        <f>EFEITO!$L$312*EFEITO!$Z$312</f>
        <v>0</v>
      </c>
      <c r="L312" s="76">
        <f>EFEITO!$N$312*EFEITO!$AA$312</f>
        <v>0</v>
      </c>
      <c r="M312" s="76">
        <f ca="1">$J$312-EFEITO!$K$312*EFEITO!$Y$312</f>
        <v>0</v>
      </c>
      <c r="N312" s="76">
        <f>$K$312-EFEITO!$M$312*EFEITO!$Z$312</f>
        <v>0</v>
      </c>
      <c r="O312" s="76">
        <f>$L$312-EFEITO!$O$312*EFEITO!$AA$312</f>
        <v>0</v>
      </c>
      <c r="P312" s="57"/>
      <c r="Q312" s="57"/>
      <c r="R312" s="57"/>
      <c r="S312" s="57"/>
      <c r="T312" s="57"/>
      <c r="U312" s="57"/>
      <c r="V312" s="57"/>
      <c r="W312" s="57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53" t="s">
        <v>21</v>
      </c>
      <c r="B313" s="53" t="s">
        <v>39</v>
      </c>
      <c r="C313" s="53" t="s">
        <v>40</v>
      </c>
      <c r="D313" s="53" t="s">
        <v>51</v>
      </c>
      <c r="E313" s="53" t="s">
        <v>25</v>
      </c>
      <c r="F313" s="53" t="s">
        <v>25</v>
      </c>
      <c r="G313" s="53" t="s">
        <v>25</v>
      </c>
      <c r="H313" s="53" t="s">
        <v>25</v>
      </c>
      <c r="I313" s="75">
        <v>44621</v>
      </c>
      <c r="J313" s="76">
        <f ca="1">EFEITO!$J$313*EFEITO!$Y$313</f>
        <v>1616.7231892818299</v>
      </c>
      <c r="K313" s="76">
        <f>EFEITO!$L$313*EFEITO!$Z$313</f>
        <v>0</v>
      </c>
      <c r="L313" s="76">
        <f>EFEITO!$N$313*EFEITO!$AA$313</f>
        <v>0</v>
      </c>
      <c r="M313" s="76">
        <f ca="1">$J$313-EFEITO!$K$313*EFEITO!$Y$313</f>
        <v>0</v>
      </c>
      <c r="N313" s="76">
        <f>$K$313-EFEITO!$M$313*EFEITO!$Z$313</f>
        <v>0</v>
      </c>
      <c r="O313" s="76">
        <f>$L$313-EFEITO!$O$313*EFEITO!$AA$313</f>
        <v>0</v>
      </c>
      <c r="P313" s="57"/>
      <c r="Q313" s="57"/>
      <c r="R313" s="57"/>
      <c r="S313" s="57"/>
      <c r="T313" s="57"/>
      <c r="U313" s="57"/>
      <c r="V313" s="57"/>
      <c r="W313" s="57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53" t="s">
        <v>21</v>
      </c>
      <c r="B314" s="53" t="s">
        <v>39</v>
      </c>
      <c r="C314" s="53" t="s">
        <v>40</v>
      </c>
      <c r="D314" s="53" t="s">
        <v>51</v>
      </c>
      <c r="E314" s="53" t="s">
        <v>25</v>
      </c>
      <c r="F314" s="53" t="s">
        <v>25</v>
      </c>
      <c r="G314" s="53" t="s">
        <v>25</v>
      </c>
      <c r="H314" s="53" t="s">
        <v>25</v>
      </c>
      <c r="I314" s="75">
        <v>44652</v>
      </c>
      <c r="J314" s="76">
        <f ca="1">EFEITO!$J$314*EFEITO!$Y$314</f>
        <v>1561.6076260108584</v>
      </c>
      <c r="K314" s="76">
        <f>EFEITO!$L$314*EFEITO!$Z$314</f>
        <v>0</v>
      </c>
      <c r="L314" s="76">
        <f>EFEITO!$N$314*EFEITO!$AA$314</f>
        <v>0</v>
      </c>
      <c r="M314" s="76">
        <f ca="1">$J$314-EFEITO!$K$314*EFEITO!$Y$314</f>
        <v>0</v>
      </c>
      <c r="N314" s="76">
        <f>$K$314-EFEITO!$M$314*EFEITO!$Z$314</f>
        <v>0</v>
      </c>
      <c r="O314" s="76">
        <f>$L$314-EFEITO!$O$314*EFEITO!$AA$314</f>
        <v>0</v>
      </c>
      <c r="P314" s="57"/>
      <c r="Q314" s="57"/>
      <c r="R314" s="57"/>
      <c r="S314" s="57"/>
      <c r="T314" s="57"/>
      <c r="U314" s="57"/>
      <c r="V314" s="57"/>
      <c r="W314" s="57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53" t="s">
        <v>21</v>
      </c>
      <c r="B315" s="53" t="s">
        <v>39</v>
      </c>
      <c r="C315" s="53" t="s">
        <v>40</v>
      </c>
      <c r="D315" s="53" t="s">
        <v>51</v>
      </c>
      <c r="E315" s="53" t="s">
        <v>25</v>
      </c>
      <c r="F315" s="53" t="s">
        <v>25</v>
      </c>
      <c r="G315" s="53" t="s">
        <v>25</v>
      </c>
      <c r="H315" s="53" t="s">
        <v>25</v>
      </c>
      <c r="I315" s="75">
        <v>44682</v>
      </c>
      <c r="J315" s="76">
        <f ca="1">EFEITO!$J$315*EFEITO!$Y$315</f>
        <v>1322.7735185033155</v>
      </c>
      <c r="K315" s="76">
        <f>EFEITO!$L$315*EFEITO!$Z$315</f>
        <v>0</v>
      </c>
      <c r="L315" s="76">
        <f>EFEITO!$N$315*EFEITO!$AA$315</f>
        <v>0</v>
      </c>
      <c r="M315" s="76">
        <f ca="1">$J$315-EFEITO!$K$315*EFEITO!$Y$315</f>
        <v>0</v>
      </c>
      <c r="N315" s="76">
        <f>$K$315-EFEITO!$M$315*EFEITO!$Z$315</f>
        <v>0</v>
      </c>
      <c r="O315" s="76">
        <f>$L$315-EFEITO!$O$315*EFEITO!$AA$315</f>
        <v>0</v>
      </c>
      <c r="P315" s="57"/>
      <c r="Q315" s="57"/>
      <c r="R315" s="57"/>
      <c r="S315" s="57"/>
      <c r="T315" s="57"/>
      <c r="U315" s="57"/>
      <c r="V315" s="57"/>
      <c r="W315" s="57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53" t="s">
        <v>21</v>
      </c>
      <c r="B316" s="53" t="s">
        <v>39</v>
      </c>
      <c r="C316" s="53" t="s">
        <v>40</v>
      </c>
      <c r="D316" s="53" t="s">
        <v>51</v>
      </c>
      <c r="E316" s="53" t="s">
        <v>25</v>
      </c>
      <c r="F316" s="53" t="s">
        <v>25</v>
      </c>
      <c r="G316" s="53" t="s">
        <v>25</v>
      </c>
      <c r="H316" s="53" t="s">
        <v>25</v>
      </c>
      <c r="I316" s="75">
        <v>44713</v>
      </c>
      <c r="J316" s="76">
        <f ca="1">EFEITO!$J$316*EFEITO!$Y$316</f>
        <v>1102.3112654194294</v>
      </c>
      <c r="K316" s="76">
        <f>EFEITO!$L$316*EFEITO!$Z$316</f>
        <v>0</v>
      </c>
      <c r="L316" s="76">
        <f>EFEITO!$N$316*EFEITO!$AA$316</f>
        <v>0</v>
      </c>
      <c r="M316" s="76">
        <f ca="1">$J$316-EFEITO!$K$316*EFEITO!$Y$316</f>
        <v>0</v>
      </c>
      <c r="N316" s="76">
        <f>$K$316-EFEITO!$M$316*EFEITO!$Z$316</f>
        <v>0</v>
      </c>
      <c r="O316" s="76">
        <f>$L$316-EFEITO!$O$316*EFEITO!$AA$316</f>
        <v>0</v>
      </c>
      <c r="P316" s="57"/>
      <c r="Q316" s="57"/>
      <c r="R316" s="57"/>
      <c r="S316" s="57"/>
      <c r="T316" s="57"/>
      <c r="U316" s="57"/>
      <c r="V316" s="57"/>
      <c r="W316" s="57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53" t="s">
        <v>21</v>
      </c>
      <c r="B317" s="53" t="s">
        <v>39</v>
      </c>
      <c r="C317" s="53" t="s">
        <v>40</v>
      </c>
      <c r="D317" s="53" t="s">
        <v>51</v>
      </c>
      <c r="E317" s="53" t="s">
        <v>25</v>
      </c>
      <c r="F317" s="53" t="s">
        <v>25</v>
      </c>
      <c r="G317" s="53" t="s">
        <v>25</v>
      </c>
      <c r="H317" s="53" t="s">
        <v>25</v>
      </c>
      <c r="I317" s="75">
        <v>44743</v>
      </c>
      <c r="J317" s="76">
        <f ca="1">EFEITO!$J$317*EFEITO!$Y$317</f>
        <v>1102.3112654194294</v>
      </c>
      <c r="K317" s="76">
        <f>EFEITO!$L$317*EFEITO!$Z$317</f>
        <v>0</v>
      </c>
      <c r="L317" s="76">
        <f>EFEITO!$N$317*EFEITO!$AA$317</f>
        <v>0</v>
      </c>
      <c r="M317" s="76">
        <f ca="1">$J$317-EFEITO!$K$317*EFEITO!$Y$317</f>
        <v>0</v>
      </c>
      <c r="N317" s="76">
        <f>$K$317-EFEITO!$M$317*EFEITO!$Z$317</f>
        <v>0</v>
      </c>
      <c r="O317" s="76">
        <f>$L$317-EFEITO!$O$317*EFEITO!$AA$317</f>
        <v>0</v>
      </c>
      <c r="P317" s="57"/>
      <c r="Q317" s="57"/>
      <c r="R317" s="57"/>
      <c r="S317" s="57"/>
      <c r="T317" s="57"/>
      <c r="U317" s="57"/>
      <c r="V317" s="57"/>
      <c r="W317" s="57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53" t="s">
        <v>56</v>
      </c>
      <c r="B318" s="53" t="s">
        <v>39</v>
      </c>
      <c r="C318" s="53" t="s">
        <v>40</v>
      </c>
      <c r="D318" s="53" t="s">
        <v>51</v>
      </c>
      <c r="E318" s="53" t="s">
        <v>25</v>
      </c>
      <c r="F318" s="53" t="s">
        <v>25</v>
      </c>
      <c r="G318" s="53" t="s">
        <v>25</v>
      </c>
      <c r="H318" s="53" t="s">
        <v>25</v>
      </c>
      <c r="I318" s="75">
        <v>44774</v>
      </c>
      <c r="J318" s="76">
        <f ca="1">EFEITO!$J$318*EFEITO!$Y$318</f>
        <v>1102.3112654194294</v>
      </c>
      <c r="K318" s="76">
        <f>EFEITO!$L$318*EFEITO!$Z$318</f>
        <v>0</v>
      </c>
      <c r="L318" s="76">
        <f>EFEITO!$N$318*EFEITO!$AA$318</f>
        <v>0</v>
      </c>
      <c r="M318" s="76">
        <f ca="1">$J$318-EFEITO!$K$318*EFEITO!$Y$318</f>
        <v>0</v>
      </c>
      <c r="N318" s="76">
        <f>$K$318-EFEITO!$M$318*EFEITO!$Z$318</f>
        <v>0</v>
      </c>
      <c r="O318" s="76">
        <f>$L$318-EFEITO!$O$318*EFEITO!$AA$318</f>
        <v>0</v>
      </c>
      <c r="P318" s="57"/>
      <c r="Q318" s="57"/>
      <c r="R318" s="57"/>
      <c r="S318" s="57"/>
      <c r="T318" s="57"/>
      <c r="U318" s="57"/>
      <c r="V318" s="57"/>
      <c r="W318" s="57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53" t="s">
        <v>21</v>
      </c>
      <c r="B319" s="53" t="s">
        <v>39</v>
      </c>
      <c r="C319" s="53" t="s">
        <v>40</v>
      </c>
      <c r="D319" s="53" t="s">
        <v>51</v>
      </c>
      <c r="E319" s="53" t="s">
        <v>25</v>
      </c>
      <c r="F319" s="53" t="s">
        <v>25</v>
      </c>
      <c r="G319" s="53" t="s">
        <v>25</v>
      </c>
      <c r="H319" s="53" t="s">
        <v>34</v>
      </c>
      <c r="I319" s="75">
        <v>44440</v>
      </c>
      <c r="J319" s="76">
        <f>EFEITO!$J$319*EFEITO!$Y$319</f>
        <v>0</v>
      </c>
      <c r="K319" s="76">
        <f ca="1">EFEITO!$L$319*EFEITO!$Z$319</f>
        <v>1092.3174531484717</v>
      </c>
      <c r="L319" s="76">
        <f>EFEITO!$N$319*EFEITO!$AA$319</f>
        <v>346.42957118641482</v>
      </c>
      <c r="M319" s="76">
        <f>$J$319-EFEITO!$K$319*EFEITO!$Y$319</f>
        <v>0</v>
      </c>
      <c r="N319" s="76">
        <f ca="1">$K$319-EFEITO!$M$319*EFEITO!$Z$319</f>
        <v>0</v>
      </c>
      <c r="O319" s="76">
        <f>$L$319-EFEITO!$O$319*EFEITO!$AA$319</f>
        <v>0</v>
      </c>
      <c r="P319" s="57"/>
      <c r="Q319" s="57"/>
      <c r="R319" s="57"/>
      <c r="S319" s="57"/>
      <c r="T319" s="57"/>
      <c r="U319" s="57"/>
      <c r="V319" s="57"/>
      <c r="W319" s="57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53" t="s">
        <v>21</v>
      </c>
      <c r="B320" s="53" t="s">
        <v>39</v>
      </c>
      <c r="C320" s="53" t="s">
        <v>40</v>
      </c>
      <c r="D320" s="53" t="s">
        <v>51</v>
      </c>
      <c r="E320" s="53" t="s">
        <v>25</v>
      </c>
      <c r="F320" s="53" t="s">
        <v>25</v>
      </c>
      <c r="G320" s="53" t="s">
        <v>25</v>
      </c>
      <c r="H320" s="53" t="s">
        <v>34</v>
      </c>
      <c r="I320" s="75">
        <v>44470</v>
      </c>
      <c r="J320" s="76">
        <f>EFEITO!$J$320*EFEITO!$Y$320</f>
        <v>0</v>
      </c>
      <c r="K320" s="76">
        <f ca="1">EFEITO!$L$320*EFEITO!$Z$320</f>
        <v>1064.7414164630966</v>
      </c>
      <c r="L320" s="76">
        <f>EFEITO!$N$320*EFEITO!$AA$320</f>
        <v>337.68380361088117</v>
      </c>
      <c r="M320" s="76">
        <f>$J$320-EFEITO!$K$320*EFEITO!$Y$320</f>
        <v>0</v>
      </c>
      <c r="N320" s="76">
        <f ca="1">$K$320-EFEITO!$M$320*EFEITO!$Z$320</f>
        <v>0</v>
      </c>
      <c r="O320" s="76">
        <f>$L$320-EFEITO!$O$320*EFEITO!$AA$320</f>
        <v>0</v>
      </c>
      <c r="P320" s="57"/>
      <c r="Q320" s="57"/>
      <c r="R320" s="57"/>
      <c r="S320" s="57"/>
      <c r="T320" s="57"/>
      <c r="U320" s="57"/>
      <c r="V320" s="57"/>
      <c r="W320" s="57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53" t="s">
        <v>21</v>
      </c>
      <c r="B321" s="53" t="s">
        <v>39</v>
      </c>
      <c r="C321" s="53" t="s">
        <v>40</v>
      </c>
      <c r="D321" s="53" t="s">
        <v>51</v>
      </c>
      <c r="E321" s="53" t="s">
        <v>25</v>
      </c>
      <c r="F321" s="53" t="s">
        <v>25</v>
      </c>
      <c r="G321" s="53" t="s">
        <v>25</v>
      </c>
      <c r="H321" s="53" t="s">
        <v>34</v>
      </c>
      <c r="I321" s="75">
        <v>44501</v>
      </c>
      <c r="J321" s="76">
        <f>EFEITO!$J$321*EFEITO!$Y$321</f>
        <v>0</v>
      </c>
      <c r="K321" s="76">
        <f ca="1">EFEITO!$L$321*EFEITO!$Z$321</f>
        <v>977.41730029274197</v>
      </c>
      <c r="L321" s="76">
        <f>EFEITO!$N$321*EFEITO!$AA$321</f>
        <v>309.98887295502476</v>
      </c>
      <c r="M321" s="76">
        <f>$J$321-EFEITO!$K$321*EFEITO!$Y$321</f>
        <v>0</v>
      </c>
      <c r="N321" s="76">
        <f ca="1">$K$321-EFEITO!$M$321*EFEITO!$Z$321</f>
        <v>0</v>
      </c>
      <c r="O321" s="76">
        <f>$L$321-EFEITO!$O$321*EFEITO!$AA$321</f>
        <v>0</v>
      </c>
      <c r="P321" s="57"/>
      <c r="Q321" s="57"/>
      <c r="R321" s="57"/>
      <c r="S321" s="57"/>
      <c r="T321" s="57"/>
      <c r="U321" s="57"/>
      <c r="V321" s="57"/>
      <c r="W321" s="57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53" t="s">
        <v>21</v>
      </c>
      <c r="B322" s="53" t="s">
        <v>39</v>
      </c>
      <c r="C322" s="53" t="s">
        <v>40</v>
      </c>
      <c r="D322" s="53" t="s">
        <v>51</v>
      </c>
      <c r="E322" s="53" t="s">
        <v>25</v>
      </c>
      <c r="F322" s="53" t="s">
        <v>25</v>
      </c>
      <c r="G322" s="53" t="s">
        <v>25</v>
      </c>
      <c r="H322" s="53" t="s">
        <v>34</v>
      </c>
      <c r="I322" s="75">
        <v>44531</v>
      </c>
      <c r="J322" s="76">
        <f>EFEITO!$J$322*EFEITO!$Y$322</f>
        <v>0</v>
      </c>
      <c r="K322" s="76">
        <f ca="1">EFEITO!$L$322*EFEITO!$Z$322</f>
        <v>1253.1776671464936</v>
      </c>
      <c r="L322" s="76">
        <f>EFEITO!$N$322*EFEITO!$AA$322</f>
        <v>397.44654871036084</v>
      </c>
      <c r="M322" s="76">
        <f>$J$322-EFEITO!$K$322*EFEITO!$Y$322</f>
        <v>0</v>
      </c>
      <c r="N322" s="76">
        <f ca="1">$K$322-EFEITO!$M$322*EFEITO!$Z$322</f>
        <v>0</v>
      </c>
      <c r="O322" s="76">
        <f>$L$322-EFEITO!$O$322*EFEITO!$AA$322</f>
        <v>0</v>
      </c>
      <c r="P322" s="57"/>
      <c r="Q322" s="57"/>
      <c r="R322" s="57"/>
      <c r="S322" s="57"/>
      <c r="T322" s="57"/>
      <c r="U322" s="57"/>
      <c r="V322" s="57"/>
      <c r="W322" s="57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53" t="s">
        <v>21</v>
      </c>
      <c r="B323" s="53" t="s">
        <v>39</v>
      </c>
      <c r="C323" s="53" t="s">
        <v>40</v>
      </c>
      <c r="D323" s="53" t="s">
        <v>51</v>
      </c>
      <c r="E323" s="53" t="s">
        <v>25</v>
      </c>
      <c r="F323" s="53" t="s">
        <v>25</v>
      </c>
      <c r="G323" s="53" t="s">
        <v>25</v>
      </c>
      <c r="H323" s="53" t="s">
        <v>34</v>
      </c>
      <c r="I323" s="75">
        <v>44562</v>
      </c>
      <c r="J323" s="76">
        <f>EFEITO!$J$323*EFEITO!$Y$323</f>
        <v>0</v>
      </c>
      <c r="K323" s="76">
        <f ca="1">EFEITO!$L$323*EFEITO!$Z$323</f>
        <v>1291.4777180984036</v>
      </c>
      <c r="L323" s="76">
        <f>EFEITO!$N$323*EFEITO!$AA$323</f>
        <v>409.59344812082423</v>
      </c>
      <c r="M323" s="76">
        <f>$J$323-EFEITO!$K$323*EFEITO!$Y$323</f>
        <v>0</v>
      </c>
      <c r="N323" s="76">
        <f ca="1">$K$323-EFEITO!$M$323*EFEITO!$Z$323</f>
        <v>0</v>
      </c>
      <c r="O323" s="76">
        <f>$L$323-EFEITO!$O$323*EFEITO!$AA$323</f>
        <v>0</v>
      </c>
      <c r="P323" s="57"/>
      <c r="Q323" s="57"/>
      <c r="R323" s="57"/>
      <c r="S323" s="57"/>
      <c r="T323" s="57"/>
      <c r="U323" s="57"/>
      <c r="V323" s="57"/>
      <c r="W323" s="57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53" t="s">
        <v>21</v>
      </c>
      <c r="B324" s="53" t="s">
        <v>39</v>
      </c>
      <c r="C324" s="53" t="s">
        <v>40</v>
      </c>
      <c r="D324" s="53" t="s">
        <v>51</v>
      </c>
      <c r="E324" s="53" t="s">
        <v>25</v>
      </c>
      <c r="F324" s="53" t="s">
        <v>25</v>
      </c>
      <c r="G324" s="53" t="s">
        <v>25</v>
      </c>
      <c r="H324" s="53" t="s">
        <v>34</v>
      </c>
      <c r="I324" s="75">
        <v>44593</v>
      </c>
      <c r="J324" s="76">
        <f>EFEITO!$J$324*EFEITO!$Y$324</f>
        <v>0</v>
      </c>
      <c r="K324" s="76">
        <f ca="1">EFEITO!$L$324*EFEITO!$Z$324</f>
        <v>1294.5417221745563</v>
      </c>
      <c r="L324" s="76">
        <f>EFEITO!$N$324*EFEITO!$AA$324</f>
        <v>410.56520007366129</v>
      </c>
      <c r="M324" s="76">
        <f>$J$324-EFEITO!$K$324*EFEITO!$Y$324</f>
        <v>0</v>
      </c>
      <c r="N324" s="76">
        <f ca="1">$K$324-EFEITO!$M$324*EFEITO!$Z$324</f>
        <v>0</v>
      </c>
      <c r="O324" s="76">
        <f>$L$324-EFEITO!$O$324*EFEITO!$AA$324</f>
        <v>0</v>
      </c>
      <c r="P324" s="57"/>
      <c r="Q324" s="57"/>
      <c r="R324" s="57"/>
      <c r="S324" s="57"/>
      <c r="T324" s="57"/>
      <c r="U324" s="57"/>
      <c r="V324" s="57"/>
      <c r="W324" s="57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53" t="s">
        <v>21</v>
      </c>
      <c r="B325" s="53" t="s">
        <v>39</v>
      </c>
      <c r="C325" s="53" t="s">
        <v>40</v>
      </c>
      <c r="D325" s="53" t="s">
        <v>51</v>
      </c>
      <c r="E325" s="53" t="s">
        <v>25</v>
      </c>
      <c r="F325" s="53" t="s">
        <v>25</v>
      </c>
      <c r="G325" s="53" t="s">
        <v>25</v>
      </c>
      <c r="H325" s="53" t="s">
        <v>34</v>
      </c>
      <c r="I325" s="75">
        <v>44621</v>
      </c>
      <c r="J325" s="76">
        <f>EFEITO!$J$325*EFEITO!$Y$325</f>
        <v>0</v>
      </c>
      <c r="K325" s="76">
        <f ca="1">EFEITO!$L$325*EFEITO!$Z$325</f>
        <v>1449.2739280202725</v>
      </c>
      <c r="L325" s="76">
        <f>EFEITO!$N$325*EFEITO!$AA$325</f>
        <v>459.63867369193321</v>
      </c>
      <c r="M325" s="76">
        <f>$J$325-EFEITO!$K$325*EFEITO!$Y$325</f>
        <v>0</v>
      </c>
      <c r="N325" s="76">
        <f ca="1">$K$325-EFEITO!$M$325*EFEITO!$Z$325</f>
        <v>0</v>
      </c>
      <c r="O325" s="76">
        <f>$L$325-EFEITO!$O$325*EFEITO!$AA$325</f>
        <v>0</v>
      </c>
      <c r="P325" s="57"/>
      <c r="Q325" s="57"/>
      <c r="R325" s="57"/>
      <c r="S325" s="57"/>
      <c r="T325" s="57"/>
      <c r="U325" s="57"/>
      <c r="V325" s="57"/>
      <c r="W325" s="57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53" t="s">
        <v>21</v>
      </c>
      <c r="B326" s="53" t="s">
        <v>39</v>
      </c>
      <c r="C326" s="53" t="s">
        <v>40</v>
      </c>
      <c r="D326" s="53" t="s">
        <v>51</v>
      </c>
      <c r="E326" s="53" t="s">
        <v>25</v>
      </c>
      <c r="F326" s="53" t="s">
        <v>25</v>
      </c>
      <c r="G326" s="53" t="s">
        <v>25</v>
      </c>
      <c r="H326" s="53" t="s">
        <v>34</v>
      </c>
      <c r="I326" s="75">
        <v>44652</v>
      </c>
      <c r="J326" s="76">
        <f>EFEITO!$J$326*EFEITO!$Y$326</f>
        <v>0</v>
      </c>
      <c r="K326" s="76">
        <f ca="1">EFEITO!$L$326*EFEITO!$Z$326</f>
        <v>1329.7777690503135</v>
      </c>
      <c r="L326" s="76">
        <f>EFEITO!$N$326*EFEITO!$AA$326</f>
        <v>421.74034753128757</v>
      </c>
      <c r="M326" s="76">
        <f>$J$326-EFEITO!$K$326*EFEITO!$Y$326</f>
        <v>0</v>
      </c>
      <c r="N326" s="76">
        <f ca="1">$K$326-EFEITO!$M$326*EFEITO!$Z$326</f>
        <v>0</v>
      </c>
      <c r="O326" s="76">
        <f>$L$326-EFEITO!$O$326*EFEITO!$AA$326</f>
        <v>0</v>
      </c>
      <c r="P326" s="57"/>
      <c r="Q326" s="57"/>
      <c r="R326" s="57"/>
      <c r="S326" s="57"/>
      <c r="T326" s="57"/>
      <c r="U326" s="57"/>
      <c r="V326" s="57"/>
      <c r="W326" s="57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53" t="s">
        <v>21</v>
      </c>
      <c r="B327" s="53" t="s">
        <v>39</v>
      </c>
      <c r="C327" s="53" t="s">
        <v>40</v>
      </c>
      <c r="D327" s="53" t="s">
        <v>51</v>
      </c>
      <c r="E327" s="53" t="s">
        <v>25</v>
      </c>
      <c r="F327" s="53" t="s">
        <v>25</v>
      </c>
      <c r="G327" s="53" t="s">
        <v>25</v>
      </c>
      <c r="H327" s="53" t="s">
        <v>34</v>
      </c>
      <c r="I327" s="75">
        <v>44682</v>
      </c>
      <c r="J327" s="76">
        <f>EFEITO!$J$327*EFEITO!$Y$327</f>
        <v>0</v>
      </c>
      <c r="K327" s="76">
        <f ca="1">EFEITO!$L$327*EFEITO!$Z$327</f>
        <v>1152.0655326334513</v>
      </c>
      <c r="L327" s="76">
        <f>EFEITO!$N$327*EFEITO!$AA$327</f>
        <v>365.37873426673764</v>
      </c>
      <c r="M327" s="76">
        <f>$J$327-EFEITO!$K$327*EFEITO!$Y$327</f>
        <v>0</v>
      </c>
      <c r="N327" s="76">
        <f ca="1">$K$327-EFEITO!$M$327*EFEITO!$Z$327</f>
        <v>0</v>
      </c>
      <c r="O327" s="76">
        <f>$L$327-EFEITO!$O$327*EFEITO!$AA$327</f>
        <v>0</v>
      </c>
      <c r="P327" s="57"/>
      <c r="Q327" s="57"/>
      <c r="R327" s="57"/>
      <c r="S327" s="57"/>
      <c r="T327" s="57"/>
      <c r="U327" s="57"/>
      <c r="V327" s="57"/>
      <c r="W327" s="57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53" t="s">
        <v>21</v>
      </c>
      <c r="B328" s="53" t="s">
        <v>39</v>
      </c>
      <c r="C328" s="53" t="s">
        <v>40</v>
      </c>
      <c r="D328" s="53" t="s">
        <v>51</v>
      </c>
      <c r="E328" s="53" t="s">
        <v>25</v>
      </c>
      <c r="F328" s="53" t="s">
        <v>25</v>
      </c>
      <c r="G328" s="53" t="s">
        <v>25</v>
      </c>
      <c r="H328" s="53" t="s">
        <v>34</v>
      </c>
      <c r="I328" s="75">
        <v>44713</v>
      </c>
      <c r="J328" s="76">
        <f>EFEITO!$J$328*EFEITO!$Y$328</f>
        <v>0</v>
      </c>
      <c r="K328" s="76">
        <f ca="1">EFEITO!$L$328*EFEITO!$Z$328</f>
        <v>1069.3374225773257</v>
      </c>
      <c r="L328" s="76">
        <f>EFEITO!$N$328*EFEITO!$AA$328</f>
        <v>339.14143154013675</v>
      </c>
      <c r="M328" s="76">
        <f>$J$328-EFEITO!$K$328*EFEITO!$Y$328</f>
        <v>0</v>
      </c>
      <c r="N328" s="76">
        <f ca="1">$K$328-EFEITO!$M$328*EFEITO!$Z$328</f>
        <v>0</v>
      </c>
      <c r="O328" s="76">
        <f>$L$328-EFEITO!$O$328*EFEITO!$AA$328</f>
        <v>0</v>
      </c>
      <c r="P328" s="57"/>
      <c r="Q328" s="57"/>
      <c r="R328" s="57"/>
      <c r="S328" s="57"/>
      <c r="T328" s="57"/>
      <c r="U328" s="57"/>
      <c r="V328" s="57"/>
      <c r="W328" s="57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53" t="s">
        <v>21</v>
      </c>
      <c r="B329" s="53" t="s">
        <v>39</v>
      </c>
      <c r="C329" s="53" t="s">
        <v>40</v>
      </c>
      <c r="D329" s="53" t="s">
        <v>51</v>
      </c>
      <c r="E329" s="53" t="s">
        <v>25</v>
      </c>
      <c r="F329" s="53" t="s">
        <v>25</v>
      </c>
      <c r="G329" s="53" t="s">
        <v>25</v>
      </c>
      <c r="H329" s="53" t="s">
        <v>34</v>
      </c>
      <c r="I329" s="75">
        <v>44743</v>
      </c>
      <c r="J329" s="76">
        <f>EFEITO!$J$329*EFEITO!$Y$329</f>
        <v>0</v>
      </c>
      <c r="K329" s="76">
        <f ca="1">EFEITO!$L$329*EFEITO!$Z$329</f>
        <v>1050.9533981204092</v>
      </c>
      <c r="L329" s="76">
        <f>EFEITO!$N$329*EFEITO!$AA$329</f>
        <v>333.31091982311443</v>
      </c>
      <c r="M329" s="76">
        <f>$J$329-EFEITO!$K$329*EFEITO!$Y$329</f>
        <v>0</v>
      </c>
      <c r="N329" s="76">
        <f ca="1">$K$329-EFEITO!$M$329*EFEITO!$Z$329</f>
        <v>0</v>
      </c>
      <c r="O329" s="76">
        <f>$L$329-EFEITO!$O$329*EFEITO!$AA$329</f>
        <v>0</v>
      </c>
      <c r="P329" s="57"/>
      <c r="Q329" s="57"/>
      <c r="R329" s="57"/>
      <c r="S329" s="57"/>
      <c r="T329" s="57"/>
      <c r="U329" s="57"/>
      <c r="V329" s="57"/>
      <c r="W329" s="57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53" t="s">
        <v>56</v>
      </c>
      <c r="B330" s="53" t="s">
        <v>39</v>
      </c>
      <c r="C330" s="53" t="s">
        <v>40</v>
      </c>
      <c r="D330" s="53" t="s">
        <v>51</v>
      </c>
      <c r="E330" s="53" t="s">
        <v>25</v>
      </c>
      <c r="F330" s="53" t="s">
        <v>25</v>
      </c>
      <c r="G330" s="53" t="s">
        <v>25</v>
      </c>
      <c r="H330" s="53" t="s">
        <v>34</v>
      </c>
      <c r="I330" s="75">
        <v>44774</v>
      </c>
      <c r="J330" s="76">
        <f>EFEITO!$J$330*EFEITO!$Y$330</f>
        <v>0</v>
      </c>
      <c r="K330" s="76">
        <f ca="1">EFEITO!$L$330*EFEITO!$Z$330</f>
        <v>1050.9533981204092</v>
      </c>
      <c r="L330" s="76">
        <f>EFEITO!$N$330*EFEITO!$AA$330</f>
        <v>333.31091982311443</v>
      </c>
      <c r="M330" s="76">
        <f>$J$330-EFEITO!$K$330*EFEITO!$Y$330</f>
        <v>0</v>
      </c>
      <c r="N330" s="76">
        <f ca="1">$K$330-EFEITO!$M$330*EFEITO!$Z$330</f>
        <v>0</v>
      </c>
      <c r="O330" s="76">
        <f>$L$330-EFEITO!$O$330*EFEITO!$AA$330</f>
        <v>0</v>
      </c>
      <c r="P330" s="57"/>
      <c r="Q330" s="57"/>
      <c r="R330" s="57"/>
      <c r="S330" s="57"/>
      <c r="T330" s="57"/>
      <c r="U330" s="57"/>
      <c r="V330" s="57"/>
      <c r="W330" s="57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53" t="s">
        <v>21</v>
      </c>
      <c r="B331" s="53" t="s">
        <v>39</v>
      </c>
      <c r="C331" s="53" t="s">
        <v>40</v>
      </c>
      <c r="D331" s="53" t="s">
        <v>38</v>
      </c>
      <c r="E331" s="53" t="s">
        <v>25</v>
      </c>
      <c r="F331" s="53" t="s">
        <v>57</v>
      </c>
      <c r="G331" s="53" t="s">
        <v>25</v>
      </c>
      <c r="H331" s="53" t="s">
        <v>35</v>
      </c>
      <c r="I331" s="75">
        <v>44440</v>
      </c>
      <c r="J331" s="76">
        <f>EFEITO!$J$331*EFEITO!$Y$331</f>
        <v>0</v>
      </c>
      <c r="K331" s="76">
        <f ca="1">EFEITO!$L$331*EFEITO!$Z$331</f>
        <v>727809.23692434747</v>
      </c>
      <c r="L331" s="76">
        <f>EFEITO!$N$331*EFEITO!$AA$331</f>
        <v>0</v>
      </c>
      <c r="M331" s="76">
        <f>$J$331-EFEITO!$K$331*EFEITO!$Y$331</f>
        <v>0</v>
      </c>
      <c r="N331" s="76">
        <f ca="1">$K$331-EFEITO!$M$331*EFEITO!$Z$331</f>
        <v>0</v>
      </c>
      <c r="O331" s="76">
        <f>$L$331-EFEITO!$O$331*EFEITO!$AA$331</f>
        <v>0</v>
      </c>
      <c r="P331" s="57"/>
      <c r="Q331" s="57"/>
      <c r="R331" s="57"/>
      <c r="S331" s="57"/>
      <c r="T331" s="57"/>
      <c r="U331" s="57"/>
      <c r="V331" s="57"/>
      <c r="W331" s="57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53" t="s">
        <v>21</v>
      </c>
      <c r="B332" s="53" t="s">
        <v>39</v>
      </c>
      <c r="C332" s="53" t="s">
        <v>40</v>
      </c>
      <c r="D332" s="53" t="s">
        <v>38</v>
      </c>
      <c r="E332" s="53" t="s">
        <v>25</v>
      </c>
      <c r="F332" s="53" t="s">
        <v>57</v>
      </c>
      <c r="G332" s="53" t="s">
        <v>25</v>
      </c>
      <c r="H332" s="53" t="s">
        <v>35</v>
      </c>
      <c r="I332" s="75">
        <v>44470</v>
      </c>
      <c r="J332" s="76">
        <f>EFEITO!$J$332*EFEITO!$Y$332</f>
        <v>0</v>
      </c>
      <c r="K332" s="76">
        <f ca="1">EFEITO!$L$332*EFEITO!$Z$332</f>
        <v>635558.0188188958</v>
      </c>
      <c r="L332" s="76">
        <f>EFEITO!$N$332*EFEITO!$AA$332</f>
        <v>0</v>
      </c>
      <c r="M332" s="76">
        <f>$J$332-EFEITO!$K$332*EFEITO!$Y$332</f>
        <v>0</v>
      </c>
      <c r="N332" s="76">
        <f ca="1">$K$332-EFEITO!$M$332*EFEITO!$Z$332</f>
        <v>0</v>
      </c>
      <c r="O332" s="76">
        <f>$L$332-EFEITO!$O$332*EFEITO!$AA$332</f>
        <v>0</v>
      </c>
      <c r="P332" s="57"/>
      <c r="Q332" s="57"/>
      <c r="R332" s="57"/>
      <c r="S332" s="57"/>
      <c r="T332" s="57"/>
      <c r="U332" s="57"/>
      <c r="V332" s="57"/>
      <c r="W332" s="57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53" t="s">
        <v>21</v>
      </c>
      <c r="B333" s="53" t="s">
        <v>39</v>
      </c>
      <c r="C333" s="53" t="s">
        <v>40</v>
      </c>
      <c r="D333" s="53" t="s">
        <v>38</v>
      </c>
      <c r="E333" s="53" t="s">
        <v>25</v>
      </c>
      <c r="F333" s="53" t="s">
        <v>57</v>
      </c>
      <c r="G333" s="53" t="s">
        <v>25</v>
      </c>
      <c r="H333" s="53" t="s">
        <v>35</v>
      </c>
      <c r="I333" s="75">
        <v>44501</v>
      </c>
      <c r="J333" s="76">
        <f>EFEITO!$J$333*EFEITO!$Y$333</f>
        <v>0</v>
      </c>
      <c r="K333" s="76">
        <f ca="1">EFEITO!$L$333*EFEITO!$Z$333</f>
        <v>742082.40030143212</v>
      </c>
      <c r="L333" s="76">
        <f>EFEITO!$N$333*EFEITO!$AA$333</f>
        <v>0</v>
      </c>
      <c r="M333" s="76">
        <f>$J$333-EFEITO!$K$333*EFEITO!$Y$333</f>
        <v>0</v>
      </c>
      <c r="N333" s="76">
        <f ca="1">$K$333-EFEITO!$M$333*EFEITO!$Z$333</f>
        <v>0</v>
      </c>
      <c r="O333" s="76">
        <f>$L$333-EFEITO!$O$333*EFEITO!$AA$333</f>
        <v>0</v>
      </c>
      <c r="P333" s="57"/>
      <c r="Q333" s="57"/>
      <c r="R333" s="57"/>
      <c r="S333" s="57"/>
      <c r="T333" s="57"/>
      <c r="U333" s="57"/>
      <c r="V333" s="57"/>
      <c r="W333" s="57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53" t="s">
        <v>21</v>
      </c>
      <c r="B334" s="53" t="s">
        <v>39</v>
      </c>
      <c r="C334" s="53" t="s">
        <v>40</v>
      </c>
      <c r="D334" s="53" t="s">
        <v>38</v>
      </c>
      <c r="E334" s="53" t="s">
        <v>25</v>
      </c>
      <c r="F334" s="53" t="s">
        <v>57</v>
      </c>
      <c r="G334" s="53" t="s">
        <v>25</v>
      </c>
      <c r="H334" s="53" t="s">
        <v>35</v>
      </c>
      <c r="I334" s="75">
        <v>44531</v>
      </c>
      <c r="J334" s="76">
        <f>EFEITO!$J$334*EFEITO!$Y$334</f>
        <v>0</v>
      </c>
      <c r="K334" s="76">
        <f ca="1">EFEITO!$L$334*EFEITO!$Z$334</f>
        <v>700023.45293691114</v>
      </c>
      <c r="L334" s="76">
        <f>EFEITO!$N$334*EFEITO!$AA$334</f>
        <v>0</v>
      </c>
      <c r="M334" s="76">
        <f>$J$334-EFEITO!$K$334*EFEITO!$Y$334</f>
        <v>0</v>
      </c>
      <c r="N334" s="76">
        <f ca="1">$K$334-EFEITO!$M$334*EFEITO!$Z$334</f>
        <v>0</v>
      </c>
      <c r="O334" s="76">
        <f>$L$334-EFEITO!$O$334*EFEITO!$AA$334</f>
        <v>0</v>
      </c>
      <c r="P334" s="57"/>
      <c r="Q334" s="57"/>
      <c r="R334" s="57"/>
      <c r="S334" s="57"/>
      <c r="T334" s="57"/>
      <c r="U334" s="57"/>
      <c r="V334" s="57"/>
      <c r="W334" s="57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53" t="s">
        <v>21</v>
      </c>
      <c r="B335" s="53" t="s">
        <v>39</v>
      </c>
      <c r="C335" s="53" t="s">
        <v>40</v>
      </c>
      <c r="D335" s="53" t="s">
        <v>38</v>
      </c>
      <c r="E335" s="53" t="s">
        <v>25</v>
      </c>
      <c r="F335" s="53" t="s">
        <v>57</v>
      </c>
      <c r="G335" s="53" t="s">
        <v>25</v>
      </c>
      <c r="H335" s="53" t="s">
        <v>35</v>
      </c>
      <c r="I335" s="75">
        <v>44562</v>
      </c>
      <c r="J335" s="76">
        <f>EFEITO!$J$335*EFEITO!$Y$335</f>
        <v>0</v>
      </c>
      <c r="K335" s="76">
        <f ca="1">EFEITO!$L$335*EFEITO!$Z$335</f>
        <v>582403.7899278577</v>
      </c>
      <c r="L335" s="76">
        <f>EFEITO!$N$335*EFEITO!$AA$335</f>
        <v>0</v>
      </c>
      <c r="M335" s="76">
        <f>$J$335-EFEITO!$K$335*EFEITO!$Y$335</f>
        <v>0</v>
      </c>
      <c r="N335" s="76">
        <f ca="1">$K$335-EFEITO!$M$335*EFEITO!$Z$335</f>
        <v>0</v>
      </c>
      <c r="O335" s="76">
        <f>$L$335-EFEITO!$O$335*EFEITO!$AA$335</f>
        <v>0</v>
      </c>
      <c r="P335" s="57"/>
      <c r="Q335" s="57"/>
      <c r="R335" s="57"/>
      <c r="S335" s="57"/>
      <c r="T335" s="57"/>
      <c r="U335" s="57"/>
      <c r="V335" s="57"/>
      <c r="W335" s="57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53" t="s">
        <v>21</v>
      </c>
      <c r="B336" s="53" t="s">
        <v>39</v>
      </c>
      <c r="C336" s="53" t="s">
        <v>40</v>
      </c>
      <c r="D336" s="53" t="s">
        <v>38</v>
      </c>
      <c r="E336" s="53" t="s">
        <v>25</v>
      </c>
      <c r="F336" s="53" t="s">
        <v>57</v>
      </c>
      <c r="G336" s="53" t="s">
        <v>25</v>
      </c>
      <c r="H336" s="53" t="s">
        <v>35</v>
      </c>
      <c r="I336" s="75">
        <v>44593</v>
      </c>
      <c r="J336" s="76">
        <f>EFEITO!$J$336*EFEITO!$Y$336</f>
        <v>0</v>
      </c>
      <c r="K336" s="76">
        <f ca="1">EFEITO!$L$336*EFEITO!$Z$336</f>
        <v>732201.56009498006</v>
      </c>
      <c r="L336" s="76">
        <f>EFEITO!$N$336*EFEITO!$AA$336</f>
        <v>0</v>
      </c>
      <c r="M336" s="76">
        <f>$J$336-EFEITO!$K$336*EFEITO!$Y$336</f>
        <v>0</v>
      </c>
      <c r="N336" s="76">
        <f ca="1">$K$336-EFEITO!$M$336*EFEITO!$Z$336</f>
        <v>0</v>
      </c>
      <c r="O336" s="76">
        <f>$L$336-EFEITO!$O$336*EFEITO!$AA$336</f>
        <v>0</v>
      </c>
      <c r="P336" s="57"/>
      <c r="Q336" s="57"/>
      <c r="R336" s="57"/>
      <c r="S336" s="57"/>
      <c r="T336" s="57"/>
      <c r="U336" s="57"/>
      <c r="V336" s="57"/>
      <c r="W336" s="57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53" t="s">
        <v>21</v>
      </c>
      <c r="B337" s="53" t="s">
        <v>39</v>
      </c>
      <c r="C337" s="53" t="s">
        <v>40</v>
      </c>
      <c r="D337" s="53" t="s">
        <v>38</v>
      </c>
      <c r="E337" s="53" t="s">
        <v>25</v>
      </c>
      <c r="F337" s="53" t="s">
        <v>57</v>
      </c>
      <c r="G337" s="53" t="s">
        <v>25</v>
      </c>
      <c r="H337" s="53" t="s">
        <v>35</v>
      </c>
      <c r="I337" s="75">
        <v>44621</v>
      </c>
      <c r="J337" s="76">
        <f>EFEITO!$J$337*EFEITO!$Y$337</f>
        <v>0</v>
      </c>
      <c r="K337" s="76">
        <f ca="1">EFEITO!$L$337*EFEITO!$Z$337</f>
        <v>702024.33602822002</v>
      </c>
      <c r="L337" s="76">
        <f>EFEITO!$N$337*EFEITO!$AA$337</f>
        <v>0</v>
      </c>
      <c r="M337" s="76">
        <f>$J$337-EFEITO!$K$337*EFEITO!$Y$337</f>
        <v>0</v>
      </c>
      <c r="N337" s="76">
        <f ca="1">$K$337-EFEITO!$M$337*EFEITO!$Z$337</f>
        <v>0</v>
      </c>
      <c r="O337" s="76">
        <f>$L$337-EFEITO!$O$337*EFEITO!$AA$337</f>
        <v>0</v>
      </c>
      <c r="P337" s="57"/>
      <c r="Q337" s="57"/>
      <c r="R337" s="57"/>
      <c r="S337" s="57"/>
      <c r="T337" s="57"/>
      <c r="U337" s="57"/>
      <c r="V337" s="57"/>
      <c r="W337" s="57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53" t="s">
        <v>21</v>
      </c>
      <c r="B338" s="53" t="s">
        <v>39</v>
      </c>
      <c r="C338" s="53" t="s">
        <v>40</v>
      </c>
      <c r="D338" s="53" t="s">
        <v>38</v>
      </c>
      <c r="E338" s="53" t="s">
        <v>25</v>
      </c>
      <c r="F338" s="53" t="s">
        <v>57</v>
      </c>
      <c r="G338" s="53" t="s">
        <v>25</v>
      </c>
      <c r="H338" s="53" t="s">
        <v>35</v>
      </c>
      <c r="I338" s="75">
        <v>44652</v>
      </c>
      <c r="J338" s="76">
        <f>EFEITO!$J$338*EFEITO!$Y$338</f>
        <v>0</v>
      </c>
      <c r="K338" s="76">
        <f ca="1">EFEITO!$L$338*EFEITO!$Z$338</f>
        <v>784873.17953625799</v>
      </c>
      <c r="L338" s="76">
        <f>EFEITO!$N$338*EFEITO!$AA$338</f>
        <v>0</v>
      </c>
      <c r="M338" s="76">
        <f>$J$338-EFEITO!$K$338*EFEITO!$Y$338</f>
        <v>0</v>
      </c>
      <c r="N338" s="76">
        <f ca="1">$K$338-EFEITO!$M$338*EFEITO!$Z$338</f>
        <v>0</v>
      </c>
      <c r="O338" s="76">
        <f>$L$338-EFEITO!$O$338*EFEITO!$AA$338</f>
        <v>0</v>
      </c>
      <c r="P338" s="57"/>
      <c r="Q338" s="57"/>
      <c r="R338" s="57"/>
      <c r="S338" s="57"/>
      <c r="T338" s="57"/>
      <c r="U338" s="57"/>
      <c r="V338" s="57"/>
      <c r="W338" s="57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53" t="s">
        <v>21</v>
      </c>
      <c r="B339" s="53" t="s">
        <v>39</v>
      </c>
      <c r="C339" s="53" t="s">
        <v>40</v>
      </c>
      <c r="D339" s="53" t="s">
        <v>38</v>
      </c>
      <c r="E339" s="53" t="s">
        <v>25</v>
      </c>
      <c r="F339" s="53" t="s">
        <v>57</v>
      </c>
      <c r="G339" s="53" t="s">
        <v>25</v>
      </c>
      <c r="H339" s="53" t="s">
        <v>35</v>
      </c>
      <c r="I339" s="75">
        <v>44682</v>
      </c>
      <c r="J339" s="76">
        <f>EFEITO!$J$339*EFEITO!$Y$339</f>
        <v>0</v>
      </c>
      <c r="K339" s="76">
        <f ca="1">EFEITO!$L$339*EFEITO!$Z$339</f>
        <v>750700.40504796279</v>
      </c>
      <c r="L339" s="76">
        <f>EFEITO!$N$339*EFEITO!$AA$339</f>
        <v>0</v>
      </c>
      <c r="M339" s="76">
        <f>$J$339-EFEITO!$K$339*EFEITO!$Y$339</f>
        <v>0</v>
      </c>
      <c r="N339" s="76">
        <f ca="1">$K$339-EFEITO!$M$339*EFEITO!$Z$339</f>
        <v>0</v>
      </c>
      <c r="O339" s="76">
        <f>$L$339-EFEITO!$O$339*EFEITO!$AA$339</f>
        <v>0</v>
      </c>
      <c r="P339" s="57"/>
      <c r="Q339" s="57"/>
      <c r="R339" s="57"/>
      <c r="S339" s="57"/>
      <c r="T339" s="57"/>
      <c r="U339" s="57"/>
      <c r="V339" s="57"/>
      <c r="W339" s="57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53" t="s">
        <v>21</v>
      </c>
      <c r="B340" s="53" t="s">
        <v>39</v>
      </c>
      <c r="C340" s="53" t="s">
        <v>40</v>
      </c>
      <c r="D340" s="53" t="s">
        <v>38</v>
      </c>
      <c r="E340" s="53" t="s">
        <v>25</v>
      </c>
      <c r="F340" s="53" t="s">
        <v>57</v>
      </c>
      <c r="G340" s="53" t="s">
        <v>25</v>
      </c>
      <c r="H340" s="53" t="s">
        <v>35</v>
      </c>
      <c r="I340" s="75">
        <v>44713</v>
      </c>
      <c r="J340" s="76">
        <f>EFEITO!$J$340*EFEITO!$Y$340</f>
        <v>0</v>
      </c>
      <c r="K340" s="76">
        <f ca="1">EFEITO!$L$340*EFEITO!$Z$340</f>
        <v>769689.11117196863</v>
      </c>
      <c r="L340" s="76">
        <f>EFEITO!$N$340*EFEITO!$AA$340</f>
        <v>0</v>
      </c>
      <c r="M340" s="76">
        <f>$J$340-EFEITO!$K$340*EFEITO!$Y$340</f>
        <v>0</v>
      </c>
      <c r="N340" s="76">
        <f ca="1">$K$340-EFEITO!$M$340*EFEITO!$Z$340</f>
        <v>0</v>
      </c>
      <c r="O340" s="76">
        <f>$L$340-EFEITO!$O$340*EFEITO!$AA$340</f>
        <v>0</v>
      </c>
      <c r="P340" s="57"/>
      <c r="Q340" s="57"/>
      <c r="R340" s="57"/>
      <c r="S340" s="57"/>
      <c r="T340" s="57"/>
      <c r="U340" s="57"/>
      <c r="V340" s="57"/>
      <c r="W340" s="57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53" t="s">
        <v>21</v>
      </c>
      <c r="B341" s="53" t="s">
        <v>39</v>
      </c>
      <c r="C341" s="53" t="s">
        <v>40</v>
      </c>
      <c r="D341" s="53" t="s">
        <v>38</v>
      </c>
      <c r="E341" s="53" t="s">
        <v>25</v>
      </c>
      <c r="F341" s="53" t="s">
        <v>57</v>
      </c>
      <c r="G341" s="53" t="s">
        <v>25</v>
      </c>
      <c r="H341" s="53" t="s">
        <v>35</v>
      </c>
      <c r="I341" s="75">
        <v>44743</v>
      </c>
      <c r="J341" s="76">
        <f>EFEITO!$J$341*EFEITO!$Y$341</f>
        <v>0</v>
      </c>
      <c r="K341" s="76">
        <f ca="1">EFEITO!$L$341*EFEITO!$Z$341</f>
        <v>783585.48103200668</v>
      </c>
      <c r="L341" s="76">
        <f>EFEITO!$N$341*EFEITO!$AA$341</f>
        <v>0</v>
      </c>
      <c r="M341" s="76">
        <f>$J$341-EFEITO!$K$341*EFEITO!$Y$341</f>
        <v>0</v>
      </c>
      <c r="N341" s="76">
        <f ca="1">$K$341-EFEITO!$M$341*EFEITO!$Z$341</f>
        <v>0</v>
      </c>
      <c r="O341" s="76">
        <f>$L$341-EFEITO!$O$341*EFEITO!$AA$341</f>
        <v>0</v>
      </c>
      <c r="P341" s="57"/>
      <c r="Q341" s="57"/>
      <c r="R341" s="57"/>
      <c r="S341" s="57"/>
      <c r="T341" s="57"/>
      <c r="U341" s="57"/>
      <c r="V341" s="57"/>
      <c r="W341" s="57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53" t="s">
        <v>56</v>
      </c>
      <c r="B342" s="53" t="s">
        <v>39</v>
      </c>
      <c r="C342" s="53" t="s">
        <v>40</v>
      </c>
      <c r="D342" s="53" t="s">
        <v>38</v>
      </c>
      <c r="E342" s="53" t="s">
        <v>25</v>
      </c>
      <c r="F342" s="53" t="s">
        <v>57</v>
      </c>
      <c r="G342" s="53" t="s">
        <v>25</v>
      </c>
      <c r="H342" s="53" t="s">
        <v>35</v>
      </c>
      <c r="I342" s="75">
        <v>44774</v>
      </c>
      <c r="J342" s="76">
        <f>EFEITO!$J$342*EFEITO!$Y$342</f>
        <v>0</v>
      </c>
      <c r="K342" s="76">
        <f ca="1">EFEITO!$L$342*EFEITO!$Z$342</f>
        <v>783585.48103200668</v>
      </c>
      <c r="L342" s="76">
        <f>EFEITO!$N$342*EFEITO!$AA$342</f>
        <v>0</v>
      </c>
      <c r="M342" s="76">
        <f>$J$342-EFEITO!$K$342*EFEITO!$Y$342</f>
        <v>0</v>
      </c>
      <c r="N342" s="76">
        <f ca="1">$K$342-EFEITO!$M$342*EFEITO!$Z$342</f>
        <v>0</v>
      </c>
      <c r="O342" s="76">
        <f>$L$342-EFEITO!$O$342*EFEITO!$AA$342</f>
        <v>0</v>
      </c>
      <c r="P342" s="57"/>
      <c r="Q342" s="57"/>
      <c r="R342" s="57"/>
      <c r="S342" s="57"/>
      <c r="T342" s="57"/>
      <c r="U342" s="57"/>
      <c r="V342" s="57"/>
      <c r="W342" s="57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53" t="s">
        <v>21</v>
      </c>
      <c r="B343" s="53" t="s">
        <v>39</v>
      </c>
      <c r="C343" s="53" t="s">
        <v>40</v>
      </c>
      <c r="D343" s="53" t="s">
        <v>38</v>
      </c>
      <c r="E343" s="53" t="s">
        <v>25</v>
      </c>
      <c r="F343" s="53" t="s">
        <v>57</v>
      </c>
      <c r="G343" s="53" t="s">
        <v>25</v>
      </c>
      <c r="H343" s="53" t="s">
        <v>25</v>
      </c>
      <c r="I343" s="75">
        <v>44440</v>
      </c>
      <c r="J343" s="76">
        <f ca="1">EFEITO!$J$343*EFEITO!$Y$343</f>
        <v>373316.08188871347</v>
      </c>
      <c r="K343" s="76">
        <f>EFEITO!$L$343*EFEITO!$Z$343</f>
        <v>0</v>
      </c>
      <c r="L343" s="76">
        <f>EFEITO!$N$343*EFEITO!$AA$343</f>
        <v>0</v>
      </c>
      <c r="M343" s="76">
        <f ca="1">$J$343-EFEITO!$K$343*EFEITO!$Y$343</f>
        <v>230336.02252533622</v>
      </c>
      <c r="N343" s="76">
        <f>$K$343-EFEITO!$M$343*EFEITO!$Z$343</f>
        <v>0</v>
      </c>
      <c r="O343" s="76">
        <f>$L$343-EFEITO!$O$343*EFEITO!$AA$343</f>
        <v>0</v>
      </c>
      <c r="P343" s="57"/>
      <c r="Q343" s="57"/>
      <c r="R343" s="57"/>
      <c r="S343" s="57"/>
      <c r="T343" s="57"/>
      <c r="U343" s="57"/>
      <c r="V343" s="57"/>
      <c r="W343" s="57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53" t="s">
        <v>21</v>
      </c>
      <c r="B344" s="53" t="s">
        <v>39</v>
      </c>
      <c r="C344" s="53" t="s">
        <v>40</v>
      </c>
      <c r="D344" s="53" t="s">
        <v>38</v>
      </c>
      <c r="E344" s="53" t="s">
        <v>25</v>
      </c>
      <c r="F344" s="53" t="s">
        <v>57</v>
      </c>
      <c r="G344" s="53" t="s">
        <v>25</v>
      </c>
      <c r="H344" s="53" t="s">
        <v>25</v>
      </c>
      <c r="I344" s="75">
        <v>44470</v>
      </c>
      <c r="J344" s="76">
        <f ca="1">EFEITO!$J$344*EFEITO!$Y$344</f>
        <v>380315.75842412683</v>
      </c>
      <c r="K344" s="76">
        <f>EFEITO!$L$344*EFEITO!$Z$344</f>
        <v>0</v>
      </c>
      <c r="L344" s="76">
        <f>EFEITO!$N$344*EFEITO!$AA$344</f>
        <v>0</v>
      </c>
      <c r="M344" s="76">
        <f ca="1">$J$344-EFEITO!$K$344*EFEITO!$Y$344</f>
        <v>239408.76992798783</v>
      </c>
      <c r="N344" s="76">
        <f>$K$344-EFEITO!$M$344*EFEITO!$Z$344</f>
        <v>0</v>
      </c>
      <c r="O344" s="76">
        <f>$L$344-EFEITO!$O$344*EFEITO!$AA$344</f>
        <v>0</v>
      </c>
      <c r="P344" s="57"/>
      <c r="Q344" s="57"/>
      <c r="R344" s="57"/>
      <c r="S344" s="57"/>
      <c r="T344" s="57"/>
      <c r="U344" s="57"/>
      <c r="V344" s="57"/>
      <c r="W344" s="57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53" t="s">
        <v>21</v>
      </c>
      <c r="B345" s="53" t="s">
        <v>39</v>
      </c>
      <c r="C345" s="53" t="s">
        <v>40</v>
      </c>
      <c r="D345" s="53" t="s">
        <v>38</v>
      </c>
      <c r="E345" s="53" t="s">
        <v>25</v>
      </c>
      <c r="F345" s="53" t="s">
        <v>57</v>
      </c>
      <c r="G345" s="53" t="s">
        <v>25</v>
      </c>
      <c r="H345" s="53" t="s">
        <v>25</v>
      </c>
      <c r="I345" s="75">
        <v>44501</v>
      </c>
      <c r="J345" s="76">
        <f ca="1">EFEITO!$J$345*EFEITO!$Y$345</f>
        <v>378992.98490562354</v>
      </c>
      <c r="K345" s="76">
        <f>EFEITO!$L$345*EFEITO!$Z$345</f>
        <v>0</v>
      </c>
      <c r="L345" s="76">
        <f>EFEITO!$N$345*EFEITO!$AA$345</f>
        <v>0</v>
      </c>
      <c r="M345" s="76">
        <f ca="1">$J$345-EFEITO!$K$345*EFEITO!$Y$345</f>
        <v>240016.25734073139</v>
      </c>
      <c r="N345" s="76">
        <f>$K$345-EFEITO!$M$345*EFEITO!$Z$345</f>
        <v>0</v>
      </c>
      <c r="O345" s="76">
        <f>$L$345-EFEITO!$O$345*EFEITO!$AA$345</f>
        <v>0</v>
      </c>
      <c r="P345" s="57"/>
      <c r="Q345" s="57"/>
      <c r="R345" s="57"/>
      <c r="S345" s="57"/>
      <c r="T345" s="57"/>
      <c r="U345" s="57"/>
      <c r="V345" s="57"/>
      <c r="W345" s="57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53" t="s">
        <v>21</v>
      </c>
      <c r="B346" s="53" t="s">
        <v>39</v>
      </c>
      <c r="C346" s="53" t="s">
        <v>40</v>
      </c>
      <c r="D346" s="53" t="s">
        <v>38</v>
      </c>
      <c r="E346" s="53" t="s">
        <v>25</v>
      </c>
      <c r="F346" s="53" t="s">
        <v>57</v>
      </c>
      <c r="G346" s="53" t="s">
        <v>25</v>
      </c>
      <c r="H346" s="53" t="s">
        <v>25</v>
      </c>
      <c r="I346" s="75">
        <v>44531</v>
      </c>
      <c r="J346" s="76">
        <f ca="1">EFEITO!$J$346*EFEITO!$Y$346</f>
        <v>382042.71273995063</v>
      </c>
      <c r="K346" s="76">
        <f>EFEITO!$L$346*EFEITO!$Z$346</f>
        <v>0</v>
      </c>
      <c r="L346" s="76">
        <f>EFEITO!$N$346*EFEITO!$AA$346</f>
        <v>0</v>
      </c>
      <c r="M346" s="76">
        <f ca="1">$J$346-EFEITO!$K$346*EFEITO!$Y$346</f>
        <v>236637.25627112543</v>
      </c>
      <c r="N346" s="76">
        <f>$K$346-EFEITO!$M$346*EFEITO!$Z$346</f>
        <v>0</v>
      </c>
      <c r="O346" s="76">
        <f>$L$346-EFEITO!$O$346*EFEITO!$AA$346</f>
        <v>0</v>
      </c>
      <c r="P346" s="57"/>
      <c r="Q346" s="57"/>
      <c r="R346" s="57"/>
      <c r="S346" s="57"/>
      <c r="T346" s="57"/>
      <c r="U346" s="57"/>
      <c r="V346" s="57"/>
      <c r="W346" s="57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53" t="s">
        <v>21</v>
      </c>
      <c r="B347" s="53" t="s">
        <v>39</v>
      </c>
      <c r="C347" s="53" t="s">
        <v>40</v>
      </c>
      <c r="D347" s="53" t="s">
        <v>38</v>
      </c>
      <c r="E347" s="53" t="s">
        <v>25</v>
      </c>
      <c r="F347" s="53" t="s">
        <v>57</v>
      </c>
      <c r="G347" s="53" t="s">
        <v>25</v>
      </c>
      <c r="H347" s="53" t="s">
        <v>25</v>
      </c>
      <c r="I347" s="75">
        <v>44562</v>
      </c>
      <c r="J347" s="76">
        <f ca="1">EFEITO!$J$347*EFEITO!$Y$347</f>
        <v>382612.24022708397</v>
      </c>
      <c r="K347" s="76">
        <f>EFEITO!$L$347*EFEITO!$Z$347</f>
        <v>0</v>
      </c>
      <c r="L347" s="76">
        <f>EFEITO!$N$347*EFEITO!$AA$347</f>
        <v>0</v>
      </c>
      <c r="M347" s="76">
        <f ca="1">$J$347-EFEITO!$K$347*EFEITO!$Y$347</f>
        <v>242423.1154078804</v>
      </c>
      <c r="N347" s="76">
        <f>$K$347-EFEITO!$M$347*EFEITO!$Z$347</f>
        <v>0</v>
      </c>
      <c r="O347" s="76">
        <f>$L$347-EFEITO!$O$347*EFEITO!$AA$347</f>
        <v>0</v>
      </c>
      <c r="P347" s="57"/>
      <c r="Q347" s="57"/>
      <c r="R347" s="57"/>
      <c r="S347" s="57"/>
      <c r="T347" s="57"/>
      <c r="U347" s="57"/>
      <c r="V347" s="57"/>
      <c r="W347" s="57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53" t="s">
        <v>21</v>
      </c>
      <c r="B348" s="53" t="s">
        <v>39</v>
      </c>
      <c r="C348" s="53" t="s">
        <v>40</v>
      </c>
      <c r="D348" s="53" t="s">
        <v>38</v>
      </c>
      <c r="E348" s="53" t="s">
        <v>25</v>
      </c>
      <c r="F348" s="53" t="s">
        <v>57</v>
      </c>
      <c r="G348" s="53" t="s">
        <v>25</v>
      </c>
      <c r="H348" s="53" t="s">
        <v>25</v>
      </c>
      <c r="I348" s="75">
        <v>44593</v>
      </c>
      <c r="J348" s="76">
        <f ca="1">EFEITO!$J$348*EFEITO!$Y$348</f>
        <v>404346.14401027042</v>
      </c>
      <c r="K348" s="76">
        <f>EFEITO!$L$348*EFEITO!$Z$348</f>
        <v>0</v>
      </c>
      <c r="L348" s="76">
        <f>EFEITO!$N$348*EFEITO!$AA$348</f>
        <v>0</v>
      </c>
      <c r="M348" s="76">
        <f ca="1">$J$348-EFEITO!$K$348*EFEITO!$Y$348</f>
        <v>238159.87882204927</v>
      </c>
      <c r="N348" s="76">
        <f>$K$348-EFEITO!$M$348*EFEITO!$Z$348</f>
        <v>0</v>
      </c>
      <c r="O348" s="76">
        <f>$L$348-EFEITO!$O$348*EFEITO!$AA$348</f>
        <v>0</v>
      </c>
      <c r="P348" s="57"/>
      <c r="Q348" s="57"/>
      <c r="R348" s="57"/>
      <c r="S348" s="57"/>
      <c r="T348" s="57"/>
      <c r="U348" s="57"/>
      <c r="V348" s="57"/>
      <c r="W348" s="57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53" t="s">
        <v>21</v>
      </c>
      <c r="B349" s="53" t="s">
        <v>39</v>
      </c>
      <c r="C349" s="53" t="s">
        <v>40</v>
      </c>
      <c r="D349" s="53" t="s">
        <v>38</v>
      </c>
      <c r="E349" s="53" t="s">
        <v>25</v>
      </c>
      <c r="F349" s="53" t="s">
        <v>57</v>
      </c>
      <c r="G349" s="53" t="s">
        <v>25</v>
      </c>
      <c r="H349" s="53" t="s">
        <v>25</v>
      </c>
      <c r="I349" s="75">
        <v>44621</v>
      </c>
      <c r="J349" s="76">
        <f ca="1">EFEITO!$J$349*EFEITO!$Y$349</f>
        <v>401718.96882768744</v>
      </c>
      <c r="K349" s="76">
        <f>EFEITO!$L$349*EFEITO!$Z$349</f>
        <v>0</v>
      </c>
      <c r="L349" s="76">
        <f>EFEITO!$N$349*EFEITO!$AA$349</f>
        <v>0</v>
      </c>
      <c r="M349" s="76">
        <f ca="1">$J$349-EFEITO!$K$349*EFEITO!$Y$349</f>
        <v>239705.7086994811</v>
      </c>
      <c r="N349" s="76">
        <f>$K$349-EFEITO!$M$349*EFEITO!$Z$349</f>
        <v>0</v>
      </c>
      <c r="O349" s="76">
        <f>$L$349-EFEITO!$O$349*EFEITO!$AA$349</f>
        <v>0</v>
      </c>
      <c r="P349" s="57"/>
      <c r="Q349" s="57"/>
      <c r="R349" s="57"/>
      <c r="S349" s="57"/>
      <c r="T349" s="57"/>
      <c r="U349" s="57"/>
      <c r="V349" s="57"/>
      <c r="W349" s="57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53" t="s">
        <v>21</v>
      </c>
      <c r="B350" s="53" t="s">
        <v>39</v>
      </c>
      <c r="C350" s="53" t="s">
        <v>40</v>
      </c>
      <c r="D350" s="53" t="s">
        <v>38</v>
      </c>
      <c r="E350" s="53" t="s">
        <v>25</v>
      </c>
      <c r="F350" s="53" t="s">
        <v>57</v>
      </c>
      <c r="G350" s="53" t="s">
        <v>25</v>
      </c>
      <c r="H350" s="53" t="s">
        <v>25</v>
      </c>
      <c r="I350" s="75">
        <v>44652</v>
      </c>
      <c r="J350" s="76">
        <f ca="1">EFEITO!$J$350*EFEITO!$Y$350</f>
        <v>392735.13201451907</v>
      </c>
      <c r="K350" s="76">
        <f>EFEITO!$L$350*EFEITO!$Z$350</f>
        <v>0</v>
      </c>
      <c r="L350" s="76">
        <f>EFEITO!$N$350*EFEITO!$AA$350</f>
        <v>0</v>
      </c>
      <c r="M350" s="76">
        <f ca="1">$J$350-EFEITO!$K$350*EFEITO!$Y$350</f>
        <v>229435.86412288205</v>
      </c>
      <c r="N350" s="76">
        <f>$K$350-EFEITO!$M$350*EFEITO!$Z$350</f>
        <v>0</v>
      </c>
      <c r="O350" s="76">
        <f>$L$350-EFEITO!$O$350*EFEITO!$AA$350</f>
        <v>0</v>
      </c>
      <c r="P350" s="57"/>
      <c r="Q350" s="57"/>
      <c r="R350" s="57"/>
      <c r="S350" s="57"/>
      <c r="T350" s="57"/>
      <c r="U350" s="57"/>
      <c r="V350" s="57"/>
      <c r="W350" s="57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53" t="s">
        <v>21</v>
      </c>
      <c r="B351" s="53" t="s">
        <v>39</v>
      </c>
      <c r="C351" s="53" t="s">
        <v>40</v>
      </c>
      <c r="D351" s="53" t="s">
        <v>38</v>
      </c>
      <c r="E351" s="53" t="s">
        <v>25</v>
      </c>
      <c r="F351" s="53" t="s">
        <v>57</v>
      </c>
      <c r="G351" s="53" t="s">
        <v>25</v>
      </c>
      <c r="H351" s="53" t="s">
        <v>25</v>
      </c>
      <c r="I351" s="75">
        <v>44682</v>
      </c>
      <c r="J351" s="76">
        <f ca="1">EFEITO!$J$351*EFEITO!$Y$351</f>
        <v>420201.05437788652</v>
      </c>
      <c r="K351" s="76">
        <f>EFEITO!$L$351*EFEITO!$Z$351</f>
        <v>0</v>
      </c>
      <c r="L351" s="76">
        <f>EFEITO!$N$351*EFEITO!$AA$351</f>
        <v>0</v>
      </c>
      <c r="M351" s="76">
        <f ca="1">$J$351-EFEITO!$K$351*EFEITO!$Y$351</f>
        <v>251154.17020166278</v>
      </c>
      <c r="N351" s="76">
        <f>$K$351-EFEITO!$M$351*EFEITO!$Z$351</f>
        <v>0</v>
      </c>
      <c r="O351" s="76">
        <f>$L$351-EFEITO!$O$351*EFEITO!$AA$351</f>
        <v>0</v>
      </c>
      <c r="P351" s="57"/>
      <c r="Q351" s="57"/>
      <c r="R351" s="57"/>
      <c r="S351" s="57"/>
      <c r="T351" s="57"/>
      <c r="U351" s="57"/>
      <c r="V351" s="57"/>
      <c r="W351" s="57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53" t="s">
        <v>21</v>
      </c>
      <c r="B352" s="53" t="s">
        <v>39</v>
      </c>
      <c r="C352" s="53" t="s">
        <v>40</v>
      </c>
      <c r="D352" s="53" t="s">
        <v>38</v>
      </c>
      <c r="E352" s="53" t="s">
        <v>25</v>
      </c>
      <c r="F352" s="53" t="s">
        <v>57</v>
      </c>
      <c r="G352" s="53" t="s">
        <v>25</v>
      </c>
      <c r="H352" s="53" t="s">
        <v>25</v>
      </c>
      <c r="I352" s="75">
        <v>44743</v>
      </c>
      <c r="J352" s="76">
        <f ca="1">EFEITO!$J$352*EFEITO!$Y$352</f>
        <v>449761.36814555089</v>
      </c>
      <c r="K352" s="76">
        <f>EFEITO!$L$352*EFEITO!$Z$352</f>
        <v>0</v>
      </c>
      <c r="L352" s="76">
        <f>EFEITO!$N$352*EFEITO!$AA$352</f>
        <v>0</v>
      </c>
      <c r="M352" s="76">
        <f ca="1">$J$352-EFEITO!$K$352*EFEITO!$Y$352</f>
        <v>269407.05951918499</v>
      </c>
      <c r="N352" s="76">
        <f>$K$352-EFEITO!$M$352*EFEITO!$Z$352</f>
        <v>0</v>
      </c>
      <c r="O352" s="76">
        <f>$L$352-EFEITO!$O$352*EFEITO!$AA$352</f>
        <v>0</v>
      </c>
      <c r="P352" s="57"/>
      <c r="Q352" s="57"/>
      <c r="R352" s="57"/>
      <c r="S352" s="57"/>
      <c r="T352" s="57"/>
      <c r="U352" s="57"/>
      <c r="V352" s="57"/>
      <c r="W352" s="57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53" t="s">
        <v>56</v>
      </c>
      <c r="B353" s="53" t="s">
        <v>39</v>
      </c>
      <c r="C353" s="53" t="s">
        <v>40</v>
      </c>
      <c r="D353" s="53" t="s">
        <v>38</v>
      </c>
      <c r="E353" s="53" t="s">
        <v>25</v>
      </c>
      <c r="F353" s="53" t="s">
        <v>57</v>
      </c>
      <c r="G353" s="53" t="s">
        <v>25</v>
      </c>
      <c r="H353" s="53" t="s">
        <v>25</v>
      </c>
      <c r="I353" s="75">
        <v>44774</v>
      </c>
      <c r="J353" s="76">
        <f ca="1">EFEITO!$J$353*EFEITO!$Y$353</f>
        <v>449761.36814555089</v>
      </c>
      <c r="K353" s="76">
        <f>EFEITO!$L$353*EFEITO!$Z$353</f>
        <v>0</v>
      </c>
      <c r="L353" s="76">
        <f>EFEITO!$N$353*EFEITO!$AA$353</f>
        <v>0</v>
      </c>
      <c r="M353" s="76">
        <f ca="1">$J$353-EFEITO!$K$353*EFEITO!$Y$353</f>
        <v>269407.05951918499</v>
      </c>
      <c r="N353" s="76">
        <f>$K$353-EFEITO!$M$353*EFEITO!$Z$353</f>
        <v>0</v>
      </c>
      <c r="O353" s="76">
        <f>$L$353-EFEITO!$O$353*EFEITO!$AA$353</f>
        <v>0</v>
      </c>
      <c r="P353" s="57"/>
      <c r="Q353" s="57"/>
      <c r="R353" s="57"/>
      <c r="S353" s="57"/>
      <c r="T353" s="57"/>
      <c r="U353" s="57"/>
      <c r="V353" s="57"/>
      <c r="W353" s="57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53" t="s">
        <v>21</v>
      </c>
      <c r="B354" s="53" t="s">
        <v>39</v>
      </c>
      <c r="C354" s="53" t="s">
        <v>40</v>
      </c>
      <c r="D354" s="53" t="s">
        <v>38</v>
      </c>
      <c r="E354" s="53" t="s">
        <v>25</v>
      </c>
      <c r="F354" s="53" t="s">
        <v>57</v>
      </c>
      <c r="G354" s="53" t="s">
        <v>25</v>
      </c>
      <c r="H354" s="53" t="s">
        <v>34</v>
      </c>
      <c r="I354" s="75">
        <v>44440</v>
      </c>
      <c r="J354" s="76">
        <f>EFEITO!$J$354*EFEITO!$Y$354</f>
        <v>0</v>
      </c>
      <c r="K354" s="76">
        <f ca="1">EFEITO!$L$354*EFEITO!$Z$354</f>
        <v>704956.86582900689</v>
      </c>
      <c r="L354" s="76">
        <f>EFEITO!$N$354*EFEITO!$AA$354</f>
        <v>0</v>
      </c>
      <c r="M354" s="76">
        <f>$J$354-EFEITO!$K$354*EFEITO!$Y$354</f>
        <v>0</v>
      </c>
      <c r="N354" s="76">
        <f ca="1">$K$354-EFEITO!$M$354*EFEITO!$Z$354</f>
        <v>417475.45594393788</v>
      </c>
      <c r="O354" s="76">
        <f>$L$354-EFEITO!$O$354*EFEITO!$AA$354</f>
        <v>0</v>
      </c>
      <c r="P354" s="57"/>
      <c r="Q354" s="57"/>
      <c r="R354" s="57"/>
      <c r="S354" s="57"/>
      <c r="T354" s="57"/>
      <c r="U354" s="57"/>
      <c r="V354" s="57"/>
      <c r="W354" s="57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53" t="s">
        <v>21</v>
      </c>
      <c r="B355" s="53" t="s">
        <v>39</v>
      </c>
      <c r="C355" s="53" t="s">
        <v>40</v>
      </c>
      <c r="D355" s="53" t="s">
        <v>38</v>
      </c>
      <c r="E355" s="53" t="s">
        <v>25</v>
      </c>
      <c r="F355" s="53" t="s">
        <v>57</v>
      </c>
      <c r="G355" s="53" t="s">
        <v>25</v>
      </c>
      <c r="H355" s="53" t="s">
        <v>34</v>
      </c>
      <c r="I355" s="75">
        <v>44470</v>
      </c>
      <c r="J355" s="76">
        <f>EFEITO!$J$355*EFEITO!$Y$355</f>
        <v>0</v>
      </c>
      <c r="K355" s="76">
        <f ca="1">EFEITO!$L$355*EFEITO!$Z$355</f>
        <v>574689.20052933262</v>
      </c>
      <c r="L355" s="76">
        <f>EFEITO!$N$355*EFEITO!$AA$355</f>
        <v>0</v>
      </c>
      <c r="M355" s="76">
        <f>$J$355-EFEITO!$K$355*EFEITO!$Y$355</f>
        <v>0</v>
      </c>
      <c r="N355" s="76">
        <f ca="1">$K$355-EFEITO!$M$355*EFEITO!$Z$355</f>
        <v>350790.28800310462</v>
      </c>
      <c r="O355" s="76">
        <f>$L$355-EFEITO!$O$355*EFEITO!$AA$355</f>
        <v>0</v>
      </c>
      <c r="P355" s="57"/>
      <c r="Q355" s="57"/>
      <c r="R355" s="57"/>
      <c r="S355" s="57"/>
      <c r="T355" s="57"/>
      <c r="U355" s="57"/>
      <c r="V355" s="57"/>
      <c r="W355" s="57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53" t="s">
        <v>21</v>
      </c>
      <c r="B356" s="53" t="s">
        <v>39</v>
      </c>
      <c r="C356" s="53" t="s">
        <v>40</v>
      </c>
      <c r="D356" s="53" t="s">
        <v>38</v>
      </c>
      <c r="E356" s="53" t="s">
        <v>25</v>
      </c>
      <c r="F356" s="53" t="s">
        <v>57</v>
      </c>
      <c r="G356" s="53" t="s">
        <v>25</v>
      </c>
      <c r="H356" s="53" t="s">
        <v>34</v>
      </c>
      <c r="I356" s="75">
        <v>44501</v>
      </c>
      <c r="J356" s="76">
        <f>EFEITO!$J$356*EFEITO!$Y$356</f>
        <v>0</v>
      </c>
      <c r="K356" s="76">
        <f ca="1">EFEITO!$L$356*EFEITO!$Z$356</f>
        <v>699625.49873650097</v>
      </c>
      <c r="L356" s="76">
        <f>EFEITO!$N$356*EFEITO!$AA$356</f>
        <v>0</v>
      </c>
      <c r="M356" s="76">
        <f>$J$356-EFEITO!$K$356*EFEITO!$Y$356</f>
        <v>0</v>
      </c>
      <c r="N356" s="76">
        <f ca="1">$K$356-EFEITO!$M$356*EFEITO!$Z$356</f>
        <v>413758.51995276666</v>
      </c>
      <c r="O356" s="76">
        <f>$L$356-EFEITO!$O$356*EFEITO!$AA$356</f>
        <v>0</v>
      </c>
      <c r="P356" s="57"/>
      <c r="Q356" s="57"/>
      <c r="R356" s="57"/>
      <c r="S356" s="57"/>
      <c r="T356" s="57"/>
      <c r="U356" s="57"/>
      <c r="V356" s="57"/>
      <c r="W356" s="57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53" t="s">
        <v>21</v>
      </c>
      <c r="B357" s="53" t="s">
        <v>39</v>
      </c>
      <c r="C357" s="53" t="s">
        <v>40</v>
      </c>
      <c r="D357" s="53" t="s">
        <v>38</v>
      </c>
      <c r="E357" s="53" t="s">
        <v>25</v>
      </c>
      <c r="F357" s="53" t="s">
        <v>57</v>
      </c>
      <c r="G357" s="53" t="s">
        <v>25</v>
      </c>
      <c r="H357" s="53" t="s">
        <v>34</v>
      </c>
      <c r="I357" s="75">
        <v>44531</v>
      </c>
      <c r="J357" s="76">
        <f>EFEITO!$J$357*EFEITO!$Y$357</f>
        <v>0</v>
      </c>
      <c r="K357" s="76">
        <f ca="1">EFEITO!$L$357*EFEITO!$Z$357</f>
        <v>655514.56405416725</v>
      </c>
      <c r="L357" s="76">
        <f>EFEITO!$N$357*EFEITO!$AA$357</f>
        <v>0</v>
      </c>
      <c r="M357" s="76">
        <f>$J$357-EFEITO!$K$357*EFEITO!$Y$357</f>
        <v>0</v>
      </c>
      <c r="N357" s="76">
        <f ca="1">$K$357-EFEITO!$M$357*EFEITO!$Z$357</f>
        <v>387802.41609444533</v>
      </c>
      <c r="O357" s="76">
        <f>$L$357-EFEITO!$O$357*EFEITO!$AA$357</f>
        <v>0</v>
      </c>
      <c r="P357" s="57"/>
      <c r="Q357" s="57"/>
      <c r="R357" s="57"/>
      <c r="S357" s="57"/>
      <c r="T357" s="57"/>
      <c r="U357" s="57"/>
      <c r="V357" s="57"/>
      <c r="W357" s="57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53" t="s">
        <v>21</v>
      </c>
      <c r="B358" s="53" t="s">
        <v>39</v>
      </c>
      <c r="C358" s="53" t="s">
        <v>40</v>
      </c>
      <c r="D358" s="53" t="s">
        <v>38</v>
      </c>
      <c r="E358" s="53" t="s">
        <v>25</v>
      </c>
      <c r="F358" s="53" t="s">
        <v>57</v>
      </c>
      <c r="G358" s="53" t="s">
        <v>25</v>
      </c>
      <c r="H358" s="53" t="s">
        <v>34</v>
      </c>
      <c r="I358" s="75">
        <v>44562</v>
      </c>
      <c r="J358" s="76">
        <f>EFEITO!$J$358*EFEITO!$Y$358</f>
        <v>0</v>
      </c>
      <c r="K358" s="76">
        <f ca="1">EFEITO!$L$358*EFEITO!$Z$358</f>
        <v>611408.22537794779</v>
      </c>
      <c r="L358" s="76">
        <f>EFEITO!$N$358*EFEITO!$AA$358</f>
        <v>0</v>
      </c>
      <c r="M358" s="76">
        <f>$J$358-EFEITO!$K$358*EFEITO!$Y$358</f>
        <v>0</v>
      </c>
      <c r="N358" s="76">
        <f ca="1">$K$358-EFEITO!$M$358*EFEITO!$Z$358</f>
        <v>374793.24215668195</v>
      </c>
      <c r="O358" s="76">
        <f>$L$358-EFEITO!$O$358*EFEITO!$AA$358</f>
        <v>0</v>
      </c>
      <c r="P358" s="57"/>
      <c r="Q358" s="57"/>
      <c r="R358" s="57"/>
      <c r="S358" s="57"/>
      <c r="T358" s="57"/>
      <c r="U358" s="57"/>
      <c r="V358" s="57"/>
      <c r="W358" s="57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53" t="s">
        <v>21</v>
      </c>
      <c r="B359" s="53" t="s">
        <v>39</v>
      </c>
      <c r="C359" s="53" t="s">
        <v>40</v>
      </c>
      <c r="D359" s="53" t="s">
        <v>38</v>
      </c>
      <c r="E359" s="53" t="s">
        <v>25</v>
      </c>
      <c r="F359" s="53" t="s">
        <v>57</v>
      </c>
      <c r="G359" s="53" t="s">
        <v>25</v>
      </c>
      <c r="H359" s="53" t="s">
        <v>34</v>
      </c>
      <c r="I359" s="75">
        <v>44593</v>
      </c>
      <c r="J359" s="76">
        <f>EFEITO!$J$359*EFEITO!$Y$359</f>
        <v>0</v>
      </c>
      <c r="K359" s="76">
        <f ca="1">EFEITO!$L$359*EFEITO!$Z$359</f>
        <v>676501.4599737759</v>
      </c>
      <c r="L359" s="76">
        <f>EFEITO!$N$359*EFEITO!$AA$359</f>
        <v>0</v>
      </c>
      <c r="M359" s="76">
        <f>$J$359-EFEITO!$K$359*EFEITO!$Y$359</f>
        <v>0</v>
      </c>
      <c r="N359" s="76">
        <f ca="1">$K$359-EFEITO!$M$359*EFEITO!$Z$359</f>
        <v>396429.85554463271</v>
      </c>
      <c r="O359" s="76">
        <f>$L$359-EFEITO!$O$359*EFEITO!$AA$359</f>
        <v>0</v>
      </c>
      <c r="P359" s="57"/>
      <c r="Q359" s="57"/>
      <c r="R359" s="57"/>
      <c r="S359" s="57"/>
      <c r="T359" s="57"/>
      <c r="U359" s="57"/>
      <c r="V359" s="57"/>
      <c r="W359" s="57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53" t="s">
        <v>21</v>
      </c>
      <c r="B360" s="53" t="s">
        <v>39</v>
      </c>
      <c r="C360" s="53" t="s">
        <v>40</v>
      </c>
      <c r="D360" s="53" t="s">
        <v>38</v>
      </c>
      <c r="E360" s="53" t="s">
        <v>25</v>
      </c>
      <c r="F360" s="53" t="s">
        <v>57</v>
      </c>
      <c r="G360" s="53" t="s">
        <v>25</v>
      </c>
      <c r="H360" s="53" t="s">
        <v>34</v>
      </c>
      <c r="I360" s="75">
        <v>44621</v>
      </c>
      <c r="J360" s="76">
        <f>EFEITO!$J$360*EFEITO!$Y$360</f>
        <v>0</v>
      </c>
      <c r="K360" s="76">
        <f ca="1">EFEITO!$L$360*EFEITO!$Z$360</f>
        <v>682663.17217091913</v>
      </c>
      <c r="L360" s="76">
        <f>EFEITO!$N$360*EFEITO!$AA$360</f>
        <v>0</v>
      </c>
      <c r="M360" s="76">
        <f>$J$360-EFEITO!$K$360*EFEITO!$Y$360</f>
        <v>0</v>
      </c>
      <c r="N360" s="76">
        <f ca="1">$K$360-EFEITO!$M$360*EFEITO!$Z$360</f>
        <v>401952.07577423716</v>
      </c>
      <c r="O360" s="76">
        <f>$L$360-EFEITO!$O$360*EFEITO!$AA$360</f>
        <v>0</v>
      </c>
      <c r="P360" s="57"/>
      <c r="Q360" s="57"/>
      <c r="R360" s="57"/>
      <c r="S360" s="57"/>
      <c r="T360" s="57"/>
      <c r="U360" s="57"/>
      <c r="V360" s="57"/>
      <c r="W360" s="57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53" t="s">
        <v>21</v>
      </c>
      <c r="B361" s="53" t="s">
        <v>39</v>
      </c>
      <c r="C361" s="53" t="s">
        <v>40</v>
      </c>
      <c r="D361" s="53" t="s">
        <v>38</v>
      </c>
      <c r="E361" s="53" t="s">
        <v>25</v>
      </c>
      <c r="F361" s="53" t="s">
        <v>57</v>
      </c>
      <c r="G361" s="53" t="s">
        <v>25</v>
      </c>
      <c r="H361" s="53" t="s">
        <v>34</v>
      </c>
      <c r="I361" s="75">
        <v>44652</v>
      </c>
      <c r="J361" s="76">
        <f>EFEITO!$J$361*EFEITO!$Y$361</f>
        <v>0</v>
      </c>
      <c r="K361" s="76">
        <f ca="1">EFEITO!$L$361*EFEITO!$Z$361</f>
        <v>749518.2091105351</v>
      </c>
      <c r="L361" s="76">
        <f>EFEITO!$N$361*EFEITO!$AA$361</f>
        <v>0</v>
      </c>
      <c r="M361" s="76">
        <f>$J$361-EFEITO!$K$361*EFEITO!$Y$361</f>
        <v>0</v>
      </c>
      <c r="N361" s="76">
        <f ca="1">$K$361-EFEITO!$M$361*EFEITO!$Z$361</f>
        <v>403915.36288966739</v>
      </c>
      <c r="O361" s="76">
        <f>$L$361-EFEITO!$O$361*EFEITO!$AA$361</f>
        <v>0</v>
      </c>
      <c r="P361" s="57"/>
      <c r="Q361" s="57"/>
      <c r="R361" s="57"/>
      <c r="S361" s="57"/>
      <c r="T361" s="57"/>
      <c r="U361" s="57"/>
      <c r="V361" s="57"/>
      <c r="W361" s="57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53" t="s">
        <v>21</v>
      </c>
      <c r="B362" s="53" t="s">
        <v>39</v>
      </c>
      <c r="C362" s="53" t="s">
        <v>40</v>
      </c>
      <c r="D362" s="53" t="s">
        <v>38</v>
      </c>
      <c r="E362" s="53" t="s">
        <v>25</v>
      </c>
      <c r="F362" s="53" t="s">
        <v>57</v>
      </c>
      <c r="G362" s="53" t="s">
        <v>25</v>
      </c>
      <c r="H362" s="53" t="s">
        <v>34</v>
      </c>
      <c r="I362" s="75">
        <v>44682</v>
      </c>
      <c r="J362" s="76">
        <f>EFEITO!$J$362*EFEITO!$Y$362</f>
        <v>0</v>
      </c>
      <c r="K362" s="76">
        <f ca="1">EFEITO!$L$362*EFEITO!$Z$362</f>
        <v>650178.60095554718</v>
      </c>
      <c r="L362" s="76">
        <f>EFEITO!$N$362*EFEITO!$AA$362</f>
        <v>0</v>
      </c>
      <c r="M362" s="76">
        <f>$J$362-EFEITO!$K$362*EFEITO!$Y$362</f>
        <v>0</v>
      </c>
      <c r="N362" s="76">
        <f ca="1">$K$362-EFEITO!$M$362*EFEITO!$Z$362</f>
        <v>354737.44468134653</v>
      </c>
      <c r="O362" s="76">
        <f>$L$362-EFEITO!$O$362*EFEITO!$AA$362</f>
        <v>0</v>
      </c>
      <c r="P362" s="57"/>
      <c r="Q362" s="57"/>
      <c r="R362" s="57"/>
      <c r="S362" s="57"/>
      <c r="T362" s="57"/>
      <c r="U362" s="57"/>
      <c r="V362" s="57"/>
      <c r="W362" s="57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53" t="s">
        <v>21</v>
      </c>
      <c r="B363" s="53" t="s">
        <v>39</v>
      </c>
      <c r="C363" s="53" t="s">
        <v>40</v>
      </c>
      <c r="D363" s="53" t="s">
        <v>38</v>
      </c>
      <c r="E363" s="53" t="s">
        <v>25</v>
      </c>
      <c r="F363" s="53" t="s">
        <v>57</v>
      </c>
      <c r="G363" s="53" t="s">
        <v>25</v>
      </c>
      <c r="H363" s="53" t="s">
        <v>34</v>
      </c>
      <c r="I363" s="75">
        <v>44713</v>
      </c>
      <c r="J363" s="76">
        <f>EFEITO!$J$363*EFEITO!$Y$363</f>
        <v>0</v>
      </c>
      <c r="K363" s="76">
        <f ca="1">EFEITO!$L$363*EFEITO!$Z$363</f>
        <v>687668.22282931476</v>
      </c>
      <c r="L363" s="76">
        <f>EFEITO!$N$363*EFEITO!$AA$363</f>
        <v>0</v>
      </c>
      <c r="M363" s="76">
        <f>$J$363-EFEITO!$K$363*EFEITO!$Y$363</f>
        <v>0</v>
      </c>
      <c r="N363" s="76">
        <f ca="1">$K$363-EFEITO!$M$363*EFEITO!$Z$363</f>
        <v>380968.19544744038</v>
      </c>
      <c r="O363" s="76">
        <f>$L$363-EFEITO!$O$363*EFEITO!$AA$363</f>
        <v>0</v>
      </c>
      <c r="P363" s="57"/>
      <c r="Q363" s="57"/>
      <c r="R363" s="57"/>
      <c r="S363" s="57"/>
      <c r="T363" s="57"/>
      <c r="U363" s="57"/>
      <c r="V363" s="57"/>
      <c r="W363" s="57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53" t="s">
        <v>21</v>
      </c>
      <c r="B364" s="53" t="s">
        <v>39</v>
      </c>
      <c r="C364" s="53" t="s">
        <v>40</v>
      </c>
      <c r="D364" s="53" t="s">
        <v>38</v>
      </c>
      <c r="E364" s="53" t="s">
        <v>25</v>
      </c>
      <c r="F364" s="53" t="s">
        <v>57</v>
      </c>
      <c r="G364" s="53" t="s">
        <v>25</v>
      </c>
      <c r="H364" s="53" t="s">
        <v>34</v>
      </c>
      <c r="I364" s="75">
        <v>44743</v>
      </c>
      <c r="J364" s="76">
        <f>EFEITO!$J$364*EFEITO!$Y$364</f>
        <v>0</v>
      </c>
      <c r="K364" s="76">
        <f ca="1">EFEITO!$L$364*EFEITO!$Z$364</f>
        <v>698508.66925074335</v>
      </c>
      <c r="L364" s="76">
        <f>EFEITO!$N$364*EFEITO!$AA$364</f>
        <v>0</v>
      </c>
      <c r="M364" s="76">
        <f>$J$364-EFEITO!$K$364*EFEITO!$Y$364</f>
        <v>0</v>
      </c>
      <c r="N364" s="76">
        <f ca="1">$K$364-EFEITO!$M$364*EFEITO!$Z$364</f>
        <v>398429.34494062403</v>
      </c>
      <c r="O364" s="76">
        <f>$L$364-EFEITO!$O$364*EFEITO!$AA$364</f>
        <v>0</v>
      </c>
      <c r="P364" s="57"/>
      <c r="Q364" s="57"/>
      <c r="R364" s="57"/>
      <c r="S364" s="57"/>
      <c r="T364" s="57"/>
      <c r="U364" s="57"/>
      <c r="V364" s="57"/>
      <c r="W364" s="57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53" t="s">
        <v>56</v>
      </c>
      <c r="B365" s="53" t="s">
        <v>39</v>
      </c>
      <c r="C365" s="53" t="s">
        <v>40</v>
      </c>
      <c r="D365" s="53" t="s">
        <v>38</v>
      </c>
      <c r="E365" s="53" t="s">
        <v>25</v>
      </c>
      <c r="F365" s="53" t="s">
        <v>57</v>
      </c>
      <c r="G365" s="53" t="s">
        <v>25</v>
      </c>
      <c r="H365" s="53" t="s">
        <v>34</v>
      </c>
      <c r="I365" s="75">
        <v>44774</v>
      </c>
      <c r="J365" s="76">
        <f>EFEITO!$J$365*EFEITO!$Y$365</f>
        <v>0</v>
      </c>
      <c r="K365" s="76">
        <f ca="1">EFEITO!$L$365*EFEITO!$Z$365</f>
        <v>698508.66925074335</v>
      </c>
      <c r="L365" s="76">
        <f>EFEITO!$N$365*EFEITO!$AA$365</f>
        <v>0</v>
      </c>
      <c r="M365" s="76">
        <f>$J$365-EFEITO!$K$365*EFEITO!$Y$365</f>
        <v>0</v>
      </c>
      <c r="N365" s="76">
        <f ca="1">$K$365-EFEITO!$M$365*EFEITO!$Z$365</f>
        <v>398429.34494062403</v>
      </c>
      <c r="O365" s="76">
        <f>$L$365-EFEITO!$O$365*EFEITO!$AA$365</f>
        <v>0</v>
      </c>
      <c r="P365" s="57"/>
      <c r="Q365" s="57"/>
      <c r="R365" s="57"/>
      <c r="S365" s="57"/>
      <c r="T365" s="57"/>
      <c r="U365" s="57"/>
      <c r="V365" s="57"/>
      <c r="W365" s="57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53" t="s">
        <v>21</v>
      </c>
      <c r="B366" s="53" t="s">
        <v>39</v>
      </c>
      <c r="C366" s="53" t="s">
        <v>40</v>
      </c>
      <c r="D366" s="53" t="s">
        <v>38</v>
      </c>
      <c r="E366" s="53" t="s">
        <v>25</v>
      </c>
      <c r="F366" s="53" t="s">
        <v>25</v>
      </c>
      <c r="G366" s="53" t="s">
        <v>25</v>
      </c>
      <c r="H366" s="53" t="s">
        <v>35</v>
      </c>
      <c r="I366" s="75">
        <v>44440</v>
      </c>
      <c r="J366" s="76">
        <f>EFEITO!$J$366*EFEITO!$Y$366</f>
        <v>0</v>
      </c>
      <c r="K366" s="76">
        <f ca="1">EFEITO!$L$366*EFEITO!$Z$366</f>
        <v>366941.5357310496</v>
      </c>
      <c r="L366" s="76">
        <f>EFEITO!$N$366*EFEITO!$AA$366</f>
        <v>755904.5147118374</v>
      </c>
      <c r="M366" s="76">
        <f>$J$366-EFEITO!$K$366*EFEITO!$Y$366</f>
        <v>0</v>
      </c>
      <c r="N366" s="76">
        <f ca="1">$K$366-EFEITO!$M$366*EFEITO!$Z$366</f>
        <v>0</v>
      </c>
      <c r="O366" s="76">
        <f>$L$366-EFEITO!$O$366*EFEITO!$AA$366</f>
        <v>0</v>
      </c>
      <c r="P366" s="57"/>
      <c r="Q366" s="57"/>
      <c r="R366" s="57"/>
      <c r="S366" s="57"/>
      <c r="T366" s="57"/>
      <c r="U366" s="57"/>
      <c r="V366" s="57"/>
      <c r="W366" s="57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53" t="s">
        <v>28</v>
      </c>
      <c r="B367" s="53" t="s">
        <v>39</v>
      </c>
      <c r="C367" s="53" t="s">
        <v>40</v>
      </c>
      <c r="D367" s="53" t="s">
        <v>38</v>
      </c>
      <c r="E367" s="53" t="s">
        <v>25</v>
      </c>
      <c r="F367" s="53" t="s">
        <v>25</v>
      </c>
      <c r="G367" s="53" t="s">
        <v>25</v>
      </c>
      <c r="H367" s="53" t="s">
        <v>35</v>
      </c>
      <c r="I367" s="75">
        <v>44440</v>
      </c>
      <c r="J367" s="76">
        <f>EFEITO!$J$367*EFEITO!$Y$367</f>
        <v>0</v>
      </c>
      <c r="K367" s="76">
        <f ca="1">EFEITO!$L$367*EFEITO!$Z$367</f>
        <v>18971.5387838733</v>
      </c>
      <c r="L367" s="76">
        <f>EFEITO!$N$367*EFEITO!$AA$367</f>
        <v>39081.62587587678</v>
      </c>
      <c r="M367" s="76">
        <f>$J$367-EFEITO!$K$367*EFEITO!$Y$367</f>
        <v>0</v>
      </c>
      <c r="N367" s="76">
        <f ca="1">$K$367-EFEITO!$M$367*EFEITO!$Z$367</f>
        <v>0</v>
      </c>
      <c r="O367" s="76">
        <f>$L$367-EFEITO!$O$367*EFEITO!$AA$367</f>
        <v>0</v>
      </c>
      <c r="P367" s="57"/>
      <c r="Q367" s="57"/>
      <c r="R367" s="57"/>
      <c r="S367" s="57"/>
      <c r="T367" s="57"/>
      <c r="U367" s="57"/>
      <c r="V367" s="57"/>
      <c r="W367" s="57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53" t="s">
        <v>21</v>
      </c>
      <c r="B368" s="53" t="s">
        <v>39</v>
      </c>
      <c r="C368" s="53" t="s">
        <v>40</v>
      </c>
      <c r="D368" s="53" t="s">
        <v>38</v>
      </c>
      <c r="E368" s="53" t="s">
        <v>25</v>
      </c>
      <c r="F368" s="53" t="s">
        <v>25</v>
      </c>
      <c r="G368" s="53" t="s">
        <v>25</v>
      </c>
      <c r="H368" s="53" t="s">
        <v>35</v>
      </c>
      <c r="I368" s="75">
        <v>44470</v>
      </c>
      <c r="J368" s="76">
        <f>EFEITO!$J$368*EFEITO!$Y$368</f>
        <v>0</v>
      </c>
      <c r="K368" s="76">
        <f ca="1">EFEITO!$L$368*EFEITO!$Z$368</f>
        <v>382015.20033896941</v>
      </c>
      <c r="L368" s="76">
        <f>EFEITO!$N$368*EFEITO!$AA$368</f>
        <v>786956.46719161898</v>
      </c>
      <c r="M368" s="76">
        <f>$J$368-EFEITO!$K$368*EFEITO!$Y$368</f>
        <v>0</v>
      </c>
      <c r="N368" s="76">
        <f ca="1">$K$368-EFEITO!$M$368*EFEITO!$Z$368</f>
        <v>0</v>
      </c>
      <c r="O368" s="76">
        <f>$L$368-EFEITO!$O$368*EFEITO!$AA$368</f>
        <v>0</v>
      </c>
      <c r="P368" s="57"/>
      <c r="Q368" s="57"/>
      <c r="R368" s="57"/>
      <c r="S368" s="57"/>
      <c r="T368" s="57"/>
      <c r="U368" s="57"/>
      <c r="V368" s="57"/>
      <c r="W368" s="57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53" t="s">
        <v>28</v>
      </c>
      <c r="B369" s="53" t="s">
        <v>39</v>
      </c>
      <c r="C369" s="53" t="s">
        <v>40</v>
      </c>
      <c r="D369" s="53" t="s">
        <v>38</v>
      </c>
      <c r="E369" s="53" t="s">
        <v>25</v>
      </c>
      <c r="F369" s="53" t="s">
        <v>25</v>
      </c>
      <c r="G369" s="53" t="s">
        <v>25</v>
      </c>
      <c r="H369" s="53" t="s">
        <v>35</v>
      </c>
      <c r="I369" s="75">
        <v>44470</v>
      </c>
      <c r="J369" s="76">
        <f>EFEITO!$J$369*EFEITO!$Y$369</f>
        <v>0</v>
      </c>
      <c r="K369" s="76">
        <f ca="1">EFEITO!$L$369*EFEITO!$Z$369</f>
        <v>22235.405329415047</v>
      </c>
      <c r="L369" s="76">
        <f>EFEITO!$N$369*EFEITO!$AA$369</f>
        <v>45805.234998721491</v>
      </c>
      <c r="M369" s="76">
        <f>$J$369-EFEITO!$K$369*EFEITO!$Y$369</f>
        <v>0</v>
      </c>
      <c r="N369" s="76">
        <f ca="1">$K$369-EFEITO!$M$369*EFEITO!$Z$369</f>
        <v>0</v>
      </c>
      <c r="O369" s="76">
        <f>$L$369-EFEITO!$O$369*EFEITO!$AA$369</f>
        <v>0</v>
      </c>
      <c r="P369" s="57"/>
      <c r="Q369" s="57"/>
      <c r="R369" s="57"/>
      <c r="S369" s="57"/>
      <c r="T369" s="57"/>
      <c r="U369" s="57"/>
      <c r="V369" s="57"/>
      <c r="W369" s="57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53" t="s">
        <v>21</v>
      </c>
      <c r="B370" s="53" t="s">
        <v>39</v>
      </c>
      <c r="C370" s="53" t="s">
        <v>40</v>
      </c>
      <c r="D370" s="53" t="s">
        <v>38</v>
      </c>
      <c r="E370" s="53" t="s">
        <v>25</v>
      </c>
      <c r="F370" s="53" t="s">
        <v>25</v>
      </c>
      <c r="G370" s="53" t="s">
        <v>25</v>
      </c>
      <c r="H370" s="53" t="s">
        <v>35</v>
      </c>
      <c r="I370" s="75">
        <v>44501</v>
      </c>
      <c r="J370" s="76">
        <f>EFEITO!$J$370*EFEITO!$Y$370</f>
        <v>0</v>
      </c>
      <c r="K370" s="76">
        <f ca="1">EFEITO!$L$370*EFEITO!$Z$370</f>
        <v>341724.34101378766</v>
      </c>
      <c r="L370" s="76">
        <f>EFEITO!$N$370*EFEITO!$AA$370</f>
        <v>703956.75334116188</v>
      </c>
      <c r="M370" s="76">
        <f>$J$370-EFEITO!$K$370*EFEITO!$Y$370</f>
        <v>0</v>
      </c>
      <c r="N370" s="76">
        <f ca="1">$K$370-EFEITO!$M$370*EFEITO!$Z$370</f>
        <v>0</v>
      </c>
      <c r="O370" s="76">
        <f>$L$370-EFEITO!$O$370*EFEITO!$AA$370</f>
        <v>0</v>
      </c>
      <c r="P370" s="57"/>
      <c r="Q370" s="57"/>
      <c r="R370" s="57"/>
      <c r="S370" s="57"/>
      <c r="T370" s="57"/>
      <c r="U370" s="57"/>
      <c r="V370" s="57"/>
      <c r="W370" s="57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53" t="s">
        <v>27</v>
      </c>
      <c r="B371" s="53" t="s">
        <v>39</v>
      </c>
      <c r="C371" s="53" t="s">
        <v>40</v>
      </c>
      <c r="D371" s="53" t="s">
        <v>38</v>
      </c>
      <c r="E371" s="53" t="s">
        <v>25</v>
      </c>
      <c r="F371" s="53" t="s">
        <v>25</v>
      </c>
      <c r="G371" s="53" t="s">
        <v>25</v>
      </c>
      <c r="H371" s="53" t="s">
        <v>35</v>
      </c>
      <c r="I371" s="75">
        <v>44501</v>
      </c>
      <c r="J371" s="76">
        <f>EFEITO!$J$371*EFEITO!$Y$371</f>
        <v>0</v>
      </c>
      <c r="K371" s="76">
        <f ca="1">EFEITO!$L$371*EFEITO!$Z$371</f>
        <v>394.99681735970421</v>
      </c>
      <c r="L371" s="76">
        <f>EFEITO!$N$371*EFEITO!$AA$371</f>
        <v>813.6987734140082</v>
      </c>
      <c r="M371" s="76">
        <f>$J$371-EFEITO!$K$371*EFEITO!$Y$371</f>
        <v>0</v>
      </c>
      <c r="N371" s="76">
        <f ca="1">$K$371-EFEITO!$M$371*EFEITO!$Z$371</f>
        <v>0</v>
      </c>
      <c r="O371" s="76">
        <f>$L$371-EFEITO!$O$371*EFEITO!$AA$371</f>
        <v>0</v>
      </c>
      <c r="P371" s="57"/>
      <c r="Q371" s="57"/>
      <c r="R371" s="57"/>
      <c r="S371" s="57"/>
      <c r="T371" s="57"/>
      <c r="U371" s="57"/>
      <c r="V371" s="57"/>
      <c r="W371" s="57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53" t="s">
        <v>28</v>
      </c>
      <c r="B372" s="53" t="s">
        <v>39</v>
      </c>
      <c r="C372" s="53" t="s">
        <v>40</v>
      </c>
      <c r="D372" s="53" t="s">
        <v>38</v>
      </c>
      <c r="E372" s="53" t="s">
        <v>25</v>
      </c>
      <c r="F372" s="53" t="s">
        <v>25</v>
      </c>
      <c r="G372" s="53" t="s">
        <v>25</v>
      </c>
      <c r="H372" s="53" t="s">
        <v>35</v>
      </c>
      <c r="I372" s="75">
        <v>44501</v>
      </c>
      <c r="J372" s="76">
        <f>EFEITO!$J$372*EFEITO!$Y$372</f>
        <v>0</v>
      </c>
      <c r="K372" s="76">
        <f ca="1">EFEITO!$L$372*EFEITO!$Z$372</f>
        <v>15595.196561601178</v>
      </c>
      <c r="L372" s="76">
        <f>EFEITO!$N$372*EFEITO!$AA$372</f>
        <v>32126.3153413443</v>
      </c>
      <c r="M372" s="76">
        <f>$J$372-EFEITO!$K$372*EFEITO!$Y$372</f>
        <v>0</v>
      </c>
      <c r="N372" s="76">
        <f ca="1">$K$372-EFEITO!$M$372*EFEITO!$Z$372</f>
        <v>0</v>
      </c>
      <c r="O372" s="76">
        <f>$L$372-EFEITO!$O$372*EFEITO!$AA$372</f>
        <v>0</v>
      </c>
      <c r="P372" s="57"/>
      <c r="Q372" s="57"/>
      <c r="R372" s="57"/>
      <c r="S372" s="57"/>
      <c r="T372" s="57"/>
      <c r="U372" s="57"/>
      <c r="V372" s="57"/>
      <c r="W372" s="57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53" t="s">
        <v>21</v>
      </c>
      <c r="B373" s="53" t="s">
        <v>39</v>
      </c>
      <c r="C373" s="53" t="s">
        <v>40</v>
      </c>
      <c r="D373" s="53" t="s">
        <v>38</v>
      </c>
      <c r="E373" s="53" t="s">
        <v>25</v>
      </c>
      <c r="F373" s="53" t="s">
        <v>25</v>
      </c>
      <c r="G373" s="53" t="s">
        <v>25</v>
      </c>
      <c r="H373" s="53" t="s">
        <v>35</v>
      </c>
      <c r="I373" s="75">
        <v>44531</v>
      </c>
      <c r="J373" s="76">
        <f>EFEITO!$J$373*EFEITO!$Y$373</f>
        <v>0</v>
      </c>
      <c r="K373" s="76">
        <f ca="1">EFEITO!$L$373*EFEITO!$Z$373</f>
        <v>321947.71317542327</v>
      </c>
      <c r="L373" s="76">
        <f>EFEITO!$N$373*EFEITO!$AA$373</f>
        <v>663216.63315004634</v>
      </c>
      <c r="M373" s="76">
        <f>$J$373-EFEITO!$K$373*EFEITO!$Y$373</f>
        <v>0</v>
      </c>
      <c r="N373" s="76">
        <f ca="1">$K$373-EFEITO!$M$373*EFEITO!$Z$373</f>
        <v>0</v>
      </c>
      <c r="O373" s="76">
        <f>$L$373-EFEITO!$O$373*EFEITO!$AA$373</f>
        <v>0</v>
      </c>
      <c r="P373" s="57"/>
      <c r="Q373" s="57"/>
      <c r="R373" s="57"/>
      <c r="S373" s="57"/>
      <c r="T373" s="57"/>
      <c r="U373" s="57"/>
      <c r="V373" s="57"/>
      <c r="W373" s="57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53" t="s">
        <v>28</v>
      </c>
      <c r="B374" s="53" t="s">
        <v>39</v>
      </c>
      <c r="C374" s="53" t="s">
        <v>40</v>
      </c>
      <c r="D374" s="53" t="s">
        <v>38</v>
      </c>
      <c r="E374" s="53" t="s">
        <v>25</v>
      </c>
      <c r="F374" s="53" t="s">
        <v>25</v>
      </c>
      <c r="G374" s="53" t="s">
        <v>25</v>
      </c>
      <c r="H374" s="53" t="s">
        <v>35</v>
      </c>
      <c r="I374" s="75">
        <v>44531</v>
      </c>
      <c r="J374" s="76">
        <f>EFEITO!$J$374*EFEITO!$Y$374</f>
        <v>0</v>
      </c>
      <c r="K374" s="76">
        <f ca="1">EFEITO!$L$374*EFEITO!$Z$374</f>
        <v>10644.934836661223</v>
      </c>
      <c r="L374" s="76">
        <f>EFEITO!$N$374*EFEITO!$AA$374</f>
        <v>21928.709394575788</v>
      </c>
      <c r="M374" s="76">
        <f>$J$374-EFEITO!$K$374*EFEITO!$Y$374</f>
        <v>0</v>
      </c>
      <c r="N374" s="76">
        <f ca="1">$K$374-EFEITO!$M$374*EFEITO!$Z$374</f>
        <v>0</v>
      </c>
      <c r="O374" s="76">
        <f>$L$374-EFEITO!$O$374*EFEITO!$AA$374</f>
        <v>0</v>
      </c>
      <c r="P374" s="57"/>
      <c r="Q374" s="57"/>
      <c r="R374" s="57"/>
      <c r="S374" s="57"/>
      <c r="T374" s="57"/>
      <c r="U374" s="57"/>
      <c r="V374" s="57"/>
      <c r="W374" s="57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53" t="s">
        <v>21</v>
      </c>
      <c r="B375" s="53" t="s">
        <v>39</v>
      </c>
      <c r="C375" s="53" t="s">
        <v>40</v>
      </c>
      <c r="D375" s="53" t="s">
        <v>38</v>
      </c>
      <c r="E375" s="53" t="s">
        <v>25</v>
      </c>
      <c r="F375" s="53" t="s">
        <v>25</v>
      </c>
      <c r="G375" s="53" t="s">
        <v>25</v>
      </c>
      <c r="H375" s="53" t="s">
        <v>35</v>
      </c>
      <c r="I375" s="75">
        <v>44562</v>
      </c>
      <c r="J375" s="76">
        <f>EFEITO!$J$375*EFEITO!$Y$375</f>
        <v>0</v>
      </c>
      <c r="K375" s="76">
        <f ca="1">EFEITO!$L$375*EFEITO!$Z$375</f>
        <v>240881.01716631578</v>
      </c>
      <c r="L375" s="76">
        <f>EFEITO!$N$375*EFEITO!$AA$375</f>
        <v>496218.14554636792</v>
      </c>
      <c r="M375" s="76">
        <f>$J$375-EFEITO!$K$375*EFEITO!$Y$375</f>
        <v>0</v>
      </c>
      <c r="N375" s="76">
        <f ca="1">$K$375-EFEITO!$M$375*EFEITO!$Z$375</f>
        <v>0</v>
      </c>
      <c r="O375" s="76">
        <f>$L$375-EFEITO!$O$375*EFEITO!$AA$375</f>
        <v>0</v>
      </c>
      <c r="P375" s="57"/>
      <c r="Q375" s="57"/>
      <c r="R375" s="57"/>
      <c r="S375" s="57"/>
      <c r="T375" s="57"/>
      <c r="U375" s="57"/>
      <c r="V375" s="57"/>
      <c r="W375" s="57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53" t="s">
        <v>28</v>
      </c>
      <c r="B376" s="53" t="s">
        <v>39</v>
      </c>
      <c r="C376" s="53" t="s">
        <v>40</v>
      </c>
      <c r="D376" s="53" t="s">
        <v>38</v>
      </c>
      <c r="E376" s="53" t="s">
        <v>25</v>
      </c>
      <c r="F376" s="53" t="s">
        <v>25</v>
      </c>
      <c r="G376" s="53" t="s">
        <v>25</v>
      </c>
      <c r="H376" s="53" t="s">
        <v>35</v>
      </c>
      <c r="I376" s="75">
        <v>44562</v>
      </c>
      <c r="J376" s="76">
        <f>EFEITO!$J$376*EFEITO!$Y$376</f>
        <v>0</v>
      </c>
      <c r="K376" s="76">
        <f ca="1">EFEITO!$L$376*EFEITO!$Z$376</f>
        <v>6677.6513286201625</v>
      </c>
      <c r="L376" s="76">
        <f>EFEITO!$N$376*EFEITO!$AA$376</f>
        <v>13756.051837846933</v>
      </c>
      <c r="M376" s="76">
        <f>$J$376-EFEITO!$K$376*EFEITO!$Y$376</f>
        <v>0</v>
      </c>
      <c r="N376" s="76">
        <f ca="1">$K$376-EFEITO!$M$376*EFEITO!$Z$376</f>
        <v>0</v>
      </c>
      <c r="O376" s="76">
        <f>$L$376-EFEITO!$O$376*EFEITO!$AA$376</f>
        <v>0</v>
      </c>
      <c r="P376" s="57"/>
      <c r="Q376" s="57"/>
      <c r="R376" s="57"/>
      <c r="S376" s="57"/>
      <c r="T376" s="57"/>
      <c r="U376" s="57"/>
      <c r="V376" s="57"/>
      <c r="W376" s="57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53" t="s">
        <v>21</v>
      </c>
      <c r="B377" s="53" t="s">
        <v>39</v>
      </c>
      <c r="C377" s="53" t="s">
        <v>40</v>
      </c>
      <c r="D377" s="53" t="s">
        <v>38</v>
      </c>
      <c r="E377" s="53" t="s">
        <v>25</v>
      </c>
      <c r="F377" s="53" t="s">
        <v>25</v>
      </c>
      <c r="G377" s="53" t="s">
        <v>25</v>
      </c>
      <c r="H377" s="53" t="s">
        <v>35</v>
      </c>
      <c r="I377" s="75">
        <v>44593</v>
      </c>
      <c r="J377" s="76">
        <f>EFEITO!$J$377*EFEITO!$Y$377</f>
        <v>0</v>
      </c>
      <c r="K377" s="76">
        <f ca="1">EFEITO!$L$377*EFEITO!$Z$377</f>
        <v>266165.54929530446</v>
      </c>
      <c r="L377" s="76">
        <f>EFEITO!$N$377*EFEITO!$AA$377</f>
        <v>548304.62289377756</v>
      </c>
      <c r="M377" s="76">
        <f>$J$377-EFEITO!$K$377*EFEITO!$Y$377</f>
        <v>0</v>
      </c>
      <c r="N377" s="76">
        <f ca="1">$K$377-EFEITO!$M$377*EFEITO!$Z$377</f>
        <v>0</v>
      </c>
      <c r="O377" s="76">
        <f>$L$377-EFEITO!$O$377*EFEITO!$AA$377</f>
        <v>0</v>
      </c>
      <c r="P377" s="57"/>
      <c r="Q377" s="57"/>
      <c r="R377" s="57"/>
      <c r="S377" s="57"/>
      <c r="T377" s="57"/>
      <c r="U377" s="57"/>
      <c r="V377" s="57"/>
      <c r="W377" s="57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53" t="s">
        <v>28</v>
      </c>
      <c r="B378" s="53" t="s">
        <v>39</v>
      </c>
      <c r="C378" s="53" t="s">
        <v>40</v>
      </c>
      <c r="D378" s="53" t="s">
        <v>38</v>
      </c>
      <c r="E378" s="53" t="s">
        <v>25</v>
      </c>
      <c r="F378" s="53" t="s">
        <v>25</v>
      </c>
      <c r="G378" s="53" t="s">
        <v>25</v>
      </c>
      <c r="H378" s="53" t="s">
        <v>35</v>
      </c>
      <c r="I378" s="75">
        <v>44593</v>
      </c>
      <c r="J378" s="76">
        <f>EFEITO!$J$378*EFEITO!$Y$378</f>
        <v>0</v>
      </c>
      <c r="K378" s="76">
        <f ca="1">EFEITO!$L$378*EFEITO!$Z$378</f>
        <v>11214.120958641524</v>
      </c>
      <c r="L378" s="76">
        <f>EFEITO!$N$378*EFEITO!$AA$378</f>
        <v>23101.240485827297</v>
      </c>
      <c r="M378" s="76">
        <f>$J$378-EFEITO!$K$378*EFEITO!$Y$378</f>
        <v>0</v>
      </c>
      <c r="N378" s="76">
        <f ca="1">$K$378-EFEITO!$M$378*EFEITO!$Z$378</f>
        <v>0</v>
      </c>
      <c r="O378" s="76">
        <f>$L$378-EFEITO!$O$378*EFEITO!$AA$378</f>
        <v>0</v>
      </c>
      <c r="P378" s="57"/>
      <c r="Q378" s="57"/>
      <c r="R378" s="57"/>
      <c r="S378" s="57"/>
      <c r="T378" s="57"/>
      <c r="U378" s="57"/>
      <c r="V378" s="57"/>
      <c r="W378" s="57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53" t="s">
        <v>21</v>
      </c>
      <c r="B379" s="53" t="s">
        <v>39</v>
      </c>
      <c r="C379" s="53" t="s">
        <v>40</v>
      </c>
      <c r="D379" s="53" t="s">
        <v>38</v>
      </c>
      <c r="E379" s="53" t="s">
        <v>25</v>
      </c>
      <c r="F379" s="53" t="s">
        <v>25</v>
      </c>
      <c r="G379" s="53" t="s">
        <v>25</v>
      </c>
      <c r="H379" s="53" t="s">
        <v>35</v>
      </c>
      <c r="I379" s="75">
        <v>44621</v>
      </c>
      <c r="J379" s="76">
        <f>EFEITO!$J$379*EFEITO!$Y$379</f>
        <v>0</v>
      </c>
      <c r="K379" s="76">
        <f ca="1">EFEITO!$L$379*EFEITO!$Z$379</f>
        <v>288388.81909117755</v>
      </c>
      <c r="L379" s="76">
        <f>EFEITO!$N$379*EFEITO!$AA$379</f>
        <v>594084.8585296591</v>
      </c>
      <c r="M379" s="76">
        <f>$J$379-EFEITO!$K$379*EFEITO!$Y$379</f>
        <v>0</v>
      </c>
      <c r="N379" s="76">
        <f ca="1">$K$379-EFEITO!$M$379*EFEITO!$Z$379</f>
        <v>0</v>
      </c>
      <c r="O379" s="76">
        <f>$L$379-EFEITO!$O$379*EFEITO!$AA$379</f>
        <v>0</v>
      </c>
      <c r="P379" s="57"/>
      <c r="Q379" s="57"/>
      <c r="R379" s="57"/>
      <c r="S379" s="57"/>
      <c r="T379" s="57"/>
      <c r="U379" s="57"/>
      <c r="V379" s="57"/>
      <c r="W379" s="57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53" t="s">
        <v>27</v>
      </c>
      <c r="B380" s="53" t="s">
        <v>39</v>
      </c>
      <c r="C380" s="53" t="s">
        <v>40</v>
      </c>
      <c r="D380" s="53" t="s">
        <v>38</v>
      </c>
      <c r="E380" s="53" t="s">
        <v>25</v>
      </c>
      <c r="F380" s="53" t="s">
        <v>25</v>
      </c>
      <c r="G380" s="53" t="s">
        <v>25</v>
      </c>
      <c r="H380" s="53" t="s">
        <v>35</v>
      </c>
      <c r="I380" s="75">
        <v>44621</v>
      </c>
      <c r="J380" s="76">
        <f>EFEITO!$J$380*EFEITO!$Y$380</f>
        <v>0</v>
      </c>
      <c r="K380" s="76">
        <f ca="1">EFEITO!$L$380*EFEITO!$Z$380</f>
        <v>-1122.3888583199687</v>
      </c>
      <c r="L380" s="76">
        <f>EFEITO!$N$380*EFEITO!$AA$380</f>
        <v>-2312.1361924210705</v>
      </c>
      <c r="M380" s="76">
        <f>$J$380-EFEITO!$K$380*EFEITO!$Y$380</f>
        <v>0</v>
      </c>
      <c r="N380" s="76">
        <f ca="1">$K$380-EFEITO!$M$380*EFEITO!$Z$380</f>
        <v>0</v>
      </c>
      <c r="O380" s="76">
        <f>$L$380-EFEITO!$O$380*EFEITO!$AA$380</f>
        <v>0</v>
      </c>
      <c r="P380" s="57"/>
      <c r="Q380" s="57"/>
      <c r="R380" s="57"/>
      <c r="S380" s="57"/>
      <c r="T380" s="57"/>
      <c r="U380" s="57"/>
      <c r="V380" s="57"/>
      <c r="W380" s="57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53" t="s">
        <v>28</v>
      </c>
      <c r="B381" s="53" t="s">
        <v>39</v>
      </c>
      <c r="C381" s="53" t="s">
        <v>40</v>
      </c>
      <c r="D381" s="53" t="s">
        <v>38</v>
      </c>
      <c r="E381" s="53" t="s">
        <v>25</v>
      </c>
      <c r="F381" s="53" t="s">
        <v>25</v>
      </c>
      <c r="G381" s="53" t="s">
        <v>25</v>
      </c>
      <c r="H381" s="53" t="s">
        <v>35</v>
      </c>
      <c r="I381" s="75">
        <v>44621</v>
      </c>
      <c r="J381" s="76">
        <f>EFEITO!$J$381*EFEITO!$Y$381</f>
        <v>0</v>
      </c>
      <c r="K381" s="76">
        <f ca="1">EFEITO!$L$381*EFEITO!$Z$381</f>
        <v>11620.365343674266</v>
      </c>
      <c r="L381" s="76">
        <f>EFEITO!$N$381*EFEITO!$AA$381</f>
        <v>23938.109400410081</v>
      </c>
      <c r="M381" s="76">
        <f>$J$381-EFEITO!$K$381*EFEITO!$Y$381</f>
        <v>0</v>
      </c>
      <c r="N381" s="76">
        <f ca="1">$K$381-EFEITO!$M$381*EFEITO!$Z$381</f>
        <v>0</v>
      </c>
      <c r="O381" s="76">
        <f>$L$381-EFEITO!$O$381*EFEITO!$AA$381</f>
        <v>0</v>
      </c>
      <c r="P381" s="57"/>
      <c r="Q381" s="57"/>
      <c r="R381" s="57"/>
      <c r="S381" s="57"/>
      <c r="T381" s="57"/>
      <c r="U381" s="57"/>
      <c r="V381" s="57"/>
      <c r="W381" s="57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53" t="s">
        <v>28</v>
      </c>
      <c r="B382" s="53" t="s">
        <v>39</v>
      </c>
      <c r="C382" s="53" t="s">
        <v>40</v>
      </c>
      <c r="D382" s="53" t="s">
        <v>38</v>
      </c>
      <c r="E382" s="53" t="s">
        <v>25</v>
      </c>
      <c r="F382" s="53" t="s">
        <v>25</v>
      </c>
      <c r="G382" s="53" t="s">
        <v>25</v>
      </c>
      <c r="H382" s="53" t="s">
        <v>35</v>
      </c>
      <c r="I382" s="75">
        <v>44621</v>
      </c>
      <c r="J382" s="76">
        <f>EFEITO!$J$382*EFEITO!$Y$382</f>
        <v>0</v>
      </c>
      <c r="K382" s="76">
        <f ca="1">EFEITO!$L$382*EFEITO!$Z$382</f>
        <v>985.93810312864343</v>
      </c>
      <c r="L382" s="76">
        <f>EFEITO!$N$382*EFEITO!$AA$382</f>
        <v>2031.0457956103867</v>
      </c>
      <c r="M382" s="76">
        <f>$J$382-EFEITO!$K$382*EFEITO!$Y$382</f>
        <v>0</v>
      </c>
      <c r="N382" s="76">
        <f ca="1">$K$382-EFEITO!$M$382*EFEITO!$Z$382</f>
        <v>0</v>
      </c>
      <c r="O382" s="76">
        <f>$L$382-EFEITO!$O$382*EFEITO!$AA$382</f>
        <v>0</v>
      </c>
      <c r="P382" s="57"/>
      <c r="Q382" s="57"/>
      <c r="R382" s="57"/>
      <c r="S382" s="57"/>
      <c r="T382" s="57"/>
      <c r="U382" s="57"/>
      <c r="V382" s="57"/>
      <c r="W382" s="57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53" t="s">
        <v>21</v>
      </c>
      <c r="B383" s="53" t="s">
        <v>39</v>
      </c>
      <c r="C383" s="53" t="s">
        <v>40</v>
      </c>
      <c r="D383" s="53" t="s">
        <v>38</v>
      </c>
      <c r="E383" s="53" t="s">
        <v>25</v>
      </c>
      <c r="F383" s="53" t="s">
        <v>25</v>
      </c>
      <c r="G383" s="53" t="s">
        <v>25</v>
      </c>
      <c r="H383" s="53" t="s">
        <v>35</v>
      </c>
      <c r="I383" s="75">
        <v>44652</v>
      </c>
      <c r="J383" s="76">
        <f>EFEITO!$J$383*EFEITO!$Y$383</f>
        <v>0</v>
      </c>
      <c r="K383" s="76">
        <f ca="1">EFEITO!$L$383*EFEITO!$Z$383</f>
        <v>262030.58823234827</v>
      </c>
      <c r="L383" s="76">
        <f>EFEITO!$N$383*EFEITO!$AA$383</f>
        <v>539786.54731146689</v>
      </c>
      <c r="M383" s="76">
        <f>$J$383-EFEITO!$K$383*EFEITO!$Y$383</f>
        <v>0</v>
      </c>
      <c r="N383" s="76">
        <f ca="1">$K$383-EFEITO!$M$383*EFEITO!$Z$383</f>
        <v>0</v>
      </c>
      <c r="O383" s="76">
        <f>$L$383-EFEITO!$O$383*EFEITO!$AA$383</f>
        <v>0</v>
      </c>
      <c r="P383" s="57"/>
      <c r="Q383" s="57"/>
      <c r="R383" s="57"/>
      <c r="S383" s="57"/>
      <c r="T383" s="57"/>
      <c r="U383" s="57"/>
      <c r="V383" s="57"/>
      <c r="W383" s="57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53" t="s">
        <v>28</v>
      </c>
      <c r="B384" s="53" t="s">
        <v>39</v>
      </c>
      <c r="C384" s="53" t="s">
        <v>40</v>
      </c>
      <c r="D384" s="53" t="s">
        <v>38</v>
      </c>
      <c r="E384" s="53" t="s">
        <v>25</v>
      </c>
      <c r="F384" s="53" t="s">
        <v>25</v>
      </c>
      <c r="G384" s="53" t="s">
        <v>25</v>
      </c>
      <c r="H384" s="53" t="s">
        <v>35</v>
      </c>
      <c r="I384" s="75">
        <v>44652</v>
      </c>
      <c r="J384" s="76">
        <f>EFEITO!$J$384*EFEITO!$Y$384</f>
        <v>0</v>
      </c>
      <c r="K384" s="76">
        <f ca="1">EFEITO!$L$384*EFEITO!$Z$384</f>
        <v>10818.976146970332</v>
      </c>
      <c r="L384" s="76">
        <f>EFEITO!$N$384*EFEITO!$AA$384</f>
        <v>22287.236842134753</v>
      </c>
      <c r="M384" s="76">
        <f>$J$384-EFEITO!$K$384*EFEITO!$Y$384</f>
        <v>0</v>
      </c>
      <c r="N384" s="76">
        <f ca="1">$K$384-EFEITO!$M$384*EFEITO!$Z$384</f>
        <v>0</v>
      </c>
      <c r="O384" s="76">
        <f>$L$384-EFEITO!$O$384*EFEITO!$AA$384</f>
        <v>0</v>
      </c>
      <c r="P384" s="57"/>
      <c r="Q384" s="57"/>
      <c r="R384" s="57"/>
      <c r="S384" s="57"/>
      <c r="T384" s="57"/>
      <c r="U384" s="57"/>
      <c r="V384" s="57"/>
      <c r="W384" s="57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53" t="s">
        <v>21</v>
      </c>
      <c r="B385" s="53" t="s">
        <v>39</v>
      </c>
      <c r="C385" s="53" t="s">
        <v>40</v>
      </c>
      <c r="D385" s="53" t="s">
        <v>38</v>
      </c>
      <c r="E385" s="53" t="s">
        <v>25</v>
      </c>
      <c r="F385" s="53" t="s">
        <v>25</v>
      </c>
      <c r="G385" s="53" t="s">
        <v>25</v>
      </c>
      <c r="H385" s="53" t="s">
        <v>35</v>
      </c>
      <c r="I385" s="75">
        <v>44682</v>
      </c>
      <c r="J385" s="76">
        <f>EFEITO!$J$385*EFEITO!$Y$385</f>
        <v>0</v>
      </c>
      <c r="K385" s="76">
        <f ca="1">EFEITO!$L$385*EFEITO!$Z$385</f>
        <v>261007.20756841332</v>
      </c>
      <c r="L385" s="76">
        <f>EFEITO!$N$385*EFEITO!$AA$385</f>
        <v>537678.36933538679</v>
      </c>
      <c r="M385" s="76">
        <f>$J$385-EFEITO!$K$385*EFEITO!$Y$385</f>
        <v>0</v>
      </c>
      <c r="N385" s="76">
        <f ca="1">$K$385-EFEITO!$M$385*EFEITO!$Z$385</f>
        <v>0</v>
      </c>
      <c r="O385" s="76">
        <f>$L$385-EFEITO!$O$385*EFEITO!$AA$385</f>
        <v>0</v>
      </c>
      <c r="P385" s="57"/>
      <c r="Q385" s="57"/>
      <c r="R385" s="57"/>
      <c r="S385" s="57"/>
      <c r="T385" s="57"/>
      <c r="U385" s="57"/>
      <c r="V385" s="57"/>
      <c r="W385" s="57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53" t="s">
        <v>28</v>
      </c>
      <c r="B386" s="53" t="s">
        <v>39</v>
      </c>
      <c r="C386" s="53" t="s">
        <v>40</v>
      </c>
      <c r="D386" s="53" t="s">
        <v>38</v>
      </c>
      <c r="E386" s="53" t="s">
        <v>25</v>
      </c>
      <c r="F386" s="53" t="s">
        <v>25</v>
      </c>
      <c r="G386" s="53" t="s">
        <v>25</v>
      </c>
      <c r="H386" s="53" t="s">
        <v>35</v>
      </c>
      <c r="I386" s="75">
        <v>44682</v>
      </c>
      <c r="J386" s="76">
        <f>EFEITO!$J$386*EFEITO!$Y$386</f>
        <v>0</v>
      </c>
      <c r="K386" s="76">
        <f ca="1">EFEITO!$L$386*EFEITO!$Z$386</f>
        <v>20207.143290481083</v>
      </c>
      <c r="L386" s="76">
        <f>EFEITO!$N$386*EFEITO!$AA$386</f>
        <v>41626.987831378297</v>
      </c>
      <c r="M386" s="76">
        <f>$J$386-EFEITO!$K$386*EFEITO!$Y$386</f>
        <v>0</v>
      </c>
      <c r="N386" s="76">
        <f ca="1">$K$386-EFEITO!$M$386*EFEITO!$Z$386</f>
        <v>0</v>
      </c>
      <c r="O386" s="76">
        <f>$L$386-EFEITO!$O$386*EFEITO!$AA$386</f>
        <v>0</v>
      </c>
      <c r="P386" s="57"/>
      <c r="Q386" s="57"/>
      <c r="R386" s="57"/>
      <c r="S386" s="57"/>
      <c r="T386" s="57"/>
      <c r="U386" s="57"/>
      <c r="V386" s="57"/>
      <c r="W386" s="57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53" t="s">
        <v>28</v>
      </c>
      <c r="B387" s="53" t="s">
        <v>39</v>
      </c>
      <c r="C387" s="53" t="s">
        <v>40</v>
      </c>
      <c r="D387" s="53" t="s">
        <v>38</v>
      </c>
      <c r="E387" s="53" t="s">
        <v>25</v>
      </c>
      <c r="F387" s="53" t="s">
        <v>25</v>
      </c>
      <c r="G387" s="53" t="s">
        <v>25</v>
      </c>
      <c r="H387" s="53" t="s">
        <v>35</v>
      </c>
      <c r="I387" s="75">
        <v>44682</v>
      </c>
      <c r="J387" s="76">
        <f>EFEITO!$J$387*EFEITO!$Y$387</f>
        <v>0</v>
      </c>
      <c r="K387" s="76">
        <f ca="1">EFEITO!$L$387*EFEITO!$Z$387</f>
        <v>1973.652137995135</v>
      </c>
      <c r="L387" s="76">
        <f>EFEITO!$N$387*EFEITO!$AA$387</f>
        <v>4065.750034563212</v>
      </c>
      <c r="M387" s="76">
        <f>$J$387-EFEITO!$K$387*EFEITO!$Y$387</f>
        <v>0</v>
      </c>
      <c r="N387" s="76">
        <f ca="1">$K$387-EFEITO!$M$387*EFEITO!$Z$387</f>
        <v>0</v>
      </c>
      <c r="O387" s="76">
        <f>$L$387-EFEITO!$O$387*EFEITO!$AA$387</f>
        <v>0</v>
      </c>
      <c r="P387" s="57"/>
      <c r="Q387" s="57"/>
      <c r="R387" s="57"/>
      <c r="S387" s="57"/>
      <c r="T387" s="57"/>
      <c r="U387" s="57"/>
      <c r="V387" s="57"/>
      <c r="W387" s="57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53" t="s">
        <v>21</v>
      </c>
      <c r="B388" s="53" t="s">
        <v>39</v>
      </c>
      <c r="C388" s="53" t="s">
        <v>40</v>
      </c>
      <c r="D388" s="53" t="s">
        <v>38</v>
      </c>
      <c r="E388" s="53" t="s">
        <v>25</v>
      </c>
      <c r="F388" s="53" t="s">
        <v>25</v>
      </c>
      <c r="G388" s="53" t="s">
        <v>25</v>
      </c>
      <c r="H388" s="53" t="s">
        <v>35</v>
      </c>
      <c r="I388" s="75">
        <v>44713</v>
      </c>
      <c r="J388" s="76">
        <f>EFEITO!$J$388*EFEITO!$Y$388</f>
        <v>0</v>
      </c>
      <c r="K388" s="76">
        <f ca="1">EFEITO!$L$388*EFEITO!$Z$388</f>
        <v>224669.72028599284</v>
      </c>
      <c r="L388" s="76">
        <f>EFEITO!$N$388*EFEITO!$AA$388</f>
        <v>462822.65523547604</v>
      </c>
      <c r="M388" s="76">
        <f>$J$388-EFEITO!$K$388*EFEITO!$Y$388</f>
        <v>0</v>
      </c>
      <c r="N388" s="76">
        <f ca="1">$K$388-EFEITO!$M$388*EFEITO!$Z$388</f>
        <v>0</v>
      </c>
      <c r="O388" s="76">
        <f>$L$388-EFEITO!$O$388*EFEITO!$AA$388</f>
        <v>0</v>
      </c>
      <c r="P388" s="57"/>
      <c r="Q388" s="57"/>
      <c r="R388" s="57"/>
      <c r="S388" s="57"/>
      <c r="T388" s="57"/>
      <c r="U388" s="57"/>
      <c r="V388" s="57"/>
      <c r="W388" s="57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53" t="s">
        <v>28</v>
      </c>
      <c r="B389" s="53" t="s">
        <v>39</v>
      </c>
      <c r="C389" s="53" t="s">
        <v>40</v>
      </c>
      <c r="D389" s="53" t="s">
        <v>38</v>
      </c>
      <c r="E389" s="53" t="s">
        <v>25</v>
      </c>
      <c r="F389" s="53" t="s">
        <v>25</v>
      </c>
      <c r="G389" s="53" t="s">
        <v>25</v>
      </c>
      <c r="H389" s="53" t="s">
        <v>35</v>
      </c>
      <c r="I389" s="75">
        <v>44713</v>
      </c>
      <c r="J389" s="76">
        <f>EFEITO!$J$389*EFEITO!$Y$389</f>
        <v>0</v>
      </c>
      <c r="K389" s="76">
        <f ca="1">EFEITO!$L$389*EFEITO!$Z$389</f>
        <v>18261.018094422594</v>
      </c>
      <c r="L389" s="76">
        <f>EFEITO!$N$389*EFEITO!$AA$389</f>
        <v>37617.94366862288</v>
      </c>
      <c r="M389" s="76">
        <f>$J$389-EFEITO!$K$389*EFEITO!$Y$389</f>
        <v>0</v>
      </c>
      <c r="N389" s="76">
        <f ca="1">$K$389-EFEITO!$M$389*EFEITO!$Z$389</f>
        <v>0</v>
      </c>
      <c r="O389" s="76">
        <f>$L$389-EFEITO!$O$389*EFEITO!$AA$389</f>
        <v>0</v>
      </c>
      <c r="P389" s="57"/>
      <c r="Q389" s="57"/>
      <c r="R389" s="57"/>
      <c r="S389" s="57"/>
      <c r="T389" s="57"/>
      <c r="U389" s="57"/>
      <c r="V389" s="57"/>
      <c r="W389" s="57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53" t="s">
        <v>28</v>
      </c>
      <c r="B390" s="53" t="s">
        <v>39</v>
      </c>
      <c r="C390" s="53" t="s">
        <v>40</v>
      </c>
      <c r="D390" s="53" t="s">
        <v>38</v>
      </c>
      <c r="E390" s="53" t="s">
        <v>25</v>
      </c>
      <c r="F390" s="53" t="s">
        <v>25</v>
      </c>
      <c r="G390" s="53" t="s">
        <v>25</v>
      </c>
      <c r="H390" s="53" t="s">
        <v>35</v>
      </c>
      <c r="I390" s="75">
        <v>44713</v>
      </c>
      <c r="J390" s="76">
        <f>EFEITO!$J$390*EFEITO!$Y$390</f>
        <v>0</v>
      </c>
      <c r="K390" s="76">
        <f ca="1">EFEITO!$L$390*EFEITO!$Z$390</f>
        <v>961.07505879877067</v>
      </c>
      <c r="L390" s="76">
        <f>EFEITO!$N$390*EFEITO!$AA$390</f>
        <v>1979.8275888162491</v>
      </c>
      <c r="M390" s="76">
        <f>$J$390-EFEITO!$K$390*EFEITO!$Y$390</f>
        <v>0</v>
      </c>
      <c r="N390" s="76">
        <f ca="1">$K$390-EFEITO!$M$390*EFEITO!$Z$390</f>
        <v>0</v>
      </c>
      <c r="O390" s="76">
        <f>$L$390-EFEITO!$O$390*EFEITO!$AA$390</f>
        <v>0</v>
      </c>
      <c r="P390" s="57"/>
      <c r="Q390" s="57"/>
      <c r="R390" s="57"/>
      <c r="S390" s="57"/>
      <c r="T390" s="57"/>
      <c r="U390" s="57"/>
      <c r="V390" s="57"/>
      <c r="W390" s="57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53" t="s">
        <v>21</v>
      </c>
      <c r="B391" s="53" t="s">
        <v>39</v>
      </c>
      <c r="C391" s="53" t="s">
        <v>40</v>
      </c>
      <c r="D391" s="53" t="s">
        <v>38</v>
      </c>
      <c r="E391" s="53" t="s">
        <v>25</v>
      </c>
      <c r="F391" s="53" t="s">
        <v>25</v>
      </c>
      <c r="G391" s="53" t="s">
        <v>25</v>
      </c>
      <c r="H391" s="53" t="s">
        <v>35</v>
      </c>
      <c r="I391" s="75">
        <v>44743</v>
      </c>
      <c r="J391" s="76">
        <f>EFEITO!$J$391*EFEITO!$Y$391</f>
        <v>0</v>
      </c>
      <c r="K391" s="76">
        <f ca="1">EFEITO!$L$391*EFEITO!$Z$391</f>
        <v>237956.35358270304</v>
      </c>
      <c r="L391" s="76">
        <f>EFEITO!$N$391*EFEITO!$AA$391</f>
        <v>490193.29910192895</v>
      </c>
      <c r="M391" s="76">
        <f>$J$391-EFEITO!$K$391*EFEITO!$Y$391</f>
        <v>0</v>
      </c>
      <c r="N391" s="76">
        <f ca="1">$K$391-EFEITO!$M$391*EFEITO!$Z$391</f>
        <v>0</v>
      </c>
      <c r="O391" s="76">
        <f>$L$391-EFEITO!$O$391*EFEITO!$AA$391</f>
        <v>0</v>
      </c>
      <c r="P391" s="57"/>
      <c r="Q391" s="57"/>
      <c r="R391" s="57"/>
      <c r="S391" s="57"/>
      <c r="T391" s="57"/>
      <c r="U391" s="57"/>
      <c r="V391" s="57"/>
      <c r="W391" s="57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53" t="s">
        <v>28</v>
      </c>
      <c r="B392" s="53" t="s">
        <v>39</v>
      </c>
      <c r="C392" s="53" t="s">
        <v>40</v>
      </c>
      <c r="D392" s="53" t="s">
        <v>38</v>
      </c>
      <c r="E392" s="53" t="s">
        <v>25</v>
      </c>
      <c r="F392" s="53" t="s">
        <v>25</v>
      </c>
      <c r="G392" s="53" t="s">
        <v>25</v>
      </c>
      <c r="H392" s="53" t="s">
        <v>35</v>
      </c>
      <c r="I392" s="75">
        <v>44743</v>
      </c>
      <c r="J392" s="76">
        <f>EFEITO!$J$392*EFEITO!$Y$392</f>
        <v>0</v>
      </c>
      <c r="K392" s="76">
        <f ca="1">EFEITO!$L$392*EFEITO!$Z$392</f>
        <v>18788.321826251977</v>
      </c>
      <c r="L392" s="76">
        <f>EFEITO!$N$392*EFEITO!$AA$392</f>
        <v>38704.196471048548</v>
      </c>
      <c r="M392" s="76">
        <f>$J$392-EFEITO!$K$392*EFEITO!$Y$392</f>
        <v>0</v>
      </c>
      <c r="N392" s="76">
        <f ca="1">$K$392-EFEITO!$M$392*EFEITO!$Z$392</f>
        <v>0</v>
      </c>
      <c r="O392" s="76">
        <f>$L$392-EFEITO!$O$392*EFEITO!$AA$392</f>
        <v>0</v>
      </c>
      <c r="P392" s="57"/>
      <c r="Q392" s="57"/>
      <c r="R392" s="57"/>
      <c r="S392" s="57"/>
      <c r="T392" s="57"/>
      <c r="U392" s="57"/>
      <c r="V392" s="57"/>
      <c r="W392" s="57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53" t="s">
        <v>56</v>
      </c>
      <c r="B393" s="53" t="s">
        <v>39</v>
      </c>
      <c r="C393" s="53" t="s">
        <v>40</v>
      </c>
      <c r="D393" s="53" t="s">
        <v>38</v>
      </c>
      <c r="E393" s="53" t="s">
        <v>25</v>
      </c>
      <c r="F393" s="53" t="s">
        <v>25</v>
      </c>
      <c r="G393" s="53" t="s">
        <v>25</v>
      </c>
      <c r="H393" s="53" t="s">
        <v>35</v>
      </c>
      <c r="I393" s="75">
        <v>44774</v>
      </c>
      <c r="J393" s="76">
        <f>EFEITO!$J$393*EFEITO!$Y$393</f>
        <v>0</v>
      </c>
      <c r="K393" s="76">
        <f ca="1">EFEITO!$L$393*EFEITO!$Z$393</f>
        <v>237956.35358270304</v>
      </c>
      <c r="L393" s="76">
        <f>EFEITO!$N$393*EFEITO!$AA$393</f>
        <v>490193.29910192895</v>
      </c>
      <c r="M393" s="76">
        <f>$J$393-EFEITO!$K$393*EFEITO!$Y$393</f>
        <v>0</v>
      </c>
      <c r="N393" s="76">
        <f ca="1">$K$393-EFEITO!$M$393*EFEITO!$Z$393</f>
        <v>0</v>
      </c>
      <c r="O393" s="76">
        <f>$L$393-EFEITO!$O$393*EFEITO!$AA$393</f>
        <v>0</v>
      </c>
      <c r="P393" s="57"/>
      <c r="Q393" s="57"/>
      <c r="R393" s="57"/>
      <c r="S393" s="57"/>
      <c r="T393" s="57"/>
      <c r="U393" s="57"/>
      <c r="V393" s="57"/>
      <c r="W393" s="57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53" t="s">
        <v>56</v>
      </c>
      <c r="B394" s="53" t="s">
        <v>39</v>
      </c>
      <c r="C394" s="53" t="s">
        <v>40</v>
      </c>
      <c r="D394" s="53" t="s">
        <v>38</v>
      </c>
      <c r="E394" s="53" t="s">
        <v>25</v>
      </c>
      <c r="F394" s="53" t="s">
        <v>25</v>
      </c>
      <c r="G394" s="53" t="s">
        <v>25</v>
      </c>
      <c r="H394" s="53" t="s">
        <v>35</v>
      </c>
      <c r="I394" s="75">
        <v>44774</v>
      </c>
      <c r="J394" s="76">
        <f>EFEITO!$J$394*EFEITO!$Y$394</f>
        <v>0</v>
      </c>
      <c r="K394" s="76">
        <f ca="1">EFEITO!$L$394*EFEITO!$Z$394</f>
        <v>18788.321826251977</v>
      </c>
      <c r="L394" s="76">
        <f>EFEITO!$N$394*EFEITO!$AA$394</f>
        <v>38704.196471048548</v>
      </c>
      <c r="M394" s="76">
        <f>$J$394-EFEITO!$K$394*EFEITO!$Y$394</f>
        <v>0</v>
      </c>
      <c r="N394" s="76">
        <f ca="1">$K$394-EFEITO!$M$394*EFEITO!$Z$394</f>
        <v>0</v>
      </c>
      <c r="O394" s="76">
        <f>$L$394-EFEITO!$O$394*EFEITO!$AA$394</f>
        <v>0</v>
      </c>
      <c r="P394" s="57"/>
      <c r="Q394" s="57"/>
      <c r="R394" s="57"/>
      <c r="S394" s="57"/>
      <c r="T394" s="57"/>
      <c r="U394" s="57"/>
      <c r="V394" s="57"/>
      <c r="W394" s="57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53" t="s">
        <v>21</v>
      </c>
      <c r="B395" s="53" t="s">
        <v>39</v>
      </c>
      <c r="C395" s="53" t="s">
        <v>40</v>
      </c>
      <c r="D395" s="53" t="s">
        <v>38</v>
      </c>
      <c r="E395" s="53" t="s">
        <v>25</v>
      </c>
      <c r="F395" s="53" t="s">
        <v>25</v>
      </c>
      <c r="G395" s="53" t="s">
        <v>25</v>
      </c>
      <c r="H395" s="53" t="s">
        <v>25</v>
      </c>
      <c r="I395" s="75">
        <v>44440</v>
      </c>
      <c r="J395" s="76">
        <f ca="1">EFEITO!$J$395*EFEITO!$Y$395</f>
        <v>268229.07458539453</v>
      </c>
      <c r="K395" s="76">
        <f>EFEITO!$L$395*EFEITO!$Z$395</f>
        <v>0</v>
      </c>
      <c r="L395" s="76">
        <f>EFEITO!$N$395*EFEITO!$AA$395</f>
        <v>0</v>
      </c>
      <c r="M395" s="76">
        <f ca="1">$J$395-EFEITO!$K$395*EFEITO!$Y$395</f>
        <v>0</v>
      </c>
      <c r="N395" s="76">
        <f>$K$395-EFEITO!$M$395*EFEITO!$Z$395</f>
        <v>0</v>
      </c>
      <c r="O395" s="76">
        <f>$L$395-EFEITO!$O$395*EFEITO!$AA$395</f>
        <v>0</v>
      </c>
      <c r="P395" s="57"/>
      <c r="Q395" s="57"/>
      <c r="R395" s="57"/>
      <c r="S395" s="57"/>
      <c r="T395" s="57"/>
      <c r="U395" s="57"/>
      <c r="V395" s="57"/>
      <c r="W395" s="57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53" t="s">
        <v>28</v>
      </c>
      <c r="B396" s="53" t="s">
        <v>39</v>
      </c>
      <c r="C396" s="53" t="s">
        <v>40</v>
      </c>
      <c r="D396" s="53" t="s">
        <v>38</v>
      </c>
      <c r="E396" s="53" t="s">
        <v>25</v>
      </c>
      <c r="F396" s="53" t="s">
        <v>25</v>
      </c>
      <c r="G396" s="53" t="s">
        <v>25</v>
      </c>
      <c r="H396" s="53" t="s">
        <v>25</v>
      </c>
      <c r="I396" s="75">
        <v>44440</v>
      </c>
      <c r="J396" s="76">
        <f ca="1">EFEITO!$J$396*EFEITO!$Y$396</f>
        <v>40050.642643572603</v>
      </c>
      <c r="K396" s="76">
        <f>EFEITO!$L$396*EFEITO!$Z$396</f>
        <v>0</v>
      </c>
      <c r="L396" s="76">
        <f>EFEITO!$N$396*EFEITO!$AA$396</f>
        <v>0</v>
      </c>
      <c r="M396" s="76">
        <f ca="1">$J$396-EFEITO!$K$396*EFEITO!$Y$396</f>
        <v>0</v>
      </c>
      <c r="N396" s="76">
        <f>$K$396-EFEITO!$M$396*EFEITO!$Z$396</f>
        <v>0</v>
      </c>
      <c r="O396" s="76">
        <f>$L$396-EFEITO!$O$396*EFEITO!$AA$396</f>
        <v>0</v>
      </c>
      <c r="P396" s="57"/>
      <c r="Q396" s="57"/>
      <c r="R396" s="57"/>
      <c r="S396" s="57"/>
      <c r="T396" s="57"/>
      <c r="U396" s="57"/>
      <c r="V396" s="57"/>
      <c r="W396" s="57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53" t="s">
        <v>21</v>
      </c>
      <c r="B397" s="53" t="s">
        <v>39</v>
      </c>
      <c r="C397" s="53" t="s">
        <v>40</v>
      </c>
      <c r="D397" s="53" t="s">
        <v>38</v>
      </c>
      <c r="E397" s="53" t="s">
        <v>25</v>
      </c>
      <c r="F397" s="53" t="s">
        <v>25</v>
      </c>
      <c r="G397" s="53" t="s">
        <v>25</v>
      </c>
      <c r="H397" s="53" t="s">
        <v>25</v>
      </c>
      <c r="I397" s="75">
        <v>44470</v>
      </c>
      <c r="J397" s="76">
        <f ca="1">EFEITO!$J$397*EFEITO!$Y$397</f>
        <v>271848.32990685495</v>
      </c>
      <c r="K397" s="76">
        <f>EFEITO!$L$397*EFEITO!$Z$397</f>
        <v>0</v>
      </c>
      <c r="L397" s="76">
        <f>EFEITO!$N$397*EFEITO!$AA$397</f>
        <v>0</v>
      </c>
      <c r="M397" s="76">
        <f ca="1">$J$397-EFEITO!$K$397*EFEITO!$Y$397</f>
        <v>0</v>
      </c>
      <c r="N397" s="76">
        <f>$K$397-EFEITO!$M$397*EFEITO!$Z$397</f>
        <v>0</v>
      </c>
      <c r="O397" s="76">
        <f>$L$397-EFEITO!$O$397*EFEITO!$AA$397</f>
        <v>0</v>
      </c>
      <c r="P397" s="57"/>
      <c r="Q397" s="57"/>
      <c r="R397" s="57"/>
      <c r="S397" s="57"/>
      <c r="T397" s="57"/>
      <c r="U397" s="57"/>
      <c r="V397" s="57"/>
      <c r="W397" s="57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53" t="s">
        <v>28</v>
      </c>
      <c r="B398" s="53" t="s">
        <v>39</v>
      </c>
      <c r="C398" s="53" t="s">
        <v>40</v>
      </c>
      <c r="D398" s="53" t="s">
        <v>38</v>
      </c>
      <c r="E398" s="53" t="s">
        <v>25</v>
      </c>
      <c r="F398" s="53" t="s">
        <v>25</v>
      </c>
      <c r="G398" s="53" t="s">
        <v>25</v>
      </c>
      <c r="H398" s="53" t="s">
        <v>25</v>
      </c>
      <c r="I398" s="75">
        <v>44470</v>
      </c>
      <c r="J398" s="76">
        <f ca="1">EFEITO!$J$398*EFEITO!$Y$398</f>
        <v>39958.783371454316</v>
      </c>
      <c r="K398" s="76">
        <f>EFEITO!$L$398*EFEITO!$Z$398</f>
        <v>0</v>
      </c>
      <c r="L398" s="76">
        <f>EFEITO!$N$398*EFEITO!$AA$398</f>
        <v>0</v>
      </c>
      <c r="M398" s="76">
        <f ca="1">$J$398-EFEITO!$K$398*EFEITO!$Y$398</f>
        <v>0</v>
      </c>
      <c r="N398" s="76">
        <f>$K$398-EFEITO!$M$398*EFEITO!$Z$398</f>
        <v>0</v>
      </c>
      <c r="O398" s="76">
        <f>$L$398-EFEITO!$O$398*EFEITO!$AA$398</f>
        <v>0</v>
      </c>
      <c r="P398" s="57"/>
      <c r="Q398" s="57"/>
      <c r="R398" s="57"/>
      <c r="S398" s="57"/>
      <c r="T398" s="57"/>
      <c r="U398" s="57"/>
      <c r="V398" s="57"/>
      <c r="W398" s="57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53" t="s">
        <v>21</v>
      </c>
      <c r="B399" s="53" t="s">
        <v>39</v>
      </c>
      <c r="C399" s="53" t="s">
        <v>40</v>
      </c>
      <c r="D399" s="53" t="s">
        <v>38</v>
      </c>
      <c r="E399" s="53" t="s">
        <v>25</v>
      </c>
      <c r="F399" s="53" t="s">
        <v>25</v>
      </c>
      <c r="G399" s="53" t="s">
        <v>25</v>
      </c>
      <c r="H399" s="53" t="s">
        <v>25</v>
      </c>
      <c r="I399" s="75">
        <v>44501</v>
      </c>
      <c r="J399" s="76">
        <f ca="1">EFEITO!$J$399*EFEITO!$Y$399</f>
        <v>274953.17330445303</v>
      </c>
      <c r="K399" s="76">
        <f>EFEITO!$L$399*EFEITO!$Z$399</f>
        <v>0</v>
      </c>
      <c r="L399" s="76">
        <f>EFEITO!$N$399*EFEITO!$AA$399</f>
        <v>0</v>
      </c>
      <c r="M399" s="76">
        <f ca="1">$J$399-EFEITO!$K$399*EFEITO!$Y$399</f>
        <v>0</v>
      </c>
      <c r="N399" s="76">
        <f>$K$399-EFEITO!$M$399*EFEITO!$Z$399</f>
        <v>0</v>
      </c>
      <c r="O399" s="76">
        <f>$L$399-EFEITO!$O$399*EFEITO!$AA$399</f>
        <v>0</v>
      </c>
      <c r="P399" s="57"/>
      <c r="Q399" s="57"/>
      <c r="R399" s="57"/>
      <c r="S399" s="57"/>
      <c r="T399" s="57"/>
      <c r="U399" s="57"/>
      <c r="V399" s="57"/>
      <c r="W399" s="57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53" t="s">
        <v>27</v>
      </c>
      <c r="B400" s="53" t="s">
        <v>39</v>
      </c>
      <c r="C400" s="53" t="s">
        <v>40</v>
      </c>
      <c r="D400" s="53" t="s">
        <v>38</v>
      </c>
      <c r="E400" s="53" t="s">
        <v>25</v>
      </c>
      <c r="F400" s="53" t="s">
        <v>25</v>
      </c>
      <c r="G400" s="53" t="s">
        <v>25</v>
      </c>
      <c r="H400" s="53" t="s">
        <v>25</v>
      </c>
      <c r="I400" s="75">
        <v>44501</v>
      </c>
      <c r="J400" s="76">
        <f ca="1">EFEITO!$J$400*EFEITO!$Y$400</f>
        <v>551.15563270971472</v>
      </c>
      <c r="K400" s="76">
        <f>EFEITO!$L$400*EFEITO!$Z$400</f>
        <v>0</v>
      </c>
      <c r="L400" s="76">
        <f>EFEITO!$N$400*EFEITO!$AA$400</f>
        <v>0</v>
      </c>
      <c r="M400" s="76">
        <f ca="1">$J$400-EFEITO!$K$400*EFEITO!$Y$400</f>
        <v>0</v>
      </c>
      <c r="N400" s="76">
        <f>$K$400-EFEITO!$M$400*EFEITO!$Z$400</f>
        <v>0</v>
      </c>
      <c r="O400" s="76">
        <f>$L$400-EFEITO!$O$400*EFEITO!$AA$400</f>
        <v>0</v>
      </c>
      <c r="P400" s="57"/>
      <c r="Q400" s="57"/>
      <c r="R400" s="57"/>
      <c r="S400" s="57"/>
      <c r="T400" s="57"/>
      <c r="U400" s="57"/>
      <c r="V400" s="57"/>
      <c r="W400" s="57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53" t="s">
        <v>28</v>
      </c>
      <c r="B401" s="53" t="s">
        <v>39</v>
      </c>
      <c r="C401" s="53" t="s">
        <v>40</v>
      </c>
      <c r="D401" s="53" t="s">
        <v>38</v>
      </c>
      <c r="E401" s="53" t="s">
        <v>25</v>
      </c>
      <c r="F401" s="53" t="s">
        <v>25</v>
      </c>
      <c r="G401" s="53" t="s">
        <v>25</v>
      </c>
      <c r="H401" s="53" t="s">
        <v>25</v>
      </c>
      <c r="I401" s="75">
        <v>44501</v>
      </c>
      <c r="J401" s="76">
        <f ca="1">EFEITO!$J$401*EFEITO!$Y$401</f>
        <v>40069.014497996264</v>
      </c>
      <c r="K401" s="76">
        <f>EFEITO!$L$401*EFEITO!$Z$401</f>
        <v>0</v>
      </c>
      <c r="L401" s="76">
        <f>EFEITO!$N$401*EFEITO!$AA$401</f>
        <v>0</v>
      </c>
      <c r="M401" s="76">
        <f ca="1">$J$401-EFEITO!$K$401*EFEITO!$Y$401</f>
        <v>0</v>
      </c>
      <c r="N401" s="76">
        <f>$K$401-EFEITO!$M$401*EFEITO!$Z$401</f>
        <v>0</v>
      </c>
      <c r="O401" s="76">
        <f>$L$401-EFEITO!$O$401*EFEITO!$AA$401</f>
        <v>0</v>
      </c>
      <c r="P401" s="57"/>
      <c r="Q401" s="57"/>
      <c r="R401" s="57"/>
      <c r="S401" s="57"/>
      <c r="T401" s="57"/>
      <c r="U401" s="57"/>
      <c r="V401" s="57"/>
      <c r="W401" s="57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53" t="s">
        <v>21</v>
      </c>
      <c r="B402" s="53" t="s">
        <v>39</v>
      </c>
      <c r="C402" s="53" t="s">
        <v>40</v>
      </c>
      <c r="D402" s="53" t="s">
        <v>38</v>
      </c>
      <c r="E402" s="53" t="s">
        <v>25</v>
      </c>
      <c r="F402" s="53" t="s">
        <v>25</v>
      </c>
      <c r="G402" s="53" t="s">
        <v>25</v>
      </c>
      <c r="H402" s="53" t="s">
        <v>25</v>
      </c>
      <c r="I402" s="75">
        <v>44531</v>
      </c>
      <c r="J402" s="76">
        <f ca="1">EFEITO!$J$402*EFEITO!$Y$402</f>
        <v>275743.16304467031</v>
      </c>
      <c r="K402" s="76">
        <f>EFEITO!$L$402*EFEITO!$Z$402</f>
        <v>0</v>
      </c>
      <c r="L402" s="76">
        <f>EFEITO!$N$402*EFEITO!$AA$402</f>
        <v>0</v>
      </c>
      <c r="M402" s="76">
        <f ca="1">$J$402-EFEITO!$K$402*EFEITO!$Y$402</f>
        <v>0</v>
      </c>
      <c r="N402" s="76">
        <f>$K$402-EFEITO!$M$402*EFEITO!$Z$402</f>
        <v>0</v>
      </c>
      <c r="O402" s="76">
        <f>$L$402-EFEITO!$O$402*EFEITO!$AA$402</f>
        <v>0</v>
      </c>
      <c r="P402" s="57"/>
      <c r="Q402" s="57"/>
      <c r="R402" s="57"/>
      <c r="S402" s="57"/>
      <c r="T402" s="57"/>
      <c r="U402" s="57"/>
      <c r="V402" s="57"/>
      <c r="W402" s="57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53" t="s">
        <v>28</v>
      </c>
      <c r="B403" s="53" t="s">
        <v>39</v>
      </c>
      <c r="C403" s="53" t="s">
        <v>40</v>
      </c>
      <c r="D403" s="53" t="s">
        <v>38</v>
      </c>
      <c r="E403" s="53" t="s">
        <v>25</v>
      </c>
      <c r="F403" s="53" t="s">
        <v>25</v>
      </c>
      <c r="G403" s="53" t="s">
        <v>25</v>
      </c>
      <c r="H403" s="53" t="s">
        <v>25</v>
      </c>
      <c r="I403" s="75">
        <v>44531</v>
      </c>
      <c r="J403" s="76">
        <f ca="1">EFEITO!$J$403*EFEITO!$Y$403</f>
        <v>40013.898934725294</v>
      </c>
      <c r="K403" s="76">
        <f>EFEITO!$L$403*EFEITO!$Z$403</f>
        <v>0</v>
      </c>
      <c r="L403" s="76">
        <f>EFEITO!$N$403*EFEITO!$AA$403</f>
        <v>0</v>
      </c>
      <c r="M403" s="76">
        <f ca="1">$J$403-EFEITO!$K$403*EFEITO!$Y$403</f>
        <v>0</v>
      </c>
      <c r="N403" s="76">
        <f>$K$403-EFEITO!$M$403*EFEITO!$Z$403</f>
        <v>0</v>
      </c>
      <c r="O403" s="76">
        <f>$L$403-EFEITO!$O$403*EFEITO!$AA$403</f>
        <v>0</v>
      </c>
      <c r="P403" s="57"/>
      <c r="Q403" s="57"/>
      <c r="R403" s="57"/>
      <c r="S403" s="57"/>
      <c r="T403" s="57"/>
      <c r="U403" s="57"/>
      <c r="V403" s="57"/>
      <c r="W403" s="57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53" t="s">
        <v>21</v>
      </c>
      <c r="B404" s="53" t="s">
        <v>39</v>
      </c>
      <c r="C404" s="53" t="s">
        <v>40</v>
      </c>
      <c r="D404" s="53" t="s">
        <v>38</v>
      </c>
      <c r="E404" s="53" t="s">
        <v>25</v>
      </c>
      <c r="F404" s="53" t="s">
        <v>25</v>
      </c>
      <c r="G404" s="53" t="s">
        <v>25</v>
      </c>
      <c r="H404" s="53" t="s">
        <v>25</v>
      </c>
      <c r="I404" s="75">
        <v>44562</v>
      </c>
      <c r="J404" s="76">
        <f ca="1">EFEITO!$J$404*EFEITO!$Y$404</f>
        <v>246880.97974510488</v>
      </c>
      <c r="K404" s="76">
        <f>EFEITO!$L$404*EFEITO!$Z$404</f>
        <v>0</v>
      </c>
      <c r="L404" s="76">
        <f>EFEITO!$N$404*EFEITO!$AA$404</f>
        <v>0</v>
      </c>
      <c r="M404" s="76">
        <f ca="1">$J$404-EFEITO!$K$404*EFEITO!$Y$404</f>
        <v>0</v>
      </c>
      <c r="N404" s="76">
        <f>$K$404-EFEITO!$M$404*EFEITO!$Z$404</f>
        <v>0</v>
      </c>
      <c r="O404" s="76">
        <f>$L$404-EFEITO!$O$404*EFEITO!$AA$404</f>
        <v>0</v>
      </c>
      <c r="P404" s="57"/>
      <c r="Q404" s="57"/>
      <c r="R404" s="57"/>
      <c r="S404" s="57"/>
      <c r="T404" s="57"/>
      <c r="U404" s="57"/>
      <c r="V404" s="57"/>
      <c r="W404" s="57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53" t="s">
        <v>28</v>
      </c>
      <c r="B405" s="53" t="s">
        <v>39</v>
      </c>
      <c r="C405" s="53" t="s">
        <v>40</v>
      </c>
      <c r="D405" s="53" t="s">
        <v>38</v>
      </c>
      <c r="E405" s="53" t="s">
        <v>25</v>
      </c>
      <c r="F405" s="53" t="s">
        <v>25</v>
      </c>
      <c r="G405" s="53" t="s">
        <v>25</v>
      </c>
      <c r="H405" s="53" t="s">
        <v>25</v>
      </c>
      <c r="I405" s="75">
        <v>44562</v>
      </c>
      <c r="J405" s="76">
        <f ca="1">EFEITO!$J$405*EFEITO!$Y$405</f>
        <v>39977.155225877978</v>
      </c>
      <c r="K405" s="76">
        <f>EFEITO!$L$405*EFEITO!$Z$405</f>
        <v>0</v>
      </c>
      <c r="L405" s="76">
        <f>EFEITO!$N$405*EFEITO!$AA$405</f>
        <v>0</v>
      </c>
      <c r="M405" s="76">
        <f ca="1">$J$405-EFEITO!$K$405*EFEITO!$Y$405</f>
        <v>0</v>
      </c>
      <c r="N405" s="76">
        <f>$K$405-EFEITO!$M$405*EFEITO!$Z$405</f>
        <v>0</v>
      </c>
      <c r="O405" s="76">
        <f>$L$405-EFEITO!$O$405*EFEITO!$AA$405</f>
        <v>0</v>
      </c>
      <c r="P405" s="57"/>
      <c r="Q405" s="57"/>
      <c r="R405" s="57"/>
      <c r="S405" s="57"/>
      <c r="T405" s="57"/>
      <c r="U405" s="57"/>
      <c r="V405" s="57"/>
      <c r="W405" s="57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53" t="s">
        <v>21</v>
      </c>
      <c r="B406" s="53" t="s">
        <v>39</v>
      </c>
      <c r="C406" s="53" t="s">
        <v>40</v>
      </c>
      <c r="D406" s="53" t="s">
        <v>38</v>
      </c>
      <c r="E406" s="53" t="s">
        <v>25</v>
      </c>
      <c r="F406" s="53" t="s">
        <v>25</v>
      </c>
      <c r="G406" s="53" t="s">
        <v>25</v>
      </c>
      <c r="H406" s="53" t="s">
        <v>25</v>
      </c>
      <c r="I406" s="75">
        <v>44593</v>
      </c>
      <c r="J406" s="76">
        <f ca="1">EFEITO!$J$406*EFEITO!$Y$406</f>
        <v>251767.8930217977</v>
      </c>
      <c r="K406" s="76">
        <f>EFEITO!$L$406*EFEITO!$Z$406</f>
        <v>0</v>
      </c>
      <c r="L406" s="76">
        <f>EFEITO!$N$406*EFEITO!$AA$406</f>
        <v>0</v>
      </c>
      <c r="M406" s="76">
        <f ca="1">$J$406-EFEITO!$K$406*EFEITO!$Y$406</f>
        <v>0</v>
      </c>
      <c r="N406" s="76">
        <f>$K$406-EFEITO!$M$406*EFEITO!$Z$406</f>
        <v>0</v>
      </c>
      <c r="O406" s="76">
        <f>$L$406-EFEITO!$O$406*EFEITO!$AA$406</f>
        <v>0</v>
      </c>
      <c r="P406" s="57"/>
      <c r="Q406" s="57"/>
      <c r="R406" s="57"/>
      <c r="S406" s="57"/>
      <c r="T406" s="57"/>
      <c r="U406" s="57"/>
      <c r="V406" s="57"/>
      <c r="W406" s="57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53" t="s">
        <v>28</v>
      </c>
      <c r="B407" s="53" t="s">
        <v>39</v>
      </c>
      <c r="C407" s="53" t="s">
        <v>40</v>
      </c>
      <c r="D407" s="53" t="s">
        <v>38</v>
      </c>
      <c r="E407" s="53" t="s">
        <v>25</v>
      </c>
      <c r="F407" s="53" t="s">
        <v>25</v>
      </c>
      <c r="G407" s="53" t="s">
        <v>25</v>
      </c>
      <c r="H407" s="53" t="s">
        <v>25</v>
      </c>
      <c r="I407" s="75">
        <v>44593</v>
      </c>
      <c r="J407" s="76">
        <f ca="1">EFEITO!$J$407*EFEITO!$Y$407</f>
        <v>39076.934359118779</v>
      </c>
      <c r="K407" s="76">
        <f>EFEITO!$L$407*EFEITO!$Z$407</f>
        <v>0</v>
      </c>
      <c r="L407" s="76">
        <f>EFEITO!$N$407*EFEITO!$AA$407</f>
        <v>0</v>
      </c>
      <c r="M407" s="76">
        <f ca="1">$J$407-EFEITO!$K$407*EFEITO!$Y$407</f>
        <v>0</v>
      </c>
      <c r="N407" s="76">
        <f>$K$407-EFEITO!$M$407*EFEITO!$Z$407</f>
        <v>0</v>
      </c>
      <c r="O407" s="76">
        <f>$L$407-EFEITO!$O$407*EFEITO!$AA$407</f>
        <v>0</v>
      </c>
      <c r="P407" s="57"/>
      <c r="Q407" s="57"/>
      <c r="R407" s="57"/>
      <c r="S407" s="57"/>
      <c r="T407" s="57"/>
      <c r="U407" s="57"/>
      <c r="V407" s="57"/>
      <c r="W407" s="57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53" t="s">
        <v>21</v>
      </c>
      <c r="B408" s="53" t="s">
        <v>39</v>
      </c>
      <c r="C408" s="53" t="s">
        <v>40</v>
      </c>
      <c r="D408" s="53" t="s">
        <v>38</v>
      </c>
      <c r="E408" s="53" t="s">
        <v>25</v>
      </c>
      <c r="F408" s="53" t="s">
        <v>25</v>
      </c>
      <c r="G408" s="53" t="s">
        <v>25</v>
      </c>
      <c r="H408" s="53" t="s">
        <v>25</v>
      </c>
      <c r="I408" s="75">
        <v>44621</v>
      </c>
      <c r="J408" s="76">
        <f ca="1">EFEITO!$J$408*EFEITO!$Y$408</f>
        <v>247505.62279550923</v>
      </c>
      <c r="K408" s="76">
        <f>EFEITO!$L$408*EFEITO!$Z$408</f>
        <v>0</v>
      </c>
      <c r="L408" s="76">
        <f>EFEITO!$N$408*EFEITO!$AA$408</f>
        <v>0</v>
      </c>
      <c r="M408" s="76">
        <f ca="1">$J$408-EFEITO!$K$408*EFEITO!$Y$408</f>
        <v>0</v>
      </c>
      <c r="N408" s="76">
        <f>$K$408-EFEITO!$M$408*EFEITO!$Z$408</f>
        <v>0</v>
      </c>
      <c r="O408" s="76">
        <f>$L$408-EFEITO!$O$408*EFEITO!$AA$408</f>
        <v>0</v>
      </c>
      <c r="P408" s="57"/>
      <c r="Q408" s="57"/>
      <c r="R408" s="57"/>
      <c r="S408" s="57"/>
      <c r="T408" s="57"/>
      <c r="U408" s="57"/>
      <c r="V408" s="57"/>
      <c r="W408" s="57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53" t="s">
        <v>27</v>
      </c>
      <c r="B409" s="53" t="s">
        <v>39</v>
      </c>
      <c r="C409" s="53" t="s">
        <v>40</v>
      </c>
      <c r="D409" s="53" t="s">
        <v>38</v>
      </c>
      <c r="E409" s="53" t="s">
        <v>25</v>
      </c>
      <c r="F409" s="53" t="s">
        <v>25</v>
      </c>
      <c r="G409" s="53" t="s">
        <v>25</v>
      </c>
      <c r="H409" s="53" t="s">
        <v>25</v>
      </c>
      <c r="I409" s="75">
        <v>44621</v>
      </c>
      <c r="J409" s="76">
        <f ca="1">EFEITO!$J$409*EFEITO!$Y$409</f>
        <v>-826.73344906457214</v>
      </c>
      <c r="K409" s="76">
        <f>EFEITO!$L$409*EFEITO!$Z$409</f>
        <v>0</v>
      </c>
      <c r="L409" s="76">
        <f>EFEITO!$N$409*EFEITO!$AA$409</f>
        <v>0</v>
      </c>
      <c r="M409" s="76">
        <f ca="1">$J$409-EFEITO!$K$409*EFEITO!$Y$409</f>
        <v>0</v>
      </c>
      <c r="N409" s="76">
        <f>$K$409-EFEITO!$M$409*EFEITO!$Z$409</f>
        <v>0</v>
      </c>
      <c r="O409" s="76">
        <f>$L$409-EFEITO!$O$409*EFEITO!$AA$409</f>
        <v>0</v>
      </c>
      <c r="P409" s="57"/>
      <c r="Q409" s="57"/>
      <c r="R409" s="57"/>
      <c r="S409" s="57"/>
      <c r="T409" s="57"/>
      <c r="U409" s="57"/>
      <c r="V409" s="57"/>
      <c r="W409" s="57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53" t="s">
        <v>28</v>
      </c>
      <c r="B410" s="53" t="s">
        <v>39</v>
      </c>
      <c r="C410" s="53" t="s">
        <v>40</v>
      </c>
      <c r="D410" s="53" t="s">
        <v>38</v>
      </c>
      <c r="E410" s="53" t="s">
        <v>25</v>
      </c>
      <c r="F410" s="53" t="s">
        <v>25</v>
      </c>
      <c r="G410" s="53" t="s">
        <v>25</v>
      </c>
      <c r="H410" s="53" t="s">
        <v>25</v>
      </c>
      <c r="I410" s="75">
        <v>44621</v>
      </c>
      <c r="J410" s="76">
        <f ca="1">EFEITO!$J$410*EFEITO!$Y$410</f>
        <v>39995.527080301632</v>
      </c>
      <c r="K410" s="76">
        <f>EFEITO!$L$410*EFEITO!$Z$410</f>
        <v>0</v>
      </c>
      <c r="L410" s="76">
        <f>EFEITO!$N$410*EFEITO!$AA$410</f>
        <v>0</v>
      </c>
      <c r="M410" s="76">
        <f ca="1">$J$410-EFEITO!$K$410*EFEITO!$Y$410</f>
        <v>0</v>
      </c>
      <c r="N410" s="76">
        <f>$K$410-EFEITO!$M$410*EFEITO!$Z$410</f>
        <v>0</v>
      </c>
      <c r="O410" s="76">
        <f>$L$410-EFEITO!$O$410*EFEITO!$AA$410</f>
        <v>0</v>
      </c>
      <c r="P410" s="57"/>
      <c r="Q410" s="57"/>
      <c r="R410" s="57"/>
      <c r="S410" s="57"/>
      <c r="T410" s="57"/>
      <c r="U410" s="57"/>
      <c r="V410" s="57"/>
      <c r="W410" s="57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53" t="s">
        <v>28</v>
      </c>
      <c r="B411" s="53" t="s">
        <v>39</v>
      </c>
      <c r="C411" s="53" t="s">
        <v>40</v>
      </c>
      <c r="D411" s="53" t="s">
        <v>38</v>
      </c>
      <c r="E411" s="53" t="s">
        <v>25</v>
      </c>
      <c r="F411" s="53" t="s">
        <v>25</v>
      </c>
      <c r="G411" s="53" t="s">
        <v>25</v>
      </c>
      <c r="H411" s="53" t="s">
        <v>25</v>
      </c>
      <c r="I411" s="75">
        <v>44621</v>
      </c>
      <c r="J411" s="76">
        <f ca="1">EFEITO!$J$411*EFEITO!$Y$411</f>
        <v>826.73344906457214</v>
      </c>
      <c r="K411" s="76">
        <f>EFEITO!$L$411*EFEITO!$Z$411</f>
        <v>0</v>
      </c>
      <c r="L411" s="76">
        <f>EFEITO!$N$411*EFEITO!$AA$411</f>
        <v>0</v>
      </c>
      <c r="M411" s="76">
        <f ca="1">$J$411-EFEITO!$K$411*EFEITO!$Y$411</f>
        <v>0</v>
      </c>
      <c r="N411" s="76">
        <f>$K$411-EFEITO!$M$411*EFEITO!$Z$411</f>
        <v>0</v>
      </c>
      <c r="O411" s="76">
        <f>$L$411-EFEITO!$O$411*EFEITO!$AA$411</f>
        <v>0</v>
      </c>
      <c r="P411" s="57"/>
      <c r="Q411" s="57"/>
      <c r="R411" s="57"/>
      <c r="S411" s="57"/>
      <c r="T411" s="57"/>
      <c r="U411" s="57"/>
      <c r="V411" s="57"/>
      <c r="W411" s="57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53" t="s">
        <v>21</v>
      </c>
      <c r="B412" s="53" t="s">
        <v>39</v>
      </c>
      <c r="C412" s="53" t="s">
        <v>40</v>
      </c>
      <c r="D412" s="53" t="s">
        <v>38</v>
      </c>
      <c r="E412" s="53" t="s">
        <v>25</v>
      </c>
      <c r="F412" s="53" t="s">
        <v>25</v>
      </c>
      <c r="G412" s="53" t="s">
        <v>25</v>
      </c>
      <c r="H412" s="53" t="s">
        <v>25</v>
      </c>
      <c r="I412" s="75">
        <v>44652</v>
      </c>
      <c r="J412" s="76">
        <f ca="1">EFEITO!$J$412*EFEITO!$Y$412</f>
        <v>246880.97974510488</v>
      </c>
      <c r="K412" s="76">
        <f>EFEITO!$L$412*EFEITO!$Z$412</f>
        <v>0</v>
      </c>
      <c r="L412" s="76">
        <f>EFEITO!$N$412*EFEITO!$AA$412</f>
        <v>0</v>
      </c>
      <c r="M412" s="76">
        <f ca="1">$J$412-EFEITO!$K$412*EFEITO!$Y$412</f>
        <v>0</v>
      </c>
      <c r="N412" s="76">
        <f>$K$412-EFEITO!$M$412*EFEITO!$Z$412</f>
        <v>0</v>
      </c>
      <c r="O412" s="76">
        <f>$L$412-EFEITO!$O$412*EFEITO!$AA$412</f>
        <v>0</v>
      </c>
      <c r="P412" s="57"/>
      <c r="Q412" s="57"/>
      <c r="R412" s="57"/>
      <c r="S412" s="57"/>
      <c r="T412" s="57"/>
      <c r="U412" s="57"/>
      <c r="V412" s="57"/>
      <c r="W412" s="57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53" t="s">
        <v>28</v>
      </c>
      <c r="B413" s="53" t="s">
        <v>39</v>
      </c>
      <c r="C413" s="53" t="s">
        <v>40</v>
      </c>
      <c r="D413" s="53" t="s">
        <v>38</v>
      </c>
      <c r="E413" s="53" t="s">
        <v>25</v>
      </c>
      <c r="F413" s="53" t="s">
        <v>25</v>
      </c>
      <c r="G413" s="53" t="s">
        <v>25</v>
      </c>
      <c r="H413" s="53" t="s">
        <v>25</v>
      </c>
      <c r="I413" s="75">
        <v>44652</v>
      </c>
      <c r="J413" s="76">
        <f ca="1">EFEITO!$J$413*EFEITO!$Y$413</f>
        <v>39885.295953759691</v>
      </c>
      <c r="K413" s="76">
        <f>EFEITO!$L$413*EFEITO!$Z$413</f>
        <v>0</v>
      </c>
      <c r="L413" s="76">
        <f>EFEITO!$N$413*EFEITO!$AA$413</f>
        <v>0</v>
      </c>
      <c r="M413" s="76">
        <f ca="1">$J$413-EFEITO!$K$413*EFEITO!$Y$413</f>
        <v>0</v>
      </c>
      <c r="N413" s="76">
        <f>$K$413-EFEITO!$M$413*EFEITO!$Z$413</f>
        <v>0</v>
      </c>
      <c r="O413" s="76">
        <f>$L$413-EFEITO!$O$413*EFEITO!$AA$413</f>
        <v>0</v>
      </c>
      <c r="P413" s="57"/>
      <c r="Q413" s="57"/>
      <c r="R413" s="57"/>
      <c r="S413" s="57"/>
      <c r="T413" s="57"/>
      <c r="U413" s="57"/>
      <c r="V413" s="57"/>
      <c r="W413" s="57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53" t="s">
        <v>21</v>
      </c>
      <c r="B414" s="53" t="s">
        <v>39</v>
      </c>
      <c r="C414" s="53" t="s">
        <v>40</v>
      </c>
      <c r="D414" s="53" t="s">
        <v>38</v>
      </c>
      <c r="E414" s="53" t="s">
        <v>25</v>
      </c>
      <c r="F414" s="53" t="s">
        <v>25</v>
      </c>
      <c r="G414" s="53" t="s">
        <v>25</v>
      </c>
      <c r="H414" s="53" t="s">
        <v>25</v>
      </c>
      <c r="I414" s="75">
        <v>44682</v>
      </c>
      <c r="J414" s="76">
        <f ca="1">EFEITO!$J$414*EFEITO!$Y$414</f>
        <v>238687.13267215379</v>
      </c>
      <c r="K414" s="76">
        <f>EFEITO!$L$414*EFEITO!$Z$414</f>
        <v>0</v>
      </c>
      <c r="L414" s="76">
        <f>EFEITO!$N$414*EFEITO!$AA$414</f>
        <v>0</v>
      </c>
      <c r="M414" s="76">
        <f ca="1">$J$414-EFEITO!$K$414*EFEITO!$Y$414</f>
        <v>0</v>
      </c>
      <c r="N414" s="76">
        <f>$K$414-EFEITO!$M$414*EFEITO!$Z$414</f>
        <v>0</v>
      </c>
      <c r="O414" s="76">
        <f>$L$414-EFEITO!$O$414*EFEITO!$AA$414</f>
        <v>0</v>
      </c>
      <c r="P414" s="57"/>
      <c r="Q414" s="57"/>
      <c r="R414" s="57"/>
      <c r="S414" s="57"/>
      <c r="T414" s="57"/>
      <c r="U414" s="57"/>
      <c r="V414" s="57"/>
      <c r="W414" s="57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53" t="s">
        <v>28</v>
      </c>
      <c r="B415" s="53" t="s">
        <v>39</v>
      </c>
      <c r="C415" s="53" t="s">
        <v>40</v>
      </c>
      <c r="D415" s="53" t="s">
        <v>38</v>
      </c>
      <c r="E415" s="53" t="s">
        <v>25</v>
      </c>
      <c r="F415" s="53" t="s">
        <v>25</v>
      </c>
      <c r="G415" s="53" t="s">
        <v>25</v>
      </c>
      <c r="H415" s="53" t="s">
        <v>25</v>
      </c>
      <c r="I415" s="75">
        <v>44682</v>
      </c>
      <c r="J415" s="76">
        <f ca="1">EFEITO!$J$415*EFEITO!$Y$415</f>
        <v>39885.295953759691</v>
      </c>
      <c r="K415" s="76">
        <f>EFEITO!$L$415*EFEITO!$Z$415</f>
        <v>0</v>
      </c>
      <c r="L415" s="76">
        <f>EFEITO!$N$415*EFEITO!$AA$415</f>
        <v>0</v>
      </c>
      <c r="M415" s="76">
        <f ca="1">$J$415-EFEITO!$K$415*EFEITO!$Y$415</f>
        <v>0</v>
      </c>
      <c r="N415" s="76">
        <f>$K$415-EFEITO!$M$415*EFEITO!$Z$415</f>
        <v>0</v>
      </c>
      <c r="O415" s="76">
        <f>$L$415-EFEITO!$O$415*EFEITO!$AA$415</f>
        <v>0</v>
      </c>
      <c r="P415" s="57"/>
      <c r="Q415" s="57"/>
      <c r="R415" s="57"/>
      <c r="S415" s="57"/>
      <c r="T415" s="57"/>
      <c r="U415" s="57"/>
      <c r="V415" s="57"/>
      <c r="W415" s="57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53" t="s">
        <v>21</v>
      </c>
      <c r="B416" s="53" t="s">
        <v>39</v>
      </c>
      <c r="C416" s="53" t="s">
        <v>40</v>
      </c>
      <c r="D416" s="53" t="s">
        <v>38</v>
      </c>
      <c r="E416" s="53" t="s">
        <v>25</v>
      </c>
      <c r="F416" s="53" t="s">
        <v>25</v>
      </c>
      <c r="G416" s="53" t="s">
        <v>25</v>
      </c>
      <c r="H416" s="53" t="s">
        <v>25</v>
      </c>
      <c r="I416" s="75">
        <v>44713</v>
      </c>
      <c r="J416" s="76">
        <f ca="1">EFEITO!$J$416*EFEITO!$Y$416</f>
        <v>224871.49814556362</v>
      </c>
      <c r="K416" s="76">
        <f>EFEITO!$L$416*EFEITO!$Z$416</f>
        <v>0</v>
      </c>
      <c r="L416" s="76">
        <f>EFEITO!$N$416*EFEITO!$AA$416</f>
        <v>0</v>
      </c>
      <c r="M416" s="76">
        <f ca="1">$J$416-EFEITO!$K$416*EFEITO!$Y$416</f>
        <v>0</v>
      </c>
      <c r="N416" s="76">
        <f>$K$416-EFEITO!$M$416*EFEITO!$Z$416</f>
        <v>0</v>
      </c>
      <c r="O416" s="76">
        <f>$L$416-EFEITO!$O$416*EFEITO!$AA$416</f>
        <v>0</v>
      </c>
      <c r="P416" s="57"/>
      <c r="Q416" s="57"/>
      <c r="R416" s="57"/>
      <c r="S416" s="57"/>
      <c r="T416" s="57"/>
      <c r="U416" s="57"/>
      <c r="V416" s="57"/>
      <c r="W416" s="57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53" t="s">
        <v>28</v>
      </c>
      <c r="B417" s="53" t="s">
        <v>39</v>
      </c>
      <c r="C417" s="53" t="s">
        <v>40</v>
      </c>
      <c r="D417" s="53" t="s">
        <v>38</v>
      </c>
      <c r="E417" s="53" t="s">
        <v>25</v>
      </c>
      <c r="F417" s="53" t="s">
        <v>25</v>
      </c>
      <c r="G417" s="53" t="s">
        <v>25</v>
      </c>
      <c r="H417" s="53" t="s">
        <v>25</v>
      </c>
      <c r="I417" s="75">
        <v>44713</v>
      </c>
      <c r="J417" s="76">
        <f ca="1">EFEITO!$J$417*EFEITO!$Y$417</f>
        <v>41704.10954170175</v>
      </c>
      <c r="K417" s="76">
        <f>EFEITO!$L$417*EFEITO!$Z$417</f>
        <v>0</v>
      </c>
      <c r="L417" s="76">
        <f>EFEITO!$N$417*EFEITO!$AA$417</f>
        <v>0</v>
      </c>
      <c r="M417" s="76">
        <f ca="1">$J$417-EFEITO!$K$417*EFEITO!$Y$417</f>
        <v>0</v>
      </c>
      <c r="N417" s="76">
        <f>$K$417-EFEITO!$M$417*EFEITO!$Z$417</f>
        <v>0</v>
      </c>
      <c r="O417" s="76">
        <f>$L$417-EFEITO!$O$417*EFEITO!$AA$417</f>
        <v>0</v>
      </c>
      <c r="P417" s="57"/>
      <c r="Q417" s="57"/>
      <c r="R417" s="57"/>
      <c r="S417" s="57"/>
      <c r="T417" s="57"/>
      <c r="U417" s="57"/>
      <c r="V417" s="57"/>
      <c r="W417" s="57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53" t="s">
        <v>21</v>
      </c>
      <c r="B418" s="53" t="s">
        <v>39</v>
      </c>
      <c r="C418" s="53" t="s">
        <v>40</v>
      </c>
      <c r="D418" s="53" t="s">
        <v>38</v>
      </c>
      <c r="E418" s="53" t="s">
        <v>25</v>
      </c>
      <c r="F418" s="53" t="s">
        <v>25</v>
      </c>
      <c r="G418" s="53" t="s">
        <v>25</v>
      </c>
      <c r="H418" s="53" t="s">
        <v>25</v>
      </c>
      <c r="I418" s="75">
        <v>44743</v>
      </c>
      <c r="J418" s="76">
        <f ca="1">EFEITO!$J$418*EFEITO!$Y$418</f>
        <v>227388.44220160466</v>
      </c>
      <c r="K418" s="76">
        <f>EFEITO!$L$418*EFEITO!$Z$418</f>
        <v>0</v>
      </c>
      <c r="L418" s="76">
        <f>EFEITO!$N$418*EFEITO!$AA$418</f>
        <v>0</v>
      </c>
      <c r="M418" s="76">
        <f ca="1">$J$418-EFEITO!$K$418*EFEITO!$Y$418</f>
        <v>0</v>
      </c>
      <c r="N418" s="76">
        <f>$K$418-EFEITO!$M$418*EFEITO!$Z$418</f>
        <v>0</v>
      </c>
      <c r="O418" s="76">
        <f>$L$418-EFEITO!$O$418*EFEITO!$AA$418</f>
        <v>0</v>
      </c>
      <c r="P418" s="57"/>
      <c r="Q418" s="57"/>
      <c r="R418" s="57"/>
      <c r="S418" s="57"/>
      <c r="T418" s="57"/>
      <c r="U418" s="57"/>
      <c r="V418" s="57"/>
      <c r="W418" s="57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53" t="s">
        <v>28</v>
      </c>
      <c r="B419" s="53" t="s">
        <v>39</v>
      </c>
      <c r="C419" s="53" t="s">
        <v>40</v>
      </c>
      <c r="D419" s="53" t="s">
        <v>38</v>
      </c>
      <c r="E419" s="53" t="s">
        <v>25</v>
      </c>
      <c r="F419" s="53" t="s">
        <v>25</v>
      </c>
      <c r="G419" s="53" t="s">
        <v>25</v>
      </c>
      <c r="H419" s="53" t="s">
        <v>25</v>
      </c>
      <c r="I419" s="75">
        <v>44743</v>
      </c>
      <c r="J419" s="76">
        <f ca="1">EFEITO!$J$419*EFEITO!$Y$419</f>
        <v>40969.235364755463</v>
      </c>
      <c r="K419" s="76">
        <f>EFEITO!$L$419*EFEITO!$Z$419</f>
        <v>0</v>
      </c>
      <c r="L419" s="76">
        <f>EFEITO!$N$419*EFEITO!$AA$419</f>
        <v>0</v>
      </c>
      <c r="M419" s="76">
        <f ca="1">$J$419-EFEITO!$K$419*EFEITO!$Y$419</f>
        <v>0</v>
      </c>
      <c r="N419" s="76">
        <f>$K$419-EFEITO!$M$419*EFEITO!$Z$419</f>
        <v>0</v>
      </c>
      <c r="O419" s="76">
        <f>$L$419-EFEITO!$O$419*EFEITO!$AA$419</f>
        <v>0</v>
      </c>
      <c r="P419" s="57"/>
      <c r="Q419" s="57"/>
      <c r="R419" s="57"/>
      <c r="S419" s="57"/>
      <c r="T419" s="57"/>
      <c r="U419" s="57"/>
      <c r="V419" s="57"/>
      <c r="W419" s="57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53" t="s">
        <v>56</v>
      </c>
      <c r="B420" s="53" t="s">
        <v>39</v>
      </c>
      <c r="C420" s="53" t="s">
        <v>40</v>
      </c>
      <c r="D420" s="53" t="s">
        <v>38</v>
      </c>
      <c r="E420" s="53" t="s">
        <v>25</v>
      </c>
      <c r="F420" s="53" t="s">
        <v>25</v>
      </c>
      <c r="G420" s="53" t="s">
        <v>25</v>
      </c>
      <c r="H420" s="53" t="s">
        <v>25</v>
      </c>
      <c r="I420" s="75">
        <v>44774</v>
      </c>
      <c r="J420" s="76">
        <f ca="1">EFEITO!$J$420*EFEITO!$Y$420</f>
        <v>227388.44220160466</v>
      </c>
      <c r="K420" s="76">
        <f>EFEITO!$L$420*EFEITO!$Z$420</f>
        <v>0</v>
      </c>
      <c r="L420" s="76">
        <f>EFEITO!$N$420*EFEITO!$AA$420</f>
        <v>0</v>
      </c>
      <c r="M420" s="76">
        <f ca="1">$J$420-EFEITO!$K$420*EFEITO!$Y$420</f>
        <v>0</v>
      </c>
      <c r="N420" s="76">
        <f>$K$420-EFEITO!$M$420*EFEITO!$Z$420</f>
        <v>0</v>
      </c>
      <c r="O420" s="76">
        <f>$L$420-EFEITO!$O$420*EFEITO!$AA$420</f>
        <v>0</v>
      </c>
      <c r="P420" s="57"/>
      <c r="Q420" s="57"/>
      <c r="R420" s="57"/>
      <c r="S420" s="57"/>
      <c r="T420" s="57"/>
      <c r="U420" s="57"/>
      <c r="V420" s="57"/>
      <c r="W420" s="57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53" t="s">
        <v>56</v>
      </c>
      <c r="B421" s="53" t="s">
        <v>39</v>
      </c>
      <c r="C421" s="53" t="s">
        <v>40</v>
      </c>
      <c r="D421" s="53" t="s">
        <v>38</v>
      </c>
      <c r="E421" s="53" t="s">
        <v>25</v>
      </c>
      <c r="F421" s="53" t="s">
        <v>25</v>
      </c>
      <c r="G421" s="53" t="s">
        <v>25</v>
      </c>
      <c r="H421" s="53" t="s">
        <v>25</v>
      </c>
      <c r="I421" s="75">
        <v>44774</v>
      </c>
      <c r="J421" s="76">
        <f ca="1">EFEITO!$J$421*EFEITO!$Y$421</f>
        <v>40969.235364755463</v>
      </c>
      <c r="K421" s="76">
        <f>EFEITO!$L$421*EFEITO!$Z$421</f>
        <v>0</v>
      </c>
      <c r="L421" s="76">
        <f>EFEITO!$N$421*EFEITO!$AA$421</f>
        <v>0</v>
      </c>
      <c r="M421" s="76">
        <f ca="1">$J$421-EFEITO!$K$421*EFEITO!$Y$421</f>
        <v>0</v>
      </c>
      <c r="N421" s="76">
        <f>$K$421-EFEITO!$M$421*EFEITO!$Z$421</f>
        <v>0</v>
      </c>
      <c r="O421" s="76">
        <f>$L$421-EFEITO!$O$421*EFEITO!$AA$421</f>
        <v>0</v>
      </c>
      <c r="P421" s="57"/>
      <c r="Q421" s="57"/>
      <c r="R421" s="57"/>
      <c r="S421" s="57"/>
      <c r="T421" s="57"/>
      <c r="U421" s="57"/>
      <c r="V421" s="57"/>
      <c r="W421" s="57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53" t="s">
        <v>21</v>
      </c>
      <c r="B422" s="53" t="s">
        <v>39</v>
      </c>
      <c r="C422" s="53" t="s">
        <v>40</v>
      </c>
      <c r="D422" s="53" t="s">
        <v>38</v>
      </c>
      <c r="E422" s="53" t="s">
        <v>25</v>
      </c>
      <c r="F422" s="53" t="s">
        <v>25</v>
      </c>
      <c r="G422" s="53" t="s">
        <v>25</v>
      </c>
      <c r="H422" s="53" t="s">
        <v>34</v>
      </c>
      <c r="I422" s="75">
        <v>44440</v>
      </c>
      <c r="J422" s="76">
        <f>EFEITO!$J$422*EFEITO!$Y$422</f>
        <v>0</v>
      </c>
      <c r="K422" s="76">
        <f ca="1">EFEITO!$L$422*EFEITO!$Z$422</f>
        <v>81919.212980021155</v>
      </c>
      <c r="L422" s="76">
        <f>EFEITO!$N$422*EFEITO!$AA$422</f>
        <v>25980.760211051856</v>
      </c>
      <c r="M422" s="76">
        <f>$J$422-EFEITO!$K$422*EFEITO!$Y$422</f>
        <v>0</v>
      </c>
      <c r="N422" s="76">
        <f ca="1">$K$422-EFEITO!$M$422*EFEITO!$Z$422</f>
        <v>0</v>
      </c>
      <c r="O422" s="76">
        <f>$L$422-EFEITO!$O$422*EFEITO!$AA$422</f>
        <v>0</v>
      </c>
      <c r="P422" s="57"/>
      <c r="Q422" s="57"/>
      <c r="R422" s="57"/>
      <c r="S422" s="57"/>
      <c r="T422" s="57"/>
      <c r="U422" s="57"/>
      <c r="V422" s="57"/>
      <c r="W422" s="57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53" t="s">
        <v>28</v>
      </c>
      <c r="B423" s="53" t="s">
        <v>39</v>
      </c>
      <c r="C423" s="53" t="s">
        <v>40</v>
      </c>
      <c r="D423" s="53" t="s">
        <v>38</v>
      </c>
      <c r="E423" s="53" t="s">
        <v>25</v>
      </c>
      <c r="F423" s="53" t="s">
        <v>25</v>
      </c>
      <c r="G423" s="53" t="s">
        <v>25</v>
      </c>
      <c r="H423" s="53" t="s">
        <v>34</v>
      </c>
      <c r="I423" s="75">
        <v>44440</v>
      </c>
      <c r="J423" s="76">
        <f>EFEITO!$J$423*EFEITO!$Y$423</f>
        <v>0</v>
      </c>
      <c r="K423" s="76">
        <f ca="1">EFEITO!$L$423*EFEITO!$Z$423</f>
        <v>9882.9451476308441</v>
      </c>
      <c r="L423" s="76">
        <f>EFEITO!$N$423*EFEITO!$AA$423</f>
        <v>3134.3859238759633</v>
      </c>
      <c r="M423" s="76">
        <f>$J$423-EFEITO!$K$423*EFEITO!$Y$423</f>
        <v>0</v>
      </c>
      <c r="N423" s="76">
        <f ca="1">$K$423-EFEITO!$M$423*EFEITO!$Z$423</f>
        <v>0</v>
      </c>
      <c r="O423" s="76">
        <f>$L$423-EFEITO!$O$423*EFEITO!$AA$423</f>
        <v>0</v>
      </c>
      <c r="P423" s="57"/>
      <c r="Q423" s="57"/>
      <c r="R423" s="57"/>
      <c r="S423" s="57"/>
      <c r="T423" s="57"/>
      <c r="U423" s="57"/>
      <c r="V423" s="57"/>
      <c r="W423" s="57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53" t="s">
        <v>21</v>
      </c>
      <c r="B424" s="53" t="s">
        <v>39</v>
      </c>
      <c r="C424" s="53" t="s">
        <v>40</v>
      </c>
      <c r="D424" s="53" t="s">
        <v>38</v>
      </c>
      <c r="E424" s="53" t="s">
        <v>25</v>
      </c>
      <c r="F424" s="53" t="s">
        <v>25</v>
      </c>
      <c r="G424" s="53" t="s">
        <v>25</v>
      </c>
      <c r="H424" s="53" t="s">
        <v>34</v>
      </c>
      <c r="I424" s="75">
        <v>44470</v>
      </c>
      <c r="J424" s="76">
        <f>EFEITO!$J$424*EFEITO!$Y$424</f>
        <v>0</v>
      </c>
      <c r="K424" s="76">
        <f ca="1">EFEITO!$L$424*EFEITO!$Z$424</f>
        <v>90192.023985633714</v>
      </c>
      <c r="L424" s="76">
        <f>EFEITO!$N$424*EFEITO!$AA$424</f>
        <v>28604.490483711939</v>
      </c>
      <c r="M424" s="76">
        <f>$J$424-EFEITO!$K$424*EFEITO!$Y$424</f>
        <v>0</v>
      </c>
      <c r="N424" s="76">
        <f ca="1">$K$424-EFEITO!$M$424*EFEITO!$Z$424</f>
        <v>0</v>
      </c>
      <c r="O424" s="76">
        <f>$L$424-EFEITO!$O$424*EFEITO!$AA$424</f>
        <v>0</v>
      </c>
      <c r="P424" s="57"/>
      <c r="Q424" s="57"/>
      <c r="R424" s="57"/>
      <c r="S424" s="57"/>
      <c r="T424" s="57"/>
      <c r="U424" s="57"/>
      <c r="V424" s="57"/>
      <c r="W424" s="57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53" t="s">
        <v>28</v>
      </c>
      <c r="B425" s="53" t="s">
        <v>39</v>
      </c>
      <c r="C425" s="53" t="s">
        <v>40</v>
      </c>
      <c r="D425" s="53" t="s">
        <v>38</v>
      </c>
      <c r="E425" s="53" t="s">
        <v>25</v>
      </c>
      <c r="F425" s="53" t="s">
        <v>25</v>
      </c>
      <c r="G425" s="53" t="s">
        <v>25</v>
      </c>
      <c r="H425" s="53" t="s">
        <v>34</v>
      </c>
      <c r="I425" s="75">
        <v>44470</v>
      </c>
      <c r="J425" s="76">
        <f>EFEITO!$J$425*EFEITO!$Y$425</f>
        <v>0</v>
      </c>
      <c r="K425" s="76">
        <f ca="1">EFEITO!$L$425*EFEITO!$Z$425</f>
        <v>9316.1043935425769</v>
      </c>
      <c r="L425" s="76">
        <f>EFEITO!$N$425*EFEITO!$AA$425</f>
        <v>2954.6118126011061</v>
      </c>
      <c r="M425" s="76">
        <f>$J$425-EFEITO!$K$425*EFEITO!$Y$425</f>
        <v>0</v>
      </c>
      <c r="N425" s="76">
        <f ca="1">$K$425-EFEITO!$M$425*EFEITO!$Z$425</f>
        <v>0</v>
      </c>
      <c r="O425" s="76">
        <f>$L$425-EFEITO!$O$425*EFEITO!$AA$425</f>
        <v>0</v>
      </c>
      <c r="P425" s="57"/>
      <c r="Q425" s="57"/>
      <c r="R425" s="57"/>
      <c r="S425" s="57"/>
      <c r="T425" s="57"/>
      <c r="U425" s="57"/>
      <c r="V425" s="57"/>
      <c r="W425" s="57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53" t="s">
        <v>21</v>
      </c>
      <c r="B426" s="53" t="s">
        <v>39</v>
      </c>
      <c r="C426" s="53" t="s">
        <v>40</v>
      </c>
      <c r="D426" s="53" t="s">
        <v>38</v>
      </c>
      <c r="E426" s="53" t="s">
        <v>25</v>
      </c>
      <c r="F426" s="53" t="s">
        <v>25</v>
      </c>
      <c r="G426" s="53" t="s">
        <v>25</v>
      </c>
      <c r="H426" s="53" t="s">
        <v>34</v>
      </c>
      <c r="I426" s="75">
        <v>44501</v>
      </c>
      <c r="J426" s="76">
        <f>EFEITO!$J$426*EFEITO!$Y$426</f>
        <v>0</v>
      </c>
      <c r="K426" s="76">
        <f ca="1">EFEITO!$L$426*EFEITO!$Z$426</f>
        <v>95538.711098520347</v>
      </c>
      <c r="L426" s="76">
        <f>EFEITO!$N$426*EFEITO!$AA$426</f>
        <v>30300.197641412626</v>
      </c>
      <c r="M426" s="76">
        <f>$J$426-EFEITO!$K$426*EFEITO!$Y$426</f>
        <v>0</v>
      </c>
      <c r="N426" s="76">
        <f ca="1">$K$426-EFEITO!$M$426*EFEITO!$Z$426</f>
        <v>0</v>
      </c>
      <c r="O426" s="76">
        <f>$L$426-EFEITO!$O$426*EFEITO!$AA$426</f>
        <v>0</v>
      </c>
      <c r="P426" s="57"/>
      <c r="Q426" s="57"/>
      <c r="R426" s="57"/>
      <c r="S426" s="57"/>
      <c r="T426" s="57"/>
      <c r="U426" s="57"/>
      <c r="V426" s="57"/>
      <c r="W426" s="57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53" t="s">
        <v>27</v>
      </c>
      <c r="B427" s="53" t="s">
        <v>39</v>
      </c>
      <c r="C427" s="53" t="s">
        <v>40</v>
      </c>
      <c r="D427" s="53" t="s">
        <v>38</v>
      </c>
      <c r="E427" s="53" t="s">
        <v>25</v>
      </c>
      <c r="F427" s="53" t="s">
        <v>25</v>
      </c>
      <c r="G427" s="53" t="s">
        <v>25</v>
      </c>
      <c r="H427" s="53" t="s">
        <v>34</v>
      </c>
      <c r="I427" s="75">
        <v>44501</v>
      </c>
      <c r="J427" s="76">
        <f>EFEITO!$J$427*EFEITO!$Y$427</f>
        <v>0</v>
      </c>
      <c r="K427" s="76">
        <f ca="1">EFEITO!$L$427*EFEITO!$Z$427</f>
        <v>652.63286822054556</v>
      </c>
      <c r="L427" s="76">
        <f>EFEITO!$N$427*EFEITO!$AA$427</f>
        <v>206.98316595429552</v>
      </c>
      <c r="M427" s="76">
        <f>$J$427-EFEITO!$K$427*EFEITO!$Y$427</f>
        <v>0</v>
      </c>
      <c r="N427" s="76">
        <f ca="1">$K$427-EFEITO!$M$427*EFEITO!$Z$427</f>
        <v>0</v>
      </c>
      <c r="O427" s="76">
        <f>$L$427-EFEITO!$O$427*EFEITO!$AA$427</f>
        <v>0</v>
      </c>
      <c r="P427" s="57"/>
      <c r="Q427" s="57"/>
      <c r="R427" s="57"/>
      <c r="S427" s="57"/>
      <c r="T427" s="57"/>
      <c r="U427" s="57"/>
      <c r="V427" s="57"/>
      <c r="W427" s="57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53" t="s">
        <v>28</v>
      </c>
      <c r="B428" s="53" t="s">
        <v>39</v>
      </c>
      <c r="C428" s="53" t="s">
        <v>40</v>
      </c>
      <c r="D428" s="53" t="s">
        <v>38</v>
      </c>
      <c r="E428" s="53" t="s">
        <v>25</v>
      </c>
      <c r="F428" s="53" t="s">
        <v>25</v>
      </c>
      <c r="G428" s="53" t="s">
        <v>25</v>
      </c>
      <c r="H428" s="53" t="s">
        <v>34</v>
      </c>
      <c r="I428" s="75">
        <v>44501</v>
      </c>
      <c r="J428" s="76">
        <f>EFEITO!$J$428*EFEITO!$Y$428</f>
        <v>0</v>
      </c>
      <c r="K428" s="76">
        <f ca="1">EFEITO!$L$428*EFEITO!$Z$428</f>
        <v>8021.5626713680203</v>
      </c>
      <c r="L428" s="76">
        <f>EFEITO!$N$428*EFEITO!$AA$428</f>
        <v>2544.0466125274443</v>
      </c>
      <c r="M428" s="76">
        <f>$J$428-EFEITO!$K$428*EFEITO!$Y$428</f>
        <v>0</v>
      </c>
      <c r="N428" s="76">
        <f ca="1">$K$428-EFEITO!$M$428*EFEITO!$Z$428</f>
        <v>0</v>
      </c>
      <c r="O428" s="76">
        <f>$L$428-EFEITO!$O$428*EFEITO!$AA$428</f>
        <v>0</v>
      </c>
      <c r="P428" s="57"/>
      <c r="Q428" s="57"/>
      <c r="R428" s="57"/>
      <c r="S428" s="57"/>
      <c r="T428" s="57"/>
      <c r="U428" s="57"/>
      <c r="V428" s="57"/>
      <c r="W428" s="57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53" t="s">
        <v>21</v>
      </c>
      <c r="B429" s="53" t="s">
        <v>39</v>
      </c>
      <c r="C429" s="53" t="s">
        <v>40</v>
      </c>
      <c r="D429" s="53" t="s">
        <v>38</v>
      </c>
      <c r="E429" s="53" t="s">
        <v>25</v>
      </c>
      <c r="F429" s="53" t="s">
        <v>25</v>
      </c>
      <c r="G429" s="53" t="s">
        <v>25</v>
      </c>
      <c r="H429" s="53" t="s">
        <v>34</v>
      </c>
      <c r="I429" s="75">
        <v>44531</v>
      </c>
      <c r="J429" s="76">
        <f>EFEITO!$J$429*EFEITO!$Y$429</f>
        <v>0</v>
      </c>
      <c r="K429" s="76">
        <f ca="1">EFEITO!$L$429*EFEITO!$Z$429</f>
        <v>83792.851472588591</v>
      </c>
      <c r="L429" s="76">
        <f>EFEITO!$N$429*EFEITO!$AA$429</f>
        <v>26574.986530211721</v>
      </c>
      <c r="M429" s="76">
        <f>$J$429-EFEITO!$K$429*EFEITO!$Y$429</f>
        <v>0</v>
      </c>
      <c r="N429" s="76">
        <f ca="1">$K$429-EFEITO!$M$429*EFEITO!$Z$429</f>
        <v>0</v>
      </c>
      <c r="O429" s="76">
        <f>$L$429-EFEITO!$O$429*EFEITO!$AA$429</f>
        <v>0</v>
      </c>
      <c r="P429" s="57"/>
      <c r="Q429" s="57"/>
      <c r="R429" s="57"/>
      <c r="S429" s="57"/>
      <c r="T429" s="57"/>
      <c r="U429" s="57"/>
      <c r="V429" s="57"/>
      <c r="W429" s="57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53" t="s">
        <v>28</v>
      </c>
      <c r="B430" s="53" t="s">
        <v>39</v>
      </c>
      <c r="C430" s="53" t="s">
        <v>40</v>
      </c>
      <c r="D430" s="53" t="s">
        <v>38</v>
      </c>
      <c r="E430" s="53" t="s">
        <v>25</v>
      </c>
      <c r="F430" s="53" t="s">
        <v>25</v>
      </c>
      <c r="G430" s="53" t="s">
        <v>25</v>
      </c>
      <c r="H430" s="53" t="s">
        <v>34</v>
      </c>
      <c r="I430" s="75">
        <v>44531</v>
      </c>
      <c r="J430" s="76">
        <f>EFEITO!$J$430*EFEITO!$Y$430</f>
        <v>0</v>
      </c>
      <c r="K430" s="76">
        <f ca="1">EFEITO!$L$430*EFEITO!$Z$430</f>
        <v>7296.9257073578838</v>
      </c>
      <c r="L430" s="76">
        <f>EFEITO!$N$430*EFEITO!$AA$430</f>
        <v>2314.2272756814777</v>
      </c>
      <c r="M430" s="76">
        <f>$J$430-EFEITO!$K$430*EFEITO!$Y$430</f>
        <v>0</v>
      </c>
      <c r="N430" s="76">
        <f ca="1">$K$430-EFEITO!$M$430*EFEITO!$Z$430</f>
        <v>0</v>
      </c>
      <c r="O430" s="76">
        <f>$L$430-EFEITO!$O$430*EFEITO!$AA$430</f>
        <v>0</v>
      </c>
      <c r="P430" s="57"/>
      <c r="Q430" s="57"/>
      <c r="R430" s="57"/>
      <c r="S430" s="57"/>
      <c r="T430" s="57"/>
      <c r="U430" s="57"/>
      <c r="V430" s="57"/>
      <c r="W430" s="57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53" t="s">
        <v>21</v>
      </c>
      <c r="B431" s="53" t="s">
        <v>39</v>
      </c>
      <c r="C431" s="53" t="s">
        <v>40</v>
      </c>
      <c r="D431" s="53" t="s">
        <v>38</v>
      </c>
      <c r="E431" s="53" t="s">
        <v>25</v>
      </c>
      <c r="F431" s="53" t="s">
        <v>25</v>
      </c>
      <c r="G431" s="53" t="s">
        <v>25</v>
      </c>
      <c r="H431" s="53" t="s">
        <v>34</v>
      </c>
      <c r="I431" s="75">
        <v>44562</v>
      </c>
      <c r="J431" s="76">
        <f>EFEITO!$J$431*EFEITO!$Y$431</f>
        <v>0</v>
      </c>
      <c r="K431" s="76">
        <f ca="1">EFEITO!$L$431*EFEITO!$Z$431</f>
        <v>57807.032902736726</v>
      </c>
      <c r="L431" s="76">
        <f>EFEITO!$N$431*EFEITO!$AA$431</f>
        <v>18333.558218200546</v>
      </c>
      <c r="M431" s="76">
        <f>$J$431-EFEITO!$K$431*EFEITO!$Y$431</f>
        <v>0</v>
      </c>
      <c r="N431" s="76">
        <f ca="1">$K$431-EFEITO!$M$431*EFEITO!$Z$431</f>
        <v>0</v>
      </c>
      <c r="O431" s="76">
        <f>$L$431-EFEITO!$O$431*EFEITO!$AA$431</f>
        <v>0</v>
      </c>
      <c r="P431" s="57"/>
      <c r="Q431" s="57"/>
      <c r="R431" s="57"/>
      <c r="S431" s="57"/>
      <c r="T431" s="57"/>
      <c r="U431" s="57"/>
      <c r="V431" s="57"/>
      <c r="W431" s="57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53" t="s">
        <v>28</v>
      </c>
      <c r="B432" s="53" t="s">
        <v>39</v>
      </c>
      <c r="C432" s="53" t="s">
        <v>40</v>
      </c>
      <c r="D432" s="53" t="s">
        <v>38</v>
      </c>
      <c r="E432" s="53" t="s">
        <v>25</v>
      </c>
      <c r="F432" s="53" t="s">
        <v>25</v>
      </c>
      <c r="G432" s="53" t="s">
        <v>25</v>
      </c>
      <c r="H432" s="53" t="s">
        <v>34</v>
      </c>
      <c r="I432" s="75">
        <v>44562</v>
      </c>
      <c r="J432" s="76">
        <f>EFEITO!$J$432*EFEITO!$Y$432</f>
        <v>0</v>
      </c>
      <c r="K432" s="76">
        <f ca="1">EFEITO!$L$432*EFEITO!$Z$432</f>
        <v>6115.7521360009814</v>
      </c>
      <c r="L432" s="76">
        <f>EFEITO!$N$432*EFEITO!$AA$432</f>
        <v>1939.6168978627882</v>
      </c>
      <c r="M432" s="76">
        <f>$J$432-EFEITO!$K$432*EFEITO!$Y$432</f>
        <v>0</v>
      </c>
      <c r="N432" s="76">
        <f ca="1">$K$432-EFEITO!$M$432*EFEITO!$Z$432</f>
        <v>0</v>
      </c>
      <c r="O432" s="76">
        <f>$L$432-EFEITO!$O$432*EFEITO!$AA$432</f>
        <v>0</v>
      </c>
      <c r="P432" s="57"/>
      <c r="Q432" s="57"/>
      <c r="R432" s="57"/>
      <c r="S432" s="57"/>
      <c r="T432" s="57"/>
      <c r="U432" s="57"/>
      <c r="V432" s="57"/>
      <c r="W432" s="57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53" t="s">
        <v>21</v>
      </c>
      <c r="B433" s="53" t="s">
        <v>39</v>
      </c>
      <c r="C433" s="53" t="s">
        <v>40</v>
      </c>
      <c r="D433" s="53" t="s">
        <v>38</v>
      </c>
      <c r="E433" s="53" t="s">
        <v>25</v>
      </c>
      <c r="F433" s="53" t="s">
        <v>25</v>
      </c>
      <c r="G433" s="53" t="s">
        <v>25</v>
      </c>
      <c r="H433" s="53" t="s">
        <v>34</v>
      </c>
      <c r="I433" s="75">
        <v>44593</v>
      </c>
      <c r="J433" s="76">
        <f>EFEITO!$J$433*EFEITO!$Y$433</f>
        <v>0</v>
      </c>
      <c r="K433" s="76">
        <f ca="1">EFEITO!$L$433*EFEITO!$Z$433</f>
        <v>66072.183898158895</v>
      </c>
      <c r="L433" s="76">
        <f>EFEITO!$N$433*EFEITO!$AA$433</f>
        <v>20954.859110978538</v>
      </c>
      <c r="M433" s="76">
        <f>$J$433-EFEITO!$K$433*EFEITO!$Y$433</f>
        <v>0</v>
      </c>
      <c r="N433" s="76">
        <f ca="1">$K$433-EFEITO!$M$433*EFEITO!$Z$433</f>
        <v>0</v>
      </c>
      <c r="O433" s="76">
        <f>$L$433-EFEITO!$O$433*EFEITO!$AA$433</f>
        <v>0</v>
      </c>
      <c r="P433" s="57"/>
      <c r="Q433" s="57"/>
      <c r="R433" s="57"/>
      <c r="S433" s="57"/>
      <c r="T433" s="57"/>
      <c r="U433" s="57"/>
      <c r="V433" s="57"/>
      <c r="W433" s="57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53" t="s">
        <v>28</v>
      </c>
      <c r="B434" s="53" t="s">
        <v>39</v>
      </c>
      <c r="C434" s="53" t="s">
        <v>40</v>
      </c>
      <c r="D434" s="53" t="s">
        <v>38</v>
      </c>
      <c r="E434" s="53" t="s">
        <v>25</v>
      </c>
      <c r="F434" s="53" t="s">
        <v>25</v>
      </c>
      <c r="G434" s="53" t="s">
        <v>25</v>
      </c>
      <c r="H434" s="53" t="s">
        <v>34</v>
      </c>
      <c r="I434" s="75">
        <v>44593</v>
      </c>
      <c r="J434" s="76">
        <f>EFEITO!$J$434*EFEITO!$Y$434</f>
        <v>0</v>
      </c>
      <c r="K434" s="76">
        <f ca="1">EFEITO!$L$434*EFEITO!$Z$434</f>
        <v>6638.1648309850334</v>
      </c>
      <c r="L434" s="76">
        <f>EFEITO!$N$434*EFEITO!$AA$434</f>
        <v>2105.3006058215083</v>
      </c>
      <c r="M434" s="76">
        <f>$J$434-EFEITO!$K$434*EFEITO!$Y$434</f>
        <v>0</v>
      </c>
      <c r="N434" s="76">
        <f ca="1">$K$434-EFEITO!$M$434*EFEITO!$Z$434</f>
        <v>0</v>
      </c>
      <c r="O434" s="76">
        <f>$L$434-EFEITO!$O$434*EFEITO!$AA$434</f>
        <v>0</v>
      </c>
      <c r="P434" s="57"/>
      <c r="Q434" s="57"/>
      <c r="R434" s="57"/>
      <c r="S434" s="57"/>
      <c r="T434" s="57"/>
      <c r="U434" s="57"/>
      <c r="V434" s="57"/>
      <c r="W434" s="57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53" t="s">
        <v>21</v>
      </c>
      <c r="B435" s="53" t="s">
        <v>39</v>
      </c>
      <c r="C435" s="53" t="s">
        <v>40</v>
      </c>
      <c r="D435" s="53" t="s">
        <v>38</v>
      </c>
      <c r="E435" s="53" t="s">
        <v>25</v>
      </c>
      <c r="F435" s="53" t="s">
        <v>25</v>
      </c>
      <c r="G435" s="53" t="s">
        <v>25</v>
      </c>
      <c r="H435" s="53" t="s">
        <v>34</v>
      </c>
      <c r="I435" s="75">
        <v>44621</v>
      </c>
      <c r="J435" s="76">
        <f>EFEITO!$J$435*EFEITO!$Y$435</f>
        <v>0</v>
      </c>
      <c r="K435" s="76">
        <f ca="1">EFEITO!$L$435*EFEITO!$Z$435</f>
        <v>84034.90779460466</v>
      </c>
      <c r="L435" s="76">
        <f>EFEITO!$N$435*EFEITO!$AA$435</f>
        <v>26651.754934485853</v>
      </c>
      <c r="M435" s="76">
        <f>$J$435-EFEITO!$K$435*EFEITO!$Y$435</f>
        <v>0</v>
      </c>
      <c r="N435" s="76">
        <f ca="1">$K$435-EFEITO!$M$435*EFEITO!$Z$435</f>
        <v>0</v>
      </c>
      <c r="O435" s="76">
        <f>$L$435-EFEITO!$O$435*EFEITO!$AA$435</f>
        <v>0</v>
      </c>
      <c r="P435" s="57"/>
      <c r="Q435" s="57"/>
      <c r="R435" s="57"/>
      <c r="S435" s="57"/>
      <c r="T435" s="57"/>
      <c r="U435" s="57"/>
      <c r="V435" s="57"/>
      <c r="W435" s="57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53" t="s">
        <v>27</v>
      </c>
      <c r="B436" s="53" t="s">
        <v>39</v>
      </c>
      <c r="C436" s="53" t="s">
        <v>40</v>
      </c>
      <c r="D436" s="53" t="s">
        <v>38</v>
      </c>
      <c r="E436" s="53" t="s">
        <v>25</v>
      </c>
      <c r="F436" s="53" t="s">
        <v>25</v>
      </c>
      <c r="G436" s="53" t="s">
        <v>25</v>
      </c>
      <c r="H436" s="53" t="s">
        <v>34</v>
      </c>
      <c r="I436" s="75">
        <v>44621</v>
      </c>
      <c r="J436" s="76">
        <f>EFEITO!$J$436*EFEITO!$Y$436</f>
        <v>0</v>
      </c>
      <c r="K436" s="76">
        <f ca="1">EFEITO!$L$436*EFEITO!$Z$436</f>
        <v>-635.78084580170514</v>
      </c>
      <c r="L436" s="76">
        <f>EFEITO!$N$436*EFEITO!$AA$436</f>
        <v>-201.63853021369164</v>
      </c>
      <c r="M436" s="76">
        <f>$J$436-EFEITO!$K$436*EFEITO!$Y$436</f>
        <v>0</v>
      </c>
      <c r="N436" s="76">
        <f ca="1">$K$436-EFEITO!$M$436*EFEITO!$Z$436</f>
        <v>0</v>
      </c>
      <c r="O436" s="76">
        <f>$L$436-EFEITO!$O$436*EFEITO!$AA$436</f>
        <v>0</v>
      </c>
      <c r="P436" s="57"/>
      <c r="Q436" s="57"/>
      <c r="R436" s="57"/>
      <c r="S436" s="57"/>
      <c r="T436" s="57"/>
      <c r="U436" s="57"/>
      <c r="V436" s="57"/>
      <c r="W436" s="57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53" t="s">
        <v>28</v>
      </c>
      <c r="B437" s="53" t="s">
        <v>39</v>
      </c>
      <c r="C437" s="53" t="s">
        <v>40</v>
      </c>
      <c r="D437" s="53" t="s">
        <v>38</v>
      </c>
      <c r="E437" s="53" t="s">
        <v>25</v>
      </c>
      <c r="F437" s="53" t="s">
        <v>25</v>
      </c>
      <c r="G437" s="53" t="s">
        <v>25</v>
      </c>
      <c r="H437" s="53" t="s">
        <v>34</v>
      </c>
      <c r="I437" s="75">
        <v>44621</v>
      </c>
      <c r="J437" s="76">
        <f>EFEITO!$J$437*EFEITO!$Y$437</f>
        <v>0</v>
      </c>
      <c r="K437" s="76">
        <f ca="1">EFEITO!$L$437*EFEITO!$Z$437</f>
        <v>8691.0475620074067</v>
      </c>
      <c r="L437" s="76">
        <f>EFEITO!$N$437*EFEITO!$AA$437</f>
        <v>2756.3744142223441</v>
      </c>
      <c r="M437" s="76">
        <f>$J$437-EFEITO!$K$437*EFEITO!$Y$437</f>
        <v>0</v>
      </c>
      <c r="N437" s="76">
        <f ca="1">$K$437-EFEITO!$M$437*EFEITO!$Z$437</f>
        <v>0</v>
      </c>
      <c r="O437" s="76">
        <f>$L$437-EFEITO!$O$437*EFEITO!$AA$437</f>
        <v>0</v>
      </c>
      <c r="P437" s="57"/>
      <c r="Q437" s="57"/>
      <c r="R437" s="57"/>
      <c r="S437" s="57"/>
      <c r="T437" s="57"/>
      <c r="U437" s="57"/>
      <c r="V437" s="57"/>
      <c r="W437" s="57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53" t="s">
        <v>28</v>
      </c>
      <c r="B438" s="53" t="s">
        <v>39</v>
      </c>
      <c r="C438" s="53" t="s">
        <v>40</v>
      </c>
      <c r="D438" s="53" t="s">
        <v>38</v>
      </c>
      <c r="E438" s="53" t="s">
        <v>25</v>
      </c>
      <c r="F438" s="53" t="s">
        <v>25</v>
      </c>
      <c r="G438" s="53" t="s">
        <v>25</v>
      </c>
      <c r="H438" s="53" t="s">
        <v>34</v>
      </c>
      <c r="I438" s="75">
        <v>44621</v>
      </c>
      <c r="J438" s="76">
        <f>EFEITO!$J$438*EFEITO!$Y$438</f>
        <v>0</v>
      </c>
      <c r="K438" s="76">
        <f ca="1">EFEITO!$L$438*EFEITO!$Z$438</f>
        <v>635.78084580170514</v>
      </c>
      <c r="L438" s="76">
        <f>EFEITO!$N$438*EFEITO!$AA$438</f>
        <v>201.63853021369164</v>
      </c>
      <c r="M438" s="76">
        <f>$J$438-EFEITO!$K$438*EFEITO!$Y$438</f>
        <v>0</v>
      </c>
      <c r="N438" s="76">
        <f ca="1">$K$438-EFEITO!$M$438*EFEITO!$Z$438</f>
        <v>0</v>
      </c>
      <c r="O438" s="76">
        <f>$L$438-EFEITO!$O$438*EFEITO!$AA$438</f>
        <v>0</v>
      </c>
      <c r="P438" s="57"/>
      <c r="Q438" s="57"/>
      <c r="R438" s="57"/>
      <c r="S438" s="57"/>
      <c r="T438" s="57"/>
      <c r="U438" s="57"/>
      <c r="V438" s="57"/>
      <c r="W438" s="57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53" t="s">
        <v>21</v>
      </c>
      <c r="B439" s="53" t="s">
        <v>39</v>
      </c>
      <c r="C439" s="53" t="s">
        <v>40</v>
      </c>
      <c r="D439" s="53" t="s">
        <v>38</v>
      </c>
      <c r="E439" s="53" t="s">
        <v>25</v>
      </c>
      <c r="F439" s="53" t="s">
        <v>25</v>
      </c>
      <c r="G439" s="53" t="s">
        <v>25</v>
      </c>
      <c r="H439" s="53" t="s">
        <v>34</v>
      </c>
      <c r="I439" s="75">
        <v>44652</v>
      </c>
      <c r="J439" s="76">
        <f>EFEITO!$J$439*EFEITO!$Y$439</f>
        <v>0</v>
      </c>
      <c r="K439" s="76">
        <f ca="1">EFEITO!$L$439*EFEITO!$Z$439</f>
        <v>69402.756328936986</v>
      </c>
      <c r="L439" s="76">
        <f>EFEITO!$N$439*EFEITO!$AA$439</f>
        <v>22011.153483712431</v>
      </c>
      <c r="M439" s="76">
        <f>$J$439-EFEITO!$K$439*EFEITO!$Y$439</f>
        <v>0</v>
      </c>
      <c r="N439" s="76">
        <f ca="1">$K$439-EFEITO!$M$439*EFEITO!$Z$439</f>
        <v>0</v>
      </c>
      <c r="O439" s="76">
        <f>$L$439-EFEITO!$O$439*EFEITO!$AA$439</f>
        <v>0</v>
      </c>
      <c r="P439" s="57"/>
      <c r="Q439" s="57"/>
      <c r="R439" s="57"/>
      <c r="S439" s="57"/>
      <c r="T439" s="57"/>
      <c r="U439" s="57"/>
      <c r="V439" s="57"/>
      <c r="W439" s="57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53" t="s">
        <v>28</v>
      </c>
      <c r="B440" s="53" t="s">
        <v>39</v>
      </c>
      <c r="C440" s="53" t="s">
        <v>40</v>
      </c>
      <c r="D440" s="53" t="s">
        <v>38</v>
      </c>
      <c r="E440" s="53" t="s">
        <v>25</v>
      </c>
      <c r="F440" s="53" t="s">
        <v>25</v>
      </c>
      <c r="G440" s="53" t="s">
        <v>25</v>
      </c>
      <c r="H440" s="53" t="s">
        <v>34</v>
      </c>
      <c r="I440" s="75">
        <v>44652</v>
      </c>
      <c r="J440" s="76">
        <f>EFEITO!$J$440*EFEITO!$Y$440</f>
        <v>0</v>
      </c>
      <c r="K440" s="76">
        <f ca="1">EFEITO!$L$440*EFEITO!$Z$440</f>
        <v>7430.2098846705303</v>
      </c>
      <c r="L440" s="76">
        <f>EFEITO!$N$440*EFEITO!$AA$440</f>
        <v>2356.4984856298902</v>
      </c>
      <c r="M440" s="76">
        <f>$J$440-EFEITO!$K$440*EFEITO!$Y$440</f>
        <v>0</v>
      </c>
      <c r="N440" s="76">
        <f ca="1">$K$440-EFEITO!$M$440*EFEITO!$Z$440</f>
        <v>0</v>
      </c>
      <c r="O440" s="76">
        <f>$L$440-EFEITO!$O$440*EFEITO!$AA$440</f>
        <v>0</v>
      </c>
      <c r="P440" s="57"/>
      <c r="Q440" s="57"/>
      <c r="R440" s="57"/>
      <c r="S440" s="57"/>
      <c r="T440" s="57"/>
      <c r="U440" s="57"/>
      <c r="V440" s="57"/>
      <c r="W440" s="57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53" t="s">
        <v>21</v>
      </c>
      <c r="B441" s="53" t="s">
        <v>39</v>
      </c>
      <c r="C441" s="53" t="s">
        <v>40</v>
      </c>
      <c r="D441" s="53" t="s">
        <v>38</v>
      </c>
      <c r="E441" s="53" t="s">
        <v>25</v>
      </c>
      <c r="F441" s="53" t="s">
        <v>25</v>
      </c>
      <c r="G441" s="53" t="s">
        <v>25</v>
      </c>
      <c r="H441" s="53" t="s">
        <v>34</v>
      </c>
      <c r="I441" s="75">
        <v>44682</v>
      </c>
      <c r="J441" s="76">
        <f>EFEITO!$J$441*EFEITO!$Y$441</f>
        <v>0</v>
      </c>
      <c r="K441" s="76">
        <f ca="1">EFEITO!$L$441*EFEITO!$Z$441</f>
        <v>69900.656991311815</v>
      </c>
      <c r="L441" s="76">
        <f>EFEITO!$N$441*EFEITO!$AA$441</f>
        <v>22169.063176048458</v>
      </c>
      <c r="M441" s="76">
        <f>$J$441-EFEITO!$K$441*EFEITO!$Y$441</f>
        <v>0</v>
      </c>
      <c r="N441" s="76">
        <f ca="1">$K$441-EFEITO!$M$441*EFEITO!$Z$441</f>
        <v>0</v>
      </c>
      <c r="O441" s="76">
        <f>$L$441-EFEITO!$O$441*EFEITO!$AA$441</f>
        <v>0</v>
      </c>
      <c r="P441" s="57"/>
      <c r="Q441" s="57"/>
      <c r="R441" s="57"/>
      <c r="S441" s="57"/>
      <c r="T441" s="57"/>
      <c r="U441" s="57"/>
      <c r="V441" s="57"/>
      <c r="W441" s="57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53" t="s">
        <v>28</v>
      </c>
      <c r="B442" s="53" t="s">
        <v>39</v>
      </c>
      <c r="C442" s="53" t="s">
        <v>40</v>
      </c>
      <c r="D442" s="53" t="s">
        <v>38</v>
      </c>
      <c r="E442" s="53" t="s">
        <v>25</v>
      </c>
      <c r="F442" s="53" t="s">
        <v>25</v>
      </c>
      <c r="G442" s="53" t="s">
        <v>25</v>
      </c>
      <c r="H442" s="53" t="s">
        <v>34</v>
      </c>
      <c r="I442" s="75">
        <v>44682</v>
      </c>
      <c r="J442" s="76">
        <f>EFEITO!$J$442*EFEITO!$Y$442</f>
        <v>0</v>
      </c>
      <c r="K442" s="76">
        <f ca="1">EFEITO!$L$442*EFEITO!$Z$442</f>
        <v>8223.7869403941058</v>
      </c>
      <c r="L442" s="76">
        <f>EFEITO!$N$442*EFEITO!$AA$442</f>
        <v>2608.1822414146914</v>
      </c>
      <c r="M442" s="76">
        <f>$J$442-EFEITO!$K$442*EFEITO!$Y$442</f>
        <v>0</v>
      </c>
      <c r="N442" s="76">
        <f ca="1">$K$442-EFEITO!$M$442*EFEITO!$Z$442</f>
        <v>0</v>
      </c>
      <c r="O442" s="76">
        <f>$L$442-EFEITO!$O$442*EFEITO!$AA$442</f>
        <v>0</v>
      </c>
      <c r="P442" s="57"/>
      <c r="Q442" s="57"/>
      <c r="R442" s="57"/>
      <c r="S442" s="57"/>
      <c r="T442" s="57"/>
      <c r="U442" s="57"/>
      <c r="V442" s="57"/>
      <c r="W442" s="57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53" t="s">
        <v>28</v>
      </c>
      <c r="B443" s="53" t="s">
        <v>39</v>
      </c>
      <c r="C443" s="53" t="s">
        <v>40</v>
      </c>
      <c r="D443" s="53" t="s">
        <v>38</v>
      </c>
      <c r="E443" s="53" t="s">
        <v>25</v>
      </c>
      <c r="F443" s="53" t="s">
        <v>25</v>
      </c>
      <c r="G443" s="53" t="s">
        <v>25</v>
      </c>
      <c r="H443" s="53" t="s">
        <v>34</v>
      </c>
      <c r="I443" s="75">
        <v>44682</v>
      </c>
      <c r="J443" s="76">
        <f>EFEITO!$J$443*EFEITO!$Y$443</f>
        <v>0</v>
      </c>
      <c r="K443" s="76">
        <f ca="1">EFEITO!$L$443*EFEITO!$Z$443</f>
        <v>2705.5155992429191</v>
      </c>
      <c r="L443" s="76">
        <f>EFEITO!$N$443*EFEITO!$AA$443</f>
        <v>858.05697435513116</v>
      </c>
      <c r="M443" s="76">
        <f>$J$443-EFEITO!$K$443*EFEITO!$Y$443</f>
        <v>0</v>
      </c>
      <c r="N443" s="76">
        <f ca="1">$K$443-EFEITO!$M$443*EFEITO!$Z$443</f>
        <v>0</v>
      </c>
      <c r="O443" s="76">
        <f>$L$443-EFEITO!$O$443*EFEITO!$AA$443</f>
        <v>0</v>
      </c>
      <c r="P443" s="57"/>
      <c r="Q443" s="57"/>
      <c r="R443" s="57"/>
      <c r="S443" s="57"/>
      <c r="T443" s="57"/>
      <c r="U443" s="57"/>
      <c r="V443" s="57"/>
      <c r="W443" s="57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53" t="s">
        <v>21</v>
      </c>
      <c r="B444" s="53" t="s">
        <v>39</v>
      </c>
      <c r="C444" s="53" t="s">
        <v>40</v>
      </c>
      <c r="D444" s="53" t="s">
        <v>38</v>
      </c>
      <c r="E444" s="53" t="s">
        <v>25</v>
      </c>
      <c r="F444" s="53" t="s">
        <v>25</v>
      </c>
      <c r="G444" s="53" t="s">
        <v>25</v>
      </c>
      <c r="H444" s="53" t="s">
        <v>34</v>
      </c>
      <c r="I444" s="75">
        <v>44713</v>
      </c>
      <c r="J444" s="76">
        <f>EFEITO!$J$444*EFEITO!$Y$444</f>
        <v>0</v>
      </c>
      <c r="K444" s="76">
        <f ca="1">EFEITO!$L$444*EFEITO!$Z$444</f>
        <v>61070.197243839459</v>
      </c>
      <c r="L444" s="76">
        <f>EFEITO!$N$444*EFEITO!$AA$444</f>
        <v>19368.474047972024</v>
      </c>
      <c r="M444" s="76">
        <f>$J$444-EFEITO!$K$444*EFEITO!$Y$444</f>
        <v>0</v>
      </c>
      <c r="N444" s="76">
        <f ca="1">$K$444-EFEITO!$M$444*EFEITO!$Z$444</f>
        <v>0</v>
      </c>
      <c r="O444" s="76">
        <f>$L$444-EFEITO!$O$444*EFEITO!$AA$444</f>
        <v>0</v>
      </c>
      <c r="P444" s="57"/>
      <c r="Q444" s="57"/>
      <c r="R444" s="57"/>
      <c r="S444" s="57"/>
      <c r="T444" s="57"/>
      <c r="U444" s="57"/>
      <c r="V444" s="57"/>
      <c r="W444" s="57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53" t="s">
        <v>28</v>
      </c>
      <c r="B445" s="53" t="s">
        <v>39</v>
      </c>
      <c r="C445" s="53" t="s">
        <v>40</v>
      </c>
      <c r="D445" s="53" t="s">
        <v>38</v>
      </c>
      <c r="E445" s="53" t="s">
        <v>25</v>
      </c>
      <c r="F445" s="53" t="s">
        <v>25</v>
      </c>
      <c r="G445" s="53" t="s">
        <v>25</v>
      </c>
      <c r="H445" s="53" t="s">
        <v>34</v>
      </c>
      <c r="I445" s="75">
        <v>44713</v>
      </c>
      <c r="J445" s="76">
        <f>EFEITO!$J$445*EFEITO!$Y$445</f>
        <v>0</v>
      </c>
      <c r="K445" s="76">
        <f ca="1">EFEITO!$L$445*EFEITO!$Z$445</f>
        <v>7321.4377399671066</v>
      </c>
      <c r="L445" s="76">
        <f>EFEITO!$N$445*EFEITO!$AA$445</f>
        <v>2322.0012913041742</v>
      </c>
      <c r="M445" s="76">
        <f>$J$445-EFEITO!$K$445*EFEITO!$Y$445</f>
        <v>0</v>
      </c>
      <c r="N445" s="76">
        <f ca="1">$K$445-EFEITO!$M$445*EFEITO!$Z$445</f>
        <v>0</v>
      </c>
      <c r="O445" s="76">
        <f>$L$445-EFEITO!$O$445*EFEITO!$AA$445</f>
        <v>0</v>
      </c>
      <c r="P445" s="57"/>
      <c r="Q445" s="57"/>
      <c r="R445" s="57"/>
      <c r="S445" s="57"/>
      <c r="T445" s="57"/>
      <c r="U445" s="57"/>
      <c r="V445" s="57"/>
      <c r="W445" s="57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53" t="s">
        <v>28</v>
      </c>
      <c r="B446" s="53" t="s">
        <v>39</v>
      </c>
      <c r="C446" s="53" t="s">
        <v>40</v>
      </c>
      <c r="D446" s="53" t="s">
        <v>38</v>
      </c>
      <c r="E446" s="53" t="s">
        <v>25</v>
      </c>
      <c r="F446" s="53" t="s">
        <v>25</v>
      </c>
      <c r="G446" s="53" t="s">
        <v>25</v>
      </c>
      <c r="H446" s="53" t="s">
        <v>34</v>
      </c>
      <c r="I446" s="75">
        <v>44713</v>
      </c>
      <c r="J446" s="76">
        <f>EFEITO!$J$446*EFEITO!$Y$446</f>
        <v>0</v>
      </c>
      <c r="K446" s="76">
        <f ca="1">EFEITO!$L$446*EFEITO!$Z$446</f>
        <v>1253.1776671464936</v>
      </c>
      <c r="L446" s="76">
        <f>EFEITO!$N$446*EFEITO!$AA$446</f>
        <v>397.44654871036084</v>
      </c>
      <c r="M446" s="76">
        <f>$J$446-EFEITO!$K$446*EFEITO!$Y$446</f>
        <v>0</v>
      </c>
      <c r="N446" s="76">
        <f ca="1">$K$446-EFEITO!$M$446*EFEITO!$Z$446</f>
        <v>0</v>
      </c>
      <c r="O446" s="76">
        <f>$L$446-EFEITO!$O$446*EFEITO!$AA$446</f>
        <v>0</v>
      </c>
      <c r="P446" s="57"/>
      <c r="Q446" s="57"/>
      <c r="R446" s="57"/>
      <c r="S446" s="57"/>
      <c r="T446" s="57"/>
      <c r="U446" s="57"/>
      <c r="V446" s="57"/>
      <c r="W446" s="57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53" t="s">
        <v>21</v>
      </c>
      <c r="B447" s="53" t="s">
        <v>39</v>
      </c>
      <c r="C447" s="53" t="s">
        <v>40</v>
      </c>
      <c r="D447" s="53" t="s">
        <v>38</v>
      </c>
      <c r="E447" s="53" t="s">
        <v>25</v>
      </c>
      <c r="F447" s="53" t="s">
        <v>25</v>
      </c>
      <c r="G447" s="53" t="s">
        <v>25</v>
      </c>
      <c r="H447" s="53" t="s">
        <v>34</v>
      </c>
      <c r="I447" s="75">
        <v>44743</v>
      </c>
      <c r="J447" s="76">
        <f>EFEITO!$J$447*EFEITO!$Y$447</f>
        <v>0</v>
      </c>
      <c r="K447" s="76">
        <f ca="1">EFEITO!$L$447*EFEITO!$Z$447</f>
        <v>61246.377478218245</v>
      </c>
      <c r="L447" s="76">
        <f>EFEITO!$N$447*EFEITO!$AA$447</f>
        <v>19424.349785260158</v>
      </c>
      <c r="M447" s="76">
        <f>$J$447-EFEITO!$K$447*EFEITO!$Y$447</f>
        <v>0</v>
      </c>
      <c r="N447" s="76">
        <f ca="1">$K$447-EFEITO!$M$447*EFEITO!$Z$447</f>
        <v>0</v>
      </c>
      <c r="O447" s="76">
        <f>$L$447-EFEITO!$O$447*EFEITO!$AA$447</f>
        <v>0</v>
      </c>
      <c r="P447" s="57"/>
      <c r="Q447" s="57"/>
      <c r="R447" s="57"/>
      <c r="S447" s="57"/>
      <c r="T447" s="57"/>
      <c r="U447" s="57"/>
      <c r="V447" s="57"/>
      <c r="W447" s="57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53" t="s">
        <v>28</v>
      </c>
      <c r="B448" s="53" t="s">
        <v>39</v>
      </c>
      <c r="C448" s="53" t="s">
        <v>40</v>
      </c>
      <c r="D448" s="53" t="s">
        <v>38</v>
      </c>
      <c r="E448" s="53" t="s">
        <v>25</v>
      </c>
      <c r="F448" s="53" t="s">
        <v>25</v>
      </c>
      <c r="G448" s="53" t="s">
        <v>25</v>
      </c>
      <c r="H448" s="53" t="s">
        <v>34</v>
      </c>
      <c r="I448" s="75">
        <v>44743</v>
      </c>
      <c r="J448" s="76">
        <f>EFEITO!$J$448*EFEITO!$Y$448</f>
        <v>0</v>
      </c>
      <c r="K448" s="76">
        <f ca="1">EFEITO!$L$448*EFEITO!$Z$448</f>
        <v>6935.3732263718548</v>
      </c>
      <c r="L448" s="76">
        <f>EFEITO!$N$448*EFEITO!$AA$448</f>
        <v>2199.5605452467039</v>
      </c>
      <c r="M448" s="76">
        <f>$J$448-EFEITO!$K$448*EFEITO!$Y$448</f>
        <v>0</v>
      </c>
      <c r="N448" s="76">
        <f ca="1">$K$448-EFEITO!$M$448*EFEITO!$Z$448</f>
        <v>0</v>
      </c>
      <c r="O448" s="76">
        <f>$L$448-EFEITO!$O$448*EFEITO!$AA$448</f>
        <v>0</v>
      </c>
      <c r="P448" s="57"/>
      <c r="Q448" s="57"/>
      <c r="R448" s="57"/>
      <c r="S448" s="57"/>
      <c r="T448" s="57"/>
      <c r="U448" s="57"/>
      <c r="V448" s="57"/>
      <c r="W448" s="57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53" t="s">
        <v>56</v>
      </c>
      <c r="B449" s="53" t="s">
        <v>39</v>
      </c>
      <c r="C449" s="53" t="s">
        <v>40</v>
      </c>
      <c r="D449" s="53" t="s">
        <v>38</v>
      </c>
      <c r="E449" s="53" t="s">
        <v>25</v>
      </c>
      <c r="F449" s="53" t="s">
        <v>25</v>
      </c>
      <c r="G449" s="53" t="s">
        <v>25</v>
      </c>
      <c r="H449" s="53" t="s">
        <v>34</v>
      </c>
      <c r="I449" s="75">
        <v>44774</v>
      </c>
      <c r="J449" s="76">
        <f>EFEITO!$J$449*EFEITO!$Y$449</f>
        <v>0</v>
      </c>
      <c r="K449" s="76">
        <f ca="1">EFEITO!$L$449*EFEITO!$Z$449</f>
        <v>61246.377478218245</v>
      </c>
      <c r="L449" s="76">
        <f>EFEITO!$N$449*EFEITO!$AA$449</f>
        <v>19424.349785260158</v>
      </c>
      <c r="M449" s="76">
        <f>$J$449-EFEITO!$K$449*EFEITO!$Y$449</f>
        <v>0</v>
      </c>
      <c r="N449" s="76">
        <f ca="1">$K$449-EFEITO!$M$449*EFEITO!$Z$449</f>
        <v>0</v>
      </c>
      <c r="O449" s="76">
        <f>$L$449-EFEITO!$O$449*EFEITO!$AA$449</f>
        <v>0</v>
      </c>
      <c r="P449" s="57"/>
      <c r="Q449" s="57"/>
      <c r="R449" s="57"/>
      <c r="S449" s="57"/>
      <c r="T449" s="57"/>
      <c r="U449" s="57"/>
      <c r="V449" s="57"/>
      <c r="W449" s="57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53" t="s">
        <v>56</v>
      </c>
      <c r="B450" s="53" t="s">
        <v>39</v>
      </c>
      <c r="C450" s="53" t="s">
        <v>40</v>
      </c>
      <c r="D450" s="53" t="s">
        <v>38</v>
      </c>
      <c r="E450" s="53" t="s">
        <v>25</v>
      </c>
      <c r="F450" s="53" t="s">
        <v>25</v>
      </c>
      <c r="G450" s="53" t="s">
        <v>25</v>
      </c>
      <c r="H450" s="53" t="s">
        <v>34</v>
      </c>
      <c r="I450" s="75">
        <v>44774</v>
      </c>
      <c r="J450" s="76">
        <f>EFEITO!$J$450*EFEITO!$Y$450</f>
        <v>0</v>
      </c>
      <c r="K450" s="76">
        <f ca="1">EFEITO!$L$450*EFEITO!$Z$450</f>
        <v>6935.3732263718548</v>
      </c>
      <c r="L450" s="76">
        <f>EFEITO!$N$450*EFEITO!$AA$450</f>
        <v>2199.5605452467039</v>
      </c>
      <c r="M450" s="76">
        <f>$J$450-EFEITO!$K$450*EFEITO!$Y$450</f>
        <v>0</v>
      </c>
      <c r="N450" s="76">
        <f ca="1">$K$450-EFEITO!$M$450*EFEITO!$Z$450</f>
        <v>0</v>
      </c>
      <c r="O450" s="76">
        <f>$L$450-EFEITO!$O$450*EFEITO!$AA$450</f>
        <v>0</v>
      </c>
      <c r="P450" s="57"/>
      <c r="Q450" s="57"/>
      <c r="R450" s="57"/>
      <c r="S450" s="57"/>
      <c r="T450" s="57"/>
      <c r="U450" s="57"/>
      <c r="V450" s="57"/>
      <c r="W450" s="57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53" t="s">
        <v>21</v>
      </c>
      <c r="B451" s="53" t="s">
        <v>39</v>
      </c>
      <c r="C451" s="53" t="s">
        <v>40</v>
      </c>
      <c r="D451" s="53" t="s">
        <v>45</v>
      </c>
      <c r="E451" s="53" t="s">
        <v>25</v>
      </c>
      <c r="F451" s="53" t="s">
        <v>25</v>
      </c>
      <c r="G451" s="53" t="s">
        <v>25</v>
      </c>
      <c r="H451" s="53" t="s">
        <v>35</v>
      </c>
      <c r="I451" s="75">
        <v>44440</v>
      </c>
      <c r="J451" s="76">
        <f>EFEITO!$J$451*EFEITO!$Y$451</f>
        <v>0</v>
      </c>
      <c r="K451" s="76">
        <f ca="1">EFEITO!$L$451*EFEITO!$Z$451</f>
        <v>44273.534241617468</v>
      </c>
      <c r="L451" s="76">
        <f>EFEITO!$N$451*EFEITO!$AA$451</f>
        <v>91204.077916153779</v>
      </c>
      <c r="M451" s="76">
        <f>$J$451-EFEITO!$K$451*EFEITO!$Y$451</f>
        <v>0</v>
      </c>
      <c r="N451" s="76">
        <f ca="1">$K$451-EFEITO!$M$451*EFEITO!$Z$451</f>
        <v>0</v>
      </c>
      <c r="O451" s="76">
        <f>$L$451-EFEITO!$O$451*EFEITO!$AA$451</f>
        <v>0</v>
      </c>
      <c r="P451" s="57"/>
      <c r="Q451" s="57"/>
      <c r="R451" s="57"/>
      <c r="S451" s="57"/>
      <c r="T451" s="57"/>
      <c r="U451" s="57"/>
      <c r="V451" s="57"/>
      <c r="W451" s="57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53" t="s">
        <v>21</v>
      </c>
      <c r="B452" s="53" t="s">
        <v>39</v>
      </c>
      <c r="C452" s="53" t="s">
        <v>40</v>
      </c>
      <c r="D452" s="53" t="s">
        <v>45</v>
      </c>
      <c r="E452" s="53" t="s">
        <v>25</v>
      </c>
      <c r="F452" s="53" t="s">
        <v>25</v>
      </c>
      <c r="G452" s="53" t="s">
        <v>25</v>
      </c>
      <c r="H452" s="53" t="s">
        <v>35</v>
      </c>
      <c r="I452" s="75">
        <v>44470</v>
      </c>
      <c r="J452" s="76">
        <f>EFEITO!$J$452*EFEITO!$Y$452</f>
        <v>0</v>
      </c>
      <c r="K452" s="76">
        <f ca="1">EFEITO!$L$452*EFEITO!$Z$452</f>
        <v>47542.432593749785</v>
      </c>
      <c r="L452" s="76">
        <f>EFEITO!$N$452*EFEITO!$AA$452</f>
        <v>97938.052628468737</v>
      </c>
      <c r="M452" s="76">
        <f>$J$452-EFEITO!$K$452*EFEITO!$Y$452</f>
        <v>0</v>
      </c>
      <c r="N452" s="76">
        <f ca="1">$K$452-EFEITO!$M$452*EFEITO!$Z$452</f>
        <v>0</v>
      </c>
      <c r="O452" s="76">
        <f>$L$452-EFEITO!$O$452*EFEITO!$AA$452</f>
        <v>0</v>
      </c>
      <c r="P452" s="57"/>
      <c r="Q452" s="57"/>
      <c r="R452" s="57"/>
      <c r="S452" s="57"/>
      <c r="T452" s="57"/>
      <c r="U452" s="57"/>
      <c r="V452" s="57"/>
      <c r="W452" s="57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53" t="s">
        <v>21</v>
      </c>
      <c r="B453" s="53" t="s">
        <v>39</v>
      </c>
      <c r="C453" s="53" t="s">
        <v>40</v>
      </c>
      <c r="D453" s="53" t="s">
        <v>45</v>
      </c>
      <c r="E453" s="53" t="s">
        <v>25</v>
      </c>
      <c r="F453" s="53" t="s">
        <v>25</v>
      </c>
      <c r="G453" s="53" t="s">
        <v>25</v>
      </c>
      <c r="H453" s="53" t="s">
        <v>35</v>
      </c>
      <c r="I453" s="75">
        <v>44501</v>
      </c>
      <c r="J453" s="76">
        <f>EFEITO!$J$453*EFEITO!$Y$453</f>
        <v>0</v>
      </c>
      <c r="K453" s="76">
        <f ca="1">EFEITO!$L$453*EFEITO!$Z$453</f>
        <v>44048.434893845231</v>
      </c>
      <c r="L453" s="76">
        <f>EFEITO!$N$453*EFEITO!$AA$453</f>
        <v>90740.370222499725</v>
      </c>
      <c r="M453" s="76">
        <f>$J$453-EFEITO!$K$453*EFEITO!$Y$453</f>
        <v>0</v>
      </c>
      <c r="N453" s="76">
        <f ca="1">$K$453-EFEITO!$M$453*EFEITO!$Z$453</f>
        <v>0</v>
      </c>
      <c r="O453" s="76">
        <f>$L$453-EFEITO!$O$453*EFEITO!$AA$453</f>
        <v>0</v>
      </c>
      <c r="P453" s="57"/>
      <c r="Q453" s="57"/>
      <c r="R453" s="57"/>
      <c r="S453" s="57"/>
      <c r="T453" s="57"/>
      <c r="U453" s="57"/>
      <c r="V453" s="57"/>
      <c r="W453" s="57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53" t="s">
        <v>21</v>
      </c>
      <c r="B454" s="53" t="s">
        <v>39</v>
      </c>
      <c r="C454" s="53" t="s">
        <v>40</v>
      </c>
      <c r="D454" s="53" t="s">
        <v>45</v>
      </c>
      <c r="E454" s="53" t="s">
        <v>25</v>
      </c>
      <c r="F454" s="53" t="s">
        <v>25</v>
      </c>
      <c r="G454" s="53" t="s">
        <v>25</v>
      </c>
      <c r="H454" s="53" t="s">
        <v>35</v>
      </c>
      <c r="I454" s="75">
        <v>44531</v>
      </c>
      <c r="J454" s="76">
        <f>EFEITO!$J$454*EFEITO!$Y$454</f>
        <v>0</v>
      </c>
      <c r="K454" s="76">
        <f ca="1">EFEITO!$L$454*EFEITO!$Z$454</f>
        <v>45445.501194285702</v>
      </c>
      <c r="L454" s="76">
        <f>EFEITO!$N$454*EFEITO!$AA$454</f>
        <v>93618.345651884592</v>
      </c>
      <c r="M454" s="76">
        <f>$J$454-EFEITO!$K$454*EFEITO!$Y$454</f>
        <v>0</v>
      </c>
      <c r="N454" s="76">
        <f ca="1">$K$454-EFEITO!$M$454*EFEITO!$Z$454</f>
        <v>0</v>
      </c>
      <c r="O454" s="76">
        <f>$L$454-EFEITO!$O$454*EFEITO!$AA$454</f>
        <v>0</v>
      </c>
      <c r="P454" s="57"/>
      <c r="Q454" s="57"/>
      <c r="R454" s="57"/>
      <c r="S454" s="57"/>
      <c r="T454" s="57"/>
      <c r="U454" s="57"/>
      <c r="V454" s="57"/>
      <c r="W454" s="57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53" t="s">
        <v>21</v>
      </c>
      <c r="B455" s="53" t="s">
        <v>39</v>
      </c>
      <c r="C455" s="53" t="s">
        <v>40</v>
      </c>
      <c r="D455" s="53" t="s">
        <v>45</v>
      </c>
      <c r="E455" s="53" t="s">
        <v>25</v>
      </c>
      <c r="F455" s="53" t="s">
        <v>25</v>
      </c>
      <c r="G455" s="53" t="s">
        <v>25</v>
      </c>
      <c r="H455" s="53" t="s">
        <v>35</v>
      </c>
      <c r="I455" s="75">
        <v>44562</v>
      </c>
      <c r="J455" s="76">
        <f>EFEITO!$J$455*EFEITO!$Y$455</f>
        <v>0</v>
      </c>
      <c r="K455" s="76">
        <f ca="1">EFEITO!$L$455*EFEITO!$Z$455</f>
        <v>48379.488419522168</v>
      </c>
      <c r="L455" s="76">
        <f>EFEITO!$N$455*EFEITO!$AA$455</f>
        <v>99662.398923871369</v>
      </c>
      <c r="M455" s="76">
        <f>$J$455-EFEITO!$K$455*EFEITO!$Y$455</f>
        <v>0</v>
      </c>
      <c r="N455" s="76">
        <f ca="1">$K$455-EFEITO!$M$455*EFEITO!$Z$455</f>
        <v>0</v>
      </c>
      <c r="O455" s="76">
        <f>$L$455-EFEITO!$O$455*EFEITO!$AA$455</f>
        <v>0</v>
      </c>
      <c r="P455" s="57"/>
      <c r="Q455" s="57"/>
      <c r="R455" s="57"/>
      <c r="S455" s="57"/>
      <c r="T455" s="57"/>
      <c r="U455" s="57"/>
      <c r="V455" s="57"/>
      <c r="W455" s="57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53" t="s">
        <v>21</v>
      </c>
      <c r="B456" s="53" t="s">
        <v>39</v>
      </c>
      <c r="C456" s="53" t="s">
        <v>40</v>
      </c>
      <c r="D456" s="53" t="s">
        <v>45</v>
      </c>
      <c r="E456" s="53" t="s">
        <v>25</v>
      </c>
      <c r="F456" s="53" t="s">
        <v>25</v>
      </c>
      <c r="G456" s="53" t="s">
        <v>25</v>
      </c>
      <c r="H456" s="53" t="s">
        <v>35</v>
      </c>
      <c r="I456" s="75">
        <v>44593</v>
      </c>
      <c r="J456" s="76">
        <f>EFEITO!$J$456*EFEITO!$Y$456</f>
        <v>0</v>
      </c>
      <c r="K456" s="76">
        <f ca="1">EFEITO!$L$456*EFEITO!$Z$456</f>
        <v>50415.002179719006</v>
      </c>
      <c r="L456" s="76">
        <f>EFEITO!$N$456*EFEITO!$AA$456</f>
        <v>103855.58473486284</v>
      </c>
      <c r="M456" s="76">
        <f>$J$456-EFEITO!$K$456*EFEITO!$Y$456</f>
        <v>0</v>
      </c>
      <c r="N456" s="76">
        <f ca="1">$K$456-EFEITO!$M$456*EFEITO!$Z$456</f>
        <v>0</v>
      </c>
      <c r="O456" s="76">
        <f>$L$456-EFEITO!$O$456*EFEITO!$AA$456</f>
        <v>0</v>
      </c>
      <c r="P456" s="57"/>
      <c r="Q456" s="57"/>
      <c r="R456" s="57"/>
      <c r="S456" s="57"/>
      <c r="T456" s="57"/>
      <c r="U456" s="57"/>
      <c r="V456" s="57"/>
      <c r="W456" s="57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53" t="s">
        <v>21</v>
      </c>
      <c r="B457" s="53" t="s">
        <v>39</v>
      </c>
      <c r="C457" s="53" t="s">
        <v>40</v>
      </c>
      <c r="D457" s="53" t="s">
        <v>45</v>
      </c>
      <c r="E457" s="53" t="s">
        <v>25</v>
      </c>
      <c r="F457" s="53" t="s">
        <v>25</v>
      </c>
      <c r="G457" s="53" t="s">
        <v>25</v>
      </c>
      <c r="H457" s="53" t="s">
        <v>35</v>
      </c>
      <c r="I457" s="75">
        <v>44621</v>
      </c>
      <c r="J457" s="76">
        <f>EFEITO!$J$457*EFEITO!$Y$457</f>
        <v>0</v>
      </c>
      <c r="K457" s="76">
        <f ca="1">EFEITO!$L$457*EFEITO!$Z$457</f>
        <v>55908.699016440471</v>
      </c>
      <c r="L457" s="76">
        <f>EFEITO!$N$457*EFEITO!$AA$457</f>
        <v>115172.67434441752</v>
      </c>
      <c r="M457" s="76">
        <f>$J$457-EFEITO!$K$457*EFEITO!$Y$457</f>
        <v>0</v>
      </c>
      <c r="N457" s="76">
        <f ca="1">$K$457-EFEITO!$M$457*EFEITO!$Z$457</f>
        <v>0</v>
      </c>
      <c r="O457" s="76">
        <f>$L$457-EFEITO!$O$457*EFEITO!$AA$457</f>
        <v>0</v>
      </c>
      <c r="P457" s="57"/>
      <c r="Q457" s="57"/>
      <c r="R457" s="57"/>
      <c r="S457" s="57"/>
      <c r="T457" s="57"/>
      <c r="U457" s="57"/>
      <c r="V457" s="57"/>
      <c r="W457" s="57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53" t="s">
        <v>21</v>
      </c>
      <c r="B458" s="53" t="s">
        <v>39</v>
      </c>
      <c r="C458" s="53" t="s">
        <v>40</v>
      </c>
      <c r="D458" s="53" t="s">
        <v>45</v>
      </c>
      <c r="E458" s="53" t="s">
        <v>25</v>
      </c>
      <c r="F458" s="53" t="s">
        <v>25</v>
      </c>
      <c r="G458" s="53" t="s">
        <v>25</v>
      </c>
      <c r="H458" s="53" t="s">
        <v>35</v>
      </c>
      <c r="I458" s="75">
        <v>44652</v>
      </c>
      <c r="J458" s="76">
        <f>EFEITO!$J$458*EFEITO!$Y$458</f>
        <v>0</v>
      </c>
      <c r="K458" s="76">
        <f ca="1">EFEITO!$L$458*EFEITO!$Z$458</f>
        <v>50870.824659100013</v>
      </c>
      <c r="L458" s="76">
        <f>EFEITO!$N$458*EFEITO!$AA$458</f>
        <v>104794.58519275537</v>
      </c>
      <c r="M458" s="76">
        <f>$J$458-EFEITO!$K$458*EFEITO!$Y$458</f>
        <v>0</v>
      </c>
      <c r="N458" s="76">
        <f ca="1">$K$458-EFEITO!$M$458*EFEITO!$Z$458</f>
        <v>0</v>
      </c>
      <c r="O458" s="76">
        <f>$L$458-EFEITO!$O$458*EFEITO!$AA$458</f>
        <v>0</v>
      </c>
      <c r="P458" s="57"/>
      <c r="Q458" s="57"/>
      <c r="R458" s="57"/>
      <c r="S458" s="57"/>
      <c r="T458" s="57"/>
      <c r="U458" s="57"/>
      <c r="V458" s="57"/>
      <c r="W458" s="57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53" t="s">
        <v>21</v>
      </c>
      <c r="B459" s="53" t="s">
        <v>39</v>
      </c>
      <c r="C459" s="53" t="s">
        <v>40</v>
      </c>
      <c r="D459" s="53" t="s">
        <v>45</v>
      </c>
      <c r="E459" s="53" t="s">
        <v>25</v>
      </c>
      <c r="F459" s="53" t="s">
        <v>25</v>
      </c>
      <c r="G459" s="53" t="s">
        <v>25</v>
      </c>
      <c r="H459" s="53" t="s">
        <v>35</v>
      </c>
      <c r="I459" s="75">
        <v>44682</v>
      </c>
      <c r="J459" s="76">
        <f>EFEITO!$J$459*EFEITO!$Y$459</f>
        <v>0</v>
      </c>
      <c r="K459" s="76">
        <f ca="1">EFEITO!$L$459*EFEITO!$Z$459</f>
        <v>41305.508324738912</v>
      </c>
      <c r="L459" s="76">
        <f>EFEITO!$N$459*EFEITO!$AA$459</f>
        <v>85089.904480103593</v>
      </c>
      <c r="M459" s="76">
        <f>$J$459-EFEITO!$K$459*EFEITO!$Y$459</f>
        <v>0</v>
      </c>
      <c r="N459" s="76">
        <f ca="1">$K$459-EFEITO!$M$459*EFEITO!$Z$459</f>
        <v>0</v>
      </c>
      <c r="O459" s="76">
        <f>$L$459-EFEITO!$O$459*EFEITO!$AA$459</f>
        <v>0</v>
      </c>
      <c r="P459" s="57"/>
      <c r="Q459" s="57"/>
      <c r="R459" s="57"/>
      <c r="S459" s="57"/>
      <c r="T459" s="57"/>
      <c r="U459" s="57"/>
      <c r="V459" s="57"/>
      <c r="W459" s="57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53" t="s">
        <v>21</v>
      </c>
      <c r="B460" s="53" t="s">
        <v>39</v>
      </c>
      <c r="C460" s="53" t="s">
        <v>40</v>
      </c>
      <c r="D460" s="53" t="s">
        <v>45</v>
      </c>
      <c r="E460" s="53" t="s">
        <v>25</v>
      </c>
      <c r="F460" s="53" t="s">
        <v>25</v>
      </c>
      <c r="G460" s="53" t="s">
        <v>25</v>
      </c>
      <c r="H460" s="53" t="s">
        <v>35</v>
      </c>
      <c r="I460" s="75">
        <v>44713</v>
      </c>
      <c r="J460" s="76">
        <f>EFEITO!$J$460*EFEITO!$Y$460</f>
        <v>0</v>
      </c>
      <c r="K460" s="76">
        <f ca="1">EFEITO!$L$460*EFEITO!$Z$460</f>
        <v>33255.505745696668</v>
      </c>
      <c r="L460" s="76">
        <f>EFEITO!$N$460*EFEITO!$AA$460</f>
        <v>68506.790549387384</v>
      </c>
      <c r="M460" s="76">
        <f>$J$460-EFEITO!$K$460*EFEITO!$Y$460</f>
        <v>0</v>
      </c>
      <c r="N460" s="76">
        <f ca="1">$K$460-EFEITO!$M$460*EFEITO!$Z$460</f>
        <v>0</v>
      </c>
      <c r="O460" s="76">
        <f>$L$460-EFEITO!$O$460*EFEITO!$AA$460</f>
        <v>0</v>
      </c>
      <c r="P460" s="57"/>
      <c r="Q460" s="57"/>
      <c r="R460" s="57"/>
      <c r="S460" s="57"/>
      <c r="T460" s="57"/>
      <c r="U460" s="57"/>
      <c r="V460" s="57"/>
      <c r="W460" s="57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53" t="s">
        <v>21</v>
      </c>
      <c r="B461" s="53" t="s">
        <v>39</v>
      </c>
      <c r="C461" s="53" t="s">
        <v>40</v>
      </c>
      <c r="D461" s="53" t="s">
        <v>45</v>
      </c>
      <c r="E461" s="53" t="s">
        <v>25</v>
      </c>
      <c r="F461" s="53" t="s">
        <v>25</v>
      </c>
      <c r="G461" s="53" t="s">
        <v>25</v>
      </c>
      <c r="H461" s="53" t="s">
        <v>35</v>
      </c>
      <c r="I461" s="75">
        <v>44743</v>
      </c>
      <c r="J461" s="76">
        <f>EFEITO!$J$461*EFEITO!$Y$461</f>
        <v>0</v>
      </c>
      <c r="K461" s="76">
        <f ca="1">EFEITO!$L$461*EFEITO!$Z$461</f>
        <v>34252.395427875374</v>
      </c>
      <c r="L461" s="76">
        <f>EFEITO!$N$461*EFEITO!$AA$461</f>
        <v>70560.396745609483</v>
      </c>
      <c r="M461" s="76">
        <f>$J$461-EFEITO!$K$461*EFEITO!$Y$461</f>
        <v>0</v>
      </c>
      <c r="N461" s="76">
        <f ca="1">$K$461-EFEITO!$M$461*EFEITO!$Z$461</f>
        <v>0</v>
      </c>
      <c r="O461" s="76">
        <f>$L$461-EFEITO!$O$461*EFEITO!$AA$461</f>
        <v>0</v>
      </c>
      <c r="P461" s="57"/>
      <c r="Q461" s="57"/>
      <c r="R461" s="57"/>
      <c r="S461" s="57"/>
      <c r="T461" s="57"/>
      <c r="U461" s="57"/>
      <c r="V461" s="57"/>
      <c r="W461" s="57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53" t="s">
        <v>56</v>
      </c>
      <c r="B462" s="53" t="s">
        <v>39</v>
      </c>
      <c r="C462" s="53" t="s">
        <v>40</v>
      </c>
      <c r="D462" s="53" t="s">
        <v>45</v>
      </c>
      <c r="E462" s="53" t="s">
        <v>25</v>
      </c>
      <c r="F462" s="53" t="s">
        <v>25</v>
      </c>
      <c r="G462" s="53" t="s">
        <v>25</v>
      </c>
      <c r="H462" s="53" t="s">
        <v>35</v>
      </c>
      <c r="I462" s="75">
        <v>44774</v>
      </c>
      <c r="J462" s="76">
        <f>EFEITO!$J$462*EFEITO!$Y$462</f>
        <v>0</v>
      </c>
      <c r="K462" s="76">
        <f ca="1">EFEITO!$L$462*EFEITO!$Z$462</f>
        <v>34252.395427875374</v>
      </c>
      <c r="L462" s="76">
        <f>EFEITO!$N$462*EFEITO!$AA$462</f>
        <v>70560.396745609483</v>
      </c>
      <c r="M462" s="76">
        <f>$J$462-EFEITO!$K$462*EFEITO!$Y$462</f>
        <v>0</v>
      </c>
      <c r="N462" s="76">
        <f ca="1">$K$462-EFEITO!$M$462*EFEITO!$Z$462</f>
        <v>0</v>
      </c>
      <c r="O462" s="76">
        <f>$L$462-EFEITO!$O$462*EFEITO!$AA$462</f>
        <v>0</v>
      </c>
      <c r="P462" s="57"/>
      <c r="Q462" s="57"/>
      <c r="R462" s="57"/>
      <c r="S462" s="57"/>
      <c r="T462" s="57"/>
      <c r="U462" s="57"/>
      <c r="V462" s="57"/>
      <c r="W462" s="57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53" t="s">
        <v>21</v>
      </c>
      <c r="B463" s="53" t="s">
        <v>39</v>
      </c>
      <c r="C463" s="53" t="s">
        <v>40</v>
      </c>
      <c r="D463" s="53" t="s">
        <v>45</v>
      </c>
      <c r="E463" s="53" t="s">
        <v>25</v>
      </c>
      <c r="F463" s="53" t="s">
        <v>25</v>
      </c>
      <c r="G463" s="53" t="s">
        <v>25</v>
      </c>
      <c r="H463" s="53" t="s">
        <v>25</v>
      </c>
      <c r="I463" s="75">
        <v>44440</v>
      </c>
      <c r="J463" s="76">
        <f ca="1">EFEITO!$J$463*EFEITO!$Y$463</f>
        <v>31397.499210030084</v>
      </c>
      <c r="K463" s="76">
        <f>EFEITO!$L$463*EFEITO!$Z$463</f>
        <v>0</v>
      </c>
      <c r="L463" s="76">
        <f>EFEITO!$N$463*EFEITO!$AA$463</f>
        <v>0</v>
      </c>
      <c r="M463" s="76">
        <f ca="1">$J$463-EFEITO!$K$463*EFEITO!$Y$463</f>
        <v>0</v>
      </c>
      <c r="N463" s="76">
        <f>$K$463-EFEITO!$M$463*EFEITO!$Z$463</f>
        <v>0</v>
      </c>
      <c r="O463" s="76">
        <f>$L$463-EFEITO!$O$463*EFEITO!$AA$463</f>
        <v>0</v>
      </c>
      <c r="P463" s="57"/>
      <c r="Q463" s="57"/>
      <c r="R463" s="57"/>
      <c r="S463" s="57"/>
      <c r="T463" s="57"/>
      <c r="U463" s="57"/>
      <c r="V463" s="57"/>
      <c r="W463" s="57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53" t="s">
        <v>28</v>
      </c>
      <c r="B464" s="53" t="s">
        <v>39</v>
      </c>
      <c r="C464" s="53" t="s">
        <v>40</v>
      </c>
      <c r="D464" s="53" t="s">
        <v>45</v>
      </c>
      <c r="E464" s="53" t="s">
        <v>25</v>
      </c>
      <c r="F464" s="53" t="s">
        <v>25</v>
      </c>
      <c r="G464" s="53" t="s">
        <v>25</v>
      </c>
      <c r="H464" s="53" t="s">
        <v>25</v>
      </c>
      <c r="I464" s="75">
        <v>44440</v>
      </c>
      <c r="J464" s="76">
        <f ca="1">EFEITO!$J$464*EFEITO!$Y$464</f>
        <v>2020.9039866022874</v>
      </c>
      <c r="K464" s="76">
        <f>EFEITO!$L$464*EFEITO!$Z$464</f>
        <v>0</v>
      </c>
      <c r="L464" s="76">
        <f>EFEITO!$N$464*EFEITO!$AA$464</f>
        <v>0</v>
      </c>
      <c r="M464" s="76">
        <f ca="1">$J$464-EFEITO!$K$464*EFEITO!$Y$464</f>
        <v>0</v>
      </c>
      <c r="N464" s="76">
        <f>$K$464-EFEITO!$M$464*EFEITO!$Z$464</f>
        <v>0</v>
      </c>
      <c r="O464" s="76">
        <f>$L$464-EFEITO!$O$464*EFEITO!$AA$464</f>
        <v>0</v>
      </c>
      <c r="P464" s="57"/>
      <c r="Q464" s="57"/>
      <c r="R464" s="57"/>
      <c r="S464" s="57"/>
      <c r="T464" s="57"/>
      <c r="U464" s="57"/>
      <c r="V464" s="57"/>
      <c r="W464" s="57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53" t="s">
        <v>21</v>
      </c>
      <c r="B465" s="53" t="s">
        <v>39</v>
      </c>
      <c r="C465" s="53" t="s">
        <v>40</v>
      </c>
      <c r="D465" s="53" t="s">
        <v>45</v>
      </c>
      <c r="E465" s="53" t="s">
        <v>25</v>
      </c>
      <c r="F465" s="53" t="s">
        <v>25</v>
      </c>
      <c r="G465" s="53" t="s">
        <v>25</v>
      </c>
      <c r="H465" s="53" t="s">
        <v>25</v>
      </c>
      <c r="I465" s="75">
        <v>44470</v>
      </c>
      <c r="J465" s="76">
        <f ca="1">EFEITO!$J$465*EFEITO!$Y$465</f>
        <v>29597.057476511683</v>
      </c>
      <c r="K465" s="76">
        <f>EFEITO!$L$465*EFEITO!$Z$465</f>
        <v>0</v>
      </c>
      <c r="L465" s="76">
        <f>EFEITO!$N$465*EFEITO!$AA$465</f>
        <v>0</v>
      </c>
      <c r="M465" s="76">
        <f ca="1">$J$465-EFEITO!$K$465*EFEITO!$Y$465</f>
        <v>0</v>
      </c>
      <c r="N465" s="76">
        <f>$K$465-EFEITO!$M$465*EFEITO!$Z$465</f>
        <v>0</v>
      </c>
      <c r="O465" s="76">
        <f>$L$465-EFEITO!$O$465*EFEITO!$AA$465</f>
        <v>0</v>
      </c>
      <c r="P465" s="57"/>
      <c r="Q465" s="57"/>
      <c r="R465" s="57"/>
      <c r="S465" s="57"/>
      <c r="T465" s="57"/>
      <c r="U465" s="57"/>
      <c r="V465" s="57"/>
      <c r="W465" s="57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53" t="s">
        <v>28</v>
      </c>
      <c r="B466" s="53" t="s">
        <v>39</v>
      </c>
      <c r="C466" s="53" t="s">
        <v>40</v>
      </c>
      <c r="D466" s="53" t="s">
        <v>45</v>
      </c>
      <c r="E466" s="53" t="s">
        <v>25</v>
      </c>
      <c r="F466" s="53" t="s">
        <v>25</v>
      </c>
      <c r="G466" s="53" t="s">
        <v>25</v>
      </c>
      <c r="H466" s="53" t="s">
        <v>25</v>
      </c>
      <c r="I466" s="75">
        <v>44470</v>
      </c>
      <c r="J466" s="76">
        <f ca="1">EFEITO!$J$466*EFEITO!$Y$466</f>
        <v>2020.9039866022874</v>
      </c>
      <c r="K466" s="76">
        <f>EFEITO!$L$466*EFEITO!$Z$466</f>
        <v>0</v>
      </c>
      <c r="L466" s="76">
        <f>EFEITO!$N$466*EFEITO!$AA$466</f>
        <v>0</v>
      </c>
      <c r="M466" s="76">
        <f ca="1">$J$466-EFEITO!$K$466*EFEITO!$Y$466</f>
        <v>0</v>
      </c>
      <c r="N466" s="76">
        <f>$K$466-EFEITO!$M$466*EFEITO!$Z$466</f>
        <v>0</v>
      </c>
      <c r="O466" s="76">
        <f>$L$466-EFEITO!$O$466*EFEITO!$AA$466</f>
        <v>0</v>
      </c>
      <c r="P466" s="57"/>
      <c r="Q466" s="57"/>
      <c r="R466" s="57"/>
      <c r="S466" s="57"/>
      <c r="T466" s="57"/>
      <c r="U466" s="57"/>
      <c r="V466" s="57"/>
      <c r="W466" s="57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53" t="s">
        <v>21</v>
      </c>
      <c r="B467" s="53" t="s">
        <v>39</v>
      </c>
      <c r="C467" s="53" t="s">
        <v>40</v>
      </c>
      <c r="D467" s="53" t="s">
        <v>45</v>
      </c>
      <c r="E467" s="53" t="s">
        <v>25</v>
      </c>
      <c r="F467" s="53" t="s">
        <v>25</v>
      </c>
      <c r="G467" s="53" t="s">
        <v>25</v>
      </c>
      <c r="H467" s="53" t="s">
        <v>25</v>
      </c>
      <c r="I467" s="75">
        <v>44501</v>
      </c>
      <c r="J467" s="76">
        <f ca="1">EFEITO!$J$467*EFEITO!$Y$467</f>
        <v>28972.414426107338</v>
      </c>
      <c r="K467" s="76">
        <f>EFEITO!$L$467*EFEITO!$Z$467</f>
        <v>0</v>
      </c>
      <c r="L467" s="76">
        <f>EFEITO!$N$467*EFEITO!$AA$467</f>
        <v>0</v>
      </c>
      <c r="M467" s="76">
        <f ca="1">$J$467-EFEITO!$K$467*EFEITO!$Y$467</f>
        <v>0</v>
      </c>
      <c r="N467" s="76">
        <f>$K$467-EFEITO!$M$467*EFEITO!$Z$467</f>
        <v>0</v>
      </c>
      <c r="O467" s="76">
        <f>$L$467-EFEITO!$O$467*EFEITO!$AA$467</f>
        <v>0</v>
      </c>
      <c r="P467" s="57"/>
      <c r="Q467" s="57"/>
      <c r="R467" s="57"/>
      <c r="S467" s="57"/>
      <c r="T467" s="57"/>
      <c r="U467" s="57"/>
      <c r="V467" s="57"/>
      <c r="W467" s="57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53" t="s">
        <v>28</v>
      </c>
      <c r="B468" s="53" t="s">
        <v>39</v>
      </c>
      <c r="C468" s="53" t="s">
        <v>40</v>
      </c>
      <c r="D468" s="53" t="s">
        <v>45</v>
      </c>
      <c r="E468" s="53" t="s">
        <v>25</v>
      </c>
      <c r="F468" s="53" t="s">
        <v>25</v>
      </c>
      <c r="G468" s="53" t="s">
        <v>25</v>
      </c>
      <c r="H468" s="53" t="s">
        <v>25</v>
      </c>
      <c r="I468" s="75">
        <v>44501</v>
      </c>
      <c r="J468" s="76">
        <f ca="1">EFEITO!$J$468*EFEITO!$Y$468</f>
        <v>2020.9039866022874</v>
      </c>
      <c r="K468" s="76">
        <f>EFEITO!$L$468*EFEITO!$Z$468</f>
        <v>0</v>
      </c>
      <c r="L468" s="76">
        <f>EFEITO!$N$468*EFEITO!$AA$468</f>
        <v>0</v>
      </c>
      <c r="M468" s="76">
        <f ca="1">$J$468-EFEITO!$K$468*EFEITO!$Y$468</f>
        <v>0</v>
      </c>
      <c r="N468" s="76">
        <f>$K$468-EFEITO!$M$468*EFEITO!$Z$468</f>
        <v>0</v>
      </c>
      <c r="O468" s="76">
        <f>$L$468-EFEITO!$O$468*EFEITO!$AA$468</f>
        <v>0</v>
      </c>
      <c r="P468" s="57"/>
      <c r="Q468" s="57"/>
      <c r="R468" s="57"/>
      <c r="S468" s="57"/>
      <c r="T468" s="57"/>
      <c r="U468" s="57"/>
      <c r="V468" s="57"/>
      <c r="W468" s="57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53" t="s">
        <v>21</v>
      </c>
      <c r="B469" s="53" t="s">
        <v>39</v>
      </c>
      <c r="C469" s="53" t="s">
        <v>40</v>
      </c>
      <c r="D469" s="53" t="s">
        <v>45</v>
      </c>
      <c r="E469" s="53" t="s">
        <v>25</v>
      </c>
      <c r="F469" s="53" t="s">
        <v>25</v>
      </c>
      <c r="G469" s="53" t="s">
        <v>25</v>
      </c>
      <c r="H469" s="53" t="s">
        <v>25</v>
      </c>
      <c r="I469" s="75">
        <v>44531</v>
      </c>
      <c r="J469" s="76">
        <f ca="1">EFEITO!$J$469*EFEITO!$Y$469</f>
        <v>29468.454495546081</v>
      </c>
      <c r="K469" s="76">
        <f>EFEITO!$L$469*EFEITO!$Z$469</f>
        <v>0</v>
      </c>
      <c r="L469" s="76">
        <f>EFEITO!$N$469*EFEITO!$AA$469</f>
        <v>0</v>
      </c>
      <c r="M469" s="76">
        <f ca="1">$J$469-EFEITO!$K$469*EFEITO!$Y$469</f>
        <v>0</v>
      </c>
      <c r="N469" s="76">
        <f>$K$469-EFEITO!$M$469*EFEITO!$Z$469</f>
        <v>0</v>
      </c>
      <c r="O469" s="76">
        <f>$L$469-EFEITO!$O$469*EFEITO!$AA$469</f>
        <v>0</v>
      </c>
      <c r="P469" s="57"/>
      <c r="Q469" s="57"/>
      <c r="R469" s="57"/>
      <c r="S469" s="57"/>
      <c r="T469" s="57"/>
      <c r="U469" s="57"/>
      <c r="V469" s="57"/>
      <c r="W469" s="57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53" t="s">
        <v>28</v>
      </c>
      <c r="B470" s="53" t="s">
        <v>39</v>
      </c>
      <c r="C470" s="53" t="s">
        <v>40</v>
      </c>
      <c r="D470" s="53" t="s">
        <v>45</v>
      </c>
      <c r="E470" s="53" t="s">
        <v>25</v>
      </c>
      <c r="F470" s="53" t="s">
        <v>25</v>
      </c>
      <c r="G470" s="53" t="s">
        <v>25</v>
      </c>
      <c r="H470" s="53" t="s">
        <v>25</v>
      </c>
      <c r="I470" s="75">
        <v>44531</v>
      </c>
      <c r="J470" s="76">
        <f ca="1">EFEITO!$J$470*EFEITO!$Y$470</f>
        <v>2020.9039866022874</v>
      </c>
      <c r="K470" s="76">
        <f>EFEITO!$L$470*EFEITO!$Z$470</f>
        <v>0</v>
      </c>
      <c r="L470" s="76">
        <f>EFEITO!$N$470*EFEITO!$AA$470</f>
        <v>0</v>
      </c>
      <c r="M470" s="76">
        <f ca="1">$J$470-EFEITO!$K$470*EFEITO!$Y$470</f>
        <v>0</v>
      </c>
      <c r="N470" s="76">
        <f>$K$470-EFEITO!$M$470*EFEITO!$Z$470</f>
        <v>0</v>
      </c>
      <c r="O470" s="76">
        <f>$L$470-EFEITO!$O$470*EFEITO!$AA$470</f>
        <v>0</v>
      </c>
      <c r="P470" s="57"/>
      <c r="Q470" s="57"/>
      <c r="R470" s="57"/>
      <c r="S470" s="57"/>
      <c r="T470" s="57"/>
      <c r="U470" s="57"/>
      <c r="V470" s="57"/>
      <c r="W470" s="57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53" t="s">
        <v>21</v>
      </c>
      <c r="B471" s="53" t="s">
        <v>39</v>
      </c>
      <c r="C471" s="53" t="s">
        <v>40</v>
      </c>
      <c r="D471" s="53" t="s">
        <v>45</v>
      </c>
      <c r="E471" s="53" t="s">
        <v>25</v>
      </c>
      <c r="F471" s="53" t="s">
        <v>25</v>
      </c>
      <c r="G471" s="53" t="s">
        <v>25</v>
      </c>
      <c r="H471" s="53" t="s">
        <v>25</v>
      </c>
      <c r="I471" s="75">
        <v>44562</v>
      </c>
      <c r="J471" s="76">
        <f ca="1">EFEITO!$J$471*EFEITO!$Y$471</f>
        <v>29450.082641122426</v>
      </c>
      <c r="K471" s="76">
        <f>EFEITO!$L$471*EFEITO!$Z$471</f>
        <v>0</v>
      </c>
      <c r="L471" s="76">
        <f>EFEITO!$N$471*EFEITO!$AA$471</f>
        <v>0</v>
      </c>
      <c r="M471" s="76">
        <f ca="1">$J$471-EFEITO!$K$471*EFEITO!$Y$471</f>
        <v>0</v>
      </c>
      <c r="N471" s="76">
        <f>$K$471-EFEITO!$M$471*EFEITO!$Z$471</f>
        <v>0</v>
      </c>
      <c r="O471" s="76">
        <f>$L$471-EFEITO!$O$471*EFEITO!$AA$471</f>
        <v>0</v>
      </c>
      <c r="P471" s="57"/>
      <c r="Q471" s="57"/>
      <c r="R471" s="57"/>
      <c r="S471" s="57"/>
      <c r="T471" s="57"/>
      <c r="U471" s="57"/>
      <c r="V471" s="57"/>
      <c r="W471" s="57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53" t="s">
        <v>28</v>
      </c>
      <c r="B472" s="53" t="s">
        <v>39</v>
      </c>
      <c r="C472" s="53" t="s">
        <v>40</v>
      </c>
      <c r="D472" s="53" t="s">
        <v>45</v>
      </c>
      <c r="E472" s="53" t="s">
        <v>25</v>
      </c>
      <c r="F472" s="53" t="s">
        <v>25</v>
      </c>
      <c r="G472" s="53" t="s">
        <v>25</v>
      </c>
      <c r="H472" s="53" t="s">
        <v>25</v>
      </c>
      <c r="I472" s="75">
        <v>44562</v>
      </c>
      <c r="J472" s="76">
        <f ca="1">EFEITO!$J$472*EFEITO!$Y$472</f>
        <v>2020.9039866022874</v>
      </c>
      <c r="K472" s="76">
        <f>EFEITO!$L$472*EFEITO!$Z$472</f>
        <v>0</v>
      </c>
      <c r="L472" s="76">
        <f>EFEITO!$N$472*EFEITO!$AA$472</f>
        <v>0</v>
      </c>
      <c r="M472" s="76">
        <f ca="1">$J$472-EFEITO!$K$472*EFEITO!$Y$472</f>
        <v>0</v>
      </c>
      <c r="N472" s="76">
        <f>$K$472-EFEITO!$M$472*EFEITO!$Z$472</f>
        <v>0</v>
      </c>
      <c r="O472" s="76">
        <f>$L$472-EFEITO!$O$472*EFEITO!$AA$472</f>
        <v>0</v>
      </c>
      <c r="P472" s="57"/>
      <c r="Q472" s="57"/>
      <c r="R472" s="57"/>
      <c r="S472" s="57"/>
      <c r="T472" s="57"/>
      <c r="U472" s="57"/>
      <c r="V472" s="57"/>
      <c r="W472" s="57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53" t="s">
        <v>21</v>
      </c>
      <c r="B473" s="53" t="s">
        <v>39</v>
      </c>
      <c r="C473" s="53" t="s">
        <v>40</v>
      </c>
      <c r="D473" s="53" t="s">
        <v>45</v>
      </c>
      <c r="E473" s="53" t="s">
        <v>25</v>
      </c>
      <c r="F473" s="53" t="s">
        <v>25</v>
      </c>
      <c r="G473" s="53" t="s">
        <v>25</v>
      </c>
      <c r="H473" s="53" t="s">
        <v>25</v>
      </c>
      <c r="I473" s="75">
        <v>44593</v>
      </c>
      <c r="J473" s="76">
        <f ca="1">EFEITO!$J$473*EFEITO!$Y$473</f>
        <v>30166.584963645055</v>
      </c>
      <c r="K473" s="76">
        <f>EFEITO!$L$473*EFEITO!$Z$473</f>
        <v>0</v>
      </c>
      <c r="L473" s="76">
        <f>EFEITO!$N$473*EFEITO!$AA$473</f>
        <v>0</v>
      </c>
      <c r="M473" s="76">
        <f ca="1">$J$473-EFEITO!$K$473*EFEITO!$Y$473</f>
        <v>0</v>
      </c>
      <c r="N473" s="76">
        <f>$K$473-EFEITO!$M$473*EFEITO!$Z$473</f>
        <v>0</v>
      </c>
      <c r="O473" s="76">
        <f>$L$473-EFEITO!$O$473*EFEITO!$AA$473</f>
        <v>0</v>
      </c>
      <c r="P473" s="57"/>
      <c r="Q473" s="57"/>
      <c r="R473" s="57"/>
      <c r="S473" s="57"/>
      <c r="T473" s="57"/>
      <c r="U473" s="57"/>
      <c r="V473" s="57"/>
      <c r="W473" s="57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53" t="s">
        <v>28</v>
      </c>
      <c r="B474" s="53" t="s">
        <v>39</v>
      </c>
      <c r="C474" s="53" t="s">
        <v>40</v>
      </c>
      <c r="D474" s="53" t="s">
        <v>45</v>
      </c>
      <c r="E474" s="53" t="s">
        <v>25</v>
      </c>
      <c r="F474" s="53" t="s">
        <v>25</v>
      </c>
      <c r="G474" s="53" t="s">
        <v>25</v>
      </c>
      <c r="H474" s="53" t="s">
        <v>25</v>
      </c>
      <c r="I474" s="75">
        <v>44593</v>
      </c>
      <c r="J474" s="76">
        <f ca="1">EFEITO!$J$474*EFEITO!$Y$474</f>
        <v>2020.9039866022874</v>
      </c>
      <c r="K474" s="76">
        <f>EFEITO!$L$474*EFEITO!$Z$474</f>
        <v>0</v>
      </c>
      <c r="L474" s="76">
        <f>EFEITO!$N$474*EFEITO!$AA$474</f>
        <v>0</v>
      </c>
      <c r="M474" s="76">
        <f ca="1">$J$474-EFEITO!$K$474*EFEITO!$Y$474</f>
        <v>0</v>
      </c>
      <c r="N474" s="76">
        <f>$K$474-EFEITO!$M$474*EFEITO!$Z$474</f>
        <v>0</v>
      </c>
      <c r="O474" s="76">
        <f>$L$474-EFEITO!$O$474*EFEITO!$AA$474</f>
        <v>0</v>
      </c>
      <c r="P474" s="57"/>
      <c r="Q474" s="57"/>
      <c r="R474" s="57"/>
      <c r="S474" s="57"/>
      <c r="T474" s="57"/>
      <c r="U474" s="57"/>
      <c r="V474" s="57"/>
      <c r="W474" s="57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53" t="s">
        <v>21</v>
      </c>
      <c r="B475" s="53" t="s">
        <v>39</v>
      </c>
      <c r="C475" s="53" t="s">
        <v>40</v>
      </c>
      <c r="D475" s="53" t="s">
        <v>45</v>
      </c>
      <c r="E475" s="53" t="s">
        <v>25</v>
      </c>
      <c r="F475" s="53" t="s">
        <v>25</v>
      </c>
      <c r="G475" s="53" t="s">
        <v>25</v>
      </c>
      <c r="H475" s="53" t="s">
        <v>25</v>
      </c>
      <c r="I475" s="75">
        <v>44621</v>
      </c>
      <c r="J475" s="76">
        <f ca="1">EFEITO!$J$475*EFEITO!$Y$475</f>
        <v>30570.765760965511</v>
      </c>
      <c r="K475" s="76">
        <f>EFEITO!$L$475*EFEITO!$Z$475</f>
        <v>0</v>
      </c>
      <c r="L475" s="76">
        <f>EFEITO!$N$475*EFEITO!$AA$475</f>
        <v>0</v>
      </c>
      <c r="M475" s="76">
        <f ca="1">$J$475-EFEITO!$K$475*EFEITO!$Y$475</f>
        <v>0</v>
      </c>
      <c r="N475" s="76">
        <f>$K$475-EFEITO!$M$475*EFEITO!$Z$475</f>
        <v>0</v>
      </c>
      <c r="O475" s="76">
        <f>$L$475-EFEITO!$O$475*EFEITO!$AA$475</f>
        <v>0</v>
      </c>
      <c r="P475" s="57"/>
      <c r="Q475" s="57"/>
      <c r="R475" s="57"/>
      <c r="S475" s="57"/>
      <c r="T475" s="57"/>
      <c r="U475" s="57"/>
      <c r="V475" s="57"/>
      <c r="W475" s="57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53" t="s">
        <v>28</v>
      </c>
      <c r="B476" s="53" t="s">
        <v>39</v>
      </c>
      <c r="C476" s="53" t="s">
        <v>40</v>
      </c>
      <c r="D476" s="53" t="s">
        <v>45</v>
      </c>
      <c r="E476" s="53" t="s">
        <v>25</v>
      </c>
      <c r="F476" s="53" t="s">
        <v>25</v>
      </c>
      <c r="G476" s="53" t="s">
        <v>25</v>
      </c>
      <c r="H476" s="53" t="s">
        <v>25</v>
      </c>
      <c r="I476" s="75">
        <v>44621</v>
      </c>
      <c r="J476" s="76">
        <f ca="1">EFEITO!$J$476*EFEITO!$Y$476</f>
        <v>2020.9039866022874</v>
      </c>
      <c r="K476" s="76">
        <f>EFEITO!$L$476*EFEITO!$Z$476</f>
        <v>0</v>
      </c>
      <c r="L476" s="76">
        <f>EFEITO!$N$476*EFEITO!$AA$476</f>
        <v>0</v>
      </c>
      <c r="M476" s="76">
        <f ca="1">$J$476-EFEITO!$K$476*EFEITO!$Y$476</f>
        <v>0</v>
      </c>
      <c r="N476" s="76">
        <f>$K$476-EFEITO!$M$476*EFEITO!$Z$476</f>
        <v>0</v>
      </c>
      <c r="O476" s="76">
        <f>$L$476-EFEITO!$O$476*EFEITO!$AA$476</f>
        <v>0</v>
      </c>
      <c r="P476" s="57"/>
      <c r="Q476" s="57"/>
      <c r="R476" s="57"/>
      <c r="S476" s="57"/>
      <c r="T476" s="57"/>
      <c r="U476" s="57"/>
      <c r="V476" s="57"/>
      <c r="W476" s="57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53" t="s">
        <v>21</v>
      </c>
      <c r="B477" s="53" t="s">
        <v>39</v>
      </c>
      <c r="C477" s="53" t="s">
        <v>40</v>
      </c>
      <c r="D477" s="53" t="s">
        <v>45</v>
      </c>
      <c r="E477" s="53" t="s">
        <v>25</v>
      </c>
      <c r="F477" s="53" t="s">
        <v>25</v>
      </c>
      <c r="G477" s="53" t="s">
        <v>25</v>
      </c>
      <c r="H477" s="53" t="s">
        <v>25</v>
      </c>
      <c r="I477" s="75">
        <v>44652</v>
      </c>
      <c r="J477" s="76">
        <f ca="1">EFEITO!$J$477*EFEITO!$Y$477</f>
        <v>29946.122710561169</v>
      </c>
      <c r="K477" s="76">
        <f>EFEITO!$L$477*EFEITO!$Z$477</f>
        <v>0</v>
      </c>
      <c r="L477" s="76">
        <f>EFEITO!$N$477*EFEITO!$AA$477</f>
        <v>0</v>
      </c>
      <c r="M477" s="76">
        <f ca="1">$J$477-EFEITO!$K$477*EFEITO!$Y$477</f>
        <v>0</v>
      </c>
      <c r="N477" s="76">
        <f>$K$477-EFEITO!$M$477*EFEITO!$Z$477</f>
        <v>0</v>
      </c>
      <c r="O477" s="76">
        <f>$L$477-EFEITO!$O$477*EFEITO!$AA$477</f>
        <v>0</v>
      </c>
      <c r="P477" s="57"/>
      <c r="Q477" s="57"/>
      <c r="R477" s="57"/>
      <c r="S477" s="57"/>
      <c r="T477" s="57"/>
      <c r="U477" s="57"/>
      <c r="V477" s="57"/>
      <c r="W477" s="57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53" t="s">
        <v>28</v>
      </c>
      <c r="B478" s="53" t="s">
        <v>39</v>
      </c>
      <c r="C478" s="53" t="s">
        <v>40</v>
      </c>
      <c r="D478" s="53" t="s">
        <v>45</v>
      </c>
      <c r="E478" s="53" t="s">
        <v>25</v>
      </c>
      <c r="F478" s="53" t="s">
        <v>25</v>
      </c>
      <c r="G478" s="53" t="s">
        <v>25</v>
      </c>
      <c r="H478" s="53" t="s">
        <v>25</v>
      </c>
      <c r="I478" s="75">
        <v>44652</v>
      </c>
      <c r="J478" s="76">
        <f ca="1">EFEITO!$J$478*EFEITO!$Y$478</f>
        <v>2020.9039866022874</v>
      </c>
      <c r="K478" s="76">
        <f>EFEITO!$L$478*EFEITO!$Z$478</f>
        <v>0</v>
      </c>
      <c r="L478" s="76">
        <f>EFEITO!$N$478*EFEITO!$AA$478</f>
        <v>0</v>
      </c>
      <c r="M478" s="76">
        <f ca="1">$J$478-EFEITO!$K$478*EFEITO!$Y$478</f>
        <v>0</v>
      </c>
      <c r="N478" s="76">
        <f>$K$478-EFEITO!$M$478*EFEITO!$Z$478</f>
        <v>0</v>
      </c>
      <c r="O478" s="76">
        <f>$L$478-EFEITO!$O$478*EFEITO!$AA$478</f>
        <v>0</v>
      </c>
      <c r="P478" s="57"/>
      <c r="Q478" s="57"/>
      <c r="R478" s="57"/>
      <c r="S478" s="57"/>
      <c r="T478" s="57"/>
      <c r="U478" s="57"/>
      <c r="V478" s="57"/>
      <c r="W478" s="57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53" t="s">
        <v>21</v>
      </c>
      <c r="B479" s="53" t="s">
        <v>39</v>
      </c>
      <c r="C479" s="53" t="s">
        <v>40</v>
      </c>
      <c r="D479" s="53" t="s">
        <v>45</v>
      </c>
      <c r="E479" s="53" t="s">
        <v>25</v>
      </c>
      <c r="F479" s="53" t="s">
        <v>25</v>
      </c>
      <c r="G479" s="53" t="s">
        <v>25</v>
      </c>
      <c r="H479" s="53" t="s">
        <v>25</v>
      </c>
      <c r="I479" s="75">
        <v>44682</v>
      </c>
      <c r="J479" s="76">
        <f ca="1">EFEITO!$J$479*EFEITO!$Y$479</f>
        <v>29101.017407072937</v>
      </c>
      <c r="K479" s="76">
        <f>EFEITO!$L$479*EFEITO!$Z$479</f>
        <v>0</v>
      </c>
      <c r="L479" s="76">
        <f>EFEITO!$N$479*EFEITO!$AA$479</f>
        <v>0</v>
      </c>
      <c r="M479" s="76">
        <f ca="1">$J$479-EFEITO!$K$479*EFEITO!$Y$479</f>
        <v>0</v>
      </c>
      <c r="N479" s="76">
        <f>$K$479-EFEITO!$M$479*EFEITO!$Z$479</f>
        <v>0</v>
      </c>
      <c r="O479" s="76">
        <f>$L$479-EFEITO!$O$479*EFEITO!$AA$479</f>
        <v>0</v>
      </c>
      <c r="P479" s="57"/>
      <c r="Q479" s="57"/>
      <c r="R479" s="57"/>
      <c r="S479" s="57"/>
      <c r="T479" s="57"/>
      <c r="U479" s="57"/>
      <c r="V479" s="57"/>
      <c r="W479" s="57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53" t="s">
        <v>28</v>
      </c>
      <c r="B480" s="53" t="s">
        <v>39</v>
      </c>
      <c r="C480" s="53" t="s">
        <v>40</v>
      </c>
      <c r="D480" s="53" t="s">
        <v>45</v>
      </c>
      <c r="E480" s="53" t="s">
        <v>25</v>
      </c>
      <c r="F480" s="53" t="s">
        <v>25</v>
      </c>
      <c r="G480" s="53" t="s">
        <v>25</v>
      </c>
      <c r="H480" s="53" t="s">
        <v>25</v>
      </c>
      <c r="I480" s="75">
        <v>44682</v>
      </c>
      <c r="J480" s="76">
        <f ca="1">EFEITO!$J$480*EFEITO!$Y$480</f>
        <v>2020.9039866022874</v>
      </c>
      <c r="K480" s="76">
        <f>EFEITO!$L$480*EFEITO!$Z$480</f>
        <v>0</v>
      </c>
      <c r="L480" s="76">
        <f>EFEITO!$N$480*EFEITO!$AA$480</f>
        <v>0</v>
      </c>
      <c r="M480" s="76">
        <f ca="1">$J$480-EFEITO!$K$480*EFEITO!$Y$480</f>
        <v>0</v>
      </c>
      <c r="N480" s="76">
        <f>$K$480-EFEITO!$M$480*EFEITO!$Z$480</f>
        <v>0</v>
      </c>
      <c r="O480" s="76">
        <f>$L$480-EFEITO!$O$480*EFEITO!$AA$480</f>
        <v>0</v>
      </c>
      <c r="P480" s="57"/>
      <c r="Q480" s="57"/>
      <c r="R480" s="57"/>
      <c r="S480" s="57"/>
      <c r="T480" s="57"/>
      <c r="U480" s="57"/>
      <c r="V480" s="57"/>
      <c r="W480" s="57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53" t="s">
        <v>21</v>
      </c>
      <c r="B481" s="53" t="s">
        <v>39</v>
      </c>
      <c r="C481" s="53" t="s">
        <v>40</v>
      </c>
      <c r="D481" s="53" t="s">
        <v>45</v>
      </c>
      <c r="E481" s="53" t="s">
        <v>25</v>
      </c>
      <c r="F481" s="53" t="s">
        <v>25</v>
      </c>
      <c r="G481" s="53" t="s">
        <v>25</v>
      </c>
      <c r="H481" s="53" t="s">
        <v>25</v>
      </c>
      <c r="I481" s="75">
        <v>44713</v>
      </c>
      <c r="J481" s="76">
        <f ca="1">EFEITO!$J$481*EFEITO!$Y$481</f>
        <v>28035.449850500823</v>
      </c>
      <c r="K481" s="76">
        <f>EFEITO!$L$481*EFEITO!$Z$481</f>
        <v>0</v>
      </c>
      <c r="L481" s="76">
        <f>EFEITO!$N$481*EFEITO!$AA$481</f>
        <v>0</v>
      </c>
      <c r="M481" s="76">
        <f ca="1">$J$481-EFEITO!$K$481*EFEITO!$Y$481</f>
        <v>0</v>
      </c>
      <c r="N481" s="76">
        <f>$K$481-EFEITO!$M$481*EFEITO!$Z$481</f>
        <v>0</v>
      </c>
      <c r="O481" s="76">
        <f>$L$481-EFEITO!$O$481*EFEITO!$AA$481</f>
        <v>0</v>
      </c>
      <c r="P481" s="57"/>
      <c r="Q481" s="57"/>
      <c r="R481" s="57"/>
      <c r="S481" s="57"/>
      <c r="T481" s="57"/>
      <c r="U481" s="57"/>
      <c r="V481" s="57"/>
      <c r="W481" s="57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53" t="s">
        <v>28</v>
      </c>
      <c r="B482" s="53" t="s">
        <v>39</v>
      </c>
      <c r="C482" s="53" t="s">
        <v>40</v>
      </c>
      <c r="D482" s="53" t="s">
        <v>45</v>
      </c>
      <c r="E482" s="53" t="s">
        <v>25</v>
      </c>
      <c r="F482" s="53" t="s">
        <v>25</v>
      </c>
      <c r="G482" s="53" t="s">
        <v>25</v>
      </c>
      <c r="H482" s="53" t="s">
        <v>25</v>
      </c>
      <c r="I482" s="75">
        <v>44713</v>
      </c>
      <c r="J482" s="76">
        <f ca="1">EFEITO!$J$482*EFEITO!$Y$482</f>
        <v>2020.9039866022874</v>
      </c>
      <c r="K482" s="76">
        <f>EFEITO!$L$482*EFEITO!$Z$482</f>
        <v>0</v>
      </c>
      <c r="L482" s="76">
        <f>EFEITO!$N$482*EFEITO!$AA$482</f>
        <v>0</v>
      </c>
      <c r="M482" s="76">
        <f ca="1">$J$482-EFEITO!$K$482*EFEITO!$Y$482</f>
        <v>0</v>
      </c>
      <c r="N482" s="76">
        <f>$K$482-EFEITO!$M$482*EFEITO!$Z$482</f>
        <v>0</v>
      </c>
      <c r="O482" s="76">
        <f>$L$482-EFEITO!$O$482*EFEITO!$AA$482</f>
        <v>0</v>
      </c>
      <c r="P482" s="57"/>
      <c r="Q482" s="57"/>
      <c r="R482" s="57"/>
      <c r="S482" s="57"/>
      <c r="T482" s="57"/>
      <c r="U482" s="57"/>
      <c r="V482" s="57"/>
      <c r="W482" s="57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53" t="s">
        <v>21</v>
      </c>
      <c r="B483" s="53" t="s">
        <v>39</v>
      </c>
      <c r="C483" s="53" t="s">
        <v>40</v>
      </c>
      <c r="D483" s="53" t="s">
        <v>45</v>
      </c>
      <c r="E483" s="53" t="s">
        <v>25</v>
      </c>
      <c r="F483" s="53" t="s">
        <v>25</v>
      </c>
      <c r="G483" s="53" t="s">
        <v>25</v>
      </c>
      <c r="H483" s="53" t="s">
        <v>25</v>
      </c>
      <c r="I483" s="75">
        <v>44743</v>
      </c>
      <c r="J483" s="76">
        <f ca="1">EFEITO!$J$483*EFEITO!$Y$483</f>
        <v>27980.334287229853</v>
      </c>
      <c r="K483" s="76">
        <f>EFEITO!$L$483*EFEITO!$Z$483</f>
        <v>0</v>
      </c>
      <c r="L483" s="76">
        <f>EFEITO!$N$483*EFEITO!$AA$483</f>
        <v>0</v>
      </c>
      <c r="M483" s="76">
        <f ca="1">$J$483-EFEITO!$K$483*EFEITO!$Y$483</f>
        <v>0</v>
      </c>
      <c r="N483" s="76">
        <f>$K$483-EFEITO!$M$483*EFEITO!$Z$483</f>
        <v>0</v>
      </c>
      <c r="O483" s="76">
        <f>$L$483-EFEITO!$O$483*EFEITO!$AA$483</f>
        <v>0</v>
      </c>
      <c r="P483" s="57"/>
      <c r="Q483" s="57"/>
      <c r="R483" s="57"/>
      <c r="S483" s="57"/>
      <c r="T483" s="57"/>
      <c r="U483" s="57"/>
      <c r="V483" s="57"/>
      <c r="W483" s="57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53" t="s">
        <v>28</v>
      </c>
      <c r="B484" s="53" t="s">
        <v>39</v>
      </c>
      <c r="C484" s="53" t="s">
        <v>40</v>
      </c>
      <c r="D484" s="53" t="s">
        <v>45</v>
      </c>
      <c r="E484" s="53" t="s">
        <v>25</v>
      </c>
      <c r="F484" s="53" t="s">
        <v>25</v>
      </c>
      <c r="G484" s="53" t="s">
        <v>25</v>
      </c>
      <c r="H484" s="53" t="s">
        <v>25</v>
      </c>
      <c r="I484" s="75">
        <v>44743</v>
      </c>
      <c r="J484" s="76">
        <f ca="1">EFEITO!$J$484*EFEITO!$Y$484</f>
        <v>2020.9039866022874</v>
      </c>
      <c r="K484" s="76">
        <f>EFEITO!$L$484*EFEITO!$Z$484</f>
        <v>0</v>
      </c>
      <c r="L484" s="76">
        <f>EFEITO!$N$484*EFEITO!$AA$484</f>
        <v>0</v>
      </c>
      <c r="M484" s="76">
        <f ca="1">$J$484-EFEITO!$K$484*EFEITO!$Y$484</f>
        <v>0</v>
      </c>
      <c r="N484" s="76">
        <f>$K$484-EFEITO!$M$484*EFEITO!$Z$484</f>
        <v>0</v>
      </c>
      <c r="O484" s="76">
        <f>$L$484-EFEITO!$O$484*EFEITO!$AA$484</f>
        <v>0</v>
      </c>
      <c r="P484" s="57"/>
      <c r="Q484" s="57"/>
      <c r="R484" s="57"/>
      <c r="S484" s="57"/>
      <c r="T484" s="57"/>
      <c r="U484" s="57"/>
      <c r="V484" s="57"/>
      <c r="W484" s="57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53" t="s">
        <v>56</v>
      </c>
      <c r="B485" s="53" t="s">
        <v>39</v>
      </c>
      <c r="C485" s="53" t="s">
        <v>40</v>
      </c>
      <c r="D485" s="53" t="s">
        <v>45</v>
      </c>
      <c r="E485" s="53" t="s">
        <v>25</v>
      </c>
      <c r="F485" s="53" t="s">
        <v>25</v>
      </c>
      <c r="G485" s="53" t="s">
        <v>25</v>
      </c>
      <c r="H485" s="53" t="s">
        <v>25</v>
      </c>
      <c r="I485" s="75">
        <v>44774</v>
      </c>
      <c r="J485" s="76">
        <f ca="1">EFEITO!$J$485*EFEITO!$Y$485</f>
        <v>27980.334287229853</v>
      </c>
      <c r="K485" s="76">
        <f>EFEITO!$L$485*EFEITO!$Z$485</f>
        <v>0</v>
      </c>
      <c r="L485" s="76">
        <f>EFEITO!$N$485*EFEITO!$AA$485</f>
        <v>0</v>
      </c>
      <c r="M485" s="76">
        <f ca="1">$J$485-EFEITO!$K$485*EFEITO!$Y$485</f>
        <v>0</v>
      </c>
      <c r="N485" s="76">
        <f>$K$485-EFEITO!$M$485*EFEITO!$Z$485</f>
        <v>0</v>
      </c>
      <c r="O485" s="76">
        <f>$L$485-EFEITO!$O$485*EFEITO!$AA$485</f>
        <v>0</v>
      </c>
      <c r="P485" s="57"/>
      <c r="Q485" s="57"/>
      <c r="R485" s="57"/>
      <c r="S485" s="57"/>
      <c r="T485" s="57"/>
      <c r="U485" s="57"/>
      <c r="V485" s="57"/>
      <c r="W485" s="57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53" t="s">
        <v>56</v>
      </c>
      <c r="B486" s="53" t="s">
        <v>39</v>
      </c>
      <c r="C486" s="53" t="s">
        <v>40</v>
      </c>
      <c r="D486" s="53" t="s">
        <v>45</v>
      </c>
      <c r="E486" s="53" t="s">
        <v>25</v>
      </c>
      <c r="F486" s="53" t="s">
        <v>25</v>
      </c>
      <c r="G486" s="53" t="s">
        <v>25</v>
      </c>
      <c r="H486" s="53" t="s">
        <v>25</v>
      </c>
      <c r="I486" s="75">
        <v>44774</v>
      </c>
      <c r="J486" s="76">
        <f ca="1">EFEITO!$J$486*EFEITO!$Y$486</f>
        <v>2020.9039866022874</v>
      </c>
      <c r="K486" s="76">
        <f>EFEITO!$L$486*EFEITO!$Z$486</f>
        <v>0</v>
      </c>
      <c r="L486" s="76">
        <f>EFEITO!$N$486*EFEITO!$AA$486</f>
        <v>0</v>
      </c>
      <c r="M486" s="76">
        <f ca="1">$J$486-EFEITO!$K$486*EFEITO!$Y$486</f>
        <v>0</v>
      </c>
      <c r="N486" s="76">
        <f>$K$486-EFEITO!$M$486*EFEITO!$Z$486</f>
        <v>0</v>
      </c>
      <c r="O486" s="76">
        <f>$L$486-EFEITO!$O$486*EFEITO!$AA$486</f>
        <v>0</v>
      </c>
      <c r="P486" s="57"/>
      <c r="Q486" s="57"/>
      <c r="R486" s="57"/>
      <c r="S486" s="57"/>
      <c r="T486" s="57"/>
      <c r="U486" s="57"/>
      <c r="V486" s="57"/>
      <c r="W486" s="57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53" t="s">
        <v>21</v>
      </c>
      <c r="B487" s="53" t="s">
        <v>39</v>
      </c>
      <c r="C487" s="53" t="s">
        <v>40</v>
      </c>
      <c r="D487" s="53" t="s">
        <v>45</v>
      </c>
      <c r="E487" s="53" t="s">
        <v>25</v>
      </c>
      <c r="F487" s="53" t="s">
        <v>25</v>
      </c>
      <c r="G487" s="53" t="s">
        <v>25</v>
      </c>
      <c r="H487" s="53" t="s">
        <v>34</v>
      </c>
      <c r="I487" s="75">
        <v>44440</v>
      </c>
      <c r="J487" s="76">
        <f>EFEITO!$J$487*EFEITO!$Y$487</f>
        <v>0</v>
      </c>
      <c r="K487" s="76">
        <f ca="1">EFEITO!$L$487*EFEITO!$Z$487</f>
        <v>45572.464626658613</v>
      </c>
      <c r="L487" s="76">
        <f>EFEITO!$N$487*EFEITO!$AA$487</f>
        <v>14453.352670522134</v>
      </c>
      <c r="M487" s="76">
        <f>$J$487-EFEITO!$K$487*EFEITO!$Y$487</f>
        <v>0</v>
      </c>
      <c r="N487" s="76">
        <f ca="1">$K$487-EFEITO!$M$487*EFEITO!$Z$487</f>
        <v>0</v>
      </c>
      <c r="O487" s="76">
        <f>$L$487-EFEITO!$O$487*EFEITO!$AA$487</f>
        <v>0</v>
      </c>
      <c r="P487" s="57"/>
      <c r="Q487" s="57"/>
      <c r="R487" s="57"/>
      <c r="S487" s="57"/>
      <c r="T487" s="57"/>
      <c r="U487" s="57"/>
      <c r="V487" s="57"/>
      <c r="W487" s="57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53" t="s">
        <v>21</v>
      </c>
      <c r="B488" s="53" t="s">
        <v>39</v>
      </c>
      <c r="C488" s="53" t="s">
        <v>40</v>
      </c>
      <c r="D488" s="53" t="s">
        <v>45</v>
      </c>
      <c r="E488" s="53" t="s">
        <v>25</v>
      </c>
      <c r="F488" s="53" t="s">
        <v>25</v>
      </c>
      <c r="G488" s="53" t="s">
        <v>25</v>
      </c>
      <c r="H488" s="53" t="s">
        <v>34</v>
      </c>
      <c r="I488" s="75">
        <v>44470</v>
      </c>
      <c r="J488" s="76">
        <f>EFEITO!$J$488*EFEITO!$Y$488</f>
        <v>0</v>
      </c>
      <c r="K488" s="76">
        <f ca="1">EFEITO!$L$488*EFEITO!$Z$488</f>
        <v>47757.099532955552</v>
      </c>
      <c r="L488" s="76">
        <f>EFEITO!$N$488*EFEITO!$AA$488</f>
        <v>15146.211812894962</v>
      </c>
      <c r="M488" s="76">
        <f>$J$488-EFEITO!$K$488*EFEITO!$Y$488</f>
        <v>0</v>
      </c>
      <c r="N488" s="76">
        <f ca="1">$K$488-EFEITO!$M$488*EFEITO!$Z$488</f>
        <v>0</v>
      </c>
      <c r="O488" s="76">
        <f>$L$488-EFEITO!$O$488*EFEITO!$AA$488</f>
        <v>0</v>
      </c>
      <c r="P488" s="57"/>
      <c r="Q488" s="57"/>
      <c r="R488" s="57"/>
      <c r="S488" s="57"/>
      <c r="T488" s="57"/>
      <c r="U488" s="57"/>
      <c r="V488" s="57"/>
      <c r="W488" s="57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53" t="s">
        <v>21</v>
      </c>
      <c r="B489" s="53" t="s">
        <v>39</v>
      </c>
      <c r="C489" s="53" t="s">
        <v>40</v>
      </c>
      <c r="D489" s="53" t="s">
        <v>45</v>
      </c>
      <c r="E489" s="53" t="s">
        <v>25</v>
      </c>
      <c r="F489" s="53" t="s">
        <v>25</v>
      </c>
      <c r="G489" s="53" t="s">
        <v>25</v>
      </c>
      <c r="H489" s="53" t="s">
        <v>34</v>
      </c>
      <c r="I489" s="75">
        <v>44501</v>
      </c>
      <c r="J489" s="76">
        <f>EFEITO!$J$489*EFEITO!$Y$489</f>
        <v>0</v>
      </c>
      <c r="K489" s="76">
        <f ca="1">EFEITO!$L$489*EFEITO!$Z$489</f>
        <v>41659.731421411496</v>
      </c>
      <c r="L489" s="76">
        <f>EFEITO!$N$489*EFEITO!$AA$489</f>
        <v>13212.425426749198</v>
      </c>
      <c r="M489" s="76">
        <f>$J$489-EFEITO!$K$489*EFEITO!$Y$489</f>
        <v>0</v>
      </c>
      <c r="N489" s="76">
        <f ca="1">$K$489-EFEITO!$M$489*EFEITO!$Z$489</f>
        <v>0</v>
      </c>
      <c r="O489" s="76">
        <f>$L$489-EFEITO!$O$489*EFEITO!$AA$489</f>
        <v>0</v>
      </c>
      <c r="P489" s="57"/>
      <c r="Q489" s="57"/>
      <c r="R489" s="57"/>
      <c r="S489" s="57"/>
      <c r="T489" s="57"/>
      <c r="U489" s="57"/>
      <c r="V489" s="57"/>
      <c r="W489" s="57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53" t="s">
        <v>21</v>
      </c>
      <c r="B490" s="53" t="s">
        <v>39</v>
      </c>
      <c r="C490" s="53" t="s">
        <v>40</v>
      </c>
      <c r="D490" s="53" t="s">
        <v>45</v>
      </c>
      <c r="E490" s="53" t="s">
        <v>25</v>
      </c>
      <c r="F490" s="53" t="s">
        <v>25</v>
      </c>
      <c r="G490" s="53" t="s">
        <v>25</v>
      </c>
      <c r="H490" s="53" t="s">
        <v>34</v>
      </c>
      <c r="I490" s="75">
        <v>44531</v>
      </c>
      <c r="J490" s="76">
        <f>EFEITO!$J$490*EFEITO!$Y$490</f>
        <v>0</v>
      </c>
      <c r="K490" s="76">
        <f ca="1">EFEITO!$L$490*EFEITO!$Z$490</f>
        <v>47211.706807400362</v>
      </c>
      <c r="L490" s="76">
        <f>EFEITO!$N$490*EFEITO!$AA$490</f>
        <v>14973.239965289966</v>
      </c>
      <c r="M490" s="76">
        <f>$J$490-EFEITO!$K$490*EFEITO!$Y$490</f>
        <v>0</v>
      </c>
      <c r="N490" s="76">
        <f ca="1">$K$490-EFEITO!$M$490*EFEITO!$Z$490</f>
        <v>0</v>
      </c>
      <c r="O490" s="76">
        <f>$L$490-EFEITO!$O$490*EFEITO!$AA$490</f>
        <v>0</v>
      </c>
      <c r="P490" s="57"/>
      <c r="Q490" s="57"/>
      <c r="R490" s="57"/>
      <c r="S490" s="57"/>
      <c r="T490" s="57"/>
      <c r="U490" s="57"/>
      <c r="V490" s="57"/>
      <c r="W490" s="57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53" t="s">
        <v>21</v>
      </c>
      <c r="B491" s="53" t="s">
        <v>39</v>
      </c>
      <c r="C491" s="53" t="s">
        <v>40</v>
      </c>
      <c r="D491" s="53" t="s">
        <v>45</v>
      </c>
      <c r="E491" s="53" t="s">
        <v>25</v>
      </c>
      <c r="F491" s="53" t="s">
        <v>25</v>
      </c>
      <c r="G491" s="53" t="s">
        <v>25</v>
      </c>
      <c r="H491" s="53" t="s">
        <v>34</v>
      </c>
      <c r="I491" s="75">
        <v>44562</v>
      </c>
      <c r="J491" s="76">
        <f>EFEITO!$J$491*EFEITO!$Y$491</f>
        <v>0</v>
      </c>
      <c r="K491" s="76">
        <f ca="1">EFEITO!$L$491*EFEITO!$Z$491</f>
        <v>48277.980225901534</v>
      </c>
      <c r="L491" s="76">
        <f>EFEITO!$N$491*EFEITO!$AA$491</f>
        <v>15311.409644877265</v>
      </c>
      <c r="M491" s="76">
        <f>$J$491-EFEITO!$K$491*EFEITO!$Y$491</f>
        <v>0</v>
      </c>
      <c r="N491" s="76">
        <f ca="1">$K$491-EFEITO!$M$491*EFEITO!$Z$491</f>
        <v>0</v>
      </c>
      <c r="O491" s="76">
        <f>$L$491-EFEITO!$O$491*EFEITO!$AA$491</f>
        <v>0</v>
      </c>
      <c r="P491" s="57"/>
      <c r="Q491" s="57"/>
      <c r="R491" s="57"/>
      <c r="S491" s="57"/>
      <c r="T491" s="57"/>
      <c r="U491" s="57"/>
      <c r="V491" s="57"/>
      <c r="W491" s="57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53" t="s">
        <v>21</v>
      </c>
      <c r="B492" s="53" t="s">
        <v>39</v>
      </c>
      <c r="C492" s="53" t="s">
        <v>40</v>
      </c>
      <c r="D492" s="53" t="s">
        <v>45</v>
      </c>
      <c r="E492" s="53" t="s">
        <v>25</v>
      </c>
      <c r="F492" s="53" t="s">
        <v>25</v>
      </c>
      <c r="G492" s="53" t="s">
        <v>25</v>
      </c>
      <c r="H492" s="53" t="s">
        <v>34</v>
      </c>
      <c r="I492" s="75">
        <v>44593</v>
      </c>
      <c r="J492" s="76">
        <f>EFEITO!$J$492*EFEITO!$Y$492</f>
        <v>0</v>
      </c>
      <c r="K492" s="76">
        <f ca="1">EFEITO!$L$492*EFEITO!$Z$492</f>
        <v>49753.298188569104</v>
      </c>
      <c r="L492" s="76">
        <f>EFEITO!$N$492*EFEITO!$AA$492</f>
        <v>15779.308210168312</v>
      </c>
      <c r="M492" s="76">
        <f>$J$492-EFEITO!$K$492*EFEITO!$Y$492</f>
        <v>0</v>
      </c>
      <c r="N492" s="76">
        <f ca="1">$K$492-EFEITO!$M$492*EFEITO!$Z$492</f>
        <v>0</v>
      </c>
      <c r="O492" s="76">
        <f>$L$492-EFEITO!$O$492*EFEITO!$AA$492</f>
        <v>0</v>
      </c>
      <c r="P492" s="57"/>
      <c r="Q492" s="57"/>
      <c r="R492" s="57"/>
      <c r="S492" s="57"/>
      <c r="T492" s="57"/>
      <c r="U492" s="57"/>
      <c r="V492" s="57"/>
      <c r="W492" s="57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53" t="s">
        <v>21</v>
      </c>
      <c r="B493" s="53" t="s">
        <v>39</v>
      </c>
      <c r="C493" s="53" t="s">
        <v>40</v>
      </c>
      <c r="D493" s="53" t="s">
        <v>45</v>
      </c>
      <c r="E493" s="53" t="s">
        <v>25</v>
      </c>
      <c r="F493" s="53" t="s">
        <v>25</v>
      </c>
      <c r="G493" s="53" t="s">
        <v>25</v>
      </c>
      <c r="H493" s="53" t="s">
        <v>34</v>
      </c>
      <c r="I493" s="75">
        <v>44621</v>
      </c>
      <c r="J493" s="76">
        <f>EFEITO!$J$493*EFEITO!$Y$493</f>
        <v>0</v>
      </c>
      <c r="K493" s="76">
        <f ca="1">EFEITO!$L$493*EFEITO!$Z$493</f>
        <v>57191.16808343002</v>
      </c>
      <c r="L493" s="76">
        <f>EFEITO!$N$493*EFEITO!$AA$493</f>
        <v>18138.236075680299</v>
      </c>
      <c r="M493" s="76">
        <f>$J$493-EFEITO!$K$493*EFEITO!$Y$493</f>
        <v>0</v>
      </c>
      <c r="N493" s="76">
        <f ca="1">$K$493-EFEITO!$M$493*EFEITO!$Z$493</f>
        <v>0</v>
      </c>
      <c r="O493" s="76">
        <f>$L$493-EFEITO!$O$493*EFEITO!$AA$493</f>
        <v>0</v>
      </c>
      <c r="P493" s="57"/>
      <c r="Q493" s="57"/>
      <c r="R493" s="57"/>
      <c r="S493" s="57"/>
      <c r="T493" s="57"/>
      <c r="U493" s="57"/>
      <c r="V493" s="57"/>
      <c r="W493" s="57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53" t="s">
        <v>21</v>
      </c>
      <c r="B494" s="53" t="s">
        <v>39</v>
      </c>
      <c r="C494" s="53" t="s">
        <v>40</v>
      </c>
      <c r="D494" s="53" t="s">
        <v>45</v>
      </c>
      <c r="E494" s="53" t="s">
        <v>25</v>
      </c>
      <c r="F494" s="53" t="s">
        <v>25</v>
      </c>
      <c r="G494" s="53" t="s">
        <v>25</v>
      </c>
      <c r="H494" s="53" t="s">
        <v>34</v>
      </c>
      <c r="I494" s="75">
        <v>44652</v>
      </c>
      <c r="J494" s="76">
        <f>EFEITO!$J$494*EFEITO!$Y$494</f>
        <v>0</v>
      </c>
      <c r="K494" s="76">
        <f ca="1">EFEITO!$L$494*EFEITO!$Z$494</f>
        <v>51899.633043914138</v>
      </c>
      <c r="L494" s="76">
        <f>EFEITO!$N$494*EFEITO!$AA$494</f>
        <v>16460.020453130681</v>
      </c>
      <c r="M494" s="76">
        <f>$J$494-EFEITO!$K$494*EFEITO!$Y$494</f>
        <v>0</v>
      </c>
      <c r="N494" s="76">
        <f ca="1">$K$494-EFEITO!$M$494*EFEITO!$Z$494</f>
        <v>0</v>
      </c>
      <c r="O494" s="76">
        <f>$L$494-EFEITO!$O$494*EFEITO!$AA$494</f>
        <v>0</v>
      </c>
      <c r="P494" s="57"/>
      <c r="Q494" s="57"/>
      <c r="R494" s="57"/>
      <c r="S494" s="57"/>
      <c r="T494" s="57"/>
      <c r="U494" s="57"/>
      <c r="V494" s="57"/>
      <c r="W494" s="57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53" t="s">
        <v>21</v>
      </c>
      <c r="B495" s="53" t="s">
        <v>39</v>
      </c>
      <c r="C495" s="53" t="s">
        <v>40</v>
      </c>
      <c r="D495" s="53" t="s">
        <v>45</v>
      </c>
      <c r="E495" s="53" t="s">
        <v>25</v>
      </c>
      <c r="F495" s="53" t="s">
        <v>25</v>
      </c>
      <c r="G495" s="53" t="s">
        <v>25</v>
      </c>
      <c r="H495" s="53" t="s">
        <v>34</v>
      </c>
      <c r="I495" s="75">
        <v>44682</v>
      </c>
      <c r="J495" s="76">
        <f>EFEITO!$J$495*EFEITO!$Y$495</f>
        <v>0</v>
      </c>
      <c r="K495" s="76">
        <f ca="1">EFEITO!$L$495*EFEITO!$Z$495</f>
        <v>39727.876851397152</v>
      </c>
      <c r="L495" s="76">
        <f>EFEITO!$N$495*EFEITO!$AA$495</f>
        <v>12599.735820485426</v>
      </c>
      <c r="M495" s="76">
        <f>$J$495-EFEITO!$K$495*EFEITO!$Y$495</f>
        <v>0</v>
      </c>
      <c r="N495" s="76">
        <f ca="1">$K$495-EFEITO!$M$495*EFEITO!$Z$495</f>
        <v>0</v>
      </c>
      <c r="O495" s="76">
        <f>$L$495-EFEITO!$O$495*EFEITO!$AA$495</f>
        <v>0</v>
      </c>
      <c r="P495" s="57"/>
      <c r="Q495" s="57"/>
      <c r="R495" s="57"/>
      <c r="S495" s="57"/>
      <c r="T495" s="57"/>
      <c r="U495" s="57"/>
      <c r="V495" s="57"/>
      <c r="W495" s="57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53" t="s">
        <v>21</v>
      </c>
      <c r="B496" s="53" t="s">
        <v>39</v>
      </c>
      <c r="C496" s="53" t="s">
        <v>40</v>
      </c>
      <c r="D496" s="53" t="s">
        <v>45</v>
      </c>
      <c r="E496" s="53" t="s">
        <v>25</v>
      </c>
      <c r="F496" s="53" t="s">
        <v>25</v>
      </c>
      <c r="G496" s="53" t="s">
        <v>25</v>
      </c>
      <c r="H496" s="53" t="s">
        <v>34</v>
      </c>
      <c r="I496" s="75">
        <v>44713</v>
      </c>
      <c r="J496" s="76">
        <f>EFEITO!$J$496*EFEITO!$Y$496</f>
        <v>0</v>
      </c>
      <c r="K496" s="76">
        <f ca="1">EFEITO!$L$496*EFEITO!$Z$496</f>
        <v>35347.883024536735</v>
      </c>
      <c r="L496" s="76">
        <f>EFEITO!$N$496*EFEITO!$AA$496</f>
        <v>11210.616403904838</v>
      </c>
      <c r="M496" s="76">
        <f>$J$496-EFEITO!$K$496*EFEITO!$Y$496</f>
        <v>0</v>
      </c>
      <c r="N496" s="76">
        <f ca="1">$K$496-EFEITO!$M$496*EFEITO!$Z$496</f>
        <v>0</v>
      </c>
      <c r="O496" s="76">
        <f>$L$496-EFEITO!$O$496*EFEITO!$AA$496</f>
        <v>0</v>
      </c>
      <c r="P496" s="57"/>
      <c r="Q496" s="57"/>
      <c r="R496" s="57"/>
      <c r="S496" s="57"/>
      <c r="T496" s="57"/>
      <c r="U496" s="57"/>
      <c r="V496" s="57"/>
      <c r="W496" s="57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53" t="s">
        <v>21</v>
      </c>
      <c r="B497" s="53" t="s">
        <v>39</v>
      </c>
      <c r="C497" s="53" t="s">
        <v>40</v>
      </c>
      <c r="D497" s="53" t="s">
        <v>45</v>
      </c>
      <c r="E497" s="53" t="s">
        <v>25</v>
      </c>
      <c r="F497" s="53" t="s">
        <v>25</v>
      </c>
      <c r="G497" s="53" t="s">
        <v>25</v>
      </c>
      <c r="H497" s="53" t="s">
        <v>34</v>
      </c>
      <c r="I497" s="75">
        <v>44743</v>
      </c>
      <c r="J497" s="76">
        <f>EFEITO!$J$497*EFEITO!$Y$497</f>
        <v>0</v>
      </c>
      <c r="K497" s="76">
        <f ca="1">EFEITO!$L$497*EFEITO!$Z$497</f>
        <v>34027.297267714879</v>
      </c>
      <c r="L497" s="76">
        <f>EFEITO!$N$497*EFEITO!$AA$497</f>
        <v>10791.791312232061</v>
      </c>
      <c r="M497" s="76">
        <f>$J$497-EFEITO!$K$497*EFEITO!$Y$497</f>
        <v>0</v>
      </c>
      <c r="N497" s="76">
        <f ca="1">$K$497-EFEITO!$M$497*EFEITO!$Z$497</f>
        <v>0</v>
      </c>
      <c r="O497" s="76">
        <f>$L$497-EFEITO!$O$497*EFEITO!$AA$497</f>
        <v>0</v>
      </c>
      <c r="P497" s="57"/>
      <c r="Q497" s="57"/>
      <c r="R497" s="57"/>
      <c r="S497" s="57"/>
      <c r="T497" s="57"/>
      <c r="U497" s="57"/>
      <c r="V497" s="57"/>
      <c r="W497" s="57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53" t="s">
        <v>56</v>
      </c>
      <c r="B498" s="53" t="s">
        <v>39</v>
      </c>
      <c r="C498" s="53" t="s">
        <v>40</v>
      </c>
      <c r="D498" s="53" t="s">
        <v>45</v>
      </c>
      <c r="E498" s="53" t="s">
        <v>25</v>
      </c>
      <c r="F498" s="53" t="s">
        <v>25</v>
      </c>
      <c r="G498" s="53" t="s">
        <v>25</v>
      </c>
      <c r="H498" s="53" t="s">
        <v>34</v>
      </c>
      <c r="I498" s="75">
        <v>44774</v>
      </c>
      <c r="J498" s="76">
        <f>EFEITO!$J$498*EFEITO!$Y$498</f>
        <v>0</v>
      </c>
      <c r="K498" s="76">
        <f ca="1">EFEITO!$L$498*EFEITO!$Z$498</f>
        <v>34027.297267714879</v>
      </c>
      <c r="L498" s="76">
        <f>EFEITO!$N$498*EFEITO!$AA$498</f>
        <v>10791.791312232061</v>
      </c>
      <c r="M498" s="76">
        <f>$J$498-EFEITO!$K$498*EFEITO!$Y$498</f>
        <v>0</v>
      </c>
      <c r="N498" s="76">
        <f ca="1">$K$498-EFEITO!$M$498*EFEITO!$Z$498</f>
        <v>0</v>
      </c>
      <c r="O498" s="76">
        <f>$L$498-EFEITO!$O$498*EFEITO!$AA$498</f>
        <v>0</v>
      </c>
      <c r="P498" s="57"/>
      <c r="Q498" s="57"/>
      <c r="R498" s="57"/>
      <c r="S498" s="57"/>
      <c r="T498" s="57"/>
      <c r="U498" s="57"/>
      <c r="V498" s="57"/>
      <c r="W498" s="57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53" t="s">
        <v>21</v>
      </c>
      <c r="B499" s="53" t="s">
        <v>39</v>
      </c>
      <c r="C499" s="53" t="s">
        <v>40</v>
      </c>
      <c r="D499" s="53" t="s">
        <v>49</v>
      </c>
      <c r="E499" s="53" t="s">
        <v>50</v>
      </c>
      <c r="F499" s="53" t="s">
        <v>25</v>
      </c>
      <c r="G499" s="53" t="s">
        <v>25</v>
      </c>
      <c r="H499" s="53" t="s">
        <v>35</v>
      </c>
      <c r="I499" s="75">
        <v>44440</v>
      </c>
      <c r="J499" s="76">
        <f>EFEITO!$J$499*EFEITO!$Y$462</f>
        <v>0</v>
      </c>
      <c r="K499" s="76">
        <f ca="1">EFEITO!$L$499*EFEITO!$Z$462</f>
        <v>16280.114235164578</v>
      </c>
      <c r="L499" s="76">
        <f>EFEITO!$N$499*EFEITO!$AA$462</f>
        <v>33537.254990411377</v>
      </c>
      <c r="M499" s="76">
        <f>$J$499-EFEITO!$K$499*EFEITO!$Y$499</f>
        <v>0</v>
      </c>
      <c r="N499" s="76">
        <f ca="1">$K$499-EFEITO!$M$499*EFEITO!$Z$499</f>
        <v>488.40342705493822</v>
      </c>
      <c r="O499" s="76">
        <f>$L$499-EFEITO!$O$499*EFEITO!$AA$499</f>
        <v>1006.1176497123415</v>
      </c>
      <c r="P499" s="57"/>
      <c r="Q499" s="57"/>
      <c r="R499" s="57"/>
      <c r="S499" s="57"/>
      <c r="T499" s="57"/>
      <c r="U499" s="57"/>
      <c r="V499" s="57"/>
      <c r="W499" s="57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53" t="s">
        <v>21</v>
      </c>
      <c r="B500" s="53" t="s">
        <v>39</v>
      </c>
      <c r="C500" s="53" t="s">
        <v>40</v>
      </c>
      <c r="D500" s="53" t="s">
        <v>49</v>
      </c>
      <c r="E500" s="53" t="s">
        <v>50</v>
      </c>
      <c r="F500" s="53" t="s">
        <v>25</v>
      </c>
      <c r="G500" s="53" t="s">
        <v>25</v>
      </c>
      <c r="H500" s="53" t="s">
        <v>35</v>
      </c>
      <c r="I500" s="75">
        <v>44470</v>
      </c>
      <c r="J500" s="76">
        <f>EFEITO!$J$500*EFEITO!$Y$462</f>
        <v>0</v>
      </c>
      <c r="K500" s="76">
        <f ca="1">EFEITO!$L$500*EFEITO!$Z$462</f>
        <v>16353.371419350811</v>
      </c>
      <c r="L500" s="76">
        <f>EFEITO!$N$500*EFEITO!$AA$462</f>
        <v>33688.165778286959</v>
      </c>
      <c r="M500" s="76">
        <f>$J$500-EFEITO!$K$500*EFEITO!$Y$500</f>
        <v>0</v>
      </c>
      <c r="N500" s="76">
        <f ca="1">$K$500-EFEITO!$M$500*EFEITO!$Z$500</f>
        <v>490.60114258052636</v>
      </c>
      <c r="O500" s="76">
        <f>$L$500-EFEITO!$O$500*EFEITO!$AA$500</f>
        <v>1010.6449733486079</v>
      </c>
      <c r="P500" s="57"/>
      <c r="Q500" s="57"/>
      <c r="R500" s="57"/>
      <c r="S500" s="57"/>
      <c r="T500" s="57"/>
      <c r="U500" s="57"/>
      <c r="V500" s="57"/>
      <c r="W500" s="57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53" t="s">
        <v>21</v>
      </c>
      <c r="B501" s="53" t="s">
        <v>39</v>
      </c>
      <c r="C501" s="53" t="s">
        <v>40</v>
      </c>
      <c r="D501" s="53" t="s">
        <v>49</v>
      </c>
      <c r="E501" s="53" t="s">
        <v>50</v>
      </c>
      <c r="F501" s="53" t="s">
        <v>25</v>
      </c>
      <c r="G501" s="53" t="s">
        <v>25</v>
      </c>
      <c r="H501" s="53" t="s">
        <v>35</v>
      </c>
      <c r="I501" s="75">
        <v>44501</v>
      </c>
      <c r="J501" s="76">
        <f>EFEITO!$J$501*EFEITO!$Y$462</f>
        <v>0</v>
      </c>
      <c r="K501" s="76">
        <f ca="1">EFEITO!$L$501*EFEITO!$Z$462</f>
        <v>19835.825562959355</v>
      </c>
      <c r="L501" s="76">
        <f>EFEITO!$N$501*EFEITO!$AA$462</f>
        <v>40862.068302530133</v>
      </c>
      <c r="M501" s="76">
        <f>$J$501-EFEITO!$K$501*EFEITO!$Y$501</f>
        <v>0</v>
      </c>
      <c r="N501" s="76">
        <f ca="1">$K$501-EFEITO!$M$501*EFEITO!$Z$501</f>
        <v>595.0747668887816</v>
      </c>
      <c r="O501" s="76">
        <f>$L$501-EFEITO!$O$501*EFEITO!$AA$501</f>
        <v>1225.8620490759058</v>
      </c>
      <c r="P501" s="57"/>
      <c r="Q501" s="57"/>
      <c r="R501" s="57"/>
      <c r="S501" s="57"/>
      <c r="T501" s="57"/>
      <c r="U501" s="57"/>
      <c r="V501" s="57"/>
      <c r="W501" s="57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53" t="s">
        <v>27</v>
      </c>
      <c r="B502" s="53" t="s">
        <v>39</v>
      </c>
      <c r="C502" s="53" t="s">
        <v>40</v>
      </c>
      <c r="D502" s="53" t="s">
        <v>49</v>
      </c>
      <c r="E502" s="53" t="s">
        <v>50</v>
      </c>
      <c r="F502" s="53" t="s">
        <v>25</v>
      </c>
      <c r="G502" s="53" t="s">
        <v>25</v>
      </c>
      <c r="H502" s="53" t="s">
        <v>35</v>
      </c>
      <c r="I502" s="75">
        <v>44501</v>
      </c>
      <c r="J502" s="76">
        <f>EFEITO!$J$502*EFEITO!$Y$462</f>
        <v>0</v>
      </c>
      <c r="K502" s="76">
        <f ca="1">EFEITO!$L$502*EFEITO!$Z$462</f>
        <v>4227.4575076358005</v>
      </c>
      <c r="L502" s="76">
        <f>EFEITO!$N$502*EFEITO!$AA$462</f>
        <v>8708.6195063960822</v>
      </c>
      <c r="M502" s="76">
        <f>$J$502-EFEITO!$K$502*EFEITO!$Y$502</f>
        <v>0</v>
      </c>
      <c r="N502" s="76">
        <f ca="1">$K$502-EFEITO!$M$502*EFEITO!$Z$502</f>
        <v>126.82372522907463</v>
      </c>
      <c r="O502" s="76">
        <f>$L$502-EFEITO!$O$502*EFEITO!$AA$502</f>
        <v>261.25858519188296</v>
      </c>
      <c r="P502" s="57"/>
      <c r="Q502" s="57"/>
      <c r="R502" s="57"/>
      <c r="S502" s="57"/>
      <c r="T502" s="57"/>
      <c r="U502" s="57"/>
      <c r="V502" s="57"/>
      <c r="W502" s="57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53" t="s">
        <v>21</v>
      </c>
      <c r="B503" s="53" t="s">
        <v>39</v>
      </c>
      <c r="C503" s="53" t="s">
        <v>40</v>
      </c>
      <c r="D503" s="53" t="s">
        <v>49</v>
      </c>
      <c r="E503" s="53" t="s">
        <v>50</v>
      </c>
      <c r="F503" s="53" t="s">
        <v>25</v>
      </c>
      <c r="G503" s="53" t="s">
        <v>25</v>
      </c>
      <c r="H503" s="53" t="s">
        <v>35</v>
      </c>
      <c r="I503" s="75">
        <v>44531</v>
      </c>
      <c r="J503" s="76">
        <f>EFEITO!$J$503*EFEITO!$Y$462</f>
        <v>0</v>
      </c>
      <c r="K503" s="76">
        <f ca="1">EFEITO!$L$503*EFEITO!$Z$462</f>
        <v>19912.338621998308</v>
      </c>
      <c r="L503" s="76">
        <f>EFEITO!$N$503*EFEITO!$AA$462</f>
        <v>41019.686236533526</v>
      </c>
      <c r="M503" s="76">
        <f>$J$503-EFEITO!$K$503*EFEITO!$Y$503</f>
        <v>0</v>
      </c>
      <c r="N503" s="76">
        <f ca="1">$K$503-EFEITO!$M$503*EFEITO!$Z$503</f>
        <v>597.37015865994908</v>
      </c>
      <c r="O503" s="76">
        <f>$L$503-EFEITO!$O$503*EFEITO!$AA$503</f>
        <v>1230.5905870960123</v>
      </c>
      <c r="P503" s="57"/>
      <c r="Q503" s="57"/>
      <c r="R503" s="57"/>
      <c r="S503" s="57"/>
      <c r="T503" s="57"/>
      <c r="U503" s="57"/>
      <c r="V503" s="57"/>
      <c r="W503" s="57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53" t="s">
        <v>21</v>
      </c>
      <c r="B504" s="53" t="s">
        <v>39</v>
      </c>
      <c r="C504" s="53" t="s">
        <v>40</v>
      </c>
      <c r="D504" s="53" t="s">
        <v>49</v>
      </c>
      <c r="E504" s="53" t="s">
        <v>50</v>
      </c>
      <c r="F504" s="53" t="s">
        <v>25</v>
      </c>
      <c r="G504" s="53" t="s">
        <v>25</v>
      </c>
      <c r="H504" s="53" t="s">
        <v>35</v>
      </c>
      <c r="I504" s="75">
        <v>44562</v>
      </c>
      <c r="J504" s="76">
        <f>EFEITO!$J$504*EFEITO!$Y$462</f>
        <v>0</v>
      </c>
      <c r="K504" s="76">
        <f ca="1">EFEITO!$L$504*EFEITO!$Z$462</f>
        <v>21460.951097401809</v>
      </c>
      <c r="L504" s="76">
        <f>EFEITO!$N$504*EFEITO!$AA$462</f>
        <v>44209.84883113981</v>
      </c>
      <c r="M504" s="76">
        <f>$J$504-EFEITO!$K$504*EFEITO!$Y$504</f>
        <v>0</v>
      </c>
      <c r="N504" s="76">
        <f ca="1">$K$504-EFEITO!$M$504*EFEITO!$Z$504</f>
        <v>643.82853292205618</v>
      </c>
      <c r="O504" s="76">
        <f>$L$504-EFEITO!$O$504*EFEITO!$AA$504</f>
        <v>1326.2954649341991</v>
      </c>
      <c r="P504" s="57"/>
      <c r="Q504" s="57"/>
      <c r="R504" s="57"/>
      <c r="S504" s="57"/>
      <c r="T504" s="57"/>
      <c r="U504" s="57"/>
      <c r="V504" s="57"/>
      <c r="W504" s="57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53" t="s">
        <v>21</v>
      </c>
      <c r="B505" s="53" t="s">
        <v>39</v>
      </c>
      <c r="C505" s="53" t="s">
        <v>40</v>
      </c>
      <c r="D505" s="53" t="s">
        <v>49</v>
      </c>
      <c r="E505" s="53" t="s">
        <v>50</v>
      </c>
      <c r="F505" s="53" t="s">
        <v>25</v>
      </c>
      <c r="G505" s="53" t="s">
        <v>25</v>
      </c>
      <c r="H505" s="53" t="s">
        <v>35</v>
      </c>
      <c r="I505" s="75">
        <v>44593</v>
      </c>
      <c r="J505" s="76">
        <f>EFEITO!$J$505*EFEITO!$Y$462</f>
        <v>0</v>
      </c>
      <c r="K505" s="76">
        <f ca="1">EFEITO!$L$505*EFEITO!$Z$462</f>
        <v>20179.024371298488</v>
      </c>
      <c r="L505" s="76">
        <f>EFEITO!$N$505*EFEITO!$AA$462</f>
        <v>41569.062478456355</v>
      </c>
      <c r="M505" s="76">
        <f>$J$505-EFEITO!$K$505*EFEITO!$Y$505</f>
        <v>0</v>
      </c>
      <c r="N505" s="76">
        <f ca="1">$K$505-EFEITO!$M$505*EFEITO!$Z$505</f>
        <v>605.37073113895531</v>
      </c>
      <c r="O505" s="76">
        <f>$L$505-EFEITO!$O$505*EFEITO!$AA$505</f>
        <v>1247.0718743536927</v>
      </c>
      <c r="P505" s="57"/>
      <c r="Q505" s="57"/>
      <c r="R505" s="57"/>
      <c r="S505" s="57"/>
      <c r="T505" s="57"/>
      <c r="U505" s="57"/>
      <c r="V505" s="57"/>
      <c r="W505" s="57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53" t="s">
        <v>21</v>
      </c>
      <c r="B506" s="53" t="s">
        <v>39</v>
      </c>
      <c r="C506" s="53" t="s">
        <v>40</v>
      </c>
      <c r="D506" s="53" t="s">
        <v>49</v>
      </c>
      <c r="E506" s="53" t="s">
        <v>50</v>
      </c>
      <c r="F506" s="53" t="s">
        <v>25</v>
      </c>
      <c r="G506" s="53" t="s">
        <v>25</v>
      </c>
      <c r="H506" s="53" t="s">
        <v>35</v>
      </c>
      <c r="I506" s="75">
        <v>44621</v>
      </c>
      <c r="J506" s="76">
        <f>EFEITO!$J$506*EFEITO!$Y$462</f>
        <v>0</v>
      </c>
      <c r="K506" s="76">
        <f ca="1">EFEITO!$L$506*EFEITO!$Z$462</f>
        <v>20996.396953643052</v>
      </c>
      <c r="L506" s="76">
        <f>EFEITO!$N$506*EFEITO!$AA$462</f>
        <v>43252.861026813625</v>
      </c>
      <c r="M506" s="76">
        <f>$J$506-EFEITO!$K$506*EFEITO!$Y$506</f>
        <v>0</v>
      </c>
      <c r="N506" s="76">
        <f ca="1">$K$506-EFEITO!$M$506*EFEITO!$Z$506</f>
        <v>629.89190860929011</v>
      </c>
      <c r="O506" s="76">
        <f>$L$506-EFEITO!$O$506*EFEITO!$AA$506</f>
        <v>1297.5858308044117</v>
      </c>
      <c r="P506" s="57"/>
      <c r="Q506" s="57"/>
      <c r="R506" s="57"/>
      <c r="S506" s="57"/>
      <c r="T506" s="57"/>
      <c r="U506" s="57"/>
      <c r="V506" s="57"/>
      <c r="W506" s="57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53" t="s">
        <v>21</v>
      </c>
      <c r="B507" s="53" t="s">
        <v>39</v>
      </c>
      <c r="C507" s="53" t="s">
        <v>40</v>
      </c>
      <c r="D507" s="53" t="s">
        <v>49</v>
      </c>
      <c r="E507" s="53" t="s">
        <v>50</v>
      </c>
      <c r="F507" s="53" t="s">
        <v>25</v>
      </c>
      <c r="G507" s="53" t="s">
        <v>25</v>
      </c>
      <c r="H507" s="53" t="s">
        <v>35</v>
      </c>
      <c r="I507" s="75">
        <v>44652</v>
      </c>
      <c r="J507" s="76">
        <f>EFEITO!$J$507*EFEITO!$Y$462</f>
        <v>0</v>
      </c>
      <c r="K507" s="76">
        <f ca="1">EFEITO!$L$507*EFEITO!$Z$462</f>
        <v>20542.794388934362</v>
      </c>
      <c r="L507" s="76">
        <f>EFEITO!$N$507*EFEITO!$AA$462</f>
        <v>42318.433623099154</v>
      </c>
      <c r="M507" s="76">
        <f>$J$507-EFEITO!$K$507*EFEITO!$Y$507</f>
        <v>0</v>
      </c>
      <c r="N507" s="76">
        <f ca="1">$K$507-EFEITO!$M$507*EFEITO!$Z$507</f>
        <v>616.28383166803178</v>
      </c>
      <c r="O507" s="76">
        <f>$L$507-EFEITO!$O$507*EFEITO!$AA$507</f>
        <v>1269.5530086929793</v>
      </c>
      <c r="P507" s="57"/>
      <c r="Q507" s="57"/>
      <c r="R507" s="57"/>
      <c r="S507" s="57"/>
      <c r="T507" s="57"/>
      <c r="U507" s="57"/>
      <c r="V507" s="57"/>
      <c r="W507" s="57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53" t="s">
        <v>21</v>
      </c>
      <c r="B508" s="53" t="s">
        <v>39</v>
      </c>
      <c r="C508" s="53" t="s">
        <v>40</v>
      </c>
      <c r="D508" s="53" t="s">
        <v>49</v>
      </c>
      <c r="E508" s="53" t="s">
        <v>50</v>
      </c>
      <c r="F508" s="53" t="s">
        <v>25</v>
      </c>
      <c r="G508" s="53" t="s">
        <v>25</v>
      </c>
      <c r="H508" s="53" t="s">
        <v>35</v>
      </c>
      <c r="I508" s="75">
        <v>44682</v>
      </c>
      <c r="J508" s="76">
        <f>EFEITO!$J$508*EFEITO!$Y$462</f>
        <v>0</v>
      </c>
      <c r="K508" s="76">
        <f ca="1">EFEITO!$L$508*EFEITO!$Z$462</f>
        <v>19935.425734590332</v>
      </c>
      <c r="L508" s="76">
        <f>EFEITO!$N$508*EFEITO!$AA$462</f>
        <v>41067.245999985222</v>
      </c>
      <c r="M508" s="76">
        <f>$J$508-EFEITO!$K$508*EFEITO!$Y$508</f>
        <v>0</v>
      </c>
      <c r="N508" s="76">
        <f ca="1">$K$508-EFEITO!$M$508*EFEITO!$Z$508</f>
        <v>598.06277203770878</v>
      </c>
      <c r="O508" s="76">
        <f>$L$508-EFEITO!$O$508*EFEITO!$AA$508</f>
        <v>1232.0173799995537</v>
      </c>
      <c r="P508" s="57"/>
      <c r="Q508" s="57"/>
      <c r="R508" s="57"/>
      <c r="S508" s="57"/>
      <c r="T508" s="57"/>
      <c r="U508" s="57"/>
      <c r="V508" s="57"/>
      <c r="W508" s="57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53" t="s">
        <v>21</v>
      </c>
      <c r="B509" s="53" t="s">
        <v>39</v>
      </c>
      <c r="C509" s="53" t="s">
        <v>40</v>
      </c>
      <c r="D509" s="53" t="s">
        <v>49</v>
      </c>
      <c r="E509" s="53" t="s">
        <v>50</v>
      </c>
      <c r="F509" s="53" t="s">
        <v>25</v>
      </c>
      <c r="G509" s="53" t="s">
        <v>25</v>
      </c>
      <c r="H509" s="53" t="s">
        <v>35</v>
      </c>
      <c r="I509" s="75">
        <v>44713</v>
      </c>
      <c r="J509" s="76">
        <f>EFEITO!$J$509*EFEITO!$Y$462</f>
        <v>0</v>
      </c>
      <c r="K509" s="76">
        <f ca="1">EFEITO!$L$509*EFEITO!$Z$462</f>
        <v>18230.235277633226</v>
      </c>
      <c r="L509" s="76">
        <f>EFEITO!$N$509*EFEITO!$AA$462</f>
        <v>37554.53065068728</v>
      </c>
      <c r="M509" s="76">
        <f>$J$509-EFEITO!$K$509*EFEITO!$Y$509</f>
        <v>0</v>
      </c>
      <c r="N509" s="76">
        <f ca="1">$K$509-EFEITO!$M$509*EFEITO!$Z$509</f>
        <v>546.90705832899766</v>
      </c>
      <c r="O509" s="76">
        <f>$L$509-EFEITO!$O$509*EFEITO!$AA$509</f>
        <v>1126.6359195206169</v>
      </c>
      <c r="P509" s="57"/>
      <c r="Q509" s="57"/>
      <c r="R509" s="57"/>
      <c r="S509" s="57"/>
      <c r="T509" s="57"/>
      <c r="U509" s="57"/>
      <c r="V509" s="57"/>
      <c r="W509" s="57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53" t="s">
        <v>21</v>
      </c>
      <c r="B510" s="53" t="s">
        <v>39</v>
      </c>
      <c r="C510" s="53" t="s">
        <v>40</v>
      </c>
      <c r="D510" s="53" t="s">
        <v>49</v>
      </c>
      <c r="E510" s="53" t="s">
        <v>50</v>
      </c>
      <c r="F510" s="53" t="s">
        <v>25</v>
      </c>
      <c r="G510" s="53" t="s">
        <v>25</v>
      </c>
      <c r="H510" s="53" t="s">
        <v>35</v>
      </c>
      <c r="I510" s="75">
        <v>44743</v>
      </c>
      <c r="J510" s="76">
        <f>EFEITO!$J$510*EFEITO!$Y$462</f>
        <v>0</v>
      </c>
      <c r="K510" s="76">
        <f ca="1">EFEITO!$L$510*EFEITO!$Z$462</f>
        <v>18641.36347494505</v>
      </c>
      <c r="L510" s="76">
        <f>EFEITO!$N$510*EFEITO!$AA$462</f>
        <v>38401.460284461769</v>
      </c>
      <c r="M510" s="76">
        <f>$J$510-EFEITO!$K$510*EFEITO!$Y$510</f>
        <v>0</v>
      </c>
      <c r="N510" s="76">
        <f ca="1">$K$510-EFEITO!$M$510*EFEITO!$Z$510</f>
        <v>559.24090424835231</v>
      </c>
      <c r="O510" s="76">
        <f>$L$510-EFEITO!$O$510*EFEITO!$AA$510</f>
        <v>1152.0438085338537</v>
      </c>
      <c r="P510" s="57"/>
      <c r="Q510" s="57"/>
      <c r="R510" s="57"/>
      <c r="S510" s="57"/>
      <c r="T510" s="57"/>
      <c r="U510" s="57"/>
      <c r="V510" s="57"/>
      <c r="W510" s="57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53" t="s">
        <v>56</v>
      </c>
      <c r="B511" s="53" t="s">
        <v>39</v>
      </c>
      <c r="C511" s="53" t="s">
        <v>40</v>
      </c>
      <c r="D511" s="53" t="s">
        <v>49</v>
      </c>
      <c r="E511" s="53" t="s">
        <v>50</v>
      </c>
      <c r="F511" s="53" t="s">
        <v>25</v>
      </c>
      <c r="G511" s="53" t="s">
        <v>25</v>
      </c>
      <c r="H511" s="53" t="s">
        <v>35</v>
      </c>
      <c r="I511" s="75">
        <v>44774</v>
      </c>
      <c r="J511" s="76">
        <f>EFEITO!$J$511*EFEITO!$Y$462</f>
        <v>0</v>
      </c>
      <c r="K511" s="76">
        <f ca="1">EFEITO!$L$511*EFEITO!$Z$462</f>
        <v>18641.36347494505</v>
      </c>
      <c r="L511" s="76">
        <f>EFEITO!$N$511*EFEITO!$AA$462</f>
        <v>38401.460284461769</v>
      </c>
      <c r="M511" s="76">
        <f>$J$511-EFEITO!$K$511*EFEITO!$Y$511</f>
        <v>0</v>
      </c>
      <c r="N511" s="76">
        <f ca="1">$K$511-EFEITO!$M$511*EFEITO!$Z$511</f>
        <v>559.24090424835231</v>
      </c>
      <c r="O511" s="76">
        <f>$L$511-EFEITO!$O$511*EFEITO!$AA$511</f>
        <v>1152.0438085338537</v>
      </c>
      <c r="P511" s="57"/>
      <c r="Q511" s="57"/>
      <c r="R511" s="57"/>
      <c r="S511" s="57"/>
      <c r="T511" s="57"/>
      <c r="U511" s="57"/>
      <c r="V511" s="57"/>
      <c r="W511" s="57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53" t="s">
        <v>21</v>
      </c>
      <c r="B512" s="53" t="s">
        <v>39</v>
      </c>
      <c r="C512" s="53" t="s">
        <v>40</v>
      </c>
      <c r="D512" s="53" t="s">
        <v>49</v>
      </c>
      <c r="E512" s="53" t="s">
        <v>50</v>
      </c>
      <c r="F512" s="53" t="s">
        <v>25</v>
      </c>
      <c r="G512" s="53" t="s">
        <v>25</v>
      </c>
      <c r="H512" s="53" t="s">
        <v>25</v>
      </c>
      <c r="I512" s="75">
        <v>44440</v>
      </c>
      <c r="J512" s="76">
        <f ca="1">EFEITO!$J$512*EFEITO!$Y$486</f>
        <v>9847.313971080237</v>
      </c>
      <c r="K512" s="76">
        <f>EFEITO!$L$512*EFEITO!$Z$486</f>
        <v>0</v>
      </c>
      <c r="L512" s="76">
        <f>EFEITO!$N$512*EFEITO!$AA$486</f>
        <v>0</v>
      </c>
      <c r="M512" s="76">
        <f ca="1">$J$512-EFEITO!$K$512*EFEITO!$Y$512</f>
        <v>295.41941913240771</v>
      </c>
      <c r="N512" s="76">
        <f>$K$512-EFEITO!$M$512*EFEITO!$Z$512</f>
        <v>0</v>
      </c>
      <c r="O512" s="76">
        <f>$L$512-EFEITO!$O$512*EFEITO!$AA$512</f>
        <v>0</v>
      </c>
      <c r="P512" s="57"/>
      <c r="Q512" s="57"/>
      <c r="R512" s="57"/>
      <c r="S512" s="57"/>
      <c r="T512" s="57"/>
      <c r="U512" s="57"/>
      <c r="V512" s="57"/>
      <c r="W512" s="57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53" t="s">
        <v>21</v>
      </c>
      <c r="B513" s="53" t="s">
        <v>39</v>
      </c>
      <c r="C513" s="53" t="s">
        <v>40</v>
      </c>
      <c r="D513" s="53" t="s">
        <v>49</v>
      </c>
      <c r="E513" s="53" t="s">
        <v>50</v>
      </c>
      <c r="F513" s="53" t="s">
        <v>25</v>
      </c>
      <c r="G513" s="53" t="s">
        <v>25</v>
      </c>
      <c r="H513" s="53" t="s">
        <v>25</v>
      </c>
      <c r="I513" s="75">
        <v>44470</v>
      </c>
      <c r="J513" s="76">
        <f ca="1">EFEITO!$J$513*EFEITO!$Y$486</f>
        <v>9865.6858255038933</v>
      </c>
      <c r="K513" s="76">
        <f>EFEITO!$L$513*EFEITO!$Z$486</f>
        <v>0</v>
      </c>
      <c r="L513" s="76">
        <f>EFEITO!$N$513*EFEITO!$AA$486</f>
        <v>0</v>
      </c>
      <c r="M513" s="76">
        <f ca="1">$J$513-EFEITO!$K$513*EFEITO!$Y$513</f>
        <v>295.97057476511691</v>
      </c>
      <c r="N513" s="76">
        <f>$K$513-EFEITO!$M$513*EFEITO!$Z$513</f>
        <v>0</v>
      </c>
      <c r="O513" s="76">
        <f>$L$513-EFEITO!$O$513*EFEITO!$AA$513</f>
        <v>0</v>
      </c>
      <c r="P513" s="57"/>
      <c r="Q513" s="57"/>
      <c r="R513" s="57"/>
      <c r="S513" s="57"/>
      <c r="T513" s="57"/>
      <c r="U513" s="57"/>
      <c r="V513" s="57"/>
      <c r="W513" s="57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53" t="s">
        <v>21</v>
      </c>
      <c r="B514" s="53" t="s">
        <v>39</v>
      </c>
      <c r="C514" s="53" t="s">
        <v>40</v>
      </c>
      <c r="D514" s="53" t="s">
        <v>49</v>
      </c>
      <c r="E514" s="53" t="s">
        <v>50</v>
      </c>
      <c r="F514" s="53" t="s">
        <v>25</v>
      </c>
      <c r="G514" s="53" t="s">
        <v>25</v>
      </c>
      <c r="H514" s="53" t="s">
        <v>25</v>
      </c>
      <c r="I514" s="75">
        <v>44501</v>
      </c>
      <c r="J514" s="76">
        <f ca="1">EFEITO!$J$514*EFEITO!$Y$486</f>
        <v>10857.76596438138</v>
      </c>
      <c r="K514" s="76">
        <f>EFEITO!$L$514*EFEITO!$Z$486</f>
        <v>0</v>
      </c>
      <c r="L514" s="76">
        <f>EFEITO!$N$514*EFEITO!$AA$486</f>
        <v>0</v>
      </c>
      <c r="M514" s="76">
        <f ca="1">$J$514-EFEITO!$K$514*EFEITO!$Y$514</f>
        <v>325.73297893144081</v>
      </c>
      <c r="N514" s="76">
        <f>$K$514-EFEITO!$M$514*EFEITO!$Z$514</f>
        <v>0</v>
      </c>
      <c r="O514" s="76">
        <f>$L$514-EFEITO!$O$514*EFEITO!$AA$514</f>
        <v>0</v>
      </c>
      <c r="P514" s="57"/>
      <c r="Q514" s="57"/>
      <c r="R514" s="57"/>
      <c r="S514" s="57"/>
      <c r="T514" s="57"/>
      <c r="U514" s="57"/>
      <c r="V514" s="57"/>
      <c r="W514" s="57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53" t="s">
        <v>27</v>
      </c>
      <c r="B515" s="53" t="s">
        <v>39</v>
      </c>
      <c r="C515" s="53" t="s">
        <v>40</v>
      </c>
      <c r="D515" s="53" t="s">
        <v>49</v>
      </c>
      <c r="E515" s="53" t="s">
        <v>50</v>
      </c>
      <c r="F515" s="53" t="s">
        <v>25</v>
      </c>
      <c r="G515" s="53" t="s">
        <v>25</v>
      </c>
      <c r="H515" s="53" t="s">
        <v>25</v>
      </c>
      <c r="I515" s="75">
        <v>44501</v>
      </c>
      <c r="J515" s="76">
        <f ca="1">EFEITO!$J$515*EFEITO!$Y$486</f>
        <v>1047.1957021484579</v>
      </c>
      <c r="K515" s="76">
        <f>EFEITO!$L$515*EFEITO!$Z$486</f>
        <v>0</v>
      </c>
      <c r="L515" s="76">
        <f>EFEITO!$N$515*EFEITO!$AA$486</f>
        <v>0</v>
      </c>
      <c r="M515" s="76">
        <f ca="1">$J$515-EFEITO!$K$515*EFEITO!$Y$515</f>
        <v>31.415871064453654</v>
      </c>
      <c r="N515" s="76">
        <f>$K$515-EFEITO!$M$515*EFEITO!$Z$515</f>
        <v>0</v>
      </c>
      <c r="O515" s="76">
        <f>$L$515-EFEITO!$O$515*EFEITO!$AA$515</f>
        <v>0</v>
      </c>
      <c r="P515" s="57"/>
      <c r="Q515" s="57"/>
      <c r="R515" s="57"/>
      <c r="S515" s="57"/>
      <c r="T515" s="57"/>
      <c r="U515" s="57"/>
      <c r="V515" s="57"/>
      <c r="W515" s="57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53" t="s">
        <v>21</v>
      </c>
      <c r="B516" s="53" t="s">
        <v>39</v>
      </c>
      <c r="C516" s="53" t="s">
        <v>40</v>
      </c>
      <c r="D516" s="53" t="s">
        <v>49</v>
      </c>
      <c r="E516" s="53" t="s">
        <v>50</v>
      </c>
      <c r="F516" s="53" t="s">
        <v>25</v>
      </c>
      <c r="G516" s="53" t="s">
        <v>25</v>
      </c>
      <c r="H516" s="53" t="s">
        <v>25</v>
      </c>
      <c r="I516" s="75">
        <v>44531</v>
      </c>
      <c r="J516" s="76">
        <f ca="1">EFEITO!$J$516*EFEITO!$Y$486</f>
        <v>11041.484508617952</v>
      </c>
      <c r="K516" s="76">
        <f>EFEITO!$L$516*EFEITO!$Z$486</f>
        <v>0</v>
      </c>
      <c r="L516" s="76">
        <f>EFEITO!$N$516*EFEITO!$AA$486</f>
        <v>0</v>
      </c>
      <c r="M516" s="76">
        <f ca="1">$J$516-EFEITO!$K$516*EFEITO!$Y$516</f>
        <v>331.24453525853824</v>
      </c>
      <c r="N516" s="76">
        <f>$K$516-EFEITO!$M$516*EFEITO!$Z$516</f>
        <v>0</v>
      </c>
      <c r="O516" s="76">
        <f>$L$516-EFEITO!$O$516*EFEITO!$AA$516</f>
        <v>0</v>
      </c>
      <c r="P516" s="57"/>
      <c r="Q516" s="57"/>
      <c r="R516" s="57"/>
      <c r="S516" s="57"/>
      <c r="T516" s="57"/>
      <c r="U516" s="57"/>
      <c r="V516" s="57"/>
      <c r="W516" s="57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53" t="s">
        <v>21</v>
      </c>
      <c r="B517" s="53" t="s">
        <v>39</v>
      </c>
      <c r="C517" s="53" t="s">
        <v>40</v>
      </c>
      <c r="D517" s="53" t="s">
        <v>49</v>
      </c>
      <c r="E517" s="53" t="s">
        <v>50</v>
      </c>
      <c r="F517" s="53" t="s">
        <v>25</v>
      </c>
      <c r="G517" s="53" t="s">
        <v>25</v>
      </c>
      <c r="H517" s="53" t="s">
        <v>25</v>
      </c>
      <c r="I517" s="75">
        <v>44562</v>
      </c>
      <c r="J517" s="76">
        <f ca="1">EFEITO!$J$517*EFEITO!$Y$486</f>
        <v>10857.76596438138</v>
      </c>
      <c r="K517" s="76">
        <f>EFEITO!$L$517*EFEITO!$Z$486</f>
        <v>0</v>
      </c>
      <c r="L517" s="76">
        <f>EFEITO!$N$517*EFEITO!$AA$486</f>
        <v>0</v>
      </c>
      <c r="M517" s="76">
        <f ca="1">$J$517-EFEITO!$K$517*EFEITO!$Y$517</f>
        <v>325.73297893144081</v>
      </c>
      <c r="N517" s="76">
        <f>$K$517-EFEITO!$M$517*EFEITO!$Z$517</f>
        <v>0</v>
      </c>
      <c r="O517" s="76">
        <f>$L$517-EFEITO!$O$517*EFEITO!$AA$517</f>
        <v>0</v>
      </c>
      <c r="P517" s="57"/>
      <c r="Q517" s="57"/>
      <c r="R517" s="57"/>
      <c r="S517" s="57"/>
      <c r="T517" s="57"/>
      <c r="U517" s="57"/>
      <c r="V517" s="57"/>
      <c r="W517" s="57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53" t="s">
        <v>21</v>
      </c>
      <c r="B518" s="53" t="s">
        <v>39</v>
      </c>
      <c r="C518" s="53" t="s">
        <v>40</v>
      </c>
      <c r="D518" s="53" t="s">
        <v>49</v>
      </c>
      <c r="E518" s="53" t="s">
        <v>50</v>
      </c>
      <c r="F518" s="53" t="s">
        <v>25</v>
      </c>
      <c r="G518" s="53" t="s">
        <v>25</v>
      </c>
      <c r="H518" s="53" t="s">
        <v>25</v>
      </c>
      <c r="I518" s="75">
        <v>44593</v>
      </c>
      <c r="J518" s="76">
        <f ca="1">EFEITO!$J$518*EFEITO!$Y$486</f>
        <v>10931.253382076009</v>
      </c>
      <c r="K518" s="76">
        <f>EFEITO!$L$518*EFEITO!$Z$486</f>
        <v>0</v>
      </c>
      <c r="L518" s="76">
        <f>EFEITO!$N$518*EFEITO!$AA$486</f>
        <v>0</v>
      </c>
      <c r="M518" s="76">
        <f ca="1">$J$518-EFEITO!$K$518*EFEITO!$Y$518</f>
        <v>327.93760146228124</v>
      </c>
      <c r="N518" s="76">
        <f>$K$518-EFEITO!$M$518*EFEITO!$Z$518</f>
        <v>0</v>
      </c>
      <c r="O518" s="76">
        <f>$L$518-EFEITO!$O$518*EFEITO!$AA$518</f>
        <v>0</v>
      </c>
      <c r="P518" s="57"/>
      <c r="Q518" s="57"/>
      <c r="R518" s="57"/>
      <c r="S518" s="57"/>
      <c r="T518" s="57"/>
      <c r="U518" s="57"/>
      <c r="V518" s="57"/>
      <c r="W518" s="57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53" t="s">
        <v>21</v>
      </c>
      <c r="B519" s="53" t="s">
        <v>39</v>
      </c>
      <c r="C519" s="53" t="s">
        <v>40</v>
      </c>
      <c r="D519" s="53" t="s">
        <v>49</v>
      </c>
      <c r="E519" s="53" t="s">
        <v>50</v>
      </c>
      <c r="F519" s="53" t="s">
        <v>25</v>
      </c>
      <c r="G519" s="53" t="s">
        <v>25</v>
      </c>
      <c r="H519" s="53" t="s">
        <v>25</v>
      </c>
      <c r="I519" s="75">
        <v>44621</v>
      </c>
      <c r="J519" s="76">
        <f ca="1">EFEITO!$J$519*EFEITO!$Y$486</f>
        <v>10894.509673228695</v>
      </c>
      <c r="K519" s="76">
        <f>EFEITO!$L$519*EFEITO!$Z$486</f>
        <v>0</v>
      </c>
      <c r="L519" s="76">
        <f>EFEITO!$N$519*EFEITO!$AA$486</f>
        <v>0</v>
      </c>
      <c r="M519" s="76">
        <f ca="1">$J$519-EFEITO!$K$519*EFEITO!$Y$519</f>
        <v>326.83529019686102</v>
      </c>
      <c r="N519" s="76">
        <f>$K$519-EFEITO!$M$519*EFEITO!$Z$519</f>
        <v>0</v>
      </c>
      <c r="O519" s="76">
        <f>$L$519-EFEITO!$O$519*EFEITO!$AA$519</f>
        <v>0</v>
      </c>
      <c r="P519" s="57"/>
      <c r="Q519" s="57"/>
      <c r="R519" s="57"/>
      <c r="S519" s="57"/>
      <c r="T519" s="57"/>
      <c r="U519" s="57"/>
      <c r="V519" s="57"/>
      <c r="W519" s="57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53" t="s">
        <v>21</v>
      </c>
      <c r="B520" s="53" t="s">
        <v>39</v>
      </c>
      <c r="C520" s="53" t="s">
        <v>40</v>
      </c>
      <c r="D520" s="53" t="s">
        <v>49</v>
      </c>
      <c r="E520" s="53" t="s">
        <v>50</v>
      </c>
      <c r="F520" s="53" t="s">
        <v>25</v>
      </c>
      <c r="G520" s="53" t="s">
        <v>25</v>
      </c>
      <c r="H520" s="53" t="s">
        <v>25</v>
      </c>
      <c r="I520" s="75">
        <v>44652</v>
      </c>
      <c r="J520" s="76">
        <f ca="1">EFEITO!$J$520*EFEITO!$Y$486</f>
        <v>10876.137818805038</v>
      </c>
      <c r="K520" s="76">
        <f>EFEITO!$L$520*EFEITO!$Z$486</f>
        <v>0</v>
      </c>
      <c r="L520" s="76">
        <f>EFEITO!$N$520*EFEITO!$AA$486</f>
        <v>0</v>
      </c>
      <c r="M520" s="76">
        <f ca="1">$J$520-EFEITO!$K$520*EFEITO!$Y$520</f>
        <v>326.28413456415183</v>
      </c>
      <c r="N520" s="76">
        <f>$K$520-EFEITO!$M$520*EFEITO!$Z$520</f>
        <v>0</v>
      </c>
      <c r="O520" s="76">
        <f>$L$520-EFEITO!$O$520*EFEITO!$AA$520</f>
        <v>0</v>
      </c>
      <c r="P520" s="57"/>
      <c r="Q520" s="57"/>
      <c r="R520" s="57"/>
      <c r="S520" s="57"/>
      <c r="T520" s="57"/>
      <c r="U520" s="57"/>
      <c r="V520" s="57"/>
      <c r="W520" s="57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53" t="s">
        <v>21</v>
      </c>
      <c r="B521" s="53" t="s">
        <v>39</v>
      </c>
      <c r="C521" s="53" t="s">
        <v>40</v>
      </c>
      <c r="D521" s="53" t="s">
        <v>49</v>
      </c>
      <c r="E521" s="53" t="s">
        <v>50</v>
      </c>
      <c r="F521" s="53" t="s">
        <v>25</v>
      </c>
      <c r="G521" s="53" t="s">
        <v>25</v>
      </c>
      <c r="H521" s="53" t="s">
        <v>25</v>
      </c>
      <c r="I521" s="75">
        <v>44682</v>
      </c>
      <c r="J521" s="76">
        <f ca="1">EFEITO!$J$521*EFEITO!$Y$486</f>
        <v>10857.76596438138</v>
      </c>
      <c r="K521" s="76">
        <f>EFEITO!$L$521*EFEITO!$Z$486</f>
        <v>0</v>
      </c>
      <c r="L521" s="76">
        <f>EFEITO!$N$521*EFEITO!$AA$486</f>
        <v>0</v>
      </c>
      <c r="M521" s="76">
        <f ca="1">$J$521-EFEITO!$K$521*EFEITO!$Y$521</f>
        <v>325.73297893144081</v>
      </c>
      <c r="N521" s="76">
        <f>$K$521-EFEITO!$M$521*EFEITO!$Z$521</f>
        <v>0</v>
      </c>
      <c r="O521" s="76">
        <f>$L$521-EFEITO!$O$521*EFEITO!$AA$521</f>
        <v>0</v>
      </c>
      <c r="P521" s="57"/>
      <c r="Q521" s="57"/>
      <c r="R521" s="57"/>
      <c r="S521" s="57"/>
      <c r="T521" s="57"/>
      <c r="U521" s="57"/>
      <c r="V521" s="57"/>
      <c r="W521" s="57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53" t="s">
        <v>21</v>
      </c>
      <c r="B522" s="53" t="s">
        <v>39</v>
      </c>
      <c r="C522" s="53" t="s">
        <v>40</v>
      </c>
      <c r="D522" s="53" t="s">
        <v>49</v>
      </c>
      <c r="E522" s="53" t="s">
        <v>50</v>
      </c>
      <c r="F522" s="53" t="s">
        <v>25</v>
      </c>
      <c r="G522" s="53" t="s">
        <v>25</v>
      </c>
      <c r="H522" s="53" t="s">
        <v>25</v>
      </c>
      <c r="I522" s="75">
        <v>44713</v>
      </c>
      <c r="J522" s="76">
        <f ca="1">EFEITO!$J$522*EFEITO!$Y$486</f>
        <v>10967.997090923323</v>
      </c>
      <c r="K522" s="76">
        <f>EFEITO!$L$522*EFEITO!$Z$486</f>
        <v>0</v>
      </c>
      <c r="L522" s="76">
        <f>EFEITO!$N$522*EFEITO!$AA$486</f>
        <v>0</v>
      </c>
      <c r="M522" s="76">
        <f ca="1">$J$522-EFEITO!$K$522*EFEITO!$Y$522</f>
        <v>329.03991272769963</v>
      </c>
      <c r="N522" s="76">
        <f>$K$522-EFEITO!$M$522*EFEITO!$Z$522</f>
        <v>0</v>
      </c>
      <c r="O522" s="76">
        <f>$L$522-EFEITO!$O$522*EFEITO!$AA$522</f>
        <v>0</v>
      </c>
      <c r="P522" s="57"/>
      <c r="Q522" s="57"/>
      <c r="R522" s="57"/>
      <c r="S522" s="57"/>
      <c r="T522" s="57"/>
      <c r="U522" s="57"/>
      <c r="V522" s="57"/>
      <c r="W522" s="57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53" t="s">
        <v>21</v>
      </c>
      <c r="B523" s="53" t="s">
        <v>39</v>
      </c>
      <c r="C523" s="53" t="s">
        <v>40</v>
      </c>
      <c r="D523" s="53" t="s">
        <v>49</v>
      </c>
      <c r="E523" s="53" t="s">
        <v>50</v>
      </c>
      <c r="F523" s="53" t="s">
        <v>25</v>
      </c>
      <c r="G523" s="53" t="s">
        <v>25</v>
      </c>
      <c r="H523" s="53" t="s">
        <v>25</v>
      </c>
      <c r="I523" s="75">
        <v>44743</v>
      </c>
      <c r="J523" s="76">
        <f ca="1">EFEITO!$J$523*EFEITO!$Y$486</f>
        <v>10802.65040111041</v>
      </c>
      <c r="K523" s="76">
        <f>EFEITO!$L$523*EFEITO!$Z$486</f>
        <v>0</v>
      </c>
      <c r="L523" s="76">
        <f>EFEITO!$N$523*EFEITO!$AA$486</f>
        <v>0</v>
      </c>
      <c r="M523" s="76">
        <f ca="1">$J$523-EFEITO!$K$523*EFEITO!$Y$523</f>
        <v>324.07951203331322</v>
      </c>
      <c r="N523" s="76">
        <f>$K$523-EFEITO!$M$523*EFEITO!$Z$523</f>
        <v>0</v>
      </c>
      <c r="O523" s="76">
        <f>$L$523-EFEITO!$O$523*EFEITO!$AA$523</f>
        <v>0</v>
      </c>
      <c r="P523" s="57"/>
      <c r="Q523" s="57"/>
      <c r="R523" s="57"/>
      <c r="S523" s="57"/>
      <c r="T523" s="57"/>
      <c r="U523" s="57"/>
      <c r="V523" s="57"/>
      <c r="W523" s="57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53" t="s">
        <v>56</v>
      </c>
      <c r="B524" s="53" t="s">
        <v>39</v>
      </c>
      <c r="C524" s="53" t="s">
        <v>40</v>
      </c>
      <c r="D524" s="53" t="s">
        <v>49</v>
      </c>
      <c r="E524" s="53" t="s">
        <v>50</v>
      </c>
      <c r="F524" s="53" t="s">
        <v>25</v>
      </c>
      <c r="G524" s="53" t="s">
        <v>25</v>
      </c>
      <c r="H524" s="53" t="s">
        <v>25</v>
      </c>
      <c r="I524" s="75">
        <v>44774</v>
      </c>
      <c r="J524" s="76">
        <f ca="1">EFEITO!$J$524*EFEITO!$Y$486</f>
        <v>10802.65040111041</v>
      </c>
      <c r="K524" s="76">
        <f>EFEITO!$L$524*EFEITO!$Z$486</f>
        <v>0</v>
      </c>
      <c r="L524" s="76">
        <f>EFEITO!$N$524*EFEITO!$AA$486</f>
        <v>0</v>
      </c>
      <c r="M524" s="76">
        <f ca="1">$J$524-EFEITO!$K$524*EFEITO!$Y$524</f>
        <v>324.07951203331322</v>
      </c>
      <c r="N524" s="76">
        <f>$K$524-EFEITO!$M$524*EFEITO!$Z$524</f>
        <v>0</v>
      </c>
      <c r="O524" s="76">
        <f>$L$524-EFEITO!$O$524*EFEITO!$AA$524</f>
        <v>0</v>
      </c>
      <c r="P524" s="57"/>
      <c r="Q524" s="57"/>
      <c r="R524" s="57"/>
      <c r="S524" s="57"/>
      <c r="T524" s="57"/>
      <c r="U524" s="57"/>
      <c r="V524" s="57"/>
      <c r="W524" s="57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53" t="s">
        <v>21</v>
      </c>
      <c r="B525" s="53" t="s">
        <v>39</v>
      </c>
      <c r="C525" s="53" t="s">
        <v>40</v>
      </c>
      <c r="D525" s="53" t="s">
        <v>49</v>
      </c>
      <c r="E525" s="53" t="s">
        <v>50</v>
      </c>
      <c r="F525" s="53" t="s">
        <v>25</v>
      </c>
      <c r="G525" s="53" t="s">
        <v>25</v>
      </c>
      <c r="H525" s="53" t="s">
        <v>34</v>
      </c>
      <c r="I525" s="75">
        <v>44440</v>
      </c>
      <c r="J525" s="76">
        <f>EFEITO!$J$525*EFEITO!$Y$498</f>
        <v>0</v>
      </c>
      <c r="K525" s="76">
        <f ca="1">EFEITO!$L$525*EFEITO!$Z$498</f>
        <v>23150.082797372452</v>
      </c>
      <c r="L525" s="76">
        <f>EFEITO!$N$525*EFEITO!$AA$498</f>
        <v>7342.0718796604688</v>
      </c>
      <c r="M525" s="76">
        <f>$J$525-EFEITO!$K$525*EFEITO!$Y$525</f>
        <v>0</v>
      </c>
      <c r="N525" s="76">
        <f ca="1">$K$525-EFEITO!$M$525*EFEITO!$Z$525</f>
        <v>694.50248392117282</v>
      </c>
      <c r="O525" s="76">
        <f>$L$525-EFEITO!$O$525*EFEITO!$AA$525</f>
        <v>220.26215638981375</v>
      </c>
      <c r="P525" s="57"/>
      <c r="Q525" s="57"/>
      <c r="R525" s="57"/>
      <c r="S525" s="57"/>
      <c r="T525" s="57"/>
      <c r="U525" s="57"/>
      <c r="V525" s="57"/>
      <c r="W525" s="57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53" t="s">
        <v>21</v>
      </c>
      <c r="B526" s="53" t="s">
        <v>39</v>
      </c>
      <c r="C526" s="53" t="s">
        <v>40</v>
      </c>
      <c r="D526" s="53" t="s">
        <v>49</v>
      </c>
      <c r="E526" s="53" t="s">
        <v>50</v>
      </c>
      <c r="F526" s="53" t="s">
        <v>25</v>
      </c>
      <c r="G526" s="53" t="s">
        <v>25</v>
      </c>
      <c r="H526" s="53" t="s">
        <v>34</v>
      </c>
      <c r="I526" s="75">
        <v>44470</v>
      </c>
      <c r="J526" s="76">
        <f>EFEITO!$J$526*EFEITO!$Y$498</f>
        <v>0</v>
      </c>
      <c r="K526" s="76">
        <f ca="1">EFEITO!$L$526*EFEITO!$Z$498</f>
        <v>22676.694167606845</v>
      </c>
      <c r="L526" s="76">
        <f>EFEITO!$N$526*EFEITO!$AA$498</f>
        <v>7191.9362029471413</v>
      </c>
      <c r="M526" s="76">
        <f>$J$526-EFEITO!$K$526*EFEITO!$Y$526</f>
        <v>0</v>
      </c>
      <c r="N526" s="76">
        <f ca="1">$K$526-EFEITO!$M$526*EFEITO!$Z$526</f>
        <v>680.30082502820733</v>
      </c>
      <c r="O526" s="76">
        <f>$L$526-EFEITO!$O$526*EFEITO!$AA$526</f>
        <v>215.75808608841362</v>
      </c>
      <c r="P526" s="57"/>
      <c r="Q526" s="57"/>
      <c r="R526" s="57"/>
      <c r="S526" s="57"/>
      <c r="T526" s="57"/>
      <c r="U526" s="57"/>
      <c r="V526" s="57"/>
      <c r="W526" s="57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53" t="s">
        <v>21</v>
      </c>
      <c r="B527" s="53" t="s">
        <v>39</v>
      </c>
      <c r="C527" s="53" t="s">
        <v>40</v>
      </c>
      <c r="D527" s="53" t="s">
        <v>49</v>
      </c>
      <c r="E527" s="53" t="s">
        <v>50</v>
      </c>
      <c r="F527" s="53" t="s">
        <v>25</v>
      </c>
      <c r="G527" s="53" t="s">
        <v>25</v>
      </c>
      <c r="H527" s="53" t="s">
        <v>34</v>
      </c>
      <c r="I527" s="75">
        <v>44501</v>
      </c>
      <c r="J527" s="76">
        <f>EFEITO!$J$527*EFEITO!$Y$498</f>
        <v>0</v>
      </c>
      <c r="K527" s="76">
        <f ca="1">EFEITO!$L$527*EFEITO!$Z$498</f>
        <v>24796.984988304579</v>
      </c>
      <c r="L527" s="76">
        <f>EFEITO!$N$527*EFEITO!$AA$498</f>
        <v>7864.3885543103925</v>
      </c>
      <c r="M527" s="76">
        <f>$J$527-EFEITO!$K$527*EFEITO!$Y$527</f>
        <v>0</v>
      </c>
      <c r="N527" s="76">
        <f ca="1">$K$527-EFEITO!$M$527*EFEITO!$Z$527</f>
        <v>743.90954964913908</v>
      </c>
      <c r="O527" s="76">
        <f>$L$527-EFEITO!$O$527*EFEITO!$AA$527</f>
        <v>235.93165662931187</v>
      </c>
      <c r="P527" s="57"/>
      <c r="Q527" s="57"/>
      <c r="R527" s="57"/>
      <c r="S527" s="57"/>
      <c r="T527" s="57"/>
      <c r="U527" s="57"/>
      <c r="V527" s="57"/>
      <c r="W527" s="57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53" t="s">
        <v>27</v>
      </c>
      <c r="B528" s="53" t="s">
        <v>39</v>
      </c>
      <c r="C528" s="53" t="s">
        <v>40</v>
      </c>
      <c r="D528" s="53" t="s">
        <v>49</v>
      </c>
      <c r="E528" s="53" t="s">
        <v>50</v>
      </c>
      <c r="F528" s="53" t="s">
        <v>25</v>
      </c>
      <c r="G528" s="53" t="s">
        <v>25</v>
      </c>
      <c r="H528" s="53" t="s">
        <v>34</v>
      </c>
      <c r="I528" s="75">
        <v>44501</v>
      </c>
      <c r="J528" s="76">
        <f>EFEITO!$J$528*EFEITO!$Y$498</f>
        <v>0</v>
      </c>
      <c r="K528" s="76">
        <f ca="1">EFEITO!$L$528*EFEITO!$Z$498</f>
        <v>5141.3988397843914</v>
      </c>
      <c r="L528" s="76">
        <f>EFEITO!$N$528*EFEITO!$AA$498</f>
        <v>1630.5997768606003</v>
      </c>
      <c r="M528" s="76">
        <f>$J$528-EFEITO!$K$528*EFEITO!$Y$528</f>
        <v>0</v>
      </c>
      <c r="N528" s="76">
        <f ca="1">$K$528-EFEITO!$M$528*EFEITO!$Z$528</f>
        <v>154.24196519353154</v>
      </c>
      <c r="O528" s="76">
        <f>$L$528-EFEITO!$O$528*EFEITO!$AA$528</f>
        <v>48.917993305817845</v>
      </c>
      <c r="P528" s="57"/>
      <c r="Q528" s="57"/>
      <c r="R528" s="57"/>
      <c r="S528" s="57"/>
      <c r="T528" s="57"/>
      <c r="U528" s="57"/>
      <c r="V528" s="57"/>
      <c r="W528" s="57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53" t="s">
        <v>21</v>
      </c>
      <c r="B529" s="53" t="s">
        <v>39</v>
      </c>
      <c r="C529" s="53" t="s">
        <v>40</v>
      </c>
      <c r="D529" s="53" t="s">
        <v>49</v>
      </c>
      <c r="E529" s="53" t="s">
        <v>50</v>
      </c>
      <c r="F529" s="53" t="s">
        <v>25</v>
      </c>
      <c r="G529" s="53" t="s">
        <v>25</v>
      </c>
      <c r="H529" s="53" t="s">
        <v>34</v>
      </c>
      <c r="I529" s="75">
        <v>44531</v>
      </c>
      <c r="J529" s="76">
        <f>EFEITO!$J$529*EFEITO!$Y$498</f>
        <v>0</v>
      </c>
      <c r="K529" s="76">
        <f ca="1">EFEITO!$L$529*EFEITO!$Z$498</f>
        <v>28095.385376283062</v>
      </c>
      <c r="L529" s="76">
        <f>EFEITO!$N$529*EFEITO!$AA$498</f>
        <v>8910.4795315394967</v>
      </c>
      <c r="M529" s="76">
        <f>$J$529-EFEITO!$K$529*EFEITO!$Y$529</f>
        <v>0</v>
      </c>
      <c r="N529" s="76">
        <f ca="1">$K$529-EFEITO!$M$529*EFEITO!$Z$529</f>
        <v>842.86156128849325</v>
      </c>
      <c r="O529" s="76">
        <f>$L$529-EFEITO!$O$529*EFEITO!$AA$529</f>
        <v>267.31438594618521</v>
      </c>
      <c r="P529" s="57"/>
      <c r="Q529" s="57"/>
      <c r="R529" s="57"/>
      <c r="S529" s="57"/>
      <c r="T529" s="57"/>
      <c r="U529" s="57"/>
      <c r="V529" s="57"/>
      <c r="W529" s="57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53" t="s">
        <v>21</v>
      </c>
      <c r="B530" s="53" t="s">
        <v>39</v>
      </c>
      <c r="C530" s="53" t="s">
        <v>40</v>
      </c>
      <c r="D530" s="53" t="s">
        <v>49</v>
      </c>
      <c r="E530" s="53" t="s">
        <v>50</v>
      </c>
      <c r="F530" s="53" t="s">
        <v>25</v>
      </c>
      <c r="G530" s="53" t="s">
        <v>25</v>
      </c>
      <c r="H530" s="53" t="s">
        <v>34</v>
      </c>
      <c r="I530" s="75">
        <v>44562</v>
      </c>
      <c r="J530" s="76">
        <f>EFEITO!$J$530*EFEITO!$Y$498</f>
        <v>0</v>
      </c>
      <c r="K530" s="76">
        <f ca="1">EFEITO!$L$530*EFEITO!$Z$498</f>
        <v>28201.09351691034</v>
      </c>
      <c r="L530" s="76">
        <f>EFEITO!$N$530*EFEITO!$AA$498</f>
        <v>8944.004973912377</v>
      </c>
      <c r="M530" s="76">
        <f>$J$530-EFEITO!$K$530*EFEITO!$Y$530</f>
        <v>0</v>
      </c>
      <c r="N530" s="76">
        <f ca="1">$K$530-EFEITO!$M$530*EFEITO!$Z$530</f>
        <v>846.03280550731506</v>
      </c>
      <c r="O530" s="76">
        <f>$L$530-EFEITO!$O$530*EFEITO!$AA$530</f>
        <v>268.32014921737209</v>
      </c>
      <c r="P530" s="57"/>
      <c r="Q530" s="57"/>
      <c r="R530" s="57"/>
      <c r="S530" s="57"/>
      <c r="T530" s="57"/>
      <c r="U530" s="57"/>
      <c r="V530" s="57"/>
      <c r="W530" s="57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53" t="s">
        <v>21</v>
      </c>
      <c r="B531" s="53" t="s">
        <v>39</v>
      </c>
      <c r="C531" s="53" t="s">
        <v>40</v>
      </c>
      <c r="D531" s="53" t="s">
        <v>49</v>
      </c>
      <c r="E531" s="53" t="s">
        <v>50</v>
      </c>
      <c r="F531" s="53" t="s">
        <v>25</v>
      </c>
      <c r="G531" s="53" t="s">
        <v>25</v>
      </c>
      <c r="H531" s="53" t="s">
        <v>34</v>
      </c>
      <c r="I531" s="75">
        <v>44593</v>
      </c>
      <c r="J531" s="76">
        <f>EFEITO!$J$531*EFEITO!$Y$498</f>
        <v>0</v>
      </c>
      <c r="K531" s="76">
        <f ca="1">EFEITO!$L$531*EFEITO!$Z$498</f>
        <v>27381.472426539465</v>
      </c>
      <c r="L531" s="76">
        <f>EFEITO!$N$531*EFEITO!$AA$498</f>
        <v>8684.061326528461</v>
      </c>
      <c r="M531" s="76">
        <f>$J$531-EFEITO!$K$531*EFEITO!$Y$531</f>
        <v>0</v>
      </c>
      <c r="N531" s="76">
        <f ca="1">$K$531-EFEITO!$M$531*EFEITO!$Z$531</f>
        <v>821.44417279618574</v>
      </c>
      <c r="O531" s="76">
        <f>$L$531-EFEITO!$O$531*EFEITO!$AA$531</f>
        <v>260.52183979585425</v>
      </c>
      <c r="P531" s="57"/>
      <c r="Q531" s="57"/>
      <c r="R531" s="57"/>
      <c r="S531" s="57"/>
      <c r="T531" s="57"/>
      <c r="U531" s="57"/>
      <c r="V531" s="57"/>
      <c r="W531" s="57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53" t="s">
        <v>21</v>
      </c>
      <c r="B532" s="53" t="s">
        <v>39</v>
      </c>
      <c r="C532" s="53" t="s">
        <v>40</v>
      </c>
      <c r="D532" s="53" t="s">
        <v>49</v>
      </c>
      <c r="E532" s="53" t="s">
        <v>50</v>
      </c>
      <c r="F532" s="53" t="s">
        <v>25</v>
      </c>
      <c r="G532" s="53" t="s">
        <v>25</v>
      </c>
      <c r="H532" s="53" t="s">
        <v>34</v>
      </c>
      <c r="I532" s="75">
        <v>44621</v>
      </c>
      <c r="J532" s="76">
        <f>EFEITO!$J$532*EFEITO!$Y$498</f>
        <v>0</v>
      </c>
      <c r="K532" s="76">
        <f ca="1">EFEITO!$L$532*EFEITO!$Z$498</f>
        <v>30177.376146028892</v>
      </c>
      <c r="L532" s="76">
        <f>EFEITO!$N$532*EFEITO!$AA$498</f>
        <v>9570.7849834922854</v>
      </c>
      <c r="M532" s="76">
        <f>$J$532-EFEITO!$K$532*EFEITO!$Y$532</f>
        <v>0</v>
      </c>
      <c r="N532" s="76">
        <f ca="1">$K$532-EFEITO!$M$532*EFEITO!$Z$532</f>
        <v>905.32128438086875</v>
      </c>
      <c r="O532" s="76">
        <f>$L$532-EFEITO!$O$532*EFEITO!$AA$532</f>
        <v>287.12354950476947</v>
      </c>
      <c r="P532" s="57"/>
      <c r="Q532" s="57"/>
      <c r="R532" s="57"/>
      <c r="S532" s="57"/>
      <c r="T532" s="57"/>
      <c r="U532" s="57"/>
      <c r="V532" s="57"/>
      <c r="W532" s="57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53" t="s">
        <v>21</v>
      </c>
      <c r="B533" s="53" t="s">
        <v>39</v>
      </c>
      <c r="C533" s="53" t="s">
        <v>40</v>
      </c>
      <c r="D533" s="53" t="s">
        <v>49</v>
      </c>
      <c r="E533" s="53" t="s">
        <v>50</v>
      </c>
      <c r="F533" s="53" t="s">
        <v>25</v>
      </c>
      <c r="G533" s="53" t="s">
        <v>25</v>
      </c>
      <c r="H533" s="53" t="s">
        <v>34</v>
      </c>
      <c r="I533" s="75">
        <v>44652</v>
      </c>
      <c r="J533" s="76">
        <f>EFEITO!$J$533*EFEITO!$Y$498</f>
        <v>0</v>
      </c>
      <c r="K533" s="76">
        <f ca="1">EFEITO!$L$533*EFEITO!$Z$498</f>
        <v>29457.335188132984</v>
      </c>
      <c r="L533" s="76">
        <f>EFEITO!$N$533*EFEITO!$AA$498</f>
        <v>9342.4232745755744</v>
      </c>
      <c r="M533" s="76">
        <f>$J$533-EFEITO!$K$533*EFEITO!$Y$533</f>
        <v>0</v>
      </c>
      <c r="N533" s="76">
        <f ca="1">$K$533-EFEITO!$M$533*EFEITO!$Z$533</f>
        <v>883.72005564398933</v>
      </c>
      <c r="O533" s="76">
        <f>$L$533-EFEITO!$O$533*EFEITO!$AA$533</f>
        <v>280.27269823726783</v>
      </c>
      <c r="P533" s="57"/>
      <c r="Q533" s="57"/>
      <c r="R533" s="57"/>
      <c r="S533" s="57"/>
      <c r="T533" s="57"/>
      <c r="U533" s="57"/>
      <c r="V533" s="57"/>
      <c r="W533" s="57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53" t="s">
        <v>21</v>
      </c>
      <c r="B534" s="53" t="s">
        <v>39</v>
      </c>
      <c r="C534" s="53" t="s">
        <v>40</v>
      </c>
      <c r="D534" s="53" t="s">
        <v>49</v>
      </c>
      <c r="E534" s="53" t="s">
        <v>50</v>
      </c>
      <c r="F534" s="53" t="s">
        <v>25</v>
      </c>
      <c r="G534" s="53" t="s">
        <v>25</v>
      </c>
      <c r="H534" s="53" t="s">
        <v>34</v>
      </c>
      <c r="I534" s="75">
        <v>44682</v>
      </c>
      <c r="J534" s="76">
        <f>EFEITO!$J$534*EFEITO!$Y$498</f>
        <v>0</v>
      </c>
      <c r="K534" s="76">
        <f ca="1">EFEITO!$L$534*EFEITO!$Z$498</f>
        <v>26142.082777735657</v>
      </c>
      <c r="L534" s="76">
        <f>EFEITO!$N$534*EFEITO!$AA$498</f>
        <v>8290.9876616058664</v>
      </c>
      <c r="M534" s="76">
        <f>$J$534-EFEITO!$K$534*EFEITO!$Y$534</f>
        <v>0</v>
      </c>
      <c r="N534" s="76">
        <f ca="1">$K$534-EFEITO!$M$534*EFEITO!$Z$534</f>
        <v>784.26248333206968</v>
      </c>
      <c r="O534" s="76">
        <f>$L$534-EFEITO!$O$534*EFEITO!$AA$534</f>
        <v>248.72962984817696</v>
      </c>
      <c r="P534" s="57"/>
      <c r="Q534" s="57"/>
      <c r="R534" s="57"/>
      <c r="S534" s="57"/>
      <c r="T534" s="57"/>
      <c r="U534" s="57"/>
      <c r="V534" s="57"/>
      <c r="W534" s="57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53" t="s">
        <v>21</v>
      </c>
      <c r="B535" s="53" t="s">
        <v>39</v>
      </c>
      <c r="C535" s="53" t="s">
        <v>40</v>
      </c>
      <c r="D535" s="53" t="s">
        <v>49</v>
      </c>
      <c r="E535" s="53" t="s">
        <v>50</v>
      </c>
      <c r="F535" s="53" t="s">
        <v>25</v>
      </c>
      <c r="G535" s="53" t="s">
        <v>25</v>
      </c>
      <c r="H535" s="53" t="s">
        <v>34</v>
      </c>
      <c r="I535" s="75">
        <v>44713</v>
      </c>
      <c r="J535" s="76">
        <f>EFEITO!$J$535*EFEITO!$Y$498</f>
        <v>0</v>
      </c>
      <c r="K535" s="76">
        <f ca="1">EFEITO!$L$535*EFEITO!$Z$498</f>
        <v>25631.926099056218</v>
      </c>
      <c r="L535" s="76">
        <f>EFEITO!$N$535*EFEITO!$AA$498</f>
        <v>8129.1909614584947</v>
      </c>
      <c r="M535" s="76">
        <f>$J$535-EFEITO!$K$535*EFEITO!$Y$535</f>
        <v>0</v>
      </c>
      <c r="N535" s="76">
        <f ca="1">$K$535-EFEITO!$M$535*EFEITO!$Z$535</f>
        <v>768.95778297168727</v>
      </c>
      <c r="O535" s="76">
        <f>$L$535-EFEITO!$O$535*EFEITO!$AA$535</f>
        <v>243.87572884375459</v>
      </c>
      <c r="P535" s="57"/>
      <c r="Q535" s="57"/>
      <c r="R535" s="57"/>
      <c r="S535" s="57"/>
      <c r="T535" s="57"/>
      <c r="U535" s="57"/>
      <c r="V535" s="57"/>
      <c r="W535" s="57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53" t="s">
        <v>21</v>
      </c>
      <c r="B536" s="53" t="s">
        <v>39</v>
      </c>
      <c r="C536" s="53" t="s">
        <v>40</v>
      </c>
      <c r="D536" s="53" t="s">
        <v>49</v>
      </c>
      <c r="E536" s="53" t="s">
        <v>50</v>
      </c>
      <c r="F536" s="53" t="s">
        <v>25</v>
      </c>
      <c r="G536" s="53" t="s">
        <v>25</v>
      </c>
      <c r="H536" s="53" t="s">
        <v>34</v>
      </c>
      <c r="I536" s="75">
        <v>44743</v>
      </c>
      <c r="J536" s="76">
        <f>EFEITO!$J$536*EFEITO!$Y$498</f>
        <v>0</v>
      </c>
      <c r="K536" s="76">
        <f ca="1">EFEITO!$L$536*EFEITO!$Z$498</f>
        <v>25132.493434643311</v>
      </c>
      <c r="L536" s="76">
        <f>EFEITO!$N$536*EFEITO!$AA$498</f>
        <v>7970.7953931460524</v>
      </c>
      <c r="M536" s="76">
        <f>$J$536-EFEITO!$K$536*EFEITO!$Y$536</f>
        <v>0</v>
      </c>
      <c r="N536" s="76">
        <f ca="1">$K$536-EFEITO!$M$536*EFEITO!$Z$536</f>
        <v>753.97480303929842</v>
      </c>
      <c r="O536" s="76">
        <f>$L$536-EFEITO!$O$536*EFEITO!$AA$536</f>
        <v>239.12386179438181</v>
      </c>
      <c r="P536" s="57"/>
      <c r="Q536" s="57"/>
      <c r="R536" s="57"/>
      <c r="S536" s="57"/>
      <c r="T536" s="57"/>
      <c r="U536" s="57"/>
      <c r="V536" s="57"/>
      <c r="W536" s="57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53" t="s">
        <v>56</v>
      </c>
      <c r="B537" s="53" t="s">
        <v>39</v>
      </c>
      <c r="C537" s="53" t="s">
        <v>40</v>
      </c>
      <c r="D537" s="53" t="s">
        <v>49</v>
      </c>
      <c r="E537" s="53" t="s">
        <v>50</v>
      </c>
      <c r="F537" s="53" t="s">
        <v>25</v>
      </c>
      <c r="G537" s="53" t="s">
        <v>25</v>
      </c>
      <c r="H537" s="53" t="s">
        <v>34</v>
      </c>
      <c r="I537" s="75">
        <v>44774</v>
      </c>
      <c r="J537" s="76">
        <f>EFEITO!$J$537*EFEITO!$Y$498</f>
        <v>0</v>
      </c>
      <c r="K537" s="76">
        <f ca="1">EFEITO!$L$537*EFEITO!$Z$498</f>
        <v>25132.493434643311</v>
      </c>
      <c r="L537" s="76">
        <f>EFEITO!$N$537*EFEITO!$AA$498</f>
        <v>7970.7953931460524</v>
      </c>
      <c r="M537" s="76">
        <f>$J$537-EFEITO!$K$537*EFEITO!$Y$537</f>
        <v>0</v>
      </c>
      <c r="N537" s="76">
        <f ca="1">$K$537-EFEITO!$M$537*EFEITO!$Z$537</f>
        <v>753.97480303929842</v>
      </c>
      <c r="O537" s="76">
        <f>$L$537-EFEITO!$O$537*EFEITO!$AA$537</f>
        <v>239.12386179438181</v>
      </c>
      <c r="P537" s="57"/>
      <c r="Q537" s="57"/>
      <c r="R537" s="57"/>
      <c r="S537" s="57"/>
      <c r="T537" s="57"/>
      <c r="U537" s="57"/>
      <c r="V537" s="57"/>
      <c r="W537" s="57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53" t="s">
        <v>21</v>
      </c>
      <c r="B538" s="53" t="s">
        <v>22</v>
      </c>
      <c r="C538" s="53" t="s">
        <v>33</v>
      </c>
      <c r="D538" s="53" t="s">
        <v>24</v>
      </c>
      <c r="E538" s="53" t="s">
        <v>24</v>
      </c>
      <c r="F538" s="53" t="s">
        <v>25</v>
      </c>
      <c r="G538" s="53" t="s">
        <v>25</v>
      </c>
      <c r="H538" s="53" t="s">
        <v>35</v>
      </c>
      <c r="I538" s="75">
        <v>44440</v>
      </c>
      <c r="J538" s="76">
        <f>EFEITO!$J$538*EFEITO!$Y$538</f>
        <v>0</v>
      </c>
      <c r="K538" s="76">
        <f ca="1">EFEITO!$L$538*EFEITO!$Z$538</f>
        <v>3231.5872158275765</v>
      </c>
      <c r="L538" s="76">
        <f>EFEITO!$N$538*EFEITO!$AA$538</f>
        <v>2875.5364671565849</v>
      </c>
      <c r="M538" s="76">
        <f>$J$538-EFEITO!$K$538*EFEITO!$Y$538</f>
        <v>0</v>
      </c>
      <c r="N538" s="76">
        <f ca="1">$K$538-EFEITO!$M$538*EFEITO!$Z$538</f>
        <v>0</v>
      </c>
      <c r="O538" s="76">
        <f>$L$538-EFEITO!$O$538*EFEITO!$AA$538</f>
        <v>0</v>
      </c>
      <c r="P538" s="57"/>
      <c r="Q538" s="57"/>
      <c r="R538" s="57"/>
      <c r="S538" s="57"/>
      <c r="T538" s="57"/>
      <c r="U538" s="57"/>
      <c r="V538" s="57"/>
      <c r="W538" s="57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53" t="s">
        <v>21</v>
      </c>
      <c r="B539" s="53" t="s">
        <v>22</v>
      </c>
      <c r="C539" s="53" t="s">
        <v>33</v>
      </c>
      <c r="D539" s="53" t="s">
        <v>24</v>
      </c>
      <c r="E539" s="53" t="s">
        <v>24</v>
      </c>
      <c r="F539" s="53" t="s">
        <v>25</v>
      </c>
      <c r="G539" s="53" t="s">
        <v>25</v>
      </c>
      <c r="H539" s="53" t="s">
        <v>35</v>
      </c>
      <c r="I539" s="75">
        <v>44470</v>
      </c>
      <c r="J539" s="76">
        <f>EFEITO!$J$539*EFEITO!$Y$539</f>
        <v>0</v>
      </c>
      <c r="K539" s="76">
        <f ca="1">EFEITO!$L$539*EFEITO!$Z$539</f>
        <v>3662.2599395654115</v>
      </c>
      <c r="L539" s="76">
        <f>EFEITO!$N$539*EFEITO!$AA$539</f>
        <v>3258.7584072770073</v>
      </c>
      <c r="M539" s="76">
        <f>$J$539-EFEITO!$K$539*EFEITO!$Y$539</f>
        <v>0</v>
      </c>
      <c r="N539" s="76">
        <f ca="1">$K$539-EFEITO!$M$539*EFEITO!$Z$539</f>
        <v>0</v>
      </c>
      <c r="O539" s="76">
        <f>$L$539-EFEITO!$O$539*EFEITO!$AA$539</f>
        <v>0</v>
      </c>
      <c r="P539" s="57"/>
      <c r="Q539" s="57"/>
      <c r="R539" s="57"/>
      <c r="S539" s="57"/>
      <c r="T539" s="57"/>
      <c r="U539" s="57"/>
      <c r="V539" s="57"/>
      <c r="W539" s="57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53" t="s">
        <v>21</v>
      </c>
      <c r="B540" s="53" t="s">
        <v>22</v>
      </c>
      <c r="C540" s="53" t="s">
        <v>33</v>
      </c>
      <c r="D540" s="53" t="s">
        <v>24</v>
      </c>
      <c r="E540" s="53" t="s">
        <v>24</v>
      </c>
      <c r="F540" s="53" t="s">
        <v>25</v>
      </c>
      <c r="G540" s="53" t="s">
        <v>25</v>
      </c>
      <c r="H540" s="53" t="s">
        <v>35</v>
      </c>
      <c r="I540" s="75">
        <v>44501</v>
      </c>
      <c r="J540" s="76">
        <f>EFEITO!$J$540*EFEITO!$Y$540</f>
        <v>0</v>
      </c>
      <c r="K540" s="76">
        <f ca="1">EFEITO!$L$540*EFEITO!$Z$540</f>
        <v>3381.9971806015701</v>
      </c>
      <c r="L540" s="76">
        <f>EFEITO!$N$540*EFEITO!$AA$540</f>
        <v>3009.3745194341232</v>
      </c>
      <c r="M540" s="76">
        <f>$J$540-EFEITO!$K$540*EFEITO!$Y$540</f>
        <v>0</v>
      </c>
      <c r="N540" s="76">
        <f ca="1">$K$540-EFEITO!$M$540*EFEITO!$Z$540</f>
        <v>0</v>
      </c>
      <c r="O540" s="76">
        <f>$L$540-EFEITO!$O$540*EFEITO!$AA$540</f>
        <v>0</v>
      </c>
      <c r="P540" s="57"/>
      <c r="Q540" s="57"/>
      <c r="R540" s="57"/>
      <c r="S540" s="57"/>
      <c r="T540" s="57"/>
      <c r="U540" s="57"/>
      <c r="V540" s="57"/>
      <c r="W540" s="57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53" t="s">
        <v>21</v>
      </c>
      <c r="B541" s="53" t="s">
        <v>22</v>
      </c>
      <c r="C541" s="53" t="s">
        <v>33</v>
      </c>
      <c r="D541" s="53" t="s">
        <v>24</v>
      </c>
      <c r="E541" s="53" t="s">
        <v>24</v>
      </c>
      <c r="F541" s="53" t="s">
        <v>25</v>
      </c>
      <c r="G541" s="53" t="s">
        <v>25</v>
      </c>
      <c r="H541" s="53" t="s">
        <v>35</v>
      </c>
      <c r="I541" s="75">
        <v>44531</v>
      </c>
      <c r="J541" s="76">
        <f>EFEITO!$J$541*EFEITO!$Y$541</f>
        <v>0</v>
      </c>
      <c r="K541" s="76">
        <f ca="1">EFEITO!$L$541*EFEITO!$Z$541</f>
        <v>3779.4358118950377</v>
      </c>
      <c r="L541" s="76">
        <f>EFEITO!$N$541*EFEITO!$AA$541</f>
        <v>3363.0240425365023</v>
      </c>
      <c r="M541" s="76">
        <f>$J$541-EFEITO!$K$541*EFEITO!$Y$541</f>
        <v>0</v>
      </c>
      <c r="N541" s="76">
        <f ca="1">$K$541-EFEITO!$M$541*EFEITO!$Z$541</f>
        <v>0</v>
      </c>
      <c r="O541" s="76">
        <f>$L$541-EFEITO!$O$541*EFEITO!$AA$541</f>
        <v>0</v>
      </c>
      <c r="P541" s="57"/>
      <c r="Q541" s="57"/>
      <c r="R541" s="57"/>
      <c r="S541" s="57"/>
      <c r="T541" s="57"/>
      <c r="U541" s="57"/>
      <c r="V541" s="57"/>
      <c r="W541" s="57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53" t="s">
        <v>21</v>
      </c>
      <c r="B542" s="53" t="s">
        <v>22</v>
      </c>
      <c r="C542" s="53" t="s">
        <v>33</v>
      </c>
      <c r="D542" s="53" t="s">
        <v>24</v>
      </c>
      <c r="E542" s="53" t="s">
        <v>24</v>
      </c>
      <c r="F542" s="53" t="s">
        <v>25</v>
      </c>
      <c r="G542" s="53" t="s">
        <v>25</v>
      </c>
      <c r="H542" s="53" t="s">
        <v>35</v>
      </c>
      <c r="I542" s="75">
        <v>44562</v>
      </c>
      <c r="J542" s="76">
        <f>EFEITO!$J$542*EFEITO!$Y$542</f>
        <v>0</v>
      </c>
      <c r="K542" s="76">
        <f ca="1">EFEITO!$L$542*EFEITO!$Z$542</f>
        <v>3796.2241678720893</v>
      </c>
      <c r="L542" s="76">
        <f>EFEITO!$N$542*EFEITO!$AA$542</f>
        <v>3377.9626861847923</v>
      </c>
      <c r="M542" s="76">
        <f>$J$542-EFEITO!$K$542*EFEITO!$Y$542</f>
        <v>0</v>
      </c>
      <c r="N542" s="76">
        <f ca="1">$K$542-EFEITO!$M$542*EFEITO!$Z$542</f>
        <v>0</v>
      </c>
      <c r="O542" s="76">
        <f>$L$542-EFEITO!$O$542*EFEITO!$AA$542</f>
        <v>0</v>
      </c>
      <c r="P542" s="57"/>
      <c r="Q542" s="57"/>
      <c r="R542" s="57"/>
      <c r="S542" s="57"/>
      <c r="T542" s="57"/>
      <c r="U542" s="57"/>
      <c r="V542" s="57"/>
      <c r="W542" s="57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53" t="s">
        <v>21</v>
      </c>
      <c r="B543" s="53" t="s">
        <v>22</v>
      </c>
      <c r="C543" s="53" t="s">
        <v>33</v>
      </c>
      <c r="D543" s="53" t="s">
        <v>24</v>
      </c>
      <c r="E543" s="53" t="s">
        <v>24</v>
      </c>
      <c r="F543" s="53" t="s">
        <v>25</v>
      </c>
      <c r="G543" s="53" t="s">
        <v>25</v>
      </c>
      <c r="H543" s="53" t="s">
        <v>35</v>
      </c>
      <c r="I543" s="75">
        <v>44593</v>
      </c>
      <c r="J543" s="76">
        <f>EFEITO!$J$543*EFEITO!$Y$543</f>
        <v>0</v>
      </c>
      <c r="K543" s="76">
        <f ca="1">EFEITO!$L$543*EFEITO!$Z$543</f>
        <v>4549.9870892907347</v>
      </c>
      <c r="L543" s="76">
        <f>EFEITO!$N$543*EFEITO!$AA$543</f>
        <v>4048.6772989651658</v>
      </c>
      <c r="M543" s="76">
        <f>$J$543-EFEITO!$K$543*EFEITO!$Y$543</f>
        <v>0</v>
      </c>
      <c r="N543" s="76">
        <f ca="1">$K$543-EFEITO!$M$543*EFEITO!$Z$543</f>
        <v>0</v>
      </c>
      <c r="O543" s="76">
        <f>$L$543-EFEITO!$O$543*EFEITO!$AA$543</f>
        <v>0</v>
      </c>
      <c r="P543" s="57"/>
      <c r="Q543" s="57"/>
      <c r="R543" s="57"/>
      <c r="S543" s="57"/>
      <c r="T543" s="57"/>
      <c r="U543" s="57"/>
      <c r="V543" s="57"/>
      <c r="W543" s="57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53" t="s">
        <v>21</v>
      </c>
      <c r="B544" s="53" t="s">
        <v>22</v>
      </c>
      <c r="C544" s="53" t="s">
        <v>33</v>
      </c>
      <c r="D544" s="53" t="s">
        <v>24</v>
      </c>
      <c r="E544" s="53" t="s">
        <v>24</v>
      </c>
      <c r="F544" s="53" t="s">
        <v>25</v>
      </c>
      <c r="G544" s="53" t="s">
        <v>25</v>
      </c>
      <c r="H544" s="53" t="s">
        <v>35</v>
      </c>
      <c r="I544" s="75">
        <v>44621</v>
      </c>
      <c r="J544" s="76">
        <f>EFEITO!$J$544*EFEITO!$Y$544</f>
        <v>0</v>
      </c>
      <c r="K544" s="76">
        <f ca="1">EFEITO!$L$544*EFEITO!$Z$544</f>
        <v>4266.640754739271</v>
      </c>
      <c r="L544" s="76">
        <f>EFEITO!$N$544*EFEITO!$AA$544</f>
        <v>3796.5495786154524</v>
      </c>
      <c r="M544" s="76">
        <f>$J$544-EFEITO!$K$544*EFEITO!$Y$544</f>
        <v>0</v>
      </c>
      <c r="N544" s="76">
        <f ca="1">$K$544-EFEITO!$M$544*EFEITO!$Z$544</f>
        <v>0</v>
      </c>
      <c r="O544" s="76">
        <f>$L$544-EFEITO!$O$544*EFEITO!$AA$544</f>
        <v>0</v>
      </c>
      <c r="P544" s="57"/>
      <c r="Q544" s="57"/>
      <c r="R544" s="57"/>
      <c r="S544" s="57"/>
      <c r="T544" s="57"/>
      <c r="U544" s="57"/>
      <c r="V544" s="57"/>
      <c r="W544" s="57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53" t="s">
        <v>21</v>
      </c>
      <c r="B545" s="53" t="s">
        <v>22</v>
      </c>
      <c r="C545" s="53" t="s">
        <v>33</v>
      </c>
      <c r="D545" s="53" t="s">
        <v>24</v>
      </c>
      <c r="E545" s="53" t="s">
        <v>24</v>
      </c>
      <c r="F545" s="53" t="s">
        <v>25</v>
      </c>
      <c r="G545" s="53" t="s">
        <v>25</v>
      </c>
      <c r="H545" s="53" t="s">
        <v>35</v>
      </c>
      <c r="I545" s="75">
        <v>44652</v>
      </c>
      <c r="J545" s="76">
        <f>EFEITO!$J$545*EFEITO!$Y$545</f>
        <v>0</v>
      </c>
      <c r="K545" s="76">
        <f ca="1">EFEITO!$L$545*EFEITO!$Z$545</f>
        <v>4362.2315979555451</v>
      </c>
      <c r="L545" s="76">
        <f>EFEITO!$N$545*EFEITO!$AA$545</f>
        <v>3881.6083863271456</v>
      </c>
      <c r="M545" s="76">
        <f>$J$545-EFEITO!$K$545*EFEITO!$Y$545</f>
        <v>0</v>
      </c>
      <c r="N545" s="76">
        <f ca="1">$K$545-EFEITO!$M$545*EFEITO!$Z$545</f>
        <v>0</v>
      </c>
      <c r="O545" s="76">
        <f>$L$545-EFEITO!$O$545*EFEITO!$AA$545</f>
        <v>0</v>
      </c>
      <c r="P545" s="57"/>
      <c r="Q545" s="57"/>
      <c r="R545" s="57"/>
      <c r="S545" s="57"/>
      <c r="T545" s="57"/>
      <c r="U545" s="57"/>
      <c r="V545" s="57"/>
      <c r="W545" s="57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53" t="s">
        <v>28</v>
      </c>
      <c r="B546" s="53" t="s">
        <v>22</v>
      </c>
      <c r="C546" s="53" t="s">
        <v>33</v>
      </c>
      <c r="D546" s="53" t="s">
        <v>24</v>
      </c>
      <c r="E546" s="53" t="s">
        <v>24</v>
      </c>
      <c r="F546" s="53" t="s">
        <v>25</v>
      </c>
      <c r="G546" s="53" t="s">
        <v>25</v>
      </c>
      <c r="H546" s="53" t="s">
        <v>35</v>
      </c>
      <c r="I546" s="75">
        <v>44652</v>
      </c>
      <c r="J546" s="76">
        <f>EFEITO!$J$546*EFEITO!$Y$546</f>
        <v>0</v>
      </c>
      <c r="K546" s="76">
        <f ca="1">EFEITO!$L$546*EFEITO!$Z$546</f>
        <v>47.96673136300474</v>
      </c>
      <c r="L546" s="76">
        <f>EFEITO!$N$546*EFEITO!$AA$546</f>
        <v>42.68183899511471</v>
      </c>
      <c r="M546" s="76">
        <f>$J$546-EFEITO!$K$546*EFEITO!$Y$546</f>
        <v>0</v>
      </c>
      <c r="N546" s="76">
        <f ca="1">$K$546-EFEITO!$M$546*EFEITO!$Z$546</f>
        <v>0</v>
      </c>
      <c r="O546" s="76">
        <f>$L$546-EFEITO!$O$546*EFEITO!$AA$546</f>
        <v>0</v>
      </c>
      <c r="P546" s="57"/>
      <c r="Q546" s="57"/>
      <c r="R546" s="57"/>
      <c r="S546" s="57"/>
      <c r="T546" s="57"/>
      <c r="U546" s="57"/>
      <c r="V546" s="57"/>
      <c r="W546" s="57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53" t="s">
        <v>21</v>
      </c>
      <c r="B547" s="53" t="s">
        <v>22</v>
      </c>
      <c r="C547" s="53" t="s">
        <v>33</v>
      </c>
      <c r="D547" s="53" t="s">
        <v>24</v>
      </c>
      <c r="E547" s="53" t="s">
        <v>24</v>
      </c>
      <c r="F547" s="53" t="s">
        <v>25</v>
      </c>
      <c r="G547" s="53" t="s">
        <v>25</v>
      </c>
      <c r="H547" s="53" t="s">
        <v>35</v>
      </c>
      <c r="I547" s="75">
        <v>44682</v>
      </c>
      <c r="J547" s="76">
        <f>EFEITO!$J$547*EFEITO!$Y$547</f>
        <v>0</v>
      </c>
      <c r="K547" s="76">
        <f ca="1">EFEITO!$L$547*EFEITO!$Z$547</f>
        <v>3211.715284262903</v>
      </c>
      <c r="L547" s="76">
        <f>EFEITO!$N$547*EFEITO!$AA$547</f>
        <v>2857.8539910014661</v>
      </c>
      <c r="M547" s="76">
        <f>$J$547-EFEITO!$K$547*EFEITO!$Y$547</f>
        <v>0</v>
      </c>
      <c r="N547" s="76">
        <f ca="1">$K$547-EFEITO!$M$547*EFEITO!$Z$547</f>
        <v>0</v>
      </c>
      <c r="O547" s="76">
        <f>$L$547-EFEITO!$O$547*EFEITO!$AA$547</f>
        <v>0</v>
      </c>
      <c r="P547" s="57"/>
      <c r="Q547" s="57"/>
      <c r="R547" s="57"/>
      <c r="S547" s="57"/>
      <c r="T547" s="57"/>
      <c r="U547" s="57"/>
      <c r="V547" s="57"/>
      <c r="W547" s="57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53" t="s">
        <v>27</v>
      </c>
      <c r="B548" s="53" t="s">
        <v>22</v>
      </c>
      <c r="C548" s="53" t="s">
        <v>33</v>
      </c>
      <c r="D548" s="53" t="s">
        <v>24</v>
      </c>
      <c r="E548" s="53" t="s">
        <v>24</v>
      </c>
      <c r="F548" s="53" t="s">
        <v>25</v>
      </c>
      <c r="G548" s="53" t="s">
        <v>25</v>
      </c>
      <c r="H548" s="53" t="s">
        <v>35</v>
      </c>
      <c r="I548" s="75">
        <v>44682</v>
      </c>
      <c r="J548" s="76">
        <f>EFEITO!$J$548*EFEITO!$Y$548</f>
        <v>0</v>
      </c>
      <c r="K548" s="76">
        <f ca="1">EFEITO!$L$548*EFEITO!$Z$548</f>
        <v>20.214551074409137</v>
      </c>
      <c r="L548" s="76">
        <f>EFEITO!$N$548*EFEITO!$AA$548</f>
        <v>17.987346433655482</v>
      </c>
      <c r="M548" s="76">
        <f>$J$548-EFEITO!$K$548*EFEITO!$Y$548</f>
        <v>0</v>
      </c>
      <c r="N548" s="76">
        <f ca="1">$K$548-EFEITO!$M$548*EFEITO!$Z$548</f>
        <v>0</v>
      </c>
      <c r="O548" s="76">
        <f>$L$548-EFEITO!$O$548*EFEITO!$AA$548</f>
        <v>0</v>
      </c>
      <c r="P548" s="57"/>
      <c r="Q548" s="57"/>
      <c r="R548" s="57"/>
      <c r="S548" s="57"/>
      <c r="T548" s="57"/>
      <c r="U548" s="57"/>
      <c r="V548" s="57"/>
      <c r="W548" s="57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53" t="s">
        <v>21</v>
      </c>
      <c r="B549" s="53" t="s">
        <v>22</v>
      </c>
      <c r="C549" s="53" t="s">
        <v>33</v>
      </c>
      <c r="D549" s="53" t="s">
        <v>24</v>
      </c>
      <c r="E549" s="53" t="s">
        <v>24</v>
      </c>
      <c r="F549" s="53" t="s">
        <v>25</v>
      </c>
      <c r="G549" s="53" t="s">
        <v>25</v>
      </c>
      <c r="H549" s="53" t="s">
        <v>35</v>
      </c>
      <c r="I549" s="75">
        <v>44713</v>
      </c>
      <c r="J549" s="76">
        <f>EFEITO!$J$549*EFEITO!$Y$549</f>
        <v>0</v>
      </c>
      <c r="K549" s="76">
        <f ca="1">EFEITO!$L$549*EFEITO!$Z$549</f>
        <v>2302.7457249339632</v>
      </c>
      <c r="L549" s="76">
        <f>EFEITO!$N$549*EFEITO!$AA$549</f>
        <v>2049.0331420440425</v>
      </c>
      <c r="M549" s="76">
        <f>$J$549-EFEITO!$K$549*EFEITO!$Y$549</f>
        <v>0</v>
      </c>
      <c r="N549" s="76">
        <f ca="1">$K$549-EFEITO!$M$549*EFEITO!$Z$549</f>
        <v>0</v>
      </c>
      <c r="O549" s="76">
        <f>$L$549-EFEITO!$O$549*EFEITO!$AA$549</f>
        <v>0</v>
      </c>
      <c r="P549" s="57"/>
      <c r="Q549" s="57"/>
      <c r="R549" s="57"/>
      <c r="S549" s="57"/>
      <c r="T549" s="57"/>
      <c r="U549" s="57"/>
      <c r="V549" s="57"/>
      <c r="W549" s="57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53" t="s">
        <v>21</v>
      </c>
      <c r="B550" s="53" t="s">
        <v>22</v>
      </c>
      <c r="C550" s="53" t="s">
        <v>33</v>
      </c>
      <c r="D550" s="53" t="s">
        <v>24</v>
      </c>
      <c r="E550" s="53" t="s">
        <v>24</v>
      </c>
      <c r="F550" s="53" t="s">
        <v>25</v>
      </c>
      <c r="G550" s="53" t="s">
        <v>25</v>
      </c>
      <c r="H550" s="53" t="s">
        <v>35</v>
      </c>
      <c r="I550" s="75">
        <v>44743</v>
      </c>
      <c r="J550" s="76">
        <f>EFEITO!$J$550*EFEITO!$Y$550</f>
        <v>0</v>
      </c>
      <c r="K550" s="76">
        <f ca="1">EFEITO!$L$550*EFEITO!$Z$550</f>
        <v>2227.3694327920985</v>
      </c>
      <c r="L550" s="76">
        <f>EFEITO!$N$550*EFEITO!$AA$550</f>
        <v>1981.961680766005</v>
      </c>
      <c r="M550" s="76">
        <f>$J$550-EFEITO!$K$550*EFEITO!$Y$550</f>
        <v>0</v>
      </c>
      <c r="N550" s="76">
        <f ca="1">$K$550-EFEITO!$M$550*EFEITO!$Z$550</f>
        <v>0</v>
      </c>
      <c r="O550" s="76">
        <f>$L$550-EFEITO!$O$550*EFEITO!$AA$550</f>
        <v>0</v>
      </c>
      <c r="P550" s="57"/>
      <c r="Q550" s="57"/>
      <c r="R550" s="57"/>
      <c r="S550" s="57"/>
      <c r="T550" s="57"/>
      <c r="U550" s="57"/>
      <c r="V550" s="57"/>
      <c r="W550" s="57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53" t="s">
        <v>28</v>
      </c>
      <c r="B551" s="53" t="s">
        <v>22</v>
      </c>
      <c r="C551" s="53" t="s">
        <v>33</v>
      </c>
      <c r="D551" s="53" t="s">
        <v>24</v>
      </c>
      <c r="E551" s="53" t="s">
        <v>24</v>
      </c>
      <c r="F551" s="53" t="s">
        <v>25</v>
      </c>
      <c r="G551" s="53" t="s">
        <v>25</v>
      </c>
      <c r="H551" s="53" t="s">
        <v>35</v>
      </c>
      <c r="I551" s="75">
        <v>44743</v>
      </c>
      <c r="J551" s="76">
        <f>EFEITO!$J$551*EFEITO!$Y$551</f>
        <v>0</v>
      </c>
      <c r="K551" s="76">
        <f ca="1">EFEITO!$L$551*EFEITO!$Z$551</f>
        <v>54.476502047983949</v>
      </c>
      <c r="L551" s="76">
        <f>EFEITO!$N$551*EFEITO!$AA$551</f>
        <v>48.474374287308841</v>
      </c>
      <c r="M551" s="76">
        <f>$J$551-EFEITO!$K$551*EFEITO!$Y$551</f>
        <v>0</v>
      </c>
      <c r="N551" s="76">
        <f ca="1">$K$551-EFEITO!$M$551*EFEITO!$Z$551</f>
        <v>0</v>
      </c>
      <c r="O551" s="76">
        <f>$L$551-EFEITO!$O$551*EFEITO!$AA$551</f>
        <v>0</v>
      </c>
      <c r="P551" s="57"/>
      <c r="Q551" s="57"/>
      <c r="R551" s="57"/>
      <c r="S551" s="57"/>
      <c r="T551" s="57"/>
      <c r="U551" s="57"/>
      <c r="V551" s="57"/>
      <c r="W551" s="57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53" t="s">
        <v>56</v>
      </c>
      <c r="B552" s="53" t="s">
        <v>22</v>
      </c>
      <c r="C552" s="53" t="s">
        <v>33</v>
      </c>
      <c r="D552" s="53" t="s">
        <v>24</v>
      </c>
      <c r="E552" s="53" t="s">
        <v>24</v>
      </c>
      <c r="F552" s="53" t="s">
        <v>25</v>
      </c>
      <c r="G552" s="53" t="s">
        <v>25</v>
      </c>
      <c r="H552" s="53" t="s">
        <v>35</v>
      </c>
      <c r="I552" s="75">
        <v>44774</v>
      </c>
      <c r="J552" s="76">
        <f>EFEITO!$J$552*EFEITO!$Y$552</f>
        <v>0</v>
      </c>
      <c r="K552" s="76">
        <f ca="1">EFEITO!$L$552*EFEITO!$Z$552</f>
        <v>2227.3694327920985</v>
      </c>
      <c r="L552" s="76">
        <f>EFEITO!$N$552*EFEITO!$AA$552</f>
        <v>1981.961680766005</v>
      </c>
      <c r="M552" s="76">
        <f>$J$552-EFEITO!$K$552*EFEITO!$Y$552</f>
        <v>0</v>
      </c>
      <c r="N552" s="76">
        <f ca="1">$K$552-EFEITO!$M$552*EFEITO!$Z$552</f>
        <v>0</v>
      </c>
      <c r="O552" s="76">
        <f>$L$552-EFEITO!$O$552*EFEITO!$AA$552</f>
        <v>0</v>
      </c>
      <c r="P552" s="57"/>
      <c r="Q552" s="57"/>
      <c r="R552" s="57"/>
      <c r="S552" s="57"/>
      <c r="T552" s="57"/>
      <c r="U552" s="57"/>
      <c r="V552" s="57"/>
      <c r="W552" s="57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53" t="s">
        <v>56</v>
      </c>
      <c r="B553" s="53" t="s">
        <v>22</v>
      </c>
      <c r="C553" s="53" t="s">
        <v>33</v>
      </c>
      <c r="D553" s="53" t="s">
        <v>24</v>
      </c>
      <c r="E553" s="53" t="s">
        <v>24</v>
      </c>
      <c r="F553" s="53" t="s">
        <v>25</v>
      </c>
      <c r="G553" s="53" t="s">
        <v>25</v>
      </c>
      <c r="H553" s="53" t="s">
        <v>35</v>
      </c>
      <c r="I553" s="75">
        <v>44774</v>
      </c>
      <c r="J553" s="76">
        <f>EFEITO!$J$553*EFEITO!$Y$553</f>
        <v>0</v>
      </c>
      <c r="K553" s="76">
        <f ca="1">EFEITO!$L$553*EFEITO!$Z$553</f>
        <v>54.476502047983949</v>
      </c>
      <c r="L553" s="76">
        <f>EFEITO!$N$553*EFEITO!$AA$553</f>
        <v>48.474374287308841</v>
      </c>
      <c r="M553" s="76">
        <f>$J$553-EFEITO!$K$553*EFEITO!$Y$553</f>
        <v>0</v>
      </c>
      <c r="N553" s="76">
        <f ca="1">$K$553-EFEITO!$M$553*EFEITO!$Z$553</f>
        <v>0</v>
      </c>
      <c r="O553" s="76">
        <f>$L$553-EFEITO!$O$553*EFEITO!$AA$553</f>
        <v>0</v>
      </c>
      <c r="P553" s="57"/>
      <c r="Q553" s="57"/>
      <c r="R553" s="57"/>
      <c r="S553" s="57"/>
      <c r="T553" s="57"/>
      <c r="U553" s="57"/>
      <c r="V553" s="57"/>
      <c r="W553" s="57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53" t="s">
        <v>21</v>
      </c>
      <c r="B554" s="53" t="s">
        <v>22</v>
      </c>
      <c r="C554" s="53" t="s">
        <v>33</v>
      </c>
      <c r="D554" s="53" t="s">
        <v>24</v>
      </c>
      <c r="E554" s="53" t="s">
        <v>24</v>
      </c>
      <c r="F554" s="53" t="s">
        <v>25</v>
      </c>
      <c r="G554" s="53" t="s">
        <v>25</v>
      </c>
      <c r="H554" s="53" t="s">
        <v>36</v>
      </c>
      <c r="I554" s="75">
        <v>44440</v>
      </c>
      <c r="J554" s="76">
        <f>EFEITO!$J$554*EFEITO!$Y$554</f>
        <v>0</v>
      </c>
      <c r="K554" s="76">
        <f ca="1">EFEITO!$L$554*EFEITO!$Z$554</f>
        <v>367.66324360475681</v>
      </c>
      <c r="L554" s="76">
        <f>EFEITO!$N$554*EFEITO!$AA$554</f>
        <v>170.72735598045884</v>
      </c>
      <c r="M554" s="76">
        <f>$J$554-EFEITO!$K$554*EFEITO!$Y$554</f>
        <v>0</v>
      </c>
      <c r="N554" s="76">
        <f ca="1">$K$554-EFEITO!$M$554*EFEITO!$Z$554</f>
        <v>0</v>
      </c>
      <c r="O554" s="76">
        <f>$L$554-EFEITO!$O$554*EFEITO!$AA$554</f>
        <v>0</v>
      </c>
      <c r="P554" s="57"/>
      <c r="Q554" s="57"/>
      <c r="R554" s="57"/>
      <c r="S554" s="57"/>
      <c r="T554" s="57"/>
      <c r="U554" s="57"/>
      <c r="V554" s="57"/>
      <c r="W554" s="57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53" t="s">
        <v>21</v>
      </c>
      <c r="B555" s="53" t="s">
        <v>22</v>
      </c>
      <c r="C555" s="53" t="s">
        <v>33</v>
      </c>
      <c r="D555" s="53" t="s">
        <v>24</v>
      </c>
      <c r="E555" s="53" t="s">
        <v>24</v>
      </c>
      <c r="F555" s="53" t="s">
        <v>25</v>
      </c>
      <c r="G555" s="53" t="s">
        <v>25</v>
      </c>
      <c r="H555" s="53" t="s">
        <v>36</v>
      </c>
      <c r="I555" s="75">
        <v>44470</v>
      </c>
      <c r="J555" s="76">
        <f>EFEITO!$J$555*EFEITO!$Y$555</f>
        <v>0</v>
      </c>
      <c r="K555" s="76">
        <f ca="1">EFEITO!$L$555*EFEITO!$Z$555</f>
        <v>414.93423206822553</v>
      </c>
      <c r="L555" s="76">
        <f>EFEITO!$N$555*EFEITO!$AA$555</f>
        <v>192.67801603508923</v>
      </c>
      <c r="M555" s="76">
        <f>$J$555-EFEITO!$K$555*EFEITO!$Y$555</f>
        <v>0</v>
      </c>
      <c r="N555" s="76">
        <f ca="1">$K$555-EFEITO!$M$555*EFEITO!$Z$555</f>
        <v>0</v>
      </c>
      <c r="O555" s="76">
        <f>$L$555-EFEITO!$O$555*EFEITO!$AA$555</f>
        <v>0</v>
      </c>
      <c r="P555" s="57"/>
      <c r="Q555" s="57"/>
      <c r="R555" s="57"/>
      <c r="S555" s="57"/>
      <c r="T555" s="57"/>
      <c r="U555" s="57"/>
      <c r="V555" s="57"/>
      <c r="W555" s="57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53" t="s">
        <v>21</v>
      </c>
      <c r="B556" s="53" t="s">
        <v>22</v>
      </c>
      <c r="C556" s="53" t="s">
        <v>33</v>
      </c>
      <c r="D556" s="53" t="s">
        <v>24</v>
      </c>
      <c r="E556" s="53" t="s">
        <v>24</v>
      </c>
      <c r="F556" s="53" t="s">
        <v>25</v>
      </c>
      <c r="G556" s="53" t="s">
        <v>25</v>
      </c>
      <c r="H556" s="53" t="s">
        <v>36</v>
      </c>
      <c r="I556" s="75">
        <v>44501</v>
      </c>
      <c r="J556" s="76">
        <f>EFEITO!$J$556*EFEITO!$Y$556</f>
        <v>0</v>
      </c>
      <c r="K556" s="76">
        <f ca="1">EFEITO!$L$556*EFEITO!$Z$556</f>
        <v>380.137532227061</v>
      </c>
      <c r="L556" s="76">
        <f>EFEITO!$N$556*EFEITO!$AA$556</f>
        <v>176.51989127265293</v>
      </c>
      <c r="M556" s="76">
        <f>$J$556-EFEITO!$K$556*EFEITO!$Y$556</f>
        <v>0</v>
      </c>
      <c r="N556" s="76">
        <f ca="1">$K$556-EFEITO!$M$556*EFEITO!$Z$556</f>
        <v>0</v>
      </c>
      <c r="O556" s="76">
        <f>$L$556-EFEITO!$O$556*EFEITO!$AA$556</f>
        <v>0</v>
      </c>
      <c r="P556" s="57"/>
      <c r="Q556" s="57"/>
      <c r="R556" s="57"/>
      <c r="S556" s="57"/>
      <c r="T556" s="57"/>
      <c r="U556" s="57"/>
      <c r="V556" s="57"/>
      <c r="W556" s="57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53" t="s">
        <v>21</v>
      </c>
      <c r="B557" s="53" t="s">
        <v>22</v>
      </c>
      <c r="C557" s="53" t="s">
        <v>33</v>
      </c>
      <c r="D557" s="53" t="s">
        <v>24</v>
      </c>
      <c r="E557" s="53" t="s">
        <v>24</v>
      </c>
      <c r="F557" s="53" t="s">
        <v>25</v>
      </c>
      <c r="G557" s="53" t="s">
        <v>25</v>
      </c>
      <c r="H557" s="53" t="s">
        <v>36</v>
      </c>
      <c r="I557" s="75">
        <v>44531</v>
      </c>
      <c r="J557" s="76">
        <f>EFEITO!$J$557*EFEITO!$Y$557</f>
        <v>0</v>
      </c>
      <c r="K557" s="76">
        <f ca="1">EFEITO!$L$557*EFEITO!$Z$557</f>
        <v>482.55800723124327</v>
      </c>
      <c r="L557" s="76">
        <f>EFEITO!$N$557*EFEITO!$AA$557</f>
        <v>224.0796547243522</v>
      </c>
      <c r="M557" s="76">
        <f>$J$557-EFEITO!$K$557*EFEITO!$Y$557</f>
        <v>0</v>
      </c>
      <c r="N557" s="76">
        <f ca="1">$K$557-EFEITO!$M$557*EFEITO!$Z$557</f>
        <v>0</v>
      </c>
      <c r="O557" s="76">
        <f>$L$557-EFEITO!$O$557*EFEITO!$AA$557</f>
        <v>0</v>
      </c>
      <c r="P557" s="57"/>
      <c r="Q557" s="57"/>
      <c r="R557" s="57"/>
      <c r="S557" s="57"/>
      <c r="T557" s="57"/>
      <c r="U557" s="57"/>
      <c r="V557" s="57"/>
      <c r="W557" s="57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53" t="s">
        <v>21</v>
      </c>
      <c r="B558" s="53" t="s">
        <v>22</v>
      </c>
      <c r="C558" s="53" t="s">
        <v>33</v>
      </c>
      <c r="D558" s="53" t="s">
        <v>24</v>
      </c>
      <c r="E558" s="53" t="s">
        <v>24</v>
      </c>
      <c r="F558" s="53" t="s">
        <v>25</v>
      </c>
      <c r="G558" s="53" t="s">
        <v>25</v>
      </c>
      <c r="H558" s="53" t="s">
        <v>36</v>
      </c>
      <c r="I558" s="75">
        <v>44562</v>
      </c>
      <c r="J558" s="76">
        <f>EFEITO!$J$558*EFEITO!$Y$558</f>
        <v>0</v>
      </c>
      <c r="K558" s="76">
        <f ca="1">EFEITO!$L$558*EFEITO!$Z$558</f>
        <v>407.71227549741775</v>
      </c>
      <c r="L558" s="76">
        <f>EFEITO!$N$558*EFEITO!$AA$558</f>
        <v>189.32444297118735</v>
      </c>
      <c r="M558" s="76">
        <f>$J$558-EFEITO!$K$558*EFEITO!$Y$558</f>
        <v>0</v>
      </c>
      <c r="N558" s="76">
        <f ca="1">$K$558-EFEITO!$M$558*EFEITO!$Z$558</f>
        <v>0</v>
      </c>
      <c r="O558" s="76">
        <f>$L$558-EFEITO!$O$558*EFEITO!$AA$558</f>
        <v>0</v>
      </c>
      <c r="P558" s="57"/>
      <c r="Q558" s="57"/>
      <c r="R558" s="57"/>
      <c r="S558" s="57"/>
      <c r="T558" s="57"/>
      <c r="U558" s="57"/>
      <c r="V558" s="57"/>
      <c r="W558" s="57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53" t="s">
        <v>21</v>
      </c>
      <c r="B559" s="53" t="s">
        <v>22</v>
      </c>
      <c r="C559" s="53" t="s">
        <v>33</v>
      </c>
      <c r="D559" s="53" t="s">
        <v>24</v>
      </c>
      <c r="E559" s="53" t="s">
        <v>24</v>
      </c>
      <c r="F559" s="53" t="s">
        <v>25</v>
      </c>
      <c r="G559" s="53" t="s">
        <v>25</v>
      </c>
      <c r="H559" s="53" t="s">
        <v>36</v>
      </c>
      <c r="I559" s="75">
        <v>44593</v>
      </c>
      <c r="J559" s="76">
        <f>EFEITO!$J$559*EFEITO!$Y$559</f>
        <v>0</v>
      </c>
      <c r="K559" s="76">
        <f ca="1">EFEITO!$L$559*EFEITO!$Z$559</f>
        <v>472.70988463468728</v>
      </c>
      <c r="L559" s="76">
        <f>EFEITO!$N$559*EFEITO!$AA$559</f>
        <v>219.50660054630418</v>
      </c>
      <c r="M559" s="76">
        <f>$J$559-EFEITO!$K$559*EFEITO!$Y$559</f>
        <v>0</v>
      </c>
      <c r="N559" s="76">
        <f ca="1">$K$559-EFEITO!$M$559*EFEITO!$Z$559</f>
        <v>0</v>
      </c>
      <c r="O559" s="76">
        <f>$L$559-EFEITO!$O$559*EFEITO!$AA$559</f>
        <v>0</v>
      </c>
      <c r="P559" s="57"/>
      <c r="Q559" s="57"/>
      <c r="R559" s="57"/>
      <c r="S559" s="57"/>
      <c r="T559" s="57"/>
      <c r="U559" s="57"/>
      <c r="V559" s="57"/>
      <c r="W559" s="57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53" t="s">
        <v>21</v>
      </c>
      <c r="B560" s="53" t="s">
        <v>22</v>
      </c>
      <c r="C560" s="53" t="s">
        <v>33</v>
      </c>
      <c r="D560" s="53" t="s">
        <v>24</v>
      </c>
      <c r="E560" s="53" t="s">
        <v>24</v>
      </c>
      <c r="F560" s="53" t="s">
        <v>25</v>
      </c>
      <c r="G560" s="53" t="s">
        <v>25</v>
      </c>
      <c r="H560" s="53" t="s">
        <v>36</v>
      </c>
      <c r="I560" s="75">
        <v>44621</v>
      </c>
      <c r="J560" s="76">
        <f>EFEITO!$J$560*EFEITO!$Y$560</f>
        <v>0</v>
      </c>
      <c r="K560" s="76">
        <f ca="1">EFEITO!$L$560*EFEITO!$Z$560</f>
        <v>456.95288848019766</v>
      </c>
      <c r="L560" s="76">
        <f>EFEITO!$N$560*EFEITO!$AA$560</f>
        <v>212.18971386142735</v>
      </c>
      <c r="M560" s="76">
        <f>$J$560-EFEITO!$K$560*EFEITO!$Y$560</f>
        <v>0</v>
      </c>
      <c r="N560" s="76">
        <f ca="1">$K$560-EFEITO!$M$560*EFEITO!$Z$560</f>
        <v>0</v>
      </c>
      <c r="O560" s="76">
        <f>$L$560-EFEITO!$O$560*EFEITO!$AA$560</f>
        <v>0</v>
      </c>
      <c r="P560" s="57"/>
      <c r="Q560" s="57"/>
      <c r="R560" s="57"/>
      <c r="S560" s="57"/>
      <c r="T560" s="57"/>
      <c r="U560" s="57"/>
      <c r="V560" s="57"/>
      <c r="W560" s="57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53" t="s">
        <v>21</v>
      </c>
      <c r="B561" s="53" t="s">
        <v>22</v>
      </c>
      <c r="C561" s="53" t="s">
        <v>33</v>
      </c>
      <c r="D561" s="53" t="s">
        <v>24</v>
      </c>
      <c r="E561" s="53" t="s">
        <v>24</v>
      </c>
      <c r="F561" s="53" t="s">
        <v>25</v>
      </c>
      <c r="G561" s="53" t="s">
        <v>25</v>
      </c>
      <c r="H561" s="53" t="s">
        <v>36</v>
      </c>
      <c r="I561" s="75">
        <v>44652</v>
      </c>
      <c r="J561" s="76">
        <f>EFEITO!$J$561*EFEITO!$Y$561</f>
        <v>0</v>
      </c>
      <c r="K561" s="76">
        <f ca="1">EFEITO!$L$561*EFEITO!$Z$561</f>
        <v>453.01363944157526</v>
      </c>
      <c r="L561" s="76">
        <f>EFEITO!$N$561*EFEITO!$AA$561</f>
        <v>210.36049219020816</v>
      </c>
      <c r="M561" s="76">
        <f>$J$561-EFEITO!$K$561*EFEITO!$Y$561</f>
        <v>0</v>
      </c>
      <c r="N561" s="76">
        <f ca="1">$K$561-EFEITO!$M$561*EFEITO!$Z$561</f>
        <v>0</v>
      </c>
      <c r="O561" s="76">
        <f>$L$561-EFEITO!$O$561*EFEITO!$AA$561</f>
        <v>0</v>
      </c>
      <c r="P561" s="57"/>
      <c r="Q561" s="57"/>
      <c r="R561" s="57"/>
      <c r="S561" s="57"/>
      <c r="T561" s="57"/>
      <c r="U561" s="57"/>
      <c r="V561" s="57"/>
      <c r="W561" s="57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53" t="s">
        <v>28</v>
      </c>
      <c r="B562" s="53" t="s">
        <v>22</v>
      </c>
      <c r="C562" s="53" t="s">
        <v>33</v>
      </c>
      <c r="D562" s="53" t="s">
        <v>24</v>
      </c>
      <c r="E562" s="53" t="s">
        <v>24</v>
      </c>
      <c r="F562" s="53" t="s">
        <v>25</v>
      </c>
      <c r="G562" s="53" t="s">
        <v>25</v>
      </c>
      <c r="H562" s="53" t="s">
        <v>36</v>
      </c>
      <c r="I562" s="75">
        <v>44652</v>
      </c>
      <c r="J562" s="76">
        <f>EFEITO!$J$562*EFEITO!$Y$562</f>
        <v>0</v>
      </c>
      <c r="K562" s="76">
        <f ca="1">EFEITO!$L$562*EFEITO!$Z$562</f>
        <v>21.665869712423167</v>
      </c>
      <c r="L562" s="76">
        <f>EFEITO!$N$562*EFEITO!$AA$562</f>
        <v>10.060719191705608</v>
      </c>
      <c r="M562" s="76">
        <f>$J$562-EFEITO!$K$562*EFEITO!$Y$562</f>
        <v>0</v>
      </c>
      <c r="N562" s="76">
        <f ca="1">$K$562-EFEITO!$M$562*EFEITO!$Z$562</f>
        <v>0</v>
      </c>
      <c r="O562" s="76">
        <f>$L$562-EFEITO!$O$562*EFEITO!$AA$562</f>
        <v>0</v>
      </c>
      <c r="P562" s="57"/>
      <c r="Q562" s="57"/>
      <c r="R562" s="57"/>
      <c r="S562" s="57"/>
      <c r="T562" s="57"/>
      <c r="U562" s="57"/>
      <c r="V562" s="57"/>
      <c r="W562" s="57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53" t="s">
        <v>21</v>
      </c>
      <c r="B563" s="53" t="s">
        <v>22</v>
      </c>
      <c r="C563" s="53" t="s">
        <v>33</v>
      </c>
      <c r="D563" s="53" t="s">
        <v>24</v>
      </c>
      <c r="E563" s="53" t="s">
        <v>24</v>
      </c>
      <c r="F563" s="53" t="s">
        <v>25</v>
      </c>
      <c r="G563" s="53" t="s">
        <v>25</v>
      </c>
      <c r="H563" s="53" t="s">
        <v>36</v>
      </c>
      <c r="I563" s="75">
        <v>44682</v>
      </c>
      <c r="J563" s="76">
        <f>EFEITO!$J$563*EFEITO!$Y$563</f>
        <v>0</v>
      </c>
      <c r="K563" s="76">
        <f ca="1">EFEITO!$L$563*EFEITO!$Z$563</f>
        <v>364.38053607257149</v>
      </c>
      <c r="L563" s="76">
        <f>EFEITO!$N$563*EFEITO!$AA$563</f>
        <v>169.20300458777615</v>
      </c>
      <c r="M563" s="76">
        <f>$J$563-EFEITO!$K$563*EFEITO!$Y$563</f>
        <v>0</v>
      </c>
      <c r="N563" s="76">
        <f ca="1">$K$563-EFEITO!$M$563*EFEITO!$Z$563</f>
        <v>0</v>
      </c>
      <c r="O563" s="76">
        <f>$L$563-EFEITO!$O$563*EFEITO!$AA$563</f>
        <v>0</v>
      </c>
      <c r="P563" s="57"/>
      <c r="Q563" s="57"/>
      <c r="R563" s="57"/>
      <c r="S563" s="57"/>
      <c r="T563" s="57"/>
      <c r="U563" s="57"/>
      <c r="V563" s="57"/>
      <c r="W563" s="57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53" t="s">
        <v>27</v>
      </c>
      <c r="B564" s="53" t="s">
        <v>22</v>
      </c>
      <c r="C564" s="53" t="s">
        <v>33</v>
      </c>
      <c r="D564" s="53" t="s">
        <v>24</v>
      </c>
      <c r="E564" s="53" t="s">
        <v>24</v>
      </c>
      <c r="F564" s="53" t="s">
        <v>25</v>
      </c>
      <c r="G564" s="53" t="s">
        <v>25</v>
      </c>
      <c r="H564" s="53" t="s">
        <v>36</v>
      </c>
      <c r="I564" s="75">
        <v>44682</v>
      </c>
      <c r="J564" s="76">
        <f>EFEITO!$J$564*EFEITO!$Y$564</f>
        <v>0</v>
      </c>
      <c r="K564" s="76">
        <f ca="1">EFEITO!$L$564*EFEITO!$Z$564</f>
        <v>4.5957905450594598</v>
      </c>
      <c r="L564" s="76">
        <f>EFEITO!$N$564*EFEITO!$AA$564</f>
        <v>2.1340919497557351</v>
      </c>
      <c r="M564" s="76">
        <f>$J$564-EFEITO!$K$564*EFEITO!$Y$564</f>
        <v>0</v>
      </c>
      <c r="N564" s="76">
        <f ca="1">$K$564-EFEITO!$M$564*EFEITO!$Z$564</f>
        <v>0</v>
      </c>
      <c r="O564" s="76">
        <f>$L$564-EFEITO!$O$564*EFEITO!$AA$564</f>
        <v>0</v>
      </c>
      <c r="P564" s="57"/>
      <c r="Q564" s="57"/>
      <c r="R564" s="57"/>
      <c r="S564" s="57"/>
      <c r="T564" s="57"/>
      <c r="U564" s="57"/>
      <c r="V564" s="57"/>
      <c r="W564" s="57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53" t="s">
        <v>21</v>
      </c>
      <c r="B565" s="53" t="s">
        <v>22</v>
      </c>
      <c r="C565" s="53" t="s">
        <v>33</v>
      </c>
      <c r="D565" s="53" t="s">
        <v>24</v>
      </c>
      <c r="E565" s="53" t="s">
        <v>24</v>
      </c>
      <c r="F565" s="53" t="s">
        <v>25</v>
      </c>
      <c r="G565" s="53" t="s">
        <v>25</v>
      </c>
      <c r="H565" s="53" t="s">
        <v>36</v>
      </c>
      <c r="I565" s="75">
        <v>44713</v>
      </c>
      <c r="J565" s="76">
        <f>EFEITO!$J$565*EFEITO!$Y$565</f>
        <v>0</v>
      </c>
      <c r="K565" s="76">
        <f ca="1">EFEITO!$L$565*EFEITO!$Z$565</f>
        <v>325.64458719278457</v>
      </c>
      <c r="L565" s="76">
        <f>EFEITO!$N$565*EFEITO!$AA$565</f>
        <v>151.21565815412066</v>
      </c>
      <c r="M565" s="76">
        <f>$J$565-EFEITO!$K$565*EFEITO!$Y$565</f>
        <v>0</v>
      </c>
      <c r="N565" s="76">
        <f ca="1">$K$565-EFEITO!$M$565*EFEITO!$Z$565</f>
        <v>0</v>
      </c>
      <c r="O565" s="76">
        <f>$L$565-EFEITO!$O$565*EFEITO!$AA$565</f>
        <v>0</v>
      </c>
      <c r="P565" s="57"/>
      <c r="Q565" s="57"/>
      <c r="R565" s="57"/>
      <c r="S565" s="57"/>
      <c r="T565" s="57"/>
      <c r="U565" s="57"/>
      <c r="V565" s="57"/>
      <c r="W565" s="57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53" t="s">
        <v>21</v>
      </c>
      <c r="B566" s="53" t="s">
        <v>22</v>
      </c>
      <c r="C566" s="53" t="s">
        <v>33</v>
      </c>
      <c r="D566" s="53" t="s">
        <v>24</v>
      </c>
      <c r="E566" s="53" t="s">
        <v>24</v>
      </c>
      <c r="F566" s="53" t="s">
        <v>25</v>
      </c>
      <c r="G566" s="53" t="s">
        <v>25</v>
      </c>
      <c r="H566" s="53" t="s">
        <v>36</v>
      </c>
      <c r="I566" s="75">
        <v>44743</v>
      </c>
      <c r="J566" s="76">
        <f>EFEITO!$J$566*EFEITO!$Y$566</f>
        <v>0</v>
      </c>
      <c r="K566" s="76">
        <f ca="1">EFEITO!$L$566*EFEITO!$Z$566</f>
        <v>329.58383623140696</v>
      </c>
      <c r="L566" s="76">
        <f>EFEITO!$N$566*EFEITO!$AA$566</f>
        <v>153.04487982533988</v>
      </c>
      <c r="M566" s="76">
        <f>$J$566-EFEITO!$K$566*EFEITO!$Y$566</f>
        <v>0</v>
      </c>
      <c r="N566" s="76">
        <f ca="1">$K$566-EFEITO!$M$566*EFEITO!$Z$566</f>
        <v>0</v>
      </c>
      <c r="O566" s="76">
        <f>$L$566-EFEITO!$O$566*EFEITO!$AA$566</f>
        <v>0</v>
      </c>
      <c r="P566" s="57"/>
      <c r="Q566" s="57"/>
      <c r="R566" s="57"/>
      <c r="S566" s="57"/>
      <c r="T566" s="57"/>
      <c r="U566" s="57"/>
      <c r="V566" s="57"/>
      <c r="W566" s="57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53" t="s">
        <v>28</v>
      </c>
      <c r="B567" s="53" t="s">
        <v>22</v>
      </c>
      <c r="C567" s="53" t="s">
        <v>33</v>
      </c>
      <c r="D567" s="53" t="s">
        <v>24</v>
      </c>
      <c r="E567" s="53" t="s">
        <v>24</v>
      </c>
      <c r="F567" s="53" t="s">
        <v>25</v>
      </c>
      <c r="G567" s="53" t="s">
        <v>25</v>
      </c>
      <c r="H567" s="53" t="s">
        <v>36</v>
      </c>
      <c r="I567" s="75">
        <v>44743</v>
      </c>
      <c r="J567" s="76">
        <f>EFEITO!$J$567*EFEITO!$Y$567</f>
        <v>0</v>
      </c>
      <c r="K567" s="76">
        <f ca="1">EFEITO!$L$567*EFEITO!$Z$567</f>
        <v>5.2523320514965253</v>
      </c>
      <c r="L567" s="76">
        <f>EFEITO!$N$567*EFEITO!$AA$567</f>
        <v>2.4389622282922687</v>
      </c>
      <c r="M567" s="76">
        <f>$J$567-EFEITO!$K$567*EFEITO!$Y$567</f>
        <v>0</v>
      </c>
      <c r="N567" s="76">
        <f ca="1">$K$567-EFEITO!$M$567*EFEITO!$Z$567</f>
        <v>0</v>
      </c>
      <c r="O567" s="76">
        <f>$L$567-EFEITO!$O$567*EFEITO!$AA$567</f>
        <v>0</v>
      </c>
      <c r="P567" s="57"/>
      <c r="Q567" s="57"/>
      <c r="R567" s="57"/>
      <c r="S567" s="57"/>
      <c r="T567" s="57"/>
      <c r="U567" s="57"/>
      <c r="V567" s="57"/>
      <c r="W567" s="57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53" t="s">
        <v>56</v>
      </c>
      <c r="B568" s="53" t="s">
        <v>22</v>
      </c>
      <c r="C568" s="53" t="s">
        <v>33</v>
      </c>
      <c r="D568" s="53" t="s">
        <v>24</v>
      </c>
      <c r="E568" s="53" t="s">
        <v>24</v>
      </c>
      <c r="F568" s="53" t="s">
        <v>25</v>
      </c>
      <c r="G568" s="53" t="s">
        <v>25</v>
      </c>
      <c r="H568" s="53" t="s">
        <v>36</v>
      </c>
      <c r="I568" s="75">
        <v>44774</v>
      </c>
      <c r="J568" s="76">
        <f>EFEITO!$J$568*EFEITO!$Y$568</f>
        <v>0</v>
      </c>
      <c r="K568" s="76">
        <f ca="1">EFEITO!$L$568*EFEITO!$Z$568</f>
        <v>329.58383623140696</v>
      </c>
      <c r="L568" s="76">
        <f>EFEITO!$N$568*EFEITO!$AA$568</f>
        <v>153.04487982533988</v>
      </c>
      <c r="M568" s="76">
        <f>$J$568-EFEITO!$K$568*EFEITO!$Y$568</f>
        <v>0</v>
      </c>
      <c r="N568" s="76">
        <f ca="1">$K$568-EFEITO!$M$568*EFEITO!$Z$568</f>
        <v>0</v>
      </c>
      <c r="O568" s="76">
        <f>$L$568-EFEITO!$O$568*EFEITO!$AA$568</f>
        <v>0</v>
      </c>
      <c r="P568" s="57"/>
      <c r="Q568" s="57"/>
      <c r="R568" s="57"/>
      <c r="S568" s="57"/>
      <c r="T568" s="57"/>
      <c r="U568" s="57"/>
      <c r="V568" s="57"/>
      <c r="W568" s="57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53" t="s">
        <v>56</v>
      </c>
      <c r="B569" s="53" t="s">
        <v>22</v>
      </c>
      <c r="C569" s="53" t="s">
        <v>33</v>
      </c>
      <c r="D569" s="53" t="s">
        <v>24</v>
      </c>
      <c r="E569" s="53" t="s">
        <v>24</v>
      </c>
      <c r="F569" s="53" t="s">
        <v>25</v>
      </c>
      <c r="G569" s="53" t="s">
        <v>25</v>
      </c>
      <c r="H569" s="53" t="s">
        <v>36</v>
      </c>
      <c r="I569" s="75">
        <v>44774</v>
      </c>
      <c r="J569" s="76">
        <f>EFEITO!$J$569*EFEITO!$Y$569</f>
        <v>0</v>
      </c>
      <c r="K569" s="76">
        <f ca="1">EFEITO!$L$569*EFEITO!$Z$569</f>
        <v>5.2523320514965253</v>
      </c>
      <c r="L569" s="76">
        <f>EFEITO!$N$569*EFEITO!$AA$569</f>
        <v>2.4389622282922687</v>
      </c>
      <c r="M569" s="76">
        <f>$J$569-EFEITO!$K$569*EFEITO!$Y$569</f>
        <v>0</v>
      </c>
      <c r="N569" s="76">
        <f ca="1">$K$569-EFEITO!$M$569*EFEITO!$Z$569</f>
        <v>0</v>
      </c>
      <c r="O569" s="76">
        <f>$L$569-EFEITO!$O$569*EFEITO!$AA$569</f>
        <v>0</v>
      </c>
      <c r="P569" s="57"/>
      <c r="Q569" s="57"/>
      <c r="R569" s="57"/>
      <c r="S569" s="57"/>
      <c r="T569" s="57"/>
      <c r="U569" s="57"/>
      <c r="V569" s="57"/>
      <c r="W569" s="57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53" t="s">
        <v>21</v>
      </c>
      <c r="B570" s="53" t="s">
        <v>22</v>
      </c>
      <c r="C570" s="53" t="s">
        <v>33</v>
      </c>
      <c r="D570" s="53" t="s">
        <v>24</v>
      </c>
      <c r="E570" s="53" t="s">
        <v>24</v>
      </c>
      <c r="F570" s="53" t="s">
        <v>25</v>
      </c>
      <c r="G570" s="53" t="s">
        <v>25</v>
      </c>
      <c r="H570" s="53" t="s">
        <v>25</v>
      </c>
      <c r="I570" s="75">
        <v>44440</v>
      </c>
      <c r="J570" s="76">
        <f>EFEITO!$J$570*EFEITO!$Y$570</f>
        <v>0</v>
      </c>
      <c r="K570" s="76">
        <f ca="1">EFEITO!$L$570*EFEITO!$Z$570</f>
        <v>43.480310925202971</v>
      </c>
      <c r="L570" s="76">
        <f>EFEITO!$N$570*EFEITO!$AA$570</f>
        <v>31.995408669336701</v>
      </c>
      <c r="M570" s="76">
        <f>$J$570-EFEITO!$K$570*EFEITO!$Y$570</f>
        <v>0</v>
      </c>
      <c r="N570" s="76">
        <f ca="1">$K$570-EFEITO!$M$570*EFEITO!$Z$570</f>
        <v>0</v>
      </c>
      <c r="O570" s="76">
        <f>$L$570-EFEITO!$O$570*EFEITO!$AA$570</f>
        <v>0</v>
      </c>
      <c r="P570" s="57"/>
      <c r="Q570" s="57"/>
      <c r="R570" s="57"/>
      <c r="S570" s="57"/>
      <c r="T570" s="57"/>
      <c r="U570" s="57"/>
      <c r="V570" s="57"/>
      <c r="W570" s="57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53" t="s">
        <v>28</v>
      </c>
      <c r="B571" s="53" t="s">
        <v>22</v>
      </c>
      <c r="C571" s="53" t="s">
        <v>33</v>
      </c>
      <c r="D571" s="53" t="s">
        <v>24</v>
      </c>
      <c r="E571" s="53" t="s">
        <v>24</v>
      </c>
      <c r="F571" s="53" t="s">
        <v>25</v>
      </c>
      <c r="G571" s="53" t="s">
        <v>25</v>
      </c>
      <c r="H571" s="53" t="s">
        <v>25</v>
      </c>
      <c r="I571" s="75">
        <v>44440</v>
      </c>
      <c r="J571" s="76">
        <f>EFEITO!$J$571*EFEITO!$Y$571</f>
        <v>0</v>
      </c>
      <c r="K571" s="76">
        <f ca="1">EFEITO!$L$571*EFEITO!$Z$571</f>
        <v>100.00471512796683</v>
      </c>
      <c r="L571" s="76">
        <f>EFEITO!$N$571*EFEITO!$AA$571</f>
        <v>73.589439939474417</v>
      </c>
      <c r="M571" s="76">
        <f>$J$571-EFEITO!$K$571*EFEITO!$Y$571</f>
        <v>0</v>
      </c>
      <c r="N571" s="76">
        <f ca="1">$K$571-EFEITO!$M$571*EFEITO!$Z$571</f>
        <v>0</v>
      </c>
      <c r="O571" s="76">
        <f>$L$571-EFEITO!$O$571*EFEITO!$AA$571</f>
        <v>0</v>
      </c>
      <c r="P571" s="57"/>
      <c r="Q571" s="57"/>
      <c r="R571" s="57"/>
      <c r="S571" s="57"/>
      <c r="T571" s="57"/>
      <c r="U571" s="57"/>
      <c r="V571" s="57"/>
      <c r="W571" s="57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53" t="s">
        <v>21</v>
      </c>
      <c r="B572" s="53" t="s">
        <v>22</v>
      </c>
      <c r="C572" s="53" t="s">
        <v>33</v>
      </c>
      <c r="D572" s="53" t="s">
        <v>24</v>
      </c>
      <c r="E572" s="53" t="s">
        <v>24</v>
      </c>
      <c r="F572" s="53" t="s">
        <v>25</v>
      </c>
      <c r="G572" s="53" t="s">
        <v>25</v>
      </c>
      <c r="H572" s="53" t="s">
        <v>25</v>
      </c>
      <c r="I572" s="75">
        <v>44470</v>
      </c>
      <c r="J572" s="76">
        <f>EFEITO!$J$572*EFEITO!$Y$572</f>
        <v>0</v>
      </c>
      <c r="K572" s="76">
        <f ca="1">EFEITO!$L$572*EFEITO!$Z$572</f>
        <v>34.784248740162376</v>
      </c>
      <c r="L572" s="76">
        <f>EFEITO!$N$572*EFEITO!$AA$572</f>
        <v>25.59632693546936</v>
      </c>
      <c r="M572" s="76">
        <f>$J$572-EFEITO!$K$572*EFEITO!$Y$572</f>
        <v>0</v>
      </c>
      <c r="N572" s="76">
        <f ca="1">$K$572-EFEITO!$M$572*EFEITO!$Z$572</f>
        <v>0</v>
      </c>
      <c r="O572" s="76">
        <f>$L$572-EFEITO!$O$572*EFEITO!$AA$572</f>
        <v>0</v>
      </c>
      <c r="P572" s="57"/>
      <c r="Q572" s="57"/>
      <c r="R572" s="57"/>
      <c r="S572" s="57"/>
      <c r="T572" s="57"/>
      <c r="U572" s="57"/>
      <c r="V572" s="57"/>
      <c r="W572" s="57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53" t="s">
        <v>28</v>
      </c>
      <c r="B573" s="53" t="s">
        <v>22</v>
      </c>
      <c r="C573" s="53" t="s">
        <v>33</v>
      </c>
      <c r="D573" s="53" t="s">
        <v>24</v>
      </c>
      <c r="E573" s="53" t="s">
        <v>24</v>
      </c>
      <c r="F573" s="53" t="s">
        <v>25</v>
      </c>
      <c r="G573" s="53" t="s">
        <v>25</v>
      </c>
      <c r="H573" s="53" t="s">
        <v>25</v>
      </c>
      <c r="I573" s="75">
        <v>44470</v>
      </c>
      <c r="J573" s="76">
        <f>EFEITO!$J$573*EFEITO!$Y$573</f>
        <v>0</v>
      </c>
      <c r="K573" s="76">
        <f ca="1">EFEITO!$L$573*EFEITO!$Z$573</f>
        <v>86.960621850405943</v>
      </c>
      <c r="L573" s="76">
        <f>EFEITO!$N$573*EFEITO!$AA$573</f>
        <v>63.990817338673402</v>
      </c>
      <c r="M573" s="76">
        <f>$J$573-EFEITO!$K$573*EFEITO!$Y$573</f>
        <v>0</v>
      </c>
      <c r="N573" s="76">
        <f ca="1">$K$573-EFEITO!$M$573*EFEITO!$Z$573</f>
        <v>0</v>
      </c>
      <c r="O573" s="76">
        <f>$L$573-EFEITO!$O$573*EFEITO!$AA$573</f>
        <v>0</v>
      </c>
      <c r="P573" s="57"/>
      <c r="Q573" s="57"/>
      <c r="R573" s="57"/>
      <c r="S573" s="57"/>
      <c r="T573" s="57"/>
      <c r="U573" s="57"/>
      <c r="V573" s="57"/>
      <c r="W573" s="57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53" t="s">
        <v>21</v>
      </c>
      <c r="B574" s="53" t="s">
        <v>22</v>
      </c>
      <c r="C574" s="53" t="s">
        <v>33</v>
      </c>
      <c r="D574" s="53" t="s">
        <v>24</v>
      </c>
      <c r="E574" s="53" t="s">
        <v>24</v>
      </c>
      <c r="F574" s="53" t="s">
        <v>25</v>
      </c>
      <c r="G574" s="53" t="s">
        <v>25</v>
      </c>
      <c r="H574" s="53" t="s">
        <v>25</v>
      </c>
      <c r="I574" s="75">
        <v>44501</v>
      </c>
      <c r="J574" s="76">
        <f>EFEITO!$J$574*EFEITO!$Y$574</f>
        <v>0</v>
      </c>
      <c r="K574" s="76">
        <f ca="1">EFEITO!$L$574*EFEITO!$Z$574</f>
        <v>56.524404202763861</v>
      </c>
      <c r="L574" s="76">
        <f>EFEITO!$N$574*EFEITO!$AA$574</f>
        <v>41.594031270137712</v>
      </c>
      <c r="M574" s="76">
        <f>$J$574-EFEITO!$K$574*EFEITO!$Y$574</f>
        <v>0</v>
      </c>
      <c r="N574" s="76">
        <f ca="1">$K$574-EFEITO!$M$574*EFEITO!$Z$574</f>
        <v>0</v>
      </c>
      <c r="O574" s="76">
        <f>$L$574-EFEITO!$O$574*EFEITO!$AA$574</f>
        <v>0</v>
      </c>
      <c r="P574" s="57"/>
      <c r="Q574" s="57"/>
      <c r="R574" s="57"/>
      <c r="S574" s="57"/>
      <c r="T574" s="57"/>
      <c r="U574" s="57"/>
      <c r="V574" s="57"/>
      <c r="W574" s="57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53" t="s">
        <v>28</v>
      </c>
      <c r="B575" s="53" t="s">
        <v>22</v>
      </c>
      <c r="C575" s="53" t="s">
        <v>33</v>
      </c>
      <c r="D575" s="53" t="s">
        <v>24</v>
      </c>
      <c r="E575" s="53" t="s">
        <v>24</v>
      </c>
      <c r="F575" s="53" t="s">
        <v>25</v>
      </c>
      <c r="G575" s="53" t="s">
        <v>25</v>
      </c>
      <c r="H575" s="53" t="s">
        <v>25</v>
      </c>
      <c r="I575" s="75">
        <v>44501</v>
      </c>
      <c r="J575" s="76">
        <f>EFEITO!$J$575*EFEITO!$Y$575</f>
        <v>0</v>
      </c>
      <c r="K575" s="76">
        <f ca="1">EFEITO!$L$575*EFEITO!$Z$575</f>
        <v>86.960621850405943</v>
      </c>
      <c r="L575" s="76">
        <f>EFEITO!$N$575*EFEITO!$AA$575</f>
        <v>63.990817338673402</v>
      </c>
      <c r="M575" s="76">
        <f>$J$575-EFEITO!$K$575*EFEITO!$Y$575</f>
        <v>0</v>
      </c>
      <c r="N575" s="76">
        <f ca="1">$K$575-EFEITO!$M$575*EFEITO!$Z$575</f>
        <v>0</v>
      </c>
      <c r="O575" s="76">
        <f>$L$575-EFEITO!$O$575*EFEITO!$AA$575</f>
        <v>0</v>
      </c>
      <c r="P575" s="57"/>
      <c r="Q575" s="57"/>
      <c r="R575" s="57"/>
      <c r="S575" s="57"/>
      <c r="T575" s="57"/>
      <c r="U575" s="57"/>
      <c r="V575" s="57"/>
      <c r="W575" s="57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53" t="s">
        <v>21</v>
      </c>
      <c r="B576" s="53" t="s">
        <v>22</v>
      </c>
      <c r="C576" s="53" t="s">
        <v>33</v>
      </c>
      <c r="D576" s="53" t="s">
        <v>24</v>
      </c>
      <c r="E576" s="53" t="s">
        <v>24</v>
      </c>
      <c r="F576" s="53" t="s">
        <v>25</v>
      </c>
      <c r="G576" s="53" t="s">
        <v>25</v>
      </c>
      <c r="H576" s="53" t="s">
        <v>25</v>
      </c>
      <c r="I576" s="75">
        <v>44531</v>
      </c>
      <c r="J576" s="76">
        <f>EFEITO!$J$576*EFEITO!$Y$576</f>
        <v>0</v>
      </c>
      <c r="K576" s="76">
        <f ca="1">EFEITO!$L$576*EFEITO!$Z$576</f>
        <v>21.740155462601486</v>
      </c>
      <c r="L576" s="76">
        <f>EFEITO!$N$576*EFEITO!$AA$576</f>
        <v>15.997704334668351</v>
      </c>
      <c r="M576" s="76">
        <f>$J$576-EFEITO!$K$576*EFEITO!$Y$576</f>
        <v>0</v>
      </c>
      <c r="N576" s="76">
        <f ca="1">$K$576-EFEITO!$M$576*EFEITO!$Z$576</f>
        <v>0</v>
      </c>
      <c r="O576" s="76">
        <f>$L$576-EFEITO!$O$576*EFEITO!$AA$576</f>
        <v>0</v>
      </c>
      <c r="P576" s="57"/>
      <c r="Q576" s="57"/>
      <c r="R576" s="57"/>
      <c r="S576" s="57"/>
      <c r="T576" s="57"/>
      <c r="U576" s="57"/>
      <c r="V576" s="57"/>
      <c r="W576" s="57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53" t="s">
        <v>28</v>
      </c>
      <c r="B577" s="53" t="s">
        <v>22</v>
      </c>
      <c r="C577" s="53" t="s">
        <v>33</v>
      </c>
      <c r="D577" s="53" t="s">
        <v>24</v>
      </c>
      <c r="E577" s="53" t="s">
        <v>24</v>
      </c>
      <c r="F577" s="53" t="s">
        <v>25</v>
      </c>
      <c r="G577" s="53" t="s">
        <v>25</v>
      </c>
      <c r="H577" s="53" t="s">
        <v>25</v>
      </c>
      <c r="I577" s="75">
        <v>44531</v>
      </c>
      <c r="J577" s="76">
        <f>EFEITO!$J$577*EFEITO!$Y$577</f>
        <v>0</v>
      </c>
      <c r="K577" s="76">
        <f ca="1">EFEITO!$L$577*EFEITO!$Z$577</f>
        <v>86.960621850405943</v>
      </c>
      <c r="L577" s="76">
        <f>EFEITO!$N$577*EFEITO!$AA$577</f>
        <v>63.990817338673402</v>
      </c>
      <c r="M577" s="76">
        <f>$J$577-EFEITO!$K$577*EFEITO!$Y$577</f>
        <v>0</v>
      </c>
      <c r="N577" s="76">
        <f ca="1">$K$577-EFEITO!$M$577*EFEITO!$Z$577</f>
        <v>0</v>
      </c>
      <c r="O577" s="76">
        <f>$L$577-EFEITO!$O$577*EFEITO!$AA$577</f>
        <v>0</v>
      </c>
      <c r="P577" s="57"/>
      <c r="Q577" s="57"/>
      <c r="R577" s="57"/>
      <c r="S577" s="57"/>
      <c r="T577" s="57"/>
      <c r="U577" s="57"/>
      <c r="V577" s="57"/>
      <c r="W577" s="57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53" t="s">
        <v>21</v>
      </c>
      <c r="B578" s="53" t="s">
        <v>22</v>
      </c>
      <c r="C578" s="53" t="s">
        <v>33</v>
      </c>
      <c r="D578" s="53" t="s">
        <v>24</v>
      </c>
      <c r="E578" s="53" t="s">
        <v>24</v>
      </c>
      <c r="F578" s="53" t="s">
        <v>25</v>
      </c>
      <c r="G578" s="53" t="s">
        <v>25</v>
      </c>
      <c r="H578" s="53" t="s">
        <v>25</v>
      </c>
      <c r="I578" s="75">
        <v>44562</v>
      </c>
      <c r="J578" s="76">
        <f>EFEITO!$J$578*EFEITO!$Y$578</f>
        <v>0</v>
      </c>
      <c r="K578" s="76">
        <f ca="1">EFEITO!$L$578*EFEITO!$Z$578</f>
        <v>21.740155462601486</v>
      </c>
      <c r="L578" s="76">
        <f>EFEITO!$N$578*EFEITO!$AA$578</f>
        <v>15.997704334668351</v>
      </c>
      <c r="M578" s="76">
        <f>$J$578-EFEITO!$K$578*EFEITO!$Y$578</f>
        <v>0</v>
      </c>
      <c r="N578" s="76">
        <f ca="1">$K$578-EFEITO!$M$578*EFEITO!$Z$578</f>
        <v>0</v>
      </c>
      <c r="O578" s="76">
        <f>$L$578-EFEITO!$O$578*EFEITO!$AA$578</f>
        <v>0</v>
      </c>
      <c r="P578" s="57"/>
      <c r="Q578" s="57"/>
      <c r="R578" s="57"/>
      <c r="S578" s="57"/>
      <c r="T578" s="57"/>
      <c r="U578" s="57"/>
      <c r="V578" s="57"/>
      <c r="W578" s="57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53" t="s">
        <v>28</v>
      </c>
      <c r="B579" s="53" t="s">
        <v>22</v>
      </c>
      <c r="C579" s="53" t="s">
        <v>33</v>
      </c>
      <c r="D579" s="53" t="s">
        <v>24</v>
      </c>
      <c r="E579" s="53" t="s">
        <v>24</v>
      </c>
      <c r="F579" s="53" t="s">
        <v>25</v>
      </c>
      <c r="G579" s="53" t="s">
        <v>25</v>
      </c>
      <c r="H579" s="53" t="s">
        <v>25</v>
      </c>
      <c r="I579" s="75">
        <v>44562</v>
      </c>
      <c r="J579" s="76">
        <f>EFEITO!$J$579*EFEITO!$Y$579</f>
        <v>0</v>
      </c>
      <c r="K579" s="76">
        <f ca="1">EFEITO!$L$579*EFEITO!$Z$579</f>
        <v>86.960621850405943</v>
      </c>
      <c r="L579" s="76">
        <f>EFEITO!$N$579*EFEITO!$AA$579</f>
        <v>63.990817338673402</v>
      </c>
      <c r="M579" s="76">
        <f>$J$579-EFEITO!$K$579*EFEITO!$Y$579</f>
        <v>0</v>
      </c>
      <c r="N579" s="76">
        <f ca="1">$K$579-EFEITO!$M$579*EFEITO!$Z$579</f>
        <v>0</v>
      </c>
      <c r="O579" s="76">
        <f>$L$579-EFEITO!$O$579*EFEITO!$AA$579</f>
        <v>0</v>
      </c>
      <c r="P579" s="57"/>
      <c r="Q579" s="57"/>
      <c r="R579" s="57"/>
      <c r="S579" s="57"/>
      <c r="T579" s="57"/>
      <c r="U579" s="57"/>
      <c r="V579" s="57"/>
      <c r="W579" s="57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53" t="s">
        <v>21</v>
      </c>
      <c r="B580" s="53" t="s">
        <v>22</v>
      </c>
      <c r="C580" s="53" t="s">
        <v>33</v>
      </c>
      <c r="D580" s="53" t="s">
        <v>24</v>
      </c>
      <c r="E580" s="53" t="s">
        <v>24</v>
      </c>
      <c r="F580" s="53" t="s">
        <v>25</v>
      </c>
      <c r="G580" s="53" t="s">
        <v>25</v>
      </c>
      <c r="H580" s="53" t="s">
        <v>25</v>
      </c>
      <c r="I580" s="75">
        <v>44593</v>
      </c>
      <c r="J580" s="76">
        <f>EFEITO!$J$580*EFEITO!$Y$580</f>
        <v>0</v>
      </c>
      <c r="K580" s="76">
        <f ca="1">EFEITO!$L$580*EFEITO!$Z$580</f>
        <v>21.740155462601486</v>
      </c>
      <c r="L580" s="76">
        <f>EFEITO!$N$580*EFEITO!$AA$580</f>
        <v>15.997704334668351</v>
      </c>
      <c r="M580" s="76">
        <f>$J$580-EFEITO!$K$580*EFEITO!$Y$580</f>
        <v>0</v>
      </c>
      <c r="N580" s="76">
        <f ca="1">$K$580-EFEITO!$M$580*EFEITO!$Z$580</f>
        <v>0</v>
      </c>
      <c r="O580" s="76">
        <f>$L$580-EFEITO!$O$580*EFEITO!$AA$580</f>
        <v>0</v>
      </c>
      <c r="P580" s="57"/>
      <c r="Q580" s="57"/>
      <c r="R580" s="57"/>
      <c r="S580" s="57"/>
      <c r="T580" s="57"/>
      <c r="U580" s="57"/>
      <c r="V580" s="57"/>
      <c r="W580" s="57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53" t="s">
        <v>28</v>
      </c>
      <c r="B581" s="53" t="s">
        <v>22</v>
      </c>
      <c r="C581" s="53" t="s">
        <v>33</v>
      </c>
      <c r="D581" s="53" t="s">
        <v>24</v>
      </c>
      <c r="E581" s="53" t="s">
        <v>24</v>
      </c>
      <c r="F581" s="53" t="s">
        <v>25</v>
      </c>
      <c r="G581" s="53" t="s">
        <v>25</v>
      </c>
      <c r="H581" s="53" t="s">
        <v>25</v>
      </c>
      <c r="I581" s="75">
        <v>44593</v>
      </c>
      <c r="J581" s="76">
        <f>EFEITO!$J$581*EFEITO!$Y$581</f>
        <v>0</v>
      </c>
      <c r="K581" s="76">
        <f ca="1">EFEITO!$L$581*EFEITO!$Z$581</f>
        <v>86.960621850405943</v>
      </c>
      <c r="L581" s="76">
        <f>EFEITO!$N$581*EFEITO!$AA$581</f>
        <v>63.990817338673402</v>
      </c>
      <c r="M581" s="76">
        <f>$J$581-EFEITO!$K$581*EFEITO!$Y$581</f>
        <v>0</v>
      </c>
      <c r="N581" s="76">
        <f ca="1">$K$581-EFEITO!$M$581*EFEITO!$Z$581</f>
        <v>0</v>
      </c>
      <c r="O581" s="76">
        <f>$L$581-EFEITO!$O$581*EFEITO!$AA$581</f>
        <v>0</v>
      </c>
      <c r="P581" s="57"/>
      <c r="Q581" s="57"/>
      <c r="R581" s="57"/>
      <c r="S581" s="57"/>
      <c r="T581" s="57"/>
      <c r="U581" s="57"/>
      <c r="V581" s="57"/>
      <c r="W581" s="57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53" t="s">
        <v>21</v>
      </c>
      <c r="B582" s="53" t="s">
        <v>22</v>
      </c>
      <c r="C582" s="53" t="s">
        <v>33</v>
      </c>
      <c r="D582" s="53" t="s">
        <v>24</v>
      </c>
      <c r="E582" s="53" t="s">
        <v>24</v>
      </c>
      <c r="F582" s="53" t="s">
        <v>25</v>
      </c>
      <c r="G582" s="53" t="s">
        <v>25</v>
      </c>
      <c r="H582" s="53" t="s">
        <v>25</v>
      </c>
      <c r="I582" s="75">
        <v>44621</v>
      </c>
      <c r="J582" s="76">
        <f>EFEITO!$J$582*EFEITO!$Y$582</f>
        <v>0</v>
      </c>
      <c r="K582" s="76">
        <f ca="1">EFEITO!$L$582*EFEITO!$Z$582</f>
        <v>21.740155462601486</v>
      </c>
      <c r="L582" s="76">
        <f>EFEITO!$N$582*EFEITO!$AA$582</f>
        <v>15.997704334668351</v>
      </c>
      <c r="M582" s="76">
        <f>$J$582-EFEITO!$K$582*EFEITO!$Y$582</f>
        <v>0</v>
      </c>
      <c r="N582" s="76">
        <f ca="1">$K$582-EFEITO!$M$582*EFEITO!$Z$582</f>
        <v>0</v>
      </c>
      <c r="O582" s="76">
        <f>$L$582-EFEITO!$O$582*EFEITO!$AA$582</f>
        <v>0</v>
      </c>
      <c r="P582" s="57"/>
      <c r="Q582" s="57"/>
      <c r="R582" s="57"/>
      <c r="S582" s="57"/>
      <c r="T582" s="57"/>
      <c r="U582" s="57"/>
      <c r="V582" s="57"/>
      <c r="W582" s="57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53" t="s">
        <v>28</v>
      </c>
      <c r="B583" s="53" t="s">
        <v>22</v>
      </c>
      <c r="C583" s="53" t="s">
        <v>33</v>
      </c>
      <c r="D583" s="53" t="s">
        <v>24</v>
      </c>
      <c r="E583" s="53" t="s">
        <v>24</v>
      </c>
      <c r="F583" s="53" t="s">
        <v>25</v>
      </c>
      <c r="G583" s="53" t="s">
        <v>25</v>
      </c>
      <c r="H583" s="53" t="s">
        <v>25</v>
      </c>
      <c r="I583" s="75">
        <v>44621</v>
      </c>
      <c r="J583" s="76">
        <f>EFEITO!$J$583*EFEITO!$Y$583</f>
        <v>0</v>
      </c>
      <c r="K583" s="76">
        <f ca="1">EFEITO!$L$583*EFEITO!$Z$583</f>
        <v>86.960621850405943</v>
      </c>
      <c r="L583" s="76">
        <f>EFEITO!$N$583*EFEITO!$AA$583</f>
        <v>63.990817338673402</v>
      </c>
      <c r="M583" s="76">
        <f>$J$583-EFEITO!$K$583*EFEITO!$Y$583</f>
        <v>0</v>
      </c>
      <c r="N583" s="76">
        <f ca="1">$K$583-EFEITO!$M$583*EFEITO!$Z$583</f>
        <v>0</v>
      </c>
      <c r="O583" s="76">
        <f>$L$583-EFEITO!$O$583*EFEITO!$AA$583</f>
        <v>0</v>
      </c>
      <c r="P583" s="57"/>
      <c r="Q583" s="57"/>
      <c r="R583" s="57"/>
      <c r="S583" s="57"/>
      <c r="T583" s="57"/>
      <c r="U583" s="57"/>
      <c r="V583" s="57"/>
      <c r="W583" s="57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53" t="s">
        <v>21</v>
      </c>
      <c r="B584" s="53" t="s">
        <v>22</v>
      </c>
      <c r="C584" s="53" t="s">
        <v>33</v>
      </c>
      <c r="D584" s="53" t="s">
        <v>24</v>
      </c>
      <c r="E584" s="53" t="s">
        <v>24</v>
      </c>
      <c r="F584" s="53" t="s">
        <v>25</v>
      </c>
      <c r="G584" s="53" t="s">
        <v>25</v>
      </c>
      <c r="H584" s="53" t="s">
        <v>25</v>
      </c>
      <c r="I584" s="75">
        <v>44652</v>
      </c>
      <c r="J584" s="76">
        <f>EFEITO!$J$584*EFEITO!$Y$584</f>
        <v>0</v>
      </c>
      <c r="K584" s="76">
        <f ca="1">EFEITO!$L$584*EFEITO!$Z$584</f>
        <v>21.740155462601486</v>
      </c>
      <c r="L584" s="76">
        <f>EFEITO!$N$584*EFEITO!$AA$584</f>
        <v>15.997704334668351</v>
      </c>
      <c r="M584" s="76">
        <f>$J$584-EFEITO!$K$584*EFEITO!$Y$584</f>
        <v>0</v>
      </c>
      <c r="N584" s="76">
        <f ca="1">$K$584-EFEITO!$M$584*EFEITO!$Z$584</f>
        <v>0</v>
      </c>
      <c r="O584" s="76">
        <f>$L$584-EFEITO!$O$584*EFEITO!$AA$584</f>
        <v>0</v>
      </c>
      <c r="P584" s="57"/>
      <c r="Q584" s="57"/>
      <c r="R584" s="57"/>
      <c r="S584" s="57"/>
      <c r="T584" s="57"/>
      <c r="U584" s="57"/>
      <c r="V584" s="57"/>
      <c r="W584" s="57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53" t="s">
        <v>28</v>
      </c>
      <c r="B585" s="53" t="s">
        <v>22</v>
      </c>
      <c r="C585" s="53" t="s">
        <v>33</v>
      </c>
      <c r="D585" s="53" t="s">
        <v>24</v>
      </c>
      <c r="E585" s="53" t="s">
        <v>24</v>
      </c>
      <c r="F585" s="53" t="s">
        <v>25</v>
      </c>
      <c r="G585" s="53" t="s">
        <v>25</v>
      </c>
      <c r="H585" s="53" t="s">
        <v>25</v>
      </c>
      <c r="I585" s="75">
        <v>44652</v>
      </c>
      <c r="J585" s="76">
        <f>EFEITO!$J$585*EFEITO!$Y$585</f>
        <v>0</v>
      </c>
      <c r="K585" s="76">
        <f ca="1">EFEITO!$L$585*EFEITO!$Z$585</f>
        <v>86.960621850405943</v>
      </c>
      <c r="L585" s="76">
        <f>EFEITO!$N$585*EFEITO!$AA$585</f>
        <v>63.990817338673402</v>
      </c>
      <c r="M585" s="76">
        <f>$J$585-EFEITO!$K$585*EFEITO!$Y$585</f>
        <v>0</v>
      </c>
      <c r="N585" s="76">
        <f ca="1">$K$585-EFEITO!$M$585*EFEITO!$Z$585</f>
        <v>0</v>
      </c>
      <c r="O585" s="76">
        <f>$L$585-EFEITO!$O$585*EFEITO!$AA$585</f>
        <v>0</v>
      </c>
      <c r="P585" s="57"/>
      <c r="Q585" s="57"/>
      <c r="R585" s="57"/>
      <c r="S585" s="57"/>
      <c r="T585" s="57"/>
      <c r="U585" s="57"/>
      <c r="V585" s="57"/>
      <c r="W585" s="57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53" t="s">
        <v>21</v>
      </c>
      <c r="B586" s="53" t="s">
        <v>22</v>
      </c>
      <c r="C586" s="53" t="s">
        <v>33</v>
      </c>
      <c r="D586" s="53" t="s">
        <v>24</v>
      </c>
      <c r="E586" s="53" t="s">
        <v>24</v>
      </c>
      <c r="F586" s="53" t="s">
        <v>25</v>
      </c>
      <c r="G586" s="53" t="s">
        <v>25</v>
      </c>
      <c r="H586" s="53" t="s">
        <v>25</v>
      </c>
      <c r="I586" s="75">
        <v>44682</v>
      </c>
      <c r="J586" s="76">
        <f>EFEITO!$J$586*EFEITO!$Y$586</f>
        <v>0</v>
      </c>
      <c r="K586" s="76">
        <f ca="1">EFEITO!$L$586*EFEITO!$Z$586</f>
        <v>21.740155462601486</v>
      </c>
      <c r="L586" s="76">
        <f>EFEITO!$N$586*EFEITO!$AA$586</f>
        <v>15.997704334668351</v>
      </c>
      <c r="M586" s="76">
        <f>$J$586-EFEITO!$K$586*EFEITO!$Y$586</f>
        <v>0</v>
      </c>
      <c r="N586" s="76">
        <f ca="1">$K$586-EFEITO!$M$586*EFEITO!$Z$586</f>
        <v>0</v>
      </c>
      <c r="O586" s="76">
        <f>$L$586-EFEITO!$O$586*EFEITO!$AA$586</f>
        <v>0</v>
      </c>
      <c r="P586" s="57"/>
      <c r="Q586" s="57"/>
      <c r="R586" s="57"/>
      <c r="S586" s="57"/>
      <c r="T586" s="57"/>
      <c r="U586" s="57"/>
      <c r="V586" s="57"/>
      <c r="W586" s="57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53" t="s">
        <v>28</v>
      </c>
      <c r="B587" s="53" t="s">
        <v>22</v>
      </c>
      <c r="C587" s="53" t="s">
        <v>33</v>
      </c>
      <c r="D587" s="53" t="s">
        <v>24</v>
      </c>
      <c r="E587" s="53" t="s">
        <v>24</v>
      </c>
      <c r="F587" s="53" t="s">
        <v>25</v>
      </c>
      <c r="G587" s="53" t="s">
        <v>25</v>
      </c>
      <c r="H587" s="53" t="s">
        <v>25</v>
      </c>
      <c r="I587" s="75">
        <v>44682</v>
      </c>
      <c r="J587" s="76">
        <f>EFEITO!$J$587*EFEITO!$Y$587</f>
        <v>0</v>
      </c>
      <c r="K587" s="76">
        <f ca="1">EFEITO!$L$587*EFEITO!$Z$587</f>
        <v>130.4409327756089</v>
      </c>
      <c r="L587" s="76">
        <f>EFEITO!$N$587*EFEITO!$AA$587</f>
        <v>95.986226008010092</v>
      </c>
      <c r="M587" s="76">
        <f>$J$587-EFEITO!$K$587*EFEITO!$Y$587</f>
        <v>0</v>
      </c>
      <c r="N587" s="76">
        <f ca="1">$K$587-EFEITO!$M$587*EFEITO!$Z$587</f>
        <v>0</v>
      </c>
      <c r="O587" s="76">
        <f>$L$587-EFEITO!$O$587*EFEITO!$AA$587</f>
        <v>0</v>
      </c>
      <c r="P587" s="57"/>
      <c r="Q587" s="57"/>
      <c r="R587" s="57"/>
      <c r="S587" s="57"/>
      <c r="T587" s="57"/>
      <c r="U587" s="57"/>
      <c r="V587" s="57"/>
      <c r="W587" s="57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53" t="s">
        <v>21</v>
      </c>
      <c r="B588" s="53" t="s">
        <v>22</v>
      </c>
      <c r="C588" s="53" t="s">
        <v>33</v>
      </c>
      <c r="D588" s="53" t="s">
        <v>24</v>
      </c>
      <c r="E588" s="53" t="s">
        <v>24</v>
      </c>
      <c r="F588" s="53" t="s">
        <v>25</v>
      </c>
      <c r="G588" s="53" t="s">
        <v>25</v>
      </c>
      <c r="H588" s="53" t="s">
        <v>25</v>
      </c>
      <c r="I588" s="75">
        <v>44713</v>
      </c>
      <c r="J588" s="76">
        <f>EFEITO!$J$588*EFEITO!$Y$588</f>
        <v>0</v>
      </c>
      <c r="K588" s="76">
        <f ca="1">EFEITO!$L$588*EFEITO!$Z$588</f>
        <v>21.740155462601486</v>
      </c>
      <c r="L588" s="76">
        <f>EFEITO!$N$588*EFEITO!$AA$588</f>
        <v>15.997704334668351</v>
      </c>
      <c r="M588" s="76">
        <f>$J$588-EFEITO!$K$588*EFEITO!$Y$588</f>
        <v>0</v>
      </c>
      <c r="N588" s="76">
        <f ca="1">$K$588-EFEITO!$M$588*EFEITO!$Z$588</f>
        <v>0</v>
      </c>
      <c r="O588" s="76">
        <f>$L$588-EFEITO!$O$588*EFEITO!$AA$588</f>
        <v>0</v>
      </c>
      <c r="P588" s="57"/>
      <c r="Q588" s="57"/>
      <c r="R588" s="57"/>
      <c r="S588" s="57"/>
      <c r="T588" s="57"/>
      <c r="U588" s="57"/>
      <c r="V588" s="57"/>
      <c r="W588" s="57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53" t="s">
        <v>28</v>
      </c>
      <c r="B589" s="53" t="s">
        <v>22</v>
      </c>
      <c r="C589" s="53" t="s">
        <v>33</v>
      </c>
      <c r="D589" s="53" t="s">
        <v>24</v>
      </c>
      <c r="E589" s="53" t="s">
        <v>24</v>
      </c>
      <c r="F589" s="53" t="s">
        <v>25</v>
      </c>
      <c r="G589" s="53" t="s">
        <v>25</v>
      </c>
      <c r="H589" s="53" t="s">
        <v>25</v>
      </c>
      <c r="I589" s="75">
        <v>44713</v>
      </c>
      <c r="J589" s="76">
        <f>EFEITO!$J$589*EFEITO!$Y$589</f>
        <v>0</v>
      </c>
      <c r="K589" s="76">
        <f ca="1">EFEITO!$L$589*EFEITO!$Z$589</f>
        <v>173.92124370081189</v>
      </c>
      <c r="L589" s="76">
        <f>EFEITO!$N$589*EFEITO!$AA$589</f>
        <v>127.9816346773468</v>
      </c>
      <c r="M589" s="76">
        <f>$J$589-EFEITO!$K$589*EFEITO!$Y$589</f>
        <v>0</v>
      </c>
      <c r="N589" s="76">
        <f ca="1">$K$589-EFEITO!$M$589*EFEITO!$Z$589</f>
        <v>0</v>
      </c>
      <c r="O589" s="76">
        <f>$L$589-EFEITO!$O$589*EFEITO!$AA$589</f>
        <v>0</v>
      </c>
      <c r="P589" s="57"/>
      <c r="Q589" s="57"/>
      <c r="R589" s="57"/>
      <c r="S589" s="57"/>
      <c r="T589" s="57"/>
      <c r="U589" s="57"/>
      <c r="V589" s="57"/>
      <c r="W589" s="57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53" t="s">
        <v>21</v>
      </c>
      <c r="B590" s="53" t="s">
        <v>22</v>
      </c>
      <c r="C590" s="53" t="s">
        <v>33</v>
      </c>
      <c r="D590" s="53" t="s">
        <v>24</v>
      </c>
      <c r="E590" s="53" t="s">
        <v>24</v>
      </c>
      <c r="F590" s="53" t="s">
        <v>25</v>
      </c>
      <c r="G590" s="53" t="s">
        <v>25</v>
      </c>
      <c r="H590" s="53" t="s">
        <v>25</v>
      </c>
      <c r="I590" s="75">
        <v>44743</v>
      </c>
      <c r="J590" s="76">
        <f>EFEITO!$J$590*EFEITO!$Y$590</f>
        <v>0</v>
      </c>
      <c r="K590" s="76">
        <f ca="1">EFEITO!$L$590*EFEITO!$Z$590</f>
        <v>43.480310925202971</v>
      </c>
      <c r="L590" s="76">
        <f>EFEITO!$N$590*EFEITO!$AA$590</f>
        <v>31.995408669336701</v>
      </c>
      <c r="M590" s="76">
        <f>$J$590-EFEITO!$K$590*EFEITO!$Y$590</f>
        <v>0</v>
      </c>
      <c r="N590" s="76">
        <f ca="1">$K$590-EFEITO!$M$590*EFEITO!$Z$590</f>
        <v>0</v>
      </c>
      <c r="O590" s="76">
        <f>$L$590-EFEITO!$O$590*EFEITO!$AA$590</f>
        <v>0</v>
      </c>
      <c r="P590" s="57"/>
      <c r="Q590" s="57"/>
      <c r="R590" s="57"/>
      <c r="S590" s="57"/>
      <c r="T590" s="57"/>
      <c r="U590" s="57"/>
      <c r="V590" s="57"/>
      <c r="W590" s="57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53" t="s">
        <v>28</v>
      </c>
      <c r="B591" s="53" t="s">
        <v>22</v>
      </c>
      <c r="C591" s="53" t="s">
        <v>33</v>
      </c>
      <c r="D591" s="53" t="s">
        <v>24</v>
      </c>
      <c r="E591" s="53" t="s">
        <v>24</v>
      </c>
      <c r="F591" s="53" t="s">
        <v>25</v>
      </c>
      <c r="G591" s="53" t="s">
        <v>25</v>
      </c>
      <c r="H591" s="53" t="s">
        <v>25</v>
      </c>
      <c r="I591" s="75">
        <v>44743</v>
      </c>
      <c r="J591" s="76">
        <f>EFEITO!$J$591*EFEITO!$Y$591</f>
        <v>0</v>
      </c>
      <c r="K591" s="76">
        <f ca="1">EFEITO!$L$591*EFEITO!$Z$591</f>
        <v>130.4409327756089</v>
      </c>
      <c r="L591" s="76">
        <f>EFEITO!$N$591*EFEITO!$AA$591</f>
        <v>95.986226008010092</v>
      </c>
      <c r="M591" s="76">
        <f>$J$591-EFEITO!$K$591*EFEITO!$Y$591</f>
        <v>0</v>
      </c>
      <c r="N591" s="76">
        <f ca="1">$K$591-EFEITO!$M$591*EFEITO!$Z$591</f>
        <v>0</v>
      </c>
      <c r="O591" s="76">
        <f>$L$591-EFEITO!$O$591*EFEITO!$AA$591</f>
        <v>0</v>
      </c>
      <c r="P591" s="57"/>
      <c r="Q591" s="57"/>
      <c r="R591" s="57"/>
      <c r="S591" s="57"/>
      <c r="T591" s="57"/>
      <c r="U591" s="57"/>
      <c r="V591" s="57"/>
      <c r="W591" s="57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53" t="s">
        <v>56</v>
      </c>
      <c r="B592" s="53" t="s">
        <v>22</v>
      </c>
      <c r="C592" s="53" t="s">
        <v>33</v>
      </c>
      <c r="D592" s="53" t="s">
        <v>24</v>
      </c>
      <c r="E592" s="53" t="s">
        <v>24</v>
      </c>
      <c r="F592" s="53" t="s">
        <v>25</v>
      </c>
      <c r="G592" s="53" t="s">
        <v>25</v>
      </c>
      <c r="H592" s="53" t="s">
        <v>25</v>
      </c>
      <c r="I592" s="75">
        <v>44774</v>
      </c>
      <c r="J592" s="76">
        <f>EFEITO!$J$592*EFEITO!$Y$592</f>
        <v>0</v>
      </c>
      <c r="K592" s="76">
        <f ca="1">EFEITO!$L$592*EFEITO!$Z$592</f>
        <v>43.480310925202971</v>
      </c>
      <c r="L592" s="76">
        <f>EFEITO!$N$592*EFEITO!$AA$592</f>
        <v>31.995408669336701</v>
      </c>
      <c r="M592" s="76">
        <f>$J$592-EFEITO!$K$592*EFEITO!$Y$592</f>
        <v>0</v>
      </c>
      <c r="N592" s="76">
        <f ca="1">$K$592-EFEITO!$M$592*EFEITO!$Z$592</f>
        <v>0</v>
      </c>
      <c r="O592" s="76">
        <f>$L$592-EFEITO!$O$592*EFEITO!$AA$592</f>
        <v>0</v>
      </c>
      <c r="P592" s="57"/>
      <c r="Q592" s="57"/>
      <c r="R592" s="57"/>
      <c r="S592" s="57"/>
      <c r="T592" s="57"/>
      <c r="U592" s="57"/>
      <c r="V592" s="57"/>
      <c r="W592" s="57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53" t="s">
        <v>56</v>
      </c>
      <c r="B593" s="53" t="s">
        <v>22</v>
      </c>
      <c r="C593" s="53" t="s">
        <v>33</v>
      </c>
      <c r="D593" s="53" t="s">
        <v>24</v>
      </c>
      <c r="E593" s="53" t="s">
        <v>24</v>
      </c>
      <c r="F593" s="53" t="s">
        <v>25</v>
      </c>
      <c r="G593" s="53" t="s">
        <v>25</v>
      </c>
      <c r="H593" s="53" t="s">
        <v>25</v>
      </c>
      <c r="I593" s="75">
        <v>44774</v>
      </c>
      <c r="J593" s="76">
        <f>EFEITO!$J$593*EFEITO!$Y$593</f>
        <v>0</v>
      </c>
      <c r="K593" s="76">
        <f ca="1">EFEITO!$L$593*EFEITO!$Z$593</f>
        <v>130.4409327756089</v>
      </c>
      <c r="L593" s="76">
        <f>EFEITO!$N$593*EFEITO!$AA$593</f>
        <v>95.986226008010092</v>
      </c>
      <c r="M593" s="76">
        <f>$J$593-EFEITO!$K$593*EFEITO!$Y$593</f>
        <v>0</v>
      </c>
      <c r="N593" s="76">
        <f ca="1">$K$593-EFEITO!$M$593*EFEITO!$Z$593</f>
        <v>0</v>
      </c>
      <c r="O593" s="76">
        <f>$L$593-EFEITO!$O$593*EFEITO!$AA$593</f>
        <v>0</v>
      </c>
      <c r="P593" s="57"/>
      <c r="Q593" s="57"/>
      <c r="R593" s="57"/>
      <c r="S593" s="57"/>
      <c r="T593" s="57"/>
      <c r="U593" s="57"/>
      <c r="V593" s="57"/>
      <c r="W593" s="57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53" t="s">
        <v>21</v>
      </c>
      <c r="B594" s="53" t="s">
        <v>22</v>
      </c>
      <c r="C594" s="53" t="s">
        <v>33</v>
      </c>
      <c r="D594" s="53" t="s">
        <v>24</v>
      </c>
      <c r="E594" s="53" t="s">
        <v>24</v>
      </c>
      <c r="F594" s="53" t="s">
        <v>25</v>
      </c>
      <c r="G594" s="53" t="s">
        <v>25</v>
      </c>
      <c r="H594" s="53" t="s">
        <v>34</v>
      </c>
      <c r="I594" s="75">
        <v>44440</v>
      </c>
      <c r="J594" s="76">
        <f>EFEITO!$J$594*EFEITO!$Y$594</f>
        <v>0</v>
      </c>
      <c r="K594" s="76">
        <f ca="1">EFEITO!$L$594*EFEITO!$Z$594</f>
        <v>1440.1685544085847</v>
      </c>
      <c r="L594" s="76">
        <f>EFEITO!$N$594*EFEITO!$AA$594</f>
        <v>721.03994900510463</v>
      </c>
      <c r="M594" s="76">
        <f>$J$594-EFEITO!$K$594*EFEITO!$Y$594</f>
        <v>0</v>
      </c>
      <c r="N594" s="76">
        <f ca="1">$K$594-EFEITO!$M$594*EFEITO!$Z$594</f>
        <v>0</v>
      </c>
      <c r="O594" s="76">
        <f>$L$594-EFEITO!$O$594*EFEITO!$AA$594</f>
        <v>0</v>
      </c>
      <c r="P594" s="57"/>
      <c r="Q594" s="57"/>
      <c r="R594" s="57"/>
      <c r="S594" s="57"/>
      <c r="T594" s="57"/>
      <c r="U594" s="57"/>
      <c r="V594" s="57"/>
      <c r="W594" s="57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53" t="s">
        <v>21</v>
      </c>
      <c r="B595" s="53" t="s">
        <v>22</v>
      </c>
      <c r="C595" s="53" t="s">
        <v>33</v>
      </c>
      <c r="D595" s="53" t="s">
        <v>24</v>
      </c>
      <c r="E595" s="53" t="s">
        <v>24</v>
      </c>
      <c r="F595" s="53" t="s">
        <v>25</v>
      </c>
      <c r="G595" s="53" t="s">
        <v>25</v>
      </c>
      <c r="H595" s="53" t="s">
        <v>34</v>
      </c>
      <c r="I595" s="75">
        <v>44470</v>
      </c>
      <c r="J595" s="76">
        <f>EFEITO!$J$595*EFEITO!$Y$595</f>
        <v>0</v>
      </c>
      <c r="K595" s="76">
        <f ca="1">EFEITO!$L$595*EFEITO!$Z$595</f>
        <v>1604.176967949724</v>
      </c>
      <c r="L595" s="76">
        <f>EFEITO!$N$595*EFEITO!$AA$595</f>
        <v>803.15298901983692</v>
      </c>
      <c r="M595" s="76">
        <f>$J$595-EFEITO!$K$595*EFEITO!$Y$595</f>
        <v>0</v>
      </c>
      <c r="N595" s="76">
        <f ca="1">$K$595-EFEITO!$M$595*EFEITO!$Z$595</f>
        <v>0</v>
      </c>
      <c r="O595" s="76">
        <f>$L$595-EFEITO!$O$595*EFEITO!$AA$595</f>
        <v>0</v>
      </c>
      <c r="P595" s="57"/>
      <c r="Q595" s="57"/>
      <c r="R595" s="57"/>
      <c r="S595" s="57"/>
      <c r="T595" s="57"/>
      <c r="U595" s="57"/>
      <c r="V595" s="57"/>
      <c r="W595" s="57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53" t="s">
        <v>21</v>
      </c>
      <c r="B596" s="53" t="s">
        <v>22</v>
      </c>
      <c r="C596" s="53" t="s">
        <v>33</v>
      </c>
      <c r="D596" s="53" t="s">
        <v>24</v>
      </c>
      <c r="E596" s="53" t="s">
        <v>24</v>
      </c>
      <c r="F596" s="53" t="s">
        <v>25</v>
      </c>
      <c r="G596" s="53" t="s">
        <v>25</v>
      </c>
      <c r="H596" s="53" t="s">
        <v>34</v>
      </c>
      <c r="I596" s="75">
        <v>44501</v>
      </c>
      <c r="J596" s="76">
        <f>EFEITO!$J$596*EFEITO!$Y$596</f>
        <v>0</v>
      </c>
      <c r="K596" s="76">
        <f ca="1">EFEITO!$L$596*EFEITO!$Z$596</f>
        <v>1438.2276264376835</v>
      </c>
      <c r="L596" s="76">
        <f>EFEITO!$N$596*EFEITO!$AA$596</f>
        <v>720.06819705226746</v>
      </c>
      <c r="M596" s="76">
        <f>$J$596-EFEITO!$K$596*EFEITO!$Y$596</f>
        <v>0</v>
      </c>
      <c r="N596" s="76">
        <f ca="1">$K$596-EFEITO!$M$596*EFEITO!$Z$596</f>
        <v>0</v>
      </c>
      <c r="O596" s="76">
        <f>$L$596-EFEITO!$O$596*EFEITO!$AA$596</f>
        <v>0</v>
      </c>
      <c r="P596" s="57"/>
      <c r="Q596" s="57"/>
      <c r="R596" s="57"/>
      <c r="S596" s="57"/>
      <c r="T596" s="57"/>
      <c r="U596" s="57"/>
      <c r="V596" s="57"/>
      <c r="W596" s="57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53" t="s">
        <v>21</v>
      </c>
      <c r="B597" s="53" t="s">
        <v>22</v>
      </c>
      <c r="C597" s="53" t="s">
        <v>33</v>
      </c>
      <c r="D597" s="53" t="s">
        <v>24</v>
      </c>
      <c r="E597" s="53" t="s">
        <v>24</v>
      </c>
      <c r="F597" s="53" t="s">
        <v>25</v>
      </c>
      <c r="G597" s="53" t="s">
        <v>25</v>
      </c>
      <c r="H597" s="53" t="s">
        <v>34</v>
      </c>
      <c r="I597" s="75">
        <v>44531</v>
      </c>
      <c r="J597" s="76">
        <f>EFEITO!$J$597*EFEITO!$Y$597</f>
        <v>0</v>
      </c>
      <c r="K597" s="76">
        <f ca="1">EFEITO!$L$597*EFEITO!$Z$597</f>
        <v>1556.6242326626482</v>
      </c>
      <c r="L597" s="76">
        <f>EFEITO!$N$597*EFEITO!$AA$597</f>
        <v>779.34506617532872</v>
      </c>
      <c r="M597" s="76">
        <f>$J$597-EFEITO!$K$597*EFEITO!$Y$597</f>
        <v>0</v>
      </c>
      <c r="N597" s="76">
        <f ca="1">$K$597-EFEITO!$M$597*EFEITO!$Z$597</f>
        <v>0</v>
      </c>
      <c r="O597" s="76">
        <f>$L$597-EFEITO!$O$597*EFEITO!$AA$597</f>
        <v>0</v>
      </c>
      <c r="P597" s="57"/>
      <c r="Q597" s="57"/>
      <c r="R597" s="57"/>
      <c r="S597" s="57"/>
      <c r="T597" s="57"/>
      <c r="U597" s="57"/>
      <c r="V597" s="57"/>
      <c r="W597" s="57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53" t="s">
        <v>21</v>
      </c>
      <c r="B598" s="53" t="s">
        <v>22</v>
      </c>
      <c r="C598" s="53" t="s">
        <v>33</v>
      </c>
      <c r="D598" s="53" t="s">
        <v>24</v>
      </c>
      <c r="E598" s="53" t="s">
        <v>24</v>
      </c>
      <c r="F598" s="53" t="s">
        <v>25</v>
      </c>
      <c r="G598" s="53" t="s">
        <v>25</v>
      </c>
      <c r="H598" s="53" t="s">
        <v>34</v>
      </c>
      <c r="I598" s="75">
        <v>44562</v>
      </c>
      <c r="J598" s="76">
        <f>EFEITO!$J$598*EFEITO!$Y$598</f>
        <v>0</v>
      </c>
      <c r="K598" s="76">
        <f ca="1">EFEITO!$L$598*EFEITO!$Z$598</f>
        <v>1515.8647452737259</v>
      </c>
      <c r="L598" s="76">
        <f>EFEITO!$N$598*EFEITO!$AA$598</f>
        <v>758.93827516575027</v>
      </c>
      <c r="M598" s="76">
        <f>$J$598-EFEITO!$K$598*EFEITO!$Y$598</f>
        <v>0</v>
      </c>
      <c r="N598" s="76">
        <f ca="1">$K$598-EFEITO!$M$598*EFEITO!$Z$598</f>
        <v>0</v>
      </c>
      <c r="O598" s="76">
        <f>$L$598-EFEITO!$O$598*EFEITO!$AA$598</f>
        <v>0</v>
      </c>
      <c r="P598" s="57"/>
      <c r="Q598" s="57"/>
      <c r="R598" s="57"/>
      <c r="S598" s="57"/>
      <c r="T598" s="57"/>
      <c r="U598" s="57"/>
      <c r="V598" s="57"/>
      <c r="W598" s="57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53" t="s">
        <v>21</v>
      </c>
      <c r="B599" s="53" t="s">
        <v>22</v>
      </c>
      <c r="C599" s="53" t="s">
        <v>33</v>
      </c>
      <c r="D599" s="53" t="s">
        <v>24</v>
      </c>
      <c r="E599" s="53" t="s">
        <v>24</v>
      </c>
      <c r="F599" s="53" t="s">
        <v>25</v>
      </c>
      <c r="G599" s="53" t="s">
        <v>25</v>
      </c>
      <c r="H599" s="53" t="s">
        <v>34</v>
      </c>
      <c r="I599" s="75">
        <v>44593</v>
      </c>
      <c r="J599" s="76">
        <f>EFEITO!$J$599*EFEITO!$Y$599</f>
        <v>0</v>
      </c>
      <c r="K599" s="76">
        <f ca="1">EFEITO!$L$599*EFEITO!$Z$599</f>
        <v>1622.6157836732841</v>
      </c>
      <c r="L599" s="76">
        <f>EFEITO!$N$599*EFEITO!$AA$599</f>
        <v>812.38463257178898</v>
      </c>
      <c r="M599" s="76">
        <f>$J$599-EFEITO!$K$599*EFEITO!$Y$599</f>
        <v>0</v>
      </c>
      <c r="N599" s="76">
        <f ca="1">$K$599-EFEITO!$M$599*EFEITO!$Z$599</f>
        <v>0</v>
      </c>
      <c r="O599" s="76">
        <f>$L$599-EFEITO!$O$599*EFEITO!$AA$599</f>
        <v>0</v>
      </c>
      <c r="P599" s="57"/>
      <c r="Q599" s="57"/>
      <c r="R599" s="57"/>
      <c r="S599" s="57"/>
      <c r="T599" s="57"/>
      <c r="U599" s="57"/>
      <c r="V599" s="57"/>
      <c r="W599" s="57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53" t="s">
        <v>21</v>
      </c>
      <c r="B600" s="53" t="s">
        <v>22</v>
      </c>
      <c r="C600" s="53" t="s">
        <v>33</v>
      </c>
      <c r="D600" s="53" t="s">
        <v>24</v>
      </c>
      <c r="E600" s="53" t="s">
        <v>24</v>
      </c>
      <c r="F600" s="53" t="s">
        <v>25</v>
      </c>
      <c r="G600" s="53" t="s">
        <v>25</v>
      </c>
      <c r="H600" s="53" t="s">
        <v>34</v>
      </c>
      <c r="I600" s="75">
        <v>44621</v>
      </c>
      <c r="J600" s="76">
        <f>EFEITO!$J$600*EFEITO!$Y$600</f>
        <v>0</v>
      </c>
      <c r="K600" s="76">
        <f ca="1">EFEITO!$L$600*EFEITO!$Z$600</f>
        <v>1578.9449043280104</v>
      </c>
      <c r="L600" s="76">
        <f>EFEITO!$N$600*EFEITO!$AA$600</f>
        <v>790.52021363295501</v>
      </c>
      <c r="M600" s="76">
        <f>$J$600-EFEITO!$K$600*EFEITO!$Y$600</f>
        <v>0</v>
      </c>
      <c r="N600" s="76">
        <f ca="1">$K$600-EFEITO!$M$600*EFEITO!$Z$600</f>
        <v>0</v>
      </c>
      <c r="O600" s="76">
        <f>$L$600-EFEITO!$O$600*EFEITO!$AA$600</f>
        <v>0</v>
      </c>
      <c r="P600" s="57"/>
      <c r="Q600" s="57"/>
      <c r="R600" s="57"/>
      <c r="S600" s="57"/>
      <c r="T600" s="57"/>
      <c r="U600" s="57"/>
      <c r="V600" s="57"/>
      <c r="W600" s="57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53" t="s">
        <v>21</v>
      </c>
      <c r="B601" s="53" t="s">
        <v>22</v>
      </c>
      <c r="C601" s="53" t="s">
        <v>33</v>
      </c>
      <c r="D601" s="53" t="s">
        <v>24</v>
      </c>
      <c r="E601" s="53" t="s">
        <v>24</v>
      </c>
      <c r="F601" s="53" t="s">
        <v>25</v>
      </c>
      <c r="G601" s="53" t="s">
        <v>25</v>
      </c>
      <c r="H601" s="53" t="s">
        <v>34</v>
      </c>
      <c r="I601" s="75">
        <v>44652</v>
      </c>
      <c r="J601" s="76">
        <f>EFEITO!$J$601*EFEITO!$Y$601</f>
        <v>0</v>
      </c>
      <c r="K601" s="76">
        <f ca="1">EFEITO!$L$601*EFEITO!$Z$601</f>
        <v>1629.4090315714379</v>
      </c>
      <c r="L601" s="76">
        <f>EFEITO!$N$601*EFEITO!$AA$601</f>
        <v>815.78576440671873</v>
      </c>
      <c r="M601" s="76">
        <f>$J$601-EFEITO!$K$601*EFEITO!$Y$601</f>
        <v>0</v>
      </c>
      <c r="N601" s="76">
        <f ca="1">$K$601-EFEITO!$M$601*EFEITO!$Z$601</f>
        <v>0</v>
      </c>
      <c r="O601" s="76">
        <f>$L$601-EFEITO!$O$601*EFEITO!$AA$601</f>
        <v>0</v>
      </c>
      <c r="P601" s="57"/>
      <c r="Q601" s="57"/>
      <c r="R601" s="57"/>
      <c r="S601" s="57"/>
      <c r="T601" s="57"/>
      <c r="U601" s="57"/>
      <c r="V601" s="57"/>
      <c r="W601" s="57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53" t="s">
        <v>28</v>
      </c>
      <c r="B602" s="53" t="s">
        <v>22</v>
      </c>
      <c r="C602" s="53" t="s">
        <v>33</v>
      </c>
      <c r="D602" s="53" t="s">
        <v>24</v>
      </c>
      <c r="E602" s="53" t="s">
        <v>24</v>
      </c>
      <c r="F602" s="53" t="s">
        <v>25</v>
      </c>
      <c r="G602" s="53" t="s">
        <v>25</v>
      </c>
      <c r="H602" s="53" t="s">
        <v>34</v>
      </c>
      <c r="I602" s="75">
        <v>44652</v>
      </c>
      <c r="J602" s="76">
        <f>EFEITO!$J$602*EFEITO!$Y$602</f>
        <v>0</v>
      </c>
      <c r="K602" s="76">
        <f ca="1">EFEITO!$L$602*EFEITO!$Z$602</f>
        <v>39.789023403471681</v>
      </c>
      <c r="L602" s="76">
        <f>EFEITO!$N$602*EFEITO!$AA$602</f>
        <v>19.920915033159897</v>
      </c>
      <c r="M602" s="76">
        <f>$J$602-EFEITO!$K$602*EFEITO!$Y$602</f>
        <v>0</v>
      </c>
      <c r="N602" s="76">
        <f ca="1">$K$602-EFEITO!$M$602*EFEITO!$Z$602</f>
        <v>0</v>
      </c>
      <c r="O602" s="76">
        <f>$L$602-EFEITO!$O$602*EFEITO!$AA$602</f>
        <v>0</v>
      </c>
      <c r="P602" s="57"/>
      <c r="Q602" s="57"/>
      <c r="R602" s="57"/>
      <c r="S602" s="57"/>
      <c r="T602" s="57"/>
      <c r="U602" s="57"/>
      <c r="V602" s="57"/>
      <c r="W602" s="57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53" t="s">
        <v>21</v>
      </c>
      <c r="B603" s="53" t="s">
        <v>22</v>
      </c>
      <c r="C603" s="53" t="s">
        <v>33</v>
      </c>
      <c r="D603" s="53" t="s">
        <v>24</v>
      </c>
      <c r="E603" s="53" t="s">
        <v>24</v>
      </c>
      <c r="F603" s="53" t="s">
        <v>25</v>
      </c>
      <c r="G603" s="53" t="s">
        <v>25</v>
      </c>
      <c r="H603" s="53" t="s">
        <v>34</v>
      </c>
      <c r="I603" s="75">
        <v>44682</v>
      </c>
      <c r="J603" s="76">
        <f>EFEITO!$J$603*EFEITO!$Y$603</f>
        <v>0</v>
      </c>
      <c r="K603" s="76">
        <f ca="1">EFEITO!$L$603*EFEITO!$Z$603</f>
        <v>1234.4301894930727</v>
      </c>
      <c r="L603" s="76">
        <f>EFEITO!$N$603*EFEITO!$AA$603</f>
        <v>618.03424200437541</v>
      </c>
      <c r="M603" s="76">
        <f>$J$603-EFEITO!$K$603*EFEITO!$Y$603</f>
        <v>0</v>
      </c>
      <c r="N603" s="76">
        <f ca="1">$K$603-EFEITO!$M$603*EFEITO!$Z$603</f>
        <v>0</v>
      </c>
      <c r="O603" s="76">
        <f>$L$603-EFEITO!$O$603*EFEITO!$AA$603</f>
        <v>0</v>
      </c>
      <c r="P603" s="57"/>
      <c r="Q603" s="57"/>
      <c r="R603" s="57"/>
      <c r="S603" s="57"/>
      <c r="T603" s="57"/>
      <c r="U603" s="57"/>
      <c r="V603" s="57"/>
      <c r="W603" s="57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53" t="s">
        <v>27</v>
      </c>
      <c r="B604" s="53" t="s">
        <v>22</v>
      </c>
      <c r="C604" s="53" t="s">
        <v>33</v>
      </c>
      <c r="D604" s="53" t="s">
        <v>24</v>
      </c>
      <c r="E604" s="53" t="s">
        <v>24</v>
      </c>
      <c r="F604" s="53" t="s">
        <v>25</v>
      </c>
      <c r="G604" s="53" t="s">
        <v>25</v>
      </c>
      <c r="H604" s="53" t="s">
        <v>34</v>
      </c>
      <c r="I604" s="75">
        <v>44682</v>
      </c>
      <c r="J604" s="76">
        <f>EFEITO!$J$604*EFEITO!$Y$604</f>
        <v>0</v>
      </c>
      <c r="K604" s="76">
        <f ca="1">EFEITO!$L$604*EFEITO!$Z$604</f>
        <v>8.7341758690547575</v>
      </c>
      <c r="L604" s="76">
        <f>EFEITO!$N$604*EFEITO!$AA$604</f>
        <v>4.3728837877668063</v>
      </c>
      <c r="M604" s="76">
        <f>$J$604-EFEITO!$K$604*EFEITO!$Y$604</f>
        <v>0</v>
      </c>
      <c r="N604" s="76">
        <f ca="1">$K$604-EFEITO!$M$604*EFEITO!$Z$604</f>
        <v>0</v>
      </c>
      <c r="O604" s="76">
        <f>$L$604-EFEITO!$O$604*EFEITO!$AA$604</f>
        <v>0</v>
      </c>
      <c r="P604" s="57"/>
      <c r="Q604" s="57"/>
      <c r="R604" s="57"/>
      <c r="S604" s="57"/>
      <c r="T604" s="57"/>
      <c r="U604" s="57"/>
      <c r="V604" s="57"/>
      <c r="W604" s="57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53" t="s">
        <v>21</v>
      </c>
      <c r="B605" s="53" t="s">
        <v>22</v>
      </c>
      <c r="C605" s="53" t="s">
        <v>33</v>
      </c>
      <c r="D605" s="53" t="s">
        <v>24</v>
      </c>
      <c r="E605" s="53" t="s">
        <v>24</v>
      </c>
      <c r="F605" s="53" t="s">
        <v>25</v>
      </c>
      <c r="G605" s="53" t="s">
        <v>25</v>
      </c>
      <c r="H605" s="53" t="s">
        <v>34</v>
      </c>
      <c r="I605" s="75">
        <v>44713</v>
      </c>
      <c r="J605" s="76">
        <f>EFEITO!$J$605*EFEITO!$Y$605</f>
        <v>0</v>
      </c>
      <c r="K605" s="76">
        <f ca="1">EFEITO!$L$605*EFEITO!$Z$605</f>
        <v>1078.1854878355375</v>
      </c>
      <c r="L605" s="76">
        <f>EFEITO!$N$605*EFEITO!$AA$605</f>
        <v>539.80820980099134</v>
      </c>
      <c r="M605" s="76">
        <f>$J$605-EFEITO!$K$605*EFEITO!$Y$605</f>
        <v>0</v>
      </c>
      <c r="N605" s="76">
        <f ca="1">$K$605-EFEITO!$M$605*EFEITO!$Z$605</f>
        <v>0</v>
      </c>
      <c r="O605" s="76">
        <f>$L$605-EFEITO!$O$605*EFEITO!$AA$605</f>
        <v>0</v>
      </c>
      <c r="P605" s="57"/>
      <c r="Q605" s="57"/>
      <c r="R605" s="57"/>
      <c r="S605" s="57"/>
      <c r="T605" s="57"/>
      <c r="U605" s="57"/>
      <c r="V605" s="57"/>
      <c r="W605" s="57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53" t="s">
        <v>21</v>
      </c>
      <c r="B606" s="53" t="s">
        <v>22</v>
      </c>
      <c r="C606" s="53" t="s">
        <v>33</v>
      </c>
      <c r="D606" s="53" t="s">
        <v>24</v>
      </c>
      <c r="E606" s="53" t="s">
        <v>24</v>
      </c>
      <c r="F606" s="53" t="s">
        <v>25</v>
      </c>
      <c r="G606" s="53" t="s">
        <v>25</v>
      </c>
      <c r="H606" s="53" t="s">
        <v>34</v>
      </c>
      <c r="I606" s="75">
        <v>44743</v>
      </c>
      <c r="J606" s="76">
        <f>EFEITO!$J$606*EFEITO!$Y$606</f>
        <v>0</v>
      </c>
      <c r="K606" s="76">
        <f ca="1">EFEITO!$L$606*EFEITO!$Z$606</f>
        <v>1125.7382231226134</v>
      </c>
      <c r="L606" s="76">
        <f>EFEITO!$N$606*EFEITO!$AA$606</f>
        <v>563.61613264549953</v>
      </c>
      <c r="M606" s="76">
        <f>$J$606-EFEITO!$K$606*EFEITO!$Y$606</f>
        <v>0</v>
      </c>
      <c r="N606" s="76">
        <f ca="1">$K$606-EFEITO!$M$606*EFEITO!$Z$606</f>
        <v>0</v>
      </c>
      <c r="O606" s="76">
        <f>$L$606-EFEITO!$O$606*EFEITO!$AA$606</f>
        <v>0</v>
      </c>
      <c r="P606" s="57"/>
      <c r="Q606" s="57"/>
      <c r="R606" s="57"/>
      <c r="S606" s="57"/>
      <c r="T606" s="57"/>
      <c r="U606" s="57"/>
      <c r="V606" s="57"/>
      <c r="W606" s="57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53" t="s">
        <v>28</v>
      </c>
      <c r="B607" s="53" t="s">
        <v>22</v>
      </c>
      <c r="C607" s="53" t="s">
        <v>33</v>
      </c>
      <c r="D607" s="53" t="s">
        <v>24</v>
      </c>
      <c r="E607" s="53" t="s">
        <v>24</v>
      </c>
      <c r="F607" s="53" t="s">
        <v>25</v>
      </c>
      <c r="G607" s="53" t="s">
        <v>25</v>
      </c>
      <c r="H607" s="53" t="s">
        <v>34</v>
      </c>
      <c r="I607" s="75">
        <v>44743</v>
      </c>
      <c r="J607" s="76">
        <f>EFEITO!$J$607*EFEITO!$Y$607</f>
        <v>0</v>
      </c>
      <c r="K607" s="76">
        <f ca="1">EFEITO!$L$607*EFEITO!$Z$607</f>
        <v>44.641343330724325</v>
      </c>
      <c r="L607" s="76">
        <f>EFEITO!$N$607*EFEITO!$AA$607</f>
        <v>22.350294915252569</v>
      </c>
      <c r="M607" s="76">
        <f>$J$607-EFEITO!$K$607*EFEITO!$Y$607</f>
        <v>0</v>
      </c>
      <c r="N607" s="76">
        <f ca="1">$K$607-EFEITO!$M$607*EFEITO!$Z$607</f>
        <v>0</v>
      </c>
      <c r="O607" s="76">
        <f>$L$607-EFEITO!$O$607*EFEITO!$AA$607</f>
        <v>0</v>
      </c>
      <c r="P607" s="57"/>
      <c r="Q607" s="57"/>
      <c r="R607" s="57"/>
      <c r="S607" s="57"/>
      <c r="T607" s="57"/>
      <c r="U607" s="57"/>
      <c r="V607" s="57"/>
      <c r="W607" s="57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53" t="s">
        <v>56</v>
      </c>
      <c r="B608" s="53" t="s">
        <v>22</v>
      </c>
      <c r="C608" s="53" t="s">
        <v>33</v>
      </c>
      <c r="D608" s="53" t="s">
        <v>24</v>
      </c>
      <c r="E608" s="53" t="s">
        <v>24</v>
      </c>
      <c r="F608" s="53" t="s">
        <v>25</v>
      </c>
      <c r="G608" s="53" t="s">
        <v>25</v>
      </c>
      <c r="H608" s="53" t="s">
        <v>34</v>
      </c>
      <c r="I608" s="75">
        <v>44774</v>
      </c>
      <c r="J608" s="76">
        <f>EFEITO!$J$608*EFEITO!$Y$608</f>
        <v>0</v>
      </c>
      <c r="K608" s="76">
        <f ca="1">EFEITO!$L$608*EFEITO!$Z$608</f>
        <v>1125.7382231226134</v>
      </c>
      <c r="L608" s="76">
        <f>EFEITO!$N$608*EFEITO!$AA$608</f>
        <v>563.61613264549953</v>
      </c>
      <c r="M608" s="76">
        <f>$J$608-EFEITO!$K$608*EFEITO!$Y$608</f>
        <v>0</v>
      </c>
      <c r="N608" s="76">
        <f ca="1">$K$608-EFEITO!$M$608*EFEITO!$Z$608</f>
        <v>0</v>
      </c>
      <c r="O608" s="76">
        <f>$L$608-EFEITO!$O$608*EFEITO!$AA$608</f>
        <v>0</v>
      </c>
      <c r="P608" s="57"/>
      <c r="Q608" s="57"/>
      <c r="R608" s="57"/>
      <c r="S608" s="57"/>
      <c r="T608" s="57"/>
      <c r="U608" s="57"/>
      <c r="V608" s="57"/>
      <c r="W608" s="57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53" t="s">
        <v>56</v>
      </c>
      <c r="B609" s="53" t="s">
        <v>22</v>
      </c>
      <c r="C609" s="53" t="s">
        <v>33</v>
      </c>
      <c r="D609" s="53" t="s">
        <v>24</v>
      </c>
      <c r="E609" s="53" t="s">
        <v>24</v>
      </c>
      <c r="F609" s="53" t="s">
        <v>25</v>
      </c>
      <c r="G609" s="53" t="s">
        <v>25</v>
      </c>
      <c r="H609" s="53" t="s">
        <v>34</v>
      </c>
      <c r="I609" s="75">
        <v>44774</v>
      </c>
      <c r="J609" s="76">
        <f>EFEITO!$J$609*EFEITO!$Y$609</f>
        <v>0</v>
      </c>
      <c r="K609" s="76">
        <f ca="1">EFEITO!$L$609*EFEITO!$Z$609</f>
        <v>44.641343330724325</v>
      </c>
      <c r="L609" s="76">
        <f>EFEITO!$N$609*EFEITO!$AA$609</f>
        <v>22.350294915252569</v>
      </c>
      <c r="M609" s="76">
        <f>$J$609-EFEITO!$K$609*EFEITO!$Y$609</f>
        <v>0</v>
      </c>
      <c r="N609" s="76">
        <f ca="1">$K$609-EFEITO!$M$609*EFEITO!$Z$609</f>
        <v>0</v>
      </c>
      <c r="O609" s="76">
        <f>$L$609-EFEITO!$O$609*EFEITO!$AA$609</f>
        <v>0</v>
      </c>
      <c r="P609" s="57"/>
      <c r="Q609" s="57"/>
      <c r="R609" s="57"/>
      <c r="S609" s="57"/>
      <c r="T609" s="57"/>
      <c r="U609" s="57"/>
      <c r="V609" s="57"/>
      <c r="W609" s="57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53" t="s">
        <v>21</v>
      </c>
      <c r="B610" s="53" t="s">
        <v>22</v>
      </c>
      <c r="C610" s="53" t="s">
        <v>23</v>
      </c>
      <c r="D610" s="53" t="s">
        <v>24</v>
      </c>
      <c r="E610" s="53" t="s">
        <v>24</v>
      </c>
      <c r="F610" s="53" t="s">
        <v>25</v>
      </c>
      <c r="G610" s="53" t="s">
        <v>25</v>
      </c>
      <c r="H610" s="53" t="s">
        <v>25</v>
      </c>
      <c r="I610" s="75">
        <v>44440</v>
      </c>
      <c r="J610" s="76">
        <f>EFEITO!$J$610*EFEITO!$Y$610</f>
        <v>0</v>
      </c>
      <c r="K610" s="76">
        <f ca="1">EFEITO!$L$610*EFEITO!$Z$610</f>
        <v>4400738.7950300463</v>
      </c>
      <c r="L610" s="76">
        <f>EFEITO!$N$610*EFEITO!$AA$610</f>
        <v>3238326.3412308134</v>
      </c>
      <c r="M610" s="76">
        <f>$J$610-EFEITO!$K$610*EFEITO!$Y$610</f>
        <v>0</v>
      </c>
      <c r="N610" s="76">
        <f ca="1">$K$610-EFEITO!$M$610*EFEITO!$Z$610</f>
        <v>0</v>
      </c>
      <c r="O610" s="76">
        <f>$L$610-EFEITO!$O$610*EFEITO!$AA$610</f>
        <v>0</v>
      </c>
      <c r="P610" s="57"/>
      <c r="Q610" s="57"/>
      <c r="R610" s="57"/>
      <c r="S610" s="57"/>
      <c r="T610" s="57"/>
      <c r="U610" s="57"/>
      <c r="V610" s="57"/>
      <c r="W610" s="57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53" t="s">
        <v>27</v>
      </c>
      <c r="B611" s="53" t="s">
        <v>22</v>
      </c>
      <c r="C611" s="53" t="s">
        <v>23</v>
      </c>
      <c r="D611" s="53" t="s">
        <v>24</v>
      </c>
      <c r="E611" s="53" t="s">
        <v>24</v>
      </c>
      <c r="F611" s="53" t="s">
        <v>25</v>
      </c>
      <c r="G611" s="53" t="s">
        <v>25</v>
      </c>
      <c r="H611" s="53" t="s">
        <v>25</v>
      </c>
      <c r="I611" s="75">
        <v>44440</v>
      </c>
      <c r="J611" s="76">
        <f>EFEITO!$J$611*EFEITO!$Y$611</f>
        <v>0</v>
      </c>
      <c r="K611" s="76">
        <f ca="1">EFEITO!$L$611*EFEITO!$Z$611</f>
        <v>-1392.6743589342509</v>
      </c>
      <c r="L611" s="76">
        <f>EFEITO!$N$611*EFEITO!$AA$611</f>
        <v>-1024.8129396788545</v>
      </c>
      <c r="M611" s="76">
        <f>$J$611-EFEITO!$K$611*EFEITO!$Y$611</f>
        <v>0</v>
      </c>
      <c r="N611" s="76">
        <f ca="1">$K$611-EFEITO!$M$611*EFEITO!$Z$611</f>
        <v>0</v>
      </c>
      <c r="O611" s="76">
        <f>$L$611-EFEITO!$O$611*EFEITO!$AA$611</f>
        <v>0</v>
      </c>
      <c r="P611" s="57"/>
      <c r="Q611" s="57"/>
      <c r="R611" s="57"/>
      <c r="S611" s="57"/>
      <c r="T611" s="57"/>
      <c r="U611" s="57"/>
      <c r="V611" s="57"/>
      <c r="W611" s="57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53" t="s">
        <v>28</v>
      </c>
      <c r="B612" s="53" t="s">
        <v>22</v>
      </c>
      <c r="C612" s="53" t="s">
        <v>23</v>
      </c>
      <c r="D612" s="53" t="s">
        <v>24</v>
      </c>
      <c r="E612" s="53" t="s">
        <v>24</v>
      </c>
      <c r="F612" s="53" t="s">
        <v>25</v>
      </c>
      <c r="G612" s="53" t="s">
        <v>25</v>
      </c>
      <c r="H612" s="53" t="s">
        <v>25</v>
      </c>
      <c r="I612" s="75">
        <v>44440</v>
      </c>
      <c r="J612" s="76">
        <f>EFEITO!$J$612*EFEITO!$Y$612</f>
        <v>0</v>
      </c>
      <c r="K612" s="76">
        <f ca="1">EFEITO!$L$612*EFEITO!$Z$612</f>
        <v>47110.047281238913</v>
      </c>
      <c r="L612" s="76">
        <f>EFEITO!$N$612*EFEITO!$AA$612</f>
        <v>34666.385385052927</v>
      </c>
      <c r="M612" s="76">
        <f>$J$612-EFEITO!$K$612*EFEITO!$Y$612</f>
        <v>0</v>
      </c>
      <c r="N612" s="76">
        <f ca="1">$K$612-EFEITO!$M$612*EFEITO!$Z$612</f>
        <v>0</v>
      </c>
      <c r="O612" s="76">
        <f>$L$612-EFEITO!$O$612*EFEITO!$AA$612</f>
        <v>0</v>
      </c>
      <c r="P612" s="57"/>
      <c r="Q612" s="57"/>
      <c r="R612" s="57"/>
      <c r="S612" s="57"/>
      <c r="T612" s="57"/>
      <c r="U612" s="57"/>
      <c r="V612" s="57"/>
      <c r="W612" s="57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53" t="s">
        <v>28</v>
      </c>
      <c r="B613" s="53" t="s">
        <v>22</v>
      </c>
      <c r="C613" s="53" t="s">
        <v>23</v>
      </c>
      <c r="D613" s="53" t="s">
        <v>24</v>
      </c>
      <c r="E613" s="53" t="s">
        <v>24</v>
      </c>
      <c r="F613" s="53" t="s">
        <v>25</v>
      </c>
      <c r="G613" s="53" t="s">
        <v>25</v>
      </c>
      <c r="H613" s="53" t="s">
        <v>25</v>
      </c>
      <c r="I613" s="75">
        <v>44440</v>
      </c>
      <c r="J613" s="76">
        <f>EFEITO!$J$613*EFEITO!$Y$613</f>
        <v>0</v>
      </c>
      <c r="K613" s="76">
        <f ca="1">EFEITO!$L$613*EFEITO!$Z$613</f>
        <v>65.22046638780445</v>
      </c>
      <c r="L613" s="76">
        <f>EFEITO!$N$613*EFEITO!$AA$613</f>
        <v>47.993113004005046</v>
      </c>
      <c r="M613" s="76">
        <f>$J$613-EFEITO!$K$613*EFEITO!$Y$613</f>
        <v>0</v>
      </c>
      <c r="N613" s="76">
        <f ca="1">$K$613-EFEITO!$M$613*EFEITO!$Z$613</f>
        <v>0</v>
      </c>
      <c r="O613" s="76">
        <f>$L$613-EFEITO!$O$613*EFEITO!$AA$613</f>
        <v>0</v>
      </c>
      <c r="P613" s="57"/>
      <c r="Q613" s="57"/>
      <c r="R613" s="57"/>
      <c r="S613" s="57"/>
      <c r="T613" s="57"/>
      <c r="U613" s="57"/>
      <c r="V613" s="57"/>
      <c r="W613" s="57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53" t="s">
        <v>21</v>
      </c>
      <c r="B614" s="53" t="s">
        <v>22</v>
      </c>
      <c r="C614" s="53" t="s">
        <v>23</v>
      </c>
      <c r="D614" s="53" t="s">
        <v>24</v>
      </c>
      <c r="E614" s="53" t="s">
        <v>24</v>
      </c>
      <c r="F614" s="53" t="s">
        <v>25</v>
      </c>
      <c r="G614" s="53" t="s">
        <v>25</v>
      </c>
      <c r="H614" s="53" t="s">
        <v>25</v>
      </c>
      <c r="I614" s="75">
        <v>44470</v>
      </c>
      <c r="J614" s="76">
        <f>EFEITO!$J$614*EFEITO!$Y$614</f>
        <v>0</v>
      </c>
      <c r="K614" s="76">
        <f ca="1">EFEITO!$L$614*EFEITO!$Z$614</f>
        <v>4635164.1957926061</v>
      </c>
      <c r="L614" s="76">
        <f>EFEITO!$N$614*EFEITO!$AA$614</f>
        <v>3410830.5469338023</v>
      </c>
      <c r="M614" s="76">
        <f>$J$614-EFEITO!$K$614*EFEITO!$Y$614</f>
        <v>0</v>
      </c>
      <c r="N614" s="76">
        <f ca="1">$K$614-EFEITO!$M$614*EFEITO!$Z$614</f>
        <v>0</v>
      </c>
      <c r="O614" s="76">
        <f>$L$614-EFEITO!$O$614*EFEITO!$AA$614</f>
        <v>0</v>
      </c>
      <c r="P614" s="57"/>
      <c r="Q614" s="57"/>
      <c r="R614" s="57"/>
      <c r="S614" s="57"/>
      <c r="T614" s="57"/>
      <c r="U614" s="57"/>
      <c r="V614" s="57"/>
      <c r="W614" s="57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53" t="s">
        <v>27</v>
      </c>
      <c r="B615" s="53" t="s">
        <v>22</v>
      </c>
      <c r="C615" s="53" t="s">
        <v>23</v>
      </c>
      <c r="D615" s="53" t="s">
        <v>24</v>
      </c>
      <c r="E615" s="53" t="s">
        <v>24</v>
      </c>
      <c r="F615" s="53" t="s">
        <v>25</v>
      </c>
      <c r="G615" s="53" t="s">
        <v>25</v>
      </c>
      <c r="H615" s="53" t="s">
        <v>25</v>
      </c>
      <c r="I615" s="75">
        <v>44470</v>
      </c>
      <c r="J615" s="76">
        <f>EFEITO!$J$615*EFEITO!$Y$615</f>
        <v>0</v>
      </c>
      <c r="K615" s="76">
        <f ca="1">EFEITO!$L$615*EFEITO!$Z$615</f>
        <v>-267.40391218999827</v>
      </c>
      <c r="L615" s="76">
        <f>EFEITO!$N$615*EFEITO!$AA$615</f>
        <v>-196.7717633164207</v>
      </c>
      <c r="M615" s="76">
        <f>$J$615-EFEITO!$K$615*EFEITO!$Y$615</f>
        <v>0</v>
      </c>
      <c r="N615" s="76">
        <f ca="1">$K$615-EFEITO!$M$615*EFEITO!$Z$615</f>
        <v>0</v>
      </c>
      <c r="O615" s="76">
        <f>$L$615-EFEITO!$O$615*EFEITO!$AA$615</f>
        <v>0</v>
      </c>
      <c r="P615" s="57"/>
      <c r="Q615" s="57"/>
      <c r="R615" s="57"/>
      <c r="S615" s="57"/>
      <c r="T615" s="57"/>
      <c r="U615" s="57"/>
      <c r="V615" s="57"/>
      <c r="W615" s="57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53" t="s">
        <v>28</v>
      </c>
      <c r="B616" s="53" t="s">
        <v>22</v>
      </c>
      <c r="C616" s="53" t="s">
        <v>23</v>
      </c>
      <c r="D616" s="53" t="s">
        <v>24</v>
      </c>
      <c r="E616" s="53" t="s">
        <v>24</v>
      </c>
      <c r="F616" s="53" t="s">
        <v>25</v>
      </c>
      <c r="G616" s="53" t="s">
        <v>25</v>
      </c>
      <c r="H616" s="53" t="s">
        <v>25</v>
      </c>
      <c r="I616" s="75">
        <v>44470</v>
      </c>
      <c r="J616" s="76">
        <f>EFEITO!$J$616*EFEITO!$Y$616</f>
        <v>0</v>
      </c>
      <c r="K616" s="76">
        <f ca="1">EFEITO!$L$616*EFEITO!$Z$616</f>
        <v>61287.672264619847</v>
      </c>
      <c r="L616" s="76">
        <f>EFEITO!$N$616*EFEITO!$AA$616</f>
        <v>45099.128289863547</v>
      </c>
      <c r="M616" s="76">
        <f>$J$616-EFEITO!$K$616*EFEITO!$Y$616</f>
        <v>0</v>
      </c>
      <c r="N616" s="76">
        <f ca="1">$K$616-EFEITO!$M$616*EFEITO!$Z$616</f>
        <v>0</v>
      </c>
      <c r="O616" s="76">
        <f>$L$616-EFEITO!$O$616*EFEITO!$AA$616</f>
        <v>0</v>
      </c>
      <c r="P616" s="57"/>
      <c r="Q616" s="57"/>
      <c r="R616" s="57"/>
      <c r="S616" s="57"/>
      <c r="T616" s="57"/>
      <c r="U616" s="57"/>
      <c r="V616" s="57"/>
      <c r="W616" s="57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53" t="s">
        <v>28</v>
      </c>
      <c r="B617" s="53" t="s">
        <v>22</v>
      </c>
      <c r="C617" s="53" t="s">
        <v>23</v>
      </c>
      <c r="D617" s="53" t="s">
        <v>24</v>
      </c>
      <c r="E617" s="53" t="s">
        <v>24</v>
      </c>
      <c r="F617" s="53" t="s">
        <v>25</v>
      </c>
      <c r="G617" s="53" t="s">
        <v>25</v>
      </c>
      <c r="H617" s="53" t="s">
        <v>25</v>
      </c>
      <c r="I617" s="75">
        <v>44470</v>
      </c>
      <c r="J617" s="76">
        <f>EFEITO!$J$617*EFEITO!$Y$617</f>
        <v>0</v>
      </c>
      <c r="K617" s="76">
        <f ca="1">EFEITO!$L$617*EFEITO!$Z$617</f>
        <v>402.62767916737948</v>
      </c>
      <c r="L617" s="76">
        <f>EFEITO!$N$617*EFEITO!$AA$617</f>
        <v>296.27748427805784</v>
      </c>
      <c r="M617" s="76">
        <f>$J$617-EFEITO!$K$617*EFEITO!$Y$617</f>
        <v>0</v>
      </c>
      <c r="N617" s="76">
        <f ca="1">$K$617-EFEITO!$M$617*EFEITO!$Z$617</f>
        <v>0</v>
      </c>
      <c r="O617" s="76">
        <f>$L$617-EFEITO!$O$617*EFEITO!$AA$617</f>
        <v>0</v>
      </c>
      <c r="P617" s="57"/>
      <c r="Q617" s="57"/>
      <c r="R617" s="57"/>
      <c r="S617" s="57"/>
      <c r="T617" s="57"/>
      <c r="U617" s="57"/>
      <c r="V617" s="57"/>
      <c r="W617" s="57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53" t="s">
        <v>21</v>
      </c>
      <c r="B618" s="53" t="s">
        <v>22</v>
      </c>
      <c r="C618" s="53" t="s">
        <v>23</v>
      </c>
      <c r="D618" s="53" t="s">
        <v>24</v>
      </c>
      <c r="E618" s="53" t="s">
        <v>24</v>
      </c>
      <c r="F618" s="53" t="s">
        <v>25</v>
      </c>
      <c r="G618" s="53" t="s">
        <v>25</v>
      </c>
      <c r="H618" s="53" t="s">
        <v>25</v>
      </c>
      <c r="I618" s="75">
        <v>44501</v>
      </c>
      <c r="J618" s="76">
        <f>EFEITO!$J$618*EFEITO!$Y$618</f>
        <v>0</v>
      </c>
      <c r="K618" s="76">
        <f ca="1">EFEITO!$L$618*EFEITO!$Z$618</f>
        <v>4464912.2555307718</v>
      </c>
      <c r="L618" s="76">
        <f>EFEITO!$N$618*EFEITO!$AA$618</f>
        <v>3285549.0047940607</v>
      </c>
      <c r="M618" s="76">
        <f>$J$618-EFEITO!$K$618*EFEITO!$Y$618</f>
        <v>0</v>
      </c>
      <c r="N618" s="76">
        <f ca="1">$K$618-EFEITO!$M$618*EFEITO!$Z$618</f>
        <v>0</v>
      </c>
      <c r="O618" s="76">
        <f>$L$618-EFEITO!$O$618*EFEITO!$AA$618</f>
        <v>0</v>
      </c>
      <c r="P618" s="57"/>
      <c r="Q618" s="57"/>
      <c r="R618" s="57"/>
      <c r="S618" s="57"/>
      <c r="T618" s="57"/>
      <c r="U618" s="57"/>
      <c r="V618" s="57"/>
      <c r="W618" s="57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53" t="s">
        <v>27</v>
      </c>
      <c r="B619" s="53" t="s">
        <v>22</v>
      </c>
      <c r="C619" s="53" t="s">
        <v>23</v>
      </c>
      <c r="D619" s="53" t="s">
        <v>24</v>
      </c>
      <c r="E619" s="53" t="s">
        <v>24</v>
      </c>
      <c r="F619" s="53" t="s">
        <v>25</v>
      </c>
      <c r="G619" s="53" t="s">
        <v>25</v>
      </c>
      <c r="H619" s="53" t="s">
        <v>25</v>
      </c>
      <c r="I619" s="75">
        <v>44501</v>
      </c>
      <c r="J619" s="76">
        <f>EFEITO!$J$619*EFEITO!$Y$619</f>
        <v>0</v>
      </c>
      <c r="K619" s="76">
        <f ca="1">EFEITO!$L$619*EFEITO!$Z$619</f>
        <v>-584.37537883472794</v>
      </c>
      <c r="L619" s="76">
        <f>EFEITO!$N$619*EFEITO!$AA$619</f>
        <v>-430.01829251588526</v>
      </c>
      <c r="M619" s="76">
        <f>$J$619-EFEITO!$K$619*EFEITO!$Y$619</f>
        <v>0</v>
      </c>
      <c r="N619" s="76">
        <f ca="1">$K$619-EFEITO!$M$619*EFEITO!$Z$619</f>
        <v>0</v>
      </c>
      <c r="O619" s="76">
        <f>$L$619-EFEITO!$O$619*EFEITO!$AA$619</f>
        <v>0</v>
      </c>
      <c r="P619" s="57"/>
      <c r="Q619" s="57"/>
      <c r="R619" s="57"/>
      <c r="S619" s="57"/>
      <c r="T619" s="57"/>
      <c r="U619" s="57"/>
      <c r="V619" s="57"/>
      <c r="W619" s="57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53" t="s">
        <v>28</v>
      </c>
      <c r="B620" s="53" t="s">
        <v>22</v>
      </c>
      <c r="C620" s="53" t="s">
        <v>23</v>
      </c>
      <c r="D620" s="53" t="s">
        <v>24</v>
      </c>
      <c r="E620" s="53" t="s">
        <v>24</v>
      </c>
      <c r="F620" s="53" t="s">
        <v>25</v>
      </c>
      <c r="G620" s="53" t="s">
        <v>25</v>
      </c>
      <c r="H620" s="53" t="s">
        <v>25</v>
      </c>
      <c r="I620" s="75">
        <v>44501</v>
      </c>
      <c r="J620" s="76">
        <f>EFEITO!$J$620*EFEITO!$Y$620</f>
        <v>0</v>
      </c>
      <c r="K620" s="76">
        <f ca="1">EFEITO!$L$620*EFEITO!$Z$620</f>
        <v>53588.613609094158</v>
      </c>
      <c r="L620" s="76">
        <f>EFEITO!$N$620*EFEITO!$AA$620</f>
        <v>39433.701276784101</v>
      </c>
      <c r="M620" s="76">
        <f>$J$620-EFEITO!$K$620*EFEITO!$Y$620</f>
        <v>0</v>
      </c>
      <c r="N620" s="76">
        <f ca="1">$K$620-EFEITO!$M$620*EFEITO!$Z$620</f>
        <v>0</v>
      </c>
      <c r="O620" s="76">
        <f>$L$620-EFEITO!$O$620*EFEITO!$AA$620</f>
        <v>0</v>
      </c>
      <c r="P620" s="57"/>
      <c r="Q620" s="57"/>
      <c r="R620" s="57"/>
      <c r="S620" s="57"/>
      <c r="T620" s="57"/>
      <c r="U620" s="57"/>
      <c r="V620" s="57"/>
      <c r="W620" s="57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53" t="s">
        <v>28</v>
      </c>
      <c r="B621" s="53" t="s">
        <v>22</v>
      </c>
      <c r="C621" s="53" t="s">
        <v>23</v>
      </c>
      <c r="D621" s="53" t="s">
        <v>24</v>
      </c>
      <c r="E621" s="53" t="s">
        <v>24</v>
      </c>
      <c r="F621" s="53" t="s">
        <v>25</v>
      </c>
      <c r="G621" s="53" t="s">
        <v>25</v>
      </c>
      <c r="H621" s="53" t="s">
        <v>25</v>
      </c>
      <c r="I621" s="75">
        <v>44501</v>
      </c>
      <c r="J621" s="76">
        <f>EFEITO!$J$621*EFEITO!$Y$621</f>
        <v>0</v>
      </c>
      <c r="K621" s="76">
        <f ca="1">EFEITO!$L$621*EFEITO!$Z$621</f>
        <v>304.36217647642076</v>
      </c>
      <c r="L621" s="76">
        <f>EFEITO!$N$621*EFEITO!$AA$621</f>
        <v>223.9678606853569</v>
      </c>
      <c r="M621" s="76">
        <f>$J$621-EFEITO!$K$621*EFEITO!$Y$621</f>
        <v>0</v>
      </c>
      <c r="N621" s="76">
        <f ca="1">$K$621-EFEITO!$M$621*EFEITO!$Z$621</f>
        <v>0</v>
      </c>
      <c r="O621" s="76">
        <f>$L$621-EFEITO!$O$621*EFEITO!$AA$621</f>
        <v>0</v>
      </c>
      <c r="P621" s="57"/>
      <c r="Q621" s="57"/>
      <c r="R621" s="57"/>
      <c r="S621" s="57"/>
      <c r="T621" s="57"/>
      <c r="U621" s="57"/>
      <c r="V621" s="57"/>
      <c r="W621" s="57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53" t="s">
        <v>21</v>
      </c>
      <c r="B622" s="53" t="s">
        <v>22</v>
      </c>
      <c r="C622" s="53" t="s">
        <v>23</v>
      </c>
      <c r="D622" s="53" t="s">
        <v>24</v>
      </c>
      <c r="E622" s="53" t="s">
        <v>24</v>
      </c>
      <c r="F622" s="53" t="s">
        <v>25</v>
      </c>
      <c r="G622" s="53" t="s">
        <v>25</v>
      </c>
      <c r="H622" s="53" t="s">
        <v>25</v>
      </c>
      <c r="I622" s="75">
        <v>44531</v>
      </c>
      <c r="J622" s="76">
        <f>EFEITO!$J$622*EFEITO!$Y$622</f>
        <v>0</v>
      </c>
      <c r="K622" s="76">
        <f ca="1">EFEITO!$L$622*EFEITO!$Z$622</f>
        <v>4609891.6998704411</v>
      </c>
      <c r="L622" s="76">
        <f>EFEITO!$N$622*EFEITO!$AA$622</f>
        <v>3392233.5355988368</v>
      </c>
      <c r="M622" s="76">
        <f>$J$622-EFEITO!$K$622*EFEITO!$Y$622</f>
        <v>0</v>
      </c>
      <c r="N622" s="76">
        <f ca="1">$K$622-EFEITO!$M$622*EFEITO!$Z$622</f>
        <v>0</v>
      </c>
      <c r="O622" s="76">
        <f>$L$622-EFEITO!$O$622*EFEITO!$AA$622</f>
        <v>0</v>
      </c>
      <c r="P622" s="57"/>
      <c r="Q622" s="57"/>
      <c r="R622" s="57"/>
      <c r="S622" s="57"/>
      <c r="T622" s="57"/>
      <c r="U622" s="57"/>
      <c r="V622" s="57"/>
      <c r="W622" s="57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53" t="s">
        <v>27</v>
      </c>
      <c r="B623" s="53" t="s">
        <v>22</v>
      </c>
      <c r="C623" s="53" t="s">
        <v>23</v>
      </c>
      <c r="D623" s="53" t="s">
        <v>24</v>
      </c>
      <c r="E623" s="53" t="s">
        <v>24</v>
      </c>
      <c r="F623" s="53" t="s">
        <v>25</v>
      </c>
      <c r="G623" s="53" t="s">
        <v>25</v>
      </c>
      <c r="H623" s="53" t="s">
        <v>25</v>
      </c>
      <c r="I623" s="75">
        <v>44531</v>
      </c>
      <c r="J623" s="76">
        <f>EFEITO!$J$623*EFEITO!$Y$623</f>
        <v>0</v>
      </c>
      <c r="K623" s="76">
        <f ca="1">EFEITO!$L$623*EFEITO!$Z$623</f>
        <v>-130.4409327756089</v>
      </c>
      <c r="L623" s="76">
        <f>EFEITO!$N$623*EFEITO!$AA$623</f>
        <v>-95.986226008010092</v>
      </c>
      <c r="M623" s="76">
        <f>$J$623-EFEITO!$K$623*EFEITO!$Y$623</f>
        <v>0</v>
      </c>
      <c r="N623" s="76">
        <f ca="1">$K$623-EFEITO!$M$623*EFEITO!$Z$623</f>
        <v>0</v>
      </c>
      <c r="O623" s="76">
        <f>$L$623-EFEITO!$O$623*EFEITO!$AA$623</f>
        <v>0</v>
      </c>
      <c r="P623" s="57"/>
      <c r="Q623" s="57"/>
      <c r="R623" s="57"/>
      <c r="S623" s="57"/>
      <c r="T623" s="57"/>
      <c r="U623" s="57"/>
      <c r="V623" s="57"/>
      <c r="W623" s="57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53" t="s">
        <v>28</v>
      </c>
      <c r="B624" s="53" t="s">
        <v>22</v>
      </c>
      <c r="C624" s="53" t="s">
        <v>23</v>
      </c>
      <c r="D624" s="53" t="s">
        <v>24</v>
      </c>
      <c r="E624" s="53" t="s">
        <v>24</v>
      </c>
      <c r="F624" s="53" t="s">
        <v>25</v>
      </c>
      <c r="G624" s="53" t="s">
        <v>25</v>
      </c>
      <c r="H624" s="53" t="s">
        <v>25</v>
      </c>
      <c r="I624" s="75">
        <v>44531</v>
      </c>
      <c r="J624" s="76">
        <f>EFEITO!$J$624*EFEITO!$Y$624</f>
        <v>0</v>
      </c>
      <c r="K624" s="76">
        <f ca="1">EFEITO!$L$624*EFEITO!$Z$624</f>
        <v>62945.576520197836</v>
      </c>
      <c r="L624" s="76">
        <f>EFEITO!$N$624*EFEITO!$AA$624</f>
        <v>46319.113222425352</v>
      </c>
      <c r="M624" s="76">
        <f>$J$624-EFEITO!$K$624*EFEITO!$Y$624</f>
        <v>0</v>
      </c>
      <c r="N624" s="76">
        <f ca="1">$K$624-EFEITO!$M$624*EFEITO!$Z$624</f>
        <v>0</v>
      </c>
      <c r="O624" s="76">
        <f>$L$624-EFEITO!$O$624*EFEITO!$AA$624</f>
        <v>0</v>
      </c>
      <c r="P624" s="57"/>
      <c r="Q624" s="57"/>
      <c r="R624" s="57"/>
      <c r="S624" s="57"/>
      <c r="T624" s="57"/>
      <c r="U624" s="57"/>
      <c r="V624" s="57"/>
      <c r="W624" s="57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53" t="s">
        <v>28</v>
      </c>
      <c r="B625" s="53" t="s">
        <v>22</v>
      </c>
      <c r="C625" s="53" t="s">
        <v>23</v>
      </c>
      <c r="D625" s="53" t="s">
        <v>24</v>
      </c>
      <c r="E625" s="53" t="s">
        <v>24</v>
      </c>
      <c r="F625" s="53" t="s">
        <v>25</v>
      </c>
      <c r="G625" s="53" t="s">
        <v>25</v>
      </c>
      <c r="H625" s="53" t="s">
        <v>25</v>
      </c>
      <c r="I625" s="75">
        <v>44531</v>
      </c>
      <c r="J625" s="76">
        <f>EFEITO!$J$625*EFEITO!$Y$625</f>
        <v>0</v>
      </c>
      <c r="K625" s="76">
        <f ca="1">EFEITO!$L$625*EFEITO!$Z$625</f>
        <v>51.74157000099153</v>
      </c>
      <c r="L625" s="76">
        <f>EFEITO!$N$625*EFEITO!$AA$625</f>
        <v>38.074536316510674</v>
      </c>
      <c r="M625" s="76">
        <f>$J$625-EFEITO!$K$625*EFEITO!$Y$625</f>
        <v>0</v>
      </c>
      <c r="N625" s="76">
        <f ca="1">$K$625-EFEITO!$M$625*EFEITO!$Z$625</f>
        <v>0</v>
      </c>
      <c r="O625" s="76">
        <f>$L$625-EFEITO!$O$625*EFEITO!$AA$625</f>
        <v>0</v>
      </c>
      <c r="P625" s="57"/>
      <c r="Q625" s="57"/>
      <c r="R625" s="57"/>
      <c r="S625" s="57"/>
      <c r="T625" s="57"/>
      <c r="U625" s="57"/>
      <c r="V625" s="57"/>
      <c r="W625" s="57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53" t="s">
        <v>21</v>
      </c>
      <c r="B626" s="53" t="s">
        <v>22</v>
      </c>
      <c r="C626" s="53" t="s">
        <v>23</v>
      </c>
      <c r="D626" s="53" t="s">
        <v>24</v>
      </c>
      <c r="E626" s="53" t="s">
        <v>24</v>
      </c>
      <c r="F626" s="53" t="s">
        <v>25</v>
      </c>
      <c r="G626" s="53" t="s">
        <v>25</v>
      </c>
      <c r="H626" s="53" t="s">
        <v>25</v>
      </c>
      <c r="I626" s="75">
        <v>44562</v>
      </c>
      <c r="J626" s="76">
        <f>EFEITO!$J$626*EFEITO!$Y$626</f>
        <v>0</v>
      </c>
      <c r="K626" s="76">
        <f ca="1">EFEITO!$L$626*EFEITO!$Z$626</f>
        <v>4776920.0098802801</v>
      </c>
      <c r="L626" s="76">
        <f>EFEITO!$N$626*EFEITO!$AA$626</f>
        <v>3515142.9381398335</v>
      </c>
      <c r="M626" s="76">
        <f>$J$626-EFEITO!$K$626*EFEITO!$Y$626</f>
        <v>0</v>
      </c>
      <c r="N626" s="76">
        <f ca="1">$K$626-EFEITO!$M$626*EFEITO!$Z$626</f>
        <v>0</v>
      </c>
      <c r="O626" s="76">
        <f>$L$626-EFEITO!$O$626*EFEITO!$AA$626</f>
        <v>0</v>
      </c>
      <c r="P626" s="57"/>
      <c r="Q626" s="57"/>
      <c r="R626" s="57"/>
      <c r="S626" s="57"/>
      <c r="T626" s="57"/>
      <c r="U626" s="57"/>
      <c r="V626" s="57"/>
      <c r="W626" s="57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53" t="s">
        <v>27</v>
      </c>
      <c r="B627" s="53" t="s">
        <v>22</v>
      </c>
      <c r="C627" s="53" t="s">
        <v>23</v>
      </c>
      <c r="D627" s="53" t="s">
        <v>24</v>
      </c>
      <c r="E627" s="53" t="s">
        <v>24</v>
      </c>
      <c r="F627" s="53" t="s">
        <v>25</v>
      </c>
      <c r="G627" s="53" t="s">
        <v>25</v>
      </c>
      <c r="H627" s="53" t="s">
        <v>25</v>
      </c>
      <c r="I627" s="75">
        <v>44562</v>
      </c>
      <c r="J627" s="76">
        <f>EFEITO!$J$627*EFEITO!$Y$627</f>
        <v>0</v>
      </c>
      <c r="K627" s="76">
        <f ca="1">EFEITO!$L$627*EFEITO!$Z$627</f>
        <v>-390.45319210832264</v>
      </c>
      <c r="L627" s="76">
        <f>EFEITO!$N$627*EFEITO!$AA$627</f>
        <v>-287.31876985064355</v>
      </c>
      <c r="M627" s="76">
        <f>$J$627-EFEITO!$K$627*EFEITO!$Y$627</f>
        <v>0</v>
      </c>
      <c r="N627" s="76">
        <f ca="1">$K$627-EFEITO!$M$627*EFEITO!$Z$627</f>
        <v>0</v>
      </c>
      <c r="O627" s="76">
        <f>$L$627-EFEITO!$O$627*EFEITO!$AA$627</f>
        <v>0</v>
      </c>
      <c r="P627" s="57"/>
      <c r="Q627" s="57"/>
      <c r="R627" s="57"/>
      <c r="S627" s="57"/>
      <c r="T627" s="57"/>
      <c r="U627" s="57"/>
      <c r="V627" s="57"/>
      <c r="W627" s="57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53" t="s">
        <v>28</v>
      </c>
      <c r="B628" s="53" t="s">
        <v>22</v>
      </c>
      <c r="C628" s="53" t="s">
        <v>23</v>
      </c>
      <c r="D628" s="53" t="s">
        <v>24</v>
      </c>
      <c r="E628" s="53" t="s">
        <v>24</v>
      </c>
      <c r="F628" s="53" t="s">
        <v>25</v>
      </c>
      <c r="G628" s="53" t="s">
        <v>25</v>
      </c>
      <c r="H628" s="53" t="s">
        <v>25</v>
      </c>
      <c r="I628" s="75">
        <v>44562</v>
      </c>
      <c r="J628" s="76">
        <f>EFEITO!$J$628*EFEITO!$Y$628</f>
        <v>0</v>
      </c>
      <c r="K628" s="76">
        <f ca="1">EFEITO!$L$628*EFEITO!$Z$628</f>
        <v>59249.750091555579</v>
      </c>
      <c r="L628" s="76">
        <f>EFEITO!$N$628*EFEITO!$AA$628</f>
        <v>43599.503485531735</v>
      </c>
      <c r="M628" s="76">
        <f>$J$628-EFEITO!$K$628*EFEITO!$Y$628</f>
        <v>0</v>
      </c>
      <c r="N628" s="76">
        <f ca="1">$K$628-EFEITO!$M$628*EFEITO!$Z$628</f>
        <v>0</v>
      </c>
      <c r="O628" s="76">
        <f>$L$628-EFEITO!$O$628*EFEITO!$AA$628</f>
        <v>0</v>
      </c>
      <c r="P628" s="57"/>
      <c r="Q628" s="57"/>
      <c r="R628" s="57"/>
      <c r="S628" s="57"/>
      <c r="T628" s="57"/>
      <c r="U628" s="57"/>
      <c r="V628" s="57"/>
      <c r="W628" s="57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53" t="s">
        <v>28</v>
      </c>
      <c r="B629" s="53" t="s">
        <v>22</v>
      </c>
      <c r="C629" s="53" t="s">
        <v>23</v>
      </c>
      <c r="D629" s="53" t="s">
        <v>24</v>
      </c>
      <c r="E629" s="53" t="s">
        <v>24</v>
      </c>
      <c r="F629" s="53" t="s">
        <v>25</v>
      </c>
      <c r="G629" s="53" t="s">
        <v>25</v>
      </c>
      <c r="H629" s="53" t="s">
        <v>25</v>
      </c>
      <c r="I629" s="75">
        <v>44562</v>
      </c>
      <c r="J629" s="76">
        <f>EFEITO!$J$629*EFEITO!$Y$629</f>
        <v>0</v>
      </c>
      <c r="K629" s="76">
        <f ca="1">EFEITO!$L$629*EFEITO!$Z$629</f>
        <v>791.341658838694</v>
      </c>
      <c r="L629" s="76">
        <f>EFEITO!$N$629*EFEITO!$AA$629</f>
        <v>582.31643778192802</v>
      </c>
      <c r="M629" s="76">
        <f>$J$629-EFEITO!$K$629*EFEITO!$Y$629</f>
        <v>0</v>
      </c>
      <c r="N629" s="76">
        <f ca="1">$K$629-EFEITO!$M$629*EFEITO!$Z$629</f>
        <v>0</v>
      </c>
      <c r="O629" s="76">
        <f>$L$629-EFEITO!$O$629*EFEITO!$AA$629</f>
        <v>0</v>
      </c>
      <c r="P629" s="57"/>
      <c r="Q629" s="57"/>
      <c r="R629" s="57"/>
      <c r="S629" s="57"/>
      <c r="T629" s="57"/>
      <c r="U629" s="57"/>
      <c r="V629" s="57"/>
      <c r="W629" s="57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53" t="s">
        <v>21</v>
      </c>
      <c r="B630" s="53" t="s">
        <v>22</v>
      </c>
      <c r="C630" s="53" t="s">
        <v>23</v>
      </c>
      <c r="D630" s="53" t="s">
        <v>24</v>
      </c>
      <c r="E630" s="53" t="s">
        <v>24</v>
      </c>
      <c r="F630" s="53" t="s">
        <v>25</v>
      </c>
      <c r="G630" s="53" t="s">
        <v>25</v>
      </c>
      <c r="H630" s="53" t="s">
        <v>25</v>
      </c>
      <c r="I630" s="75">
        <v>44593</v>
      </c>
      <c r="J630" s="76">
        <f>EFEITO!$J$630*EFEITO!$Y$630</f>
        <v>0</v>
      </c>
      <c r="K630" s="76">
        <f ca="1">EFEITO!$L$630*EFEITO!$Z$630</f>
        <v>5206106.3325669924</v>
      </c>
      <c r="L630" s="76">
        <f>EFEITO!$N$630*EFEITO!$AA$630</f>
        <v>3830963.857941296</v>
      </c>
      <c r="M630" s="76">
        <f>$J$630-EFEITO!$K$630*EFEITO!$Y$630</f>
        <v>0</v>
      </c>
      <c r="N630" s="76">
        <f ca="1">$K$630-EFEITO!$M$630*EFEITO!$Z$630</f>
        <v>0</v>
      </c>
      <c r="O630" s="76">
        <f>$L$630-EFEITO!$O$630*EFEITO!$AA$630</f>
        <v>0</v>
      </c>
      <c r="P630" s="57"/>
      <c r="Q630" s="57"/>
      <c r="R630" s="57"/>
      <c r="S630" s="57"/>
      <c r="T630" s="57"/>
      <c r="U630" s="57"/>
      <c r="V630" s="57"/>
      <c r="W630" s="57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53" t="s">
        <v>27</v>
      </c>
      <c r="B631" s="53" t="s">
        <v>22</v>
      </c>
      <c r="C631" s="53" t="s">
        <v>23</v>
      </c>
      <c r="D631" s="53" t="s">
        <v>24</v>
      </c>
      <c r="E631" s="53" t="s">
        <v>24</v>
      </c>
      <c r="F631" s="53" t="s">
        <v>25</v>
      </c>
      <c r="G631" s="53" t="s">
        <v>25</v>
      </c>
      <c r="H631" s="53" t="s">
        <v>25</v>
      </c>
      <c r="I631" s="75">
        <v>44593</v>
      </c>
      <c r="J631" s="76">
        <f>EFEITO!$J$631*EFEITO!$Y$631</f>
        <v>0</v>
      </c>
      <c r="K631" s="76">
        <f ca="1">EFEITO!$L$631*EFEITO!$Z$631</f>
        <v>92.61306227068232</v>
      </c>
      <c r="L631" s="76">
        <f>EFEITO!$N$631*EFEITO!$AA$631</f>
        <v>68.15022046568717</v>
      </c>
      <c r="M631" s="76">
        <f>$J$631-EFEITO!$K$631*EFEITO!$Y$631</f>
        <v>0</v>
      </c>
      <c r="N631" s="76">
        <f ca="1">$K$631-EFEITO!$M$631*EFEITO!$Z$631</f>
        <v>0</v>
      </c>
      <c r="O631" s="76">
        <f>$L$631-EFEITO!$O$631*EFEITO!$AA$631</f>
        <v>0</v>
      </c>
      <c r="P631" s="57"/>
      <c r="Q631" s="57"/>
      <c r="R631" s="57"/>
      <c r="S631" s="57"/>
      <c r="T631" s="57"/>
      <c r="U631" s="57"/>
      <c r="V631" s="57"/>
      <c r="W631" s="57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53" t="s">
        <v>28</v>
      </c>
      <c r="B632" s="53" t="s">
        <v>22</v>
      </c>
      <c r="C632" s="53" t="s">
        <v>23</v>
      </c>
      <c r="D632" s="53" t="s">
        <v>24</v>
      </c>
      <c r="E632" s="53" t="s">
        <v>24</v>
      </c>
      <c r="F632" s="53" t="s">
        <v>25</v>
      </c>
      <c r="G632" s="53" t="s">
        <v>25</v>
      </c>
      <c r="H632" s="53" t="s">
        <v>25</v>
      </c>
      <c r="I632" s="75">
        <v>44593</v>
      </c>
      <c r="J632" s="76">
        <f>EFEITO!$J$632*EFEITO!$Y$632</f>
        <v>0</v>
      </c>
      <c r="K632" s="76">
        <f ca="1">EFEITO!$L$632*EFEITO!$Z$632</f>
        <v>66029.200171013232</v>
      </c>
      <c r="L632" s="76">
        <f>EFEITO!$N$632*EFEITO!$AA$632</f>
        <v>48588.227605254717</v>
      </c>
      <c r="M632" s="76">
        <f>$J$632-EFEITO!$K$632*EFEITO!$Y$632</f>
        <v>0</v>
      </c>
      <c r="N632" s="76">
        <f ca="1">$K$632-EFEITO!$M$632*EFEITO!$Z$632</f>
        <v>0</v>
      </c>
      <c r="O632" s="76">
        <f>$L$632-EFEITO!$O$632*EFEITO!$AA$632</f>
        <v>0</v>
      </c>
      <c r="P632" s="57"/>
      <c r="Q632" s="57"/>
      <c r="R632" s="57"/>
      <c r="S632" s="57"/>
      <c r="T632" s="57"/>
      <c r="U632" s="57"/>
      <c r="V632" s="57"/>
      <c r="W632" s="57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53" t="s">
        <v>21</v>
      </c>
      <c r="B633" s="53" t="s">
        <v>22</v>
      </c>
      <c r="C633" s="53" t="s">
        <v>23</v>
      </c>
      <c r="D633" s="53" t="s">
        <v>24</v>
      </c>
      <c r="E633" s="53" t="s">
        <v>24</v>
      </c>
      <c r="F633" s="53" t="s">
        <v>25</v>
      </c>
      <c r="G633" s="53" t="s">
        <v>25</v>
      </c>
      <c r="H633" s="53" t="s">
        <v>25</v>
      </c>
      <c r="I633" s="75">
        <v>44621</v>
      </c>
      <c r="J633" s="76">
        <f>EFEITO!$J$633*EFEITO!$Y$633</f>
        <v>0</v>
      </c>
      <c r="K633" s="76">
        <f ca="1">EFEITO!$L$633*EFEITO!$Z$633</f>
        <v>5056931.4730261508</v>
      </c>
      <c r="L633" s="76">
        <f>EFEITO!$N$633*EFEITO!$AA$633</f>
        <v>3721192.0901540155</v>
      </c>
      <c r="M633" s="76">
        <f>$J$633-EFEITO!$K$633*EFEITO!$Y$633</f>
        <v>0</v>
      </c>
      <c r="N633" s="76">
        <f ca="1">$K$633-EFEITO!$M$633*EFEITO!$Z$633</f>
        <v>0</v>
      </c>
      <c r="O633" s="76">
        <f>$L$633-EFEITO!$O$633*EFEITO!$AA$633</f>
        <v>0</v>
      </c>
      <c r="P633" s="57"/>
      <c r="Q633" s="57"/>
      <c r="R633" s="57"/>
      <c r="S633" s="57"/>
      <c r="T633" s="57"/>
      <c r="U633" s="57"/>
      <c r="V633" s="57"/>
      <c r="W633" s="57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53" t="s">
        <v>27</v>
      </c>
      <c r="B634" s="53" t="s">
        <v>22</v>
      </c>
      <c r="C634" s="53" t="s">
        <v>23</v>
      </c>
      <c r="D634" s="53" t="s">
        <v>24</v>
      </c>
      <c r="E634" s="53" t="s">
        <v>24</v>
      </c>
      <c r="F634" s="53" t="s">
        <v>25</v>
      </c>
      <c r="G634" s="53" t="s">
        <v>25</v>
      </c>
      <c r="H634" s="53" t="s">
        <v>25</v>
      </c>
      <c r="I634" s="75">
        <v>44621</v>
      </c>
      <c r="J634" s="76">
        <f>EFEITO!$J$634*EFEITO!$Y$634</f>
        <v>0</v>
      </c>
      <c r="K634" s="76">
        <f ca="1">EFEITO!$L$634*EFEITO!$Z$634</f>
        <v>-41584.569368864119</v>
      </c>
      <c r="L634" s="76">
        <f>EFEITO!$N$634*EFEITO!$AA$634</f>
        <v>-30600.408851353619</v>
      </c>
      <c r="M634" s="76">
        <f>$J$634-EFEITO!$K$634*EFEITO!$Y$634</f>
        <v>0</v>
      </c>
      <c r="N634" s="76">
        <f ca="1">$K$634-EFEITO!$M$634*EFEITO!$Z$634</f>
        <v>0</v>
      </c>
      <c r="O634" s="76">
        <f>$L$634-EFEITO!$O$634*EFEITO!$AA$634</f>
        <v>0</v>
      </c>
      <c r="P634" s="57"/>
      <c r="Q634" s="57"/>
      <c r="R634" s="57"/>
      <c r="S634" s="57"/>
      <c r="T634" s="57"/>
      <c r="U634" s="57"/>
      <c r="V634" s="57"/>
      <c r="W634" s="57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53" t="s">
        <v>28</v>
      </c>
      <c r="B635" s="53" t="s">
        <v>22</v>
      </c>
      <c r="C635" s="53" t="s">
        <v>23</v>
      </c>
      <c r="D635" s="53" t="s">
        <v>24</v>
      </c>
      <c r="E635" s="53" t="s">
        <v>24</v>
      </c>
      <c r="F635" s="53" t="s">
        <v>25</v>
      </c>
      <c r="G635" s="53" t="s">
        <v>25</v>
      </c>
      <c r="H635" s="53" t="s">
        <v>25</v>
      </c>
      <c r="I635" s="75">
        <v>44621</v>
      </c>
      <c r="J635" s="76">
        <f>EFEITO!$J$635*EFEITO!$Y$635</f>
        <v>0</v>
      </c>
      <c r="K635" s="76">
        <f ca="1">EFEITO!$L$635*EFEITO!$Z$635</f>
        <v>67577.099239950447</v>
      </c>
      <c r="L635" s="76">
        <f>EFEITO!$N$635*EFEITO!$AA$635</f>
        <v>49727.264153883094</v>
      </c>
      <c r="M635" s="76">
        <f>$J$635-EFEITO!$K$635*EFEITO!$Y$635</f>
        <v>0</v>
      </c>
      <c r="N635" s="76">
        <f ca="1">$K$635-EFEITO!$M$635*EFEITO!$Z$635</f>
        <v>0</v>
      </c>
      <c r="O635" s="76">
        <f>$L$635-EFEITO!$O$635*EFEITO!$AA$635</f>
        <v>0</v>
      </c>
      <c r="P635" s="57"/>
      <c r="Q635" s="57"/>
      <c r="R635" s="57"/>
      <c r="S635" s="57"/>
      <c r="T635" s="57"/>
      <c r="U635" s="57"/>
      <c r="V635" s="57"/>
      <c r="W635" s="57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53" t="s">
        <v>28</v>
      </c>
      <c r="B636" s="53" t="s">
        <v>22</v>
      </c>
      <c r="C636" s="53" t="s">
        <v>23</v>
      </c>
      <c r="D636" s="53" t="s">
        <v>24</v>
      </c>
      <c r="E636" s="53" t="s">
        <v>24</v>
      </c>
      <c r="F636" s="53" t="s">
        <v>25</v>
      </c>
      <c r="G636" s="53" t="s">
        <v>25</v>
      </c>
      <c r="H636" s="53" t="s">
        <v>25</v>
      </c>
      <c r="I636" s="75">
        <v>44621</v>
      </c>
      <c r="J636" s="76">
        <f>EFEITO!$J$636*EFEITO!$Y$636</f>
        <v>0</v>
      </c>
      <c r="K636" s="76">
        <f ca="1">EFEITO!$L$636*EFEITO!$Z$636</f>
        <v>163.05116596951115</v>
      </c>
      <c r="L636" s="76">
        <f>EFEITO!$N$636*EFEITO!$AA$636</f>
        <v>119.98278251001263</v>
      </c>
      <c r="M636" s="76">
        <f>$J$636-EFEITO!$K$636*EFEITO!$Y$636</f>
        <v>0</v>
      </c>
      <c r="N636" s="76">
        <f ca="1">$K$636-EFEITO!$M$636*EFEITO!$Z$636</f>
        <v>0</v>
      </c>
      <c r="O636" s="76">
        <f>$L$636-EFEITO!$O$636*EFEITO!$AA$636</f>
        <v>0</v>
      </c>
      <c r="P636" s="57"/>
      <c r="Q636" s="57"/>
      <c r="R636" s="57"/>
      <c r="S636" s="57"/>
      <c r="T636" s="57"/>
      <c r="U636" s="57"/>
      <c r="V636" s="57"/>
      <c r="W636" s="57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53" t="s">
        <v>21</v>
      </c>
      <c r="B637" s="53" t="s">
        <v>22</v>
      </c>
      <c r="C637" s="53" t="s">
        <v>23</v>
      </c>
      <c r="D637" s="53" t="s">
        <v>24</v>
      </c>
      <c r="E637" s="53" t="s">
        <v>24</v>
      </c>
      <c r="F637" s="53" t="s">
        <v>25</v>
      </c>
      <c r="G637" s="53" t="s">
        <v>25</v>
      </c>
      <c r="H637" s="53" t="s">
        <v>25</v>
      </c>
      <c r="I637" s="75">
        <v>44652</v>
      </c>
      <c r="J637" s="76">
        <f>EFEITO!$J$637*EFEITO!$Y$637</f>
        <v>0</v>
      </c>
      <c r="K637" s="76">
        <f ca="1">EFEITO!$L$637*EFEITO!$Z$637</f>
        <v>5057535.4145449018</v>
      </c>
      <c r="L637" s="76">
        <f>EFEITO!$N$637*EFEITO!$AA$637</f>
        <v>3721636.5063804323</v>
      </c>
      <c r="M637" s="76">
        <f>$J$637-EFEITO!$K$637*EFEITO!$Y$637</f>
        <v>0</v>
      </c>
      <c r="N637" s="76">
        <f ca="1">$K$637-EFEITO!$M$637*EFEITO!$Z$637</f>
        <v>0</v>
      </c>
      <c r="O637" s="76">
        <f>$L$637-EFEITO!$O$637*EFEITO!$AA$637</f>
        <v>0</v>
      </c>
      <c r="P637" s="57"/>
      <c r="Q637" s="57"/>
      <c r="R637" s="57"/>
      <c r="S637" s="57"/>
      <c r="T637" s="57"/>
      <c r="U637" s="57"/>
      <c r="V637" s="57"/>
      <c r="W637" s="57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53" t="s">
        <v>27</v>
      </c>
      <c r="B638" s="53" t="s">
        <v>22</v>
      </c>
      <c r="C638" s="53" t="s">
        <v>23</v>
      </c>
      <c r="D638" s="53" t="s">
        <v>24</v>
      </c>
      <c r="E638" s="53" t="s">
        <v>24</v>
      </c>
      <c r="F638" s="53" t="s">
        <v>25</v>
      </c>
      <c r="G638" s="53" t="s">
        <v>25</v>
      </c>
      <c r="H638" s="53" t="s">
        <v>25</v>
      </c>
      <c r="I638" s="75">
        <v>44652</v>
      </c>
      <c r="J638" s="76">
        <f>EFEITO!$J$638*EFEITO!$Y$638</f>
        <v>0</v>
      </c>
      <c r="K638" s="76">
        <f ca="1">EFEITO!$L$638*EFEITO!$Z$638</f>
        <v>-22.609761681105542</v>
      </c>
      <c r="L638" s="76">
        <f>EFEITO!$N$638*EFEITO!$AA$638</f>
        <v>-16.637612508055085</v>
      </c>
      <c r="M638" s="76">
        <f>$J$638-EFEITO!$K$638*EFEITO!$Y$638</f>
        <v>0</v>
      </c>
      <c r="N638" s="76">
        <f ca="1">$K$638-EFEITO!$M$638*EFEITO!$Z$638</f>
        <v>0</v>
      </c>
      <c r="O638" s="76">
        <f>$L$638-EFEITO!$O$638*EFEITO!$AA$638</f>
        <v>0</v>
      </c>
      <c r="P638" s="57"/>
      <c r="Q638" s="57"/>
      <c r="R638" s="57"/>
      <c r="S638" s="57"/>
      <c r="T638" s="57"/>
      <c r="U638" s="57"/>
      <c r="V638" s="57"/>
      <c r="W638" s="57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53" t="s">
        <v>28</v>
      </c>
      <c r="B639" s="53" t="s">
        <v>22</v>
      </c>
      <c r="C639" s="53" t="s">
        <v>23</v>
      </c>
      <c r="D639" s="53" t="s">
        <v>24</v>
      </c>
      <c r="E639" s="53" t="s">
        <v>24</v>
      </c>
      <c r="F639" s="53" t="s">
        <v>25</v>
      </c>
      <c r="G639" s="53" t="s">
        <v>25</v>
      </c>
      <c r="H639" s="53" t="s">
        <v>25</v>
      </c>
      <c r="I639" s="75">
        <v>44652</v>
      </c>
      <c r="J639" s="76">
        <f>EFEITO!$J$639*EFEITO!$Y$639</f>
        <v>0</v>
      </c>
      <c r="K639" s="76">
        <f ca="1">EFEITO!$L$639*EFEITO!$Z$639</f>
        <v>84859.65322650013</v>
      </c>
      <c r="L639" s="76">
        <f>EFEITO!$N$639*EFEITO!$AA$639</f>
        <v>62444.799191771053</v>
      </c>
      <c r="M639" s="76">
        <f>$J$639-EFEITO!$K$639*EFEITO!$Y$639</f>
        <v>0</v>
      </c>
      <c r="N639" s="76">
        <f ca="1">$K$639-EFEITO!$M$639*EFEITO!$Z$639</f>
        <v>0</v>
      </c>
      <c r="O639" s="76">
        <f>$L$639-EFEITO!$O$639*EFEITO!$AA$639</f>
        <v>0</v>
      </c>
      <c r="P639" s="57"/>
      <c r="Q639" s="57"/>
      <c r="R639" s="57"/>
      <c r="S639" s="57"/>
      <c r="T639" s="57"/>
      <c r="U639" s="57"/>
      <c r="V639" s="57"/>
      <c r="W639" s="57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53" t="s">
        <v>28</v>
      </c>
      <c r="B640" s="53" t="s">
        <v>22</v>
      </c>
      <c r="C640" s="53" t="s">
        <v>23</v>
      </c>
      <c r="D640" s="53" t="s">
        <v>24</v>
      </c>
      <c r="E640" s="53" t="s">
        <v>24</v>
      </c>
      <c r="F640" s="53" t="s">
        <v>25</v>
      </c>
      <c r="G640" s="53" t="s">
        <v>25</v>
      </c>
      <c r="H640" s="53" t="s">
        <v>25</v>
      </c>
      <c r="I640" s="75">
        <v>44652</v>
      </c>
      <c r="J640" s="76">
        <f>EFEITO!$J$640*EFEITO!$Y$640</f>
        <v>0</v>
      </c>
      <c r="K640" s="76">
        <f ca="1">EFEITO!$L$640*EFEITO!$Z$640</f>
        <v>189.13935252463293</v>
      </c>
      <c r="L640" s="76">
        <f>EFEITO!$N$640*EFEITO!$AA$640</f>
        <v>139.18002771161466</v>
      </c>
      <c r="M640" s="76">
        <f>$J$640-EFEITO!$K$640*EFEITO!$Y$640</f>
        <v>0</v>
      </c>
      <c r="N640" s="76">
        <f ca="1">$K$640-EFEITO!$M$640*EFEITO!$Z$640</f>
        <v>0</v>
      </c>
      <c r="O640" s="76">
        <f>$L$640-EFEITO!$O$640*EFEITO!$AA$640</f>
        <v>0</v>
      </c>
      <c r="P640" s="57"/>
      <c r="Q640" s="57"/>
      <c r="R640" s="57"/>
      <c r="S640" s="57"/>
      <c r="T640" s="57"/>
      <c r="U640" s="57"/>
      <c r="V640" s="57"/>
      <c r="W640" s="57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53" t="s">
        <v>21</v>
      </c>
      <c r="B641" s="53" t="s">
        <v>22</v>
      </c>
      <c r="C641" s="53" t="s">
        <v>23</v>
      </c>
      <c r="D641" s="53" t="s">
        <v>24</v>
      </c>
      <c r="E641" s="53" t="s">
        <v>24</v>
      </c>
      <c r="F641" s="53" t="s">
        <v>25</v>
      </c>
      <c r="G641" s="53" t="s">
        <v>25</v>
      </c>
      <c r="H641" s="53" t="s">
        <v>25</v>
      </c>
      <c r="I641" s="75">
        <v>44682</v>
      </c>
      <c r="J641" s="76">
        <f>EFEITO!$J$641*EFEITO!$Y$641</f>
        <v>0</v>
      </c>
      <c r="K641" s="76">
        <f ca="1">EFEITO!$L$641*EFEITO!$Z$641</f>
        <v>4396190.7545072706</v>
      </c>
      <c r="L641" s="76">
        <f>EFEITO!$N$641*EFEITO!$AA$641</f>
        <v>3234979.6214840012</v>
      </c>
      <c r="M641" s="76">
        <f>$J$641-EFEITO!$K$641*EFEITO!$Y$641</f>
        <v>0</v>
      </c>
      <c r="N641" s="76">
        <f ca="1">$K$641-EFEITO!$M$641*EFEITO!$Z$641</f>
        <v>0</v>
      </c>
      <c r="O641" s="76">
        <f>$L$641-EFEITO!$O$641*EFEITO!$AA$641</f>
        <v>0</v>
      </c>
      <c r="P641" s="57"/>
      <c r="Q641" s="57"/>
      <c r="R641" s="57"/>
      <c r="S641" s="57"/>
      <c r="T641" s="57"/>
      <c r="U641" s="57"/>
      <c r="V641" s="57"/>
      <c r="W641" s="57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53" t="s">
        <v>27</v>
      </c>
      <c r="B642" s="53" t="s">
        <v>22</v>
      </c>
      <c r="C642" s="53" t="s">
        <v>23</v>
      </c>
      <c r="D642" s="53" t="s">
        <v>24</v>
      </c>
      <c r="E642" s="53" t="s">
        <v>24</v>
      </c>
      <c r="F642" s="53" t="s">
        <v>25</v>
      </c>
      <c r="G642" s="53" t="s">
        <v>25</v>
      </c>
      <c r="H642" s="53" t="s">
        <v>25</v>
      </c>
      <c r="I642" s="75">
        <v>44682</v>
      </c>
      <c r="J642" s="76">
        <f>EFEITO!$J$642*EFEITO!$Y$642</f>
        <v>0</v>
      </c>
      <c r="K642" s="76">
        <f ca="1">EFEITO!$L$642*EFEITO!$Z$642</f>
        <v>410.01933202466398</v>
      </c>
      <c r="L642" s="76">
        <f>EFEITO!$N$642*EFEITO!$AA$642</f>
        <v>301.71670375184505</v>
      </c>
      <c r="M642" s="76">
        <f>$J$642-EFEITO!$K$642*EFEITO!$Y$642</f>
        <v>0</v>
      </c>
      <c r="N642" s="76">
        <f ca="1">$K$642-EFEITO!$M$642*EFEITO!$Z$642</f>
        <v>0</v>
      </c>
      <c r="O642" s="76">
        <f>$L$642-EFEITO!$O$642*EFEITO!$AA$642</f>
        <v>0</v>
      </c>
      <c r="P642" s="57"/>
      <c r="Q642" s="57"/>
      <c r="R642" s="57"/>
      <c r="S642" s="57"/>
      <c r="T642" s="57"/>
      <c r="U642" s="57"/>
      <c r="V642" s="57"/>
      <c r="W642" s="57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53" t="s">
        <v>28</v>
      </c>
      <c r="B643" s="53" t="s">
        <v>22</v>
      </c>
      <c r="C643" s="53" t="s">
        <v>23</v>
      </c>
      <c r="D643" s="53" t="s">
        <v>24</v>
      </c>
      <c r="E643" s="53" t="s">
        <v>24</v>
      </c>
      <c r="F643" s="53" t="s">
        <v>25</v>
      </c>
      <c r="G643" s="53" t="s">
        <v>25</v>
      </c>
      <c r="H643" s="53" t="s">
        <v>25</v>
      </c>
      <c r="I643" s="75">
        <v>44682</v>
      </c>
      <c r="J643" s="76">
        <f>EFEITO!$J$643*EFEITO!$Y$643</f>
        <v>0</v>
      </c>
      <c r="K643" s="76">
        <f ca="1">EFEITO!$L$643*EFEITO!$Z$643</f>
        <v>80256.827511958138</v>
      </c>
      <c r="L643" s="76">
        <f>EFEITO!$N$643*EFEITO!$AA$643</f>
        <v>59057.765230035067</v>
      </c>
      <c r="M643" s="76">
        <f>$J$643-EFEITO!$K$643*EFEITO!$Y$643</f>
        <v>0</v>
      </c>
      <c r="N643" s="76">
        <f ca="1">$K$643-EFEITO!$M$643*EFEITO!$Z$643</f>
        <v>0</v>
      </c>
      <c r="O643" s="76">
        <f>$L$643-EFEITO!$O$643*EFEITO!$AA$643</f>
        <v>0</v>
      </c>
      <c r="P643" s="57"/>
      <c r="Q643" s="57"/>
      <c r="R643" s="57"/>
      <c r="S643" s="57"/>
      <c r="T643" s="57"/>
      <c r="U643" s="57"/>
      <c r="V643" s="57"/>
      <c r="W643" s="57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53" t="s">
        <v>28</v>
      </c>
      <c r="B644" s="53" t="s">
        <v>22</v>
      </c>
      <c r="C644" s="53" t="s">
        <v>23</v>
      </c>
      <c r="D644" s="53" t="s">
        <v>24</v>
      </c>
      <c r="E644" s="53" t="s">
        <v>24</v>
      </c>
      <c r="F644" s="53" t="s">
        <v>25</v>
      </c>
      <c r="G644" s="53" t="s">
        <v>25</v>
      </c>
      <c r="H644" s="53" t="s">
        <v>25</v>
      </c>
      <c r="I644" s="75">
        <v>44682</v>
      </c>
      <c r="J644" s="76">
        <f>EFEITO!$J$644*EFEITO!$Y$644</f>
        <v>0</v>
      </c>
      <c r="K644" s="76">
        <f ca="1">EFEITO!$L$644*EFEITO!$Z$644</f>
        <v>132.61494832186906</v>
      </c>
      <c r="L644" s="76">
        <f>EFEITO!$N$644*EFEITO!$AA$644</f>
        <v>97.585996441476937</v>
      </c>
      <c r="M644" s="76">
        <f>$J$644-EFEITO!$K$644*EFEITO!$Y$644</f>
        <v>0</v>
      </c>
      <c r="N644" s="76">
        <f ca="1">$K$644-EFEITO!$M$644*EFEITO!$Z$644</f>
        <v>0</v>
      </c>
      <c r="O644" s="76">
        <f>$L$644-EFEITO!$O$644*EFEITO!$AA$644</f>
        <v>0</v>
      </c>
      <c r="P644" s="57"/>
      <c r="Q644" s="57"/>
      <c r="R644" s="57"/>
      <c r="S644" s="57"/>
      <c r="T644" s="57"/>
      <c r="U644" s="57"/>
      <c r="V644" s="57"/>
      <c r="W644" s="57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53" t="s">
        <v>21</v>
      </c>
      <c r="B645" s="53" t="s">
        <v>22</v>
      </c>
      <c r="C645" s="53" t="s">
        <v>23</v>
      </c>
      <c r="D645" s="53" t="s">
        <v>24</v>
      </c>
      <c r="E645" s="53" t="s">
        <v>24</v>
      </c>
      <c r="F645" s="53" t="s">
        <v>25</v>
      </c>
      <c r="G645" s="53" t="s">
        <v>25</v>
      </c>
      <c r="H645" s="53" t="s">
        <v>25</v>
      </c>
      <c r="I645" s="75">
        <v>44713</v>
      </c>
      <c r="J645" s="76">
        <f>EFEITO!$J$645*EFEITO!$Y$645</f>
        <v>0</v>
      </c>
      <c r="K645" s="76">
        <f ca="1">EFEITO!$L$645*EFEITO!$Z$645</f>
        <v>3790805.2546303752</v>
      </c>
      <c r="L645" s="76">
        <f>EFEITO!$N$645*EFEITO!$AA$645</f>
        <v>2789500.8275450054</v>
      </c>
      <c r="M645" s="76">
        <f>$J$645-EFEITO!$K$645*EFEITO!$Y$645</f>
        <v>0</v>
      </c>
      <c r="N645" s="76">
        <f ca="1">$K$645-EFEITO!$M$645*EFEITO!$Z$645</f>
        <v>0</v>
      </c>
      <c r="O645" s="76">
        <f>$L$645-EFEITO!$O$645*EFEITO!$AA$645</f>
        <v>0</v>
      </c>
      <c r="P645" s="57"/>
      <c r="Q645" s="57"/>
      <c r="R645" s="57"/>
      <c r="S645" s="57"/>
      <c r="T645" s="57"/>
      <c r="U645" s="57"/>
      <c r="V645" s="57"/>
      <c r="W645" s="57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53" t="s">
        <v>27</v>
      </c>
      <c r="B646" s="53" t="s">
        <v>22</v>
      </c>
      <c r="C646" s="53" t="s">
        <v>23</v>
      </c>
      <c r="D646" s="53" t="s">
        <v>24</v>
      </c>
      <c r="E646" s="53" t="s">
        <v>24</v>
      </c>
      <c r="F646" s="53" t="s">
        <v>25</v>
      </c>
      <c r="G646" s="53" t="s">
        <v>25</v>
      </c>
      <c r="H646" s="53" t="s">
        <v>25</v>
      </c>
      <c r="I646" s="75">
        <v>44713</v>
      </c>
      <c r="J646" s="76">
        <f>EFEITO!$J$646*EFEITO!$Y$646</f>
        <v>0</v>
      </c>
      <c r="K646" s="76">
        <f ca="1">EFEITO!$L$646*EFEITO!$Z$646</f>
        <v>260.01225933271377</v>
      </c>
      <c r="L646" s="76">
        <f>EFEITO!$N$646*EFEITO!$AA$646</f>
        <v>191.33254384263347</v>
      </c>
      <c r="M646" s="76">
        <f>$J$646-EFEITO!$K$646*EFEITO!$Y$646</f>
        <v>0</v>
      </c>
      <c r="N646" s="76">
        <f ca="1">$K$646-EFEITO!$M$646*EFEITO!$Z$646</f>
        <v>0</v>
      </c>
      <c r="O646" s="76">
        <f>$L$646-EFEITO!$O$646*EFEITO!$AA$646</f>
        <v>0</v>
      </c>
      <c r="P646" s="57"/>
      <c r="Q646" s="57"/>
      <c r="R646" s="57"/>
      <c r="S646" s="57"/>
      <c r="T646" s="57"/>
      <c r="U646" s="57"/>
      <c r="V646" s="57"/>
      <c r="W646" s="57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53" t="s">
        <v>28</v>
      </c>
      <c r="B647" s="53" t="s">
        <v>22</v>
      </c>
      <c r="C647" s="53" t="s">
        <v>23</v>
      </c>
      <c r="D647" s="53" t="s">
        <v>24</v>
      </c>
      <c r="E647" s="53" t="s">
        <v>24</v>
      </c>
      <c r="F647" s="53" t="s">
        <v>25</v>
      </c>
      <c r="G647" s="53" t="s">
        <v>25</v>
      </c>
      <c r="H647" s="53" t="s">
        <v>25</v>
      </c>
      <c r="I647" s="75">
        <v>44713</v>
      </c>
      <c r="J647" s="76">
        <f>EFEITO!$J$647*EFEITO!$Y$647</f>
        <v>0</v>
      </c>
      <c r="K647" s="76">
        <f ca="1">EFEITO!$L$647*EFEITO!$Z$647</f>
        <v>80632.062595242649</v>
      </c>
      <c r="L647" s="76">
        <f>EFEITO!$N$647*EFEITO!$AA$647</f>
        <v>59333.885606851443</v>
      </c>
      <c r="M647" s="76">
        <f>$J$647-EFEITO!$K$647*EFEITO!$Y$647</f>
        <v>0</v>
      </c>
      <c r="N647" s="76">
        <f ca="1">$K$647-EFEITO!$M$647*EFEITO!$Z$647</f>
        <v>0</v>
      </c>
      <c r="O647" s="76">
        <f>$L$647-EFEITO!$O$647*EFEITO!$AA$647</f>
        <v>0</v>
      </c>
      <c r="P647" s="57"/>
      <c r="Q647" s="57"/>
      <c r="R647" s="57"/>
      <c r="S647" s="57"/>
      <c r="T647" s="57"/>
      <c r="U647" s="57"/>
      <c r="V647" s="57"/>
      <c r="W647" s="57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53" t="s">
        <v>28</v>
      </c>
      <c r="B648" s="53" t="s">
        <v>22</v>
      </c>
      <c r="C648" s="53" t="s">
        <v>23</v>
      </c>
      <c r="D648" s="53" t="s">
        <v>24</v>
      </c>
      <c r="E648" s="53" t="s">
        <v>24</v>
      </c>
      <c r="F648" s="53" t="s">
        <v>25</v>
      </c>
      <c r="G648" s="53" t="s">
        <v>25</v>
      </c>
      <c r="H648" s="53" t="s">
        <v>25</v>
      </c>
      <c r="I648" s="75">
        <v>44713</v>
      </c>
      <c r="J648" s="76">
        <f>EFEITO!$J$648*EFEITO!$Y$648</f>
        <v>0</v>
      </c>
      <c r="K648" s="76">
        <f ca="1">EFEITO!$L$648*EFEITO!$Z$648</f>
        <v>79.56896899312143</v>
      </c>
      <c r="L648" s="76">
        <f>EFEITO!$N$648*EFEITO!$AA$648</f>
        <v>58.551597864886162</v>
      </c>
      <c r="M648" s="76">
        <f>$J$648-EFEITO!$K$648*EFEITO!$Y$648</f>
        <v>0</v>
      </c>
      <c r="N648" s="76">
        <f ca="1">$K$648-EFEITO!$M$648*EFEITO!$Z$648</f>
        <v>0</v>
      </c>
      <c r="O648" s="76">
        <f>$L$648-EFEITO!$O$648*EFEITO!$AA$648</f>
        <v>0</v>
      </c>
      <c r="P648" s="57"/>
      <c r="Q648" s="57"/>
      <c r="R648" s="57"/>
      <c r="S648" s="57"/>
      <c r="T648" s="57"/>
      <c r="U648" s="57"/>
      <c r="V648" s="57"/>
      <c r="W648" s="57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53" t="s">
        <v>21</v>
      </c>
      <c r="B649" s="53" t="s">
        <v>22</v>
      </c>
      <c r="C649" s="53" t="s">
        <v>23</v>
      </c>
      <c r="D649" s="53" t="s">
        <v>24</v>
      </c>
      <c r="E649" s="53" t="s">
        <v>24</v>
      </c>
      <c r="F649" s="53" t="s">
        <v>25</v>
      </c>
      <c r="G649" s="53" t="s">
        <v>25</v>
      </c>
      <c r="H649" s="53" t="s">
        <v>25</v>
      </c>
      <c r="I649" s="75">
        <v>44743</v>
      </c>
      <c r="J649" s="76">
        <f>EFEITO!$J$649*EFEITO!$Y$649</f>
        <v>0</v>
      </c>
      <c r="K649" s="76">
        <f ca="1">EFEITO!$L$649*EFEITO!$Z$649</f>
        <v>3611980.7362665283</v>
      </c>
      <c r="L649" s="76">
        <f>EFEITO!$N$649*EFEITO!$AA$649</f>
        <v>2657911.0706320177</v>
      </c>
      <c r="M649" s="76">
        <f>$J$649-EFEITO!$K$649*EFEITO!$Y$649</f>
        <v>0</v>
      </c>
      <c r="N649" s="76">
        <f ca="1">$K$649-EFEITO!$M$649*EFEITO!$Z$649</f>
        <v>0</v>
      </c>
      <c r="O649" s="76">
        <f>$L$649-EFEITO!$O$649*EFEITO!$AA$649</f>
        <v>0</v>
      </c>
      <c r="P649" s="57"/>
      <c r="Q649" s="57"/>
      <c r="R649" s="57"/>
      <c r="S649" s="57"/>
      <c r="T649" s="57"/>
      <c r="U649" s="57"/>
      <c r="V649" s="57"/>
      <c r="W649" s="57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53" t="s">
        <v>27</v>
      </c>
      <c r="B650" s="53" t="s">
        <v>22</v>
      </c>
      <c r="C650" s="53" t="s">
        <v>23</v>
      </c>
      <c r="D650" s="53" t="s">
        <v>24</v>
      </c>
      <c r="E650" s="53" t="s">
        <v>24</v>
      </c>
      <c r="F650" s="53" t="s">
        <v>25</v>
      </c>
      <c r="G650" s="53" t="s">
        <v>25</v>
      </c>
      <c r="H650" s="53" t="s">
        <v>25</v>
      </c>
      <c r="I650" s="75">
        <v>44743</v>
      </c>
      <c r="J650" s="76">
        <f>EFEITO!$J$650*EFEITO!$Y$650</f>
        <v>0</v>
      </c>
      <c r="K650" s="76">
        <f ca="1">EFEITO!$L$650*EFEITO!$Z$650</f>
        <v>1000.0471512796682</v>
      </c>
      <c r="L650" s="76">
        <f>EFEITO!$N$650*EFEITO!$AA$650</f>
        <v>735.89439939474403</v>
      </c>
      <c r="M650" s="76">
        <f>$J$650-EFEITO!$K$650*EFEITO!$Y$650</f>
        <v>0</v>
      </c>
      <c r="N650" s="76">
        <f ca="1">$K$650-EFEITO!$M$650*EFEITO!$Z$650</f>
        <v>0</v>
      </c>
      <c r="O650" s="76">
        <f>$L$650-EFEITO!$O$650*EFEITO!$AA$650</f>
        <v>0</v>
      </c>
      <c r="P650" s="57"/>
      <c r="Q650" s="57"/>
      <c r="R650" s="57"/>
      <c r="S650" s="57"/>
      <c r="T650" s="57"/>
      <c r="U650" s="57"/>
      <c r="V650" s="57"/>
      <c r="W650" s="57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53" t="s">
        <v>28</v>
      </c>
      <c r="B651" s="53" t="s">
        <v>22</v>
      </c>
      <c r="C651" s="53" t="s">
        <v>23</v>
      </c>
      <c r="D651" s="53" t="s">
        <v>24</v>
      </c>
      <c r="E651" s="53" t="s">
        <v>24</v>
      </c>
      <c r="F651" s="53" t="s">
        <v>25</v>
      </c>
      <c r="G651" s="53" t="s">
        <v>25</v>
      </c>
      <c r="H651" s="53" t="s">
        <v>25</v>
      </c>
      <c r="I651" s="75">
        <v>44743</v>
      </c>
      <c r="J651" s="76">
        <f>EFEITO!$J$651*EFEITO!$Y$651</f>
        <v>0</v>
      </c>
      <c r="K651" s="76">
        <f ca="1">EFEITO!$L$651*EFEITO!$Z$651</f>
        <v>81388.620005341174</v>
      </c>
      <c r="L651" s="76">
        <f>EFEITO!$N$651*EFEITO!$AA$651</f>
        <v>59890.605717697901</v>
      </c>
      <c r="M651" s="76">
        <f>$J$651-EFEITO!$K$651*EFEITO!$Y$651</f>
        <v>0</v>
      </c>
      <c r="N651" s="76">
        <f ca="1">$K$651-EFEITO!$M$651*EFEITO!$Z$651</f>
        <v>0</v>
      </c>
      <c r="O651" s="76">
        <f>$L$651-EFEITO!$O$651*EFEITO!$AA$651</f>
        <v>0</v>
      </c>
      <c r="P651" s="57"/>
      <c r="Q651" s="57"/>
      <c r="R651" s="57"/>
      <c r="S651" s="57"/>
      <c r="T651" s="57"/>
      <c r="U651" s="57"/>
      <c r="V651" s="57"/>
      <c r="W651" s="57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53" t="s">
        <v>28</v>
      </c>
      <c r="B652" s="53" t="s">
        <v>22</v>
      </c>
      <c r="C652" s="53" t="s">
        <v>23</v>
      </c>
      <c r="D652" s="53" t="s">
        <v>24</v>
      </c>
      <c r="E652" s="53" t="s">
        <v>24</v>
      </c>
      <c r="F652" s="53" t="s">
        <v>25</v>
      </c>
      <c r="G652" s="53" t="s">
        <v>25</v>
      </c>
      <c r="H652" s="53" t="s">
        <v>25</v>
      </c>
      <c r="I652" s="75">
        <v>44743</v>
      </c>
      <c r="J652" s="76">
        <f>EFEITO!$J$652*EFEITO!$Y$652</f>
        <v>0</v>
      </c>
      <c r="K652" s="76">
        <f ca="1">EFEITO!$L$652*EFEITO!$Z$652</f>
        <v>209.5750986594783</v>
      </c>
      <c r="L652" s="76">
        <f>EFEITO!$N$652*EFEITO!$AA$652</f>
        <v>154.2178697862029</v>
      </c>
      <c r="M652" s="76">
        <f>$J$652-EFEITO!$K$652*EFEITO!$Y$652</f>
        <v>0</v>
      </c>
      <c r="N652" s="76">
        <f ca="1">$K$652-EFEITO!$M$652*EFEITO!$Z$652</f>
        <v>0</v>
      </c>
      <c r="O652" s="76">
        <f>$L$652-EFEITO!$O$652*EFEITO!$AA$652</f>
        <v>0</v>
      </c>
      <c r="P652" s="57"/>
      <c r="Q652" s="57"/>
      <c r="R652" s="57"/>
      <c r="S652" s="57"/>
      <c r="T652" s="57"/>
      <c r="U652" s="57"/>
      <c r="V652" s="57"/>
      <c r="W652" s="57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53" t="s">
        <v>56</v>
      </c>
      <c r="B653" s="53" t="s">
        <v>22</v>
      </c>
      <c r="C653" s="53" t="s">
        <v>23</v>
      </c>
      <c r="D653" s="53" t="s">
        <v>24</v>
      </c>
      <c r="E653" s="53" t="s">
        <v>24</v>
      </c>
      <c r="F653" s="53" t="s">
        <v>25</v>
      </c>
      <c r="G653" s="53" t="s">
        <v>25</v>
      </c>
      <c r="H653" s="53" t="s">
        <v>25</v>
      </c>
      <c r="I653" s="75">
        <v>44774</v>
      </c>
      <c r="J653" s="76">
        <f>EFEITO!$J$653*EFEITO!$Y$653</f>
        <v>0</v>
      </c>
      <c r="K653" s="76">
        <f ca="1">EFEITO!$L$653*EFEITO!$Z$653</f>
        <v>3611980.7362665283</v>
      </c>
      <c r="L653" s="76">
        <f>EFEITO!$N$653*EFEITO!$AA$653</f>
        <v>2657911.0706320177</v>
      </c>
      <c r="M653" s="76">
        <f>$J$653-EFEITO!$K$653*EFEITO!$Y$653</f>
        <v>0</v>
      </c>
      <c r="N653" s="76">
        <f ca="1">$K$653-EFEITO!$M$653*EFEITO!$Z$653</f>
        <v>0</v>
      </c>
      <c r="O653" s="76">
        <f>$L$653-EFEITO!$O$653*EFEITO!$AA$653</f>
        <v>0</v>
      </c>
      <c r="P653" s="57"/>
      <c r="Q653" s="57"/>
      <c r="R653" s="57"/>
      <c r="S653" s="57"/>
      <c r="T653" s="57"/>
      <c r="U653" s="57"/>
      <c r="V653" s="57"/>
      <c r="W653" s="57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53" t="s">
        <v>56</v>
      </c>
      <c r="B654" s="53" t="s">
        <v>22</v>
      </c>
      <c r="C654" s="53" t="s">
        <v>23</v>
      </c>
      <c r="D654" s="53" t="s">
        <v>24</v>
      </c>
      <c r="E654" s="53" t="s">
        <v>24</v>
      </c>
      <c r="F654" s="53" t="s">
        <v>25</v>
      </c>
      <c r="G654" s="53" t="s">
        <v>25</v>
      </c>
      <c r="H654" s="53" t="s">
        <v>25</v>
      </c>
      <c r="I654" s="75">
        <v>44774</v>
      </c>
      <c r="J654" s="76">
        <f>EFEITO!$J$654*EFEITO!$Y$654</f>
        <v>0</v>
      </c>
      <c r="K654" s="76">
        <f ca="1">EFEITO!$L$654*EFEITO!$Z$654</f>
        <v>1000.0471512796682</v>
      </c>
      <c r="L654" s="76">
        <f>EFEITO!$N$654*EFEITO!$AA$654</f>
        <v>735.89439939474403</v>
      </c>
      <c r="M654" s="76">
        <f>$J$654-EFEITO!$K$654*EFEITO!$Y$654</f>
        <v>0</v>
      </c>
      <c r="N654" s="76">
        <f ca="1">$K$654-EFEITO!$M$654*EFEITO!$Z$654</f>
        <v>0</v>
      </c>
      <c r="O654" s="76">
        <f>$L$654-EFEITO!$O$654*EFEITO!$AA$654</f>
        <v>0</v>
      </c>
      <c r="P654" s="57"/>
      <c r="Q654" s="57"/>
      <c r="R654" s="57"/>
      <c r="S654" s="57"/>
      <c r="T654" s="57"/>
      <c r="U654" s="57"/>
      <c r="V654" s="57"/>
      <c r="W654" s="57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53" t="s">
        <v>56</v>
      </c>
      <c r="B655" s="53" t="s">
        <v>22</v>
      </c>
      <c r="C655" s="53" t="s">
        <v>23</v>
      </c>
      <c r="D655" s="53" t="s">
        <v>24</v>
      </c>
      <c r="E655" s="53" t="s">
        <v>24</v>
      </c>
      <c r="F655" s="53" t="s">
        <v>25</v>
      </c>
      <c r="G655" s="53" t="s">
        <v>25</v>
      </c>
      <c r="H655" s="53" t="s">
        <v>25</v>
      </c>
      <c r="I655" s="75">
        <v>44774</v>
      </c>
      <c r="J655" s="76">
        <f>EFEITO!$J$655*EFEITO!$Y$655</f>
        <v>0</v>
      </c>
      <c r="K655" s="76">
        <f ca="1">EFEITO!$L$655*EFEITO!$Z$655</f>
        <v>81388.620005341174</v>
      </c>
      <c r="L655" s="76">
        <f>EFEITO!$N$655*EFEITO!$AA$655</f>
        <v>59890.605717697901</v>
      </c>
      <c r="M655" s="76">
        <f>$J$655-EFEITO!$K$655*EFEITO!$Y$655</f>
        <v>0</v>
      </c>
      <c r="N655" s="76">
        <f ca="1">$K$655-EFEITO!$M$655*EFEITO!$Z$655</f>
        <v>0</v>
      </c>
      <c r="O655" s="76">
        <f>$L$655-EFEITO!$O$655*EFEITO!$AA$655</f>
        <v>0</v>
      </c>
      <c r="P655" s="57"/>
      <c r="Q655" s="57"/>
      <c r="R655" s="57"/>
      <c r="S655" s="57"/>
      <c r="T655" s="57"/>
      <c r="U655" s="57"/>
      <c r="V655" s="57"/>
      <c r="W655" s="57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53" t="s">
        <v>56</v>
      </c>
      <c r="B656" s="53" t="s">
        <v>22</v>
      </c>
      <c r="C656" s="53" t="s">
        <v>23</v>
      </c>
      <c r="D656" s="53" t="s">
        <v>24</v>
      </c>
      <c r="E656" s="53" t="s">
        <v>24</v>
      </c>
      <c r="F656" s="53" t="s">
        <v>25</v>
      </c>
      <c r="G656" s="53" t="s">
        <v>25</v>
      </c>
      <c r="H656" s="53" t="s">
        <v>25</v>
      </c>
      <c r="I656" s="75">
        <v>44774</v>
      </c>
      <c r="J656" s="76">
        <f>EFEITO!$J$656*EFEITO!$Y$656</f>
        <v>0</v>
      </c>
      <c r="K656" s="76">
        <f ca="1">EFEITO!$L$656*EFEITO!$Z$656</f>
        <v>209.5750986594783</v>
      </c>
      <c r="L656" s="76">
        <f>EFEITO!$N$656*EFEITO!$AA$656</f>
        <v>154.2178697862029</v>
      </c>
      <c r="M656" s="76">
        <f>$J$656-EFEITO!$K$656*EFEITO!$Y$656</f>
        <v>0</v>
      </c>
      <c r="N656" s="76">
        <f ca="1">$K$656-EFEITO!$M$656*EFEITO!$Z$656</f>
        <v>0</v>
      </c>
      <c r="O656" s="76">
        <f>$L$656-EFEITO!$O$656*EFEITO!$AA$656</f>
        <v>0</v>
      </c>
      <c r="P656" s="57"/>
      <c r="Q656" s="57"/>
      <c r="R656" s="57"/>
      <c r="S656" s="57"/>
      <c r="T656" s="57"/>
      <c r="U656" s="57"/>
      <c r="V656" s="57"/>
      <c r="W656" s="57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53" t="s">
        <v>21</v>
      </c>
      <c r="B657" s="53" t="s">
        <v>22</v>
      </c>
      <c r="C657" s="53" t="s">
        <v>23</v>
      </c>
      <c r="D657" s="53" t="s">
        <v>24</v>
      </c>
      <c r="E657" s="53" t="s">
        <v>29</v>
      </c>
      <c r="F657" s="53" t="s">
        <v>25</v>
      </c>
      <c r="G657" s="53" t="s">
        <v>25</v>
      </c>
      <c r="H657" s="53" t="s">
        <v>25</v>
      </c>
      <c r="I657" s="75">
        <v>44440</v>
      </c>
      <c r="J657" s="76">
        <f>EFEITO!$J$657*EFEITO!$Y$610</f>
        <v>0</v>
      </c>
      <c r="K657" s="76">
        <f ca="1">EFEITO!$L$657*EFEITO!$Z$756</f>
        <v>86269.785989048789</v>
      </c>
      <c r="L657" s="76">
        <f>EFEITO!$N$657*EFEITO!$AA$756</f>
        <v>95544.689368373249</v>
      </c>
      <c r="M657" s="76">
        <f>$J$657-EFEITO!$K$657*EFEITO!$Y$657</f>
        <v>0</v>
      </c>
      <c r="N657" s="76">
        <f ca="1">$K$657-EFEITO!$M$657*EFEITO!$Z$657</f>
        <v>56075.360892881712</v>
      </c>
      <c r="O657" s="76">
        <f>$L$657-EFEITO!$O$657*EFEITO!$AA$657</f>
        <v>62104.048089442607</v>
      </c>
      <c r="P657" s="57"/>
      <c r="Q657" s="57"/>
      <c r="R657" s="57"/>
      <c r="S657" s="57"/>
      <c r="T657" s="57"/>
      <c r="U657" s="57"/>
      <c r="V657" s="57"/>
      <c r="W657" s="57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53" t="s">
        <v>28</v>
      </c>
      <c r="B658" s="53" t="s">
        <v>22</v>
      </c>
      <c r="C658" s="53" t="s">
        <v>23</v>
      </c>
      <c r="D658" s="53" t="s">
        <v>24</v>
      </c>
      <c r="E658" s="53" t="s">
        <v>29</v>
      </c>
      <c r="F658" s="53" t="s">
        <v>25</v>
      </c>
      <c r="G658" s="53" t="s">
        <v>25</v>
      </c>
      <c r="H658" s="53" t="s">
        <v>25</v>
      </c>
      <c r="I658" s="75">
        <v>44440</v>
      </c>
      <c r="J658" s="76">
        <f>EFEITO!$J$658*EFEITO!$Y$610</f>
        <v>0</v>
      </c>
      <c r="K658" s="76">
        <f ca="1">EFEITO!$L$658*EFEITO!$Z$756</f>
        <v>1421.3627589113926</v>
      </c>
      <c r="L658" s="76">
        <f>EFEITO!$N$658*EFEITO!$AA$756</f>
        <v>1574.1741065313656</v>
      </c>
      <c r="M658" s="76">
        <f>$J$658-EFEITO!$K$658*EFEITO!$Y$658</f>
        <v>0</v>
      </c>
      <c r="N658" s="76">
        <f ca="1">$K$658-EFEITO!$M$658*EFEITO!$Z$658</f>
        <v>923.8857932924052</v>
      </c>
      <c r="O658" s="76">
        <f>$L$658-EFEITO!$O$658*EFEITO!$AA$658</f>
        <v>1023.2131692453877</v>
      </c>
      <c r="P658" s="57"/>
      <c r="Q658" s="57"/>
      <c r="R658" s="57"/>
      <c r="S658" s="57"/>
      <c r="T658" s="57"/>
      <c r="U658" s="57"/>
      <c r="V658" s="57"/>
      <c r="W658" s="57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53" t="s">
        <v>21</v>
      </c>
      <c r="B659" s="53" t="s">
        <v>22</v>
      </c>
      <c r="C659" s="53" t="s">
        <v>23</v>
      </c>
      <c r="D659" s="53" t="s">
        <v>24</v>
      </c>
      <c r="E659" s="53" t="s">
        <v>29</v>
      </c>
      <c r="F659" s="53" t="s">
        <v>25</v>
      </c>
      <c r="G659" s="53" t="s">
        <v>25</v>
      </c>
      <c r="H659" s="53" t="s">
        <v>25</v>
      </c>
      <c r="I659" s="75">
        <v>44470</v>
      </c>
      <c r="J659" s="76">
        <f>EFEITO!$J$659*EFEITO!$Y$610</f>
        <v>0</v>
      </c>
      <c r="K659" s="76">
        <f ca="1">EFEITO!$L$659*EFEITO!$Z$756</f>
        <v>87725.816132323889</v>
      </c>
      <c r="L659" s="76">
        <f>EFEITO!$N$659*EFEITO!$AA$756</f>
        <v>97157.257965307828</v>
      </c>
      <c r="M659" s="76">
        <f>$J$659-EFEITO!$K$659*EFEITO!$Y$659</f>
        <v>0</v>
      </c>
      <c r="N659" s="76">
        <f ca="1">$K$659-EFEITO!$M$659*EFEITO!$Z$659</f>
        <v>57021.780486010532</v>
      </c>
      <c r="O659" s="76">
        <f>$L$659-EFEITO!$O$659*EFEITO!$AA$659</f>
        <v>63152.217677450091</v>
      </c>
      <c r="P659" s="57"/>
      <c r="Q659" s="57"/>
      <c r="R659" s="57"/>
      <c r="S659" s="57"/>
      <c r="T659" s="57"/>
      <c r="U659" s="57"/>
      <c r="V659" s="57"/>
      <c r="W659" s="57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53" t="s">
        <v>28</v>
      </c>
      <c r="B660" s="53" t="s">
        <v>22</v>
      </c>
      <c r="C660" s="53" t="s">
        <v>23</v>
      </c>
      <c r="D660" s="53" t="s">
        <v>24</v>
      </c>
      <c r="E660" s="53" t="s">
        <v>29</v>
      </c>
      <c r="F660" s="53" t="s">
        <v>25</v>
      </c>
      <c r="G660" s="53" t="s">
        <v>25</v>
      </c>
      <c r="H660" s="53" t="s">
        <v>25</v>
      </c>
      <c r="I660" s="75">
        <v>44470</v>
      </c>
      <c r="J660" s="76">
        <f>EFEITO!$J$660*EFEITO!$Y$610</f>
        <v>0</v>
      </c>
      <c r="K660" s="76">
        <f ca="1">EFEITO!$L$660*EFEITO!$Z$756</f>
        <v>1421.3627589113926</v>
      </c>
      <c r="L660" s="76">
        <f>EFEITO!$N$660*EFEITO!$AA$756</f>
        <v>1574.1741065313656</v>
      </c>
      <c r="M660" s="76">
        <f>$J$660-EFEITO!$K$660*EFEITO!$Y$660</f>
        <v>0</v>
      </c>
      <c r="N660" s="76">
        <f ca="1">$K$660-EFEITO!$M$660*EFEITO!$Z$660</f>
        <v>923.8857932924052</v>
      </c>
      <c r="O660" s="76">
        <f>$L$660-EFEITO!$O$660*EFEITO!$AA$660</f>
        <v>1023.2131692453877</v>
      </c>
      <c r="P660" s="57"/>
      <c r="Q660" s="57"/>
      <c r="R660" s="57"/>
      <c r="S660" s="57"/>
      <c r="T660" s="57"/>
      <c r="U660" s="57"/>
      <c r="V660" s="57"/>
      <c r="W660" s="57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53" t="s">
        <v>21</v>
      </c>
      <c r="B661" s="53" t="s">
        <v>22</v>
      </c>
      <c r="C661" s="53" t="s">
        <v>23</v>
      </c>
      <c r="D661" s="53" t="s">
        <v>24</v>
      </c>
      <c r="E661" s="53" t="s">
        <v>29</v>
      </c>
      <c r="F661" s="53" t="s">
        <v>25</v>
      </c>
      <c r="G661" s="53" t="s">
        <v>25</v>
      </c>
      <c r="H661" s="53" t="s">
        <v>25</v>
      </c>
      <c r="I661" s="75">
        <v>44501</v>
      </c>
      <c r="J661" s="76">
        <f>EFEITO!$J$661*EFEITO!$Y$610</f>
        <v>0</v>
      </c>
      <c r="K661" s="76">
        <f ca="1">EFEITO!$L$661*EFEITO!$Z$756</f>
        <v>89935.861885509279</v>
      </c>
      <c r="L661" s="76">
        <f>EFEITO!$N$661*EFEITO!$AA$756</f>
        <v>99604.906728512084</v>
      </c>
      <c r="M661" s="76">
        <f>$J$661-EFEITO!$K$661*EFEITO!$Y$661</f>
        <v>0</v>
      </c>
      <c r="N661" s="76">
        <f ca="1">$K$661-EFEITO!$M$661*EFEITO!$Z$661</f>
        <v>58458.310225581037</v>
      </c>
      <c r="O661" s="76">
        <f>$L$661-EFEITO!$O$661*EFEITO!$AA$661</f>
        <v>64743.189373532856</v>
      </c>
      <c r="P661" s="57"/>
      <c r="Q661" s="57"/>
      <c r="R661" s="57"/>
      <c r="S661" s="57"/>
      <c r="T661" s="57"/>
      <c r="U661" s="57"/>
      <c r="V661" s="57"/>
      <c r="W661" s="57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53" t="s">
        <v>27</v>
      </c>
      <c r="B662" s="53" t="s">
        <v>22</v>
      </c>
      <c r="C662" s="53" t="s">
        <v>23</v>
      </c>
      <c r="D662" s="53" t="s">
        <v>24</v>
      </c>
      <c r="E662" s="53" t="s">
        <v>29</v>
      </c>
      <c r="F662" s="53" t="s">
        <v>25</v>
      </c>
      <c r="G662" s="53" t="s">
        <v>25</v>
      </c>
      <c r="H662" s="53" t="s">
        <v>25</v>
      </c>
      <c r="I662" s="75">
        <v>44501</v>
      </c>
      <c r="J662" s="76">
        <f>EFEITO!$J$662*EFEITO!$Y$610</f>
        <v>0</v>
      </c>
      <c r="K662" s="76">
        <f ca="1">EFEITO!$L$662*EFEITO!$Z$756</f>
        <v>8.6668460909231246</v>
      </c>
      <c r="L662" s="76">
        <f>EFEITO!$N$662*EFEITO!$AA$756</f>
        <v>9.5986226008010096</v>
      </c>
      <c r="M662" s="76">
        <f>$J$662-EFEITO!$K$662*EFEITO!$Y$662</f>
        <v>0</v>
      </c>
      <c r="N662" s="76">
        <f ca="1">$K$662-EFEITO!$M$662*EFEITO!$Z$662</f>
        <v>5.6334499591000311</v>
      </c>
      <c r="O662" s="76">
        <f>$L$662-EFEITO!$O$662*EFEITO!$AA$662</f>
        <v>6.2391046905206569</v>
      </c>
      <c r="P662" s="57"/>
      <c r="Q662" s="57"/>
      <c r="R662" s="57"/>
      <c r="S662" s="57"/>
      <c r="T662" s="57"/>
      <c r="U662" s="57"/>
      <c r="V662" s="57"/>
      <c r="W662" s="57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53" t="s">
        <v>28</v>
      </c>
      <c r="B663" s="53" t="s">
        <v>22</v>
      </c>
      <c r="C663" s="53" t="s">
        <v>23</v>
      </c>
      <c r="D663" s="53" t="s">
        <v>24</v>
      </c>
      <c r="E663" s="53" t="s">
        <v>29</v>
      </c>
      <c r="F663" s="53" t="s">
        <v>25</v>
      </c>
      <c r="G663" s="53" t="s">
        <v>25</v>
      </c>
      <c r="H663" s="53" t="s">
        <v>25</v>
      </c>
      <c r="I663" s="75">
        <v>44501</v>
      </c>
      <c r="J663" s="76">
        <f>EFEITO!$J$663*EFEITO!$Y$610</f>
        <v>0</v>
      </c>
      <c r="K663" s="76">
        <f ca="1">EFEITO!$L$663*EFEITO!$Z$756</f>
        <v>1447.3632971841619</v>
      </c>
      <c r="L663" s="76">
        <f>EFEITO!$N$663*EFEITO!$AA$756</f>
        <v>1602.9699743337685</v>
      </c>
      <c r="M663" s="76">
        <f>$J$663-EFEITO!$K$663*EFEITO!$Y$663</f>
        <v>0</v>
      </c>
      <c r="N663" s="76">
        <f ca="1">$K$663-EFEITO!$M$663*EFEITO!$Z$663</f>
        <v>940.78614316970527</v>
      </c>
      <c r="O663" s="76">
        <f>$L$663-EFEITO!$O$663*EFEITO!$AA$663</f>
        <v>1041.9304833169494</v>
      </c>
      <c r="P663" s="57"/>
      <c r="Q663" s="57"/>
      <c r="R663" s="57"/>
      <c r="S663" s="57"/>
      <c r="T663" s="57"/>
      <c r="U663" s="57"/>
      <c r="V663" s="57"/>
      <c r="W663" s="57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53" t="s">
        <v>21</v>
      </c>
      <c r="B664" s="53" t="s">
        <v>22</v>
      </c>
      <c r="C664" s="53" t="s">
        <v>23</v>
      </c>
      <c r="D664" s="53" t="s">
        <v>24</v>
      </c>
      <c r="E664" s="53" t="s">
        <v>29</v>
      </c>
      <c r="F664" s="53" t="s">
        <v>25</v>
      </c>
      <c r="G664" s="53" t="s">
        <v>25</v>
      </c>
      <c r="H664" s="53" t="s">
        <v>25</v>
      </c>
      <c r="I664" s="75">
        <v>44531</v>
      </c>
      <c r="J664" s="76">
        <f>EFEITO!$J$664*EFEITO!$Y$610</f>
        <v>0</v>
      </c>
      <c r="K664" s="76">
        <f ca="1">EFEITO!$L$664*EFEITO!$Z$756</f>
        <v>91435.226259238974</v>
      </c>
      <c r="L664" s="76">
        <f>EFEITO!$N$664*EFEITO!$AA$756</f>
        <v>101265.46843845065</v>
      </c>
      <c r="M664" s="76">
        <f>$J$664-EFEITO!$K$664*EFEITO!$Y$664</f>
        <v>0</v>
      </c>
      <c r="N664" s="76">
        <f ca="1">$K$664-EFEITO!$M$664*EFEITO!$Z$664</f>
        <v>59432.897068505335</v>
      </c>
      <c r="O664" s="76">
        <f>$L$664-EFEITO!$O$664*EFEITO!$AA$664</f>
        <v>65822.554484992928</v>
      </c>
      <c r="P664" s="57"/>
      <c r="Q664" s="57"/>
      <c r="R664" s="57"/>
      <c r="S664" s="57"/>
      <c r="T664" s="57"/>
      <c r="U664" s="57"/>
      <c r="V664" s="57"/>
      <c r="W664" s="57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53" t="s">
        <v>27</v>
      </c>
      <c r="B665" s="53" t="s">
        <v>22</v>
      </c>
      <c r="C665" s="53" t="s">
        <v>23</v>
      </c>
      <c r="D665" s="53" t="s">
        <v>24</v>
      </c>
      <c r="E665" s="53" t="s">
        <v>29</v>
      </c>
      <c r="F665" s="53" t="s">
        <v>25</v>
      </c>
      <c r="G665" s="53" t="s">
        <v>25</v>
      </c>
      <c r="H665" s="53" t="s">
        <v>25</v>
      </c>
      <c r="I665" s="75">
        <v>44531</v>
      </c>
      <c r="J665" s="76">
        <f>EFEITO!$J$665*EFEITO!$Y$610</f>
        <v>0</v>
      </c>
      <c r="K665" s="76">
        <f ca="1">EFEITO!$L$665*EFEITO!$Z$756</f>
        <v>216.67115227307812</v>
      </c>
      <c r="L665" s="76">
        <f>EFEITO!$N$665*EFEITO!$AA$756</f>
        <v>239.96556502002525</v>
      </c>
      <c r="M665" s="76">
        <f>$J$665-EFEITO!$K$665*EFEITO!$Y$665</f>
        <v>0</v>
      </c>
      <c r="N665" s="76">
        <f ca="1">$K$665-EFEITO!$M$665*EFEITO!$Z$665</f>
        <v>140.83624897750079</v>
      </c>
      <c r="O665" s="76">
        <f>$L$665-EFEITO!$O$665*EFEITO!$AA$665</f>
        <v>155.97761726301641</v>
      </c>
      <c r="P665" s="57"/>
      <c r="Q665" s="57"/>
      <c r="R665" s="57"/>
      <c r="S665" s="57"/>
      <c r="T665" s="57"/>
      <c r="U665" s="57"/>
      <c r="V665" s="57"/>
      <c r="W665" s="57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53" t="s">
        <v>28</v>
      </c>
      <c r="B666" s="53" t="s">
        <v>22</v>
      </c>
      <c r="C666" s="53" t="s">
        <v>23</v>
      </c>
      <c r="D666" s="53" t="s">
        <v>24</v>
      </c>
      <c r="E666" s="53" t="s">
        <v>29</v>
      </c>
      <c r="F666" s="53" t="s">
        <v>25</v>
      </c>
      <c r="G666" s="53" t="s">
        <v>25</v>
      </c>
      <c r="H666" s="53" t="s">
        <v>25</v>
      </c>
      <c r="I666" s="75">
        <v>44531</v>
      </c>
      <c r="J666" s="76">
        <f>EFEITO!$J$666*EFEITO!$Y$610</f>
        <v>0</v>
      </c>
      <c r="K666" s="76">
        <f ca="1">EFEITO!$L$666*EFEITO!$Z$756</f>
        <v>1412.6959128204694</v>
      </c>
      <c r="L666" s="76">
        <f>EFEITO!$N$666*EFEITO!$AA$756</f>
        <v>1564.5754839305646</v>
      </c>
      <c r="M666" s="76">
        <f>$J$666-EFEITO!$K$666*EFEITO!$Y$666</f>
        <v>0</v>
      </c>
      <c r="N666" s="76">
        <f ca="1">$K$666-EFEITO!$M$666*EFEITO!$Z$666</f>
        <v>918.25234333330513</v>
      </c>
      <c r="O666" s="76">
        <f>$L$666-EFEITO!$O$666*EFEITO!$AA$666</f>
        <v>1016.974064554867</v>
      </c>
      <c r="P666" s="57"/>
      <c r="Q666" s="57"/>
      <c r="R666" s="57"/>
      <c r="S666" s="57"/>
      <c r="T666" s="57"/>
      <c r="U666" s="57"/>
      <c r="V666" s="57"/>
      <c r="W666" s="57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53" t="s">
        <v>28</v>
      </c>
      <c r="B667" s="53" t="s">
        <v>22</v>
      </c>
      <c r="C667" s="53" t="s">
        <v>23</v>
      </c>
      <c r="D667" s="53" t="s">
        <v>24</v>
      </c>
      <c r="E667" s="53" t="s">
        <v>29</v>
      </c>
      <c r="F667" s="53" t="s">
        <v>25</v>
      </c>
      <c r="G667" s="53" t="s">
        <v>25</v>
      </c>
      <c r="H667" s="53" t="s">
        <v>25</v>
      </c>
      <c r="I667" s="75">
        <v>44531</v>
      </c>
      <c r="J667" s="76">
        <f>EFEITO!$J$667*EFEITO!$Y$610</f>
        <v>0</v>
      </c>
      <c r="K667" s="76">
        <f ca="1">EFEITO!$L$667*EFEITO!$Z$756</f>
        <v>8.6668460909231246</v>
      </c>
      <c r="L667" s="76">
        <f>EFEITO!$N$667*EFEITO!$AA$756</f>
        <v>9.5986226008010096</v>
      </c>
      <c r="M667" s="76">
        <f>$J$667-EFEITO!$K$667*EFEITO!$Y$667</f>
        <v>0</v>
      </c>
      <c r="N667" s="76">
        <f ca="1">$K$667-EFEITO!$M$667*EFEITO!$Z$667</f>
        <v>5.6334499591000311</v>
      </c>
      <c r="O667" s="76">
        <f>$L$667-EFEITO!$O$667*EFEITO!$AA$667</f>
        <v>6.2391046905206569</v>
      </c>
      <c r="P667" s="57"/>
      <c r="Q667" s="57"/>
      <c r="R667" s="57"/>
      <c r="S667" s="57"/>
      <c r="T667" s="57"/>
      <c r="U667" s="57"/>
      <c r="V667" s="57"/>
      <c r="W667" s="57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53" t="s">
        <v>21</v>
      </c>
      <c r="B668" s="53" t="s">
        <v>22</v>
      </c>
      <c r="C668" s="53" t="s">
        <v>23</v>
      </c>
      <c r="D668" s="53" t="s">
        <v>24</v>
      </c>
      <c r="E668" s="53" t="s">
        <v>29</v>
      </c>
      <c r="F668" s="53" t="s">
        <v>25</v>
      </c>
      <c r="G668" s="53" t="s">
        <v>25</v>
      </c>
      <c r="H668" s="53" t="s">
        <v>25</v>
      </c>
      <c r="I668" s="75">
        <v>44562</v>
      </c>
      <c r="J668" s="76">
        <f>EFEITO!$J$668*EFEITO!$Y$610</f>
        <v>0</v>
      </c>
      <c r="K668" s="76">
        <f ca="1">EFEITO!$L$668*EFEITO!$Z$756</f>
        <v>93151.261785241746</v>
      </c>
      <c r="L668" s="76">
        <f>EFEITO!$N$668*EFEITO!$AA$756</f>
        <v>103165.99571340925</v>
      </c>
      <c r="M668" s="76">
        <f>$J$668-EFEITO!$K$668*EFEITO!$Y$668</f>
        <v>0</v>
      </c>
      <c r="N668" s="76">
        <f ca="1">$K$668-EFEITO!$M$668*EFEITO!$Z$668</f>
        <v>60548.320160407136</v>
      </c>
      <c r="O668" s="76">
        <f>$L$668-EFEITO!$O$668*EFEITO!$AA$668</f>
        <v>67057.897213716016</v>
      </c>
      <c r="P668" s="57"/>
      <c r="Q668" s="57"/>
      <c r="R668" s="57"/>
      <c r="S668" s="57"/>
      <c r="T668" s="57"/>
      <c r="U668" s="57"/>
      <c r="V668" s="57"/>
      <c r="W668" s="57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53" t="s">
        <v>27</v>
      </c>
      <c r="B669" s="53" t="s">
        <v>22</v>
      </c>
      <c r="C669" s="53" t="s">
        <v>23</v>
      </c>
      <c r="D669" s="53" t="s">
        <v>24</v>
      </c>
      <c r="E669" s="53" t="s">
        <v>29</v>
      </c>
      <c r="F669" s="53" t="s">
        <v>25</v>
      </c>
      <c r="G669" s="53" t="s">
        <v>25</v>
      </c>
      <c r="H669" s="53" t="s">
        <v>25</v>
      </c>
      <c r="I669" s="75">
        <v>44562</v>
      </c>
      <c r="J669" s="76">
        <f>EFEITO!$J$669*EFEITO!$Y$610</f>
        <v>0</v>
      </c>
      <c r="K669" s="76">
        <f ca="1">EFEITO!$L$669*EFEITO!$Z$756</f>
        <v>69.334768727384997</v>
      </c>
      <c r="L669" s="76">
        <f>EFEITO!$N$669*EFEITO!$AA$756</f>
        <v>76.788980806408077</v>
      </c>
      <c r="M669" s="76">
        <f>$J$669-EFEITO!$K$669*EFEITO!$Y$669</f>
        <v>0</v>
      </c>
      <c r="N669" s="76">
        <f ca="1">$K$669-EFEITO!$M$669*EFEITO!$Z$669</f>
        <v>45.067599672800249</v>
      </c>
      <c r="O669" s="76">
        <f>$L$669-EFEITO!$O$669*EFEITO!$AA$669</f>
        <v>49.912837524165255</v>
      </c>
      <c r="P669" s="57"/>
      <c r="Q669" s="57"/>
      <c r="R669" s="57"/>
      <c r="S669" s="57"/>
      <c r="T669" s="57"/>
      <c r="U669" s="57"/>
      <c r="V669" s="57"/>
      <c r="W669" s="57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53" t="s">
        <v>28</v>
      </c>
      <c r="B670" s="53" t="s">
        <v>22</v>
      </c>
      <c r="C670" s="53" t="s">
        <v>23</v>
      </c>
      <c r="D670" s="53" t="s">
        <v>24</v>
      </c>
      <c r="E670" s="53" t="s">
        <v>29</v>
      </c>
      <c r="F670" s="53" t="s">
        <v>25</v>
      </c>
      <c r="G670" s="53" t="s">
        <v>25</v>
      </c>
      <c r="H670" s="53" t="s">
        <v>25</v>
      </c>
      <c r="I670" s="75">
        <v>44562</v>
      </c>
      <c r="J670" s="76">
        <f>EFEITO!$J$670*EFEITO!$Y$610</f>
        <v>0</v>
      </c>
      <c r="K670" s="76">
        <f ca="1">EFEITO!$L$670*EFEITO!$Z$756</f>
        <v>1473.3638354569312</v>
      </c>
      <c r="L670" s="76">
        <f>EFEITO!$N$670*EFEITO!$AA$756</f>
        <v>1631.7658421361716</v>
      </c>
      <c r="M670" s="76">
        <f>$J$670-EFEITO!$K$670*EFEITO!$Y$670</f>
        <v>0</v>
      </c>
      <c r="N670" s="76">
        <f ca="1">$K$670-EFEITO!$M$670*EFEITO!$Z$670</f>
        <v>957.68649304700523</v>
      </c>
      <c r="O670" s="76">
        <f>$L$670-EFEITO!$O$670*EFEITO!$AA$670</f>
        <v>1060.6477973885117</v>
      </c>
      <c r="P670" s="57"/>
      <c r="Q670" s="57"/>
      <c r="R670" s="57"/>
      <c r="S670" s="57"/>
      <c r="T670" s="57"/>
      <c r="U670" s="57"/>
      <c r="V670" s="57"/>
      <c r="W670" s="57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53" t="s">
        <v>21</v>
      </c>
      <c r="B671" s="53" t="s">
        <v>22</v>
      </c>
      <c r="C671" s="53" t="s">
        <v>23</v>
      </c>
      <c r="D671" s="53" t="s">
        <v>24</v>
      </c>
      <c r="E671" s="53" t="s">
        <v>29</v>
      </c>
      <c r="F671" s="53" t="s">
        <v>25</v>
      </c>
      <c r="G671" s="53" t="s">
        <v>25</v>
      </c>
      <c r="H671" s="53" t="s">
        <v>25</v>
      </c>
      <c r="I671" s="75">
        <v>44593</v>
      </c>
      <c r="J671" s="76">
        <f>EFEITO!$J$671*EFEITO!$Y$610</f>
        <v>0</v>
      </c>
      <c r="K671" s="76">
        <f ca="1">EFEITO!$L$671*EFEITO!$Z$756</f>
        <v>95343.973846245295</v>
      </c>
      <c r="L671" s="76">
        <f>EFEITO!$N$671*EFEITO!$AA$756</f>
        <v>105594.4472314119</v>
      </c>
      <c r="M671" s="76">
        <f>$J$671-EFEITO!$K$671*EFEITO!$Y$671</f>
        <v>0</v>
      </c>
      <c r="N671" s="76">
        <f ca="1">$K$671-EFEITO!$M$671*EFEITO!$Z$671</f>
        <v>61973.583000059443</v>
      </c>
      <c r="O671" s="76">
        <f>$L$671-EFEITO!$O$671*EFEITO!$AA$671</f>
        <v>68636.390700417745</v>
      </c>
      <c r="P671" s="57"/>
      <c r="Q671" s="57"/>
      <c r="R671" s="57"/>
      <c r="S671" s="57"/>
      <c r="T671" s="57"/>
      <c r="U671" s="57"/>
      <c r="V671" s="57"/>
      <c r="W671" s="57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53" t="s">
        <v>27</v>
      </c>
      <c r="B672" s="53" t="s">
        <v>22</v>
      </c>
      <c r="C672" s="53" t="s">
        <v>23</v>
      </c>
      <c r="D672" s="53" t="s">
        <v>24</v>
      </c>
      <c r="E672" s="53" t="s">
        <v>29</v>
      </c>
      <c r="F672" s="53" t="s">
        <v>25</v>
      </c>
      <c r="G672" s="53" t="s">
        <v>25</v>
      </c>
      <c r="H672" s="53" t="s">
        <v>25</v>
      </c>
      <c r="I672" s="75">
        <v>44593</v>
      </c>
      <c r="J672" s="76">
        <f>EFEITO!$J$672*EFEITO!$Y$610</f>
        <v>0</v>
      </c>
      <c r="K672" s="76">
        <f ca="1">EFEITO!$L$672*EFEITO!$Z$756</f>
        <v>43.334230454615629</v>
      </c>
      <c r="L672" s="76">
        <f>EFEITO!$N$672*EFEITO!$AA$756</f>
        <v>47.993113004005046</v>
      </c>
      <c r="M672" s="76">
        <f>$J$672-EFEITO!$K$672*EFEITO!$Y$672</f>
        <v>0</v>
      </c>
      <c r="N672" s="76">
        <f ca="1">$K$672-EFEITO!$M$672*EFEITO!$Z$672</f>
        <v>28.167249795500162</v>
      </c>
      <c r="O672" s="76">
        <f>$L$672-EFEITO!$O$672*EFEITO!$AA$672</f>
        <v>31.195523452603279</v>
      </c>
      <c r="P672" s="57"/>
      <c r="Q672" s="57"/>
      <c r="R672" s="57"/>
      <c r="S672" s="57"/>
      <c r="T672" s="57"/>
      <c r="U672" s="57"/>
      <c r="V672" s="57"/>
      <c r="W672" s="57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53" t="s">
        <v>28</v>
      </c>
      <c r="B673" s="53" t="s">
        <v>22</v>
      </c>
      <c r="C673" s="53" t="s">
        <v>23</v>
      </c>
      <c r="D673" s="53" t="s">
        <v>24</v>
      </c>
      <c r="E673" s="53" t="s">
        <v>29</v>
      </c>
      <c r="F673" s="53" t="s">
        <v>25</v>
      </c>
      <c r="G673" s="53" t="s">
        <v>25</v>
      </c>
      <c r="H673" s="53" t="s">
        <v>25</v>
      </c>
      <c r="I673" s="75">
        <v>44593</v>
      </c>
      <c r="J673" s="76">
        <f>EFEITO!$J$673*EFEITO!$Y$610</f>
        <v>0</v>
      </c>
      <c r="K673" s="76">
        <f ca="1">EFEITO!$L$673*EFEITO!$Z$756</f>
        <v>1464.6969893660082</v>
      </c>
      <c r="L673" s="76">
        <f>EFEITO!$N$673*EFEITO!$AA$756</f>
        <v>1622.1672195353708</v>
      </c>
      <c r="M673" s="76">
        <f>$J$673-EFEITO!$K$673*EFEITO!$Y$673</f>
        <v>0</v>
      </c>
      <c r="N673" s="76">
        <f ca="1">$K$673-EFEITO!$M$673*EFEITO!$Z$673</f>
        <v>952.05304308790539</v>
      </c>
      <c r="O673" s="76">
        <f>$L$673-EFEITO!$O$673*EFEITO!$AA$673</f>
        <v>1054.408692697991</v>
      </c>
      <c r="P673" s="57"/>
      <c r="Q673" s="57"/>
      <c r="R673" s="57"/>
      <c r="S673" s="57"/>
      <c r="T673" s="57"/>
      <c r="U673" s="57"/>
      <c r="V673" s="57"/>
      <c r="W673" s="57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53" t="s">
        <v>21</v>
      </c>
      <c r="B674" s="53" t="s">
        <v>22</v>
      </c>
      <c r="C674" s="53" t="s">
        <v>23</v>
      </c>
      <c r="D674" s="53" t="s">
        <v>24</v>
      </c>
      <c r="E674" s="53" t="s">
        <v>29</v>
      </c>
      <c r="F674" s="53" t="s">
        <v>25</v>
      </c>
      <c r="G674" s="53" t="s">
        <v>25</v>
      </c>
      <c r="H674" s="53" t="s">
        <v>25</v>
      </c>
      <c r="I674" s="75">
        <v>44621</v>
      </c>
      <c r="J674" s="76">
        <f>EFEITO!$J$674*EFEITO!$Y$610</f>
        <v>0</v>
      </c>
      <c r="K674" s="76">
        <f ca="1">EFEITO!$L$674*EFEITO!$Z$756</f>
        <v>114896.37862736787</v>
      </c>
      <c r="L674" s="76">
        <f>EFEITO!$N$674*EFEITO!$AA$756</f>
        <v>127248.93981881898</v>
      </c>
      <c r="M674" s="76">
        <f>$J$674-EFEITO!$K$674*EFEITO!$Y$674</f>
        <v>0</v>
      </c>
      <c r="N674" s="76">
        <f ca="1">$K$674-EFEITO!$M$674*EFEITO!$Z$674</f>
        <v>74682.646107789129</v>
      </c>
      <c r="O674" s="76">
        <f>$L$674-EFEITO!$O$674*EFEITO!$AA$674</f>
        <v>82711.810882232327</v>
      </c>
      <c r="P674" s="57"/>
      <c r="Q674" s="57"/>
      <c r="R674" s="57"/>
      <c r="S674" s="57"/>
      <c r="T674" s="57"/>
      <c r="U674" s="57"/>
      <c r="V674" s="57"/>
      <c r="W674" s="57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53" t="s">
        <v>27</v>
      </c>
      <c r="B675" s="53" t="s">
        <v>22</v>
      </c>
      <c r="C675" s="53" t="s">
        <v>23</v>
      </c>
      <c r="D675" s="53" t="s">
        <v>24</v>
      </c>
      <c r="E675" s="53" t="s">
        <v>29</v>
      </c>
      <c r="F675" s="53" t="s">
        <v>25</v>
      </c>
      <c r="G675" s="53" t="s">
        <v>25</v>
      </c>
      <c r="H675" s="53" t="s">
        <v>25</v>
      </c>
      <c r="I675" s="75">
        <v>44621</v>
      </c>
      <c r="J675" s="76">
        <f>EFEITO!$J$675*EFEITO!$Y$610</f>
        <v>0</v>
      </c>
      <c r="K675" s="76">
        <f ca="1">EFEITO!$L$675*EFEITO!$Z$756</f>
        <v>78.001614818308127</v>
      </c>
      <c r="L675" s="76">
        <f>EFEITO!$N$675*EFEITO!$AA$756</f>
        <v>86.387603407209099</v>
      </c>
      <c r="M675" s="76">
        <f>$J$675-EFEITO!$K$675*EFEITO!$Y$675</f>
        <v>0</v>
      </c>
      <c r="N675" s="76">
        <f ca="1">$K$675-EFEITO!$M$675*EFEITO!$Z$675</f>
        <v>50.701049631900283</v>
      </c>
      <c r="O675" s="76">
        <f>$L$675-EFEITO!$O$675*EFEITO!$AA$675</f>
        <v>56.151942214685917</v>
      </c>
      <c r="P675" s="57"/>
      <c r="Q675" s="57"/>
      <c r="R675" s="57"/>
      <c r="S675" s="57"/>
      <c r="T675" s="57"/>
      <c r="U675" s="57"/>
      <c r="V675" s="57"/>
      <c r="W675" s="57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53" t="s">
        <v>28</v>
      </c>
      <c r="B676" s="53" t="s">
        <v>22</v>
      </c>
      <c r="C676" s="53" t="s">
        <v>23</v>
      </c>
      <c r="D676" s="53" t="s">
        <v>24</v>
      </c>
      <c r="E676" s="53" t="s">
        <v>29</v>
      </c>
      <c r="F676" s="53" t="s">
        <v>25</v>
      </c>
      <c r="G676" s="53" t="s">
        <v>25</v>
      </c>
      <c r="H676" s="53" t="s">
        <v>25</v>
      </c>
      <c r="I676" s="75">
        <v>44621</v>
      </c>
      <c r="J676" s="76">
        <f>EFEITO!$J$676*EFEITO!$Y$610</f>
        <v>0</v>
      </c>
      <c r="K676" s="76">
        <f ca="1">EFEITO!$L$676*EFEITO!$Z$756</f>
        <v>1629.3670650935476</v>
      </c>
      <c r="L676" s="76">
        <f>EFEITO!$N$676*EFEITO!$AA$756</f>
        <v>1804.5410489505898</v>
      </c>
      <c r="M676" s="76">
        <f>$J$676-EFEITO!$K$676*EFEITO!$Y$676</f>
        <v>0</v>
      </c>
      <c r="N676" s="76">
        <f ca="1">$K$676-EFEITO!$M$676*EFEITO!$Z$676</f>
        <v>1059.088592310806</v>
      </c>
      <c r="O676" s="76">
        <f>$L$676-EFEITO!$O$676*EFEITO!$AA$676</f>
        <v>1172.9516818178834</v>
      </c>
      <c r="P676" s="57"/>
      <c r="Q676" s="57"/>
      <c r="R676" s="57"/>
      <c r="S676" s="57"/>
      <c r="T676" s="57"/>
      <c r="U676" s="57"/>
      <c r="V676" s="57"/>
      <c r="W676" s="57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53" t="s">
        <v>21</v>
      </c>
      <c r="B677" s="53" t="s">
        <v>22</v>
      </c>
      <c r="C677" s="53" t="s">
        <v>23</v>
      </c>
      <c r="D677" s="53" t="s">
        <v>24</v>
      </c>
      <c r="E677" s="53" t="s">
        <v>29</v>
      </c>
      <c r="F677" s="53" t="s">
        <v>25</v>
      </c>
      <c r="G677" s="53" t="s">
        <v>25</v>
      </c>
      <c r="H677" s="53" t="s">
        <v>25</v>
      </c>
      <c r="I677" s="75">
        <v>44652</v>
      </c>
      <c r="J677" s="76">
        <f>EFEITO!$J$677*EFEITO!$Y$610</f>
        <v>0</v>
      </c>
      <c r="K677" s="76">
        <f ca="1">EFEITO!$L$677*EFEITO!$Z$756</f>
        <v>116933.08745873481</v>
      </c>
      <c r="L677" s="76">
        <f>EFEITO!$N$677*EFEITO!$AA$756</f>
        <v>129504.61613000723</v>
      </c>
      <c r="M677" s="76">
        <f>$J$677-EFEITO!$K$677*EFEITO!$Y$677</f>
        <v>0</v>
      </c>
      <c r="N677" s="76">
        <f ca="1">$K$677-EFEITO!$M$677*EFEITO!$Z$677</f>
        <v>76006.50684817764</v>
      </c>
      <c r="O677" s="76">
        <f>$L$677-EFEITO!$O$677*EFEITO!$AA$677</f>
        <v>84178.000484504708</v>
      </c>
      <c r="P677" s="57"/>
      <c r="Q677" s="57"/>
      <c r="R677" s="57"/>
      <c r="S677" s="57"/>
      <c r="T677" s="57"/>
      <c r="U677" s="57"/>
      <c r="V677" s="57"/>
      <c r="W677" s="57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53" t="s">
        <v>27</v>
      </c>
      <c r="B678" s="53" t="s">
        <v>22</v>
      </c>
      <c r="C678" s="53" t="s">
        <v>23</v>
      </c>
      <c r="D678" s="53" t="s">
        <v>24</v>
      </c>
      <c r="E678" s="53" t="s">
        <v>29</v>
      </c>
      <c r="F678" s="53" t="s">
        <v>25</v>
      </c>
      <c r="G678" s="53" t="s">
        <v>25</v>
      </c>
      <c r="H678" s="53" t="s">
        <v>25</v>
      </c>
      <c r="I678" s="75">
        <v>44652</v>
      </c>
      <c r="J678" s="76">
        <f>EFEITO!$J$678*EFEITO!$Y$610</f>
        <v>0</v>
      </c>
      <c r="K678" s="76">
        <f ca="1">EFEITO!$L$678*EFEITO!$Z$756</f>
        <v>52.001076545538751</v>
      </c>
      <c r="L678" s="76">
        <f>EFEITO!$N$678*EFEITO!$AA$756</f>
        <v>57.591735604806061</v>
      </c>
      <c r="M678" s="76">
        <f>$J$678-EFEITO!$K$678*EFEITO!$Y$678</f>
        <v>0</v>
      </c>
      <c r="N678" s="76">
        <f ca="1">$K$678-EFEITO!$M$678*EFEITO!$Z$678</f>
        <v>33.800699754600188</v>
      </c>
      <c r="O678" s="76">
        <f>$L$678-EFEITO!$O$678*EFEITO!$AA$678</f>
        <v>37.434628143123945</v>
      </c>
      <c r="P678" s="57"/>
      <c r="Q678" s="57"/>
      <c r="R678" s="57"/>
      <c r="S678" s="57"/>
      <c r="T678" s="57"/>
      <c r="U678" s="57"/>
      <c r="V678" s="57"/>
      <c r="W678" s="57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53" t="s">
        <v>28</v>
      </c>
      <c r="B679" s="53" t="s">
        <v>22</v>
      </c>
      <c r="C679" s="53" t="s">
        <v>23</v>
      </c>
      <c r="D679" s="53" t="s">
        <v>24</v>
      </c>
      <c r="E679" s="53" t="s">
        <v>29</v>
      </c>
      <c r="F679" s="53" t="s">
        <v>25</v>
      </c>
      <c r="G679" s="53" t="s">
        <v>25</v>
      </c>
      <c r="H679" s="53" t="s">
        <v>25</v>
      </c>
      <c r="I679" s="75">
        <v>44652</v>
      </c>
      <c r="J679" s="76">
        <f>EFEITO!$J$679*EFEITO!$Y$610</f>
        <v>0</v>
      </c>
      <c r="K679" s="76">
        <f ca="1">EFEITO!$L$679*EFEITO!$Z$756</f>
        <v>1577.3659885480088</v>
      </c>
      <c r="L679" s="76">
        <f>EFEITO!$N$679*EFEITO!$AA$756</f>
        <v>1746.9493133457838</v>
      </c>
      <c r="M679" s="76">
        <f>$J$679-EFEITO!$K$679*EFEITO!$Y$679</f>
        <v>0</v>
      </c>
      <c r="N679" s="76">
        <f ca="1">$K$679-EFEITO!$M$679*EFEITO!$Z$679</f>
        <v>1025.2878925562059</v>
      </c>
      <c r="O679" s="76">
        <f>$L$679-EFEITO!$O$679*EFEITO!$AA$679</f>
        <v>1135.5170536747596</v>
      </c>
      <c r="P679" s="57"/>
      <c r="Q679" s="57"/>
      <c r="R679" s="57"/>
      <c r="S679" s="57"/>
      <c r="T679" s="57"/>
      <c r="U679" s="57"/>
      <c r="V679" s="57"/>
      <c r="W679" s="57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53" t="s">
        <v>21</v>
      </c>
      <c r="B680" s="53" t="s">
        <v>22</v>
      </c>
      <c r="C680" s="53" t="s">
        <v>23</v>
      </c>
      <c r="D680" s="53" t="s">
        <v>24</v>
      </c>
      <c r="E680" s="53" t="s">
        <v>29</v>
      </c>
      <c r="F680" s="53" t="s">
        <v>25</v>
      </c>
      <c r="G680" s="53" t="s">
        <v>25</v>
      </c>
      <c r="H680" s="53" t="s">
        <v>25</v>
      </c>
      <c r="I680" s="75">
        <v>44682</v>
      </c>
      <c r="J680" s="76">
        <f>EFEITO!$J$680*EFEITO!$Y$610</f>
        <v>0</v>
      </c>
      <c r="K680" s="76">
        <f ca="1">EFEITO!$L$680*EFEITO!$Z$756</f>
        <v>107884.90013981107</v>
      </c>
      <c r="L680" s="76">
        <f>EFEITO!$N$680*EFEITO!$AA$756</f>
        <v>119483.65413477097</v>
      </c>
      <c r="M680" s="76">
        <f>$J$680-EFEITO!$K$680*EFEITO!$Y$680</f>
        <v>0</v>
      </c>
      <c r="N680" s="76">
        <f ca="1">$K$680-EFEITO!$M$680*EFEITO!$Z$680</f>
        <v>70125.185090877203</v>
      </c>
      <c r="O680" s="76">
        <f>$L$680-EFEITO!$O$680*EFEITO!$AA$680</f>
        <v>77664.375187601137</v>
      </c>
      <c r="P680" s="57"/>
      <c r="Q680" s="57"/>
      <c r="R680" s="57"/>
      <c r="S680" s="57"/>
      <c r="T680" s="57"/>
      <c r="U680" s="57"/>
      <c r="V680" s="57"/>
      <c r="W680" s="57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53" t="s">
        <v>27</v>
      </c>
      <c r="B681" s="53" t="s">
        <v>22</v>
      </c>
      <c r="C681" s="53" t="s">
        <v>23</v>
      </c>
      <c r="D681" s="53" t="s">
        <v>24</v>
      </c>
      <c r="E681" s="53" t="s">
        <v>29</v>
      </c>
      <c r="F681" s="53" t="s">
        <v>25</v>
      </c>
      <c r="G681" s="53" t="s">
        <v>25</v>
      </c>
      <c r="H681" s="53" t="s">
        <v>25</v>
      </c>
      <c r="I681" s="75">
        <v>44682</v>
      </c>
      <c r="J681" s="76">
        <f>EFEITO!$J$681*EFEITO!$Y$610</f>
        <v>0</v>
      </c>
      <c r="K681" s="76">
        <f ca="1">EFEITO!$L$681*EFEITO!$Z$756</f>
        <v>34.667384363692499</v>
      </c>
      <c r="L681" s="76">
        <f>EFEITO!$N$681*EFEITO!$AA$756</f>
        <v>38.394490403204038</v>
      </c>
      <c r="M681" s="76">
        <f>$J$681-EFEITO!$K$681*EFEITO!$Y$681</f>
        <v>0</v>
      </c>
      <c r="N681" s="76">
        <f ca="1">$K$681-EFEITO!$M$681*EFEITO!$Z$681</f>
        <v>22.533799836400124</v>
      </c>
      <c r="O681" s="76">
        <f>$L$681-EFEITO!$O$681*EFEITO!$AA$681</f>
        <v>24.956418762082627</v>
      </c>
      <c r="P681" s="57"/>
      <c r="Q681" s="57"/>
      <c r="R681" s="57"/>
      <c r="S681" s="57"/>
      <c r="T681" s="57"/>
      <c r="U681" s="57"/>
      <c r="V681" s="57"/>
      <c r="W681" s="57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53" t="s">
        <v>28</v>
      </c>
      <c r="B682" s="53" t="s">
        <v>22</v>
      </c>
      <c r="C682" s="53" t="s">
        <v>23</v>
      </c>
      <c r="D682" s="53" t="s">
        <v>24</v>
      </c>
      <c r="E682" s="53" t="s">
        <v>29</v>
      </c>
      <c r="F682" s="53" t="s">
        <v>25</v>
      </c>
      <c r="G682" s="53" t="s">
        <v>25</v>
      </c>
      <c r="H682" s="53" t="s">
        <v>25</v>
      </c>
      <c r="I682" s="75">
        <v>44682</v>
      </c>
      <c r="J682" s="76">
        <f>EFEITO!$J$682*EFEITO!$Y$610</f>
        <v>0</v>
      </c>
      <c r="K682" s="76">
        <f ca="1">EFEITO!$L$682*EFEITO!$Z$756</f>
        <v>1421.3627589113926</v>
      </c>
      <c r="L682" s="76">
        <f>EFEITO!$N$682*EFEITO!$AA$756</f>
        <v>1574.1741065313656</v>
      </c>
      <c r="M682" s="76">
        <f>$J$682-EFEITO!$K$682*EFEITO!$Y$682</f>
        <v>0</v>
      </c>
      <c r="N682" s="76">
        <f ca="1">$K$682-EFEITO!$M$682*EFEITO!$Z$682</f>
        <v>923.8857932924052</v>
      </c>
      <c r="O682" s="76">
        <f>$L$682-EFEITO!$O$682*EFEITO!$AA$682</f>
        <v>1023.2131692453877</v>
      </c>
      <c r="P682" s="57"/>
      <c r="Q682" s="57"/>
      <c r="R682" s="57"/>
      <c r="S682" s="57"/>
      <c r="T682" s="57"/>
      <c r="U682" s="57"/>
      <c r="V682" s="57"/>
      <c r="W682" s="57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53" t="s">
        <v>21</v>
      </c>
      <c r="B683" s="53" t="s">
        <v>22</v>
      </c>
      <c r="C683" s="53" t="s">
        <v>23</v>
      </c>
      <c r="D683" s="53" t="s">
        <v>24</v>
      </c>
      <c r="E683" s="53" t="s">
        <v>29</v>
      </c>
      <c r="F683" s="53" t="s">
        <v>25</v>
      </c>
      <c r="G683" s="53" t="s">
        <v>25</v>
      </c>
      <c r="H683" s="53" t="s">
        <v>25</v>
      </c>
      <c r="I683" s="75">
        <v>44713</v>
      </c>
      <c r="J683" s="76">
        <f>EFEITO!$J$683*EFEITO!$Y$610</f>
        <v>0</v>
      </c>
      <c r="K683" s="76">
        <f ca="1">EFEITO!$L$683*EFEITO!$Z$756</f>
        <v>113700.35386682049</v>
      </c>
      <c r="L683" s="76">
        <f>EFEITO!$N$683*EFEITO!$AA$756</f>
        <v>125924.32989990845</v>
      </c>
      <c r="M683" s="76">
        <f>$J$683-EFEITO!$K$683*EFEITO!$Y$683</f>
        <v>0</v>
      </c>
      <c r="N683" s="76">
        <f ca="1">$K$683-EFEITO!$M$683*EFEITO!$Z$683</f>
        <v>73905.23001343332</v>
      </c>
      <c r="O683" s="76">
        <f>$L$683-EFEITO!$O$683*EFEITO!$AA$683</f>
        <v>81850.81443494049</v>
      </c>
      <c r="P683" s="57"/>
      <c r="Q683" s="57"/>
      <c r="R683" s="57"/>
      <c r="S683" s="57"/>
      <c r="T683" s="57"/>
      <c r="U683" s="57"/>
      <c r="V683" s="57"/>
      <c r="W683" s="57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53" t="s">
        <v>27</v>
      </c>
      <c r="B684" s="53" t="s">
        <v>22</v>
      </c>
      <c r="C684" s="53" t="s">
        <v>23</v>
      </c>
      <c r="D684" s="53" t="s">
        <v>24</v>
      </c>
      <c r="E684" s="53" t="s">
        <v>29</v>
      </c>
      <c r="F684" s="53" t="s">
        <v>25</v>
      </c>
      <c r="G684" s="53" t="s">
        <v>25</v>
      </c>
      <c r="H684" s="53" t="s">
        <v>25</v>
      </c>
      <c r="I684" s="75">
        <v>44713</v>
      </c>
      <c r="J684" s="76">
        <f>EFEITO!$J$684*EFEITO!$Y$610</f>
        <v>0</v>
      </c>
      <c r="K684" s="76">
        <f ca="1">EFEITO!$L$684*EFEITO!$Z$756</f>
        <v>34.667384363692499</v>
      </c>
      <c r="L684" s="76">
        <f>EFEITO!$N$684*EFEITO!$AA$756</f>
        <v>38.394490403204038</v>
      </c>
      <c r="M684" s="76">
        <f>$J$684-EFEITO!$K$684*EFEITO!$Y$684</f>
        <v>0</v>
      </c>
      <c r="N684" s="76">
        <f ca="1">$K$684-EFEITO!$M$684*EFEITO!$Z$684</f>
        <v>22.533799836400124</v>
      </c>
      <c r="O684" s="76">
        <f>$L$684-EFEITO!$O$684*EFEITO!$AA$684</f>
        <v>24.956418762082627</v>
      </c>
      <c r="P684" s="57"/>
      <c r="Q684" s="57"/>
      <c r="R684" s="57"/>
      <c r="S684" s="57"/>
      <c r="T684" s="57"/>
      <c r="U684" s="57"/>
      <c r="V684" s="57"/>
      <c r="W684" s="57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53" t="s">
        <v>28</v>
      </c>
      <c r="B685" s="53" t="s">
        <v>22</v>
      </c>
      <c r="C685" s="53" t="s">
        <v>23</v>
      </c>
      <c r="D685" s="53" t="s">
        <v>24</v>
      </c>
      <c r="E685" s="53" t="s">
        <v>29</v>
      </c>
      <c r="F685" s="53" t="s">
        <v>25</v>
      </c>
      <c r="G685" s="53" t="s">
        <v>25</v>
      </c>
      <c r="H685" s="53" t="s">
        <v>25</v>
      </c>
      <c r="I685" s="75">
        <v>44713</v>
      </c>
      <c r="J685" s="76">
        <f>EFEITO!$J$685*EFEITO!$Y$610</f>
        <v>0</v>
      </c>
      <c r="K685" s="76">
        <f ca="1">EFEITO!$L$685*EFEITO!$Z$756</f>
        <v>1516.698065911547</v>
      </c>
      <c r="L685" s="76">
        <f>EFEITO!$N$685*EFEITO!$AA$756</f>
        <v>1679.7589551401768</v>
      </c>
      <c r="M685" s="76">
        <f>$J$685-EFEITO!$K$685*EFEITO!$Y$685</f>
        <v>0</v>
      </c>
      <c r="N685" s="76">
        <f ca="1">$K$685-EFEITO!$M$685*EFEITO!$Z$685</f>
        <v>985.85374284250565</v>
      </c>
      <c r="O685" s="76">
        <f>$L$685-EFEITO!$O$685*EFEITO!$AA$685</f>
        <v>1091.843320841115</v>
      </c>
      <c r="P685" s="57"/>
      <c r="Q685" s="57"/>
      <c r="R685" s="57"/>
      <c r="S685" s="57"/>
      <c r="T685" s="57"/>
      <c r="U685" s="57"/>
      <c r="V685" s="57"/>
      <c r="W685" s="57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53" t="s">
        <v>21</v>
      </c>
      <c r="B686" s="53" t="s">
        <v>22</v>
      </c>
      <c r="C686" s="53" t="s">
        <v>23</v>
      </c>
      <c r="D686" s="53" t="s">
        <v>24</v>
      </c>
      <c r="E686" s="53" t="s">
        <v>29</v>
      </c>
      <c r="F686" s="53" t="s">
        <v>25</v>
      </c>
      <c r="G686" s="53" t="s">
        <v>25</v>
      </c>
      <c r="H686" s="53" t="s">
        <v>25</v>
      </c>
      <c r="I686" s="75">
        <v>44743</v>
      </c>
      <c r="J686" s="76">
        <f>EFEITO!$J$686*EFEITO!$Y$610</f>
        <v>0</v>
      </c>
      <c r="K686" s="76">
        <f ca="1">EFEITO!$L$686*EFEITO!$Z$756</f>
        <v>96063.322071791918</v>
      </c>
      <c r="L686" s="76">
        <f>EFEITO!$N$686*EFEITO!$AA$756</f>
        <v>106391.13290727838</v>
      </c>
      <c r="M686" s="76">
        <f>$J$686-EFEITO!$K$686*EFEITO!$Y$686</f>
        <v>0</v>
      </c>
      <c r="N686" s="76">
        <f ca="1">$K$686-EFEITO!$M$686*EFEITO!$Z$686</f>
        <v>62441.159346664746</v>
      </c>
      <c r="O686" s="76">
        <f>$L$686-EFEITO!$O$686*EFEITO!$AA$686</f>
        <v>69154.236389730941</v>
      </c>
      <c r="P686" s="57"/>
      <c r="Q686" s="57"/>
      <c r="R686" s="57"/>
      <c r="S686" s="57"/>
      <c r="T686" s="57"/>
      <c r="U686" s="57"/>
      <c r="V686" s="57"/>
      <c r="W686" s="57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53" t="s">
        <v>27</v>
      </c>
      <c r="B687" s="53" t="s">
        <v>22</v>
      </c>
      <c r="C687" s="53" t="s">
        <v>23</v>
      </c>
      <c r="D687" s="53" t="s">
        <v>24</v>
      </c>
      <c r="E687" s="53" t="s">
        <v>29</v>
      </c>
      <c r="F687" s="53" t="s">
        <v>25</v>
      </c>
      <c r="G687" s="53" t="s">
        <v>25</v>
      </c>
      <c r="H687" s="53" t="s">
        <v>25</v>
      </c>
      <c r="I687" s="75">
        <v>44743</v>
      </c>
      <c r="J687" s="76">
        <f>EFEITO!$J$687*EFEITO!$Y$610</f>
        <v>0</v>
      </c>
      <c r="K687" s="76">
        <f ca="1">EFEITO!$L$687*EFEITO!$Z$756</f>
        <v>52.001076545538751</v>
      </c>
      <c r="L687" s="76">
        <f>EFEITO!$N$687*EFEITO!$AA$756</f>
        <v>57.591735604806061</v>
      </c>
      <c r="M687" s="76">
        <f>$J$687-EFEITO!$K$687*EFEITO!$Y$687</f>
        <v>0</v>
      </c>
      <c r="N687" s="76">
        <f ca="1">$K$687-EFEITO!$M$687*EFEITO!$Z$687</f>
        <v>33.800699754600188</v>
      </c>
      <c r="O687" s="76">
        <f>$L$687-EFEITO!$O$687*EFEITO!$AA$687</f>
        <v>37.434628143123945</v>
      </c>
      <c r="P687" s="57"/>
      <c r="Q687" s="57"/>
      <c r="R687" s="57"/>
      <c r="S687" s="57"/>
      <c r="T687" s="57"/>
      <c r="U687" s="57"/>
      <c r="V687" s="57"/>
      <c r="W687" s="57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53" t="s">
        <v>28</v>
      </c>
      <c r="B688" s="53" t="s">
        <v>22</v>
      </c>
      <c r="C688" s="53" t="s">
        <v>23</v>
      </c>
      <c r="D688" s="53" t="s">
        <v>24</v>
      </c>
      <c r="E688" s="53" t="s">
        <v>29</v>
      </c>
      <c r="F688" s="53" t="s">
        <v>25</v>
      </c>
      <c r="G688" s="53" t="s">
        <v>25</v>
      </c>
      <c r="H688" s="53" t="s">
        <v>25</v>
      </c>
      <c r="I688" s="75">
        <v>44743</v>
      </c>
      <c r="J688" s="76">
        <f>EFEITO!$J$688*EFEITO!$Y$610</f>
        <v>0</v>
      </c>
      <c r="K688" s="76">
        <f ca="1">EFEITO!$L$688*EFEITO!$Z$756</f>
        <v>1300.0269136384688</v>
      </c>
      <c r="L688" s="76">
        <f>EFEITO!$N$688*EFEITO!$AA$756</f>
        <v>1439.7933901201516</v>
      </c>
      <c r="M688" s="76">
        <f>$J$688-EFEITO!$K$688*EFEITO!$Y$688</f>
        <v>0</v>
      </c>
      <c r="N688" s="76">
        <f ca="1">$K$688-EFEITO!$M$688*EFEITO!$Z$688</f>
        <v>845.01749386500478</v>
      </c>
      <c r="O688" s="76">
        <f>$L$688-EFEITO!$O$688*EFEITO!$AA$688</f>
        <v>935.86570357809853</v>
      </c>
      <c r="P688" s="57"/>
      <c r="Q688" s="57"/>
      <c r="R688" s="57"/>
      <c r="S688" s="57"/>
      <c r="T688" s="57"/>
      <c r="U688" s="57"/>
      <c r="V688" s="57"/>
      <c r="W688" s="57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53" t="s">
        <v>56</v>
      </c>
      <c r="B689" s="53" t="s">
        <v>22</v>
      </c>
      <c r="C689" s="53" t="s">
        <v>23</v>
      </c>
      <c r="D689" s="53" t="s">
        <v>24</v>
      </c>
      <c r="E689" s="53" t="s">
        <v>29</v>
      </c>
      <c r="F689" s="53" t="s">
        <v>25</v>
      </c>
      <c r="G689" s="53" t="s">
        <v>25</v>
      </c>
      <c r="H689" s="53" t="s">
        <v>25</v>
      </c>
      <c r="I689" s="75">
        <v>44774</v>
      </c>
      <c r="J689" s="76">
        <f>EFEITO!$J$689*EFEITO!$Y$610</f>
        <v>0</v>
      </c>
      <c r="K689" s="76">
        <f ca="1">EFEITO!$L$689*EFEITO!$Z$756</f>
        <v>96063.322071791918</v>
      </c>
      <c r="L689" s="76">
        <f>EFEITO!$N$689*EFEITO!$AA$756</f>
        <v>106391.13290727838</v>
      </c>
      <c r="M689" s="76">
        <f>$J$689-EFEITO!$K$689*EFEITO!$Y$689</f>
        <v>0</v>
      </c>
      <c r="N689" s="76">
        <f ca="1">$K$689-EFEITO!$M$689*EFEITO!$Z$689</f>
        <v>62441.159346664746</v>
      </c>
      <c r="O689" s="76">
        <f>$L$689-EFEITO!$O$689*EFEITO!$AA$689</f>
        <v>69154.236389730941</v>
      </c>
      <c r="P689" s="57"/>
      <c r="Q689" s="57"/>
      <c r="R689" s="57"/>
      <c r="S689" s="57"/>
      <c r="T689" s="57"/>
      <c r="U689" s="57"/>
      <c r="V689" s="57"/>
      <c r="W689" s="57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53" t="s">
        <v>56</v>
      </c>
      <c r="B690" s="53" t="s">
        <v>22</v>
      </c>
      <c r="C690" s="53" t="s">
        <v>23</v>
      </c>
      <c r="D690" s="53" t="s">
        <v>24</v>
      </c>
      <c r="E690" s="53" t="s">
        <v>29</v>
      </c>
      <c r="F690" s="53" t="s">
        <v>25</v>
      </c>
      <c r="G690" s="53" t="s">
        <v>25</v>
      </c>
      <c r="H690" s="53" t="s">
        <v>25</v>
      </c>
      <c r="I690" s="75">
        <v>44774</v>
      </c>
      <c r="J690" s="76">
        <f>EFEITO!$J$690*EFEITO!$Y$610</f>
        <v>0</v>
      </c>
      <c r="K690" s="76">
        <f ca="1">EFEITO!$L$690*EFEITO!$Z$756</f>
        <v>52.001076545538751</v>
      </c>
      <c r="L690" s="76">
        <f>EFEITO!$N$690*EFEITO!$AA$756</f>
        <v>57.591735604806061</v>
      </c>
      <c r="M690" s="76">
        <f>$J$690-EFEITO!$K$690*EFEITO!$Y$690</f>
        <v>0</v>
      </c>
      <c r="N690" s="76">
        <f ca="1">$K$690-EFEITO!$M$690*EFEITO!$Z$690</f>
        <v>33.800699754600188</v>
      </c>
      <c r="O690" s="76">
        <f>$L$690-EFEITO!$O$690*EFEITO!$AA$690</f>
        <v>37.434628143123945</v>
      </c>
      <c r="P690" s="57"/>
      <c r="Q690" s="57"/>
      <c r="R690" s="57"/>
      <c r="S690" s="57"/>
      <c r="T690" s="57"/>
      <c r="U690" s="57"/>
      <c r="V690" s="57"/>
      <c r="W690" s="57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53" t="s">
        <v>56</v>
      </c>
      <c r="B691" s="53" t="s">
        <v>22</v>
      </c>
      <c r="C691" s="53" t="s">
        <v>23</v>
      </c>
      <c r="D691" s="53" t="s">
        <v>24</v>
      </c>
      <c r="E691" s="53" t="s">
        <v>29</v>
      </c>
      <c r="F691" s="53" t="s">
        <v>25</v>
      </c>
      <c r="G691" s="53" t="s">
        <v>25</v>
      </c>
      <c r="H691" s="53" t="s">
        <v>25</v>
      </c>
      <c r="I691" s="75">
        <v>44774</v>
      </c>
      <c r="J691" s="76">
        <f>EFEITO!$J$691*EFEITO!$Y$610</f>
        <v>0</v>
      </c>
      <c r="K691" s="76">
        <f ca="1">EFEITO!$L$691*EFEITO!$Z$756</f>
        <v>1300.0269136384688</v>
      </c>
      <c r="L691" s="76">
        <f>EFEITO!$N$691*EFEITO!$AA$756</f>
        <v>1439.7933901201516</v>
      </c>
      <c r="M691" s="76">
        <f>$J$691-EFEITO!$K$691*EFEITO!$Y$691</f>
        <v>0</v>
      </c>
      <c r="N691" s="76">
        <f ca="1">$K$691-EFEITO!$M$691*EFEITO!$Z$691</f>
        <v>845.01749386500478</v>
      </c>
      <c r="O691" s="76">
        <f>$L$691-EFEITO!$O$691*EFEITO!$AA$691</f>
        <v>935.86570357809853</v>
      </c>
      <c r="P691" s="57"/>
      <c r="Q691" s="57"/>
      <c r="R691" s="57"/>
      <c r="S691" s="57"/>
      <c r="T691" s="57"/>
      <c r="U691" s="57"/>
      <c r="V691" s="57"/>
      <c r="W691" s="57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53" t="s">
        <v>21</v>
      </c>
      <c r="B692" s="53" t="s">
        <v>22</v>
      </c>
      <c r="C692" s="53" t="s">
        <v>23</v>
      </c>
      <c r="D692" s="53" t="s">
        <v>24</v>
      </c>
      <c r="E692" s="53" t="s">
        <v>30</v>
      </c>
      <c r="F692" s="53" t="s">
        <v>25</v>
      </c>
      <c r="G692" s="53" t="s">
        <v>25</v>
      </c>
      <c r="H692" s="53" t="s">
        <v>25</v>
      </c>
      <c r="I692" s="75">
        <v>44440</v>
      </c>
      <c r="J692" s="76">
        <f>EFEITO!$J$692*EFEITO!$Y$610</f>
        <v>0</v>
      </c>
      <c r="K692" s="76">
        <f ca="1">EFEITO!$L$692*EFEITO!$Z$756</f>
        <v>172513.28254495512</v>
      </c>
      <c r="L692" s="76">
        <f>EFEITO!$N$692*EFEITO!$AA$756</f>
        <v>191060.26291485742</v>
      </c>
      <c r="M692" s="76">
        <f>$J$692-EFEITO!$K$692*EFEITO!$Y$692</f>
        <v>0</v>
      </c>
      <c r="N692" s="76">
        <f ca="1">$K$692-EFEITO!$M$692*EFEITO!$Z$692</f>
        <v>69005.313017982044</v>
      </c>
      <c r="O692" s="76">
        <f>$L$692-EFEITO!$O$692*EFEITO!$AA$692</f>
        <v>76424.10516594298</v>
      </c>
      <c r="P692" s="57"/>
      <c r="Q692" s="57"/>
      <c r="R692" s="57"/>
      <c r="S692" s="57"/>
      <c r="T692" s="57"/>
      <c r="U692" s="57"/>
      <c r="V692" s="57"/>
      <c r="W692" s="57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53" t="s">
        <v>28</v>
      </c>
      <c r="B693" s="53" t="s">
        <v>22</v>
      </c>
      <c r="C693" s="53" t="s">
        <v>23</v>
      </c>
      <c r="D693" s="53" t="s">
        <v>24</v>
      </c>
      <c r="E693" s="53" t="s">
        <v>30</v>
      </c>
      <c r="F693" s="53" t="s">
        <v>25</v>
      </c>
      <c r="G693" s="53" t="s">
        <v>25</v>
      </c>
      <c r="H693" s="53" t="s">
        <v>25</v>
      </c>
      <c r="I693" s="75">
        <v>44440</v>
      </c>
      <c r="J693" s="76">
        <f>EFEITO!$J$693*EFEITO!$Y$610</f>
        <v>0</v>
      </c>
      <c r="K693" s="76">
        <f ca="1">EFEITO!$L$693*EFEITO!$Z$756</f>
        <v>2341.4929188977312</v>
      </c>
      <c r="L693" s="76">
        <f>EFEITO!$N$693*EFEITO!$AA$756</f>
        <v>2593.2278726497398</v>
      </c>
      <c r="M693" s="76">
        <f>$J$693-EFEITO!$K$693*EFEITO!$Y$693</f>
        <v>0</v>
      </c>
      <c r="N693" s="76">
        <f ca="1">$K$693-EFEITO!$M$693*EFEITO!$Z$693</f>
        <v>936.59716755909244</v>
      </c>
      <c r="O693" s="76">
        <f>$L$693-EFEITO!$O$693*EFEITO!$AA$693</f>
        <v>1037.291149059896</v>
      </c>
      <c r="P693" s="57"/>
      <c r="Q693" s="57"/>
      <c r="R693" s="57"/>
      <c r="S693" s="57"/>
      <c r="T693" s="57"/>
      <c r="U693" s="57"/>
      <c r="V693" s="57"/>
      <c r="W693" s="57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53" t="s">
        <v>21</v>
      </c>
      <c r="B694" s="53" t="s">
        <v>22</v>
      </c>
      <c r="C694" s="53" t="s">
        <v>23</v>
      </c>
      <c r="D694" s="53" t="s">
        <v>24</v>
      </c>
      <c r="E694" s="53" t="s">
        <v>30</v>
      </c>
      <c r="F694" s="53" t="s">
        <v>25</v>
      </c>
      <c r="G694" s="53" t="s">
        <v>25</v>
      </c>
      <c r="H694" s="53" t="s">
        <v>25</v>
      </c>
      <c r="I694" s="75">
        <v>44470</v>
      </c>
      <c r="J694" s="76">
        <f>EFEITO!$J$694*EFEITO!$Y$610</f>
        <v>0</v>
      </c>
      <c r="K694" s="76">
        <f ca="1">EFEITO!$L$694*EFEITO!$Z$756</f>
        <v>177949.99509779116</v>
      </c>
      <c r="L694" s="76">
        <f>EFEITO!$N$694*EFEITO!$AA$756</f>
        <v>197081.47887233988</v>
      </c>
      <c r="M694" s="76">
        <f>$J$694-EFEITO!$K$694*EFEITO!$Y$694</f>
        <v>0</v>
      </c>
      <c r="N694" s="76">
        <f ca="1">$K$694-EFEITO!$M$694*EFEITO!$Z$694</f>
        <v>71179.998039116457</v>
      </c>
      <c r="O694" s="76">
        <f>$L$694-EFEITO!$O$694*EFEITO!$AA$694</f>
        <v>78832.591548935961</v>
      </c>
      <c r="P694" s="57"/>
      <c r="Q694" s="57"/>
      <c r="R694" s="57"/>
      <c r="S694" s="57"/>
      <c r="T694" s="57"/>
      <c r="U694" s="57"/>
      <c r="V694" s="57"/>
      <c r="W694" s="57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53" t="s">
        <v>28</v>
      </c>
      <c r="B695" s="53" t="s">
        <v>22</v>
      </c>
      <c r="C695" s="53" t="s">
        <v>23</v>
      </c>
      <c r="D695" s="53" t="s">
        <v>24</v>
      </c>
      <c r="E695" s="53" t="s">
        <v>30</v>
      </c>
      <c r="F695" s="53" t="s">
        <v>25</v>
      </c>
      <c r="G695" s="53" t="s">
        <v>25</v>
      </c>
      <c r="H695" s="53" t="s">
        <v>25</v>
      </c>
      <c r="I695" s="75">
        <v>44470</v>
      </c>
      <c r="J695" s="76">
        <f>EFEITO!$J$695*EFEITO!$Y$610</f>
        <v>0</v>
      </c>
      <c r="K695" s="76">
        <f ca="1">EFEITO!$L$695*EFEITO!$Z$756</f>
        <v>2528.4078995919731</v>
      </c>
      <c r="L695" s="76">
        <f>EFEITO!$N$695*EFEITO!$AA$756</f>
        <v>2800.2381667403483</v>
      </c>
      <c r="M695" s="76">
        <f>$J$695-EFEITO!$K$695*EFEITO!$Y$695</f>
        <v>0</v>
      </c>
      <c r="N695" s="76">
        <f ca="1">$K$695-EFEITO!$M$695*EFEITO!$Z$695</f>
        <v>1011.363159836789</v>
      </c>
      <c r="O695" s="76">
        <f>$L$695-EFEITO!$O$695*EFEITO!$AA$695</f>
        <v>1120.0952666961396</v>
      </c>
      <c r="P695" s="57"/>
      <c r="Q695" s="57"/>
      <c r="R695" s="57"/>
      <c r="S695" s="57"/>
      <c r="T695" s="57"/>
      <c r="U695" s="57"/>
      <c r="V695" s="57"/>
      <c r="W695" s="57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53" t="s">
        <v>21</v>
      </c>
      <c r="B696" s="53" t="s">
        <v>22</v>
      </c>
      <c r="C696" s="53" t="s">
        <v>23</v>
      </c>
      <c r="D696" s="53" t="s">
        <v>24</v>
      </c>
      <c r="E696" s="53" t="s">
        <v>30</v>
      </c>
      <c r="F696" s="53" t="s">
        <v>25</v>
      </c>
      <c r="G696" s="53" t="s">
        <v>25</v>
      </c>
      <c r="H696" s="53" t="s">
        <v>25</v>
      </c>
      <c r="I696" s="75">
        <v>44501</v>
      </c>
      <c r="J696" s="76">
        <f>EFEITO!$J$696*EFEITO!$Y$610</f>
        <v>0</v>
      </c>
      <c r="K696" s="76">
        <f ca="1">EFEITO!$L$696*EFEITO!$Z$756</f>
        <v>181115.12729019631</v>
      </c>
      <c r="L696" s="76">
        <f>EFEITO!$N$696*EFEITO!$AA$756</f>
        <v>200586.89584615242</v>
      </c>
      <c r="M696" s="76">
        <f>$J$696-EFEITO!$K$696*EFEITO!$Y$696</f>
        <v>0</v>
      </c>
      <c r="N696" s="76">
        <f ca="1">$K$696-EFEITO!$M$696*EFEITO!$Z$696</f>
        <v>72446.050916078515</v>
      </c>
      <c r="O696" s="76">
        <f>$L$696-EFEITO!$O$696*EFEITO!$AA$696</f>
        <v>80234.758338460975</v>
      </c>
      <c r="P696" s="57"/>
      <c r="Q696" s="57"/>
      <c r="R696" s="57"/>
      <c r="S696" s="57"/>
      <c r="T696" s="57"/>
      <c r="U696" s="57"/>
      <c r="V696" s="57"/>
      <c r="W696" s="57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53" t="s">
        <v>27</v>
      </c>
      <c r="B697" s="53" t="s">
        <v>22</v>
      </c>
      <c r="C697" s="53" t="s">
        <v>23</v>
      </c>
      <c r="D697" s="53" t="s">
        <v>24</v>
      </c>
      <c r="E697" s="53" t="s">
        <v>30</v>
      </c>
      <c r="F697" s="53" t="s">
        <v>25</v>
      </c>
      <c r="G697" s="53" t="s">
        <v>25</v>
      </c>
      <c r="H697" s="53" t="s">
        <v>25</v>
      </c>
      <c r="I697" s="75">
        <v>44501</v>
      </c>
      <c r="J697" s="76">
        <f>EFEITO!$J$697*EFEITO!$Y$610</f>
        <v>0</v>
      </c>
      <c r="K697" s="76">
        <f ca="1">EFEITO!$L$697*EFEITO!$Z$756</f>
        <v>8.9557409606205631</v>
      </c>
      <c r="L697" s="76">
        <f>EFEITO!$N$697*EFEITO!$AA$756</f>
        <v>9.9185766874943777</v>
      </c>
      <c r="M697" s="76">
        <f>$J$697-EFEITO!$K$697*EFEITO!$Y$697</f>
        <v>0</v>
      </c>
      <c r="N697" s="76">
        <f ca="1">$K$697-EFEITO!$M$697*EFEITO!$Z$697</f>
        <v>3.5822963842482256</v>
      </c>
      <c r="O697" s="76">
        <f>$L$697-EFEITO!$O$697*EFEITO!$AA$697</f>
        <v>3.9674306749977521</v>
      </c>
      <c r="P697" s="57"/>
      <c r="Q697" s="57"/>
      <c r="R697" s="57"/>
      <c r="S697" s="57"/>
      <c r="T697" s="57"/>
      <c r="U697" s="57"/>
      <c r="V697" s="57"/>
      <c r="W697" s="57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53" t="s">
        <v>28</v>
      </c>
      <c r="B698" s="53" t="s">
        <v>22</v>
      </c>
      <c r="C698" s="53" t="s">
        <v>23</v>
      </c>
      <c r="D698" s="53" t="s">
        <v>24</v>
      </c>
      <c r="E698" s="53" t="s">
        <v>30</v>
      </c>
      <c r="F698" s="53" t="s">
        <v>25</v>
      </c>
      <c r="G698" s="53" t="s">
        <v>25</v>
      </c>
      <c r="H698" s="53" t="s">
        <v>25</v>
      </c>
      <c r="I698" s="75">
        <v>44501</v>
      </c>
      <c r="J698" s="76">
        <f>EFEITO!$J$698*EFEITO!$Y$610</f>
        <v>0</v>
      </c>
      <c r="K698" s="76">
        <f ca="1">EFEITO!$L$698*EFEITO!$Z$756</f>
        <v>2403.0275261432853</v>
      </c>
      <c r="L698" s="76">
        <f>EFEITO!$N$698*EFEITO!$AA$756</f>
        <v>2661.3780931154265</v>
      </c>
      <c r="M698" s="76">
        <f>$J$698-EFEITO!$K$698*EFEITO!$Y$698</f>
        <v>0</v>
      </c>
      <c r="N698" s="76">
        <f ca="1">$K$698-EFEITO!$M$698*EFEITO!$Z$698</f>
        <v>961.21101045731416</v>
      </c>
      <c r="O698" s="76">
        <f>$L$698-EFEITO!$O$698*EFEITO!$AA$698</f>
        <v>1064.5512372461708</v>
      </c>
      <c r="P698" s="57"/>
      <c r="Q698" s="57"/>
      <c r="R698" s="57"/>
      <c r="S698" s="57"/>
      <c r="T698" s="57"/>
      <c r="U698" s="57"/>
      <c r="V698" s="57"/>
      <c r="W698" s="57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53" t="s">
        <v>21</v>
      </c>
      <c r="B699" s="53" t="s">
        <v>22</v>
      </c>
      <c r="C699" s="53" t="s">
        <v>23</v>
      </c>
      <c r="D699" s="53" t="s">
        <v>24</v>
      </c>
      <c r="E699" s="53" t="s">
        <v>30</v>
      </c>
      <c r="F699" s="53" t="s">
        <v>25</v>
      </c>
      <c r="G699" s="53" t="s">
        <v>25</v>
      </c>
      <c r="H699" s="53" t="s">
        <v>25</v>
      </c>
      <c r="I699" s="75">
        <v>44531</v>
      </c>
      <c r="J699" s="76">
        <f>EFEITO!$J$699*EFEITO!$Y$610</f>
        <v>0</v>
      </c>
      <c r="K699" s="76">
        <f ca="1">EFEITO!$L$699*EFEITO!$Z$756</f>
        <v>186836.97907942376</v>
      </c>
      <c r="L699" s="76">
        <f>EFEITO!$N$699*EFEITO!$AA$756</f>
        <v>206923.90648720125</v>
      </c>
      <c r="M699" s="76">
        <f>$J$699-EFEITO!$K$699*EFEITO!$Y$699</f>
        <v>0</v>
      </c>
      <c r="N699" s="76">
        <f ca="1">$K$699-EFEITO!$M$699*EFEITO!$Z$699</f>
        <v>74734.791631769505</v>
      </c>
      <c r="O699" s="76">
        <f>$L$699-EFEITO!$O$699*EFEITO!$AA$699</f>
        <v>82769.56259488051</v>
      </c>
      <c r="P699" s="57"/>
      <c r="Q699" s="57"/>
      <c r="R699" s="57"/>
      <c r="S699" s="57"/>
      <c r="T699" s="57"/>
      <c r="U699" s="57"/>
      <c r="V699" s="57"/>
      <c r="W699" s="57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53" t="s">
        <v>27</v>
      </c>
      <c r="B700" s="53" t="s">
        <v>22</v>
      </c>
      <c r="C700" s="53" t="s">
        <v>23</v>
      </c>
      <c r="D700" s="53" t="s">
        <v>24</v>
      </c>
      <c r="E700" s="53" t="s">
        <v>30</v>
      </c>
      <c r="F700" s="53" t="s">
        <v>25</v>
      </c>
      <c r="G700" s="53" t="s">
        <v>25</v>
      </c>
      <c r="H700" s="53" t="s">
        <v>25</v>
      </c>
      <c r="I700" s="75">
        <v>44531</v>
      </c>
      <c r="J700" s="76">
        <f>EFEITO!$J$700*EFEITO!$Y$610</f>
        <v>0</v>
      </c>
      <c r="K700" s="76">
        <f ca="1">EFEITO!$L$700*EFEITO!$Z$756</f>
        <v>76.268245600123507</v>
      </c>
      <c r="L700" s="76">
        <f>EFEITO!$N$700*EFEITO!$AA$756</f>
        <v>84.467878887048897</v>
      </c>
      <c r="M700" s="76">
        <f>$J$700-EFEITO!$K$700*EFEITO!$Y$700</f>
        <v>0</v>
      </c>
      <c r="N700" s="76">
        <f ca="1">$K$700-EFEITO!$M$700*EFEITO!$Z$700</f>
        <v>30.507298240049401</v>
      </c>
      <c r="O700" s="76">
        <f>$L$700-EFEITO!$O$700*EFEITO!$AA$700</f>
        <v>33.787151554819566</v>
      </c>
      <c r="P700" s="57"/>
      <c r="Q700" s="57"/>
      <c r="R700" s="57"/>
      <c r="S700" s="57"/>
      <c r="T700" s="57"/>
      <c r="U700" s="57"/>
      <c r="V700" s="57"/>
      <c r="W700" s="57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53" t="s">
        <v>28</v>
      </c>
      <c r="B701" s="53" t="s">
        <v>22</v>
      </c>
      <c r="C701" s="53" t="s">
        <v>23</v>
      </c>
      <c r="D701" s="53" t="s">
        <v>24</v>
      </c>
      <c r="E701" s="53" t="s">
        <v>30</v>
      </c>
      <c r="F701" s="53" t="s">
        <v>25</v>
      </c>
      <c r="G701" s="53" t="s">
        <v>25</v>
      </c>
      <c r="H701" s="53" t="s">
        <v>25</v>
      </c>
      <c r="I701" s="75">
        <v>44531</v>
      </c>
      <c r="J701" s="76">
        <f>EFEITO!$J$701*EFEITO!$Y$610</f>
        <v>0</v>
      </c>
      <c r="K701" s="76">
        <f ca="1">EFEITO!$L$701*EFEITO!$Z$756</f>
        <v>2327.0481754128591</v>
      </c>
      <c r="L701" s="76">
        <f>EFEITO!$N$701*EFEITO!$AA$756</f>
        <v>2577.2301683150713</v>
      </c>
      <c r="M701" s="76">
        <f>$J$701-EFEITO!$K$701*EFEITO!$Y$701</f>
        <v>0</v>
      </c>
      <c r="N701" s="76">
        <f ca="1">$K$701-EFEITO!$M$701*EFEITO!$Z$701</f>
        <v>930.81927016514351</v>
      </c>
      <c r="O701" s="76">
        <f>$L$701-EFEITO!$O$701*EFEITO!$AA$701</f>
        <v>1030.8920673260288</v>
      </c>
      <c r="P701" s="57"/>
      <c r="Q701" s="57"/>
      <c r="R701" s="57"/>
      <c r="S701" s="57"/>
      <c r="T701" s="57"/>
      <c r="U701" s="57"/>
      <c r="V701" s="57"/>
      <c r="W701" s="57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53" t="s">
        <v>21</v>
      </c>
      <c r="B702" s="53" t="s">
        <v>22</v>
      </c>
      <c r="C702" s="53" t="s">
        <v>23</v>
      </c>
      <c r="D702" s="53" t="s">
        <v>24</v>
      </c>
      <c r="E702" s="53" t="s">
        <v>30</v>
      </c>
      <c r="F702" s="53" t="s">
        <v>25</v>
      </c>
      <c r="G702" s="53" t="s">
        <v>25</v>
      </c>
      <c r="H702" s="53" t="s">
        <v>25</v>
      </c>
      <c r="I702" s="75">
        <v>44562</v>
      </c>
      <c r="J702" s="76">
        <f>EFEITO!$J$702*EFEITO!$Y$610</f>
        <v>0</v>
      </c>
      <c r="K702" s="76">
        <f ca="1">EFEITO!$L$702*EFEITO!$Z$756</f>
        <v>193042.15198565501</v>
      </c>
      <c r="L702" s="76">
        <f>EFEITO!$N$702*EFEITO!$AA$756</f>
        <v>213796.20031528806</v>
      </c>
      <c r="M702" s="76">
        <f>$J$702-EFEITO!$K$702*EFEITO!$Y$702</f>
        <v>0</v>
      </c>
      <c r="N702" s="76">
        <f ca="1">$K$702-EFEITO!$M$702*EFEITO!$Z$702</f>
        <v>77216.860794262</v>
      </c>
      <c r="O702" s="76">
        <f>$L$702-EFEITO!$O$702*EFEITO!$AA$702</f>
        <v>85518.480126115246</v>
      </c>
      <c r="P702" s="57"/>
      <c r="Q702" s="57"/>
      <c r="R702" s="57"/>
      <c r="S702" s="57"/>
      <c r="T702" s="57"/>
      <c r="U702" s="57"/>
      <c r="V702" s="57"/>
      <c r="W702" s="57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53" t="s">
        <v>27</v>
      </c>
      <c r="B703" s="53" t="s">
        <v>22</v>
      </c>
      <c r="C703" s="53" t="s">
        <v>23</v>
      </c>
      <c r="D703" s="53" t="s">
        <v>24</v>
      </c>
      <c r="E703" s="53" t="s">
        <v>30</v>
      </c>
      <c r="F703" s="53" t="s">
        <v>25</v>
      </c>
      <c r="G703" s="53" t="s">
        <v>25</v>
      </c>
      <c r="H703" s="53" t="s">
        <v>25</v>
      </c>
      <c r="I703" s="75">
        <v>44562</v>
      </c>
      <c r="J703" s="76">
        <f>EFEITO!$J$703*EFEITO!$Y$610</f>
        <v>0</v>
      </c>
      <c r="K703" s="76">
        <f ca="1">EFEITO!$L$703*EFEITO!$Z$756</f>
        <v>28.02280236065144</v>
      </c>
      <c r="L703" s="76">
        <f>EFEITO!$N$703*EFEITO!$AA$756</f>
        <v>31.0355464092566</v>
      </c>
      <c r="M703" s="76">
        <f>$J$703-EFEITO!$K$703*EFEITO!$Y$703</f>
        <v>0</v>
      </c>
      <c r="N703" s="76">
        <f ca="1">$K$703-EFEITO!$M$703*EFEITO!$Z$703</f>
        <v>11.209120944260576</v>
      </c>
      <c r="O703" s="76">
        <f>$L$703-EFEITO!$O$703*EFEITO!$AA$703</f>
        <v>12.41421856370264</v>
      </c>
      <c r="P703" s="57"/>
      <c r="Q703" s="57"/>
      <c r="R703" s="57"/>
      <c r="S703" s="57"/>
      <c r="T703" s="57"/>
      <c r="U703" s="57"/>
      <c r="V703" s="57"/>
      <c r="W703" s="57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53" t="s">
        <v>28</v>
      </c>
      <c r="B704" s="53" t="s">
        <v>22</v>
      </c>
      <c r="C704" s="53" t="s">
        <v>23</v>
      </c>
      <c r="D704" s="53" t="s">
        <v>24</v>
      </c>
      <c r="E704" s="53" t="s">
        <v>30</v>
      </c>
      <c r="F704" s="53" t="s">
        <v>25</v>
      </c>
      <c r="G704" s="53" t="s">
        <v>25</v>
      </c>
      <c r="H704" s="53" t="s">
        <v>25</v>
      </c>
      <c r="I704" s="75">
        <v>44562</v>
      </c>
      <c r="J704" s="76">
        <f>EFEITO!$J$704*EFEITO!$Y$610</f>
        <v>0</v>
      </c>
      <c r="K704" s="76">
        <f ca="1">EFEITO!$L$704*EFEITO!$Z$756</f>
        <v>2609.8762528466509</v>
      </c>
      <c r="L704" s="76">
        <f>EFEITO!$N$704*EFEITO!$AA$756</f>
        <v>2890.4652191878777</v>
      </c>
      <c r="M704" s="76">
        <f>$J$704-EFEITO!$K$704*EFEITO!$Y$704</f>
        <v>0</v>
      </c>
      <c r="N704" s="76">
        <f ca="1">$K$704-EFEITO!$M$704*EFEITO!$Z$704</f>
        <v>1043.9505011386605</v>
      </c>
      <c r="O704" s="76">
        <f>$L$704-EFEITO!$O$704*EFEITO!$AA$704</f>
        <v>1156.1860876751512</v>
      </c>
      <c r="P704" s="57"/>
      <c r="Q704" s="57"/>
      <c r="R704" s="57"/>
      <c r="S704" s="57"/>
      <c r="T704" s="57"/>
      <c r="U704" s="57"/>
      <c r="V704" s="57"/>
      <c r="W704" s="57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53" t="s">
        <v>21</v>
      </c>
      <c r="B705" s="53" t="s">
        <v>22</v>
      </c>
      <c r="C705" s="53" t="s">
        <v>23</v>
      </c>
      <c r="D705" s="53" t="s">
        <v>24</v>
      </c>
      <c r="E705" s="53" t="s">
        <v>30</v>
      </c>
      <c r="F705" s="53" t="s">
        <v>25</v>
      </c>
      <c r="G705" s="53" t="s">
        <v>25</v>
      </c>
      <c r="H705" s="53" t="s">
        <v>25</v>
      </c>
      <c r="I705" s="75">
        <v>44593</v>
      </c>
      <c r="J705" s="76">
        <f>EFEITO!$J$705*EFEITO!$Y$610</f>
        <v>0</v>
      </c>
      <c r="K705" s="76">
        <f ca="1">EFEITO!$L$705*EFEITO!$Z$756</f>
        <v>199619.42148405657</v>
      </c>
      <c r="L705" s="76">
        <f>EFEITO!$N$705*EFEITO!$AA$756</f>
        <v>221080.59500703597</v>
      </c>
      <c r="M705" s="76">
        <f>$J$705-EFEITO!$K$705*EFEITO!$Y$705</f>
        <v>0</v>
      </c>
      <c r="N705" s="76">
        <f ca="1">$K$705-EFEITO!$M$705*EFEITO!$Z$705</f>
        <v>79847.768593622619</v>
      </c>
      <c r="O705" s="76">
        <f>$L$705-EFEITO!$O$705*EFEITO!$AA$705</f>
        <v>88432.238002814411</v>
      </c>
      <c r="P705" s="57"/>
      <c r="Q705" s="57"/>
      <c r="R705" s="57"/>
      <c r="S705" s="57"/>
      <c r="T705" s="57"/>
      <c r="U705" s="57"/>
      <c r="V705" s="57"/>
      <c r="W705" s="57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53" t="s">
        <v>27</v>
      </c>
      <c r="B706" s="53" t="s">
        <v>22</v>
      </c>
      <c r="C706" s="53" t="s">
        <v>23</v>
      </c>
      <c r="D706" s="53" t="s">
        <v>24</v>
      </c>
      <c r="E706" s="53" t="s">
        <v>30</v>
      </c>
      <c r="F706" s="53" t="s">
        <v>25</v>
      </c>
      <c r="G706" s="53" t="s">
        <v>25</v>
      </c>
      <c r="H706" s="53" t="s">
        <v>25</v>
      </c>
      <c r="I706" s="75">
        <v>44593</v>
      </c>
      <c r="J706" s="76">
        <f>EFEITO!$J$706*EFEITO!$Y$610</f>
        <v>0</v>
      </c>
      <c r="K706" s="76">
        <f ca="1">EFEITO!$L$706*EFEITO!$Z$756</f>
        <v>1.7333692181846252</v>
      </c>
      <c r="L706" s="76">
        <f>EFEITO!$N$706*EFEITO!$AA$756</f>
        <v>1.919724520160202</v>
      </c>
      <c r="M706" s="76">
        <f>$J$706-EFEITO!$K$706*EFEITO!$Y$706</f>
        <v>0</v>
      </c>
      <c r="N706" s="76">
        <f ca="1">$K$706-EFEITO!$M$706*EFEITO!$Z$706</f>
        <v>0.69334768727384999</v>
      </c>
      <c r="O706" s="76">
        <f>$L$706-EFEITO!$O$706*EFEITO!$AA$706</f>
        <v>0.7678898080640808</v>
      </c>
      <c r="P706" s="57"/>
      <c r="Q706" s="57"/>
      <c r="R706" s="57"/>
      <c r="S706" s="57"/>
      <c r="T706" s="57"/>
      <c r="U706" s="57"/>
      <c r="V706" s="57"/>
      <c r="W706" s="57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53" t="s">
        <v>28</v>
      </c>
      <c r="B707" s="53" t="s">
        <v>22</v>
      </c>
      <c r="C707" s="53" t="s">
        <v>23</v>
      </c>
      <c r="D707" s="53" t="s">
        <v>24</v>
      </c>
      <c r="E707" s="53" t="s">
        <v>30</v>
      </c>
      <c r="F707" s="53" t="s">
        <v>25</v>
      </c>
      <c r="G707" s="53" t="s">
        <v>25</v>
      </c>
      <c r="H707" s="53" t="s">
        <v>25</v>
      </c>
      <c r="I707" s="75">
        <v>44593</v>
      </c>
      <c r="J707" s="76">
        <f>EFEITO!$J$707*EFEITO!$Y$610</f>
        <v>0</v>
      </c>
      <c r="K707" s="76">
        <f ca="1">EFEITO!$L$707*EFEITO!$Z$756</f>
        <v>2593.6981401435937</v>
      </c>
      <c r="L707" s="76">
        <f>EFEITO!$N$707*EFEITO!$AA$756</f>
        <v>2872.5477903330489</v>
      </c>
      <c r="M707" s="76">
        <f>$J$707-EFEITO!$K$707*EFEITO!$Y$707</f>
        <v>0</v>
      </c>
      <c r="N707" s="76">
        <f ca="1">$K$707-EFEITO!$M$707*EFEITO!$Z$707</f>
        <v>1037.4792560574374</v>
      </c>
      <c r="O707" s="76">
        <f>$L$707-EFEITO!$O$707*EFEITO!$AA$707</f>
        <v>1149.0191161332198</v>
      </c>
      <c r="P707" s="57"/>
      <c r="Q707" s="57"/>
      <c r="R707" s="57"/>
      <c r="S707" s="57"/>
      <c r="T707" s="57"/>
      <c r="U707" s="57"/>
      <c r="V707" s="57"/>
      <c r="W707" s="57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53" t="s">
        <v>21</v>
      </c>
      <c r="B708" s="53" t="s">
        <v>22</v>
      </c>
      <c r="C708" s="53" t="s">
        <v>23</v>
      </c>
      <c r="D708" s="53" t="s">
        <v>24</v>
      </c>
      <c r="E708" s="53" t="s">
        <v>30</v>
      </c>
      <c r="F708" s="53" t="s">
        <v>25</v>
      </c>
      <c r="G708" s="53" t="s">
        <v>25</v>
      </c>
      <c r="H708" s="53" t="s">
        <v>25</v>
      </c>
      <c r="I708" s="75">
        <v>44621</v>
      </c>
      <c r="J708" s="76">
        <f>EFEITO!$J$708*EFEITO!$Y$610</f>
        <v>0</v>
      </c>
      <c r="K708" s="76">
        <f ca="1">EFEITO!$L$708*EFEITO!$Z$756</f>
        <v>238704.00840542291</v>
      </c>
      <c r="L708" s="76">
        <f>EFEITO!$N$708*EFEITO!$AA$756</f>
        <v>264367.18339578155</v>
      </c>
      <c r="M708" s="76">
        <f>$J$708-EFEITO!$K$708*EFEITO!$Y$708</f>
        <v>0</v>
      </c>
      <c r="N708" s="76">
        <f ca="1">$K$708-EFEITO!$M$708*EFEITO!$Z$708</f>
        <v>95481.603362169175</v>
      </c>
      <c r="O708" s="76">
        <f>$L$708-EFEITO!$O$708*EFEITO!$AA$708</f>
        <v>105746.87335831262</v>
      </c>
      <c r="P708" s="57"/>
      <c r="Q708" s="57"/>
      <c r="R708" s="57"/>
      <c r="S708" s="57"/>
      <c r="T708" s="57"/>
      <c r="U708" s="57"/>
      <c r="V708" s="57"/>
      <c r="W708" s="57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53" t="s">
        <v>27</v>
      </c>
      <c r="B709" s="53" t="s">
        <v>22</v>
      </c>
      <c r="C709" s="53" t="s">
        <v>23</v>
      </c>
      <c r="D709" s="53" t="s">
        <v>24</v>
      </c>
      <c r="E709" s="53" t="s">
        <v>30</v>
      </c>
      <c r="F709" s="53" t="s">
        <v>25</v>
      </c>
      <c r="G709" s="53" t="s">
        <v>25</v>
      </c>
      <c r="H709" s="53" t="s">
        <v>25</v>
      </c>
      <c r="I709" s="75">
        <v>44621</v>
      </c>
      <c r="J709" s="76">
        <f>EFEITO!$J$709*EFEITO!$Y$610</f>
        <v>0</v>
      </c>
      <c r="K709" s="76">
        <f ca="1">EFEITO!$L$709*EFEITO!$Z$756</f>
        <v>58.645658548579817</v>
      </c>
      <c r="L709" s="76">
        <f>EFEITO!$N$709*EFEITO!$AA$756</f>
        <v>64.95067959875351</v>
      </c>
      <c r="M709" s="76">
        <f>$J$709-EFEITO!$K$709*EFEITO!$Y$709</f>
        <v>0</v>
      </c>
      <c r="N709" s="76">
        <f ca="1">$K$709-EFEITO!$M$709*EFEITO!$Z$709</f>
        <v>23.458263419431923</v>
      </c>
      <c r="O709" s="76">
        <f>$L$709-EFEITO!$O$709*EFEITO!$AA$709</f>
        <v>25.980271839501413</v>
      </c>
      <c r="P709" s="57"/>
      <c r="Q709" s="57"/>
      <c r="R709" s="57"/>
      <c r="S709" s="57"/>
      <c r="T709" s="57"/>
      <c r="U709" s="57"/>
      <c r="V709" s="57"/>
      <c r="W709" s="57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53" t="s">
        <v>28</v>
      </c>
      <c r="B710" s="53" t="s">
        <v>22</v>
      </c>
      <c r="C710" s="53" t="s">
        <v>23</v>
      </c>
      <c r="D710" s="53" t="s">
        <v>24</v>
      </c>
      <c r="E710" s="53" t="s">
        <v>30</v>
      </c>
      <c r="F710" s="53" t="s">
        <v>25</v>
      </c>
      <c r="G710" s="53" t="s">
        <v>25</v>
      </c>
      <c r="H710" s="53" t="s">
        <v>25</v>
      </c>
      <c r="I710" s="75">
        <v>44621</v>
      </c>
      <c r="J710" s="76">
        <f>EFEITO!$J$710*EFEITO!$Y$610</f>
        <v>0</v>
      </c>
      <c r="K710" s="76">
        <f ca="1">EFEITO!$L$710*EFEITO!$Z$756</f>
        <v>2840.4143588652059</v>
      </c>
      <c r="L710" s="76">
        <f>EFEITO!$N$710*EFEITO!$AA$756</f>
        <v>3145.7885803691847</v>
      </c>
      <c r="M710" s="76">
        <f>$J$710-EFEITO!$K$710*EFEITO!$Y$710</f>
        <v>0</v>
      </c>
      <c r="N710" s="76">
        <f ca="1">$K$710-EFEITO!$M$710*EFEITO!$Z$710</f>
        <v>1136.1657435460825</v>
      </c>
      <c r="O710" s="76">
        <f>$L$710-EFEITO!$O$710*EFEITO!$AA$710</f>
        <v>1258.3154321476741</v>
      </c>
      <c r="P710" s="57"/>
      <c r="Q710" s="57"/>
      <c r="R710" s="57"/>
      <c r="S710" s="57"/>
      <c r="T710" s="57"/>
      <c r="U710" s="57"/>
      <c r="V710" s="57"/>
      <c r="W710" s="57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53" t="s">
        <v>21</v>
      </c>
      <c r="B711" s="53" t="s">
        <v>22</v>
      </c>
      <c r="C711" s="53" t="s">
        <v>23</v>
      </c>
      <c r="D711" s="53" t="s">
        <v>24</v>
      </c>
      <c r="E711" s="53" t="s">
        <v>30</v>
      </c>
      <c r="F711" s="53" t="s">
        <v>25</v>
      </c>
      <c r="G711" s="53" t="s">
        <v>25</v>
      </c>
      <c r="H711" s="53" t="s">
        <v>25</v>
      </c>
      <c r="I711" s="75">
        <v>44652</v>
      </c>
      <c r="J711" s="76">
        <f>EFEITO!$J$711*EFEITO!$Y$610</f>
        <v>0</v>
      </c>
      <c r="K711" s="76">
        <f ca="1">EFEITO!$L$711*EFEITO!$Z$756</f>
        <v>243877.53773196461</v>
      </c>
      <c r="L711" s="76">
        <f>EFEITO!$N$711*EFEITO!$AA$756</f>
        <v>270096.92118028639</v>
      </c>
      <c r="M711" s="76">
        <f>$J$711-EFEITO!$K$711*EFEITO!$Y$711</f>
        <v>0</v>
      </c>
      <c r="N711" s="76">
        <f ca="1">$K$711-EFEITO!$M$711*EFEITO!$Z$711</f>
        <v>97551.015092785849</v>
      </c>
      <c r="O711" s="76">
        <f>$L$711-EFEITO!$O$711*EFEITO!$AA$711</f>
        <v>108038.76847211458</v>
      </c>
      <c r="P711" s="57"/>
      <c r="Q711" s="57"/>
      <c r="R711" s="57"/>
      <c r="S711" s="57"/>
      <c r="T711" s="57"/>
      <c r="U711" s="57"/>
      <c r="V711" s="57"/>
      <c r="W711" s="57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53" t="s">
        <v>27</v>
      </c>
      <c r="B712" s="53" t="s">
        <v>22</v>
      </c>
      <c r="C712" s="53" t="s">
        <v>23</v>
      </c>
      <c r="D712" s="53" t="s">
        <v>24</v>
      </c>
      <c r="E712" s="53" t="s">
        <v>30</v>
      </c>
      <c r="F712" s="53" t="s">
        <v>25</v>
      </c>
      <c r="G712" s="53" t="s">
        <v>25</v>
      </c>
      <c r="H712" s="53" t="s">
        <v>25</v>
      </c>
      <c r="I712" s="75">
        <v>44652</v>
      </c>
      <c r="J712" s="76">
        <f>EFEITO!$J$712*EFEITO!$Y$610</f>
        <v>0</v>
      </c>
      <c r="K712" s="76">
        <f ca="1">EFEITO!$L$712*EFEITO!$Z$756</f>
        <v>49.112127848564384</v>
      </c>
      <c r="L712" s="76">
        <f>EFEITO!$N$712*EFEITO!$AA$756</f>
        <v>54.392194737872394</v>
      </c>
      <c r="M712" s="76">
        <f>$J$712-EFEITO!$K$712*EFEITO!$Y$712</f>
        <v>0</v>
      </c>
      <c r="N712" s="76">
        <f ca="1">$K$712-EFEITO!$M$712*EFEITO!$Z$712</f>
        <v>19.644851139425754</v>
      </c>
      <c r="O712" s="76">
        <f>$L$712-EFEITO!$O$712*EFEITO!$AA$712</f>
        <v>21.756877895148961</v>
      </c>
      <c r="P712" s="57"/>
      <c r="Q712" s="57"/>
      <c r="R712" s="57"/>
      <c r="S712" s="57"/>
      <c r="T712" s="57"/>
      <c r="U712" s="57"/>
      <c r="V712" s="57"/>
      <c r="W712" s="57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53" t="s">
        <v>28</v>
      </c>
      <c r="B713" s="53" t="s">
        <v>22</v>
      </c>
      <c r="C713" s="53" t="s">
        <v>23</v>
      </c>
      <c r="D713" s="53" t="s">
        <v>24</v>
      </c>
      <c r="E713" s="53" t="s">
        <v>30</v>
      </c>
      <c r="F713" s="53" t="s">
        <v>25</v>
      </c>
      <c r="G713" s="53" t="s">
        <v>25</v>
      </c>
      <c r="H713" s="53" t="s">
        <v>25</v>
      </c>
      <c r="I713" s="75">
        <v>44652</v>
      </c>
      <c r="J713" s="76">
        <f>EFEITO!$J$713*EFEITO!$Y$610</f>
        <v>0</v>
      </c>
      <c r="K713" s="76">
        <f ca="1">EFEITO!$L$713*EFEITO!$Z$756</f>
        <v>2844.1699921712725</v>
      </c>
      <c r="L713" s="76">
        <f>EFEITO!$N$713*EFEITO!$AA$756</f>
        <v>3149.9479834961985</v>
      </c>
      <c r="M713" s="76">
        <f>$J$713-EFEITO!$K$713*EFEITO!$Y$713</f>
        <v>0</v>
      </c>
      <c r="N713" s="76">
        <f ca="1">$K$713-EFEITO!$M$713*EFEITO!$Z$713</f>
        <v>1137.6679968685089</v>
      </c>
      <c r="O713" s="76">
        <f>$L$713-EFEITO!$O$713*EFEITO!$AA$713</f>
        <v>1259.9791933984798</v>
      </c>
      <c r="P713" s="57"/>
      <c r="Q713" s="57"/>
      <c r="R713" s="57"/>
      <c r="S713" s="57"/>
      <c r="T713" s="57"/>
      <c r="U713" s="57"/>
      <c r="V713" s="57"/>
      <c r="W713" s="57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53" t="s">
        <v>21</v>
      </c>
      <c r="B714" s="53" t="s">
        <v>22</v>
      </c>
      <c r="C714" s="53" t="s">
        <v>23</v>
      </c>
      <c r="D714" s="53" t="s">
        <v>24</v>
      </c>
      <c r="E714" s="53" t="s">
        <v>30</v>
      </c>
      <c r="F714" s="53" t="s">
        <v>25</v>
      </c>
      <c r="G714" s="53" t="s">
        <v>25</v>
      </c>
      <c r="H714" s="53" t="s">
        <v>25</v>
      </c>
      <c r="I714" s="75">
        <v>44682</v>
      </c>
      <c r="J714" s="76">
        <f>EFEITO!$J$714*EFEITO!$Y$610</f>
        <v>0</v>
      </c>
      <c r="K714" s="76">
        <f ca="1">EFEITO!$L$714*EFEITO!$Z$756</f>
        <v>215207.6108631909</v>
      </c>
      <c r="L714" s="76">
        <f>EFEITO!$N$714*EFEITO!$AA$756</f>
        <v>238344.67761683665</v>
      </c>
      <c r="M714" s="76">
        <f>$J$714-EFEITO!$K$714*EFEITO!$Y$714</f>
        <v>0</v>
      </c>
      <c r="N714" s="76">
        <f ca="1">$K$714-EFEITO!$M$714*EFEITO!$Z$714</f>
        <v>86083.044345276357</v>
      </c>
      <c r="O714" s="76">
        <f>$L$714-EFEITO!$O$714*EFEITO!$AA$714</f>
        <v>95337.871046734683</v>
      </c>
      <c r="P714" s="57"/>
      <c r="Q714" s="57"/>
      <c r="R714" s="57"/>
      <c r="S714" s="57"/>
      <c r="T714" s="57"/>
      <c r="U714" s="57"/>
      <c r="V714" s="57"/>
      <c r="W714" s="57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53" t="s">
        <v>27</v>
      </c>
      <c r="B715" s="53" t="s">
        <v>22</v>
      </c>
      <c r="C715" s="53" t="s">
        <v>23</v>
      </c>
      <c r="D715" s="53" t="s">
        <v>24</v>
      </c>
      <c r="E715" s="53" t="s">
        <v>30</v>
      </c>
      <c r="F715" s="53" t="s">
        <v>25</v>
      </c>
      <c r="G715" s="53" t="s">
        <v>25</v>
      </c>
      <c r="H715" s="53" t="s">
        <v>25</v>
      </c>
      <c r="I715" s="75">
        <v>44682</v>
      </c>
      <c r="J715" s="76">
        <f>EFEITO!$J$715*EFEITO!$Y$610</f>
        <v>0</v>
      </c>
      <c r="K715" s="76">
        <f ca="1">EFEITO!$L$715*EFEITO!$Z$756</f>
        <v>26.000538272769376</v>
      </c>
      <c r="L715" s="76">
        <f>EFEITO!$N$715*EFEITO!$AA$756</f>
        <v>28.795867802403031</v>
      </c>
      <c r="M715" s="76">
        <f>$J$715-EFEITO!$K$715*EFEITO!$Y$715</f>
        <v>0</v>
      </c>
      <c r="N715" s="76">
        <f ca="1">$K$715-EFEITO!$M$715*EFEITO!$Z$715</f>
        <v>10.40021530910775</v>
      </c>
      <c r="O715" s="76">
        <f>$L$715-EFEITO!$O$715*EFEITO!$AA$715</f>
        <v>11.518347120961213</v>
      </c>
      <c r="P715" s="57"/>
      <c r="Q715" s="57"/>
      <c r="R715" s="57"/>
      <c r="S715" s="57"/>
      <c r="T715" s="57"/>
      <c r="U715" s="57"/>
      <c r="V715" s="57"/>
      <c r="W715" s="57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53" t="s">
        <v>28</v>
      </c>
      <c r="B716" s="53" t="s">
        <v>22</v>
      </c>
      <c r="C716" s="53" t="s">
        <v>23</v>
      </c>
      <c r="D716" s="53" t="s">
        <v>24</v>
      </c>
      <c r="E716" s="53" t="s">
        <v>30</v>
      </c>
      <c r="F716" s="53" t="s">
        <v>25</v>
      </c>
      <c r="G716" s="53" t="s">
        <v>25</v>
      </c>
      <c r="H716" s="53" t="s">
        <v>25</v>
      </c>
      <c r="I716" s="75">
        <v>44682</v>
      </c>
      <c r="J716" s="76">
        <f>EFEITO!$J$716*EFEITO!$Y$610</f>
        <v>0</v>
      </c>
      <c r="K716" s="76">
        <f ca="1">EFEITO!$L$716*EFEITO!$Z$756</f>
        <v>2416.0277952796696</v>
      </c>
      <c r="L716" s="76">
        <f>EFEITO!$N$716*EFEITO!$AA$756</f>
        <v>2675.7760270166282</v>
      </c>
      <c r="M716" s="76">
        <f>$J$716-EFEITO!$K$716*EFEITO!$Y$716</f>
        <v>0</v>
      </c>
      <c r="N716" s="76">
        <f ca="1">$K$716-EFEITO!$M$716*EFEITO!$Z$716</f>
        <v>966.41111811186761</v>
      </c>
      <c r="O716" s="76">
        <f>$L$716-EFEITO!$O$716*EFEITO!$AA$716</f>
        <v>1070.3104108066514</v>
      </c>
      <c r="P716" s="57"/>
      <c r="Q716" s="57"/>
      <c r="R716" s="57"/>
      <c r="S716" s="57"/>
      <c r="T716" s="57"/>
      <c r="U716" s="57"/>
      <c r="V716" s="57"/>
      <c r="W716" s="57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53" t="s">
        <v>21</v>
      </c>
      <c r="B717" s="53" t="s">
        <v>22</v>
      </c>
      <c r="C717" s="53" t="s">
        <v>23</v>
      </c>
      <c r="D717" s="53" t="s">
        <v>24</v>
      </c>
      <c r="E717" s="53" t="s">
        <v>30</v>
      </c>
      <c r="F717" s="53" t="s">
        <v>25</v>
      </c>
      <c r="G717" s="53" t="s">
        <v>25</v>
      </c>
      <c r="H717" s="53" t="s">
        <v>25</v>
      </c>
      <c r="I717" s="75">
        <v>44713</v>
      </c>
      <c r="J717" s="76">
        <f>EFEITO!$J$717*EFEITO!$Y$610</f>
        <v>0</v>
      </c>
      <c r="K717" s="76">
        <f ca="1">EFEITO!$L$717*EFEITO!$Z$756</f>
        <v>219614.12431068593</v>
      </c>
      <c r="L717" s="76">
        <f>EFEITO!$N$717*EFEITO!$AA$756</f>
        <v>243224.93730117058</v>
      </c>
      <c r="M717" s="76">
        <f>$J$717-EFEITO!$K$717*EFEITO!$Y$717</f>
        <v>0</v>
      </c>
      <c r="N717" s="76">
        <f ca="1">$K$717-EFEITO!$M$717*EFEITO!$Z$717</f>
        <v>87845.649724274379</v>
      </c>
      <c r="O717" s="76">
        <f>$L$717-EFEITO!$O$717*EFEITO!$AA$717</f>
        <v>97289.97492046823</v>
      </c>
      <c r="P717" s="57"/>
      <c r="Q717" s="57"/>
      <c r="R717" s="57"/>
      <c r="S717" s="57"/>
      <c r="T717" s="57"/>
      <c r="U717" s="57"/>
      <c r="V717" s="57"/>
      <c r="W717" s="57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53" t="s">
        <v>27</v>
      </c>
      <c r="B718" s="53" t="s">
        <v>22</v>
      </c>
      <c r="C718" s="53" t="s">
        <v>23</v>
      </c>
      <c r="D718" s="53" t="s">
        <v>24</v>
      </c>
      <c r="E718" s="53" t="s">
        <v>30</v>
      </c>
      <c r="F718" s="53" t="s">
        <v>25</v>
      </c>
      <c r="G718" s="53" t="s">
        <v>25</v>
      </c>
      <c r="H718" s="53" t="s">
        <v>25</v>
      </c>
      <c r="I718" s="75">
        <v>44713</v>
      </c>
      <c r="J718" s="76">
        <f>EFEITO!$J$718*EFEITO!$Y$610</f>
        <v>0</v>
      </c>
      <c r="K718" s="76">
        <f ca="1">EFEITO!$L$718*EFEITO!$Z$756</f>
        <v>8.6668460909231246</v>
      </c>
      <c r="L718" s="76">
        <f>EFEITO!$N$718*EFEITO!$AA$756</f>
        <v>9.5986226008010096</v>
      </c>
      <c r="M718" s="76">
        <f>$J$718-EFEITO!$K$718*EFEITO!$Y$718</f>
        <v>0</v>
      </c>
      <c r="N718" s="76">
        <f ca="1">$K$718-EFEITO!$M$718*EFEITO!$Z$718</f>
        <v>3.4667384363692495</v>
      </c>
      <c r="O718" s="76">
        <f>$L$718-EFEITO!$O$718*EFEITO!$AA$718</f>
        <v>3.839449040320404</v>
      </c>
      <c r="P718" s="57"/>
      <c r="Q718" s="57"/>
      <c r="R718" s="57"/>
      <c r="S718" s="57"/>
      <c r="T718" s="57"/>
      <c r="U718" s="57"/>
      <c r="V718" s="57"/>
      <c r="W718" s="57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53" t="s">
        <v>28</v>
      </c>
      <c r="B719" s="53" t="s">
        <v>22</v>
      </c>
      <c r="C719" s="53" t="s">
        <v>23</v>
      </c>
      <c r="D719" s="53" t="s">
        <v>24</v>
      </c>
      <c r="E719" s="53" t="s">
        <v>30</v>
      </c>
      <c r="F719" s="53" t="s">
        <v>25</v>
      </c>
      <c r="G719" s="53" t="s">
        <v>25</v>
      </c>
      <c r="H719" s="53" t="s">
        <v>25</v>
      </c>
      <c r="I719" s="75">
        <v>44713</v>
      </c>
      <c r="J719" s="76">
        <f>EFEITO!$J$719*EFEITO!$Y$610</f>
        <v>0</v>
      </c>
      <c r="K719" s="76">
        <f ca="1">EFEITO!$L$719*EFEITO!$Z$756</f>
        <v>2375.2936186523311</v>
      </c>
      <c r="L719" s="76">
        <f>EFEITO!$N$719*EFEITO!$AA$756</f>
        <v>2630.6625007928633</v>
      </c>
      <c r="M719" s="76">
        <f>$J$719-EFEITO!$K$719*EFEITO!$Y$719</f>
        <v>0</v>
      </c>
      <c r="N719" s="76">
        <f ca="1">$K$719-EFEITO!$M$719*EFEITO!$Z$719</f>
        <v>950.11744746093245</v>
      </c>
      <c r="O719" s="76">
        <f>$L$719-EFEITO!$O$719*EFEITO!$AA$719</f>
        <v>1052.2650003171455</v>
      </c>
      <c r="P719" s="57"/>
      <c r="Q719" s="57"/>
      <c r="R719" s="57"/>
      <c r="S719" s="57"/>
      <c r="T719" s="57"/>
      <c r="U719" s="57"/>
      <c r="V719" s="57"/>
      <c r="W719" s="57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53" t="s">
        <v>21</v>
      </c>
      <c r="B720" s="53" t="s">
        <v>22</v>
      </c>
      <c r="C720" s="53" t="s">
        <v>23</v>
      </c>
      <c r="D720" s="53" t="s">
        <v>24</v>
      </c>
      <c r="E720" s="53" t="s">
        <v>30</v>
      </c>
      <c r="F720" s="53" t="s">
        <v>25</v>
      </c>
      <c r="G720" s="53" t="s">
        <v>25</v>
      </c>
      <c r="H720" s="53" t="s">
        <v>25</v>
      </c>
      <c r="I720" s="75">
        <v>44743</v>
      </c>
      <c r="J720" s="76">
        <f>EFEITO!$J$720*EFEITO!$Y$610</f>
        <v>0</v>
      </c>
      <c r="K720" s="76">
        <f ca="1">EFEITO!$L$720*EFEITO!$Z$756</f>
        <v>181405.17773937254</v>
      </c>
      <c r="L720" s="76">
        <f>EFEITO!$N$720*EFEITO!$AA$756</f>
        <v>200908.12974919257</v>
      </c>
      <c r="M720" s="76">
        <f>$J$720-EFEITO!$K$720*EFEITO!$Y$720</f>
        <v>0</v>
      </c>
      <c r="N720" s="76">
        <f ca="1">$K$720-EFEITO!$M$720*EFEITO!$Z$720</f>
        <v>72562.071095749008</v>
      </c>
      <c r="O720" s="76">
        <f>$L$720-EFEITO!$O$720*EFEITO!$AA$720</f>
        <v>80363.251899677038</v>
      </c>
      <c r="P720" s="57"/>
      <c r="Q720" s="57"/>
      <c r="R720" s="57"/>
      <c r="S720" s="57"/>
      <c r="T720" s="57"/>
      <c r="U720" s="57"/>
      <c r="V720" s="57"/>
      <c r="W720" s="57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53" t="s">
        <v>27</v>
      </c>
      <c r="B721" s="53" t="s">
        <v>22</v>
      </c>
      <c r="C721" s="53" t="s">
        <v>23</v>
      </c>
      <c r="D721" s="53" t="s">
        <v>24</v>
      </c>
      <c r="E721" s="53" t="s">
        <v>30</v>
      </c>
      <c r="F721" s="53" t="s">
        <v>25</v>
      </c>
      <c r="G721" s="53" t="s">
        <v>25</v>
      </c>
      <c r="H721" s="53" t="s">
        <v>25</v>
      </c>
      <c r="I721" s="75">
        <v>44743</v>
      </c>
      <c r="J721" s="76">
        <f>EFEITO!$J$721*EFEITO!$Y$610</f>
        <v>0</v>
      </c>
      <c r="K721" s="76">
        <f ca="1">EFEITO!$L$721*EFEITO!$Z$756</f>
        <v>28.311697230348877</v>
      </c>
      <c r="L721" s="76">
        <f>EFEITO!$N$721*EFEITO!$AA$756</f>
        <v>31.355500495949968</v>
      </c>
      <c r="M721" s="76">
        <f>$J$721-EFEITO!$K$721*EFEITO!$Y$721</f>
        <v>0</v>
      </c>
      <c r="N721" s="76">
        <f ca="1">$K$721-EFEITO!$M$721*EFEITO!$Z$721</f>
        <v>11.324678892139548</v>
      </c>
      <c r="O721" s="76">
        <f>$L$721-EFEITO!$O$721*EFEITO!$AA$721</f>
        <v>12.542200198379991</v>
      </c>
      <c r="P721" s="57"/>
      <c r="Q721" s="57"/>
      <c r="R721" s="57"/>
      <c r="S721" s="57"/>
      <c r="T721" s="57"/>
      <c r="U721" s="57"/>
      <c r="V721" s="57"/>
      <c r="W721" s="57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53" t="s">
        <v>28</v>
      </c>
      <c r="B722" s="53" t="s">
        <v>22</v>
      </c>
      <c r="C722" s="53" t="s">
        <v>23</v>
      </c>
      <c r="D722" s="53" t="s">
        <v>24</v>
      </c>
      <c r="E722" s="53" t="s">
        <v>30</v>
      </c>
      <c r="F722" s="53" t="s">
        <v>25</v>
      </c>
      <c r="G722" s="53" t="s">
        <v>25</v>
      </c>
      <c r="H722" s="53" t="s">
        <v>25</v>
      </c>
      <c r="I722" s="75">
        <v>44743</v>
      </c>
      <c r="J722" s="76">
        <f>EFEITO!$J$722*EFEITO!$Y$610</f>
        <v>0</v>
      </c>
      <c r="K722" s="76">
        <f ca="1">EFEITO!$L$722*EFEITO!$Z$756</f>
        <v>2045.6645723275551</v>
      </c>
      <c r="L722" s="76">
        <f>EFEITO!$N$722*EFEITO!$AA$756</f>
        <v>2265.5948878757317</v>
      </c>
      <c r="M722" s="76">
        <f>$J$722-EFEITO!$K$722*EFEITO!$Y$722</f>
        <v>0</v>
      </c>
      <c r="N722" s="76">
        <f ca="1">$K$722-EFEITO!$M$722*EFEITO!$Z$722</f>
        <v>818.26582893102204</v>
      </c>
      <c r="O722" s="76">
        <f>$L$722-EFEITO!$O$722*EFEITO!$AA$722</f>
        <v>906.23795515029269</v>
      </c>
      <c r="P722" s="57"/>
      <c r="Q722" s="57"/>
      <c r="R722" s="57"/>
      <c r="S722" s="57"/>
      <c r="T722" s="57"/>
      <c r="U722" s="57"/>
      <c r="V722" s="57"/>
      <c r="W722" s="57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53" t="s">
        <v>56</v>
      </c>
      <c r="B723" s="53" t="s">
        <v>22</v>
      </c>
      <c r="C723" s="53" t="s">
        <v>23</v>
      </c>
      <c r="D723" s="53" t="s">
        <v>24</v>
      </c>
      <c r="E723" s="53" t="s">
        <v>30</v>
      </c>
      <c r="F723" s="53" t="s">
        <v>25</v>
      </c>
      <c r="G723" s="53" t="s">
        <v>25</v>
      </c>
      <c r="H723" s="53" t="s">
        <v>25</v>
      </c>
      <c r="I723" s="75">
        <v>44774</v>
      </c>
      <c r="J723" s="76">
        <f>EFEITO!$J$723*EFEITO!$Y$610</f>
        <v>0</v>
      </c>
      <c r="K723" s="76">
        <f ca="1">EFEITO!$L$723*EFEITO!$Z$756</f>
        <v>181405.17773937254</v>
      </c>
      <c r="L723" s="76">
        <f>EFEITO!$N$723*EFEITO!$AA$756</f>
        <v>200908.12974919257</v>
      </c>
      <c r="M723" s="76">
        <f>$J$723-EFEITO!$K$723*EFEITO!$Y$723</f>
        <v>0</v>
      </c>
      <c r="N723" s="76">
        <f ca="1">$K$723-EFEITO!$M$723*EFEITO!$Z$723</f>
        <v>72562.071095749008</v>
      </c>
      <c r="O723" s="76">
        <f>$L$723-EFEITO!$O$723*EFEITO!$AA$723</f>
        <v>80363.251899677038</v>
      </c>
      <c r="P723" s="57"/>
      <c r="Q723" s="57"/>
      <c r="R723" s="57"/>
      <c r="S723" s="57"/>
      <c r="T723" s="57"/>
      <c r="U723" s="57"/>
      <c r="V723" s="57"/>
      <c r="W723" s="57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53" t="s">
        <v>56</v>
      </c>
      <c r="B724" s="53" t="s">
        <v>22</v>
      </c>
      <c r="C724" s="53" t="s">
        <v>23</v>
      </c>
      <c r="D724" s="53" t="s">
        <v>24</v>
      </c>
      <c r="E724" s="53" t="s">
        <v>30</v>
      </c>
      <c r="F724" s="53" t="s">
        <v>25</v>
      </c>
      <c r="G724" s="53" t="s">
        <v>25</v>
      </c>
      <c r="H724" s="53" t="s">
        <v>25</v>
      </c>
      <c r="I724" s="75">
        <v>44774</v>
      </c>
      <c r="J724" s="76">
        <f>EFEITO!$J$724*EFEITO!$Y$610</f>
        <v>0</v>
      </c>
      <c r="K724" s="76">
        <f ca="1">EFEITO!$L$724*EFEITO!$Z$756</f>
        <v>28.311697230348877</v>
      </c>
      <c r="L724" s="76">
        <f>EFEITO!$N$724*EFEITO!$AA$756</f>
        <v>31.355500495949968</v>
      </c>
      <c r="M724" s="76">
        <f>$J$724-EFEITO!$K$724*EFEITO!$Y$724</f>
        <v>0</v>
      </c>
      <c r="N724" s="76">
        <f ca="1">$K$724-EFEITO!$M$724*EFEITO!$Z$724</f>
        <v>11.324678892139548</v>
      </c>
      <c r="O724" s="76">
        <f>$L$724-EFEITO!$O$724*EFEITO!$AA$724</f>
        <v>12.542200198379991</v>
      </c>
      <c r="P724" s="57"/>
      <c r="Q724" s="57"/>
      <c r="R724" s="57"/>
      <c r="S724" s="57"/>
      <c r="T724" s="57"/>
      <c r="U724" s="57"/>
      <c r="V724" s="57"/>
      <c r="W724" s="57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53" t="s">
        <v>56</v>
      </c>
      <c r="B725" s="53" t="s">
        <v>22</v>
      </c>
      <c r="C725" s="53" t="s">
        <v>23</v>
      </c>
      <c r="D725" s="53" t="s">
        <v>24</v>
      </c>
      <c r="E725" s="53" t="s">
        <v>30</v>
      </c>
      <c r="F725" s="53" t="s">
        <v>25</v>
      </c>
      <c r="G725" s="53" t="s">
        <v>25</v>
      </c>
      <c r="H725" s="53" t="s">
        <v>25</v>
      </c>
      <c r="I725" s="75">
        <v>44774</v>
      </c>
      <c r="J725" s="76">
        <f>EFEITO!$J$725*EFEITO!$Y$610</f>
        <v>0</v>
      </c>
      <c r="K725" s="76">
        <f ca="1">EFEITO!$L$725*EFEITO!$Z$756</f>
        <v>2045.6645723275551</v>
      </c>
      <c r="L725" s="76">
        <f>EFEITO!$N$725*EFEITO!$AA$756</f>
        <v>2265.5948878757317</v>
      </c>
      <c r="M725" s="76">
        <f>$J$725-EFEITO!$K$725*EFEITO!$Y$725</f>
        <v>0</v>
      </c>
      <c r="N725" s="76">
        <f ca="1">$K$725-EFEITO!$M$725*EFEITO!$Z$725</f>
        <v>818.26582893102204</v>
      </c>
      <c r="O725" s="76">
        <f>$L$725-EFEITO!$O$725*EFEITO!$AA$725</f>
        <v>906.23795515029269</v>
      </c>
      <c r="P725" s="57"/>
      <c r="Q725" s="57"/>
      <c r="R725" s="57"/>
      <c r="S725" s="57"/>
      <c r="T725" s="57"/>
      <c r="U725" s="57"/>
      <c r="V725" s="57"/>
      <c r="W725" s="57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53" t="s">
        <v>21</v>
      </c>
      <c r="B726" s="53" t="s">
        <v>22</v>
      </c>
      <c r="C726" s="53" t="s">
        <v>23</v>
      </c>
      <c r="D726" s="53" t="s">
        <v>24</v>
      </c>
      <c r="E726" s="53" t="s">
        <v>31</v>
      </c>
      <c r="F726" s="53" t="s">
        <v>25</v>
      </c>
      <c r="G726" s="53" t="s">
        <v>25</v>
      </c>
      <c r="H726" s="53" t="s">
        <v>25</v>
      </c>
      <c r="I726" s="75">
        <v>44440</v>
      </c>
      <c r="J726" s="76">
        <f>EFEITO!$J$726*EFEITO!$Y$610</f>
        <v>0</v>
      </c>
      <c r="K726" s="76">
        <f ca="1">EFEITO!$L$726*EFEITO!$Z$756</f>
        <v>130004.71362793476</v>
      </c>
      <c r="L726" s="76">
        <f>EFEITO!$N$726*EFEITO!$AA$756</f>
        <v>143981.578690622</v>
      </c>
      <c r="M726" s="76">
        <f>$J$726-EFEITO!$K$726*EFEITO!$Y$726</f>
        <v>0</v>
      </c>
      <c r="N726" s="76">
        <f ca="1">$K$726-EFEITO!$M$726*EFEITO!$Z$726</f>
        <v>13000.471362793469</v>
      </c>
      <c r="O726" s="76">
        <f>$L$726-EFEITO!$O$726*EFEITO!$AA$726</f>
        <v>14398.157869062197</v>
      </c>
      <c r="P726" s="57"/>
      <c r="Q726" s="57"/>
      <c r="R726" s="57"/>
      <c r="S726" s="57"/>
      <c r="T726" s="57"/>
      <c r="U726" s="57"/>
      <c r="V726" s="57"/>
      <c r="W726" s="57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53" t="s">
        <v>28</v>
      </c>
      <c r="B727" s="53" t="s">
        <v>22</v>
      </c>
      <c r="C727" s="53" t="s">
        <v>23</v>
      </c>
      <c r="D727" s="53" t="s">
        <v>24</v>
      </c>
      <c r="E727" s="53" t="s">
        <v>31</v>
      </c>
      <c r="F727" s="53" t="s">
        <v>25</v>
      </c>
      <c r="G727" s="53" t="s">
        <v>25</v>
      </c>
      <c r="H727" s="53" t="s">
        <v>25</v>
      </c>
      <c r="I727" s="75">
        <v>44440</v>
      </c>
      <c r="J727" s="76">
        <f>EFEITO!$J$727*EFEITO!$Y$610</f>
        <v>0</v>
      </c>
      <c r="K727" s="76">
        <f ca="1">EFEITO!$L$727*EFEITO!$Z$756</f>
        <v>1227.8031962141094</v>
      </c>
      <c r="L727" s="76">
        <f>EFEITO!$N$727*EFEITO!$AA$756</f>
        <v>1359.8048684468097</v>
      </c>
      <c r="M727" s="76">
        <f>$J$727-EFEITO!$K$727*EFEITO!$Y$727</f>
        <v>0</v>
      </c>
      <c r="N727" s="76">
        <f ca="1">$K$727-EFEITO!$M$727*EFEITO!$Z$727</f>
        <v>122.78031962141108</v>
      </c>
      <c r="O727" s="76">
        <f>$L$727-EFEITO!$O$727*EFEITO!$AA$727</f>
        <v>135.98048684468085</v>
      </c>
      <c r="P727" s="57"/>
      <c r="Q727" s="57"/>
      <c r="R727" s="57"/>
      <c r="S727" s="57"/>
      <c r="T727" s="57"/>
      <c r="U727" s="57"/>
      <c r="V727" s="57"/>
      <c r="W727" s="57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53" t="s">
        <v>21</v>
      </c>
      <c r="B728" s="53" t="s">
        <v>22</v>
      </c>
      <c r="C728" s="53" t="s">
        <v>23</v>
      </c>
      <c r="D728" s="53" t="s">
        <v>24</v>
      </c>
      <c r="E728" s="53" t="s">
        <v>31</v>
      </c>
      <c r="F728" s="53" t="s">
        <v>25</v>
      </c>
      <c r="G728" s="53" t="s">
        <v>25</v>
      </c>
      <c r="H728" s="53" t="s">
        <v>25</v>
      </c>
      <c r="I728" s="75">
        <v>44470</v>
      </c>
      <c r="J728" s="76">
        <f>EFEITO!$J$728*EFEITO!$Y$610</f>
        <v>0</v>
      </c>
      <c r="K728" s="76">
        <f ca="1">EFEITO!$L$728*EFEITO!$Z$756</f>
        <v>141901.11546720553</v>
      </c>
      <c r="L728" s="76">
        <f>EFEITO!$N$728*EFEITO!$AA$756</f>
        <v>157156.96802656815</v>
      </c>
      <c r="M728" s="76">
        <f>$J$728-EFEITO!$K$728*EFEITO!$Y$728</f>
        <v>0</v>
      </c>
      <c r="N728" s="76">
        <f ca="1">$K$728-EFEITO!$M$728*EFEITO!$Z$728</f>
        <v>14190.111546720553</v>
      </c>
      <c r="O728" s="76">
        <f>$L$728-EFEITO!$O$728*EFEITO!$AA$728</f>
        <v>15715.696802656807</v>
      </c>
      <c r="P728" s="57"/>
      <c r="Q728" s="57"/>
      <c r="R728" s="57"/>
      <c r="S728" s="57"/>
      <c r="T728" s="57"/>
      <c r="U728" s="57"/>
      <c r="V728" s="57"/>
      <c r="W728" s="57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53" t="s">
        <v>28</v>
      </c>
      <c r="B729" s="53" t="s">
        <v>22</v>
      </c>
      <c r="C729" s="53" t="s">
        <v>23</v>
      </c>
      <c r="D729" s="53" t="s">
        <v>24</v>
      </c>
      <c r="E729" s="53" t="s">
        <v>31</v>
      </c>
      <c r="F729" s="53" t="s">
        <v>25</v>
      </c>
      <c r="G729" s="53" t="s">
        <v>25</v>
      </c>
      <c r="H729" s="53" t="s">
        <v>25</v>
      </c>
      <c r="I729" s="75">
        <v>44470</v>
      </c>
      <c r="J729" s="76">
        <f>EFEITO!$J$729*EFEITO!$Y$610</f>
        <v>0</v>
      </c>
      <c r="K729" s="76">
        <f ca="1">EFEITO!$L$729*EFEITO!$Z$756</f>
        <v>1570.1436168055727</v>
      </c>
      <c r="L729" s="76">
        <f>EFEITO!$N$729*EFEITO!$AA$756</f>
        <v>1738.9504611784496</v>
      </c>
      <c r="M729" s="76">
        <f>$J$729-EFEITO!$K$729*EFEITO!$Y$729</f>
        <v>0</v>
      </c>
      <c r="N729" s="76">
        <f ca="1">$K$729-EFEITO!$M$729*EFEITO!$Z$729</f>
        <v>157.01436168055716</v>
      </c>
      <c r="O729" s="76">
        <f>$L$729-EFEITO!$O$729*EFEITO!$AA$729</f>
        <v>173.89504611784514</v>
      </c>
      <c r="P729" s="57"/>
      <c r="Q729" s="57"/>
      <c r="R729" s="57"/>
      <c r="S729" s="57"/>
      <c r="T729" s="57"/>
      <c r="U729" s="57"/>
      <c r="V729" s="57"/>
      <c r="W729" s="57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53" t="s">
        <v>21</v>
      </c>
      <c r="B730" s="53" t="s">
        <v>22</v>
      </c>
      <c r="C730" s="53" t="s">
        <v>23</v>
      </c>
      <c r="D730" s="53" t="s">
        <v>24</v>
      </c>
      <c r="E730" s="53" t="s">
        <v>31</v>
      </c>
      <c r="F730" s="53" t="s">
        <v>25</v>
      </c>
      <c r="G730" s="53" t="s">
        <v>25</v>
      </c>
      <c r="H730" s="53" t="s">
        <v>25</v>
      </c>
      <c r="I730" s="75">
        <v>44501</v>
      </c>
      <c r="J730" s="76">
        <f>EFEITO!$J$730*EFEITO!$Y$610</f>
        <v>0</v>
      </c>
      <c r="K730" s="76">
        <f ca="1">EFEITO!$L$730*EFEITO!$Z$756</f>
        <v>139610.17915050485</v>
      </c>
      <c r="L730" s="76">
        <f>EFEITO!$N$730*EFEITO!$AA$756</f>
        <v>154619.73211908975</v>
      </c>
      <c r="M730" s="76">
        <f>$J$730-EFEITO!$K$730*EFEITO!$Y$730</f>
        <v>0</v>
      </c>
      <c r="N730" s="76">
        <f ca="1">$K$730-EFEITO!$M$730*EFEITO!$Z$730</f>
        <v>13961.017915050485</v>
      </c>
      <c r="O730" s="76">
        <f>$L$730-EFEITO!$O$730*EFEITO!$AA$730</f>
        <v>15461.973211908975</v>
      </c>
      <c r="P730" s="57"/>
      <c r="Q730" s="57"/>
      <c r="R730" s="57"/>
      <c r="S730" s="57"/>
      <c r="T730" s="57"/>
      <c r="U730" s="57"/>
      <c r="V730" s="57"/>
      <c r="W730" s="57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53" t="s">
        <v>28</v>
      </c>
      <c r="B731" s="53" t="s">
        <v>22</v>
      </c>
      <c r="C731" s="53" t="s">
        <v>23</v>
      </c>
      <c r="D731" s="53" t="s">
        <v>24</v>
      </c>
      <c r="E731" s="53" t="s">
        <v>31</v>
      </c>
      <c r="F731" s="53" t="s">
        <v>25</v>
      </c>
      <c r="G731" s="53" t="s">
        <v>25</v>
      </c>
      <c r="H731" s="53" t="s">
        <v>25</v>
      </c>
      <c r="I731" s="75">
        <v>44501</v>
      </c>
      <c r="J731" s="76">
        <f>EFEITO!$J$731*EFEITO!$Y$610</f>
        <v>0</v>
      </c>
      <c r="K731" s="76">
        <f ca="1">EFEITO!$L$731*EFEITO!$Z$756</f>
        <v>1243.6924140474684</v>
      </c>
      <c r="L731" s="76">
        <f>EFEITO!$N$731*EFEITO!$AA$756</f>
        <v>1377.4023432149449</v>
      </c>
      <c r="M731" s="76">
        <f>$J$731-EFEITO!$K$731*EFEITO!$Y$731</f>
        <v>0</v>
      </c>
      <c r="N731" s="76">
        <f ca="1">$K$731-EFEITO!$M$731*EFEITO!$Z$731</f>
        <v>124.36924140474684</v>
      </c>
      <c r="O731" s="76">
        <f>$L$731-EFEITO!$O$731*EFEITO!$AA$731</f>
        <v>137.74023432149465</v>
      </c>
      <c r="P731" s="57"/>
      <c r="Q731" s="57"/>
      <c r="R731" s="57"/>
      <c r="S731" s="57"/>
      <c r="T731" s="57"/>
      <c r="U731" s="57"/>
      <c r="V731" s="57"/>
      <c r="W731" s="57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53" t="s">
        <v>21</v>
      </c>
      <c r="B732" s="53" t="s">
        <v>22</v>
      </c>
      <c r="C732" s="53" t="s">
        <v>23</v>
      </c>
      <c r="D732" s="53" t="s">
        <v>24</v>
      </c>
      <c r="E732" s="53" t="s">
        <v>31</v>
      </c>
      <c r="F732" s="53" t="s">
        <v>25</v>
      </c>
      <c r="G732" s="53" t="s">
        <v>25</v>
      </c>
      <c r="H732" s="53" t="s">
        <v>25</v>
      </c>
      <c r="I732" s="75">
        <v>44531</v>
      </c>
      <c r="J732" s="76">
        <f>EFEITO!$J$732*EFEITO!$Y$610</f>
        <v>0</v>
      </c>
      <c r="K732" s="76">
        <f ca="1">EFEITO!$L$732*EFEITO!$Z$756</f>
        <v>148133.44449118836</v>
      </c>
      <c r="L732" s="76">
        <f>EFEITO!$N$732*EFEITO!$AA$756</f>
        <v>164059.33753880419</v>
      </c>
      <c r="M732" s="76">
        <f>$J$732-EFEITO!$K$732*EFEITO!$Y$732</f>
        <v>0</v>
      </c>
      <c r="N732" s="76">
        <f ca="1">$K$732-EFEITO!$M$732*EFEITO!$Z$732</f>
        <v>14813.344449118827</v>
      </c>
      <c r="O732" s="76">
        <f>$L$732-EFEITO!$O$732*EFEITO!$AA$732</f>
        <v>16405.933753880439</v>
      </c>
      <c r="P732" s="57"/>
      <c r="Q732" s="57"/>
      <c r="R732" s="57"/>
      <c r="S732" s="57"/>
      <c r="T732" s="57"/>
      <c r="U732" s="57"/>
      <c r="V732" s="57"/>
      <c r="W732" s="57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53" t="s">
        <v>27</v>
      </c>
      <c r="B733" s="53" t="s">
        <v>22</v>
      </c>
      <c r="C733" s="53" t="s">
        <v>23</v>
      </c>
      <c r="D733" s="53" t="s">
        <v>24</v>
      </c>
      <c r="E733" s="53" t="s">
        <v>31</v>
      </c>
      <c r="F733" s="53" t="s">
        <v>25</v>
      </c>
      <c r="G733" s="53" t="s">
        <v>25</v>
      </c>
      <c r="H733" s="53" t="s">
        <v>25</v>
      </c>
      <c r="I733" s="75">
        <v>44531</v>
      </c>
      <c r="J733" s="76">
        <f>EFEITO!$J$733*EFEITO!$Y$610</f>
        <v>0</v>
      </c>
      <c r="K733" s="76">
        <f ca="1">EFEITO!$L$733*EFEITO!$Z$756</f>
        <v>-28.02280236065144</v>
      </c>
      <c r="L733" s="76">
        <f>EFEITO!$N$733*EFEITO!$AA$756</f>
        <v>-31.0355464092566</v>
      </c>
      <c r="M733" s="76">
        <f>$J$733-EFEITO!$K$733*EFEITO!$Y$733</f>
        <v>0</v>
      </c>
      <c r="N733" s="76">
        <f ca="1">$K$733-EFEITO!$M$733*EFEITO!$Z$733</f>
        <v>-2.802280236065144</v>
      </c>
      <c r="O733" s="76">
        <f>$L$733-EFEITO!$O$733*EFEITO!$AA$733</f>
        <v>-3.1035546409256618</v>
      </c>
      <c r="P733" s="57"/>
      <c r="Q733" s="57"/>
      <c r="R733" s="57"/>
      <c r="S733" s="57"/>
      <c r="T733" s="57"/>
      <c r="U733" s="57"/>
      <c r="V733" s="57"/>
      <c r="W733" s="57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53" t="s">
        <v>28</v>
      </c>
      <c r="B734" s="53" t="s">
        <v>22</v>
      </c>
      <c r="C734" s="53" t="s">
        <v>23</v>
      </c>
      <c r="D734" s="53" t="s">
        <v>24</v>
      </c>
      <c r="E734" s="53" t="s">
        <v>31</v>
      </c>
      <c r="F734" s="53" t="s">
        <v>25</v>
      </c>
      <c r="G734" s="53" t="s">
        <v>25</v>
      </c>
      <c r="H734" s="53" t="s">
        <v>25</v>
      </c>
      <c r="I734" s="75">
        <v>44531</v>
      </c>
      <c r="J734" s="76">
        <f>EFEITO!$J$734*EFEITO!$Y$610</f>
        <v>0</v>
      </c>
      <c r="K734" s="76">
        <f ca="1">EFEITO!$L$734*EFEITO!$Z$756</f>
        <v>1139.9791558260886</v>
      </c>
      <c r="L734" s="76">
        <f>EFEITO!$N$734*EFEITO!$AA$756</f>
        <v>1262.5388260920263</v>
      </c>
      <c r="M734" s="76">
        <f>$J$734-EFEITO!$K$734*EFEITO!$Y$734</f>
        <v>0</v>
      </c>
      <c r="N734" s="76">
        <f ca="1">$K$734-EFEITO!$M$734*EFEITO!$Z$734</f>
        <v>113.99791558260904</v>
      </c>
      <c r="O734" s="76">
        <f>$L$734-EFEITO!$O$734*EFEITO!$AA$734</f>
        <v>126.25388260920272</v>
      </c>
      <c r="P734" s="57"/>
      <c r="Q734" s="57"/>
      <c r="R734" s="57"/>
      <c r="S734" s="57"/>
      <c r="T734" s="57"/>
      <c r="U734" s="57"/>
      <c r="V734" s="57"/>
      <c r="W734" s="57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53" t="s">
        <v>21</v>
      </c>
      <c r="B735" s="53" t="s">
        <v>22</v>
      </c>
      <c r="C735" s="53" t="s">
        <v>23</v>
      </c>
      <c r="D735" s="53" t="s">
        <v>24</v>
      </c>
      <c r="E735" s="53" t="s">
        <v>31</v>
      </c>
      <c r="F735" s="53" t="s">
        <v>25</v>
      </c>
      <c r="G735" s="53" t="s">
        <v>25</v>
      </c>
      <c r="H735" s="53" t="s">
        <v>25</v>
      </c>
      <c r="I735" s="75">
        <v>44562</v>
      </c>
      <c r="J735" s="76">
        <f>EFEITO!$J$735*EFEITO!$Y$610</f>
        <v>0</v>
      </c>
      <c r="K735" s="76">
        <f ca="1">EFEITO!$L$735*EFEITO!$Z$756</f>
        <v>166178.10694736001</v>
      </c>
      <c r="L735" s="76">
        <f>EFEITO!$N$735*EFEITO!$AA$756</f>
        <v>184043.98974775858</v>
      </c>
      <c r="M735" s="76">
        <f>$J$735-EFEITO!$K$735*EFEITO!$Y$735</f>
        <v>0</v>
      </c>
      <c r="N735" s="76">
        <f ca="1">$K$735-EFEITO!$M$735*EFEITO!$Z$735</f>
        <v>16617.810694735992</v>
      </c>
      <c r="O735" s="76">
        <f>$L$735-EFEITO!$O$735*EFEITO!$AA$735</f>
        <v>18404.398974775861</v>
      </c>
      <c r="P735" s="57"/>
      <c r="Q735" s="57"/>
      <c r="R735" s="57"/>
      <c r="S735" s="57"/>
      <c r="T735" s="57"/>
      <c r="U735" s="57"/>
      <c r="V735" s="57"/>
      <c r="W735" s="57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53" t="s">
        <v>27</v>
      </c>
      <c r="B736" s="53" t="s">
        <v>22</v>
      </c>
      <c r="C736" s="53" t="s">
        <v>23</v>
      </c>
      <c r="D736" s="53" t="s">
        <v>24</v>
      </c>
      <c r="E736" s="53" t="s">
        <v>31</v>
      </c>
      <c r="F736" s="53" t="s">
        <v>25</v>
      </c>
      <c r="G736" s="53" t="s">
        <v>25</v>
      </c>
      <c r="H736" s="53" t="s">
        <v>25</v>
      </c>
      <c r="I736" s="75">
        <v>44562</v>
      </c>
      <c r="J736" s="76">
        <f>EFEITO!$J$736*EFEITO!$Y$610</f>
        <v>0</v>
      </c>
      <c r="K736" s="76">
        <f ca="1">EFEITO!$L$736*EFEITO!$Z$756</f>
        <v>6.066792263646188</v>
      </c>
      <c r="L736" s="76">
        <f>EFEITO!$N$736*EFEITO!$AA$756</f>
        <v>6.7190358205607073</v>
      </c>
      <c r="M736" s="76">
        <f>$J$736-EFEITO!$K$736*EFEITO!$Y$736</f>
        <v>0</v>
      </c>
      <c r="N736" s="76">
        <f ca="1">$K$736-EFEITO!$M$736*EFEITO!$Z$736</f>
        <v>0.60667922636461835</v>
      </c>
      <c r="O736" s="76">
        <f>$L$736-EFEITO!$O$736*EFEITO!$AA$736</f>
        <v>0.67190358205607037</v>
      </c>
      <c r="P736" s="57"/>
      <c r="Q736" s="57"/>
      <c r="R736" s="57"/>
      <c r="S736" s="57"/>
      <c r="T736" s="57"/>
      <c r="U736" s="57"/>
      <c r="V736" s="57"/>
      <c r="W736" s="57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53" t="s">
        <v>28</v>
      </c>
      <c r="B737" s="53" t="s">
        <v>22</v>
      </c>
      <c r="C737" s="53" t="s">
        <v>23</v>
      </c>
      <c r="D737" s="53" t="s">
        <v>24</v>
      </c>
      <c r="E737" s="53" t="s">
        <v>31</v>
      </c>
      <c r="F737" s="53" t="s">
        <v>25</v>
      </c>
      <c r="G737" s="53" t="s">
        <v>25</v>
      </c>
      <c r="H737" s="53" t="s">
        <v>25</v>
      </c>
      <c r="I737" s="75">
        <v>44562</v>
      </c>
      <c r="J737" s="76">
        <f>EFEITO!$J$737*EFEITO!$Y$610</f>
        <v>0</v>
      </c>
      <c r="K737" s="76">
        <f ca="1">EFEITO!$L$737*EFEITO!$Z$756</f>
        <v>1464.6969893660082</v>
      </c>
      <c r="L737" s="76">
        <f>EFEITO!$N$737*EFEITO!$AA$756</f>
        <v>1622.1672195353708</v>
      </c>
      <c r="M737" s="76">
        <f>$J$737-EFEITO!$K$737*EFEITO!$Y$737</f>
        <v>0</v>
      </c>
      <c r="N737" s="76">
        <f ca="1">$K$737-EFEITO!$M$737*EFEITO!$Z$737</f>
        <v>146.46969893660071</v>
      </c>
      <c r="O737" s="76">
        <f>$L$737-EFEITO!$O$737*EFEITO!$AA$737</f>
        <v>162.21672195353722</v>
      </c>
      <c r="P737" s="57"/>
      <c r="Q737" s="57"/>
      <c r="R737" s="57"/>
      <c r="S737" s="57"/>
      <c r="T737" s="57"/>
      <c r="U737" s="57"/>
      <c r="V737" s="57"/>
      <c r="W737" s="57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53" t="s">
        <v>21</v>
      </c>
      <c r="B738" s="53" t="s">
        <v>22</v>
      </c>
      <c r="C738" s="53" t="s">
        <v>23</v>
      </c>
      <c r="D738" s="53" t="s">
        <v>24</v>
      </c>
      <c r="E738" s="53" t="s">
        <v>31</v>
      </c>
      <c r="F738" s="53" t="s">
        <v>25</v>
      </c>
      <c r="G738" s="53" t="s">
        <v>25</v>
      </c>
      <c r="H738" s="53" t="s">
        <v>25</v>
      </c>
      <c r="I738" s="75">
        <v>44593</v>
      </c>
      <c r="J738" s="76">
        <f>EFEITO!$J$738*EFEITO!$Y$610</f>
        <v>0</v>
      </c>
      <c r="K738" s="76">
        <f ca="1">EFEITO!$L$738*EFEITO!$Z$756</f>
        <v>182372.97555285896</v>
      </c>
      <c r="L738" s="76">
        <f>EFEITO!$N$738*EFEITO!$AA$756</f>
        <v>201979.97593961534</v>
      </c>
      <c r="M738" s="76">
        <f>$J$738-EFEITO!$K$738*EFEITO!$Y$738</f>
        <v>0</v>
      </c>
      <c r="N738" s="76">
        <f ca="1">$K$738-EFEITO!$M$738*EFEITO!$Z$738</f>
        <v>18237.297555285884</v>
      </c>
      <c r="O738" s="76">
        <f>$L$738-EFEITO!$O$738*EFEITO!$AA$738</f>
        <v>20197.99759396154</v>
      </c>
      <c r="P738" s="57"/>
      <c r="Q738" s="57"/>
      <c r="R738" s="57"/>
      <c r="S738" s="57"/>
      <c r="T738" s="57"/>
      <c r="U738" s="57"/>
      <c r="V738" s="57"/>
      <c r="W738" s="57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53" t="s">
        <v>28</v>
      </c>
      <c r="B739" s="53" t="s">
        <v>22</v>
      </c>
      <c r="C739" s="53" t="s">
        <v>23</v>
      </c>
      <c r="D739" s="53" t="s">
        <v>24</v>
      </c>
      <c r="E739" s="53" t="s">
        <v>31</v>
      </c>
      <c r="F739" s="53" t="s">
        <v>25</v>
      </c>
      <c r="G739" s="53" t="s">
        <v>25</v>
      </c>
      <c r="H739" s="53" t="s">
        <v>25</v>
      </c>
      <c r="I739" s="75">
        <v>44593</v>
      </c>
      <c r="J739" s="76">
        <f>EFEITO!$J$739*EFEITO!$Y$610</f>
        <v>0</v>
      </c>
      <c r="K739" s="76">
        <f ca="1">EFEITO!$L$739*EFEITO!$Z$756</f>
        <v>1718.6355798300558</v>
      </c>
      <c r="L739" s="76">
        <f>EFEITO!$N$739*EFEITO!$AA$756</f>
        <v>1903.4068617388402</v>
      </c>
      <c r="M739" s="76">
        <f>$J$739-EFEITO!$K$739*EFEITO!$Y$739</f>
        <v>0</v>
      </c>
      <c r="N739" s="76">
        <f ca="1">$K$739-EFEITO!$M$739*EFEITO!$Z$739</f>
        <v>171.86355798300565</v>
      </c>
      <c r="O739" s="76">
        <f>$L$739-EFEITO!$O$739*EFEITO!$AA$739</f>
        <v>190.34068617388402</v>
      </c>
      <c r="P739" s="57"/>
      <c r="Q739" s="57"/>
      <c r="R739" s="57"/>
      <c r="S739" s="57"/>
      <c r="T739" s="57"/>
      <c r="U739" s="57"/>
      <c r="V739" s="57"/>
      <c r="W739" s="57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53" t="s">
        <v>21</v>
      </c>
      <c r="B740" s="53" t="s">
        <v>22</v>
      </c>
      <c r="C740" s="53" t="s">
        <v>23</v>
      </c>
      <c r="D740" s="53" t="s">
        <v>24</v>
      </c>
      <c r="E740" s="53" t="s">
        <v>31</v>
      </c>
      <c r="F740" s="53" t="s">
        <v>25</v>
      </c>
      <c r="G740" s="53" t="s">
        <v>25</v>
      </c>
      <c r="H740" s="53" t="s">
        <v>25</v>
      </c>
      <c r="I740" s="75">
        <v>44621</v>
      </c>
      <c r="J740" s="76">
        <f>EFEITO!$J$740*EFEITO!$Y$610</f>
        <v>0</v>
      </c>
      <c r="K740" s="76">
        <f ca="1">EFEITO!$L$740*EFEITO!$Z$756</f>
        <v>220077.80057655033</v>
      </c>
      <c r="L740" s="76">
        <f>EFEITO!$N$740*EFEITO!$AA$756</f>
        <v>243738.46361031345</v>
      </c>
      <c r="M740" s="76">
        <f>$J$740-EFEITO!$K$740*EFEITO!$Y$740</f>
        <v>0</v>
      </c>
      <c r="N740" s="76">
        <f ca="1">$K$740-EFEITO!$M$740*EFEITO!$Z$740</f>
        <v>22007.780057655036</v>
      </c>
      <c r="O740" s="76">
        <f>$L$740-EFEITO!$O$740*EFEITO!$AA$740</f>
        <v>24373.846361031348</v>
      </c>
      <c r="P740" s="57"/>
      <c r="Q740" s="57"/>
      <c r="R740" s="57"/>
      <c r="S740" s="57"/>
      <c r="T740" s="57"/>
      <c r="U740" s="57"/>
      <c r="V740" s="57"/>
      <c r="W740" s="57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53" t="s">
        <v>27</v>
      </c>
      <c r="B741" s="53" t="s">
        <v>22</v>
      </c>
      <c r="C741" s="53" t="s">
        <v>23</v>
      </c>
      <c r="D741" s="53" t="s">
        <v>24</v>
      </c>
      <c r="E741" s="53" t="s">
        <v>31</v>
      </c>
      <c r="F741" s="53" t="s">
        <v>25</v>
      </c>
      <c r="G741" s="53" t="s">
        <v>25</v>
      </c>
      <c r="H741" s="53" t="s">
        <v>25</v>
      </c>
      <c r="I741" s="75">
        <v>44621</v>
      </c>
      <c r="J741" s="76">
        <f>EFEITO!$J$741*EFEITO!$Y$610</f>
        <v>0</v>
      </c>
      <c r="K741" s="76">
        <f ca="1">EFEITO!$L$741*EFEITO!$Z$756</f>
        <v>39.289702278851507</v>
      </c>
      <c r="L741" s="76">
        <f>EFEITO!$N$741*EFEITO!$AA$756</f>
        <v>43.513755790297914</v>
      </c>
      <c r="M741" s="76">
        <f>$J$741-EFEITO!$K$741*EFEITO!$Y$741</f>
        <v>0</v>
      </c>
      <c r="N741" s="76">
        <f ca="1">$K$741-EFEITO!$M$741*EFEITO!$Z$741</f>
        <v>3.9289702278851522</v>
      </c>
      <c r="O741" s="76">
        <f>$L$741-EFEITO!$O$741*EFEITO!$AA$741</f>
        <v>4.3513755790297921</v>
      </c>
      <c r="P741" s="57"/>
      <c r="Q741" s="57"/>
      <c r="R741" s="57"/>
      <c r="S741" s="57"/>
      <c r="T741" s="57"/>
      <c r="U741" s="57"/>
      <c r="V741" s="57"/>
      <c r="W741" s="57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53" t="s">
        <v>28</v>
      </c>
      <c r="B742" s="53" t="s">
        <v>22</v>
      </c>
      <c r="C742" s="53" t="s">
        <v>23</v>
      </c>
      <c r="D742" s="53" t="s">
        <v>24</v>
      </c>
      <c r="E742" s="53" t="s">
        <v>31</v>
      </c>
      <c r="F742" s="53" t="s">
        <v>25</v>
      </c>
      <c r="G742" s="53" t="s">
        <v>25</v>
      </c>
      <c r="H742" s="53" t="s">
        <v>25</v>
      </c>
      <c r="I742" s="75">
        <v>44621</v>
      </c>
      <c r="J742" s="76">
        <f>EFEITO!$J$742*EFEITO!$Y$610</f>
        <v>0</v>
      </c>
      <c r="K742" s="76">
        <f ca="1">EFEITO!$L$742*EFEITO!$Z$756</f>
        <v>1594.6996807298549</v>
      </c>
      <c r="L742" s="76">
        <f>EFEITO!$N$742*EFEITO!$AA$756</f>
        <v>1766.1465585473857</v>
      </c>
      <c r="M742" s="76">
        <f>$J$742-EFEITO!$K$742*EFEITO!$Y$742</f>
        <v>0</v>
      </c>
      <c r="N742" s="76">
        <f ca="1">$K$742-EFEITO!$M$742*EFEITO!$Z$742</f>
        <v>159.46996807298547</v>
      </c>
      <c r="O742" s="76">
        <f>$L$742-EFEITO!$O$742*EFEITO!$AA$742</f>
        <v>176.61465585473866</v>
      </c>
      <c r="P742" s="57"/>
      <c r="Q742" s="57"/>
      <c r="R742" s="57"/>
      <c r="S742" s="57"/>
      <c r="T742" s="57"/>
      <c r="U742" s="57"/>
      <c r="V742" s="57"/>
      <c r="W742" s="57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53" t="s">
        <v>21</v>
      </c>
      <c r="B743" s="53" t="s">
        <v>22</v>
      </c>
      <c r="C743" s="53" t="s">
        <v>23</v>
      </c>
      <c r="D743" s="53" t="s">
        <v>24</v>
      </c>
      <c r="E743" s="53" t="s">
        <v>31</v>
      </c>
      <c r="F743" s="53" t="s">
        <v>25</v>
      </c>
      <c r="G743" s="53" t="s">
        <v>25</v>
      </c>
      <c r="H743" s="53" t="s">
        <v>25</v>
      </c>
      <c r="I743" s="75">
        <v>44652</v>
      </c>
      <c r="J743" s="76">
        <f>EFEITO!$J$743*EFEITO!$Y$610</f>
        <v>0</v>
      </c>
      <c r="K743" s="76">
        <f ca="1">EFEITO!$L$743*EFEITO!$Z$756</f>
        <v>223587.00655876508</v>
      </c>
      <c r="L743" s="76">
        <f>EFEITO!$N$743*EFEITO!$AA$756</f>
        <v>247624.94590137777</v>
      </c>
      <c r="M743" s="76">
        <f>$J$743-EFEITO!$K$743*EFEITO!$Y$743</f>
        <v>0</v>
      </c>
      <c r="N743" s="76">
        <f ca="1">$K$743-EFEITO!$M$743*EFEITO!$Z$743</f>
        <v>22358.700655876513</v>
      </c>
      <c r="O743" s="76">
        <f>$L$743-EFEITO!$O$743*EFEITO!$AA$743</f>
        <v>24762.494590137794</v>
      </c>
      <c r="P743" s="57"/>
      <c r="Q743" s="57"/>
      <c r="R743" s="57"/>
      <c r="S743" s="57"/>
      <c r="T743" s="57"/>
      <c r="U743" s="57"/>
      <c r="V743" s="57"/>
      <c r="W743" s="57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53" t="s">
        <v>28</v>
      </c>
      <c r="B744" s="53" t="s">
        <v>22</v>
      </c>
      <c r="C744" s="53" t="s">
        <v>23</v>
      </c>
      <c r="D744" s="53" t="s">
        <v>24</v>
      </c>
      <c r="E744" s="53" t="s">
        <v>31</v>
      </c>
      <c r="F744" s="53" t="s">
        <v>25</v>
      </c>
      <c r="G744" s="53" t="s">
        <v>25</v>
      </c>
      <c r="H744" s="53" t="s">
        <v>25</v>
      </c>
      <c r="I744" s="75">
        <v>44652</v>
      </c>
      <c r="J744" s="76">
        <f>EFEITO!$J$744*EFEITO!$Y$610</f>
        <v>0</v>
      </c>
      <c r="K744" s="76">
        <f ca="1">EFEITO!$L$744*EFEITO!$Z$756</f>
        <v>1722.1023182664251</v>
      </c>
      <c r="L744" s="76">
        <f>EFEITO!$N$744*EFEITO!$AA$756</f>
        <v>1907.2463107791607</v>
      </c>
      <c r="M744" s="76">
        <f>$J$744-EFEITO!$K$744*EFEITO!$Y$744</f>
        <v>0</v>
      </c>
      <c r="N744" s="76">
        <f ca="1">$K$744-EFEITO!$M$744*EFEITO!$Z$744</f>
        <v>172.21023182664248</v>
      </c>
      <c r="O744" s="76">
        <f>$L$744-EFEITO!$O$744*EFEITO!$AA$744</f>
        <v>190.724631077916</v>
      </c>
      <c r="P744" s="57"/>
      <c r="Q744" s="57"/>
      <c r="R744" s="57"/>
      <c r="S744" s="57"/>
      <c r="T744" s="57"/>
      <c r="U744" s="57"/>
      <c r="V744" s="57"/>
      <c r="W744" s="57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53" t="s">
        <v>21</v>
      </c>
      <c r="B745" s="53" t="s">
        <v>22</v>
      </c>
      <c r="C745" s="53" t="s">
        <v>23</v>
      </c>
      <c r="D745" s="53" t="s">
        <v>24</v>
      </c>
      <c r="E745" s="53" t="s">
        <v>31</v>
      </c>
      <c r="F745" s="53" t="s">
        <v>25</v>
      </c>
      <c r="G745" s="53" t="s">
        <v>25</v>
      </c>
      <c r="H745" s="53" t="s">
        <v>25</v>
      </c>
      <c r="I745" s="75">
        <v>44682</v>
      </c>
      <c r="J745" s="76">
        <f>EFEITO!$J$745*EFEITO!$Y$610</f>
        <v>0</v>
      </c>
      <c r="K745" s="76">
        <f ca="1">EFEITO!$L$745*EFEITO!$Z$756</f>
        <v>167061.54745889478</v>
      </c>
      <c r="L745" s="76">
        <f>EFEITO!$N$745*EFEITO!$AA$756</f>
        <v>185022.4093448669</v>
      </c>
      <c r="M745" s="76">
        <f>$J$745-EFEITO!$K$745*EFEITO!$Y$745</f>
        <v>0</v>
      </c>
      <c r="N745" s="76">
        <f ca="1">$K$745-EFEITO!$M$745*EFEITO!$Z$745</f>
        <v>16706.154745889478</v>
      </c>
      <c r="O745" s="76">
        <f>$L$745-EFEITO!$O$745*EFEITO!$AA$745</f>
        <v>18502.240934486705</v>
      </c>
      <c r="P745" s="57"/>
      <c r="Q745" s="57"/>
      <c r="R745" s="57"/>
      <c r="S745" s="57"/>
      <c r="T745" s="57"/>
      <c r="U745" s="57"/>
      <c r="V745" s="57"/>
      <c r="W745" s="57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53" t="s">
        <v>27</v>
      </c>
      <c r="B746" s="53" t="s">
        <v>22</v>
      </c>
      <c r="C746" s="53" t="s">
        <v>23</v>
      </c>
      <c r="D746" s="53" t="s">
        <v>24</v>
      </c>
      <c r="E746" s="53" t="s">
        <v>31</v>
      </c>
      <c r="F746" s="53" t="s">
        <v>25</v>
      </c>
      <c r="G746" s="53" t="s">
        <v>25</v>
      </c>
      <c r="H746" s="53" t="s">
        <v>25</v>
      </c>
      <c r="I746" s="75">
        <v>44682</v>
      </c>
      <c r="J746" s="76">
        <f>EFEITO!$J$746*EFEITO!$Y$610</f>
        <v>0</v>
      </c>
      <c r="K746" s="76">
        <f ca="1">EFEITO!$L$746*EFEITO!$Z$756</f>
        <v>-21.378220357610374</v>
      </c>
      <c r="L746" s="76">
        <f>EFEITO!$N$746*EFEITO!$AA$756</f>
        <v>-23.676602415309159</v>
      </c>
      <c r="M746" s="76">
        <f>$J$746-EFEITO!$K$746*EFEITO!$Y$746</f>
        <v>0</v>
      </c>
      <c r="N746" s="76">
        <f ca="1">$K$746-EFEITO!$M$746*EFEITO!$Z$746</f>
        <v>-2.1378220357610367</v>
      </c>
      <c r="O746" s="76">
        <f>$L$746-EFEITO!$O$746*EFEITO!$AA$746</f>
        <v>-2.3676602415309169</v>
      </c>
      <c r="P746" s="57"/>
      <c r="Q746" s="57"/>
      <c r="R746" s="57"/>
      <c r="S746" s="57"/>
      <c r="T746" s="57"/>
      <c r="U746" s="57"/>
      <c r="V746" s="57"/>
      <c r="W746" s="57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53" t="s">
        <v>28</v>
      </c>
      <c r="B747" s="53" t="s">
        <v>22</v>
      </c>
      <c r="C747" s="53" t="s">
        <v>23</v>
      </c>
      <c r="D747" s="53" t="s">
        <v>24</v>
      </c>
      <c r="E747" s="53" t="s">
        <v>31</v>
      </c>
      <c r="F747" s="53" t="s">
        <v>25</v>
      </c>
      <c r="G747" s="53" t="s">
        <v>25</v>
      </c>
      <c r="H747" s="53" t="s">
        <v>25</v>
      </c>
      <c r="I747" s="75">
        <v>44682</v>
      </c>
      <c r="J747" s="76">
        <f>EFEITO!$J$747*EFEITO!$Y$610</f>
        <v>0</v>
      </c>
      <c r="K747" s="76">
        <f ca="1">EFEITO!$L$747*EFEITO!$Z$756</f>
        <v>1287.6044342414789</v>
      </c>
      <c r="L747" s="76">
        <f>EFEITO!$N$747*EFEITO!$AA$756</f>
        <v>1426.0353643923368</v>
      </c>
      <c r="M747" s="76">
        <f>$J$747-EFEITO!$K$747*EFEITO!$Y$747</f>
        <v>0</v>
      </c>
      <c r="N747" s="76">
        <f ca="1">$K$747-EFEITO!$M$747*EFEITO!$Z$747</f>
        <v>128.76044342414775</v>
      </c>
      <c r="O747" s="76">
        <f>$L$747-EFEITO!$O$747*EFEITO!$AA$747</f>
        <v>142.60353643923372</v>
      </c>
      <c r="P747" s="57"/>
      <c r="Q747" s="57"/>
      <c r="R747" s="57"/>
      <c r="S747" s="57"/>
      <c r="T747" s="57"/>
      <c r="U747" s="57"/>
      <c r="V747" s="57"/>
      <c r="W747" s="57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53" t="s">
        <v>21</v>
      </c>
      <c r="B748" s="53" t="s">
        <v>22</v>
      </c>
      <c r="C748" s="53" t="s">
        <v>23</v>
      </c>
      <c r="D748" s="53" t="s">
        <v>24</v>
      </c>
      <c r="E748" s="53" t="s">
        <v>31</v>
      </c>
      <c r="F748" s="53" t="s">
        <v>25</v>
      </c>
      <c r="G748" s="53" t="s">
        <v>25</v>
      </c>
      <c r="H748" s="53" t="s">
        <v>25</v>
      </c>
      <c r="I748" s="75">
        <v>44713</v>
      </c>
      <c r="J748" s="76">
        <f>EFEITO!$J$748*EFEITO!$Y$610</f>
        <v>0</v>
      </c>
      <c r="K748" s="76">
        <f ca="1">EFEITO!$L$748*EFEITO!$Z$756</f>
        <v>146785.17213431041</v>
      </c>
      <c r="L748" s="76">
        <f>EFEITO!$N$748*EFEITO!$AA$756</f>
        <v>162566.11181620622</v>
      </c>
      <c r="M748" s="76">
        <f>$J$748-EFEITO!$K$748*EFEITO!$Y$748</f>
        <v>0</v>
      </c>
      <c r="N748" s="76">
        <f ca="1">$K$748-EFEITO!$M$748*EFEITO!$Z$748</f>
        <v>14678.517213431041</v>
      </c>
      <c r="O748" s="76">
        <f>$L$748-EFEITO!$O$748*EFEITO!$AA$748</f>
        <v>16256.611181620625</v>
      </c>
      <c r="P748" s="57"/>
      <c r="Q748" s="57"/>
      <c r="R748" s="57"/>
      <c r="S748" s="57"/>
      <c r="T748" s="57"/>
      <c r="U748" s="57"/>
      <c r="V748" s="57"/>
      <c r="W748" s="57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53" t="s">
        <v>28</v>
      </c>
      <c r="B749" s="53" t="s">
        <v>22</v>
      </c>
      <c r="C749" s="53" t="s">
        <v>23</v>
      </c>
      <c r="D749" s="53" t="s">
        <v>24</v>
      </c>
      <c r="E749" s="53" t="s">
        <v>31</v>
      </c>
      <c r="F749" s="53" t="s">
        <v>25</v>
      </c>
      <c r="G749" s="53" t="s">
        <v>25</v>
      </c>
      <c r="H749" s="53" t="s">
        <v>25</v>
      </c>
      <c r="I749" s="75">
        <v>44713</v>
      </c>
      <c r="J749" s="76">
        <f>EFEITO!$J$749*EFEITO!$Y$610</f>
        <v>0</v>
      </c>
      <c r="K749" s="76">
        <f ca="1">EFEITO!$L$749*EFEITO!$Z$756</f>
        <v>1092.3115023260114</v>
      </c>
      <c r="L749" s="76">
        <f>EFEITO!$N$749*EFEITO!$AA$756</f>
        <v>1209.7464017876207</v>
      </c>
      <c r="M749" s="76">
        <f>$J$749-EFEITO!$K$749*EFEITO!$Y$749</f>
        <v>0</v>
      </c>
      <c r="N749" s="76">
        <f ca="1">$K$749-EFEITO!$M$749*EFEITO!$Z$749</f>
        <v>109.23115023260118</v>
      </c>
      <c r="O749" s="76">
        <f>$L$749-EFEITO!$O$749*EFEITO!$AA$749</f>
        <v>120.97464017876223</v>
      </c>
      <c r="P749" s="57"/>
      <c r="Q749" s="57"/>
      <c r="R749" s="57"/>
      <c r="S749" s="57"/>
      <c r="T749" s="57"/>
      <c r="U749" s="57"/>
      <c r="V749" s="57"/>
      <c r="W749" s="57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53" t="s">
        <v>21</v>
      </c>
      <c r="B750" s="53" t="s">
        <v>22</v>
      </c>
      <c r="C750" s="53" t="s">
        <v>23</v>
      </c>
      <c r="D750" s="53" t="s">
        <v>24</v>
      </c>
      <c r="E750" s="53" t="s">
        <v>31</v>
      </c>
      <c r="F750" s="53" t="s">
        <v>25</v>
      </c>
      <c r="G750" s="53" t="s">
        <v>25</v>
      </c>
      <c r="H750" s="53" t="s">
        <v>25</v>
      </c>
      <c r="I750" s="75">
        <v>44743</v>
      </c>
      <c r="J750" s="76">
        <f>EFEITO!$J$750*EFEITO!$Y$610</f>
        <v>0</v>
      </c>
      <c r="K750" s="76">
        <f ca="1">EFEITO!$L$750*EFEITO!$Z$756</f>
        <v>107752.87518435933</v>
      </c>
      <c r="L750" s="76">
        <f>EFEITO!$N$750*EFEITO!$AA$756</f>
        <v>119337.43511715211</v>
      </c>
      <c r="M750" s="76">
        <f>$J$750-EFEITO!$K$750*EFEITO!$Y$750</f>
        <v>0</v>
      </c>
      <c r="N750" s="76">
        <f ca="1">$K$750-EFEITO!$M$750*EFEITO!$Z$750</f>
        <v>10775.287518435929</v>
      </c>
      <c r="O750" s="76">
        <f>$L$750-EFEITO!$O$750*EFEITO!$AA$750</f>
        <v>11933.74351171522</v>
      </c>
      <c r="P750" s="57"/>
      <c r="Q750" s="57"/>
      <c r="R750" s="57"/>
      <c r="S750" s="57"/>
      <c r="T750" s="57"/>
      <c r="U750" s="57"/>
      <c r="V750" s="57"/>
      <c r="W750" s="57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53" t="s">
        <v>27</v>
      </c>
      <c r="B751" s="53" t="s">
        <v>22</v>
      </c>
      <c r="C751" s="53" t="s">
        <v>23</v>
      </c>
      <c r="D751" s="53" t="s">
        <v>24</v>
      </c>
      <c r="E751" s="53" t="s">
        <v>31</v>
      </c>
      <c r="F751" s="53" t="s">
        <v>25</v>
      </c>
      <c r="G751" s="53" t="s">
        <v>25</v>
      </c>
      <c r="H751" s="53" t="s">
        <v>25</v>
      </c>
      <c r="I751" s="75">
        <v>44743</v>
      </c>
      <c r="J751" s="76">
        <f>EFEITO!$J$751*EFEITO!$Y$610</f>
        <v>0</v>
      </c>
      <c r="K751" s="76">
        <f ca="1">EFEITO!$L$751*EFEITO!$Z$756</f>
        <v>12.133584527292376</v>
      </c>
      <c r="L751" s="76">
        <f>EFEITO!$N$751*EFEITO!$AA$756</f>
        <v>13.438071641121415</v>
      </c>
      <c r="M751" s="76">
        <f>$J$751-EFEITO!$K$751*EFEITO!$Y$751</f>
        <v>0</v>
      </c>
      <c r="N751" s="76">
        <f ca="1">$K$751-EFEITO!$M$751*EFEITO!$Z$751</f>
        <v>1.2133584527292367</v>
      </c>
      <c r="O751" s="76">
        <f>$L$751-EFEITO!$O$751*EFEITO!$AA$751</f>
        <v>1.3438071641121407</v>
      </c>
      <c r="P751" s="57"/>
      <c r="Q751" s="57"/>
      <c r="R751" s="57"/>
      <c r="S751" s="57"/>
      <c r="T751" s="57"/>
      <c r="U751" s="57"/>
      <c r="V751" s="57"/>
      <c r="W751" s="57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53" t="s">
        <v>28</v>
      </c>
      <c r="B752" s="53" t="s">
        <v>22</v>
      </c>
      <c r="C752" s="53" t="s">
        <v>23</v>
      </c>
      <c r="D752" s="53" t="s">
        <v>24</v>
      </c>
      <c r="E752" s="53" t="s">
        <v>31</v>
      </c>
      <c r="F752" s="53" t="s">
        <v>25</v>
      </c>
      <c r="G752" s="53" t="s">
        <v>25</v>
      </c>
      <c r="H752" s="53" t="s">
        <v>25</v>
      </c>
      <c r="I752" s="75">
        <v>44743</v>
      </c>
      <c r="J752" s="76">
        <f>EFEITO!$J$752*EFEITO!$Y$610</f>
        <v>0</v>
      </c>
      <c r="K752" s="76">
        <f ca="1">EFEITO!$L$752*EFEITO!$Z$756</f>
        <v>972.13123653187733</v>
      </c>
      <c r="L752" s="76">
        <f>EFEITO!$N$752*EFEITO!$AA$756</f>
        <v>1076.6455017231801</v>
      </c>
      <c r="M752" s="76">
        <f>$J$752-EFEITO!$K$752*EFEITO!$Y$752</f>
        <v>0</v>
      </c>
      <c r="N752" s="76">
        <f ca="1">$K$752-EFEITO!$M$752*EFEITO!$Z$752</f>
        <v>97.213123653187836</v>
      </c>
      <c r="O752" s="76">
        <f>$L$752-EFEITO!$O$752*EFEITO!$AA$752</f>
        <v>107.66455017231817</v>
      </c>
      <c r="P752" s="57"/>
      <c r="Q752" s="57"/>
      <c r="R752" s="57"/>
      <c r="S752" s="57"/>
      <c r="T752" s="57"/>
      <c r="U752" s="57"/>
      <c r="V752" s="57"/>
      <c r="W752" s="57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53" t="s">
        <v>56</v>
      </c>
      <c r="B753" s="53" t="s">
        <v>22</v>
      </c>
      <c r="C753" s="53" t="s">
        <v>23</v>
      </c>
      <c r="D753" s="53" t="s">
        <v>24</v>
      </c>
      <c r="E753" s="53" t="s">
        <v>31</v>
      </c>
      <c r="F753" s="53" t="s">
        <v>25</v>
      </c>
      <c r="G753" s="53" t="s">
        <v>25</v>
      </c>
      <c r="H753" s="53" t="s">
        <v>25</v>
      </c>
      <c r="I753" s="75">
        <v>44774</v>
      </c>
      <c r="J753" s="76">
        <f>EFEITO!$J$753*EFEITO!$Y$610</f>
        <v>0</v>
      </c>
      <c r="K753" s="76">
        <f ca="1">EFEITO!$L$753*EFEITO!$Z$756</f>
        <v>107752.87518435933</v>
      </c>
      <c r="L753" s="76">
        <f>EFEITO!$N$753*EFEITO!$AA$756</f>
        <v>119337.43511715211</v>
      </c>
      <c r="M753" s="76">
        <f>$J$753-EFEITO!$K$753*EFEITO!$Y$753</f>
        <v>0</v>
      </c>
      <c r="N753" s="76">
        <f ca="1">$K$753-EFEITO!$M$753*EFEITO!$Z$753</f>
        <v>10775.287518435929</v>
      </c>
      <c r="O753" s="76">
        <f>$L$753-EFEITO!$O$753*EFEITO!$AA$753</f>
        <v>11933.74351171522</v>
      </c>
      <c r="P753" s="57"/>
      <c r="Q753" s="57"/>
      <c r="R753" s="57"/>
      <c r="S753" s="57"/>
      <c r="T753" s="57"/>
      <c r="U753" s="57"/>
      <c r="V753" s="57"/>
      <c r="W753" s="57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53" t="s">
        <v>56</v>
      </c>
      <c r="B754" s="53" t="s">
        <v>22</v>
      </c>
      <c r="C754" s="53" t="s">
        <v>23</v>
      </c>
      <c r="D754" s="53" t="s">
        <v>24</v>
      </c>
      <c r="E754" s="53" t="s">
        <v>31</v>
      </c>
      <c r="F754" s="53" t="s">
        <v>25</v>
      </c>
      <c r="G754" s="53" t="s">
        <v>25</v>
      </c>
      <c r="H754" s="53" t="s">
        <v>25</v>
      </c>
      <c r="I754" s="75">
        <v>44774</v>
      </c>
      <c r="J754" s="76">
        <f>EFEITO!$J$754*EFEITO!$Y$610</f>
        <v>0</v>
      </c>
      <c r="K754" s="76">
        <f ca="1">EFEITO!$L$754*EFEITO!$Z$756</f>
        <v>12.133584527292376</v>
      </c>
      <c r="L754" s="76">
        <f>EFEITO!$N$754*EFEITO!$AA$756</f>
        <v>13.438071641121415</v>
      </c>
      <c r="M754" s="76">
        <f>$J$754-EFEITO!$K$754*EFEITO!$Y$754</f>
        <v>0</v>
      </c>
      <c r="N754" s="76">
        <f ca="1">$K$754-EFEITO!$M$754*EFEITO!$Z$754</f>
        <v>1.2133584527292367</v>
      </c>
      <c r="O754" s="76">
        <f>$L$754-EFEITO!$O$754*EFEITO!$AA$754</f>
        <v>1.3438071641121407</v>
      </c>
      <c r="P754" s="57"/>
      <c r="Q754" s="57"/>
      <c r="R754" s="57"/>
      <c r="S754" s="57"/>
      <c r="T754" s="57"/>
      <c r="U754" s="57"/>
      <c r="V754" s="57"/>
      <c r="W754" s="57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53" t="s">
        <v>56</v>
      </c>
      <c r="B755" s="53" t="s">
        <v>22</v>
      </c>
      <c r="C755" s="53" t="s">
        <v>23</v>
      </c>
      <c r="D755" s="53" t="s">
        <v>24</v>
      </c>
      <c r="E755" s="53" t="s">
        <v>31</v>
      </c>
      <c r="F755" s="53" t="s">
        <v>25</v>
      </c>
      <c r="G755" s="53" t="s">
        <v>25</v>
      </c>
      <c r="H755" s="53" t="s">
        <v>25</v>
      </c>
      <c r="I755" s="75">
        <v>44774</v>
      </c>
      <c r="J755" s="76">
        <f>EFEITO!$J$755*EFEITO!$Y$610</f>
        <v>0</v>
      </c>
      <c r="K755" s="76">
        <f ca="1">EFEITO!$L$755*EFEITO!$Z$756</f>
        <v>972.13123653187733</v>
      </c>
      <c r="L755" s="76">
        <f>EFEITO!$N$755*EFEITO!$AA$756</f>
        <v>1076.6455017231801</v>
      </c>
      <c r="M755" s="76">
        <f>$J$755-EFEITO!$K$755*EFEITO!$Y$755</f>
        <v>0</v>
      </c>
      <c r="N755" s="76">
        <f ca="1">$K$755-EFEITO!$M$755*EFEITO!$Z$755</f>
        <v>97.213123653187836</v>
      </c>
      <c r="O755" s="76">
        <f>$L$755-EFEITO!$O$755*EFEITO!$AA$755</f>
        <v>107.66455017231817</v>
      </c>
      <c r="P755" s="57"/>
      <c r="Q755" s="57"/>
      <c r="R755" s="57"/>
      <c r="S755" s="57"/>
      <c r="T755" s="57"/>
      <c r="U755" s="57"/>
      <c r="V755" s="57"/>
      <c r="W755" s="57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53" t="s">
        <v>21</v>
      </c>
      <c r="B756" s="53" t="s">
        <v>22</v>
      </c>
      <c r="C756" s="53" t="s">
        <v>23</v>
      </c>
      <c r="D756" s="53" t="s">
        <v>24</v>
      </c>
      <c r="E756" s="53" t="s">
        <v>32</v>
      </c>
      <c r="F756" s="53" t="s">
        <v>25</v>
      </c>
      <c r="G756" s="53" t="s">
        <v>25</v>
      </c>
      <c r="H756" s="53" t="s">
        <v>25</v>
      </c>
      <c r="I756" s="75">
        <v>44440</v>
      </c>
      <c r="J756" s="76">
        <f>EFEITO!$J$756*EFEITO!$Y$610</f>
        <v>0</v>
      </c>
      <c r="K756" s="76">
        <f ca="1">EFEITO!$L$756*EFEITO!$Z$756</f>
        <v>31491.274166238873</v>
      </c>
      <c r="L756" s="76">
        <f>EFEITO!$N$756*EFEITO!$AA$756</f>
        <v>34876.915174097165</v>
      </c>
      <c r="M756" s="76">
        <f>$J$756-EFEITO!$K$756*EFEITO!$Y$756</f>
        <v>0</v>
      </c>
      <c r="N756" s="76">
        <f ca="1">$K$756-EFEITO!$M$756*EFEITO!$Z$756</f>
        <v>0</v>
      </c>
      <c r="O756" s="76">
        <f>$L$756-EFEITO!$O$756*EFEITO!$AA$756</f>
        <v>0</v>
      </c>
      <c r="P756" s="57"/>
      <c r="Q756" s="57"/>
      <c r="R756" s="57"/>
      <c r="S756" s="57"/>
      <c r="T756" s="57"/>
      <c r="U756" s="57"/>
      <c r="V756" s="57"/>
      <c r="W756" s="57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53" t="s">
        <v>28</v>
      </c>
      <c r="B757" s="53" t="s">
        <v>22</v>
      </c>
      <c r="C757" s="53" t="s">
        <v>23</v>
      </c>
      <c r="D757" s="53" t="s">
        <v>24</v>
      </c>
      <c r="E757" s="53" t="s">
        <v>32</v>
      </c>
      <c r="F757" s="53" t="s">
        <v>25</v>
      </c>
      <c r="G757" s="53" t="s">
        <v>25</v>
      </c>
      <c r="H757" s="53" t="s">
        <v>25</v>
      </c>
      <c r="I757" s="75">
        <v>44440</v>
      </c>
      <c r="J757" s="76">
        <f>EFEITO!$J$757*EFEITO!$Y$610</f>
        <v>0</v>
      </c>
      <c r="K757" s="76">
        <f ca="1">EFEITO!$L$757*EFEITO!$Z$756</f>
        <v>55.178920112210569</v>
      </c>
      <c r="L757" s="76">
        <f>EFEITO!$N$757*EFEITO!$AA$756</f>
        <v>61.1112305584331</v>
      </c>
      <c r="M757" s="76">
        <f>$J$757-EFEITO!$K$757*EFEITO!$Y$757</f>
        <v>0</v>
      </c>
      <c r="N757" s="76">
        <f ca="1">$K$757-EFEITO!$M$757*EFEITO!$Z$757</f>
        <v>0</v>
      </c>
      <c r="O757" s="76">
        <f>$L$757-EFEITO!$O$757*EFEITO!$AA$757</f>
        <v>0</v>
      </c>
      <c r="P757" s="57"/>
      <c r="Q757" s="57"/>
      <c r="R757" s="57"/>
      <c r="S757" s="57"/>
      <c r="T757" s="57"/>
      <c r="U757" s="57"/>
      <c r="V757" s="57"/>
      <c r="W757" s="57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53" t="s">
        <v>21</v>
      </c>
      <c r="B758" s="53" t="s">
        <v>22</v>
      </c>
      <c r="C758" s="53" t="s">
        <v>23</v>
      </c>
      <c r="D758" s="53" t="s">
        <v>24</v>
      </c>
      <c r="E758" s="53" t="s">
        <v>32</v>
      </c>
      <c r="F758" s="53" t="s">
        <v>25</v>
      </c>
      <c r="G758" s="53" t="s">
        <v>25</v>
      </c>
      <c r="H758" s="53" t="s">
        <v>25</v>
      </c>
      <c r="I758" s="75">
        <v>44470</v>
      </c>
      <c r="J758" s="76">
        <f>EFEITO!$J$758*EFEITO!$Y$610</f>
        <v>0</v>
      </c>
      <c r="K758" s="76">
        <f ca="1">EFEITO!$L$758*EFEITO!$Z$756</f>
        <v>36940.409198471942</v>
      </c>
      <c r="L758" s="76">
        <f>EFEITO!$N$758*EFEITO!$AA$756</f>
        <v>40911.889157307451</v>
      </c>
      <c r="M758" s="76">
        <f>$J$758-EFEITO!$K$758*EFEITO!$Y$758</f>
        <v>0</v>
      </c>
      <c r="N758" s="76">
        <f ca="1">$K$758-EFEITO!$M$758*EFEITO!$Z$758</f>
        <v>0</v>
      </c>
      <c r="O758" s="76">
        <f>$L$758-EFEITO!$O$758*EFEITO!$AA$758</f>
        <v>0</v>
      </c>
      <c r="P758" s="57"/>
      <c r="Q758" s="57"/>
      <c r="R758" s="57"/>
      <c r="S758" s="57"/>
      <c r="T758" s="57"/>
      <c r="U758" s="57"/>
      <c r="V758" s="57"/>
      <c r="W758" s="57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53" t="s">
        <v>28</v>
      </c>
      <c r="B759" s="53" t="s">
        <v>22</v>
      </c>
      <c r="C759" s="53" t="s">
        <v>23</v>
      </c>
      <c r="D759" s="53" t="s">
        <v>24</v>
      </c>
      <c r="E759" s="53" t="s">
        <v>32</v>
      </c>
      <c r="F759" s="53" t="s">
        <v>25</v>
      </c>
      <c r="G759" s="53" t="s">
        <v>25</v>
      </c>
      <c r="H759" s="53" t="s">
        <v>25</v>
      </c>
      <c r="I759" s="75">
        <v>44470</v>
      </c>
      <c r="J759" s="76">
        <f>EFEITO!$J$759*EFEITO!$Y$610</f>
        <v>0</v>
      </c>
      <c r="K759" s="76">
        <f ca="1">EFEITO!$L$759*EFEITO!$Z$756</f>
        <v>135.49169388809818</v>
      </c>
      <c r="L759" s="76">
        <f>EFEITO!$N$759*EFEITO!$AA$756</f>
        <v>150.05846665918912</v>
      </c>
      <c r="M759" s="76">
        <f>$J$759-EFEITO!$K$759*EFEITO!$Y$759</f>
        <v>0</v>
      </c>
      <c r="N759" s="76">
        <f ca="1">$K$759-EFEITO!$M$759*EFEITO!$Z$759</f>
        <v>0</v>
      </c>
      <c r="O759" s="76">
        <f>$L$759-EFEITO!$O$759*EFEITO!$AA$759</f>
        <v>0</v>
      </c>
      <c r="P759" s="57"/>
      <c r="Q759" s="57"/>
      <c r="R759" s="57"/>
      <c r="S759" s="57"/>
      <c r="T759" s="57"/>
      <c r="U759" s="57"/>
      <c r="V759" s="57"/>
      <c r="W759" s="57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53" t="s">
        <v>21</v>
      </c>
      <c r="B760" s="53" t="s">
        <v>22</v>
      </c>
      <c r="C760" s="53" t="s">
        <v>23</v>
      </c>
      <c r="D760" s="53" t="s">
        <v>24</v>
      </c>
      <c r="E760" s="53" t="s">
        <v>32</v>
      </c>
      <c r="F760" s="53" t="s">
        <v>25</v>
      </c>
      <c r="G760" s="53" t="s">
        <v>25</v>
      </c>
      <c r="H760" s="53" t="s">
        <v>25</v>
      </c>
      <c r="I760" s="75">
        <v>44501</v>
      </c>
      <c r="J760" s="76">
        <f>EFEITO!$J$760*EFEITO!$Y$610</f>
        <v>0</v>
      </c>
      <c r="K760" s="76">
        <f ca="1">EFEITO!$L$760*EFEITO!$Z$756</f>
        <v>34372.133806861719</v>
      </c>
      <c r="L760" s="76">
        <f>EFEITO!$N$760*EFEITO!$AA$756</f>
        <v>38067.497326603414</v>
      </c>
      <c r="M760" s="76">
        <f>$J$760-EFEITO!$K$760*EFEITO!$Y$760</f>
        <v>0</v>
      </c>
      <c r="N760" s="76">
        <f ca="1">$K$760-EFEITO!$M$760*EFEITO!$Z$760</f>
        <v>0</v>
      </c>
      <c r="O760" s="76">
        <f>$L$760-EFEITO!$O$760*EFEITO!$AA$760</f>
        <v>0</v>
      </c>
      <c r="P760" s="57"/>
      <c r="Q760" s="57"/>
      <c r="R760" s="57"/>
      <c r="S760" s="57"/>
      <c r="T760" s="57"/>
      <c r="U760" s="57"/>
      <c r="V760" s="57"/>
      <c r="W760" s="57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53" t="s">
        <v>28</v>
      </c>
      <c r="B761" s="53" t="s">
        <v>22</v>
      </c>
      <c r="C761" s="53" t="s">
        <v>23</v>
      </c>
      <c r="D761" s="53" t="s">
        <v>24</v>
      </c>
      <c r="E761" s="53" t="s">
        <v>32</v>
      </c>
      <c r="F761" s="53" t="s">
        <v>25</v>
      </c>
      <c r="G761" s="53" t="s">
        <v>25</v>
      </c>
      <c r="H761" s="53" t="s">
        <v>25</v>
      </c>
      <c r="I761" s="75">
        <v>44501</v>
      </c>
      <c r="J761" s="76">
        <f>EFEITO!$J$761*EFEITO!$Y$610</f>
        <v>0</v>
      </c>
      <c r="K761" s="76">
        <f ca="1">EFEITO!$L$761*EFEITO!$Z$756</f>
        <v>52.578866284933625</v>
      </c>
      <c r="L761" s="76">
        <f>EFEITO!$N$761*EFEITO!$AA$756</f>
        <v>58.23164377819279</v>
      </c>
      <c r="M761" s="76">
        <f>$J$761-EFEITO!$K$761*EFEITO!$Y$761</f>
        <v>0</v>
      </c>
      <c r="N761" s="76">
        <f ca="1">$K$761-EFEITO!$M$761*EFEITO!$Z$761</f>
        <v>0</v>
      </c>
      <c r="O761" s="76">
        <f>$L$761-EFEITO!$O$761*EFEITO!$AA$761</f>
        <v>0</v>
      </c>
      <c r="P761" s="57"/>
      <c r="Q761" s="57"/>
      <c r="R761" s="57"/>
      <c r="S761" s="57"/>
      <c r="T761" s="57"/>
      <c r="U761" s="57"/>
      <c r="V761" s="57"/>
      <c r="W761" s="57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53" t="s">
        <v>21</v>
      </c>
      <c r="B762" s="53" t="s">
        <v>22</v>
      </c>
      <c r="C762" s="53" t="s">
        <v>23</v>
      </c>
      <c r="D762" s="53" t="s">
        <v>24</v>
      </c>
      <c r="E762" s="53" t="s">
        <v>32</v>
      </c>
      <c r="F762" s="53" t="s">
        <v>25</v>
      </c>
      <c r="G762" s="53" t="s">
        <v>25</v>
      </c>
      <c r="H762" s="53" t="s">
        <v>25</v>
      </c>
      <c r="I762" s="75">
        <v>44531</v>
      </c>
      <c r="J762" s="76">
        <f>EFEITO!$J$762*EFEITO!$Y$610</f>
        <v>0</v>
      </c>
      <c r="K762" s="76">
        <f ca="1">EFEITO!$L$762*EFEITO!$Z$756</f>
        <v>37038.922349038767</v>
      </c>
      <c r="L762" s="76">
        <f>EFEITO!$N$762*EFEITO!$AA$756</f>
        <v>41020.993500869889</v>
      </c>
      <c r="M762" s="76">
        <f>$J$762-EFEITO!$K$762*EFEITO!$Y$762</f>
        <v>0</v>
      </c>
      <c r="N762" s="76">
        <f ca="1">$K$762-EFEITO!$M$762*EFEITO!$Z$762</f>
        <v>0</v>
      </c>
      <c r="O762" s="76">
        <f>$L$762-EFEITO!$O$762*EFEITO!$AA$762</f>
        <v>0</v>
      </c>
      <c r="P762" s="57"/>
      <c r="Q762" s="57"/>
      <c r="R762" s="57"/>
      <c r="S762" s="57"/>
      <c r="T762" s="57"/>
      <c r="U762" s="57"/>
      <c r="V762" s="57"/>
      <c r="W762" s="57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53" t="s">
        <v>27</v>
      </c>
      <c r="B763" s="53" t="s">
        <v>22</v>
      </c>
      <c r="C763" s="53" t="s">
        <v>23</v>
      </c>
      <c r="D763" s="53" t="s">
        <v>24</v>
      </c>
      <c r="E763" s="53" t="s">
        <v>32</v>
      </c>
      <c r="F763" s="53" t="s">
        <v>25</v>
      </c>
      <c r="G763" s="53" t="s">
        <v>25</v>
      </c>
      <c r="H763" s="53" t="s">
        <v>25</v>
      </c>
      <c r="I763" s="75">
        <v>44531</v>
      </c>
      <c r="J763" s="76">
        <f>EFEITO!$J$763*EFEITO!$Y$610</f>
        <v>0</v>
      </c>
      <c r="K763" s="76">
        <f ca="1">EFEITO!$L$763*EFEITO!$Z$756</f>
        <v>-22.533799836400124</v>
      </c>
      <c r="L763" s="76">
        <f>EFEITO!$N$763*EFEITO!$AA$756</f>
        <v>-24.956418762082627</v>
      </c>
      <c r="M763" s="76">
        <f>$J$763-EFEITO!$K$763*EFEITO!$Y$763</f>
        <v>0</v>
      </c>
      <c r="N763" s="76">
        <f ca="1">$K$763-EFEITO!$M$763*EFEITO!$Z$763</f>
        <v>0</v>
      </c>
      <c r="O763" s="76">
        <f>$L$763-EFEITO!$O$763*EFEITO!$AA$763</f>
        <v>0</v>
      </c>
      <c r="P763" s="57"/>
      <c r="Q763" s="57"/>
      <c r="R763" s="57"/>
      <c r="S763" s="57"/>
      <c r="T763" s="57"/>
      <c r="U763" s="57"/>
      <c r="V763" s="57"/>
      <c r="W763" s="57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53" t="s">
        <v>28</v>
      </c>
      <c r="B764" s="53" t="s">
        <v>22</v>
      </c>
      <c r="C764" s="53" t="s">
        <v>23</v>
      </c>
      <c r="D764" s="53" t="s">
        <v>24</v>
      </c>
      <c r="E764" s="53" t="s">
        <v>32</v>
      </c>
      <c r="F764" s="53" t="s">
        <v>25</v>
      </c>
      <c r="G764" s="53" t="s">
        <v>25</v>
      </c>
      <c r="H764" s="53" t="s">
        <v>25</v>
      </c>
      <c r="I764" s="75">
        <v>44531</v>
      </c>
      <c r="J764" s="76">
        <f>EFEITO!$J$764*EFEITO!$Y$610</f>
        <v>0</v>
      </c>
      <c r="K764" s="76">
        <f ca="1">EFEITO!$L$764*EFEITO!$Z$756</f>
        <v>83.201722472862002</v>
      </c>
      <c r="L764" s="76">
        <f>EFEITO!$N$764*EFEITO!$AA$756</f>
        <v>92.146776967689689</v>
      </c>
      <c r="M764" s="76">
        <f>$J$764-EFEITO!$K$764*EFEITO!$Y$764</f>
        <v>0</v>
      </c>
      <c r="N764" s="76">
        <f ca="1">$K$764-EFEITO!$M$764*EFEITO!$Z$764</f>
        <v>0</v>
      </c>
      <c r="O764" s="76">
        <f>$L$764-EFEITO!$O$764*EFEITO!$AA$764</f>
        <v>0</v>
      </c>
      <c r="P764" s="57"/>
      <c r="Q764" s="57"/>
      <c r="R764" s="57"/>
      <c r="S764" s="57"/>
      <c r="T764" s="57"/>
      <c r="U764" s="57"/>
      <c r="V764" s="57"/>
      <c r="W764" s="57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53" t="s">
        <v>21</v>
      </c>
      <c r="B765" s="53" t="s">
        <v>22</v>
      </c>
      <c r="C765" s="53" t="s">
        <v>23</v>
      </c>
      <c r="D765" s="53" t="s">
        <v>24</v>
      </c>
      <c r="E765" s="53" t="s">
        <v>32</v>
      </c>
      <c r="F765" s="53" t="s">
        <v>25</v>
      </c>
      <c r="G765" s="53" t="s">
        <v>25</v>
      </c>
      <c r="H765" s="53" t="s">
        <v>25</v>
      </c>
      <c r="I765" s="75">
        <v>44562</v>
      </c>
      <c r="J765" s="76">
        <f>EFEITO!$J$765*EFEITO!$Y$610</f>
        <v>0</v>
      </c>
      <c r="K765" s="76">
        <f ca="1">EFEITO!$L$765*EFEITO!$Z$756</f>
        <v>48800.41028416084</v>
      </c>
      <c r="L765" s="76">
        <f>EFEITO!$N$765*EFEITO!$AA$756</f>
        <v>54046.964278330248</v>
      </c>
      <c r="M765" s="76">
        <f>$J$765-EFEITO!$K$765*EFEITO!$Y$765</f>
        <v>0</v>
      </c>
      <c r="N765" s="76">
        <f ca="1">$K$765-EFEITO!$M$765*EFEITO!$Z$765</f>
        <v>0</v>
      </c>
      <c r="O765" s="76">
        <f>$L$765-EFEITO!$O$765*EFEITO!$AA$765</f>
        <v>0</v>
      </c>
      <c r="P765" s="57"/>
      <c r="Q765" s="57"/>
      <c r="R765" s="57"/>
      <c r="S765" s="57"/>
      <c r="T765" s="57"/>
      <c r="U765" s="57"/>
      <c r="V765" s="57"/>
      <c r="W765" s="57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53" t="s">
        <v>27</v>
      </c>
      <c r="B766" s="53" t="s">
        <v>22</v>
      </c>
      <c r="C766" s="53" t="s">
        <v>23</v>
      </c>
      <c r="D766" s="53" t="s">
        <v>24</v>
      </c>
      <c r="E766" s="53" t="s">
        <v>32</v>
      </c>
      <c r="F766" s="53" t="s">
        <v>25</v>
      </c>
      <c r="G766" s="53" t="s">
        <v>25</v>
      </c>
      <c r="H766" s="53" t="s">
        <v>25</v>
      </c>
      <c r="I766" s="75">
        <v>44562</v>
      </c>
      <c r="J766" s="76">
        <f>EFEITO!$J$766*EFEITO!$Y$610</f>
        <v>0</v>
      </c>
      <c r="K766" s="76">
        <f ca="1">EFEITO!$L$766*EFEITO!$Z$756</f>
        <v>-254.80527507313988</v>
      </c>
      <c r="L766" s="76">
        <f>EFEITO!$N$766*EFEITO!$AA$756</f>
        <v>-282.19950446354972</v>
      </c>
      <c r="M766" s="76">
        <f>$J$766-EFEITO!$K$766*EFEITO!$Y$766</f>
        <v>0</v>
      </c>
      <c r="N766" s="76">
        <f ca="1">$K$766-EFEITO!$M$766*EFEITO!$Z$766</f>
        <v>0</v>
      </c>
      <c r="O766" s="76">
        <f>$L$766-EFEITO!$O$766*EFEITO!$AA$766</f>
        <v>0</v>
      </c>
      <c r="P766" s="57"/>
      <c r="Q766" s="57"/>
      <c r="R766" s="57"/>
      <c r="S766" s="57"/>
      <c r="T766" s="57"/>
      <c r="U766" s="57"/>
      <c r="V766" s="57"/>
      <c r="W766" s="57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53" t="s">
        <v>28</v>
      </c>
      <c r="B767" s="53" t="s">
        <v>22</v>
      </c>
      <c r="C767" s="53" t="s">
        <v>23</v>
      </c>
      <c r="D767" s="53" t="s">
        <v>24</v>
      </c>
      <c r="E767" s="53" t="s">
        <v>32</v>
      </c>
      <c r="F767" s="53" t="s">
        <v>25</v>
      </c>
      <c r="G767" s="53" t="s">
        <v>25</v>
      </c>
      <c r="H767" s="53" t="s">
        <v>25</v>
      </c>
      <c r="I767" s="75">
        <v>44562</v>
      </c>
      <c r="J767" s="76">
        <f>EFEITO!$J$767*EFEITO!$Y$610</f>
        <v>0</v>
      </c>
      <c r="K767" s="76">
        <f ca="1">EFEITO!$L$767*EFEITO!$Z$756</f>
        <v>176.22587051543687</v>
      </c>
      <c r="L767" s="76">
        <f>EFEITO!$N$767*EFEITO!$AA$756</f>
        <v>195.17199288295387</v>
      </c>
      <c r="M767" s="76">
        <f>$J$767-EFEITO!$K$767*EFEITO!$Y$767</f>
        <v>0</v>
      </c>
      <c r="N767" s="76">
        <f ca="1">$K$767-EFEITO!$M$767*EFEITO!$Z$767</f>
        <v>0</v>
      </c>
      <c r="O767" s="76">
        <f>$L$767-EFEITO!$O$767*EFEITO!$AA$767</f>
        <v>0</v>
      </c>
      <c r="P767" s="57"/>
      <c r="Q767" s="57"/>
      <c r="R767" s="57"/>
      <c r="S767" s="57"/>
      <c r="T767" s="57"/>
      <c r="U767" s="57"/>
      <c r="V767" s="57"/>
      <c r="W767" s="57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53" t="s">
        <v>21</v>
      </c>
      <c r="B768" s="53" t="s">
        <v>22</v>
      </c>
      <c r="C768" s="53" t="s">
        <v>23</v>
      </c>
      <c r="D768" s="53" t="s">
        <v>24</v>
      </c>
      <c r="E768" s="53" t="s">
        <v>32</v>
      </c>
      <c r="F768" s="53" t="s">
        <v>25</v>
      </c>
      <c r="G768" s="53" t="s">
        <v>25</v>
      </c>
      <c r="H768" s="53" t="s">
        <v>25</v>
      </c>
      <c r="I768" s="75">
        <v>44593</v>
      </c>
      <c r="J768" s="76">
        <f>EFEITO!$J$768*EFEITO!$Y$610</f>
        <v>0</v>
      </c>
      <c r="K768" s="76">
        <f ca="1">EFEITO!$L$768*EFEITO!$Z$756</f>
        <v>64262.930394976785</v>
      </c>
      <c r="L768" s="76">
        <f>EFEITO!$N$768*EFEITO!$AA$756</f>
        <v>71171.866860419323</v>
      </c>
      <c r="M768" s="76">
        <f>$J$768-EFEITO!$K$768*EFEITO!$Y$768</f>
        <v>0</v>
      </c>
      <c r="N768" s="76">
        <f ca="1">$K$768-EFEITO!$M$768*EFEITO!$Z$768</f>
        <v>0</v>
      </c>
      <c r="O768" s="76">
        <f>$L$768-EFEITO!$O$768*EFEITO!$AA$768</f>
        <v>0</v>
      </c>
      <c r="P768" s="57"/>
      <c r="Q768" s="57"/>
      <c r="R768" s="57"/>
      <c r="S768" s="57"/>
      <c r="T768" s="57"/>
      <c r="U768" s="57"/>
      <c r="V768" s="57"/>
      <c r="W768" s="57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53" t="s">
        <v>28</v>
      </c>
      <c r="B769" s="53" t="s">
        <v>22</v>
      </c>
      <c r="C769" s="53" t="s">
        <v>23</v>
      </c>
      <c r="D769" s="53" t="s">
        <v>24</v>
      </c>
      <c r="E769" s="53" t="s">
        <v>32</v>
      </c>
      <c r="F769" s="53" t="s">
        <v>25</v>
      </c>
      <c r="G769" s="53" t="s">
        <v>25</v>
      </c>
      <c r="H769" s="53" t="s">
        <v>25</v>
      </c>
      <c r="I769" s="75">
        <v>44593</v>
      </c>
      <c r="J769" s="76">
        <f>EFEITO!$J$769*EFEITO!$Y$610</f>
        <v>0</v>
      </c>
      <c r="K769" s="76">
        <f ca="1">EFEITO!$L$769*EFEITO!$Z$756</f>
        <v>196.73740626395497</v>
      </c>
      <c r="L769" s="76">
        <f>EFEITO!$N$769*EFEITO!$AA$756</f>
        <v>217.88873303818295</v>
      </c>
      <c r="M769" s="76">
        <f>$J$769-EFEITO!$K$769*EFEITO!$Y$769</f>
        <v>0</v>
      </c>
      <c r="N769" s="76">
        <f ca="1">$K$769-EFEITO!$M$769*EFEITO!$Z$769</f>
        <v>0</v>
      </c>
      <c r="O769" s="76">
        <f>$L$769-EFEITO!$O$769*EFEITO!$AA$769</f>
        <v>0</v>
      </c>
      <c r="P769" s="57"/>
      <c r="Q769" s="57"/>
      <c r="R769" s="57"/>
      <c r="S769" s="57"/>
      <c r="T769" s="57"/>
      <c r="U769" s="57"/>
      <c r="V769" s="57"/>
      <c r="W769" s="57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53" t="s">
        <v>21</v>
      </c>
      <c r="B770" s="53" t="s">
        <v>22</v>
      </c>
      <c r="C770" s="53" t="s">
        <v>23</v>
      </c>
      <c r="D770" s="53" t="s">
        <v>24</v>
      </c>
      <c r="E770" s="53" t="s">
        <v>32</v>
      </c>
      <c r="F770" s="53" t="s">
        <v>25</v>
      </c>
      <c r="G770" s="53" t="s">
        <v>25</v>
      </c>
      <c r="H770" s="53" t="s">
        <v>25</v>
      </c>
      <c r="I770" s="75">
        <v>44621</v>
      </c>
      <c r="J770" s="76">
        <f>EFEITO!$J$770*EFEITO!$Y$610</f>
        <v>0</v>
      </c>
      <c r="K770" s="76">
        <f ca="1">EFEITO!$L$770*EFEITO!$Z$756</f>
        <v>82577.131764576145</v>
      </c>
      <c r="L770" s="76">
        <f>EFEITO!$N$770*EFEITO!$AA$756</f>
        <v>91455.036232258644</v>
      </c>
      <c r="M770" s="76">
        <f>$J$770-EFEITO!$K$770*EFEITO!$Y$770</f>
        <v>0</v>
      </c>
      <c r="N770" s="76">
        <f ca="1">$K$770-EFEITO!$M$770*EFEITO!$Z$770</f>
        <v>0</v>
      </c>
      <c r="O770" s="76">
        <f>$L$770-EFEITO!$O$770*EFEITO!$AA$770</f>
        <v>0</v>
      </c>
      <c r="P770" s="57"/>
      <c r="Q770" s="57"/>
      <c r="R770" s="57"/>
      <c r="S770" s="57"/>
      <c r="T770" s="57"/>
      <c r="U770" s="57"/>
      <c r="V770" s="57"/>
      <c r="W770" s="57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53" t="s">
        <v>28</v>
      </c>
      <c r="B771" s="53" t="s">
        <v>22</v>
      </c>
      <c r="C771" s="53" t="s">
        <v>23</v>
      </c>
      <c r="D771" s="53" t="s">
        <v>24</v>
      </c>
      <c r="E771" s="53" t="s">
        <v>32</v>
      </c>
      <c r="F771" s="53" t="s">
        <v>25</v>
      </c>
      <c r="G771" s="53" t="s">
        <v>25</v>
      </c>
      <c r="H771" s="53" t="s">
        <v>25</v>
      </c>
      <c r="I771" s="75">
        <v>44621</v>
      </c>
      <c r="J771" s="76">
        <f>EFEITO!$J$771*EFEITO!$Y$610</f>
        <v>0</v>
      </c>
      <c r="K771" s="76">
        <f ca="1">EFEITO!$L$771*EFEITO!$Z$756</f>
        <v>389.14138948244835</v>
      </c>
      <c r="L771" s="76">
        <f>EFEITO!$N$771*EFEITO!$AA$756</f>
        <v>430.97815477596532</v>
      </c>
      <c r="M771" s="76">
        <f>$J$771-EFEITO!$K$771*EFEITO!$Y$771</f>
        <v>0</v>
      </c>
      <c r="N771" s="76">
        <f ca="1">$K$771-EFEITO!$M$771*EFEITO!$Z$771</f>
        <v>0</v>
      </c>
      <c r="O771" s="76">
        <f>$L$771-EFEITO!$O$771*EFEITO!$AA$771</f>
        <v>0</v>
      </c>
      <c r="P771" s="57"/>
      <c r="Q771" s="57"/>
      <c r="R771" s="57"/>
      <c r="S771" s="57"/>
      <c r="T771" s="57"/>
      <c r="U771" s="57"/>
      <c r="V771" s="57"/>
      <c r="W771" s="57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53" t="s">
        <v>21</v>
      </c>
      <c r="B772" s="53" t="s">
        <v>22</v>
      </c>
      <c r="C772" s="53" t="s">
        <v>23</v>
      </c>
      <c r="D772" s="53" t="s">
        <v>24</v>
      </c>
      <c r="E772" s="53" t="s">
        <v>32</v>
      </c>
      <c r="F772" s="53" t="s">
        <v>25</v>
      </c>
      <c r="G772" s="53" t="s">
        <v>25</v>
      </c>
      <c r="H772" s="53" t="s">
        <v>25</v>
      </c>
      <c r="I772" s="75">
        <v>44652</v>
      </c>
      <c r="J772" s="76">
        <f>EFEITO!$J$772*EFEITO!$Y$610</f>
        <v>0</v>
      </c>
      <c r="K772" s="76">
        <f ca="1">EFEITO!$L$772*EFEITO!$Z$756</f>
        <v>84608.640488288525</v>
      </c>
      <c r="L772" s="76">
        <f>EFEITO!$N$772*EFEITO!$AA$756</f>
        <v>93704.953369886396</v>
      </c>
      <c r="M772" s="76">
        <f>$J$772-EFEITO!$K$772*EFEITO!$Y$772</f>
        <v>0</v>
      </c>
      <c r="N772" s="76">
        <f ca="1">$K$772-EFEITO!$M$772*EFEITO!$Z$772</f>
        <v>0</v>
      </c>
      <c r="O772" s="76">
        <f>$L$772-EFEITO!$O$772*EFEITO!$AA$772</f>
        <v>0</v>
      </c>
      <c r="P772" s="57"/>
      <c r="Q772" s="57"/>
      <c r="R772" s="57"/>
      <c r="S772" s="57"/>
      <c r="T772" s="57"/>
      <c r="U772" s="57"/>
      <c r="V772" s="57"/>
      <c r="W772" s="57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53" t="s">
        <v>28</v>
      </c>
      <c r="B773" s="53" t="s">
        <v>22</v>
      </c>
      <c r="C773" s="53" t="s">
        <v>23</v>
      </c>
      <c r="D773" s="53" t="s">
        <v>24</v>
      </c>
      <c r="E773" s="53" t="s">
        <v>32</v>
      </c>
      <c r="F773" s="53" t="s">
        <v>25</v>
      </c>
      <c r="G773" s="53" t="s">
        <v>25</v>
      </c>
      <c r="H773" s="53" t="s">
        <v>25</v>
      </c>
      <c r="I773" s="75">
        <v>44652</v>
      </c>
      <c r="J773" s="76">
        <f>EFEITO!$J$773*EFEITO!$Y$610</f>
        <v>0</v>
      </c>
      <c r="K773" s="76">
        <f ca="1">EFEITO!$L$773*EFEITO!$Z$756</f>
        <v>328.47346684598648</v>
      </c>
      <c r="L773" s="76">
        <f>EFEITO!$N$773*EFEITO!$AA$756</f>
        <v>363.7877965703583</v>
      </c>
      <c r="M773" s="76">
        <f>$J$773-EFEITO!$K$773*EFEITO!$Y$773</f>
        <v>0</v>
      </c>
      <c r="N773" s="76">
        <f ca="1">$K$773-EFEITO!$M$773*EFEITO!$Z$773</f>
        <v>0</v>
      </c>
      <c r="O773" s="76">
        <f>$L$773-EFEITO!$O$773*EFEITO!$AA$773</f>
        <v>0</v>
      </c>
      <c r="P773" s="57"/>
      <c r="Q773" s="57"/>
      <c r="R773" s="57"/>
      <c r="S773" s="57"/>
      <c r="T773" s="57"/>
      <c r="U773" s="57"/>
      <c r="V773" s="57"/>
      <c r="W773" s="57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53" t="s">
        <v>21</v>
      </c>
      <c r="B774" s="53" t="s">
        <v>22</v>
      </c>
      <c r="C774" s="53" t="s">
        <v>23</v>
      </c>
      <c r="D774" s="53" t="s">
        <v>24</v>
      </c>
      <c r="E774" s="53" t="s">
        <v>32</v>
      </c>
      <c r="F774" s="53" t="s">
        <v>25</v>
      </c>
      <c r="G774" s="53" t="s">
        <v>25</v>
      </c>
      <c r="H774" s="53" t="s">
        <v>25</v>
      </c>
      <c r="I774" s="75">
        <v>44682</v>
      </c>
      <c r="J774" s="76">
        <f>EFEITO!$J$774*EFEITO!$Y$610</f>
        <v>0</v>
      </c>
      <c r="K774" s="76">
        <f ca="1">EFEITO!$L$774*EFEITO!$Z$756</f>
        <v>48985.880790506591</v>
      </c>
      <c r="L774" s="76">
        <f>EFEITO!$N$774*EFEITO!$AA$756</f>
        <v>54252.374801987382</v>
      </c>
      <c r="M774" s="76">
        <f>$J$774-EFEITO!$K$774*EFEITO!$Y$774</f>
        <v>0</v>
      </c>
      <c r="N774" s="76">
        <f ca="1">$K$774-EFEITO!$M$774*EFEITO!$Z$774</f>
        <v>0</v>
      </c>
      <c r="O774" s="76">
        <f>$L$774-EFEITO!$O$774*EFEITO!$AA$774</f>
        <v>0</v>
      </c>
      <c r="P774" s="57"/>
      <c r="Q774" s="57"/>
      <c r="R774" s="57"/>
      <c r="S774" s="57"/>
      <c r="T774" s="57"/>
      <c r="U774" s="57"/>
      <c r="V774" s="57"/>
      <c r="W774" s="57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53" t="s">
        <v>28</v>
      </c>
      <c r="B775" s="53" t="s">
        <v>22</v>
      </c>
      <c r="C775" s="53" t="s">
        <v>23</v>
      </c>
      <c r="D775" s="53" t="s">
        <v>24</v>
      </c>
      <c r="E775" s="53" t="s">
        <v>32</v>
      </c>
      <c r="F775" s="53" t="s">
        <v>25</v>
      </c>
      <c r="G775" s="53" t="s">
        <v>25</v>
      </c>
      <c r="H775" s="53" t="s">
        <v>25</v>
      </c>
      <c r="I775" s="75">
        <v>44682</v>
      </c>
      <c r="J775" s="76">
        <f>EFEITO!$J$775*EFEITO!$Y$610</f>
        <v>0</v>
      </c>
      <c r="K775" s="76">
        <f ca="1">EFEITO!$L$775*EFEITO!$Z$756</f>
        <v>415.43082262491515</v>
      </c>
      <c r="L775" s="76">
        <f>EFEITO!$N$775*EFEITO!$AA$756</f>
        <v>460.09397666506175</v>
      </c>
      <c r="M775" s="76">
        <f>$J$775-EFEITO!$K$775*EFEITO!$Y$775</f>
        <v>0</v>
      </c>
      <c r="N775" s="76">
        <f ca="1">$K$775-EFEITO!$M$775*EFEITO!$Z$775</f>
        <v>0</v>
      </c>
      <c r="O775" s="76">
        <f>$L$775-EFEITO!$O$775*EFEITO!$AA$775</f>
        <v>0</v>
      </c>
      <c r="P775" s="57"/>
      <c r="Q775" s="57"/>
      <c r="R775" s="57"/>
      <c r="S775" s="57"/>
      <c r="T775" s="57"/>
      <c r="U775" s="57"/>
      <c r="V775" s="57"/>
      <c r="W775" s="57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53" t="s">
        <v>21</v>
      </c>
      <c r="B776" s="53" t="s">
        <v>22</v>
      </c>
      <c r="C776" s="53" t="s">
        <v>23</v>
      </c>
      <c r="D776" s="53" t="s">
        <v>24</v>
      </c>
      <c r="E776" s="53" t="s">
        <v>32</v>
      </c>
      <c r="F776" s="53" t="s">
        <v>25</v>
      </c>
      <c r="G776" s="53" t="s">
        <v>25</v>
      </c>
      <c r="H776" s="53" t="s">
        <v>25</v>
      </c>
      <c r="I776" s="75">
        <v>44713</v>
      </c>
      <c r="J776" s="76">
        <f>EFEITO!$J$776*EFEITO!$Y$610</f>
        <v>0</v>
      </c>
      <c r="K776" s="76">
        <f ca="1">EFEITO!$L$776*EFEITO!$Z$756</f>
        <v>33168.886674571891</v>
      </c>
      <c r="L776" s="76">
        <f>EFEITO!$N$776*EFEITO!$AA$756</f>
        <v>36734.888555525547</v>
      </c>
      <c r="M776" s="76">
        <f>$J$776-EFEITO!$K$776*EFEITO!$Y$776</f>
        <v>0</v>
      </c>
      <c r="N776" s="76">
        <f ca="1">$K$776-EFEITO!$M$776*EFEITO!$Z$776</f>
        <v>0</v>
      </c>
      <c r="O776" s="76">
        <f>$L$776-EFEITO!$O$776*EFEITO!$AA$776</f>
        <v>0</v>
      </c>
      <c r="P776" s="57"/>
      <c r="Q776" s="57"/>
      <c r="R776" s="57"/>
      <c r="S776" s="57"/>
      <c r="T776" s="57"/>
      <c r="U776" s="57"/>
      <c r="V776" s="57"/>
      <c r="W776" s="57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53" t="s">
        <v>28</v>
      </c>
      <c r="B777" s="53" t="s">
        <v>22</v>
      </c>
      <c r="C777" s="53" t="s">
        <v>23</v>
      </c>
      <c r="D777" s="53" t="s">
        <v>24</v>
      </c>
      <c r="E777" s="53" t="s">
        <v>32</v>
      </c>
      <c r="F777" s="53" t="s">
        <v>25</v>
      </c>
      <c r="G777" s="53" t="s">
        <v>25</v>
      </c>
      <c r="H777" s="53" t="s">
        <v>25</v>
      </c>
      <c r="I777" s="75">
        <v>44713</v>
      </c>
      <c r="J777" s="76">
        <f>EFEITO!$J$777*EFEITO!$Y$610</f>
        <v>0</v>
      </c>
      <c r="K777" s="76">
        <f ca="1">EFEITO!$L$777*EFEITO!$Z$756</f>
        <v>229.67142140946282</v>
      </c>
      <c r="L777" s="76">
        <f>EFEITO!$N$777*EFEITO!$AA$756</f>
        <v>254.36349892122678</v>
      </c>
      <c r="M777" s="76">
        <f>$J$777-EFEITO!$K$777*EFEITO!$Y$777</f>
        <v>0</v>
      </c>
      <c r="N777" s="76">
        <f ca="1">$K$777-EFEITO!$M$777*EFEITO!$Z$777</f>
        <v>0</v>
      </c>
      <c r="O777" s="76">
        <f>$L$777-EFEITO!$O$777*EFEITO!$AA$777</f>
        <v>0</v>
      </c>
      <c r="P777" s="57"/>
      <c r="Q777" s="57"/>
      <c r="R777" s="57"/>
      <c r="S777" s="57"/>
      <c r="T777" s="57"/>
      <c r="U777" s="57"/>
      <c r="V777" s="57"/>
      <c r="W777" s="57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53" t="s">
        <v>21</v>
      </c>
      <c r="B778" s="53" t="s">
        <v>22</v>
      </c>
      <c r="C778" s="53" t="s">
        <v>23</v>
      </c>
      <c r="D778" s="53" t="s">
        <v>24</v>
      </c>
      <c r="E778" s="53" t="s">
        <v>32</v>
      </c>
      <c r="F778" s="53" t="s">
        <v>25</v>
      </c>
      <c r="G778" s="53" t="s">
        <v>25</v>
      </c>
      <c r="H778" s="53" t="s">
        <v>25</v>
      </c>
      <c r="I778" s="75">
        <v>44743</v>
      </c>
      <c r="J778" s="76">
        <f>EFEITO!$J$778*EFEITO!$Y$610</f>
        <v>0</v>
      </c>
      <c r="K778" s="76">
        <f ca="1">EFEITO!$L$778*EFEITO!$Z$756</f>
        <v>19192.441773479564</v>
      </c>
      <c r="L778" s="76">
        <f>EFEITO!$N$778*EFEITO!$AA$756</f>
        <v>21255.829795387144</v>
      </c>
      <c r="M778" s="76">
        <f>$J$778-EFEITO!$K$778*EFEITO!$Y$778</f>
        <v>0</v>
      </c>
      <c r="N778" s="76">
        <f ca="1">$K$778-EFEITO!$M$778*EFEITO!$Z$778</f>
        <v>0</v>
      </c>
      <c r="O778" s="76">
        <f>$L$778-EFEITO!$O$778*EFEITO!$AA$778</f>
        <v>0</v>
      </c>
      <c r="P778" s="57"/>
      <c r="Q778" s="57"/>
      <c r="R778" s="57"/>
      <c r="S778" s="57"/>
      <c r="T778" s="57"/>
      <c r="U778" s="57"/>
      <c r="V778" s="57"/>
      <c r="W778" s="57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53" t="s">
        <v>28</v>
      </c>
      <c r="B779" s="53" t="s">
        <v>22</v>
      </c>
      <c r="C779" s="53" t="s">
        <v>23</v>
      </c>
      <c r="D779" s="53" t="s">
        <v>24</v>
      </c>
      <c r="E779" s="53" t="s">
        <v>32</v>
      </c>
      <c r="F779" s="53" t="s">
        <v>25</v>
      </c>
      <c r="G779" s="53" t="s">
        <v>25</v>
      </c>
      <c r="H779" s="53" t="s">
        <v>25</v>
      </c>
      <c r="I779" s="75">
        <v>44743</v>
      </c>
      <c r="J779" s="76">
        <f>EFEITO!$J$779*EFEITO!$Y$610</f>
        <v>0</v>
      </c>
      <c r="K779" s="76">
        <f ca="1">EFEITO!$L$779*EFEITO!$Z$756</f>
        <v>162.93670650935474</v>
      </c>
      <c r="L779" s="76">
        <f>EFEITO!$N$779*EFEITO!$AA$756</f>
        <v>180.45410489505898</v>
      </c>
      <c r="M779" s="76">
        <f>$J$779-EFEITO!$K$779*EFEITO!$Y$779</f>
        <v>0</v>
      </c>
      <c r="N779" s="76">
        <f ca="1">$K$779-EFEITO!$M$779*EFEITO!$Z$779</f>
        <v>0</v>
      </c>
      <c r="O779" s="76">
        <f>$L$779-EFEITO!$O$779*EFEITO!$AA$779</f>
        <v>0</v>
      </c>
      <c r="P779" s="57"/>
      <c r="Q779" s="57"/>
      <c r="R779" s="57"/>
      <c r="S779" s="57"/>
      <c r="T779" s="57"/>
      <c r="U779" s="57"/>
      <c r="V779" s="57"/>
      <c r="W779" s="57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53" t="s">
        <v>56</v>
      </c>
      <c r="B780" s="53" t="s">
        <v>22</v>
      </c>
      <c r="C780" s="53" t="s">
        <v>23</v>
      </c>
      <c r="D780" s="53" t="s">
        <v>24</v>
      </c>
      <c r="E780" s="53" t="s">
        <v>32</v>
      </c>
      <c r="F780" s="53" t="s">
        <v>25</v>
      </c>
      <c r="G780" s="53" t="s">
        <v>25</v>
      </c>
      <c r="H780" s="53" t="s">
        <v>25</v>
      </c>
      <c r="I780" s="75">
        <v>44774</v>
      </c>
      <c r="J780" s="76">
        <f>EFEITO!$J$780*EFEITO!$Y$610</f>
        <v>0</v>
      </c>
      <c r="K780" s="76">
        <f ca="1">EFEITO!$L$780*EFEITO!$Z$756</f>
        <v>19192.441773479564</v>
      </c>
      <c r="L780" s="76">
        <f>EFEITO!$N$780*EFEITO!$AA$756</f>
        <v>21255.829795387144</v>
      </c>
      <c r="M780" s="76">
        <f>$J$780-EFEITO!$K$780*EFEITO!$Y$780</f>
        <v>0</v>
      </c>
      <c r="N780" s="76">
        <f ca="1">$K$780-EFEITO!$M$780*EFEITO!$Z$780</f>
        <v>0</v>
      </c>
      <c r="O780" s="76">
        <f>$L$780-EFEITO!$O$780*EFEITO!$AA$780</f>
        <v>0</v>
      </c>
      <c r="P780" s="57"/>
      <c r="Q780" s="57"/>
      <c r="R780" s="57"/>
      <c r="S780" s="57"/>
      <c r="T780" s="57"/>
      <c r="U780" s="57"/>
      <c r="V780" s="57"/>
      <c r="W780" s="57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53" t="s">
        <v>56</v>
      </c>
      <c r="B781" s="53" t="s">
        <v>22</v>
      </c>
      <c r="C781" s="53" t="s">
        <v>23</v>
      </c>
      <c r="D781" s="53" t="s">
        <v>24</v>
      </c>
      <c r="E781" s="53" t="s">
        <v>32</v>
      </c>
      <c r="F781" s="53" t="s">
        <v>25</v>
      </c>
      <c r="G781" s="53" t="s">
        <v>25</v>
      </c>
      <c r="H781" s="53" t="s">
        <v>25</v>
      </c>
      <c r="I781" s="75">
        <v>44774</v>
      </c>
      <c r="J781" s="76">
        <f>EFEITO!$J$781*EFEITO!$Y$610</f>
        <v>0</v>
      </c>
      <c r="K781" s="76">
        <f ca="1">EFEITO!$L$781*EFEITO!$Z$756</f>
        <v>162.93670650935474</v>
      </c>
      <c r="L781" s="76">
        <f>EFEITO!$N$781*EFEITO!$AA$756</f>
        <v>180.45410489505898</v>
      </c>
      <c r="M781" s="76">
        <f>$J$781-EFEITO!$K$781*EFEITO!$Y$781</f>
        <v>0</v>
      </c>
      <c r="N781" s="76">
        <f ca="1">$K$781-EFEITO!$M$781*EFEITO!$Z$781</f>
        <v>0</v>
      </c>
      <c r="O781" s="76">
        <f>$L$781-EFEITO!$O$781*EFEITO!$AA$781</f>
        <v>0</v>
      </c>
      <c r="P781" s="57"/>
      <c r="Q781" s="57"/>
      <c r="R781" s="57"/>
      <c r="S781" s="57"/>
      <c r="T781" s="57"/>
      <c r="U781" s="57"/>
      <c r="V781" s="57"/>
      <c r="W781" s="57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53" t="s">
        <v>21</v>
      </c>
      <c r="B782" s="53" t="s">
        <v>43</v>
      </c>
      <c r="C782" s="53" t="s">
        <v>33</v>
      </c>
      <c r="D782" s="53" t="s">
        <v>44</v>
      </c>
      <c r="E782" s="53" t="s">
        <v>25</v>
      </c>
      <c r="F782" s="53" t="s">
        <v>25</v>
      </c>
      <c r="G782" s="53" t="s">
        <v>25</v>
      </c>
      <c r="H782" s="53" t="s">
        <v>35</v>
      </c>
      <c r="I782" s="75">
        <v>44440</v>
      </c>
      <c r="J782" s="76">
        <f>EFEITO!$J$782*EFEITO!$Y$782/(1-CUSTOS!$M$38)</f>
        <v>0</v>
      </c>
      <c r="K782" s="76">
        <f ca="1">EFEITO!$L$782*EFEITO!$Z$782/(1-CUSTOS!$M$38)</f>
        <v>159.15995067779724</v>
      </c>
      <c r="L782" s="76">
        <f>EFEITO!$N$782*EFEITO!$AA$782/(1-CUSTOS!$M$38)</f>
        <v>133.83805227753825</v>
      </c>
      <c r="M782" s="76">
        <f>$J$782-EFEITO!$K$782*EFEITO!$Y$782</f>
        <v>0</v>
      </c>
      <c r="N782" s="76">
        <f ca="1">$K$782-EFEITO!$M$782*EFEITO!$Z$782</f>
        <v>9.5495970406678339</v>
      </c>
      <c r="O782" s="76">
        <f>$L$782-EFEITO!$O$782*EFEITO!$AA$782</f>
        <v>8.0302831366523151</v>
      </c>
      <c r="P782" s="57"/>
      <c r="Q782" s="57"/>
      <c r="R782" s="57"/>
      <c r="S782" s="57"/>
      <c r="T782" s="57"/>
      <c r="U782" s="57"/>
      <c r="V782" s="57"/>
      <c r="W782" s="57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53" t="s">
        <v>21</v>
      </c>
      <c r="B783" s="53" t="s">
        <v>43</v>
      </c>
      <c r="C783" s="53" t="s">
        <v>33</v>
      </c>
      <c r="D783" s="53" t="s">
        <v>44</v>
      </c>
      <c r="E783" s="53" t="s">
        <v>25</v>
      </c>
      <c r="F783" s="53" t="s">
        <v>25</v>
      </c>
      <c r="G783" s="53" t="s">
        <v>25</v>
      </c>
      <c r="H783" s="53" t="s">
        <v>35</v>
      </c>
      <c r="I783" s="75">
        <v>44470</v>
      </c>
      <c r="J783" s="76">
        <f>EFEITO!$J$783*EFEITO!$Y$783/(1-CUSTOS!$M$38)</f>
        <v>0</v>
      </c>
      <c r="K783" s="76">
        <f ca="1">EFEITO!$L$783*EFEITO!$Z$783/(1-CUSTOS!$M$38)</f>
        <v>247.25987781835474</v>
      </c>
      <c r="L783" s="76">
        <f>EFEITO!$N$783*EFEITO!$AA$783/(1-CUSTOS!$M$38)</f>
        <v>207.92152996191589</v>
      </c>
      <c r="M783" s="76">
        <f>$J$783-EFEITO!$K$783*EFEITO!$Y$783</f>
        <v>0</v>
      </c>
      <c r="N783" s="76">
        <f ca="1">$K$783-EFEITO!$M$783*EFEITO!$Z$783</f>
        <v>14.835592669101288</v>
      </c>
      <c r="O783" s="76">
        <f>$L$783-EFEITO!$O$783*EFEITO!$AA$783</f>
        <v>12.475291797714959</v>
      </c>
      <c r="P783" s="57"/>
      <c r="Q783" s="57"/>
      <c r="R783" s="57"/>
      <c r="S783" s="57"/>
      <c r="T783" s="57"/>
      <c r="U783" s="57"/>
      <c r="V783" s="57"/>
      <c r="W783" s="57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53" t="s">
        <v>21</v>
      </c>
      <c r="B784" s="53" t="s">
        <v>43</v>
      </c>
      <c r="C784" s="53" t="s">
        <v>33</v>
      </c>
      <c r="D784" s="53" t="s">
        <v>44</v>
      </c>
      <c r="E784" s="53" t="s">
        <v>25</v>
      </c>
      <c r="F784" s="53" t="s">
        <v>25</v>
      </c>
      <c r="G784" s="53" t="s">
        <v>25</v>
      </c>
      <c r="H784" s="53" t="s">
        <v>35</v>
      </c>
      <c r="I784" s="75">
        <v>44501</v>
      </c>
      <c r="J784" s="76">
        <f>EFEITO!$J$784*EFEITO!$Y$784/(1-CUSTOS!$M$38)</f>
        <v>0</v>
      </c>
      <c r="K784" s="76">
        <f ca="1">EFEITO!$L$784*EFEITO!$Z$784/(1-CUSTOS!$M$38)</f>
        <v>114.92871153727044</v>
      </c>
      <c r="L784" s="76">
        <f>EFEITO!$N$784*EFEITO!$AA$784/(1-CUSTOS!$M$38)</f>
        <v>96.643878296081141</v>
      </c>
      <c r="M784" s="76">
        <f>$J$784-EFEITO!$K$784*EFEITO!$Y$784</f>
        <v>0</v>
      </c>
      <c r="N784" s="76">
        <f ca="1">$K$784-EFEITO!$M$784*EFEITO!$Z$784</f>
        <v>6.8957226922362338</v>
      </c>
      <c r="O784" s="76">
        <f>$L$784-EFEITO!$O$784*EFEITO!$AA$784</f>
        <v>5.798632697764873</v>
      </c>
      <c r="P784" s="57"/>
      <c r="Q784" s="57"/>
      <c r="R784" s="57"/>
      <c r="S784" s="57"/>
      <c r="T784" s="57"/>
      <c r="U784" s="57"/>
      <c r="V784" s="57"/>
      <c r="W784" s="57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53" t="s">
        <v>21</v>
      </c>
      <c r="B785" s="53" t="s">
        <v>43</v>
      </c>
      <c r="C785" s="53" t="s">
        <v>33</v>
      </c>
      <c r="D785" s="53" t="s">
        <v>44</v>
      </c>
      <c r="E785" s="53" t="s">
        <v>25</v>
      </c>
      <c r="F785" s="53" t="s">
        <v>25</v>
      </c>
      <c r="G785" s="53" t="s">
        <v>25</v>
      </c>
      <c r="H785" s="53" t="s">
        <v>35</v>
      </c>
      <c r="I785" s="75">
        <v>44531</v>
      </c>
      <c r="J785" s="76">
        <f>EFEITO!$J$785*EFEITO!$Y$785/(1-CUSTOS!$M$38)</f>
        <v>0</v>
      </c>
      <c r="K785" s="76">
        <f ca="1">EFEITO!$L$785*EFEITO!$Z$785/(1-CUSTOS!$M$38)</f>
        <v>94.988398809983792</v>
      </c>
      <c r="L785" s="76">
        <f>EFEITO!$N$785*EFEITO!$AA$785/(1-CUSTOS!$M$38)</f>
        <v>79.876012976571801</v>
      </c>
      <c r="M785" s="76">
        <f>$J$785-EFEITO!$K$785*EFEITO!$Y$785</f>
        <v>0</v>
      </c>
      <c r="N785" s="76">
        <f ca="1">$K$785-EFEITO!$M$785*EFEITO!$Z$785</f>
        <v>5.6993039285990363</v>
      </c>
      <c r="O785" s="76">
        <f>$L$785-EFEITO!$O$785*EFEITO!$AA$785</f>
        <v>4.7925607785943072</v>
      </c>
      <c r="P785" s="57"/>
      <c r="Q785" s="57"/>
      <c r="R785" s="57"/>
      <c r="S785" s="57"/>
      <c r="T785" s="57"/>
      <c r="U785" s="57"/>
      <c r="V785" s="57"/>
      <c r="W785" s="57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53" t="s">
        <v>21</v>
      </c>
      <c r="B786" s="53" t="s">
        <v>43</v>
      </c>
      <c r="C786" s="53" t="s">
        <v>33</v>
      </c>
      <c r="D786" s="53" t="s">
        <v>44</v>
      </c>
      <c r="E786" s="53" t="s">
        <v>25</v>
      </c>
      <c r="F786" s="53" t="s">
        <v>25</v>
      </c>
      <c r="G786" s="53" t="s">
        <v>25</v>
      </c>
      <c r="H786" s="53" t="s">
        <v>35</v>
      </c>
      <c r="I786" s="75">
        <v>44562</v>
      </c>
      <c r="J786" s="76">
        <f>EFEITO!$J$786*EFEITO!$Y$786/(1-CUSTOS!$M$38)</f>
        <v>0</v>
      </c>
      <c r="K786" s="76">
        <f ca="1">EFEITO!$L$786*EFEITO!$Z$786/(1-CUSTOS!$M$38)</f>
        <v>154.44678585134764</v>
      </c>
      <c r="L786" s="76">
        <f>EFEITO!$N$786*EFEITO!$AA$786/(1-CUSTOS!$M$38)</f>
        <v>129.8747386565633</v>
      </c>
      <c r="M786" s="76">
        <f>$J$786-EFEITO!$K$786*EFEITO!$Y$786</f>
        <v>0</v>
      </c>
      <c r="N786" s="76">
        <f ca="1">$K$786-EFEITO!$M$786*EFEITO!$Z$786</f>
        <v>9.2668071510808545</v>
      </c>
      <c r="O786" s="76">
        <f>$L$786-EFEITO!$O$786*EFEITO!$AA$786</f>
        <v>7.7924843193937932</v>
      </c>
      <c r="P786" s="57"/>
      <c r="Q786" s="57"/>
      <c r="R786" s="57"/>
      <c r="S786" s="57"/>
      <c r="T786" s="57"/>
      <c r="U786" s="57"/>
      <c r="V786" s="57"/>
      <c r="W786" s="57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53" t="s">
        <v>21</v>
      </c>
      <c r="B787" s="53" t="s">
        <v>43</v>
      </c>
      <c r="C787" s="53" t="s">
        <v>33</v>
      </c>
      <c r="D787" s="53" t="s">
        <v>44</v>
      </c>
      <c r="E787" s="53" t="s">
        <v>25</v>
      </c>
      <c r="F787" s="53" t="s">
        <v>25</v>
      </c>
      <c r="G787" s="53" t="s">
        <v>25</v>
      </c>
      <c r="H787" s="53" t="s">
        <v>35</v>
      </c>
      <c r="I787" s="75">
        <v>44593</v>
      </c>
      <c r="J787" s="76">
        <f>EFEITO!$J$787*EFEITO!$Y$787/(1-CUSTOS!$M$38)</f>
        <v>0</v>
      </c>
      <c r="K787" s="76">
        <f ca="1">EFEITO!$L$787*EFEITO!$Z$787/(1-CUSTOS!$M$38)</f>
        <v>125.80524575215408</v>
      </c>
      <c r="L787" s="76">
        <f>EFEITO!$N$787*EFEITO!$AA$787/(1-CUSTOS!$M$38)</f>
        <v>105.78998665217715</v>
      </c>
      <c r="M787" s="76">
        <f>$J$787-EFEITO!$K$787*EFEITO!$Y$787</f>
        <v>0</v>
      </c>
      <c r="N787" s="76">
        <f ca="1">$K$787-EFEITO!$M$787*EFEITO!$Z$787</f>
        <v>7.5483147451292467</v>
      </c>
      <c r="O787" s="76">
        <f>$L$787-EFEITO!$O$787*EFEITO!$AA$787</f>
        <v>6.3473991991306349</v>
      </c>
      <c r="P787" s="57"/>
      <c r="Q787" s="57"/>
      <c r="R787" s="57"/>
      <c r="S787" s="57"/>
      <c r="T787" s="57"/>
      <c r="U787" s="57"/>
      <c r="V787" s="57"/>
      <c r="W787" s="57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53" t="s">
        <v>21</v>
      </c>
      <c r="B788" s="53" t="s">
        <v>43</v>
      </c>
      <c r="C788" s="53" t="s">
        <v>33</v>
      </c>
      <c r="D788" s="53" t="s">
        <v>44</v>
      </c>
      <c r="E788" s="53" t="s">
        <v>25</v>
      </c>
      <c r="F788" s="53" t="s">
        <v>25</v>
      </c>
      <c r="G788" s="53" t="s">
        <v>25</v>
      </c>
      <c r="H788" s="53" t="s">
        <v>35</v>
      </c>
      <c r="I788" s="75">
        <v>44621</v>
      </c>
      <c r="J788" s="76">
        <f>EFEITO!$J$788*EFEITO!$Y$788/(1-CUSTOS!$M$38)</f>
        <v>0</v>
      </c>
      <c r="K788" s="76">
        <f ca="1">EFEITO!$L$788*EFEITO!$Z$788/(1-CUSTOS!$M$38)</f>
        <v>127.25545031413856</v>
      </c>
      <c r="L788" s="76">
        <f>EFEITO!$N$788*EFEITO!$AA$788/(1-CUSTOS!$M$38)</f>
        <v>107.00946776632327</v>
      </c>
      <c r="M788" s="76">
        <f>$J$788-EFEITO!$K$788*EFEITO!$Y$788</f>
        <v>0</v>
      </c>
      <c r="N788" s="76">
        <f ca="1">$K$788-EFEITO!$M$788*EFEITO!$Z$788</f>
        <v>7.6353270188483151</v>
      </c>
      <c r="O788" s="76">
        <f>$L$788-EFEITO!$O$788*EFEITO!$AA$788</f>
        <v>6.4205680659793956</v>
      </c>
      <c r="P788" s="57"/>
      <c r="Q788" s="57"/>
      <c r="R788" s="57"/>
      <c r="S788" s="57"/>
      <c r="T788" s="57"/>
      <c r="U788" s="57"/>
      <c r="V788" s="57"/>
      <c r="W788" s="57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53" t="s">
        <v>21</v>
      </c>
      <c r="B789" s="53" t="s">
        <v>43</v>
      </c>
      <c r="C789" s="53" t="s">
        <v>33</v>
      </c>
      <c r="D789" s="53" t="s">
        <v>44</v>
      </c>
      <c r="E789" s="53" t="s">
        <v>25</v>
      </c>
      <c r="F789" s="53" t="s">
        <v>25</v>
      </c>
      <c r="G789" s="53" t="s">
        <v>25</v>
      </c>
      <c r="H789" s="53" t="s">
        <v>35</v>
      </c>
      <c r="I789" s="75">
        <v>44652</v>
      </c>
      <c r="J789" s="76">
        <f>EFEITO!$J$789*EFEITO!$Y$789/(1-CUSTOS!$M$38)</f>
        <v>0</v>
      </c>
      <c r="K789" s="76">
        <f ca="1">EFEITO!$L$789*EFEITO!$Z$789/(1-CUSTOS!$M$38)</f>
        <v>109.49044442982863</v>
      </c>
      <c r="L789" s="76">
        <f>EFEITO!$N$789*EFEITO!$AA$789/(1-CUSTOS!$M$38)</f>
        <v>92.070824118033144</v>
      </c>
      <c r="M789" s="76">
        <f>$J$789-EFEITO!$K$789*EFEITO!$Y$789</f>
        <v>0</v>
      </c>
      <c r="N789" s="76">
        <f ca="1">$K$789-EFEITO!$M$789*EFEITO!$Z$789</f>
        <v>6.5694266657897202</v>
      </c>
      <c r="O789" s="76">
        <f>$L$789-EFEITO!$O$789*EFEITO!$AA$789</f>
        <v>5.5242494470819992</v>
      </c>
      <c r="P789" s="57"/>
      <c r="Q789" s="57"/>
      <c r="R789" s="57"/>
      <c r="S789" s="57"/>
      <c r="T789" s="57"/>
      <c r="U789" s="57"/>
      <c r="V789" s="57"/>
      <c r="W789" s="57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53" t="s">
        <v>21</v>
      </c>
      <c r="B790" s="53" t="s">
        <v>43</v>
      </c>
      <c r="C790" s="53" t="s">
        <v>33</v>
      </c>
      <c r="D790" s="53" t="s">
        <v>44</v>
      </c>
      <c r="E790" s="53" t="s">
        <v>25</v>
      </c>
      <c r="F790" s="53" t="s">
        <v>25</v>
      </c>
      <c r="G790" s="53" t="s">
        <v>25</v>
      </c>
      <c r="H790" s="53" t="s">
        <v>35</v>
      </c>
      <c r="I790" s="75">
        <v>44682</v>
      </c>
      <c r="J790" s="76">
        <f>EFEITO!$J$790*EFEITO!$Y$790/(1-CUSTOS!$M$38)</f>
        <v>0</v>
      </c>
      <c r="K790" s="76">
        <f ca="1">EFEITO!$L$790*EFEITO!$Z$790/(1-CUSTOS!$M$38)</f>
        <v>197.59037157038614</v>
      </c>
      <c r="L790" s="76">
        <f>EFEITO!$N$790*EFEITO!$AA$790/(1-CUSTOS!$M$38)</f>
        <v>166.1543018024108</v>
      </c>
      <c r="M790" s="76">
        <f>$J$790-EFEITO!$K$790*EFEITO!$Y$790</f>
        <v>0</v>
      </c>
      <c r="N790" s="76">
        <f ca="1">$K$790-EFEITO!$M$790*EFEITO!$Z$790</f>
        <v>11.855422294223189</v>
      </c>
      <c r="O790" s="76">
        <f>$L$790-EFEITO!$O$790*EFEITO!$AA$790</f>
        <v>9.9692581081446576</v>
      </c>
      <c r="P790" s="57"/>
      <c r="Q790" s="57"/>
      <c r="R790" s="57"/>
      <c r="S790" s="57"/>
      <c r="T790" s="57"/>
      <c r="U790" s="57"/>
      <c r="V790" s="57"/>
      <c r="W790" s="57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53" t="s">
        <v>21</v>
      </c>
      <c r="B791" s="53" t="s">
        <v>43</v>
      </c>
      <c r="C791" s="53" t="s">
        <v>33</v>
      </c>
      <c r="D791" s="53" t="s">
        <v>44</v>
      </c>
      <c r="E791" s="53" t="s">
        <v>25</v>
      </c>
      <c r="F791" s="53" t="s">
        <v>25</v>
      </c>
      <c r="G791" s="53" t="s">
        <v>25</v>
      </c>
      <c r="H791" s="53" t="s">
        <v>35</v>
      </c>
      <c r="I791" s="75">
        <v>44713</v>
      </c>
      <c r="J791" s="76">
        <f>EFEITO!$J$791*EFEITO!$Y$791/(1-CUSTOS!$M$38)</f>
        <v>0</v>
      </c>
      <c r="K791" s="76">
        <f ca="1">EFEITO!$L$791*EFEITO!$Z$791/(1-CUSTOS!$M$38)</f>
        <v>200.4907806943551</v>
      </c>
      <c r="L791" s="76">
        <f>EFEITO!$N$791*EFEITO!$AA$791/(1-CUSTOS!$M$38)</f>
        <v>168.5932640307031</v>
      </c>
      <c r="M791" s="76">
        <f>$J$791-EFEITO!$K$791*EFEITO!$Y$791</f>
        <v>0</v>
      </c>
      <c r="N791" s="76">
        <f ca="1">$K$791-EFEITO!$M$791*EFEITO!$Z$791</f>
        <v>12.029446841661326</v>
      </c>
      <c r="O791" s="76">
        <f>$L$791-EFEITO!$O$791*EFEITO!$AA$791</f>
        <v>10.115595841842207</v>
      </c>
      <c r="P791" s="57"/>
      <c r="Q791" s="57"/>
      <c r="R791" s="57"/>
      <c r="S791" s="57"/>
      <c r="T791" s="57"/>
      <c r="U791" s="57"/>
      <c r="V791" s="57"/>
      <c r="W791" s="57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53" t="s">
        <v>21</v>
      </c>
      <c r="B792" s="53" t="s">
        <v>43</v>
      </c>
      <c r="C792" s="53" t="s">
        <v>33</v>
      </c>
      <c r="D792" s="53" t="s">
        <v>44</v>
      </c>
      <c r="E792" s="53" t="s">
        <v>25</v>
      </c>
      <c r="F792" s="53" t="s">
        <v>25</v>
      </c>
      <c r="G792" s="53" t="s">
        <v>25</v>
      </c>
      <c r="H792" s="53" t="s">
        <v>35</v>
      </c>
      <c r="I792" s="75">
        <v>44743</v>
      </c>
      <c r="J792" s="76">
        <f>EFEITO!$J$792*EFEITO!$Y$792/(1-CUSTOS!$M$38)</f>
        <v>0</v>
      </c>
      <c r="K792" s="76">
        <f ca="1">EFEITO!$L$792*EFEITO!$Z$792/(1-CUSTOS!$M$38)</f>
        <v>213.90517289271156</v>
      </c>
      <c r="L792" s="76">
        <f>EFEITO!$N$792*EFEITO!$AA$792/(1-CUSTOS!$M$38)</f>
        <v>179.8734643365548</v>
      </c>
      <c r="M792" s="76">
        <f>$J$792-EFEITO!$K$792*EFEITO!$Y$792</f>
        <v>0</v>
      </c>
      <c r="N792" s="76">
        <f ca="1">$K$792-EFEITO!$M$792*EFEITO!$Z$792</f>
        <v>12.834310373562715</v>
      </c>
      <c r="O792" s="76">
        <f>$L$792-EFEITO!$O$792*EFEITO!$AA$792</f>
        <v>10.792407860193293</v>
      </c>
      <c r="P792" s="57"/>
      <c r="Q792" s="57"/>
      <c r="R792" s="57"/>
      <c r="S792" s="57"/>
      <c r="T792" s="57"/>
      <c r="U792" s="57"/>
      <c r="V792" s="57"/>
      <c r="W792" s="57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53" t="s">
        <v>56</v>
      </c>
      <c r="B793" s="53" t="s">
        <v>43</v>
      </c>
      <c r="C793" s="53" t="s">
        <v>33</v>
      </c>
      <c r="D793" s="53" t="s">
        <v>44</v>
      </c>
      <c r="E793" s="53" t="s">
        <v>25</v>
      </c>
      <c r="F793" s="53" t="s">
        <v>25</v>
      </c>
      <c r="G793" s="53" t="s">
        <v>25</v>
      </c>
      <c r="H793" s="53" t="s">
        <v>35</v>
      </c>
      <c r="I793" s="75">
        <v>44774</v>
      </c>
      <c r="J793" s="76">
        <f>EFEITO!$J$793*EFEITO!$Y$793/(1-CUSTOS!$M$38)</f>
        <v>0</v>
      </c>
      <c r="K793" s="76">
        <f ca="1">EFEITO!$L$793*EFEITO!$Z$793/(1-CUSTOS!$M$38)</f>
        <v>213.90517289271156</v>
      </c>
      <c r="L793" s="76">
        <f>EFEITO!$N$793*EFEITO!$AA$793/(1-CUSTOS!$M$38)</f>
        <v>179.8734643365548</v>
      </c>
      <c r="M793" s="76">
        <f>$J$793-EFEITO!$K$793*EFEITO!$Y$793</f>
        <v>0</v>
      </c>
      <c r="N793" s="76">
        <f ca="1">$K$793-EFEITO!$M$793*EFEITO!$Z$793</f>
        <v>12.834310373562715</v>
      </c>
      <c r="O793" s="76">
        <f>$L$793-EFEITO!$O$793*EFEITO!$AA$793</f>
        <v>10.792407860193293</v>
      </c>
      <c r="P793" s="57"/>
      <c r="Q793" s="57"/>
      <c r="R793" s="57"/>
      <c r="S793" s="57"/>
      <c r="T793" s="57"/>
      <c r="U793" s="57"/>
      <c r="V793" s="57"/>
      <c r="W793" s="57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53" t="s">
        <v>21</v>
      </c>
      <c r="B794" s="53" t="s">
        <v>43</v>
      </c>
      <c r="C794" s="53" t="s">
        <v>33</v>
      </c>
      <c r="D794" s="53" t="s">
        <v>44</v>
      </c>
      <c r="E794" s="53" t="s">
        <v>25</v>
      </c>
      <c r="F794" s="53" t="s">
        <v>25</v>
      </c>
      <c r="G794" s="53" t="s">
        <v>25</v>
      </c>
      <c r="H794" s="53" t="s">
        <v>36</v>
      </c>
      <c r="I794" s="75">
        <v>44440</v>
      </c>
      <c r="J794" s="76">
        <f>EFEITO!$J$794*EFEITO!$Y$794/(1-CUSTOS!$M$38)</f>
        <v>0</v>
      </c>
      <c r="K794" s="76">
        <f ca="1">EFEITO!$L$794*EFEITO!$Z$794/(1-CUSTOS!$M$38)</f>
        <v>10.028710077821691</v>
      </c>
      <c r="L794" s="76">
        <f>EFEITO!$N$794*EFEITO!$AA$794/(1-CUSTOS!$M$38)</f>
        <v>4.2681838995114703</v>
      </c>
      <c r="M794" s="76">
        <f>$J$794-EFEITO!$K$794*EFEITO!$Y$794</f>
        <v>0</v>
      </c>
      <c r="N794" s="76">
        <f ca="1">$K$794-EFEITO!$M$794*EFEITO!$Z$794</f>
        <v>0.60172260466930183</v>
      </c>
      <c r="O794" s="76">
        <f>$L$794-EFEITO!$O$794*EFEITO!$AA$794</f>
        <v>0.25609103397068811</v>
      </c>
      <c r="P794" s="57"/>
      <c r="Q794" s="57"/>
      <c r="R794" s="57"/>
      <c r="S794" s="57"/>
      <c r="T794" s="57"/>
      <c r="U794" s="57"/>
      <c r="V794" s="57"/>
      <c r="W794" s="57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53" t="s">
        <v>21</v>
      </c>
      <c r="B795" s="53" t="s">
        <v>43</v>
      </c>
      <c r="C795" s="53" t="s">
        <v>33</v>
      </c>
      <c r="D795" s="53" t="s">
        <v>44</v>
      </c>
      <c r="E795" s="53" t="s">
        <v>25</v>
      </c>
      <c r="F795" s="53" t="s">
        <v>25</v>
      </c>
      <c r="G795" s="53" t="s">
        <v>25</v>
      </c>
      <c r="H795" s="53" t="s">
        <v>36</v>
      </c>
      <c r="I795" s="75">
        <v>44470</v>
      </c>
      <c r="J795" s="76">
        <f>EFEITO!$J$795*EFEITO!$Y$795/(1-CUSTOS!$M$38)</f>
        <v>0</v>
      </c>
      <c r="K795" s="76">
        <f ca="1">EFEITO!$L$795*EFEITO!$Z$795/(1-CUSTOS!$M$38)</f>
        <v>12.177719380212052</v>
      </c>
      <c r="L795" s="76">
        <f>EFEITO!$N$795*EFEITO!$AA$795/(1-CUSTOS!$M$38)</f>
        <v>5.182794735121071</v>
      </c>
      <c r="M795" s="76">
        <f>$J$795-EFEITO!$K$795*EFEITO!$Y$795</f>
        <v>0</v>
      </c>
      <c r="N795" s="76">
        <f ca="1">$K$795-EFEITO!$M$795*EFEITO!$Z$795</f>
        <v>0.73066316281272314</v>
      </c>
      <c r="O795" s="76">
        <f>$L$795-EFEITO!$O$795*EFEITO!$AA$795</f>
        <v>0.31096768410726483</v>
      </c>
      <c r="P795" s="57"/>
      <c r="Q795" s="57"/>
      <c r="R795" s="57"/>
      <c r="S795" s="57"/>
      <c r="T795" s="57"/>
      <c r="U795" s="57"/>
      <c r="V795" s="57"/>
      <c r="W795" s="57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53" t="s">
        <v>21</v>
      </c>
      <c r="B796" s="53" t="s">
        <v>43</v>
      </c>
      <c r="C796" s="53" t="s">
        <v>33</v>
      </c>
      <c r="D796" s="53" t="s">
        <v>44</v>
      </c>
      <c r="E796" s="53" t="s">
        <v>25</v>
      </c>
      <c r="F796" s="53" t="s">
        <v>25</v>
      </c>
      <c r="G796" s="53" t="s">
        <v>25</v>
      </c>
      <c r="H796" s="53" t="s">
        <v>36</v>
      </c>
      <c r="I796" s="75">
        <v>44501</v>
      </c>
      <c r="J796" s="76">
        <f>EFEITO!$J$796*EFEITO!$Y$796/(1-CUSTOS!$M$38)</f>
        <v>0</v>
      </c>
      <c r="K796" s="76">
        <f ca="1">EFEITO!$L$796*EFEITO!$Z$796/(1-CUSTOS!$M$38)</f>
        <v>11.461382946081931</v>
      </c>
      <c r="L796" s="76">
        <f>EFEITO!$N$796*EFEITO!$AA$796/(1-CUSTOS!$M$38)</f>
        <v>4.8779244565845374</v>
      </c>
      <c r="M796" s="76">
        <f>$J$796-EFEITO!$K$796*EFEITO!$Y$796</f>
        <v>0</v>
      </c>
      <c r="N796" s="76">
        <f ca="1">$K$796-EFEITO!$M$796*EFEITO!$Z$796</f>
        <v>0.68768297676491663</v>
      </c>
      <c r="O796" s="76">
        <f>$L$796-EFEITO!$O$796*EFEITO!$AA$796</f>
        <v>0.29267546739507289</v>
      </c>
      <c r="P796" s="57"/>
      <c r="Q796" s="57"/>
      <c r="R796" s="57"/>
      <c r="S796" s="57"/>
      <c r="T796" s="57"/>
      <c r="U796" s="57"/>
      <c r="V796" s="57"/>
      <c r="W796" s="57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53" t="s">
        <v>21</v>
      </c>
      <c r="B797" s="53" t="s">
        <v>43</v>
      </c>
      <c r="C797" s="53" t="s">
        <v>33</v>
      </c>
      <c r="D797" s="53" t="s">
        <v>44</v>
      </c>
      <c r="E797" s="53" t="s">
        <v>25</v>
      </c>
      <c r="F797" s="53" t="s">
        <v>25</v>
      </c>
      <c r="G797" s="53" t="s">
        <v>25</v>
      </c>
      <c r="H797" s="53" t="s">
        <v>36</v>
      </c>
      <c r="I797" s="75">
        <v>44531</v>
      </c>
      <c r="J797" s="76">
        <f>EFEITO!$J$797*EFEITO!$Y$797/(1-CUSTOS!$M$38)</f>
        <v>0</v>
      </c>
      <c r="K797" s="76">
        <f ca="1">EFEITO!$L$797*EFEITO!$Z$797/(1-CUSTOS!$M$38)</f>
        <v>10.745046511951809</v>
      </c>
      <c r="L797" s="76">
        <f>EFEITO!$N$797*EFEITO!$AA$797/(1-CUSTOS!$M$38)</f>
        <v>4.573054178048003</v>
      </c>
      <c r="M797" s="76">
        <f>$J$797-EFEITO!$K$797*EFEITO!$Y$797</f>
        <v>0</v>
      </c>
      <c r="N797" s="76">
        <f ca="1">$K$797-EFEITO!$M$797*EFEITO!$Z$797</f>
        <v>0.64470279071710834</v>
      </c>
      <c r="O797" s="76">
        <f>$L$797-EFEITO!$O$797*EFEITO!$AA$797</f>
        <v>0.27438325068288005</v>
      </c>
      <c r="P797" s="57"/>
      <c r="Q797" s="57"/>
      <c r="R797" s="57"/>
      <c r="S797" s="57"/>
      <c r="T797" s="57"/>
      <c r="U797" s="57"/>
      <c r="V797" s="57"/>
      <c r="W797" s="57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53" t="s">
        <v>21</v>
      </c>
      <c r="B798" s="53" t="s">
        <v>43</v>
      </c>
      <c r="C798" s="53" t="s">
        <v>33</v>
      </c>
      <c r="D798" s="53" t="s">
        <v>44</v>
      </c>
      <c r="E798" s="53" t="s">
        <v>25</v>
      </c>
      <c r="F798" s="53" t="s">
        <v>25</v>
      </c>
      <c r="G798" s="53" t="s">
        <v>25</v>
      </c>
      <c r="H798" s="53" t="s">
        <v>36</v>
      </c>
      <c r="I798" s="75">
        <v>44562</v>
      </c>
      <c r="J798" s="76">
        <f>EFEITO!$J$798*EFEITO!$Y$798/(1-CUSTOS!$M$38)</f>
        <v>0</v>
      </c>
      <c r="K798" s="76">
        <f ca="1">EFEITO!$L$798*EFEITO!$Z$798/(1-CUSTOS!$M$38)</f>
        <v>12.177719380212052</v>
      </c>
      <c r="L798" s="76">
        <f>EFEITO!$N$798*EFEITO!$AA$798/(1-CUSTOS!$M$38)</f>
        <v>5.182794735121071</v>
      </c>
      <c r="M798" s="76">
        <f>$J$798-EFEITO!$K$798*EFEITO!$Y$798</f>
        <v>0</v>
      </c>
      <c r="N798" s="76">
        <f ca="1">$K$798-EFEITO!$M$798*EFEITO!$Z$798</f>
        <v>0.73066316281272314</v>
      </c>
      <c r="O798" s="76">
        <f>$L$798-EFEITO!$O$798*EFEITO!$AA$798</f>
        <v>0.31096768410726483</v>
      </c>
      <c r="P798" s="57"/>
      <c r="Q798" s="57"/>
      <c r="R798" s="57"/>
      <c r="S798" s="57"/>
      <c r="T798" s="57"/>
      <c r="U798" s="57"/>
      <c r="V798" s="57"/>
      <c r="W798" s="57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53" t="s">
        <v>21</v>
      </c>
      <c r="B799" s="53" t="s">
        <v>43</v>
      </c>
      <c r="C799" s="53" t="s">
        <v>33</v>
      </c>
      <c r="D799" s="53" t="s">
        <v>44</v>
      </c>
      <c r="E799" s="53" t="s">
        <v>25</v>
      </c>
      <c r="F799" s="53" t="s">
        <v>25</v>
      </c>
      <c r="G799" s="53" t="s">
        <v>25</v>
      </c>
      <c r="H799" s="53" t="s">
        <v>36</v>
      </c>
      <c r="I799" s="75">
        <v>44593</v>
      </c>
      <c r="J799" s="76">
        <f>EFEITO!$J$799*EFEITO!$Y$799/(1-CUSTOS!$M$38)</f>
        <v>0</v>
      </c>
      <c r="K799" s="76">
        <f ca="1">EFEITO!$L$799*EFEITO!$Z$799/(1-CUSTOS!$M$38)</f>
        <v>11.461382946081931</v>
      </c>
      <c r="L799" s="76">
        <f>EFEITO!$N$799*EFEITO!$AA$799/(1-CUSTOS!$M$38)</f>
        <v>4.8779244565845374</v>
      </c>
      <c r="M799" s="76">
        <f>$J$799-EFEITO!$K$799*EFEITO!$Y$799</f>
        <v>0</v>
      </c>
      <c r="N799" s="76">
        <f ca="1">$K$799-EFEITO!$M$799*EFEITO!$Z$799</f>
        <v>0.68768297676491663</v>
      </c>
      <c r="O799" s="76">
        <f>$L$799-EFEITO!$O$799*EFEITO!$AA$799</f>
        <v>0.29267546739507289</v>
      </c>
      <c r="P799" s="57"/>
      <c r="Q799" s="57"/>
      <c r="R799" s="57"/>
      <c r="S799" s="57"/>
      <c r="T799" s="57"/>
      <c r="U799" s="57"/>
      <c r="V799" s="57"/>
      <c r="W799" s="57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53" t="s">
        <v>21</v>
      </c>
      <c r="B800" s="53" t="s">
        <v>43</v>
      </c>
      <c r="C800" s="53" t="s">
        <v>33</v>
      </c>
      <c r="D800" s="53" t="s">
        <v>44</v>
      </c>
      <c r="E800" s="53" t="s">
        <v>25</v>
      </c>
      <c r="F800" s="53" t="s">
        <v>25</v>
      </c>
      <c r="G800" s="53" t="s">
        <v>25</v>
      </c>
      <c r="H800" s="53" t="s">
        <v>36</v>
      </c>
      <c r="I800" s="75">
        <v>44621</v>
      </c>
      <c r="J800" s="76">
        <f>EFEITO!$J$800*EFEITO!$Y$800/(1-CUSTOS!$M$38)</f>
        <v>0</v>
      </c>
      <c r="K800" s="76">
        <f ca="1">EFEITO!$L$800*EFEITO!$Z$800/(1-CUSTOS!$M$38)</f>
        <v>11.461382946081931</v>
      </c>
      <c r="L800" s="76">
        <f>EFEITO!$N$800*EFEITO!$AA$800/(1-CUSTOS!$M$38)</f>
        <v>4.8779244565845374</v>
      </c>
      <c r="M800" s="76">
        <f>$J$800-EFEITO!$K$800*EFEITO!$Y$800</f>
        <v>0</v>
      </c>
      <c r="N800" s="76">
        <f ca="1">$K$800-EFEITO!$M$800*EFEITO!$Z$800</f>
        <v>0.68768297676491663</v>
      </c>
      <c r="O800" s="76">
        <f>$L$800-EFEITO!$O$800*EFEITO!$AA$800</f>
        <v>0.29267546739507289</v>
      </c>
      <c r="P800" s="57"/>
      <c r="Q800" s="57"/>
      <c r="R800" s="57"/>
      <c r="S800" s="57"/>
      <c r="T800" s="57"/>
      <c r="U800" s="57"/>
      <c r="V800" s="57"/>
      <c r="W800" s="57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53" t="s">
        <v>21</v>
      </c>
      <c r="B801" s="53" t="s">
        <v>43</v>
      </c>
      <c r="C801" s="53" t="s">
        <v>33</v>
      </c>
      <c r="D801" s="53" t="s">
        <v>44</v>
      </c>
      <c r="E801" s="53" t="s">
        <v>25</v>
      </c>
      <c r="F801" s="53" t="s">
        <v>25</v>
      </c>
      <c r="G801" s="53" t="s">
        <v>25</v>
      </c>
      <c r="H801" s="53" t="s">
        <v>36</v>
      </c>
      <c r="I801" s="75">
        <v>44652</v>
      </c>
      <c r="J801" s="76">
        <f>EFEITO!$J$801*EFEITO!$Y$801/(1-CUSTOS!$M$38)</f>
        <v>0</v>
      </c>
      <c r="K801" s="76">
        <f ca="1">EFEITO!$L$801*EFEITO!$Z$801/(1-CUSTOS!$M$38)</f>
        <v>15.759401550862654</v>
      </c>
      <c r="L801" s="76">
        <f>EFEITO!$N$801*EFEITO!$AA$801/(1-CUSTOS!$M$38)</f>
        <v>6.7071461278037381</v>
      </c>
      <c r="M801" s="76">
        <f>$J$801-EFEITO!$K$801*EFEITO!$Y$801</f>
        <v>0</v>
      </c>
      <c r="N801" s="76">
        <f ca="1">$K$801-EFEITO!$M$801*EFEITO!$Z$801</f>
        <v>0.94556409305175926</v>
      </c>
      <c r="O801" s="76">
        <f>$L$801-EFEITO!$O$801*EFEITO!$AA$801</f>
        <v>0.40242876766822455</v>
      </c>
      <c r="P801" s="57"/>
      <c r="Q801" s="57"/>
      <c r="R801" s="57"/>
      <c r="S801" s="57"/>
      <c r="T801" s="57"/>
      <c r="U801" s="57"/>
      <c r="V801" s="57"/>
      <c r="W801" s="57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53" t="s">
        <v>21</v>
      </c>
      <c r="B802" s="53" t="s">
        <v>43</v>
      </c>
      <c r="C802" s="53" t="s">
        <v>33</v>
      </c>
      <c r="D802" s="53" t="s">
        <v>44</v>
      </c>
      <c r="E802" s="53" t="s">
        <v>25</v>
      </c>
      <c r="F802" s="53" t="s">
        <v>25</v>
      </c>
      <c r="G802" s="53" t="s">
        <v>25</v>
      </c>
      <c r="H802" s="53" t="s">
        <v>36</v>
      </c>
      <c r="I802" s="75">
        <v>44682</v>
      </c>
      <c r="J802" s="76">
        <f>EFEITO!$J$802*EFEITO!$Y$802/(1-CUSTOS!$M$38)</f>
        <v>0</v>
      </c>
      <c r="K802" s="76">
        <f ca="1">EFEITO!$L$802*EFEITO!$Z$802/(1-CUSTOS!$M$38)</f>
        <v>16.475737984992776</v>
      </c>
      <c r="L802" s="76">
        <f>EFEITO!$N$802*EFEITO!$AA$802/(1-CUSTOS!$M$38)</f>
        <v>7.0120164063402717</v>
      </c>
      <c r="M802" s="76">
        <f>$J$802-EFEITO!$K$802*EFEITO!$Y$802</f>
        <v>0</v>
      </c>
      <c r="N802" s="76">
        <f ca="1">$K$802-EFEITO!$M$802*EFEITO!$Z$802</f>
        <v>0.98854427909956755</v>
      </c>
      <c r="O802" s="76">
        <f>$L$802-EFEITO!$O$802*EFEITO!$AA$802</f>
        <v>0.4207209843804165</v>
      </c>
      <c r="P802" s="57"/>
      <c r="Q802" s="57"/>
      <c r="R802" s="57"/>
      <c r="S802" s="57"/>
      <c r="T802" s="57"/>
      <c r="U802" s="57"/>
      <c r="V802" s="57"/>
      <c r="W802" s="57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53" t="s">
        <v>21</v>
      </c>
      <c r="B803" s="53" t="s">
        <v>43</v>
      </c>
      <c r="C803" s="53" t="s">
        <v>33</v>
      </c>
      <c r="D803" s="53" t="s">
        <v>44</v>
      </c>
      <c r="E803" s="53" t="s">
        <v>25</v>
      </c>
      <c r="F803" s="53" t="s">
        <v>25</v>
      </c>
      <c r="G803" s="53" t="s">
        <v>25</v>
      </c>
      <c r="H803" s="53" t="s">
        <v>36</v>
      </c>
      <c r="I803" s="75">
        <v>44713</v>
      </c>
      <c r="J803" s="76">
        <f>EFEITO!$J$803*EFEITO!$Y$803/(1-CUSTOS!$M$38)</f>
        <v>0</v>
      </c>
      <c r="K803" s="76">
        <f ca="1">EFEITO!$L$803*EFEITO!$Z$803/(1-CUSTOS!$M$38)</f>
        <v>12.177719380212052</v>
      </c>
      <c r="L803" s="76">
        <f>EFEITO!$N$803*EFEITO!$AA$803/(1-CUSTOS!$M$38)</f>
        <v>5.182794735121071</v>
      </c>
      <c r="M803" s="76">
        <f>$J$803-EFEITO!$K$803*EFEITO!$Y$803</f>
        <v>0</v>
      </c>
      <c r="N803" s="76">
        <f ca="1">$K$803-EFEITO!$M$803*EFEITO!$Z$803</f>
        <v>0.73066316281272314</v>
      </c>
      <c r="O803" s="76">
        <f>$L$803-EFEITO!$O$803*EFEITO!$AA$803</f>
        <v>0.31096768410726483</v>
      </c>
      <c r="P803" s="57"/>
      <c r="Q803" s="57"/>
      <c r="R803" s="57"/>
      <c r="S803" s="57"/>
      <c r="T803" s="57"/>
      <c r="U803" s="57"/>
      <c r="V803" s="57"/>
      <c r="W803" s="57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53" t="s">
        <v>21</v>
      </c>
      <c r="B804" s="53" t="s">
        <v>43</v>
      </c>
      <c r="C804" s="53" t="s">
        <v>33</v>
      </c>
      <c r="D804" s="53" t="s">
        <v>44</v>
      </c>
      <c r="E804" s="53" t="s">
        <v>25</v>
      </c>
      <c r="F804" s="53" t="s">
        <v>25</v>
      </c>
      <c r="G804" s="53" t="s">
        <v>25</v>
      </c>
      <c r="H804" s="53" t="s">
        <v>36</v>
      </c>
      <c r="I804" s="75">
        <v>44743</v>
      </c>
      <c r="J804" s="76">
        <f>EFEITO!$J$804*EFEITO!$Y$804/(1-CUSTOS!$M$38)</f>
        <v>0</v>
      </c>
      <c r="K804" s="76">
        <f ca="1">EFEITO!$L$804*EFEITO!$Z$804/(1-CUSTOS!$M$38)</f>
        <v>10.028710077821691</v>
      </c>
      <c r="L804" s="76">
        <f>EFEITO!$N$804*EFEITO!$AA$804/(1-CUSTOS!$M$38)</f>
        <v>4.2681838995114703</v>
      </c>
      <c r="M804" s="76">
        <f>$J$804-EFEITO!$K$804*EFEITO!$Y$804</f>
        <v>0</v>
      </c>
      <c r="N804" s="76">
        <f ca="1">$K$804-EFEITO!$M$804*EFEITO!$Z$804</f>
        <v>0.60172260466930183</v>
      </c>
      <c r="O804" s="76">
        <f>$L$804-EFEITO!$O$804*EFEITO!$AA$804</f>
        <v>0.25609103397068811</v>
      </c>
      <c r="P804" s="57"/>
      <c r="Q804" s="57"/>
      <c r="R804" s="57"/>
      <c r="S804" s="57"/>
      <c r="T804" s="57"/>
      <c r="U804" s="57"/>
      <c r="V804" s="57"/>
      <c r="W804" s="57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53" t="s">
        <v>56</v>
      </c>
      <c r="B805" s="53" t="s">
        <v>43</v>
      </c>
      <c r="C805" s="53" t="s">
        <v>33</v>
      </c>
      <c r="D805" s="53" t="s">
        <v>44</v>
      </c>
      <c r="E805" s="53" t="s">
        <v>25</v>
      </c>
      <c r="F805" s="53" t="s">
        <v>25</v>
      </c>
      <c r="G805" s="53" t="s">
        <v>25</v>
      </c>
      <c r="H805" s="53" t="s">
        <v>36</v>
      </c>
      <c r="I805" s="75">
        <v>44774</v>
      </c>
      <c r="J805" s="76">
        <f>EFEITO!$J$805*EFEITO!$Y$805/(1-CUSTOS!$M$38)</f>
        <v>0</v>
      </c>
      <c r="K805" s="76">
        <f ca="1">EFEITO!$L$805*EFEITO!$Z$805/(1-CUSTOS!$M$38)</f>
        <v>10.028710077821691</v>
      </c>
      <c r="L805" s="76">
        <f>EFEITO!$N$805*EFEITO!$AA$805/(1-CUSTOS!$M$38)</f>
        <v>4.2681838995114703</v>
      </c>
      <c r="M805" s="76">
        <f>$J$805-EFEITO!$K$805*EFEITO!$Y$805</f>
        <v>0</v>
      </c>
      <c r="N805" s="76">
        <f ca="1">$K$805-EFEITO!$M$805*EFEITO!$Z$805</f>
        <v>0.60172260466930183</v>
      </c>
      <c r="O805" s="76">
        <f>$L$805-EFEITO!$O$805*EFEITO!$AA$805</f>
        <v>0.25609103397068811</v>
      </c>
      <c r="P805" s="57"/>
      <c r="Q805" s="57"/>
      <c r="R805" s="57"/>
      <c r="S805" s="57"/>
      <c r="T805" s="57"/>
      <c r="U805" s="57"/>
      <c r="V805" s="57"/>
      <c r="W805" s="57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53" t="s">
        <v>21</v>
      </c>
      <c r="B806" s="53" t="s">
        <v>43</v>
      </c>
      <c r="C806" s="53" t="s">
        <v>33</v>
      </c>
      <c r="D806" s="53" t="s">
        <v>44</v>
      </c>
      <c r="E806" s="53" t="s">
        <v>25</v>
      </c>
      <c r="F806" s="53" t="s">
        <v>25</v>
      </c>
      <c r="G806" s="53" t="s">
        <v>25</v>
      </c>
      <c r="H806" s="53" t="s">
        <v>34</v>
      </c>
      <c r="I806" s="75">
        <v>44440</v>
      </c>
      <c r="J806" s="76">
        <f>EFEITO!$J$806*EFEITO!$Y$806/(1-CUSTOS!$M$38)</f>
        <v>0</v>
      </c>
      <c r="K806" s="76">
        <f ca="1">EFEITO!$L$806*EFEITO!$Z$806/(1-CUSTOS!$M$38)</f>
        <v>20.332315011129101</v>
      </c>
      <c r="L806" s="76">
        <f>EFEITO!$N$806*EFEITO!$AA$806/(1-CUSTOS!$M$38)</f>
        <v>9.231643551952148</v>
      </c>
      <c r="M806" s="76">
        <f>$J$806-EFEITO!$K$806*EFEITO!$Y$806</f>
        <v>0</v>
      </c>
      <c r="N806" s="76">
        <f ca="1">$K$806-EFEITO!$M$806*EFEITO!$Z$806</f>
        <v>1.2199389006677457</v>
      </c>
      <c r="O806" s="76">
        <f>$L$806-EFEITO!$O$806*EFEITO!$AA$806</f>
        <v>0.55389861311712885</v>
      </c>
      <c r="P806" s="57"/>
      <c r="Q806" s="57"/>
      <c r="R806" s="57"/>
      <c r="S806" s="57"/>
      <c r="T806" s="57"/>
      <c r="U806" s="57"/>
      <c r="V806" s="57"/>
      <c r="W806" s="57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53" t="s">
        <v>21</v>
      </c>
      <c r="B807" s="53" t="s">
        <v>43</v>
      </c>
      <c r="C807" s="53" t="s">
        <v>33</v>
      </c>
      <c r="D807" s="53" t="s">
        <v>44</v>
      </c>
      <c r="E807" s="53" t="s">
        <v>25</v>
      </c>
      <c r="F807" s="53" t="s">
        <v>25</v>
      </c>
      <c r="G807" s="53" t="s">
        <v>25</v>
      </c>
      <c r="H807" s="53" t="s">
        <v>34</v>
      </c>
      <c r="I807" s="75">
        <v>44470</v>
      </c>
      <c r="J807" s="76">
        <f>EFEITO!$J$807*EFEITO!$Y$807/(1-CUSTOS!$M$38)</f>
        <v>0</v>
      </c>
      <c r="K807" s="76">
        <f ca="1">EFEITO!$L$807*EFEITO!$Z$807/(1-CUSTOS!$M$38)</f>
        <v>21.402436853820106</v>
      </c>
      <c r="L807" s="76">
        <f>EFEITO!$N$807*EFEITO!$AA$807/(1-CUSTOS!$M$38)</f>
        <v>9.7175195283706817</v>
      </c>
      <c r="M807" s="76">
        <f>$J$807-EFEITO!$K$807*EFEITO!$Y$807</f>
        <v>0</v>
      </c>
      <c r="N807" s="76">
        <f ca="1">$K$807-EFEITO!$M$807*EFEITO!$Z$807</f>
        <v>1.2841462112292064</v>
      </c>
      <c r="O807" s="76">
        <f>$L$807-EFEITO!$O$807*EFEITO!$AA$807</f>
        <v>0.58305117170224108</v>
      </c>
      <c r="P807" s="57"/>
      <c r="Q807" s="57"/>
      <c r="R807" s="57"/>
      <c r="S807" s="57"/>
      <c r="T807" s="57"/>
      <c r="U807" s="57"/>
      <c r="V807" s="57"/>
      <c r="W807" s="57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53" t="s">
        <v>21</v>
      </c>
      <c r="B808" s="53" t="s">
        <v>43</v>
      </c>
      <c r="C808" s="53" t="s">
        <v>33</v>
      </c>
      <c r="D808" s="53" t="s">
        <v>44</v>
      </c>
      <c r="E808" s="53" t="s">
        <v>25</v>
      </c>
      <c r="F808" s="53" t="s">
        <v>25</v>
      </c>
      <c r="G808" s="53" t="s">
        <v>25</v>
      </c>
      <c r="H808" s="53" t="s">
        <v>34</v>
      </c>
      <c r="I808" s="75">
        <v>44501</v>
      </c>
      <c r="J808" s="76">
        <f>EFEITO!$J$808*EFEITO!$Y$808/(1-CUSTOS!$M$38)</f>
        <v>0</v>
      </c>
      <c r="K808" s="76">
        <f ca="1">EFEITO!$L$808*EFEITO!$Z$808/(1-CUSTOS!$M$38)</f>
        <v>22.472558696511115</v>
      </c>
      <c r="L808" s="76">
        <f>EFEITO!$N$808*EFEITO!$AA$808/(1-CUSTOS!$M$38)</f>
        <v>10.203395504789217</v>
      </c>
      <c r="M808" s="76">
        <f>$J$808-EFEITO!$K$808*EFEITO!$Y$808</f>
        <v>0</v>
      </c>
      <c r="N808" s="76">
        <f ca="1">$K$808-EFEITO!$M$808*EFEITO!$Z$808</f>
        <v>1.348353521790667</v>
      </c>
      <c r="O808" s="76">
        <f>$L$808-EFEITO!$O$808*EFEITO!$AA$808</f>
        <v>0.61220373028735331</v>
      </c>
      <c r="P808" s="57"/>
      <c r="Q808" s="57"/>
      <c r="R808" s="57"/>
      <c r="S808" s="57"/>
      <c r="T808" s="57"/>
      <c r="U808" s="57"/>
      <c r="V808" s="57"/>
      <c r="W808" s="57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53" t="s">
        <v>21</v>
      </c>
      <c r="B809" s="53" t="s">
        <v>43</v>
      </c>
      <c r="C809" s="53" t="s">
        <v>33</v>
      </c>
      <c r="D809" s="53" t="s">
        <v>44</v>
      </c>
      <c r="E809" s="53" t="s">
        <v>25</v>
      </c>
      <c r="F809" s="53" t="s">
        <v>25</v>
      </c>
      <c r="G809" s="53" t="s">
        <v>25</v>
      </c>
      <c r="H809" s="53" t="s">
        <v>34</v>
      </c>
      <c r="I809" s="75">
        <v>44531</v>
      </c>
      <c r="J809" s="76">
        <f>EFEITO!$J$809*EFEITO!$Y$809/(1-CUSTOS!$M$38)</f>
        <v>0</v>
      </c>
      <c r="K809" s="76">
        <f ca="1">EFEITO!$L$809*EFEITO!$Z$809/(1-CUSTOS!$M$38)</f>
        <v>21.402436853820106</v>
      </c>
      <c r="L809" s="76">
        <f>EFEITO!$N$809*EFEITO!$AA$809/(1-CUSTOS!$M$38)</f>
        <v>9.7175195283706817</v>
      </c>
      <c r="M809" s="76">
        <f>$J$809-EFEITO!$K$809*EFEITO!$Y$809</f>
        <v>0</v>
      </c>
      <c r="N809" s="76">
        <f ca="1">$K$809-EFEITO!$M$809*EFEITO!$Z$809</f>
        <v>1.2841462112292064</v>
      </c>
      <c r="O809" s="76">
        <f>$L$809-EFEITO!$O$809*EFEITO!$AA$809</f>
        <v>0.58305117170224108</v>
      </c>
      <c r="P809" s="57"/>
      <c r="Q809" s="57"/>
      <c r="R809" s="57"/>
      <c r="S809" s="57"/>
      <c r="T809" s="57"/>
      <c r="U809" s="57"/>
      <c r="V809" s="57"/>
      <c r="W809" s="57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53" t="s">
        <v>21</v>
      </c>
      <c r="B810" s="53" t="s">
        <v>43</v>
      </c>
      <c r="C810" s="53" t="s">
        <v>33</v>
      </c>
      <c r="D810" s="53" t="s">
        <v>44</v>
      </c>
      <c r="E810" s="53" t="s">
        <v>25</v>
      </c>
      <c r="F810" s="53" t="s">
        <v>25</v>
      </c>
      <c r="G810" s="53" t="s">
        <v>25</v>
      </c>
      <c r="H810" s="53" t="s">
        <v>34</v>
      </c>
      <c r="I810" s="75">
        <v>44562</v>
      </c>
      <c r="J810" s="76">
        <f>EFEITO!$J$810*EFEITO!$Y$810/(1-CUSTOS!$M$38)</f>
        <v>0</v>
      </c>
      <c r="K810" s="76">
        <f ca="1">EFEITO!$L$810*EFEITO!$Z$810/(1-CUSTOS!$M$38)</f>
        <v>23.542680539202117</v>
      </c>
      <c r="L810" s="76">
        <f>EFEITO!$N$810*EFEITO!$AA$810/(1-CUSTOS!$M$38)</f>
        <v>10.689271481207751</v>
      </c>
      <c r="M810" s="76">
        <f>$J$810-EFEITO!$K$810*EFEITO!$Y$810</f>
        <v>0</v>
      </c>
      <c r="N810" s="76">
        <f ca="1">$K$810-EFEITO!$M$810*EFEITO!$Z$810</f>
        <v>1.4125608323521277</v>
      </c>
      <c r="O810" s="76">
        <f>$L$810-EFEITO!$O$810*EFEITO!$AA$810</f>
        <v>0.64135628887246554</v>
      </c>
      <c r="P810" s="57"/>
      <c r="Q810" s="57"/>
      <c r="R810" s="57"/>
      <c r="S810" s="57"/>
      <c r="T810" s="57"/>
      <c r="U810" s="57"/>
      <c r="V810" s="57"/>
      <c r="W810" s="57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53" t="s">
        <v>21</v>
      </c>
      <c r="B811" s="53" t="s">
        <v>43</v>
      </c>
      <c r="C811" s="53" t="s">
        <v>33</v>
      </c>
      <c r="D811" s="53" t="s">
        <v>44</v>
      </c>
      <c r="E811" s="53" t="s">
        <v>25</v>
      </c>
      <c r="F811" s="53" t="s">
        <v>25</v>
      </c>
      <c r="G811" s="53" t="s">
        <v>25</v>
      </c>
      <c r="H811" s="53" t="s">
        <v>34</v>
      </c>
      <c r="I811" s="75">
        <v>44593</v>
      </c>
      <c r="J811" s="76">
        <f>EFEITO!$J$811*EFEITO!$Y$811/(1-CUSTOS!$M$38)</f>
        <v>0</v>
      </c>
      <c r="K811" s="76">
        <f ca="1">EFEITO!$L$811*EFEITO!$Z$811/(1-CUSTOS!$M$38)</f>
        <v>22.472558696511115</v>
      </c>
      <c r="L811" s="76">
        <f>EFEITO!$N$811*EFEITO!$AA$811/(1-CUSTOS!$M$38)</f>
        <v>10.203395504789217</v>
      </c>
      <c r="M811" s="76">
        <f>$J$811-EFEITO!$K$811*EFEITO!$Y$811</f>
        <v>0</v>
      </c>
      <c r="N811" s="76">
        <f ca="1">$K$811-EFEITO!$M$811*EFEITO!$Z$811</f>
        <v>1.348353521790667</v>
      </c>
      <c r="O811" s="76">
        <f>$L$811-EFEITO!$O$811*EFEITO!$AA$811</f>
        <v>0.61220373028735331</v>
      </c>
      <c r="P811" s="57"/>
      <c r="Q811" s="57"/>
      <c r="R811" s="57"/>
      <c r="S811" s="57"/>
      <c r="T811" s="57"/>
      <c r="U811" s="57"/>
      <c r="V811" s="57"/>
      <c r="W811" s="57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53" t="s">
        <v>21</v>
      </c>
      <c r="B812" s="53" t="s">
        <v>43</v>
      </c>
      <c r="C812" s="53" t="s">
        <v>33</v>
      </c>
      <c r="D812" s="53" t="s">
        <v>44</v>
      </c>
      <c r="E812" s="53" t="s">
        <v>25</v>
      </c>
      <c r="F812" s="53" t="s">
        <v>25</v>
      </c>
      <c r="G812" s="53" t="s">
        <v>25</v>
      </c>
      <c r="H812" s="53" t="s">
        <v>34</v>
      </c>
      <c r="I812" s="75">
        <v>44621</v>
      </c>
      <c r="J812" s="76">
        <f>EFEITO!$J$812*EFEITO!$Y$812/(1-CUSTOS!$M$38)</f>
        <v>0</v>
      </c>
      <c r="K812" s="76">
        <f ca="1">EFEITO!$L$812*EFEITO!$Z$812/(1-CUSTOS!$M$38)</f>
        <v>20.332315011129101</v>
      </c>
      <c r="L812" s="76">
        <f>EFEITO!$N$812*EFEITO!$AA$812/(1-CUSTOS!$M$38)</f>
        <v>9.231643551952148</v>
      </c>
      <c r="M812" s="76">
        <f>$J$812-EFEITO!$K$812*EFEITO!$Y$812</f>
        <v>0</v>
      </c>
      <c r="N812" s="76">
        <f ca="1">$K$812-EFEITO!$M$812*EFEITO!$Z$812</f>
        <v>1.2199389006677457</v>
      </c>
      <c r="O812" s="76">
        <f>$L$812-EFEITO!$O$812*EFEITO!$AA$812</f>
        <v>0.55389861311712885</v>
      </c>
      <c r="P812" s="57"/>
      <c r="Q812" s="57"/>
      <c r="R812" s="57"/>
      <c r="S812" s="57"/>
      <c r="T812" s="57"/>
      <c r="U812" s="57"/>
      <c r="V812" s="57"/>
      <c r="W812" s="57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53" t="s">
        <v>21</v>
      </c>
      <c r="B813" s="53" t="s">
        <v>43</v>
      </c>
      <c r="C813" s="53" t="s">
        <v>33</v>
      </c>
      <c r="D813" s="53" t="s">
        <v>44</v>
      </c>
      <c r="E813" s="53" t="s">
        <v>25</v>
      </c>
      <c r="F813" s="53" t="s">
        <v>25</v>
      </c>
      <c r="G813" s="53" t="s">
        <v>25</v>
      </c>
      <c r="H813" s="53" t="s">
        <v>34</v>
      </c>
      <c r="I813" s="75">
        <v>44652</v>
      </c>
      <c r="J813" s="76">
        <f>EFEITO!$J$813*EFEITO!$Y$813/(1-CUSTOS!$M$38)</f>
        <v>0</v>
      </c>
      <c r="K813" s="76">
        <f ca="1">EFEITO!$L$813*EFEITO!$Z$813/(1-CUSTOS!$M$38)</f>
        <v>35.314020808803178</v>
      </c>
      <c r="L813" s="76">
        <f>EFEITO!$N$813*EFEITO!$AA$813/(1-CUSTOS!$M$38)</f>
        <v>16.033907221811628</v>
      </c>
      <c r="M813" s="76">
        <f>$J$813-EFEITO!$K$813*EFEITO!$Y$813</f>
        <v>0</v>
      </c>
      <c r="N813" s="76">
        <f ca="1">$K$813-EFEITO!$M$813*EFEITO!$Z$813</f>
        <v>2.1188412485281916</v>
      </c>
      <c r="O813" s="76">
        <f>$L$813-EFEITO!$O$813*EFEITO!$AA$813</f>
        <v>0.96203443330870009</v>
      </c>
      <c r="P813" s="57"/>
      <c r="Q813" s="57"/>
      <c r="R813" s="57"/>
      <c r="S813" s="57"/>
      <c r="T813" s="57"/>
      <c r="U813" s="57"/>
      <c r="V813" s="57"/>
      <c r="W813" s="57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53" t="s">
        <v>21</v>
      </c>
      <c r="B814" s="53" t="s">
        <v>43</v>
      </c>
      <c r="C814" s="53" t="s">
        <v>33</v>
      </c>
      <c r="D814" s="53" t="s">
        <v>44</v>
      </c>
      <c r="E814" s="53" t="s">
        <v>25</v>
      </c>
      <c r="F814" s="53" t="s">
        <v>25</v>
      </c>
      <c r="G814" s="53" t="s">
        <v>25</v>
      </c>
      <c r="H814" s="53" t="s">
        <v>34</v>
      </c>
      <c r="I814" s="75">
        <v>44682</v>
      </c>
      <c r="J814" s="76">
        <f>EFEITO!$J$814*EFEITO!$Y$814/(1-CUSTOS!$M$38)</f>
        <v>0</v>
      </c>
      <c r="K814" s="76">
        <f ca="1">EFEITO!$L$814*EFEITO!$Z$814/(1-CUSTOS!$M$38)</f>
        <v>27.823167909966141</v>
      </c>
      <c r="L814" s="76">
        <f>EFEITO!$N$814*EFEITO!$AA$814/(1-CUSTOS!$M$38)</f>
        <v>12.632775386881887</v>
      </c>
      <c r="M814" s="76">
        <f>$J$814-EFEITO!$K$814*EFEITO!$Y$814</f>
        <v>0</v>
      </c>
      <c r="N814" s="76">
        <f ca="1">$K$814-EFEITO!$M$814*EFEITO!$Z$814</f>
        <v>1.6693900745979704</v>
      </c>
      <c r="O814" s="76">
        <f>$L$814-EFEITO!$O$814*EFEITO!$AA$814</f>
        <v>0.75796652321291447</v>
      </c>
      <c r="P814" s="57"/>
      <c r="Q814" s="57"/>
      <c r="R814" s="57"/>
      <c r="S814" s="57"/>
      <c r="T814" s="57"/>
      <c r="U814" s="57"/>
      <c r="V814" s="57"/>
      <c r="W814" s="57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53" t="s">
        <v>21</v>
      </c>
      <c r="B815" s="53" t="s">
        <v>43</v>
      </c>
      <c r="C815" s="53" t="s">
        <v>33</v>
      </c>
      <c r="D815" s="53" t="s">
        <v>44</v>
      </c>
      <c r="E815" s="53" t="s">
        <v>25</v>
      </c>
      <c r="F815" s="53" t="s">
        <v>25</v>
      </c>
      <c r="G815" s="53" t="s">
        <v>25</v>
      </c>
      <c r="H815" s="53" t="s">
        <v>34</v>
      </c>
      <c r="I815" s="75">
        <v>44713</v>
      </c>
      <c r="J815" s="76">
        <f>EFEITO!$J$815*EFEITO!$Y$815/(1-CUSTOS!$M$38)</f>
        <v>0</v>
      </c>
      <c r="K815" s="76">
        <f ca="1">EFEITO!$L$815*EFEITO!$Z$815/(1-CUSTOS!$M$38)</f>
        <v>26.753046067275136</v>
      </c>
      <c r="L815" s="76">
        <f>EFEITO!$N$815*EFEITO!$AA$815/(1-CUSTOS!$M$38)</f>
        <v>12.146899410463353</v>
      </c>
      <c r="M815" s="76">
        <f>$J$815-EFEITO!$K$815*EFEITO!$Y$815</f>
        <v>0</v>
      </c>
      <c r="N815" s="76">
        <f ca="1">$K$815-EFEITO!$M$815*EFEITO!$Z$815</f>
        <v>1.6051827640365097</v>
      </c>
      <c r="O815" s="76">
        <f>$L$815-EFEITO!$O$815*EFEITO!$AA$815</f>
        <v>0.72881396462780224</v>
      </c>
      <c r="P815" s="57"/>
      <c r="Q815" s="57"/>
      <c r="R815" s="57"/>
      <c r="S815" s="57"/>
      <c r="T815" s="57"/>
      <c r="U815" s="57"/>
      <c r="V815" s="57"/>
      <c r="W815" s="57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53" t="s">
        <v>21</v>
      </c>
      <c r="B816" s="53" t="s">
        <v>43</v>
      </c>
      <c r="C816" s="53" t="s">
        <v>33</v>
      </c>
      <c r="D816" s="53" t="s">
        <v>44</v>
      </c>
      <c r="E816" s="53" t="s">
        <v>25</v>
      </c>
      <c r="F816" s="53" t="s">
        <v>25</v>
      </c>
      <c r="G816" s="53" t="s">
        <v>25</v>
      </c>
      <c r="H816" s="53" t="s">
        <v>34</v>
      </c>
      <c r="I816" s="75">
        <v>44743</v>
      </c>
      <c r="J816" s="76">
        <f>EFEITO!$J$816*EFEITO!$Y$816/(1-CUSTOS!$M$38)</f>
        <v>0</v>
      </c>
      <c r="K816" s="76">
        <f ca="1">EFEITO!$L$816*EFEITO!$Z$816/(1-CUSTOS!$M$38)</f>
        <v>24.612802381893122</v>
      </c>
      <c r="L816" s="76">
        <f>EFEITO!$N$816*EFEITO!$AA$816/(1-CUSTOS!$M$38)</f>
        <v>11.175147457626284</v>
      </c>
      <c r="M816" s="76">
        <f>$J$816-EFEITO!$K$816*EFEITO!$Y$816</f>
        <v>0</v>
      </c>
      <c r="N816" s="76">
        <f ca="1">$K$816-EFEITO!$M$816*EFEITO!$Z$816</f>
        <v>1.4767681429135884</v>
      </c>
      <c r="O816" s="76">
        <f>$L$816-EFEITO!$O$816*EFEITO!$AA$816</f>
        <v>0.67050884745757777</v>
      </c>
      <c r="P816" s="57"/>
      <c r="Q816" s="57"/>
      <c r="R816" s="57"/>
      <c r="S816" s="57"/>
      <c r="T816" s="57"/>
      <c r="U816" s="57"/>
      <c r="V816" s="57"/>
      <c r="W816" s="57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53" t="s">
        <v>56</v>
      </c>
      <c r="B817" s="53" t="s">
        <v>43</v>
      </c>
      <c r="C817" s="53" t="s">
        <v>33</v>
      </c>
      <c r="D817" s="53" t="s">
        <v>44</v>
      </c>
      <c r="E817" s="53" t="s">
        <v>25</v>
      </c>
      <c r="F817" s="53" t="s">
        <v>25</v>
      </c>
      <c r="G817" s="53" t="s">
        <v>25</v>
      </c>
      <c r="H817" s="53" t="s">
        <v>34</v>
      </c>
      <c r="I817" s="75">
        <v>44774</v>
      </c>
      <c r="J817" s="76">
        <f>EFEITO!$J$817*EFEITO!$Y$817/(1-CUSTOS!$M$38)</f>
        <v>0</v>
      </c>
      <c r="K817" s="76">
        <f ca="1">EFEITO!$L$817*EFEITO!$Z$817/(1-CUSTOS!$M$38)</f>
        <v>24.612802381893122</v>
      </c>
      <c r="L817" s="76">
        <f>EFEITO!$N$817*EFEITO!$AA$817/(1-CUSTOS!$M$38)</f>
        <v>11.175147457626284</v>
      </c>
      <c r="M817" s="76">
        <f>$J$817-EFEITO!$K$817*EFEITO!$Y$817</f>
        <v>0</v>
      </c>
      <c r="N817" s="76">
        <f ca="1">$K$817-EFEITO!$M$817*EFEITO!$Z$817</f>
        <v>1.4767681429135884</v>
      </c>
      <c r="O817" s="76">
        <f>$L$817-EFEITO!$O$817*EFEITO!$AA$817</f>
        <v>0.67050884745757777</v>
      </c>
      <c r="P817" s="57"/>
      <c r="Q817" s="57"/>
      <c r="R817" s="57"/>
      <c r="S817" s="57"/>
      <c r="T817" s="57"/>
      <c r="U817" s="57"/>
      <c r="V817" s="57"/>
      <c r="W817" s="57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53" t="s">
        <v>21</v>
      </c>
      <c r="B818" s="53" t="s">
        <v>43</v>
      </c>
      <c r="C818" s="53" t="s">
        <v>23</v>
      </c>
      <c r="D818" s="53" t="s">
        <v>44</v>
      </c>
      <c r="E818" s="53" t="s">
        <v>52</v>
      </c>
      <c r="F818" s="53" t="s">
        <v>53</v>
      </c>
      <c r="G818" s="53" t="s">
        <v>25</v>
      </c>
      <c r="H818" s="53" t="s">
        <v>25</v>
      </c>
      <c r="I818" s="75">
        <v>44440</v>
      </c>
      <c r="J818" s="76">
        <f>EFEITO!$J$818*EFEITO!$Y$610</f>
        <v>0</v>
      </c>
      <c r="K818" s="76">
        <f ca="1">EFEITO!$L$818*EFEITO!$Z$610</f>
        <v>1835486.1066555937</v>
      </c>
      <c r="L818" s="76">
        <f>EFEITO!$N$818*EFEITO!$AA$610</f>
        <v>1350660.2606950265</v>
      </c>
      <c r="M818" s="76">
        <f>$J$818-EFEITO!$K$818*EFEITO!$Y$818</f>
        <v>0</v>
      </c>
      <c r="N818" s="76">
        <f ca="1">$K$818-EFEITO!$M$818*EFEITO!$Z$818</f>
        <v>110129.16639933572</v>
      </c>
      <c r="O818" s="76">
        <f>$L$818-EFEITO!$O$818*EFEITO!$AA$818</f>
        <v>81039.615641701501</v>
      </c>
      <c r="P818" s="57"/>
      <c r="Q818" s="57"/>
      <c r="R818" s="57"/>
      <c r="S818" s="57"/>
      <c r="T818" s="57"/>
      <c r="U818" s="57"/>
      <c r="V818" s="57"/>
      <c r="W818" s="57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53" t="s">
        <v>27</v>
      </c>
      <c r="B819" s="53" t="s">
        <v>43</v>
      </c>
      <c r="C819" s="53" t="s">
        <v>23</v>
      </c>
      <c r="D819" s="53" t="s">
        <v>44</v>
      </c>
      <c r="E819" s="53" t="s">
        <v>52</v>
      </c>
      <c r="F819" s="53" t="s">
        <v>53</v>
      </c>
      <c r="G819" s="53" t="s">
        <v>25</v>
      </c>
      <c r="H819" s="53" t="s">
        <v>25</v>
      </c>
      <c r="I819" s="75">
        <v>44440</v>
      </c>
      <c r="J819" s="76">
        <f>EFEITO!$J$819*EFEITO!$Y$610</f>
        <v>0</v>
      </c>
      <c r="K819" s="76">
        <f ca="1">EFEITO!$L$819*EFEITO!$Z$610</f>
        <v>-1216.579099687179</v>
      </c>
      <c r="L819" s="76">
        <f>EFEITO!$N$819*EFEITO!$AA$610</f>
        <v>-895.23153456804084</v>
      </c>
      <c r="M819" s="76">
        <f>$J$819-EFEITO!$K$819*EFEITO!$Y$819</f>
        <v>0</v>
      </c>
      <c r="N819" s="76">
        <f ca="1">$K$819-EFEITO!$M$819*EFEITO!$Z$819</f>
        <v>-72.994745981230835</v>
      </c>
      <c r="O819" s="76">
        <f>$L$819-EFEITO!$O$819*EFEITO!$AA$819</f>
        <v>-53.713892074082423</v>
      </c>
      <c r="P819" s="57"/>
      <c r="Q819" s="57"/>
      <c r="R819" s="57"/>
      <c r="S819" s="57"/>
      <c r="T819" s="57"/>
      <c r="U819" s="57"/>
      <c r="V819" s="57"/>
      <c r="W819" s="57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53" t="s">
        <v>28</v>
      </c>
      <c r="B820" s="53" t="s">
        <v>43</v>
      </c>
      <c r="C820" s="53" t="s">
        <v>23</v>
      </c>
      <c r="D820" s="53" t="s">
        <v>44</v>
      </c>
      <c r="E820" s="53" t="s">
        <v>52</v>
      </c>
      <c r="F820" s="53" t="s">
        <v>53</v>
      </c>
      <c r="G820" s="53" t="s">
        <v>25</v>
      </c>
      <c r="H820" s="53" t="s">
        <v>25</v>
      </c>
      <c r="I820" s="75">
        <v>44440</v>
      </c>
      <c r="J820" s="76">
        <f>EFEITO!$J$820*EFEITO!$Y$610</f>
        <v>0</v>
      </c>
      <c r="K820" s="76">
        <f ca="1">EFEITO!$L$820*EFEITO!$Z$610</f>
        <v>9671.7603622021488</v>
      </c>
      <c r="L820" s="76">
        <f>EFEITO!$N$820*EFEITO!$AA$610</f>
        <v>7117.0587044072554</v>
      </c>
      <c r="M820" s="76">
        <f>$J$820-EFEITO!$K$820*EFEITO!$Y$820</f>
        <v>0</v>
      </c>
      <c r="N820" s="76">
        <f ca="1">$K$820-EFEITO!$M$820*EFEITO!$Z$820</f>
        <v>580.30562173213002</v>
      </c>
      <c r="O820" s="76">
        <f>$L$820-EFEITO!$O$820*EFEITO!$AA$820</f>
        <v>427.02352226443509</v>
      </c>
      <c r="P820" s="57"/>
      <c r="Q820" s="57"/>
      <c r="R820" s="57"/>
      <c r="S820" s="57"/>
      <c r="T820" s="57"/>
      <c r="U820" s="57"/>
      <c r="V820" s="57"/>
      <c r="W820" s="57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53" t="s">
        <v>21</v>
      </c>
      <c r="B821" s="53" t="s">
        <v>43</v>
      </c>
      <c r="C821" s="53" t="s">
        <v>23</v>
      </c>
      <c r="D821" s="53" t="s">
        <v>44</v>
      </c>
      <c r="E821" s="53" t="s">
        <v>52</v>
      </c>
      <c r="F821" s="53" t="s">
        <v>53</v>
      </c>
      <c r="G821" s="53" t="s">
        <v>25</v>
      </c>
      <c r="H821" s="53" t="s">
        <v>25</v>
      </c>
      <c r="I821" s="75">
        <v>44470</v>
      </c>
      <c r="J821" s="76">
        <f>EFEITO!$J$821*EFEITO!$Y$610</f>
        <v>0</v>
      </c>
      <c r="K821" s="76">
        <f ca="1">EFEITO!$L$821*EFEITO!$Z$610</f>
        <v>1800040.08758315</v>
      </c>
      <c r="L821" s="76">
        <f>EFEITO!$N$821*EFEITO!$AA$610</f>
        <v>1324576.96363961</v>
      </c>
      <c r="M821" s="76">
        <f>$J$821-EFEITO!$K$821*EFEITO!$Y$821</f>
        <v>0</v>
      </c>
      <c r="N821" s="76">
        <f ca="1">$K$821-EFEITO!$M$821*EFEITO!$Z$821</f>
        <v>108002.40525498916</v>
      </c>
      <c r="O821" s="76">
        <f>$L$821-EFEITO!$O$821*EFEITO!$AA$821</f>
        <v>79474.617818376515</v>
      </c>
      <c r="P821" s="57"/>
      <c r="Q821" s="57"/>
      <c r="R821" s="57"/>
      <c r="S821" s="57"/>
      <c r="T821" s="57"/>
      <c r="U821" s="57"/>
      <c r="V821" s="57"/>
      <c r="W821" s="57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53" t="s">
        <v>27</v>
      </c>
      <c r="B822" s="53" t="s">
        <v>43</v>
      </c>
      <c r="C822" s="53" t="s">
        <v>23</v>
      </c>
      <c r="D822" s="53" t="s">
        <v>44</v>
      </c>
      <c r="E822" s="53" t="s">
        <v>52</v>
      </c>
      <c r="F822" s="53" t="s">
        <v>53</v>
      </c>
      <c r="G822" s="53" t="s">
        <v>25</v>
      </c>
      <c r="H822" s="53" t="s">
        <v>25</v>
      </c>
      <c r="I822" s="75">
        <v>44470</v>
      </c>
      <c r="J822" s="76">
        <f>EFEITO!$J$822*EFEITO!$Y$610</f>
        <v>0</v>
      </c>
      <c r="K822" s="76">
        <f ca="1">EFEITO!$L$822*EFEITO!$Z$610</f>
        <v>-221.3147826092831</v>
      </c>
      <c r="L822" s="76">
        <f>EFEITO!$N$822*EFEITO!$AA$610</f>
        <v>-162.85663012692382</v>
      </c>
      <c r="M822" s="76">
        <f>$J$822-EFEITO!$K$822*EFEITO!$Y$822</f>
        <v>0</v>
      </c>
      <c r="N822" s="76">
        <f ca="1">$K$822-EFEITO!$M$822*EFEITO!$Z$822</f>
        <v>-13.278886956556988</v>
      </c>
      <c r="O822" s="76">
        <f>$L$822-EFEITO!$O$822*EFEITO!$AA$822</f>
        <v>-9.7713978076154433</v>
      </c>
      <c r="P822" s="57"/>
      <c r="Q822" s="57"/>
      <c r="R822" s="57"/>
      <c r="S822" s="57"/>
      <c r="T822" s="57"/>
      <c r="U822" s="57"/>
      <c r="V822" s="57"/>
      <c r="W822" s="57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53" t="s">
        <v>28</v>
      </c>
      <c r="B823" s="53" t="s">
        <v>43</v>
      </c>
      <c r="C823" s="53" t="s">
        <v>23</v>
      </c>
      <c r="D823" s="53" t="s">
        <v>44</v>
      </c>
      <c r="E823" s="53" t="s">
        <v>52</v>
      </c>
      <c r="F823" s="53" t="s">
        <v>53</v>
      </c>
      <c r="G823" s="53" t="s">
        <v>25</v>
      </c>
      <c r="H823" s="53" t="s">
        <v>25</v>
      </c>
      <c r="I823" s="75">
        <v>44470</v>
      </c>
      <c r="J823" s="76">
        <f>EFEITO!$J$823*EFEITO!$Y$610</f>
        <v>0</v>
      </c>
      <c r="K823" s="76">
        <f ca="1">EFEITO!$L$823*EFEITO!$Z$610</f>
        <v>10641.806098943427</v>
      </c>
      <c r="L823" s="76">
        <f>EFEITO!$N$823*EFEITO!$AA$610</f>
        <v>7830.8762718201579</v>
      </c>
      <c r="M823" s="76">
        <f>$J$823-EFEITO!$K$823*EFEITO!$Y$823</f>
        <v>0</v>
      </c>
      <c r="N823" s="76">
        <f ca="1">$K$823-EFEITO!$M$823*EFEITO!$Z$823</f>
        <v>638.50836593660642</v>
      </c>
      <c r="O823" s="76">
        <f>$L$823-EFEITO!$O$823*EFEITO!$AA$823</f>
        <v>469.85257630920933</v>
      </c>
      <c r="P823" s="57"/>
      <c r="Q823" s="57"/>
      <c r="R823" s="57"/>
      <c r="S823" s="57"/>
      <c r="T823" s="57"/>
      <c r="U823" s="57"/>
      <c r="V823" s="57"/>
      <c r="W823" s="57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53" t="s">
        <v>21</v>
      </c>
      <c r="B824" s="53" t="s">
        <v>43</v>
      </c>
      <c r="C824" s="53" t="s">
        <v>23</v>
      </c>
      <c r="D824" s="53" t="s">
        <v>44</v>
      </c>
      <c r="E824" s="53" t="s">
        <v>52</v>
      </c>
      <c r="F824" s="53" t="s">
        <v>53</v>
      </c>
      <c r="G824" s="53" t="s">
        <v>25</v>
      </c>
      <c r="H824" s="53" t="s">
        <v>25</v>
      </c>
      <c r="I824" s="75">
        <v>44501</v>
      </c>
      <c r="J824" s="76">
        <f>EFEITO!$J$824*EFEITO!$Y$610</f>
        <v>0</v>
      </c>
      <c r="K824" s="76">
        <f ca="1">EFEITO!$L$824*EFEITO!$Z$610</f>
        <v>503609.39688183565</v>
      </c>
      <c r="L824" s="76">
        <f>EFEITO!$N$824*EFEITO!$AA$610</f>
        <v>370585.86105033226</v>
      </c>
      <c r="M824" s="76">
        <f>$J$824-EFEITO!$K$824*EFEITO!$Y$824</f>
        <v>0</v>
      </c>
      <c r="N824" s="76">
        <f ca="1">$K$824-EFEITO!$M$824*EFEITO!$Z$824</f>
        <v>30216.563812910172</v>
      </c>
      <c r="O824" s="76">
        <f>$L$824-EFEITO!$O$824*EFEITO!$AA$824</f>
        <v>22235.151663019904</v>
      </c>
      <c r="P824" s="57"/>
      <c r="Q824" s="57"/>
      <c r="R824" s="57"/>
      <c r="S824" s="57"/>
      <c r="T824" s="57"/>
      <c r="U824" s="57"/>
      <c r="V824" s="57"/>
      <c r="W824" s="57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53" t="s">
        <v>27</v>
      </c>
      <c r="B825" s="53" t="s">
        <v>43</v>
      </c>
      <c r="C825" s="53" t="s">
        <v>23</v>
      </c>
      <c r="D825" s="53" t="s">
        <v>44</v>
      </c>
      <c r="E825" s="53" t="s">
        <v>52</v>
      </c>
      <c r="F825" s="53" t="s">
        <v>53</v>
      </c>
      <c r="G825" s="53" t="s">
        <v>25</v>
      </c>
      <c r="H825" s="53" t="s">
        <v>25</v>
      </c>
      <c r="I825" s="75">
        <v>44501</v>
      </c>
      <c r="J825" s="76">
        <f>EFEITO!$J$825*EFEITO!$Y$610</f>
        <v>0</v>
      </c>
      <c r="K825" s="76">
        <f ca="1">EFEITO!$L$825*EFEITO!$Z$610</f>
        <v>-2227.4963286981483</v>
      </c>
      <c r="L825" s="76">
        <f>EFEITO!$N$825*EFEITO!$AA$610</f>
        <v>-1639.1247861301192</v>
      </c>
      <c r="M825" s="76">
        <f>$J$825-EFEITO!$K$825*EFEITO!$Y$825</f>
        <v>0</v>
      </c>
      <c r="N825" s="76">
        <f ca="1">$K$825-EFEITO!$M$825*EFEITO!$Z$825</f>
        <v>-133.64977972188899</v>
      </c>
      <c r="O825" s="76">
        <f>$L$825-EFEITO!$O$825*EFEITO!$AA$825</f>
        <v>-98.34748716780723</v>
      </c>
      <c r="P825" s="57"/>
      <c r="Q825" s="57"/>
      <c r="R825" s="57"/>
      <c r="S825" s="57"/>
      <c r="T825" s="57"/>
      <c r="U825" s="57"/>
      <c r="V825" s="57"/>
      <c r="W825" s="57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53" t="s">
        <v>28</v>
      </c>
      <c r="B826" s="53" t="s">
        <v>43</v>
      </c>
      <c r="C826" s="53" t="s">
        <v>23</v>
      </c>
      <c r="D826" s="53" t="s">
        <v>44</v>
      </c>
      <c r="E826" s="53" t="s">
        <v>52</v>
      </c>
      <c r="F826" s="53" t="s">
        <v>53</v>
      </c>
      <c r="G826" s="53" t="s">
        <v>25</v>
      </c>
      <c r="H826" s="53" t="s">
        <v>25</v>
      </c>
      <c r="I826" s="75">
        <v>44501</v>
      </c>
      <c r="J826" s="76">
        <f>EFEITO!$J$826*EFEITO!$Y$610</f>
        <v>0</v>
      </c>
      <c r="K826" s="76">
        <f ca="1">EFEITO!$L$826*EFEITO!$Z$610</f>
        <v>1894.8719501203452</v>
      </c>
      <c r="L826" s="76">
        <f>EFEITO!$N$826*EFEITO!$AA$610</f>
        <v>1394.3599098096934</v>
      </c>
      <c r="M826" s="76">
        <f>$J$826-EFEITO!$K$826*EFEITO!$Y$826</f>
        <v>0</v>
      </c>
      <c r="N826" s="76">
        <f ca="1">$K$826-EFEITO!$M$826*EFEITO!$Z$826</f>
        <v>113.69231700722094</v>
      </c>
      <c r="O826" s="76">
        <f>$L$826-EFEITO!$O$826*EFEITO!$AA$826</f>
        <v>83.661594588581693</v>
      </c>
      <c r="P826" s="57"/>
      <c r="Q826" s="57"/>
      <c r="R826" s="57"/>
      <c r="S826" s="57"/>
      <c r="T826" s="57"/>
      <c r="U826" s="57"/>
      <c r="V826" s="57"/>
      <c r="W826" s="57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53" t="s">
        <v>21</v>
      </c>
      <c r="B827" s="53" t="s">
        <v>43</v>
      </c>
      <c r="C827" s="53" t="s">
        <v>23</v>
      </c>
      <c r="D827" s="53" t="s">
        <v>44</v>
      </c>
      <c r="E827" s="53" t="s">
        <v>52</v>
      </c>
      <c r="F827" s="53" t="s">
        <v>53</v>
      </c>
      <c r="G827" s="53" t="s">
        <v>25</v>
      </c>
      <c r="H827" s="53" t="s">
        <v>25</v>
      </c>
      <c r="I827" s="75">
        <v>44531</v>
      </c>
      <c r="J827" s="76">
        <f>EFEITO!$J$827*EFEITO!$Y$610</f>
        <v>0</v>
      </c>
      <c r="K827" s="76">
        <f ca="1">EFEITO!$L$827*EFEITO!$Z$610</f>
        <v>371861.01115670585</v>
      </c>
      <c r="L827" s="76">
        <f>EFEITO!$N$827*EFEITO!$AA$610</f>
        <v>273637.53310363519</v>
      </c>
      <c r="M827" s="76">
        <f>$J$827-EFEITO!$K$827*EFEITO!$Y$827</f>
        <v>0</v>
      </c>
      <c r="N827" s="76">
        <f ca="1">$K$827-EFEITO!$M$827*EFEITO!$Z$827</f>
        <v>22311.660669402336</v>
      </c>
      <c r="O827" s="76">
        <f>$L$827-EFEITO!$O$827*EFEITO!$AA$827</f>
        <v>16418.251986218092</v>
      </c>
      <c r="P827" s="57"/>
      <c r="Q827" s="57"/>
      <c r="R827" s="57"/>
      <c r="S827" s="57"/>
      <c r="T827" s="57"/>
      <c r="U827" s="57"/>
      <c r="V827" s="57"/>
      <c r="W827" s="57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53" t="s">
        <v>27</v>
      </c>
      <c r="B828" s="53" t="s">
        <v>43</v>
      </c>
      <c r="C828" s="53" t="s">
        <v>23</v>
      </c>
      <c r="D828" s="53" t="s">
        <v>44</v>
      </c>
      <c r="E828" s="53" t="s">
        <v>52</v>
      </c>
      <c r="F828" s="53" t="s">
        <v>53</v>
      </c>
      <c r="G828" s="53" t="s">
        <v>25</v>
      </c>
      <c r="H828" s="53" t="s">
        <v>25</v>
      </c>
      <c r="I828" s="75">
        <v>44531</v>
      </c>
      <c r="J828" s="76">
        <f>EFEITO!$J$828*EFEITO!$Y$610</f>
        <v>0</v>
      </c>
      <c r="K828" s="76">
        <f ca="1">EFEITO!$L$828*EFEITO!$Z$610</f>
        <v>-1889.2195097000688</v>
      </c>
      <c r="L828" s="76">
        <f>EFEITO!$N$828*EFEITO!$AA$610</f>
        <v>-1390.2005066826796</v>
      </c>
      <c r="M828" s="76">
        <f>$J$828-EFEITO!$K$828*EFEITO!$Y$828</f>
        <v>0</v>
      </c>
      <c r="N828" s="76">
        <f ca="1">$K$828-EFEITO!$M$828*EFEITO!$Z$828</f>
        <v>-113.35317058200417</v>
      </c>
      <c r="O828" s="76">
        <f>$L$828-EFEITO!$O$828*EFEITO!$AA$828</f>
        <v>-83.412030400960703</v>
      </c>
      <c r="P828" s="57"/>
      <c r="Q828" s="57"/>
      <c r="R828" s="57"/>
      <c r="S828" s="57"/>
      <c r="T828" s="57"/>
      <c r="U828" s="57"/>
      <c r="V828" s="57"/>
      <c r="W828" s="57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53" t="s">
        <v>28</v>
      </c>
      <c r="B829" s="53" t="s">
        <v>43</v>
      </c>
      <c r="C829" s="53" t="s">
        <v>23</v>
      </c>
      <c r="D829" s="53" t="s">
        <v>44</v>
      </c>
      <c r="E829" s="53" t="s">
        <v>52</v>
      </c>
      <c r="F829" s="53" t="s">
        <v>53</v>
      </c>
      <c r="G829" s="53" t="s">
        <v>25</v>
      </c>
      <c r="H829" s="53" t="s">
        <v>25</v>
      </c>
      <c r="I829" s="75">
        <v>44531</v>
      </c>
      <c r="J829" s="76">
        <f>EFEITO!$J$829*EFEITO!$Y$610</f>
        <v>0</v>
      </c>
      <c r="K829" s="76">
        <f ca="1">EFEITO!$L$829*EFEITO!$Z$610</f>
        <v>2164.0150747473517</v>
      </c>
      <c r="L829" s="76">
        <f>EFEITO!$N$829*EFEITO!$AA$610</f>
        <v>1592.4114894728878</v>
      </c>
      <c r="M829" s="76">
        <f>$J$829-EFEITO!$K$829*EFEITO!$Y$829</f>
        <v>0</v>
      </c>
      <c r="N829" s="76">
        <f ca="1">$K$829-EFEITO!$M$829*EFEITO!$Z$829</f>
        <v>129.84090448484108</v>
      </c>
      <c r="O829" s="76">
        <f>$L$829-EFEITO!$O$829*EFEITO!$AA$829</f>
        <v>95.544689368373383</v>
      </c>
      <c r="P829" s="57"/>
      <c r="Q829" s="57"/>
      <c r="R829" s="57"/>
      <c r="S829" s="57"/>
      <c r="T829" s="57"/>
      <c r="U829" s="57"/>
      <c r="V829" s="57"/>
      <c r="W829" s="57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53" t="s">
        <v>21</v>
      </c>
      <c r="B830" s="53" t="s">
        <v>43</v>
      </c>
      <c r="C830" s="53" t="s">
        <v>23</v>
      </c>
      <c r="D830" s="53" t="s">
        <v>44</v>
      </c>
      <c r="E830" s="53" t="s">
        <v>52</v>
      </c>
      <c r="F830" s="53" t="s">
        <v>53</v>
      </c>
      <c r="G830" s="53" t="s">
        <v>25</v>
      </c>
      <c r="H830" s="53" t="s">
        <v>25</v>
      </c>
      <c r="I830" s="75">
        <v>44562</v>
      </c>
      <c r="J830" s="76">
        <f>EFEITO!$J$830*EFEITO!$Y$610</f>
        <v>0</v>
      </c>
      <c r="K830" s="76">
        <f ca="1">EFEITO!$L$830*EFEITO!$Z$610</f>
        <v>376590.79937914945</v>
      </c>
      <c r="L830" s="76">
        <f>EFEITO!$N$830*EFEITO!$AA$610</f>
        <v>277117.99365868565</v>
      </c>
      <c r="M830" s="76">
        <f>$J$830-EFEITO!$K$830*EFEITO!$Y$830</f>
        <v>0</v>
      </c>
      <c r="N830" s="76">
        <f ca="1">$K$830-EFEITO!$M$830*EFEITO!$Z$830</f>
        <v>22595.447962748993</v>
      </c>
      <c r="O830" s="76">
        <f>$L$830-EFEITO!$O$830*EFEITO!$AA$830</f>
        <v>16627.07961952113</v>
      </c>
      <c r="P830" s="57"/>
      <c r="Q830" s="57"/>
      <c r="R830" s="57"/>
      <c r="S830" s="57"/>
      <c r="T830" s="57"/>
      <c r="U830" s="57"/>
      <c r="V830" s="57"/>
      <c r="W830" s="57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53" t="s">
        <v>27</v>
      </c>
      <c r="B831" s="53" t="s">
        <v>43</v>
      </c>
      <c r="C831" s="53" t="s">
        <v>23</v>
      </c>
      <c r="D831" s="53" t="s">
        <v>44</v>
      </c>
      <c r="E831" s="53" t="s">
        <v>52</v>
      </c>
      <c r="F831" s="53" t="s">
        <v>53</v>
      </c>
      <c r="G831" s="53" t="s">
        <v>25</v>
      </c>
      <c r="H831" s="53" t="s">
        <v>25</v>
      </c>
      <c r="I831" s="75">
        <v>44562</v>
      </c>
      <c r="J831" s="76">
        <f>EFEITO!$J$831*EFEITO!$Y$610</f>
        <v>0</v>
      </c>
      <c r="K831" s="76">
        <f ca="1">EFEITO!$L$831*EFEITO!$Z$610</f>
        <v>-3945.4034133529171</v>
      </c>
      <c r="L831" s="76">
        <f>EFEITO!$N$831*EFEITO!$AA$610</f>
        <v>-2903.2633826556121</v>
      </c>
      <c r="M831" s="76">
        <f>$J$831-EFEITO!$K$831*EFEITO!$Y$831</f>
        <v>0</v>
      </c>
      <c r="N831" s="76">
        <f ca="1">$K$831-EFEITO!$M$831*EFEITO!$Z$831</f>
        <v>-236.72420480117535</v>
      </c>
      <c r="O831" s="76">
        <f>$L$831-EFEITO!$O$831*EFEITO!$AA$831</f>
        <v>-174.19580295933656</v>
      </c>
      <c r="P831" s="57"/>
      <c r="Q831" s="57"/>
      <c r="R831" s="57"/>
      <c r="S831" s="57"/>
      <c r="T831" s="57"/>
      <c r="U831" s="57"/>
      <c r="V831" s="57"/>
      <c r="W831" s="57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53" t="s">
        <v>28</v>
      </c>
      <c r="B832" s="53" t="s">
        <v>43</v>
      </c>
      <c r="C832" s="53" t="s">
        <v>23</v>
      </c>
      <c r="D832" s="53" t="s">
        <v>44</v>
      </c>
      <c r="E832" s="53" t="s">
        <v>52</v>
      </c>
      <c r="F832" s="53" t="s">
        <v>53</v>
      </c>
      <c r="G832" s="53" t="s">
        <v>25</v>
      </c>
      <c r="H832" s="53" t="s">
        <v>25</v>
      </c>
      <c r="I832" s="75">
        <v>44562</v>
      </c>
      <c r="J832" s="76">
        <f>EFEITO!$J$832*EFEITO!$Y$610</f>
        <v>0</v>
      </c>
      <c r="K832" s="76">
        <f ca="1">EFEITO!$L$832*EFEITO!$Z$610</f>
        <v>2594.9049560161134</v>
      </c>
      <c r="L832" s="76">
        <f>EFEITO!$N$832*EFEITO!$AA$610</f>
        <v>1909.4859893860144</v>
      </c>
      <c r="M832" s="76">
        <f>$J$832-EFEITO!$K$832*EFEITO!$Y$832</f>
        <v>0</v>
      </c>
      <c r="N832" s="76">
        <f ca="1">$K$832-EFEITO!$M$832*EFEITO!$Z$832</f>
        <v>155.69429736096708</v>
      </c>
      <c r="O832" s="76">
        <f>$L$832-EFEITO!$O$832*EFEITO!$AA$832</f>
        <v>114.56915936316091</v>
      </c>
      <c r="P832" s="57"/>
      <c r="Q832" s="57"/>
      <c r="R832" s="57"/>
      <c r="S832" s="57"/>
      <c r="T832" s="57"/>
      <c r="U832" s="57"/>
      <c r="V832" s="57"/>
      <c r="W832" s="57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53" t="s">
        <v>21</v>
      </c>
      <c r="B833" s="53" t="s">
        <v>43</v>
      </c>
      <c r="C833" s="53" t="s">
        <v>23</v>
      </c>
      <c r="D833" s="53" t="s">
        <v>44</v>
      </c>
      <c r="E833" s="53" t="s">
        <v>52</v>
      </c>
      <c r="F833" s="53" t="s">
        <v>53</v>
      </c>
      <c r="G833" s="53" t="s">
        <v>25</v>
      </c>
      <c r="H833" s="53" t="s">
        <v>25</v>
      </c>
      <c r="I833" s="75">
        <v>44593</v>
      </c>
      <c r="J833" s="76">
        <f>EFEITO!$J$833*EFEITO!$Y$610</f>
        <v>0</v>
      </c>
      <c r="K833" s="76">
        <f ca="1">EFEITO!$L$833*EFEITO!$Z$610</f>
        <v>639419.27845048858</v>
      </c>
      <c r="L833" s="76">
        <f>EFEITO!$N$833*EFEITO!$AA$610</f>
        <v>470522.88012083207</v>
      </c>
      <c r="M833" s="76">
        <f>$J$833-EFEITO!$K$833*EFEITO!$Y$833</f>
        <v>0</v>
      </c>
      <c r="N833" s="76">
        <f ca="1">$K$833-EFEITO!$M$833*EFEITO!$Z$833</f>
        <v>38365.156707029324</v>
      </c>
      <c r="O833" s="76">
        <f>$L$833-EFEITO!$O$833*EFEITO!$AA$833</f>
        <v>28231.372807249951</v>
      </c>
      <c r="P833" s="57"/>
      <c r="Q833" s="57"/>
      <c r="R833" s="57"/>
      <c r="S833" s="57"/>
      <c r="T833" s="57"/>
      <c r="U833" s="57"/>
      <c r="V833" s="57"/>
      <c r="W833" s="57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53" t="s">
        <v>27</v>
      </c>
      <c r="B834" s="53" t="s">
        <v>43</v>
      </c>
      <c r="C834" s="53" t="s">
        <v>23</v>
      </c>
      <c r="D834" s="53" t="s">
        <v>44</v>
      </c>
      <c r="E834" s="53" t="s">
        <v>52</v>
      </c>
      <c r="F834" s="53" t="s">
        <v>53</v>
      </c>
      <c r="G834" s="53" t="s">
        <v>25</v>
      </c>
      <c r="H834" s="53" t="s">
        <v>25</v>
      </c>
      <c r="I834" s="75">
        <v>44593</v>
      </c>
      <c r="J834" s="76">
        <f>EFEITO!$J$834*EFEITO!$Y$610</f>
        <v>0</v>
      </c>
      <c r="K834" s="76">
        <f ca="1">EFEITO!$L$834*EFEITO!$Z$610</f>
        <v>-3655.8245425910654</v>
      </c>
      <c r="L834" s="76">
        <f>EFEITO!$N$834*EFEITO!$AA$610</f>
        <v>-2690.1739609178294</v>
      </c>
      <c r="M834" s="76">
        <f>$J$834-EFEITO!$K$834*EFEITO!$Y$834</f>
        <v>0</v>
      </c>
      <c r="N834" s="76">
        <f ca="1">$K$834-EFEITO!$M$834*EFEITO!$Z$834</f>
        <v>-219.34947255546422</v>
      </c>
      <c r="O834" s="76">
        <f>$L$834-EFEITO!$O$834*EFEITO!$AA$834</f>
        <v>-161.41043765506947</v>
      </c>
      <c r="P834" s="57"/>
      <c r="Q834" s="57"/>
      <c r="R834" s="57"/>
      <c r="S834" s="57"/>
      <c r="T834" s="57"/>
      <c r="U834" s="57"/>
      <c r="V834" s="57"/>
      <c r="W834" s="57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53" t="s">
        <v>28</v>
      </c>
      <c r="B835" s="53" t="s">
        <v>43</v>
      </c>
      <c r="C835" s="53" t="s">
        <v>23</v>
      </c>
      <c r="D835" s="53" t="s">
        <v>44</v>
      </c>
      <c r="E835" s="53" t="s">
        <v>52</v>
      </c>
      <c r="F835" s="53" t="s">
        <v>53</v>
      </c>
      <c r="G835" s="53" t="s">
        <v>25</v>
      </c>
      <c r="H835" s="53" t="s">
        <v>25</v>
      </c>
      <c r="I835" s="75">
        <v>44593</v>
      </c>
      <c r="J835" s="76">
        <f>EFEITO!$J$835*EFEITO!$Y$610</f>
        <v>0</v>
      </c>
      <c r="K835" s="76">
        <f ca="1">EFEITO!$L$835*EFEITO!$Z$610</f>
        <v>3419.7264542672137</v>
      </c>
      <c r="L835" s="76">
        <f>EFEITO!$N$835*EFEITO!$AA$610</f>
        <v>2516.4388918433315</v>
      </c>
      <c r="M835" s="76">
        <f>$J$835-EFEITO!$K$835*EFEITO!$Y$835</f>
        <v>0</v>
      </c>
      <c r="N835" s="76">
        <f ca="1">$K$835-EFEITO!$M$835*EFEITO!$Z$835</f>
        <v>205.18358725603321</v>
      </c>
      <c r="O835" s="76">
        <f>$L$835-EFEITO!$O$835*EFEITO!$AA$835</f>
        <v>150.98633351059971</v>
      </c>
      <c r="P835" s="57"/>
      <c r="Q835" s="57"/>
      <c r="R835" s="57"/>
      <c r="S835" s="57"/>
      <c r="T835" s="57"/>
      <c r="U835" s="57"/>
      <c r="V835" s="57"/>
      <c r="W835" s="57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53" t="s">
        <v>28</v>
      </c>
      <c r="B836" s="53" t="s">
        <v>43</v>
      </c>
      <c r="C836" s="53" t="s">
        <v>23</v>
      </c>
      <c r="D836" s="53" t="s">
        <v>44</v>
      </c>
      <c r="E836" s="53" t="s">
        <v>52</v>
      </c>
      <c r="F836" s="53" t="s">
        <v>53</v>
      </c>
      <c r="G836" s="53" t="s">
        <v>25</v>
      </c>
      <c r="H836" s="53" t="s">
        <v>25</v>
      </c>
      <c r="I836" s="75">
        <v>44593</v>
      </c>
      <c r="J836" s="76">
        <f>EFEITO!$J$836*EFEITO!$Y$610</f>
        <v>0</v>
      </c>
      <c r="K836" s="76">
        <f ca="1">EFEITO!$L$836*EFEITO!$Z$610</f>
        <v>86.960621850405943</v>
      </c>
      <c r="L836" s="76">
        <f>EFEITO!$N$836*EFEITO!$AA$610</f>
        <v>63.990817338673402</v>
      </c>
      <c r="M836" s="76">
        <f>$J$836-EFEITO!$K$836*EFEITO!$Y$836</f>
        <v>0</v>
      </c>
      <c r="N836" s="76">
        <f ca="1">$K$836-EFEITO!$M$836*EFEITO!$Z$836</f>
        <v>5.2176373110243617</v>
      </c>
      <c r="O836" s="76">
        <f>$L$836-EFEITO!$O$836*EFEITO!$AA$836</f>
        <v>3.8394490403204031</v>
      </c>
      <c r="P836" s="57"/>
      <c r="Q836" s="57"/>
      <c r="R836" s="57"/>
      <c r="S836" s="57"/>
      <c r="T836" s="57"/>
      <c r="U836" s="57"/>
      <c r="V836" s="57"/>
      <c r="W836" s="57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53" t="s">
        <v>21</v>
      </c>
      <c r="B837" s="53" t="s">
        <v>43</v>
      </c>
      <c r="C837" s="53" t="s">
        <v>23</v>
      </c>
      <c r="D837" s="53" t="s">
        <v>44</v>
      </c>
      <c r="E837" s="53" t="s">
        <v>52</v>
      </c>
      <c r="F837" s="53" t="s">
        <v>53</v>
      </c>
      <c r="G837" s="53" t="s">
        <v>25</v>
      </c>
      <c r="H837" s="53" t="s">
        <v>25</v>
      </c>
      <c r="I837" s="75">
        <v>44621</v>
      </c>
      <c r="J837" s="76">
        <f>EFEITO!$J$837*EFEITO!$Y$610</f>
        <v>0</v>
      </c>
      <c r="K837" s="76">
        <f ca="1">EFEITO!$L$837*EFEITO!$Z$610</f>
        <v>482294.91366319195</v>
      </c>
      <c r="L837" s="76">
        <f>EFEITO!$N$837*EFEITO!$AA$610</f>
        <v>354901.39176653675</v>
      </c>
      <c r="M837" s="76">
        <f>$J$837-EFEITO!$K$837*EFEITO!$Y$837</f>
        <v>0</v>
      </c>
      <c r="N837" s="76">
        <f ca="1">$K$837-EFEITO!$M$837*EFEITO!$Z$837</f>
        <v>28937.694819791592</v>
      </c>
      <c r="O837" s="76">
        <f>$L$837-EFEITO!$O$837*EFEITO!$AA$837</f>
        <v>21294.083505992196</v>
      </c>
      <c r="P837" s="57"/>
      <c r="Q837" s="57"/>
      <c r="R837" s="57"/>
      <c r="S837" s="57"/>
      <c r="T837" s="57"/>
      <c r="U837" s="57"/>
      <c r="V837" s="57"/>
      <c r="W837" s="57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53" t="s">
        <v>27</v>
      </c>
      <c r="B838" s="53" t="s">
        <v>43</v>
      </c>
      <c r="C838" s="53" t="s">
        <v>23</v>
      </c>
      <c r="D838" s="53" t="s">
        <v>44</v>
      </c>
      <c r="E838" s="53" t="s">
        <v>52</v>
      </c>
      <c r="F838" s="53" t="s">
        <v>53</v>
      </c>
      <c r="G838" s="53" t="s">
        <v>25</v>
      </c>
      <c r="H838" s="53" t="s">
        <v>25</v>
      </c>
      <c r="I838" s="75">
        <v>44621</v>
      </c>
      <c r="J838" s="76">
        <f>EFEITO!$J$838*EFEITO!$Y$610</f>
        <v>0</v>
      </c>
      <c r="K838" s="76">
        <f ca="1">EFEITO!$L$838*EFEITO!$Z$610</f>
        <v>-1095.7038353151147</v>
      </c>
      <c r="L838" s="76">
        <f>EFEITO!$N$838*EFEITO!$AA$610</f>
        <v>-806.28429846728488</v>
      </c>
      <c r="M838" s="76">
        <f>$J$838-EFEITO!$K$838*EFEITO!$Y$838</f>
        <v>0</v>
      </c>
      <c r="N838" s="76">
        <f ca="1">$K$838-EFEITO!$M$838*EFEITO!$Z$838</f>
        <v>-65.742230118906946</v>
      </c>
      <c r="O838" s="76">
        <f>$L$838-EFEITO!$O$838*EFEITO!$AA$838</f>
        <v>-48.377057908037159</v>
      </c>
      <c r="P838" s="57"/>
      <c r="Q838" s="57"/>
      <c r="R838" s="57"/>
      <c r="S838" s="57"/>
      <c r="T838" s="57"/>
      <c r="U838" s="57"/>
      <c r="V838" s="57"/>
      <c r="W838" s="57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53" t="s">
        <v>28</v>
      </c>
      <c r="B839" s="53" t="s">
        <v>43</v>
      </c>
      <c r="C839" s="53" t="s">
        <v>23</v>
      </c>
      <c r="D839" s="53" t="s">
        <v>44</v>
      </c>
      <c r="E839" s="53" t="s">
        <v>52</v>
      </c>
      <c r="F839" s="53" t="s">
        <v>53</v>
      </c>
      <c r="G839" s="53" t="s">
        <v>25</v>
      </c>
      <c r="H839" s="53" t="s">
        <v>25</v>
      </c>
      <c r="I839" s="75">
        <v>44621</v>
      </c>
      <c r="J839" s="76">
        <f>EFEITO!$J$839*EFEITO!$Y$610</f>
        <v>0</v>
      </c>
      <c r="K839" s="76">
        <f ca="1">EFEITO!$L$839*EFEITO!$Z$610</f>
        <v>4201.5024447023634</v>
      </c>
      <c r="L839" s="76">
        <f>EFEITO!$N$839*EFEITO!$AA$610</f>
        <v>3091.7163397180057</v>
      </c>
      <c r="M839" s="76">
        <f>$J$839-EFEITO!$K$839*EFEITO!$Y$839</f>
        <v>0</v>
      </c>
      <c r="N839" s="76">
        <f ca="1">$K$839-EFEITO!$M$839*EFEITO!$Z$839</f>
        <v>252.0901466821424</v>
      </c>
      <c r="O839" s="76">
        <f>$L$839-EFEITO!$O$839*EFEITO!$AA$839</f>
        <v>185.50298038308028</v>
      </c>
      <c r="P839" s="57"/>
      <c r="Q839" s="57"/>
      <c r="R839" s="57"/>
      <c r="S839" s="57"/>
      <c r="T839" s="57"/>
      <c r="U839" s="57"/>
      <c r="V839" s="57"/>
      <c r="W839" s="57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53" t="s">
        <v>28</v>
      </c>
      <c r="B840" s="53" t="s">
        <v>43</v>
      </c>
      <c r="C840" s="53" t="s">
        <v>23</v>
      </c>
      <c r="D840" s="53" t="s">
        <v>44</v>
      </c>
      <c r="E840" s="53" t="s">
        <v>52</v>
      </c>
      <c r="F840" s="53" t="s">
        <v>53</v>
      </c>
      <c r="G840" s="53" t="s">
        <v>25</v>
      </c>
      <c r="H840" s="53" t="s">
        <v>25</v>
      </c>
      <c r="I840" s="75">
        <v>44621</v>
      </c>
      <c r="J840" s="76">
        <f>EFEITO!$J$840*EFEITO!$Y$610</f>
        <v>0</v>
      </c>
      <c r="K840" s="76">
        <f ca="1">EFEITO!$L$840*EFEITO!$Z$610</f>
        <v>43.480310925202971</v>
      </c>
      <c r="L840" s="76">
        <f>EFEITO!$N$840*EFEITO!$AA$610</f>
        <v>31.995408669336701</v>
      </c>
      <c r="M840" s="76">
        <f>$J$840-EFEITO!$K$840*EFEITO!$Y$840</f>
        <v>0</v>
      </c>
      <c r="N840" s="76">
        <f ca="1">$K$840-EFEITO!$M$840*EFEITO!$Z$840</f>
        <v>2.6088186555121808</v>
      </c>
      <c r="O840" s="76">
        <f>$L$840-EFEITO!$O$840*EFEITO!$AA$840</f>
        <v>1.9197245201602016</v>
      </c>
      <c r="P840" s="57"/>
      <c r="Q840" s="57"/>
      <c r="R840" s="57"/>
      <c r="S840" s="57"/>
      <c r="T840" s="57"/>
      <c r="U840" s="57"/>
      <c r="V840" s="57"/>
      <c r="W840" s="57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53" t="s">
        <v>21</v>
      </c>
      <c r="B841" s="53" t="s">
        <v>43</v>
      </c>
      <c r="C841" s="53" t="s">
        <v>23</v>
      </c>
      <c r="D841" s="53" t="s">
        <v>44</v>
      </c>
      <c r="E841" s="53" t="s">
        <v>52</v>
      </c>
      <c r="F841" s="53" t="s">
        <v>53</v>
      </c>
      <c r="G841" s="53" t="s">
        <v>25</v>
      </c>
      <c r="H841" s="53" t="s">
        <v>25</v>
      </c>
      <c r="I841" s="75">
        <v>44652</v>
      </c>
      <c r="J841" s="76">
        <f>EFEITO!$J$841*EFEITO!$Y$610</f>
        <v>0</v>
      </c>
      <c r="K841" s="76">
        <f ca="1">EFEITO!$L$841*EFEITO!$Z$610</f>
        <v>944100.16560599115</v>
      </c>
      <c r="L841" s="76">
        <f>EFEITO!$N$841*EFEITO!$AA$610</f>
        <v>694725.26715173514</v>
      </c>
      <c r="M841" s="76">
        <f>$J$841-EFEITO!$K$841*EFEITO!$Y$841</f>
        <v>0</v>
      </c>
      <c r="N841" s="76">
        <f ca="1">$K$841-EFEITO!$M$841*EFEITO!$Z$841</f>
        <v>56646.009936359595</v>
      </c>
      <c r="O841" s="76">
        <f>$L$841-EFEITO!$O$841*EFEITO!$AA$841</f>
        <v>41683.516029104008</v>
      </c>
      <c r="P841" s="57"/>
      <c r="Q841" s="57"/>
      <c r="R841" s="57"/>
      <c r="S841" s="57"/>
      <c r="T841" s="57"/>
      <c r="U841" s="57"/>
      <c r="V841" s="57"/>
      <c r="W841" s="57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53" t="s">
        <v>27</v>
      </c>
      <c r="B842" s="53" t="s">
        <v>43</v>
      </c>
      <c r="C842" s="53" t="s">
        <v>23</v>
      </c>
      <c r="D842" s="53" t="s">
        <v>44</v>
      </c>
      <c r="E842" s="53" t="s">
        <v>52</v>
      </c>
      <c r="F842" s="53" t="s">
        <v>53</v>
      </c>
      <c r="G842" s="53" t="s">
        <v>25</v>
      </c>
      <c r="H842" s="53" t="s">
        <v>25</v>
      </c>
      <c r="I842" s="75">
        <v>44652</v>
      </c>
      <c r="J842" s="76">
        <f>EFEITO!$J$842*EFEITO!$Y$610</f>
        <v>0</v>
      </c>
      <c r="K842" s="76">
        <f ca="1">EFEITO!$L$842*EFEITO!$Z$610</f>
        <v>-743.51331682097077</v>
      </c>
      <c r="L842" s="76">
        <f>EFEITO!$N$842*EFEITO!$AA$610</f>
        <v>-547.12148824565759</v>
      </c>
      <c r="M842" s="76">
        <f>$J$842-EFEITO!$K$842*EFEITO!$Y$842</f>
        <v>0</v>
      </c>
      <c r="N842" s="76">
        <f ca="1">$K$842-EFEITO!$M$842*EFEITO!$Z$842</f>
        <v>-44.610799009258358</v>
      </c>
      <c r="O842" s="76">
        <f>$L$842-EFEITO!$O$842*EFEITO!$AA$842</f>
        <v>-32.827289294739444</v>
      </c>
      <c r="P842" s="57"/>
      <c r="Q842" s="57"/>
      <c r="R842" s="57"/>
      <c r="S842" s="57"/>
      <c r="T842" s="57"/>
      <c r="U842" s="57"/>
      <c r="V842" s="57"/>
      <c r="W842" s="57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53" t="s">
        <v>28</v>
      </c>
      <c r="B843" s="53" t="s">
        <v>43</v>
      </c>
      <c r="C843" s="53" t="s">
        <v>23</v>
      </c>
      <c r="D843" s="53" t="s">
        <v>44</v>
      </c>
      <c r="E843" s="53" t="s">
        <v>52</v>
      </c>
      <c r="F843" s="53" t="s">
        <v>53</v>
      </c>
      <c r="G843" s="53" t="s">
        <v>25</v>
      </c>
      <c r="H843" s="53" t="s">
        <v>25</v>
      </c>
      <c r="I843" s="75">
        <v>44652</v>
      </c>
      <c r="J843" s="76">
        <f>EFEITO!$J$843*EFEITO!$Y$610</f>
        <v>0</v>
      </c>
      <c r="K843" s="76">
        <f ca="1">EFEITO!$L$843*EFEITO!$Z$610</f>
        <v>7725.5816451900637</v>
      </c>
      <c r="L843" s="76">
        <f>EFEITO!$N$843*EFEITO!$AA$610</f>
        <v>5684.9442123677454</v>
      </c>
      <c r="M843" s="76">
        <f>$J$843-EFEITO!$K$843*EFEITO!$Y$843</f>
        <v>0</v>
      </c>
      <c r="N843" s="76">
        <f ca="1">$K$843-EFEITO!$M$843*EFEITO!$Z$843</f>
        <v>463.53489871140391</v>
      </c>
      <c r="O843" s="76">
        <f>$L$843-EFEITO!$O$843*EFEITO!$AA$843</f>
        <v>341.09665274206509</v>
      </c>
      <c r="P843" s="57"/>
      <c r="Q843" s="57"/>
      <c r="R843" s="57"/>
      <c r="S843" s="57"/>
      <c r="T843" s="57"/>
      <c r="U843" s="57"/>
      <c r="V843" s="57"/>
      <c r="W843" s="57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53" t="s">
        <v>21</v>
      </c>
      <c r="B844" s="53" t="s">
        <v>43</v>
      </c>
      <c r="C844" s="53" t="s">
        <v>23</v>
      </c>
      <c r="D844" s="53" t="s">
        <v>44</v>
      </c>
      <c r="E844" s="53" t="s">
        <v>52</v>
      </c>
      <c r="F844" s="53" t="s">
        <v>53</v>
      </c>
      <c r="G844" s="53" t="s">
        <v>25</v>
      </c>
      <c r="H844" s="53" t="s">
        <v>25</v>
      </c>
      <c r="I844" s="75">
        <v>44682</v>
      </c>
      <c r="J844" s="76">
        <f>EFEITO!$J$844*EFEITO!$Y$610</f>
        <v>0</v>
      </c>
      <c r="K844" s="76">
        <f ca="1">EFEITO!$L$844*EFEITO!$Z$610</f>
        <v>1349287.5306775374</v>
      </c>
      <c r="L844" s="76">
        <f>EFEITO!$N$844*EFEITO!$AA$610</f>
        <v>992886.32113815693</v>
      </c>
      <c r="M844" s="76">
        <f>$J$844-EFEITO!$K$844*EFEITO!$Y$844</f>
        <v>0</v>
      </c>
      <c r="N844" s="76">
        <f ca="1">$K$844-EFEITO!$M$844*EFEITO!$Z$844</f>
        <v>80957.251840652432</v>
      </c>
      <c r="O844" s="76">
        <f>$L$844-EFEITO!$O$844*EFEITO!$AA$844</f>
        <v>59573.179268289357</v>
      </c>
      <c r="P844" s="57"/>
      <c r="Q844" s="57"/>
      <c r="R844" s="57"/>
      <c r="S844" s="57"/>
      <c r="T844" s="57"/>
      <c r="U844" s="57"/>
      <c r="V844" s="57"/>
      <c r="W844" s="57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53" t="s">
        <v>27</v>
      </c>
      <c r="B845" s="53" t="s">
        <v>43</v>
      </c>
      <c r="C845" s="53" t="s">
        <v>23</v>
      </c>
      <c r="D845" s="53" t="s">
        <v>44</v>
      </c>
      <c r="E845" s="53" t="s">
        <v>52</v>
      </c>
      <c r="F845" s="53" t="s">
        <v>53</v>
      </c>
      <c r="G845" s="53" t="s">
        <v>25</v>
      </c>
      <c r="H845" s="53" t="s">
        <v>25</v>
      </c>
      <c r="I845" s="75">
        <v>44682</v>
      </c>
      <c r="J845" s="76">
        <f>EFEITO!$J$845*EFEITO!$Y$610</f>
        <v>0</v>
      </c>
      <c r="K845" s="76">
        <f ca="1">EFEITO!$L$845*EFEITO!$Z$610</f>
        <v>-1633.5552814598757</v>
      </c>
      <c r="L845" s="76">
        <f>EFEITO!$N$845*EFEITO!$AA$610</f>
        <v>-1202.0675037069798</v>
      </c>
      <c r="M845" s="76">
        <f>$J$845-EFEITO!$K$845*EFEITO!$Y$845</f>
        <v>0</v>
      </c>
      <c r="N845" s="76">
        <f ca="1">$K$845-EFEITO!$M$845*EFEITO!$Z$845</f>
        <v>-98.013316887592737</v>
      </c>
      <c r="O845" s="76">
        <f>$L$845-EFEITO!$O$845*EFEITO!$AA$845</f>
        <v>-72.124050222418646</v>
      </c>
      <c r="P845" s="57"/>
      <c r="Q845" s="57"/>
      <c r="R845" s="57"/>
      <c r="S845" s="57"/>
      <c r="T845" s="57"/>
      <c r="U845" s="57"/>
      <c r="V845" s="57"/>
      <c r="W845" s="57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53" t="s">
        <v>28</v>
      </c>
      <c r="B846" s="53" t="s">
        <v>43</v>
      </c>
      <c r="C846" s="53" t="s">
        <v>23</v>
      </c>
      <c r="D846" s="53" t="s">
        <v>44</v>
      </c>
      <c r="E846" s="53" t="s">
        <v>52</v>
      </c>
      <c r="F846" s="53" t="s">
        <v>53</v>
      </c>
      <c r="G846" s="53" t="s">
        <v>25</v>
      </c>
      <c r="H846" s="53" t="s">
        <v>25</v>
      </c>
      <c r="I846" s="75">
        <v>44682</v>
      </c>
      <c r="J846" s="76">
        <f>EFEITO!$J$846*EFEITO!$Y$610</f>
        <v>0</v>
      </c>
      <c r="K846" s="76">
        <f ca="1">EFEITO!$L$846*EFEITO!$Z$610</f>
        <v>12394.062629229105</v>
      </c>
      <c r="L846" s="76">
        <f>EFEITO!$N$846*EFEITO!$AA$610</f>
        <v>9120.2912411944253</v>
      </c>
      <c r="M846" s="76">
        <f>$J$846-EFEITO!$K$846*EFEITO!$Y$846</f>
        <v>0</v>
      </c>
      <c r="N846" s="76">
        <f ca="1">$K$846-EFEITO!$M$846*EFEITO!$Z$846</f>
        <v>743.6437577537472</v>
      </c>
      <c r="O846" s="76">
        <f>$L$846-EFEITO!$O$846*EFEITO!$AA$846</f>
        <v>547.2174744716649</v>
      </c>
      <c r="P846" s="57"/>
      <c r="Q846" s="57"/>
      <c r="R846" s="57"/>
      <c r="S846" s="57"/>
      <c r="T846" s="57"/>
      <c r="U846" s="57"/>
      <c r="V846" s="57"/>
      <c r="W846" s="57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53" t="s">
        <v>21</v>
      </c>
      <c r="B847" s="53" t="s">
        <v>43</v>
      </c>
      <c r="C847" s="53" t="s">
        <v>23</v>
      </c>
      <c r="D847" s="53" t="s">
        <v>44</v>
      </c>
      <c r="E847" s="53" t="s">
        <v>52</v>
      </c>
      <c r="F847" s="53" t="s">
        <v>53</v>
      </c>
      <c r="G847" s="53" t="s">
        <v>25</v>
      </c>
      <c r="H847" s="53" t="s">
        <v>25</v>
      </c>
      <c r="I847" s="75">
        <v>44713</v>
      </c>
      <c r="J847" s="76">
        <f>EFEITO!$J$847*EFEITO!$Y$610</f>
        <v>0</v>
      </c>
      <c r="K847" s="76">
        <f ca="1">EFEITO!$L$847*EFEITO!$Z$610</f>
        <v>905395.29722970328</v>
      </c>
      <c r="L847" s="76">
        <f>EFEITO!$N$847*EFEITO!$AA$610</f>
        <v>666243.91421655181</v>
      </c>
      <c r="M847" s="76">
        <f>$J$847-EFEITO!$K$847*EFEITO!$Y$847</f>
        <v>0</v>
      </c>
      <c r="N847" s="76">
        <f ca="1">$K$847-EFEITO!$M$847*EFEITO!$Z$847</f>
        <v>54323.717833782313</v>
      </c>
      <c r="O847" s="76">
        <f>$L$847-EFEITO!$O$847*EFEITO!$AA$847</f>
        <v>39974.634852993069</v>
      </c>
      <c r="P847" s="57"/>
      <c r="Q847" s="57"/>
      <c r="R847" s="57"/>
      <c r="S847" s="57"/>
      <c r="T847" s="57"/>
      <c r="U847" s="57"/>
      <c r="V847" s="57"/>
      <c r="W847" s="57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53" t="s">
        <v>27</v>
      </c>
      <c r="B848" s="53" t="s">
        <v>43</v>
      </c>
      <c r="C848" s="53" t="s">
        <v>23</v>
      </c>
      <c r="D848" s="53" t="s">
        <v>44</v>
      </c>
      <c r="E848" s="53" t="s">
        <v>52</v>
      </c>
      <c r="F848" s="53" t="s">
        <v>53</v>
      </c>
      <c r="G848" s="53" t="s">
        <v>25</v>
      </c>
      <c r="H848" s="53" t="s">
        <v>25</v>
      </c>
      <c r="I848" s="75">
        <v>44713</v>
      </c>
      <c r="J848" s="76">
        <f>EFEITO!$J$848*EFEITO!$Y$610</f>
        <v>0</v>
      </c>
      <c r="K848" s="76">
        <f ca="1">EFEITO!$L$848*EFEITO!$Z$610</f>
        <v>45.654326471463115</v>
      </c>
      <c r="L848" s="76">
        <f>EFEITO!$N$848*EFEITO!$AA$610</f>
        <v>33.595179102803534</v>
      </c>
      <c r="M848" s="76">
        <f>$J$848-EFEITO!$K$848*EFEITO!$Y$848</f>
        <v>0</v>
      </c>
      <c r="N848" s="76">
        <f ca="1">$K$848-EFEITO!$M$848*EFEITO!$Z$848</f>
        <v>2.739259588287787</v>
      </c>
      <c r="O848" s="76">
        <f>$L$848-EFEITO!$O$848*EFEITO!$AA$848</f>
        <v>2.0157107461682102</v>
      </c>
      <c r="P848" s="57"/>
      <c r="Q848" s="57"/>
      <c r="R848" s="57"/>
      <c r="S848" s="57"/>
      <c r="T848" s="57"/>
      <c r="U848" s="57"/>
      <c r="V848" s="57"/>
      <c r="W848" s="57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53" t="s">
        <v>28</v>
      </c>
      <c r="B849" s="53" t="s">
        <v>43</v>
      </c>
      <c r="C849" s="53" t="s">
        <v>23</v>
      </c>
      <c r="D849" s="53" t="s">
        <v>44</v>
      </c>
      <c r="E849" s="53" t="s">
        <v>52</v>
      </c>
      <c r="F849" s="53" t="s">
        <v>53</v>
      </c>
      <c r="G849" s="53" t="s">
        <v>25</v>
      </c>
      <c r="H849" s="53" t="s">
        <v>25</v>
      </c>
      <c r="I849" s="75">
        <v>44713</v>
      </c>
      <c r="J849" s="76">
        <f>EFEITO!$J$849*EFEITO!$Y$610</f>
        <v>0</v>
      </c>
      <c r="K849" s="76">
        <f ca="1">EFEITO!$L$849*EFEITO!$Z$610</f>
        <v>8566.9256615927407</v>
      </c>
      <c r="L849" s="76">
        <f>EFEITO!$N$849*EFEITO!$AA$610</f>
        <v>6304.0553701194094</v>
      </c>
      <c r="M849" s="76">
        <f>$J$849-EFEITO!$K$849*EFEITO!$Y$849</f>
        <v>0</v>
      </c>
      <c r="N849" s="76">
        <f ca="1">$K$849-EFEITO!$M$849*EFEITO!$Z$849</f>
        <v>514.01553969556517</v>
      </c>
      <c r="O849" s="76">
        <f>$L$849-EFEITO!$O$849*EFEITO!$AA$849</f>
        <v>378.24332220716406</v>
      </c>
      <c r="P849" s="57"/>
      <c r="Q849" s="57"/>
      <c r="R849" s="57"/>
      <c r="S849" s="57"/>
      <c r="T849" s="57"/>
      <c r="U849" s="57"/>
      <c r="V849" s="57"/>
      <c r="W849" s="57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53" t="s">
        <v>21</v>
      </c>
      <c r="B850" s="53" t="s">
        <v>43</v>
      </c>
      <c r="C850" s="53" t="s">
        <v>23</v>
      </c>
      <c r="D850" s="53" t="s">
        <v>44</v>
      </c>
      <c r="E850" s="53" t="s">
        <v>52</v>
      </c>
      <c r="F850" s="53" t="s">
        <v>53</v>
      </c>
      <c r="G850" s="53" t="s">
        <v>25</v>
      </c>
      <c r="H850" s="53" t="s">
        <v>25</v>
      </c>
      <c r="I850" s="75">
        <v>44743</v>
      </c>
      <c r="J850" s="76">
        <f>EFEITO!$J$850*EFEITO!$Y$610</f>
        <v>0</v>
      </c>
      <c r="K850" s="76">
        <f ca="1">EFEITO!$L$850*EFEITO!$Z$610</f>
        <v>1061556.1383268973</v>
      </c>
      <c r="L850" s="76">
        <f>EFEITO!$N$850*EFEITO!$AA$610</f>
        <v>781156.38431473461</v>
      </c>
      <c r="M850" s="76">
        <f>$J$850-EFEITO!$K$850*EFEITO!$Y$850</f>
        <v>0</v>
      </c>
      <c r="N850" s="76">
        <f ca="1">$K$850-EFEITO!$M$850*EFEITO!$Z$850</f>
        <v>63693.368299613823</v>
      </c>
      <c r="O850" s="76">
        <f>$L$850-EFEITO!$O$850*EFEITO!$AA$850</f>
        <v>46869.383058884065</v>
      </c>
      <c r="P850" s="57"/>
      <c r="Q850" s="57"/>
      <c r="R850" s="57"/>
      <c r="S850" s="57"/>
      <c r="T850" s="57"/>
      <c r="U850" s="57"/>
      <c r="V850" s="57"/>
      <c r="W850" s="57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53" t="s">
        <v>27</v>
      </c>
      <c r="B851" s="53" t="s">
        <v>43</v>
      </c>
      <c r="C851" s="53" t="s">
        <v>23</v>
      </c>
      <c r="D851" s="53" t="s">
        <v>44</v>
      </c>
      <c r="E851" s="53" t="s">
        <v>52</v>
      </c>
      <c r="F851" s="53" t="s">
        <v>53</v>
      </c>
      <c r="G851" s="53" t="s">
        <v>25</v>
      </c>
      <c r="H851" s="53" t="s">
        <v>25</v>
      </c>
      <c r="I851" s="75">
        <v>44743</v>
      </c>
      <c r="J851" s="76">
        <f>EFEITO!$J$851*EFEITO!$Y$610</f>
        <v>0</v>
      </c>
      <c r="K851" s="76">
        <f ca="1">EFEITO!$L$851*EFEITO!$Z$610</f>
        <v>-1914.4380900366866</v>
      </c>
      <c r="L851" s="76">
        <f>EFEITO!$N$851*EFEITO!$AA$610</f>
        <v>-1408.7578437108948</v>
      </c>
      <c r="M851" s="76">
        <f>$J$851-EFEITO!$K$851*EFEITO!$Y$851</f>
        <v>0</v>
      </c>
      <c r="N851" s="76">
        <f ca="1">$K$851-EFEITO!$M$851*EFEITO!$Z$851</f>
        <v>-114.86628540220136</v>
      </c>
      <c r="O851" s="76">
        <f>$L$851-EFEITO!$O$851*EFEITO!$AA$851</f>
        <v>-84.525470622653756</v>
      </c>
      <c r="P851" s="57"/>
      <c r="Q851" s="57"/>
      <c r="R851" s="57"/>
      <c r="S851" s="57"/>
      <c r="T851" s="57"/>
      <c r="U851" s="57"/>
      <c r="V851" s="57"/>
      <c r="W851" s="57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53" t="s">
        <v>28</v>
      </c>
      <c r="B852" s="53" t="s">
        <v>43</v>
      </c>
      <c r="C852" s="53" t="s">
        <v>23</v>
      </c>
      <c r="D852" s="53" t="s">
        <v>44</v>
      </c>
      <c r="E852" s="53" t="s">
        <v>52</v>
      </c>
      <c r="F852" s="53" t="s">
        <v>53</v>
      </c>
      <c r="G852" s="53" t="s">
        <v>25</v>
      </c>
      <c r="H852" s="53" t="s">
        <v>25</v>
      </c>
      <c r="I852" s="75">
        <v>44743</v>
      </c>
      <c r="J852" s="76">
        <f>EFEITO!$J$852*EFEITO!$Y$610</f>
        <v>0</v>
      </c>
      <c r="K852" s="76">
        <f ca="1">EFEITO!$L$852*EFEITO!$Z$610</f>
        <v>13218.014521261703</v>
      </c>
      <c r="L852" s="76">
        <f>EFEITO!$N$852*EFEITO!$AA$610</f>
        <v>9726.6042354783567</v>
      </c>
      <c r="M852" s="76">
        <f>$J$852-EFEITO!$K$852*EFEITO!$Y$852</f>
        <v>0</v>
      </c>
      <c r="N852" s="76">
        <f ca="1">$K$852-EFEITO!$M$852*EFEITO!$Z$852</f>
        <v>793.08087127570434</v>
      </c>
      <c r="O852" s="76">
        <f>$L$852-EFEITO!$O$852*EFEITO!$AA$852</f>
        <v>583.59625412870082</v>
      </c>
      <c r="P852" s="57"/>
      <c r="Q852" s="57"/>
      <c r="R852" s="57"/>
      <c r="S852" s="57"/>
      <c r="T852" s="57"/>
      <c r="U852" s="57"/>
      <c r="V852" s="57"/>
      <c r="W852" s="57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53" t="s">
        <v>56</v>
      </c>
      <c r="B853" s="53" t="s">
        <v>43</v>
      </c>
      <c r="C853" s="53" t="s">
        <v>23</v>
      </c>
      <c r="D853" s="53" t="s">
        <v>44</v>
      </c>
      <c r="E853" s="53" t="s">
        <v>52</v>
      </c>
      <c r="F853" s="53" t="s">
        <v>53</v>
      </c>
      <c r="G853" s="53" t="s">
        <v>25</v>
      </c>
      <c r="H853" s="53" t="s">
        <v>25</v>
      </c>
      <c r="I853" s="75">
        <v>44774</v>
      </c>
      <c r="J853" s="76">
        <f>EFEITO!$J$853*EFEITO!$Y$610</f>
        <v>0</v>
      </c>
      <c r="K853" s="76">
        <f ca="1">EFEITO!$L$853*EFEITO!$Z$610</f>
        <v>1061556.1383268973</v>
      </c>
      <c r="L853" s="76">
        <f>EFEITO!$N$853*EFEITO!$AA$610</f>
        <v>781156.38431473461</v>
      </c>
      <c r="M853" s="76">
        <f>$J$853-EFEITO!$K$853*EFEITO!$Y$853</f>
        <v>0</v>
      </c>
      <c r="N853" s="76">
        <f ca="1">$K$853-EFEITO!$M$853*EFEITO!$Z$853</f>
        <v>63693.368299613823</v>
      </c>
      <c r="O853" s="76">
        <f>$L$853-EFEITO!$O$853*EFEITO!$AA$853</f>
        <v>46869.383058884065</v>
      </c>
      <c r="P853" s="57"/>
      <c r="Q853" s="57"/>
      <c r="R853" s="57"/>
      <c r="S853" s="57"/>
      <c r="T853" s="57"/>
      <c r="U853" s="57"/>
      <c r="V853" s="57"/>
      <c r="W853" s="57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53" t="s">
        <v>56</v>
      </c>
      <c r="B854" s="53" t="s">
        <v>43</v>
      </c>
      <c r="C854" s="53" t="s">
        <v>23</v>
      </c>
      <c r="D854" s="53" t="s">
        <v>44</v>
      </c>
      <c r="E854" s="53" t="s">
        <v>52</v>
      </c>
      <c r="F854" s="53" t="s">
        <v>53</v>
      </c>
      <c r="G854" s="53" t="s">
        <v>25</v>
      </c>
      <c r="H854" s="53" t="s">
        <v>25</v>
      </c>
      <c r="I854" s="75">
        <v>44774</v>
      </c>
      <c r="J854" s="76">
        <f>EFEITO!$J$854*EFEITO!$Y$610</f>
        <v>0</v>
      </c>
      <c r="K854" s="76">
        <f ca="1">EFEITO!$L$854*EFEITO!$Z$610</f>
        <v>-1914.4380900366866</v>
      </c>
      <c r="L854" s="76">
        <f>EFEITO!$N$854*EFEITO!$AA$610</f>
        <v>-1408.7578437108948</v>
      </c>
      <c r="M854" s="76">
        <f>$J$854-EFEITO!$K$854*EFEITO!$Y$854</f>
        <v>0</v>
      </c>
      <c r="N854" s="76">
        <f ca="1">$K$854-EFEITO!$M$854*EFEITO!$Z$854</f>
        <v>-114.86628540220136</v>
      </c>
      <c r="O854" s="76">
        <f>$L$854-EFEITO!$O$854*EFEITO!$AA$854</f>
        <v>-84.525470622653756</v>
      </c>
      <c r="P854" s="57"/>
      <c r="Q854" s="57"/>
      <c r="R854" s="57"/>
      <c r="S854" s="57"/>
      <c r="T854" s="57"/>
      <c r="U854" s="57"/>
      <c r="V854" s="57"/>
      <c r="W854" s="57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53" t="s">
        <v>56</v>
      </c>
      <c r="B855" s="53" t="s">
        <v>43</v>
      </c>
      <c r="C855" s="53" t="s">
        <v>23</v>
      </c>
      <c r="D855" s="53" t="s">
        <v>44</v>
      </c>
      <c r="E855" s="53" t="s">
        <v>52</v>
      </c>
      <c r="F855" s="53" t="s">
        <v>53</v>
      </c>
      <c r="G855" s="53" t="s">
        <v>25</v>
      </c>
      <c r="H855" s="53" t="s">
        <v>25</v>
      </c>
      <c r="I855" s="75">
        <v>44774</v>
      </c>
      <c r="J855" s="76">
        <f>EFEITO!$J$855*EFEITO!$Y$610</f>
        <v>0</v>
      </c>
      <c r="K855" s="76">
        <f ca="1">EFEITO!$L$855*EFEITO!$Z$610</f>
        <v>13218.014521261703</v>
      </c>
      <c r="L855" s="76">
        <f>EFEITO!$N$855*EFEITO!$AA$610</f>
        <v>9726.6042354783567</v>
      </c>
      <c r="M855" s="76">
        <f>$J$855-EFEITO!$K$855*EFEITO!$Y$855</f>
        <v>0</v>
      </c>
      <c r="N855" s="76">
        <f ca="1">$K$855-EFEITO!$M$855*EFEITO!$Z$855</f>
        <v>793.08087127570434</v>
      </c>
      <c r="O855" s="76">
        <f>$L$855-EFEITO!$O$855*EFEITO!$AA$855</f>
        <v>583.59625412870082</v>
      </c>
      <c r="P855" s="57"/>
      <c r="Q855" s="57"/>
      <c r="R855" s="57"/>
      <c r="S855" s="57"/>
      <c r="T855" s="57"/>
      <c r="U855" s="57"/>
      <c r="V855" s="57"/>
      <c r="W855" s="57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53" t="s">
        <v>21</v>
      </c>
      <c r="B856" s="53" t="s">
        <v>43</v>
      </c>
      <c r="C856" s="53" t="s">
        <v>23</v>
      </c>
      <c r="D856" s="53" t="s">
        <v>44</v>
      </c>
      <c r="E856" s="53" t="s">
        <v>52</v>
      </c>
      <c r="F856" s="53" t="s">
        <v>54</v>
      </c>
      <c r="G856" s="53" t="s">
        <v>25</v>
      </c>
      <c r="H856" s="53" t="s">
        <v>25</v>
      </c>
      <c r="I856" s="75">
        <v>44440</v>
      </c>
      <c r="J856" s="76">
        <f>EFEITO!$J$856*EFEITO!$Y$610</f>
        <v>0</v>
      </c>
      <c r="K856" s="76">
        <f ca="1">EFEITO!$L$856*EFEITO!$Z$610</f>
        <v>4184343.3747988408</v>
      </c>
      <c r="L856" s="76">
        <f>EFEITO!$N$856*EFEITO!$AA$610</f>
        <v>3079089.6716407384</v>
      </c>
      <c r="M856" s="76">
        <f>$J$856-EFEITO!$K$856*EFEITO!$Y$856</f>
        <v>0</v>
      </c>
      <c r="N856" s="76">
        <f ca="1">$K$856-EFEITO!$M$856*EFEITO!$Z$856</f>
        <v>3122357.0262748953</v>
      </c>
      <c r="O856" s="76">
        <f>$L$856-EFEITO!$O$856*EFEITO!$AA$856</f>
        <v>2297616.7129783193</v>
      </c>
      <c r="P856" s="57"/>
      <c r="Q856" s="57"/>
      <c r="R856" s="57"/>
      <c r="S856" s="57"/>
      <c r="T856" s="57"/>
      <c r="U856" s="57"/>
      <c r="V856" s="57"/>
      <c r="W856" s="57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53" t="s">
        <v>27</v>
      </c>
      <c r="B857" s="53" t="s">
        <v>43</v>
      </c>
      <c r="C857" s="53" t="s">
        <v>23</v>
      </c>
      <c r="D857" s="53" t="s">
        <v>44</v>
      </c>
      <c r="E857" s="53" t="s">
        <v>52</v>
      </c>
      <c r="F857" s="53" t="s">
        <v>54</v>
      </c>
      <c r="G857" s="53" t="s">
        <v>25</v>
      </c>
      <c r="H857" s="53" t="s">
        <v>25</v>
      </c>
      <c r="I857" s="75">
        <v>44440</v>
      </c>
      <c r="J857" s="76">
        <f>EFEITO!$J$857*EFEITO!$Y$610</f>
        <v>0</v>
      </c>
      <c r="K857" s="76">
        <f ca="1">EFEITO!$L$857*EFEITO!$Z$610</f>
        <v>5550.2616896021591</v>
      </c>
      <c r="L857" s="76">
        <f>EFEITO!$N$857*EFEITO!$AA$610</f>
        <v>4084.2139166408301</v>
      </c>
      <c r="M857" s="76">
        <f>$J$857-EFEITO!$K$857*EFEITO!$Y$857</f>
        <v>0</v>
      </c>
      <c r="N857" s="76">
        <f ca="1">$K$857-EFEITO!$M$857*EFEITO!$Z$857</f>
        <v>4141.6052727811311</v>
      </c>
      <c r="O857" s="76">
        <f>$L$857-EFEITO!$O$857*EFEITO!$AA$857</f>
        <v>3047.6404245973877</v>
      </c>
      <c r="P857" s="57"/>
      <c r="Q857" s="57"/>
      <c r="R857" s="57"/>
      <c r="S857" s="57"/>
      <c r="T857" s="57"/>
      <c r="U857" s="57"/>
      <c r="V857" s="57"/>
      <c r="W857" s="57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53" t="s">
        <v>28</v>
      </c>
      <c r="B858" s="53" t="s">
        <v>43</v>
      </c>
      <c r="C858" s="53" t="s">
        <v>23</v>
      </c>
      <c r="D858" s="53" t="s">
        <v>44</v>
      </c>
      <c r="E858" s="53" t="s">
        <v>52</v>
      </c>
      <c r="F858" s="53" t="s">
        <v>54</v>
      </c>
      <c r="G858" s="53" t="s">
        <v>25</v>
      </c>
      <c r="H858" s="53" t="s">
        <v>25</v>
      </c>
      <c r="I858" s="75">
        <v>44440</v>
      </c>
      <c r="J858" s="76">
        <f>EFEITO!$J$858*EFEITO!$Y$610</f>
        <v>0</v>
      </c>
      <c r="K858" s="76">
        <f ca="1">EFEITO!$L$858*EFEITO!$Z$610</f>
        <v>19054.811459860946</v>
      </c>
      <c r="L858" s="76">
        <f>EFEITO!$N$858*EFEITO!$AA$610</f>
        <v>14021.667895250115</v>
      </c>
      <c r="M858" s="76">
        <f>$J$858-EFEITO!$K$858*EFEITO!$Y$858</f>
        <v>0</v>
      </c>
      <c r="N858" s="76">
        <f ca="1">$K$858-EFEITO!$M$858*EFEITO!$Z$858</f>
        <v>14218.700311348239</v>
      </c>
      <c r="O858" s="76">
        <f>$L$858-EFEITO!$O$858*EFEITO!$AA$858</f>
        <v>10462.968583435635</v>
      </c>
      <c r="P858" s="57"/>
      <c r="Q858" s="57"/>
      <c r="R858" s="57"/>
      <c r="S858" s="57"/>
      <c r="T858" s="57"/>
      <c r="U858" s="57"/>
      <c r="V858" s="57"/>
      <c r="W858" s="57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53" t="s">
        <v>21</v>
      </c>
      <c r="B859" s="53" t="s">
        <v>43</v>
      </c>
      <c r="C859" s="53" t="s">
        <v>23</v>
      </c>
      <c r="D859" s="53" t="s">
        <v>44</v>
      </c>
      <c r="E859" s="53" t="s">
        <v>52</v>
      </c>
      <c r="F859" s="53" t="s">
        <v>54</v>
      </c>
      <c r="G859" s="53" t="s">
        <v>25</v>
      </c>
      <c r="H859" s="53" t="s">
        <v>25</v>
      </c>
      <c r="I859" s="75">
        <v>44470</v>
      </c>
      <c r="J859" s="76">
        <f>EFEITO!$J$859*EFEITO!$Y$610</f>
        <v>0</v>
      </c>
      <c r="K859" s="76">
        <f ca="1">EFEITO!$L$859*EFEITO!$Z$610</f>
        <v>4258020.7616615975</v>
      </c>
      <c r="L859" s="76">
        <f>EFEITO!$N$859*EFEITO!$AA$610</f>
        <v>3133305.8916309294</v>
      </c>
      <c r="M859" s="76">
        <f>$J$859-EFEITO!$K$859*EFEITO!$Y$859</f>
        <v>0</v>
      </c>
      <c r="N859" s="76">
        <f ca="1">$K$859-EFEITO!$M$859*EFEITO!$Z$859</f>
        <v>3177335.0923518841</v>
      </c>
      <c r="O859" s="76">
        <f>$L$859-EFEITO!$O$859*EFEITO!$AA$859</f>
        <v>2338072.8563349997</v>
      </c>
      <c r="P859" s="57"/>
      <c r="Q859" s="57"/>
      <c r="R859" s="57"/>
      <c r="S859" s="57"/>
      <c r="T859" s="57"/>
      <c r="U859" s="57"/>
      <c r="V859" s="57"/>
      <c r="W859" s="57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53" t="s">
        <v>27</v>
      </c>
      <c r="B860" s="53" t="s">
        <v>43</v>
      </c>
      <c r="C860" s="53" t="s">
        <v>23</v>
      </c>
      <c r="D860" s="53" t="s">
        <v>44</v>
      </c>
      <c r="E860" s="53" t="s">
        <v>52</v>
      </c>
      <c r="F860" s="53" t="s">
        <v>54</v>
      </c>
      <c r="G860" s="53" t="s">
        <v>25</v>
      </c>
      <c r="H860" s="53" t="s">
        <v>25</v>
      </c>
      <c r="I860" s="75">
        <v>44470</v>
      </c>
      <c r="J860" s="76">
        <f>EFEITO!$J$860*EFEITO!$Y$610</f>
        <v>0</v>
      </c>
      <c r="K860" s="76">
        <f ca="1">EFEITO!$L$860*EFEITO!$Z$610</f>
        <v>449.58641496659868</v>
      </c>
      <c r="L860" s="76">
        <f>EFEITO!$N$860*EFEITO!$AA$610</f>
        <v>330.83252564094147</v>
      </c>
      <c r="M860" s="76">
        <f>$J$860-EFEITO!$K$860*EFEITO!$Y$860</f>
        <v>0</v>
      </c>
      <c r="N860" s="76">
        <f ca="1">$K$860-EFEITO!$M$860*EFEITO!$Z$860</f>
        <v>335.48138284807595</v>
      </c>
      <c r="O860" s="76">
        <f>$L$860-EFEITO!$O$860*EFEITO!$AA$860</f>
        <v>246.86723063327054</v>
      </c>
      <c r="P860" s="57"/>
      <c r="Q860" s="57"/>
      <c r="R860" s="57"/>
      <c r="S860" s="57"/>
      <c r="T860" s="57"/>
      <c r="U860" s="57"/>
      <c r="V860" s="57"/>
      <c r="W860" s="57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53" t="s">
        <v>28</v>
      </c>
      <c r="B861" s="53" t="s">
        <v>43</v>
      </c>
      <c r="C861" s="53" t="s">
        <v>23</v>
      </c>
      <c r="D861" s="53" t="s">
        <v>44</v>
      </c>
      <c r="E861" s="53" t="s">
        <v>52</v>
      </c>
      <c r="F861" s="53" t="s">
        <v>54</v>
      </c>
      <c r="G861" s="53" t="s">
        <v>25</v>
      </c>
      <c r="H861" s="53" t="s">
        <v>25</v>
      </c>
      <c r="I861" s="75">
        <v>44470</v>
      </c>
      <c r="J861" s="76">
        <f>EFEITO!$J$861*EFEITO!$Y$610</f>
        <v>0</v>
      </c>
      <c r="K861" s="76">
        <f ca="1">EFEITO!$L$861*EFEITO!$Z$610</f>
        <v>22870.643546656764</v>
      </c>
      <c r="L861" s="76">
        <f>EFEITO!$N$861*EFEITO!$AA$610</f>
        <v>16829.584960071104</v>
      </c>
      <c r="M861" s="76">
        <f>$J$861-EFEITO!$K$861*EFEITO!$Y$861</f>
        <v>0</v>
      </c>
      <c r="N861" s="76">
        <f ca="1">$K$861-EFEITO!$M$861*EFEITO!$Z$861</f>
        <v>17066.074214515276</v>
      </c>
      <c r="O861" s="76">
        <f>$L$861-EFEITO!$O$861*EFEITO!$AA$861</f>
        <v>12558.236297205058</v>
      </c>
      <c r="P861" s="57"/>
      <c r="Q861" s="57"/>
      <c r="R861" s="57"/>
      <c r="S861" s="57"/>
      <c r="T861" s="57"/>
      <c r="U861" s="57"/>
      <c r="V861" s="57"/>
      <c r="W861" s="57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53" t="s">
        <v>21</v>
      </c>
      <c r="B862" s="53" t="s">
        <v>43</v>
      </c>
      <c r="C862" s="53" t="s">
        <v>23</v>
      </c>
      <c r="D862" s="53" t="s">
        <v>44</v>
      </c>
      <c r="E862" s="53" t="s">
        <v>52</v>
      </c>
      <c r="F862" s="53" t="s">
        <v>54</v>
      </c>
      <c r="G862" s="53" t="s">
        <v>25</v>
      </c>
      <c r="H862" s="53" t="s">
        <v>25</v>
      </c>
      <c r="I862" s="75">
        <v>44501</v>
      </c>
      <c r="J862" s="76">
        <f>EFEITO!$J$862*EFEITO!$Y$610</f>
        <v>0</v>
      </c>
      <c r="K862" s="76">
        <f ca="1">EFEITO!$L$862*EFEITO!$Z$610</f>
        <v>824153.20587217994</v>
      </c>
      <c r="L862" s="76">
        <f>EFEITO!$N$862*EFEITO!$AA$610</f>
        <v>606461.1330260695</v>
      </c>
      <c r="M862" s="76">
        <f>$J$862-EFEITO!$K$862*EFEITO!$Y$862</f>
        <v>0</v>
      </c>
      <c r="N862" s="76">
        <f ca="1">$K$862-EFEITO!$M$862*EFEITO!$Z$862</f>
        <v>614983.12222182064</v>
      </c>
      <c r="O862" s="76">
        <f>$L$862-EFEITO!$O$862*EFEITO!$AA$862</f>
        <v>452541.29746405303</v>
      </c>
      <c r="P862" s="57"/>
      <c r="Q862" s="57"/>
      <c r="R862" s="57"/>
      <c r="S862" s="57"/>
      <c r="T862" s="57"/>
      <c r="U862" s="57"/>
      <c r="V862" s="57"/>
      <c r="W862" s="57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53" t="s">
        <v>27</v>
      </c>
      <c r="B863" s="53" t="s">
        <v>43</v>
      </c>
      <c r="C863" s="53" t="s">
        <v>23</v>
      </c>
      <c r="D863" s="53" t="s">
        <v>44</v>
      </c>
      <c r="E863" s="53" t="s">
        <v>52</v>
      </c>
      <c r="F863" s="53" t="s">
        <v>54</v>
      </c>
      <c r="G863" s="53" t="s">
        <v>25</v>
      </c>
      <c r="H863" s="53" t="s">
        <v>25</v>
      </c>
      <c r="I863" s="75">
        <v>44501</v>
      </c>
      <c r="J863" s="76">
        <f>EFEITO!$J$863*EFEITO!$Y$610</f>
        <v>0</v>
      </c>
      <c r="K863" s="76">
        <f ca="1">EFEITO!$L$863*EFEITO!$Z$610</f>
        <v>1987.9198155002798</v>
      </c>
      <c r="L863" s="76">
        <f>EFEITO!$N$863*EFEITO!$AA$610</f>
        <v>1462.8300843620739</v>
      </c>
      <c r="M863" s="76">
        <f>$J$863-EFEITO!$K$863*EFEITO!$Y$863</f>
        <v>0</v>
      </c>
      <c r="N863" s="76">
        <f ca="1">$K$863-EFEITO!$M$863*EFEITO!$Z$863</f>
        <v>1483.3857663263088</v>
      </c>
      <c r="O863" s="76">
        <f>$L$863-EFEITO!$O$863*EFEITO!$AA$863</f>
        <v>1091.5638089509796</v>
      </c>
      <c r="P863" s="57"/>
      <c r="Q863" s="57"/>
      <c r="R863" s="57"/>
      <c r="S863" s="57"/>
      <c r="T863" s="57"/>
      <c r="U863" s="57"/>
      <c r="V863" s="57"/>
      <c r="W863" s="57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53" t="s">
        <v>28</v>
      </c>
      <c r="B864" s="53" t="s">
        <v>43</v>
      </c>
      <c r="C864" s="53" t="s">
        <v>23</v>
      </c>
      <c r="D864" s="53" t="s">
        <v>44</v>
      </c>
      <c r="E864" s="53" t="s">
        <v>52</v>
      </c>
      <c r="F864" s="53" t="s">
        <v>54</v>
      </c>
      <c r="G864" s="53" t="s">
        <v>25</v>
      </c>
      <c r="H864" s="53" t="s">
        <v>25</v>
      </c>
      <c r="I864" s="75">
        <v>44501</v>
      </c>
      <c r="J864" s="76">
        <f>EFEITO!$J$864*EFEITO!$Y$610</f>
        <v>0</v>
      </c>
      <c r="K864" s="76">
        <f ca="1">EFEITO!$L$864*EFEITO!$Z$610</f>
        <v>1341.8023951517634</v>
      </c>
      <c r="L864" s="76">
        <f>EFEITO!$N$864*EFEITO!$AA$610</f>
        <v>987.37831153573052</v>
      </c>
      <c r="M864" s="76">
        <f>$J$864-EFEITO!$K$864*EFEITO!$Y$864</f>
        <v>0</v>
      </c>
      <c r="N864" s="76">
        <f ca="1">$K$864-EFEITO!$M$864*EFEITO!$Z$864</f>
        <v>1001.2529472622459</v>
      </c>
      <c r="O864" s="76">
        <f>$L$864-EFEITO!$O$864*EFEITO!$AA$864</f>
        <v>736.78169606796212</v>
      </c>
      <c r="P864" s="57"/>
      <c r="Q864" s="57"/>
      <c r="R864" s="57"/>
      <c r="S864" s="57"/>
      <c r="T864" s="57"/>
      <c r="U864" s="57"/>
      <c r="V864" s="57"/>
      <c r="W864" s="57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53" t="s">
        <v>21</v>
      </c>
      <c r="B865" s="53" t="s">
        <v>43</v>
      </c>
      <c r="C865" s="53" t="s">
        <v>23</v>
      </c>
      <c r="D865" s="53" t="s">
        <v>44</v>
      </c>
      <c r="E865" s="53" t="s">
        <v>52</v>
      </c>
      <c r="F865" s="53" t="s">
        <v>54</v>
      </c>
      <c r="G865" s="53" t="s">
        <v>25</v>
      </c>
      <c r="H865" s="53" t="s">
        <v>25</v>
      </c>
      <c r="I865" s="75">
        <v>44531</v>
      </c>
      <c r="J865" s="76">
        <f>EFEITO!$J$865*EFEITO!$Y$610</f>
        <v>0</v>
      </c>
      <c r="K865" s="76">
        <f ca="1">EFEITO!$L$865*EFEITO!$Z$610</f>
        <v>466461.12363666994</v>
      </c>
      <c r="L865" s="76">
        <f>EFEITO!$N$865*EFEITO!$AA$610</f>
        <v>343249.94374551106</v>
      </c>
      <c r="M865" s="76">
        <f>$J$865-EFEITO!$K$865*EFEITO!$Y$865</f>
        <v>0</v>
      </c>
      <c r="N865" s="76">
        <f ca="1">$K$865-EFEITO!$M$865*EFEITO!$Z$865</f>
        <v>348073.29045768309</v>
      </c>
      <c r="O865" s="76">
        <f>$L$865-EFEITO!$O$865*EFEITO!$AA$865</f>
        <v>256133.10802290036</v>
      </c>
      <c r="P865" s="57"/>
      <c r="Q865" s="57"/>
      <c r="R865" s="57"/>
      <c r="S865" s="57"/>
      <c r="T865" s="57"/>
      <c r="U865" s="57"/>
      <c r="V865" s="57"/>
      <c r="W865" s="57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53" t="s">
        <v>27</v>
      </c>
      <c r="B866" s="53" t="s">
        <v>43</v>
      </c>
      <c r="C866" s="53" t="s">
        <v>23</v>
      </c>
      <c r="D866" s="53" t="s">
        <v>44</v>
      </c>
      <c r="E866" s="53" t="s">
        <v>52</v>
      </c>
      <c r="F866" s="53" t="s">
        <v>54</v>
      </c>
      <c r="G866" s="53" t="s">
        <v>25</v>
      </c>
      <c r="H866" s="53" t="s">
        <v>25</v>
      </c>
      <c r="I866" s="75">
        <v>44531</v>
      </c>
      <c r="J866" s="76">
        <f>EFEITO!$J$866*EFEITO!$Y$610</f>
        <v>0</v>
      </c>
      <c r="K866" s="76">
        <f ca="1">EFEITO!$L$866*EFEITO!$Z$610</f>
        <v>-3454.9455061166277</v>
      </c>
      <c r="L866" s="76">
        <f>EFEITO!$N$866*EFEITO!$AA$610</f>
        <v>-2542.3551728654943</v>
      </c>
      <c r="M866" s="76">
        <f>$J$866-EFEITO!$K$866*EFEITO!$Y$866</f>
        <v>0</v>
      </c>
      <c r="N866" s="76">
        <f ca="1">$K$866-EFEITO!$M$866*EFEITO!$Z$866</f>
        <v>-2578.0803366642276</v>
      </c>
      <c r="O866" s="76">
        <f>$L$866-EFEITO!$O$866*EFEITO!$AA$866</f>
        <v>-1897.1054299922318</v>
      </c>
      <c r="P866" s="57"/>
      <c r="Q866" s="57"/>
      <c r="R866" s="57"/>
      <c r="S866" s="57"/>
      <c r="T866" s="57"/>
      <c r="U866" s="57"/>
      <c r="V866" s="57"/>
      <c r="W866" s="57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53" t="s">
        <v>28</v>
      </c>
      <c r="B867" s="53" t="s">
        <v>43</v>
      </c>
      <c r="C867" s="53" t="s">
        <v>23</v>
      </c>
      <c r="D867" s="53" t="s">
        <v>44</v>
      </c>
      <c r="E867" s="53" t="s">
        <v>52</v>
      </c>
      <c r="F867" s="53" t="s">
        <v>54</v>
      </c>
      <c r="G867" s="53" t="s">
        <v>25</v>
      </c>
      <c r="H867" s="53" t="s">
        <v>25</v>
      </c>
      <c r="I867" s="75">
        <v>44531</v>
      </c>
      <c r="J867" s="76">
        <f>EFEITO!$J$867*EFEITO!$Y$610</f>
        <v>0</v>
      </c>
      <c r="K867" s="76">
        <f ca="1">EFEITO!$L$867*EFEITO!$Z$610</f>
        <v>3129.2779772868575</v>
      </c>
      <c r="L867" s="76">
        <f>EFEITO!$N$867*EFEITO!$AA$610</f>
        <v>2302.7095619321622</v>
      </c>
      <c r="M867" s="76">
        <f>$J$867-EFEITO!$K$867*EFEITO!$Y$867</f>
        <v>0</v>
      </c>
      <c r="N867" s="76">
        <f ca="1">$K$867-EFEITO!$M$867*EFEITO!$Z$867</f>
        <v>2335.067226651453</v>
      </c>
      <c r="O867" s="76">
        <f>$L$867-EFEITO!$O$867*EFEITO!$AA$867</f>
        <v>1718.2818751137793</v>
      </c>
      <c r="P867" s="57"/>
      <c r="Q867" s="57"/>
      <c r="R867" s="57"/>
      <c r="S867" s="57"/>
      <c r="T867" s="57"/>
      <c r="U867" s="57"/>
      <c r="V867" s="57"/>
      <c r="W867" s="57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53" t="s">
        <v>21</v>
      </c>
      <c r="B868" s="53" t="s">
        <v>43</v>
      </c>
      <c r="C868" s="53" t="s">
        <v>23</v>
      </c>
      <c r="D868" s="53" t="s">
        <v>44</v>
      </c>
      <c r="E868" s="53" t="s">
        <v>52</v>
      </c>
      <c r="F868" s="53" t="s">
        <v>54</v>
      </c>
      <c r="G868" s="53" t="s">
        <v>25</v>
      </c>
      <c r="H868" s="53" t="s">
        <v>25</v>
      </c>
      <c r="I868" s="75">
        <v>44562</v>
      </c>
      <c r="J868" s="76">
        <f>EFEITO!$J$868*EFEITO!$Y$610</f>
        <v>0</v>
      </c>
      <c r="K868" s="76">
        <f ca="1">EFEITO!$L$868*EFEITO!$Z$610</f>
        <v>475958.09314895282</v>
      </c>
      <c r="L868" s="76">
        <f>EFEITO!$N$868*EFEITO!$AA$610</f>
        <v>350238.38090706756</v>
      </c>
      <c r="M868" s="76">
        <f>$J$868-EFEITO!$K$868*EFEITO!$Y$868</f>
        <v>0</v>
      </c>
      <c r="N868" s="76">
        <f ca="1">$K$868-EFEITO!$M$868*EFEITO!$Z$868</f>
        <v>355159.92910774861</v>
      </c>
      <c r="O868" s="76">
        <f>$L$868-EFEITO!$O$868*EFEITO!$AA$868</f>
        <v>261347.8798328538</v>
      </c>
      <c r="P868" s="57"/>
      <c r="Q868" s="57"/>
      <c r="R868" s="57"/>
      <c r="S868" s="57"/>
      <c r="T868" s="57"/>
      <c r="U868" s="57"/>
      <c r="V868" s="57"/>
      <c r="W868" s="57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53" t="s">
        <v>27</v>
      </c>
      <c r="B869" s="53" t="s">
        <v>43</v>
      </c>
      <c r="C869" s="53" t="s">
        <v>23</v>
      </c>
      <c r="D869" s="53" t="s">
        <v>44</v>
      </c>
      <c r="E869" s="53" t="s">
        <v>52</v>
      </c>
      <c r="F869" s="53" t="s">
        <v>54</v>
      </c>
      <c r="G869" s="53" t="s">
        <v>25</v>
      </c>
      <c r="H869" s="53" t="s">
        <v>25</v>
      </c>
      <c r="I869" s="75">
        <v>44562</v>
      </c>
      <c r="J869" s="76">
        <f>EFEITO!$J$869*EFEITO!$Y$610</f>
        <v>0</v>
      </c>
      <c r="K869" s="76">
        <f ca="1">EFEITO!$L$869*EFEITO!$Z$610</f>
        <v>-1810.9549500347036</v>
      </c>
      <c r="L869" s="76">
        <f>EFEITO!$N$869*EFEITO!$AA$610</f>
        <v>-1332.6087710778736</v>
      </c>
      <c r="M869" s="76">
        <f>$J$869-EFEITO!$K$869*EFEITO!$Y$869</f>
        <v>0</v>
      </c>
      <c r="N869" s="76">
        <f ca="1">$K$869-EFEITO!$M$869*EFEITO!$Z$869</f>
        <v>-1351.3345837158959</v>
      </c>
      <c r="O869" s="76">
        <f>$L$869-EFEITO!$O$869*EFEITO!$AA$869</f>
        <v>-994.39266497830931</v>
      </c>
      <c r="P869" s="57"/>
      <c r="Q869" s="57"/>
      <c r="R869" s="57"/>
      <c r="S869" s="57"/>
      <c r="T869" s="57"/>
      <c r="U869" s="57"/>
      <c r="V869" s="57"/>
      <c r="W869" s="57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53" t="s">
        <v>28</v>
      </c>
      <c r="B870" s="53" t="s">
        <v>43</v>
      </c>
      <c r="C870" s="53" t="s">
        <v>23</v>
      </c>
      <c r="D870" s="53" t="s">
        <v>44</v>
      </c>
      <c r="E870" s="53" t="s">
        <v>52</v>
      </c>
      <c r="F870" s="53" t="s">
        <v>54</v>
      </c>
      <c r="G870" s="53" t="s">
        <v>25</v>
      </c>
      <c r="H870" s="53" t="s">
        <v>25</v>
      </c>
      <c r="I870" s="75">
        <v>44562</v>
      </c>
      <c r="J870" s="76">
        <f>EFEITO!$J$870*EFEITO!$Y$610</f>
        <v>0</v>
      </c>
      <c r="K870" s="76">
        <f ca="1">EFEITO!$L$870*EFEITO!$Z$610</f>
        <v>1799.650069194151</v>
      </c>
      <c r="L870" s="76">
        <f>EFEITO!$N$870*EFEITO!$AA$610</f>
        <v>1324.289964823846</v>
      </c>
      <c r="M870" s="76">
        <f>$J$870-EFEITO!$K$870*EFEITO!$Y$870</f>
        <v>0</v>
      </c>
      <c r="N870" s="76">
        <f ca="1">$K$870-EFEITO!$M$870*EFEITO!$Z$870</f>
        <v>1342.8988816326755</v>
      </c>
      <c r="O870" s="76">
        <f>$L$870-EFEITO!$O$870*EFEITO!$AA$870</f>
        <v>988.18517175155398</v>
      </c>
      <c r="P870" s="57"/>
      <c r="Q870" s="57"/>
      <c r="R870" s="57"/>
      <c r="S870" s="57"/>
      <c r="T870" s="57"/>
      <c r="U870" s="57"/>
      <c r="V870" s="57"/>
      <c r="W870" s="57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53" t="s">
        <v>28</v>
      </c>
      <c r="B871" s="53" t="s">
        <v>43</v>
      </c>
      <c r="C871" s="53" t="s">
        <v>23</v>
      </c>
      <c r="D871" s="53" t="s">
        <v>44</v>
      </c>
      <c r="E871" s="53" t="s">
        <v>52</v>
      </c>
      <c r="F871" s="53" t="s">
        <v>54</v>
      </c>
      <c r="G871" s="53" t="s">
        <v>25</v>
      </c>
      <c r="H871" s="53" t="s">
        <v>25</v>
      </c>
      <c r="I871" s="75">
        <v>44562</v>
      </c>
      <c r="J871" s="76">
        <f>EFEITO!$J$871*EFEITO!$Y$610</f>
        <v>0</v>
      </c>
      <c r="K871" s="76">
        <f ca="1">EFEITO!$L$871*EFEITO!$Z$610</f>
        <v>222.6191919370392</v>
      </c>
      <c r="L871" s="76">
        <f>EFEITO!$N$871*EFEITO!$AA$610</f>
        <v>163.8164923870039</v>
      </c>
      <c r="M871" s="76">
        <f>$J$871-EFEITO!$K$871*EFEITO!$Y$871</f>
        <v>0</v>
      </c>
      <c r="N871" s="76">
        <f ca="1">$K$871-EFEITO!$M$871*EFEITO!$Z$871</f>
        <v>166.11844102341865</v>
      </c>
      <c r="O871" s="76">
        <f>$L$871-EFEITO!$O$871*EFEITO!$AA$871</f>
        <v>122.23986661918232</v>
      </c>
      <c r="P871" s="57"/>
      <c r="Q871" s="57"/>
      <c r="R871" s="57"/>
      <c r="S871" s="57"/>
      <c r="T871" s="57"/>
      <c r="U871" s="57"/>
      <c r="V871" s="57"/>
      <c r="W871" s="57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53" t="s">
        <v>21</v>
      </c>
      <c r="B872" s="53" t="s">
        <v>43</v>
      </c>
      <c r="C872" s="53" t="s">
        <v>23</v>
      </c>
      <c r="D872" s="53" t="s">
        <v>44</v>
      </c>
      <c r="E872" s="53" t="s">
        <v>52</v>
      </c>
      <c r="F872" s="53" t="s">
        <v>54</v>
      </c>
      <c r="G872" s="53" t="s">
        <v>25</v>
      </c>
      <c r="H872" s="53" t="s">
        <v>25</v>
      </c>
      <c r="I872" s="75">
        <v>44593</v>
      </c>
      <c r="J872" s="76">
        <f>EFEITO!$J$872*EFEITO!$Y$610</f>
        <v>0</v>
      </c>
      <c r="K872" s="76">
        <f ca="1">EFEITO!$L$872*EFEITO!$Z$610</f>
        <v>1437139.4989019099</v>
      </c>
      <c r="L872" s="76">
        <f>EFEITO!$N$872*EFEITO!$AA$610</f>
        <v>1057533.0443545517</v>
      </c>
      <c r="M872" s="76">
        <f>$J$872-EFEITO!$K$872*EFEITO!$Y$872</f>
        <v>0</v>
      </c>
      <c r="N872" s="76">
        <f ca="1">$K$872-EFEITO!$M$872*EFEITO!$Z$872</f>
        <v>1072393.4940806052</v>
      </c>
      <c r="O872" s="76">
        <f>$L$872-EFEITO!$O$872*EFEITO!$AA$872</f>
        <v>789131.15769736655</v>
      </c>
      <c r="P872" s="57"/>
      <c r="Q872" s="57"/>
      <c r="R872" s="57"/>
      <c r="S872" s="57"/>
      <c r="T872" s="57"/>
      <c r="U872" s="57"/>
      <c r="V872" s="57"/>
      <c r="W872" s="57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53" t="s">
        <v>27</v>
      </c>
      <c r="B873" s="53" t="s">
        <v>43</v>
      </c>
      <c r="C873" s="53" t="s">
        <v>23</v>
      </c>
      <c r="D873" s="53" t="s">
        <v>44</v>
      </c>
      <c r="E873" s="53" t="s">
        <v>52</v>
      </c>
      <c r="F873" s="53" t="s">
        <v>54</v>
      </c>
      <c r="G873" s="53" t="s">
        <v>25</v>
      </c>
      <c r="H873" s="53" t="s">
        <v>25</v>
      </c>
      <c r="I873" s="75">
        <v>44593</v>
      </c>
      <c r="J873" s="76">
        <f>EFEITO!$J$873*EFEITO!$Y$610</f>
        <v>0</v>
      </c>
      <c r="K873" s="76">
        <f ca="1">EFEITO!$L$873*EFEITO!$Z$610</f>
        <v>-5080.6743316099673</v>
      </c>
      <c r="L873" s="76">
        <f>EFEITO!$N$873*EFEITO!$AA$610</f>
        <v>-3738.6635030119937</v>
      </c>
      <c r="M873" s="76">
        <f>$J$873-EFEITO!$K$873*EFEITO!$Y$873</f>
        <v>0</v>
      </c>
      <c r="N873" s="76">
        <f ca="1">$K$873-EFEITO!$M$873*EFEITO!$Z$873</f>
        <v>-3791.1991862473578</v>
      </c>
      <c r="O873" s="76">
        <f>$L$873-EFEITO!$O$873*EFEITO!$AA$873</f>
        <v>-2789.7907059475497</v>
      </c>
      <c r="P873" s="57"/>
      <c r="Q873" s="57"/>
      <c r="R873" s="57"/>
      <c r="S873" s="57"/>
      <c r="T873" s="57"/>
      <c r="U873" s="57"/>
      <c r="V873" s="57"/>
      <c r="W873" s="57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53" t="s">
        <v>28</v>
      </c>
      <c r="B874" s="53" t="s">
        <v>43</v>
      </c>
      <c r="C874" s="53" t="s">
        <v>23</v>
      </c>
      <c r="D874" s="53" t="s">
        <v>44</v>
      </c>
      <c r="E874" s="53" t="s">
        <v>52</v>
      </c>
      <c r="F874" s="53" t="s">
        <v>54</v>
      </c>
      <c r="G874" s="53" t="s">
        <v>25</v>
      </c>
      <c r="H874" s="53" t="s">
        <v>25</v>
      </c>
      <c r="I874" s="75">
        <v>44593</v>
      </c>
      <c r="J874" s="76">
        <f>EFEITO!$J$874*EFEITO!$Y$610</f>
        <v>0</v>
      </c>
      <c r="K874" s="76">
        <f ca="1">EFEITO!$L$874*EFEITO!$Z$610</f>
        <v>5914.1918920461076</v>
      </c>
      <c r="L874" s="76">
        <f>EFEITO!$N$874*EFEITO!$AA$610</f>
        <v>4352.0154872031781</v>
      </c>
      <c r="M874" s="76">
        <f>$J$874-EFEITO!$K$874*EFEITO!$Y$874</f>
        <v>0</v>
      </c>
      <c r="N874" s="76">
        <f ca="1">$K$874-EFEITO!$M$874*EFEITO!$Z$874</f>
        <v>4413.169989844806</v>
      </c>
      <c r="O874" s="76">
        <f>$L$874-EFEITO!$O$874*EFEITO!$AA$874</f>
        <v>3247.4739565510117</v>
      </c>
      <c r="P874" s="57"/>
      <c r="Q874" s="57"/>
      <c r="R874" s="57"/>
      <c r="S874" s="57"/>
      <c r="T874" s="57"/>
      <c r="U874" s="57"/>
      <c r="V874" s="57"/>
      <c r="W874" s="57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53" t="s">
        <v>21</v>
      </c>
      <c r="B875" s="53" t="s">
        <v>43</v>
      </c>
      <c r="C875" s="53" t="s">
        <v>23</v>
      </c>
      <c r="D875" s="53" t="s">
        <v>44</v>
      </c>
      <c r="E875" s="53" t="s">
        <v>52</v>
      </c>
      <c r="F875" s="53" t="s">
        <v>54</v>
      </c>
      <c r="G875" s="53" t="s">
        <v>25</v>
      </c>
      <c r="H875" s="53" t="s">
        <v>25</v>
      </c>
      <c r="I875" s="75">
        <v>44621</v>
      </c>
      <c r="J875" s="76">
        <f>EFEITO!$J$875*EFEITO!$Y$610</f>
        <v>0</v>
      </c>
      <c r="K875" s="76">
        <f ca="1">EFEITO!$L$875*EFEITO!$Z$610</f>
        <v>900047.21898590319</v>
      </c>
      <c r="L875" s="76">
        <f>EFEITO!$N$875*EFEITO!$AA$610</f>
        <v>662308.4789502233</v>
      </c>
      <c r="M875" s="76">
        <f>$J$875-EFEITO!$K$875*EFEITO!$Y$875</f>
        <v>0</v>
      </c>
      <c r="N875" s="76">
        <f ca="1">$K$875-EFEITO!$M$875*EFEITO!$Z$875</f>
        <v>561629.46464720357</v>
      </c>
      <c r="O875" s="76">
        <f>$L$875-EFEITO!$O$875*EFEITO!$AA$875</f>
        <v>413280.49086493929</v>
      </c>
      <c r="P875" s="57"/>
      <c r="Q875" s="57"/>
      <c r="R875" s="57"/>
      <c r="S875" s="57"/>
      <c r="T875" s="57"/>
      <c r="U875" s="57"/>
      <c r="V875" s="57"/>
      <c r="W875" s="57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53" t="s">
        <v>27</v>
      </c>
      <c r="B876" s="53" t="s">
        <v>43</v>
      </c>
      <c r="C876" s="53" t="s">
        <v>23</v>
      </c>
      <c r="D876" s="53" t="s">
        <v>44</v>
      </c>
      <c r="E876" s="53" t="s">
        <v>52</v>
      </c>
      <c r="F876" s="53" t="s">
        <v>54</v>
      </c>
      <c r="G876" s="53" t="s">
        <v>25</v>
      </c>
      <c r="H876" s="53" t="s">
        <v>25</v>
      </c>
      <c r="I876" s="75">
        <v>44621</v>
      </c>
      <c r="J876" s="76">
        <f>EFEITO!$J$876*EFEITO!$Y$610</f>
        <v>0</v>
      </c>
      <c r="K876" s="76">
        <f ca="1">EFEITO!$L$876*EFEITO!$Z$610</f>
        <v>-47462.237799733055</v>
      </c>
      <c r="L876" s="76">
        <f>EFEITO!$N$876*EFEITO!$AA$610</f>
        <v>-34925.548195274554</v>
      </c>
      <c r="M876" s="76">
        <f>$J$876-EFEITO!$K$876*EFEITO!$Y$876</f>
        <v>0</v>
      </c>
      <c r="N876" s="76">
        <f ca="1">$K$876-EFEITO!$M$876*EFEITO!$Z$876</f>
        <v>-29616.436387033427</v>
      </c>
      <c r="O876" s="76">
        <f>$L$876-EFEITO!$O$876*EFEITO!$AA$876</f>
        <v>-21793.54207385132</v>
      </c>
      <c r="P876" s="57"/>
      <c r="Q876" s="57"/>
      <c r="R876" s="57"/>
      <c r="S876" s="57"/>
      <c r="T876" s="57"/>
      <c r="U876" s="57"/>
      <c r="V876" s="57"/>
      <c r="W876" s="57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53" t="s">
        <v>28</v>
      </c>
      <c r="B877" s="53" t="s">
        <v>43</v>
      </c>
      <c r="C877" s="53" t="s">
        <v>23</v>
      </c>
      <c r="D877" s="53" t="s">
        <v>44</v>
      </c>
      <c r="E877" s="53" t="s">
        <v>52</v>
      </c>
      <c r="F877" s="53" t="s">
        <v>54</v>
      </c>
      <c r="G877" s="53" t="s">
        <v>25</v>
      </c>
      <c r="H877" s="53" t="s">
        <v>25</v>
      </c>
      <c r="I877" s="75">
        <v>44621</v>
      </c>
      <c r="J877" s="76">
        <f>EFEITO!$J$877*EFEITO!$Y$610</f>
        <v>0</v>
      </c>
      <c r="K877" s="76">
        <f ca="1">EFEITO!$L$877*EFEITO!$Z$610</f>
        <v>9131.7349005111264</v>
      </c>
      <c r="L877" s="76">
        <f>EFEITO!$N$877*EFEITO!$AA$610</f>
        <v>6719.6757287340934</v>
      </c>
      <c r="M877" s="76">
        <f>$J$877-EFEITO!$K$877*EFEITO!$Y$877</f>
        <v>0</v>
      </c>
      <c r="N877" s="76">
        <f ca="1">$K$877-EFEITO!$M$877*EFEITO!$Z$877</f>
        <v>5698.2025779189426</v>
      </c>
      <c r="O877" s="76">
        <f>$L$877-EFEITO!$O$877*EFEITO!$AA$877</f>
        <v>4193.0776547300738</v>
      </c>
      <c r="P877" s="57"/>
      <c r="Q877" s="57"/>
      <c r="R877" s="57"/>
      <c r="S877" s="57"/>
      <c r="T877" s="57"/>
      <c r="U877" s="57"/>
      <c r="V877" s="57"/>
      <c r="W877" s="57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53" t="s">
        <v>28</v>
      </c>
      <c r="B878" s="53" t="s">
        <v>43</v>
      </c>
      <c r="C878" s="53" t="s">
        <v>23</v>
      </c>
      <c r="D878" s="53" t="s">
        <v>44</v>
      </c>
      <c r="E878" s="53" t="s">
        <v>52</v>
      </c>
      <c r="F878" s="53" t="s">
        <v>54</v>
      </c>
      <c r="G878" s="53" t="s">
        <v>25</v>
      </c>
      <c r="H878" s="53" t="s">
        <v>25</v>
      </c>
      <c r="I878" s="75">
        <v>44621</v>
      </c>
      <c r="J878" s="76">
        <f>EFEITO!$J$878*EFEITO!$Y$610</f>
        <v>0</v>
      </c>
      <c r="K878" s="76">
        <f ca="1">EFEITO!$L$878*EFEITO!$Z$610</f>
        <v>32.175430084650195</v>
      </c>
      <c r="L878" s="76">
        <f>EFEITO!$N$878*EFEITO!$AA$610</f>
        <v>23.676602415309159</v>
      </c>
      <c r="M878" s="76">
        <f>$J$878-EFEITO!$K$878*EFEITO!$Y$878</f>
        <v>0</v>
      </c>
      <c r="N878" s="76">
        <f ca="1">$K$878-EFEITO!$M$878*EFEITO!$Z$878</f>
        <v>24.009305929165976</v>
      </c>
      <c r="O878" s="76">
        <f>$L$878-EFEITO!$O$878*EFEITO!$AA$878</f>
        <v>17.667480722303694</v>
      </c>
      <c r="P878" s="57"/>
      <c r="Q878" s="57"/>
      <c r="R878" s="57"/>
      <c r="S878" s="57"/>
      <c r="T878" s="57"/>
      <c r="U878" s="57"/>
      <c r="V878" s="57"/>
      <c r="W878" s="57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53" t="s">
        <v>21</v>
      </c>
      <c r="B879" s="53" t="s">
        <v>43</v>
      </c>
      <c r="C879" s="53" t="s">
        <v>23</v>
      </c>
      <c r="D879" s="53" t="s">
        <v>44</v>
      </c>
      <c r="E879" s="53" t="s">
        <v>52</v>
      </c>
      <c r="F879" s="53" t="s">
        <v>54</v>
      </c>
      <c r="G879" s="53" t="s">
        <v>25</v>
      </c>
      <c r="H879" s="53" t="s">
        <v>25</v>
      </c>
      <c r="I879" s="75">
        <v>44652</v>
      </c>
      <c r="J879" s="76">
        <f>EFEITO!$J$879*EFEITO!$Y$610</f>
        <v>0</v>
      </c>
      <c r="K879" s="76">
        <f ca="1">EFEITO!$L$879*EFEITO!$Z$610</f>
        <v>2307103.1255617747</v>
      </c>
      <c r="L879" s="76">
        <f>EFEITO!$N$879*EFEITO!$AA$610</f>
        <v>1697704.2200005478</v>
      </c>
      <c r="M879" s="76">
        <f>$J$879-EFEITO!$K$879*EFEITO!$Y$879</f>
        <v>0</v>
      </c>
      <c r="N879" s="76">
        <f ca="1">$K$879-EFEITO!$M$879*EFEITO!$Z$879</f>
        <v>1439632.3503505476</v>
      </c>
      <c r="O879" s="76">
        <f>$L$879-EFEITO!$O$879*EFEITO!$AA$879</f>
        <v>1059367.4332803418</v>
      </c>
      <c r="P879" s="57"/>
      <c r="Q879" s="57"/>
      <c r="R879" s="57"/>
      <c r="S879" s="57"/>
      <c r="T879" s="57"/>
      <c r="U879" s="57"/>
      <c r="V879" s="57"/>
      <c r="W879" s="57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53" t="s">
        <v>27</v>
      </c>
      <c r="B880" s="53" t="s">
        <v>43</v>
      </c>
      <c r="C880" s="53" t="s">
        <v>23</v>
      </c>
      <c r="D880" s="53" t="s">
        <v>44</v>
      </c>
      <c r="E880" s="53" t="s">
        <v>52</v>
      </c>
      <c r="F880" s="53" t="s">
        <v>54</v>
      </c>
      <c r="G880" s="53" t="s">
        <v>25</v>
      </c>
      <c r="H880" s="53" t="s">
        <v>25</v>
      </c>
      <c r="I880" s="75">
        <v>44652</v>
      </c>
      <c r="J880" s="76">
        <f>EFEITO!$J$880*EFEITO!$Y$610</f>
        <v>0</v>
      </c>
      <c r="K880" s="76">
        <f ca="1">EFEITO!$L$880*EFEITO!$Z$610</f>
        <v>-457.84767404238721</v>
      </c>
      <c r="L880" s="76">
        <f>EFEITO!$N$880*EFEITO!$AA$610</f>
        <v>-336.91165328811542</v>
      </c>
      <c r="M880" s="76">
        <f>$J$880-EFEITO!$K$880*EFEITO!$Y$880</f>
        <v>0</v>
      </c>
      <c r="N880" s="76">
        <f ca="1">$K$880-EFEITO!$M$880*EFEITO!$Z$880</f>
        <v>-285.6969486024496</v>
      </c>
      <c r="O880" s="76">
        <f>$L$880-EFEITO!$O$880*EFEITO!$AA$880</f>
        <v>-210.232871651784</v>
      </c>
      <c r="P880" s="57"/>
      <c r="Q880" s="57"/>
      <c r="R880" s="57"/>
      <c r="S880" s="57"/>
      <c r="T880" s="57"/>
      <c r="U880" s="57"/>
      <c r="V880" s="57"/>
      <c r="W880" s="57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53" t="s">
        <v>28</v>
      </c>
      <c r="B881" s="53" t="s">
        <v>43</v>
      </c>
      <c r="C881" s="53" t="s">
        <v>23</v>
      </c>
      <c r="D881" s="53" t="s">
        <v>44</v>
      </c>
      <c r="E881" s="53" t="s">
        <v>52</v>
      </c>
      <c r="F881" s="53" t="s">
        <v>54</v>
      </c>
      <c r="G881" s="53" t="s">
        <v>25</v>
      </c>
      <c r="H881" s="53" t="s">
        <v>25</v>
      </c>
      <c r="I881" s="75">
        <v>44652</v>
      </c>
      <c r="J881" s="76">
        <f>EFEITO!$J$881*EFEITO!$Y$610</f>
        <v>0</v>
      </c>
      <c r="K881" s="76">
        <f ca="1">EFEITO!$L$881*EFEITO!$Z$610</f>
        <v>26559.078322441728</v>
      </c>
      <c r="L881" s="76">
        <f>EFEITO!$N$881*EFEITO!$AA$610</f>
        <v>19543.755477490937</v>
      </c>
      <c r="M881" s="76">
        <f>$J$881-EFEITO!$K$881*EFEITO!$Y$881</f>
        <v>0</v>
      </c>
      <c r="N881" s="76">
        <f ca="1">$K$881-EFEITO!$M$881*EFEITO!$Z$881</f>
        <v>16572.864873203638</v>
      </c>
      <c r="O881" s="76">
        <f>$L$881-EFEITO!$O$881*EFEITO!$AA$881</f>
        <v>12195.303417954345</v>
      </c>
      <c r="P881" s="57"/>
      <c r="Q881" s="57"/>
      <c r="R881" s="57"/>
      <c r="S881" s="57"/>
      <c r="T881" s="57"/>
      <c r="U881" s="57"/>
      <c r="V881" s="57"/>
      <c r="W881" s="57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53" t="s">
        <v>21</v>
      </c>
      <c r="B882" s="53" t="s">
        <v>43</v>
      </c>
      <c r="C882" s="53" t="s">
        <v>23</v>
      </c>
      <c r="D882" s="53" t="s">
        <v>44</v>
      </c>
      <c r="E882" s="53" t="s">
        <v>52</v>
      </c>
      <c r="F882" s="53" t="s">
        <v>54</v>
      </c>
      <c r="G882" s="53" t="s">
        <v>25</v>
      </c>
      <c r="H882" s="53" t="s">
        <v>25</v>
      </c>
      <c r="I882" s="75">
        <v>44682</v>
      </c>
      <c r="J882" s="76">
        <f>EFEITO!$J$882*EFEITO!$Y$610</f>
        <v>0</v>
      </c>
      <c r="K882" s="76">
        <f ca="1">EFEITO!$L$882*EFEITO!$Z$610</f>
        <v>3644657.4943361455</v>
      </c>
      <c r="L882" s="76">
        <f>EFEITO!$N$882*EFEITO!$AA$610</f>
        <v>2681956.5801092838</v>
      </c>
      <c r="M882" s="76">
        <f>$J$882-EFEITO!$K$882*EFEITO!$Y$882</f>
        <v>0</v>
      </c>
      <c r="N882" s="76">
        <f ca="1">$K$882-EFEITO!$M$882*EFEITO!$Z$882</f>
        <v>2274266.276465755</v>
      </c>
      <c r="O882" s="76">
        <f>$L$882-EFEITO!$O$882*EFEITO!$AA$882</f>
        <v>1673540.9059881929</v>
      </c>
      <c r="P882" s="57"/>
      <c r="Q882" s="57"/>
      <c r="R882" s="57"/>
      <c r="S882" s="57"/>
      <c r="T882" s="57"/>
      <c r="U882" s="57"/>
      <c r="V882" s="57"/>
      <c r="W882" s="57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53" t="s">
        <v>27</v>
      </c>
      <c r="B883" s="53" t="s">
        <v>43</v>
      </c>
      <c r="C883" s="53" t="s">
        <v>23</v>
      </c>
      <c r="D883" s="53" t="s">
        <v>44</v>
      </c>
      <c r="E883" s="53" t="s">
        <v>52</v>
      </c>
      <c r="F883" s="53" t="s">
        <v>54</v>
      </c>
      <c r="G883" s="53" t="s">
        <v>25</v>
      </c>
      <c r="H883" s="53" t="s">
        <v>25</v>
      </c>
      <c r="I883" s="75">
        <v>44682</v>
      </c>
      <c r="J883" s="76">
        <f>EFEITO!$J$883*EFEITO!$Y$610</f>
        <v>0</v>
      </c>
      <c r="K883" s="76">
        <f ca="1">EFEITO!$L$883*EFEITO!$Z$610</f>
        <v>-259.5774562234617</v>
      </c>
      <c r="L883" s="76">
        <f>EFEITO!$N$883*EFEITO!$AA$610</f>
        <v>-191.0125897559401</v>
      </c>
      <c r="M883" s="76">
        <f>$J$883-EFEITO!$K$883*EFEITO!$Y$883</f>
        <v>0</v>
      </c>
      <c r="N883" s="76">
        <f ca="1">$K$883-EFEITO!$M$883*EFEITO!$Z$883</f>
        <v>-193.6966978339471</v>
      </c>
      <c r="O883" s="76">
        <f>$L$883-EFEITO!$O$883*EFEITO!$AA$883</f>
        <v>-142.5335944758825</v>
      </c>
      <c r="P883" s="57"/>
      <c r="Q883" s="57"/>
      <c r="R883" s="57"/>
      <c r="S883" s="57"/>
      <c r="T883" s="57"/>
      <c r="U883" s="57"/>
      <c r="V883" s="57"/>
      <c r="W883" s="57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53" t="s">
        <v>28</v>
      </c>
      <c r="B884" s="53" t="s">
        <v>43</v>
      </c>
      <c r="C884" s="53" t="s">
        <v>23</v>
      </c>
      <c r="D884" s="53" t="s">
        <v>44</v>
      </c>
      <c r="E884" s="53" t="s">
        <v>52</v>
      </c>
      <c r="F884" s="53" t="s">
        <v>54</v>
      </c>
      <c r="G884" s="53" t="s">
        <v>25</v>
      </c>
      <c r="H884" s="53" t="s">
        <v>25</v>
      </c>
      <c r="I884" s="75">
        <v>44682</v>
      </c>
      <c r="J884" s="76">
        <f>EFEITO!$J$884*EFEITO!$Y$610</f>
        <v>0</v>
      </c>
      <c r="K884" s="76">
        <f ca="1">EFEITO!$L$884*EFEITO!$Z$610</f>
        <v>55457.832175768628</v>
      </c>
      <c r="L884" s="76">
        <f>EFEITO!$N$884*EFEITO!$AA$610</f>
        <v>40809.183895478884</v>
      </c>
      <c r="M884" s="76">
        <f>$J$884-EFEITO!$K$884*EFEITO!$Y$884</f>
        <v>0</v>
      </c>
      <c r="N884" s="76">
        <f ca="1">$K$884-EFEITO!$M$884*EFEITO!$Z$884</f>
        <v>34605.687277679623</v>
      </c>
      <c r="O884" s="76">
        <f>$L$884-EFEITO!$O$884*EFEITO!$AA$884</f>
        <v>25464.930750778825</v>
      </c>
      <c r="P884" s="57"/>
      <c r="Q884" s="57"/>
      <c r="R884" s="57"/>
      <c r="S884" s="57"/>
      <c r="T884" s="57"/>
      <c r="U884" s="57"/>
      <c r="V884" s="57"/>
      <c r="W884" s="57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53" t="s">
        <v>28</v>
      </c>
      <c r="B885" s="53" t="s">
        <v>43</v>
      </c>
      <c r="C885" s="53" t="s">
        <v>23</v>
      </c>
      <c r="D885" s="53" t="s">
        <v>44</v>
      </c>
      <c r="E885" s="53" t="s">
        <v>52</v>
      </c>
      <c r="F885" s="53" t="s">
        <v>54</v>
      </c>
      <c r="G885" s="53" t="s">
        <v>25</v>
      </c>
      <c r="H885" s="53" t="s">
        <v>25</v>
      </c>
      <c r="I885" s="75">
        <v>44682</v>
      </c>
      <c r="J885" s="76">
        <f>EFEITO!$J$885*EFEITO!$Y$610</f>
        <v>0</v>
      </c>
      <c r="K885" s="76">
        <f ca="1">EFEITO!$L$885*EFEITO!$Z$610</f>
        <v>56.524404202763861</v>
      </c>
      <c r="L885" s="76">
        <f>EFEITO!$N$885*EFEITO!$AA$610</f>
        <v>41.594031270137712</v>
      </c>
      <c r="M885" s="76">
        <f>$J$885-EFEITO!$K$885*EFEITO!$Y$885</f>
        <v>0</v>
      </c>
      <c r="N885" s="76">
        <f ca="1">$K$885-EFEITO!$M$885*EFEITO!$Z$885</f>
        <v>42.178510416102398</v>
      </c>
      <c r="O885" s="76">
        <f>$L$885-EFEITO!$O$885*EFEITO!$AA$885</f>
        <v>31.037466133776761</v>
      </c>
      <c r="P885" s="57"/>
      <c r="Q885" s="57"/>
      <c r="R885" s="57"/>
      <c r="S885" s="57"/>
      <c r="T885" s="57"/>
      <c r="U885" s="57"/>
      <c r="V885" s="57"/>
      <c r="W885" s="57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53" t="s">
        <v>21</v>
      </c>
      <c r="B886" s="53" t="s">
        <v>43</v>
      </c>
      <c r="C886" s="53" t="s">
        <v>23</v>
      </c>
      <c r="D886" s="53" t="s">
        <v>44</v>
      </c>
      <c r="E886" s="53" t="s">
        <v>52</v>
      </c>
      <c r="F886" s="53" t="s">
        <v>54</v>
      </c>
      <c r="G886" s="53" t="s">
        <v>25</v>
      </c>
      <c r="H886" s="53" t="s">
        <v>25</v>
      </c>
      <c r="I886" s="75">
        <v>44713</v>
      </c>
      <c r="J886" s="76">
        <f>EFEITO!$J$886*EFEITO!$Y$610</f>
        <v>0</v>
      </c>
      <c r="K886" s="76">
        <f ca="1">EFEITO!$L$886*EFEITO!$Z$610</f>
        <v>2644006.4015377262</v>
      </c>
      <c r="L886" s="76">
        <f>EFEITO!$N$886*EFEITO!$AA$610</f>
        <v>1945617.7644881229</v>
      </c>
      <c r="M886" s="76">
        <f>$J$886-EFEITO!$K$886*EFEITO!$Y$886</f>
        <v>0</v>
      </c>
      <c r="N886" s="76">
        <f ca="1">$K$886-EFEITO!$M$886*EFEITO!$Z$886</f>
        <v>1649859.9945595411</v>
      </c>
      <c r="O886" s="76">
        <f>$L$886-EFEITO!$O$886*EFEITO!$AA$886</f>
        <v>1214065.4850405888</v>
      </c>
      <c r="P886" s="57"/>
      <c r="Q886" s="57"/>
      <c r="R886" s="57"/>
      <c r="S886" s="57"/>
      <c r="T886" s="57"/>
      <c r="U886" s="57"/>
      <c r="V886" s="57"/>
      <c r="W886" s="57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53" t="s">
        <v>27</v>
      </c>
      <c r="B887" s="53" t="s">
        <v>43</v>
      </c>
      <c r="C887" s="53" t="s">
        <v>23</v>
      </c>
      <c r="D887" s="53" t="s">
        <v>44</v>
      </c>
      <c r="E887" s="53" t="s">
        <v>52</v>
      </c>
      <c r="F887" s="53" t="s">
        <v>54</v>
      </c>
      <c r="G887" s="53" t="s">
        <v>25</v>
      </c>
      <c r="H887" s="53" t="s">
        <v>25</v>
      </c>
      <c r="I887" s="75">
        <v>44713</v>
      </c>
      <c r="J887" s="76">
        <f>EFEITO!$J$887*EFEITO!$Y$610</f>
        <v>0</v>
      </c>
      <c r="K887" s="76">
        <f ca="1">EFEITO!$L$887*EFEITO!$Z$610</f>
        <v>1292.2348406970323</v>
      </c>
      <c r="L887" s="76">
        <f>EFEITO!$N$887*EFEITO!$AA$610</f>
        <v>950.90354565268672</v>
      </c>
      <c r="M887" s="76">
        <f>$J$887-EFEITO!$K$887*EFEITO!$Y$887</f>
        <v>0</v>
      </c>
      <c r="N887" s="76">
        <f ca="1">$K$887-EFEITO!$M$887*EFEITO!$Z$887</f>
        <v>964.26563812812549</v>
      </c>
      <c r="O887" s="76">
        <f>$L$887-EFEITO!$O$887*EFEITO!$AA$887</f>
        <v>709.56422576603484</v>
      </c>
      <c r="P887" s="57"/>
      <c r="Q887" s="57"/>
      <c r="R887" s="57"/>
      <c r="S887" s="57"/>
      <c r="T887" s="57"/>
      <c r="U887" s="57"/>
      <c r="V887" s="57"/>
      <c r="W887" s="57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53" t="s">
        <v>28</v>
      </c>
      <c r="B888" s="53" t="s">
        <v>43</v>
      </c>
      <c r="C888" s="53" t="s">
        <v>23</v>
      </c>
      <c r="D888" s="53" t="s">
        <v>44</v>
      </c>
      <c r="E888" s="53" t="s">
        <v>52</v>
      </c>
      <c r="F888" s="53" t="s">
        <v>54</v>
      </c>
      <c r="G888" s="53" t="s">
        <v>25</v>
      </c>
      <c r="H888" s="53" t="s">
        <v>25</v>
      </c>
      <c r="I888" s="75">
        <v>44713</v>
      </c>
      <c r="J888" s="76">
        <f>EFEITO!$J$888*EFEITO!$Y$610</f>
        <v>0</v>
      </c>
      <c r="K888" s="76">
        <f ca="1">EFEITO!$L$888*EFEITO!$Z$610</f>
        <v>32847.200888444582</v>
      </c>
      <c r="L888" s="76">
        <f>EFEITO!$N$888*EFEITO!$AA$610</f>
        <v>24170.931479250412</v>
      </c>
      <c r="M888" s="76">
        <f>$J$888-EFEITO!$K$888*EFEITO!$Y$888</f>
        <v>0</v>
      </c>
      <c r="N888" s="76">
        <f ca="1">$K$888-EFEITO!$M$888*EFEITO!$Z$888</f>
        <v>20496.653354389418</v>
      </c>
      <c r="O888" s="76">
        <f>$L$888-EFEITO!$O$888*EFEITO!$AA$888</f>
        <v>15082.661243052258</v>
      </c>
      <c r="P888" s="57"/>
      <c r="Q888" s="57"/>
      <c r="R888" s="57"/>
      <c r="S888" s="57"/>
      <c r="T888" s="57"/>
      <c r="U888" s="57"/>
      <c r="V888" s="57"/>
      <c r="W888" s="57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53" t="s">
        <v>21</v>
      </c>
      <c r="B889" s="53" t="s">
        <v>43</v>
      </c>
      <c r="C889" s="53" t="s">
        <v>23</v>
      </c>
      <c r="D889" s="53" t="s">
        <v>44</v>
      </c>
      <c r="E889" s="53" t="s">
        <v>52</v>
      </c>
      <c r="F889" s="53" t="s">
        <v>54</v>
      </c>
      <c r="G889" s="53" t="s">
        <v>25</v>
      </c>
      <c r="H889" s="53" t="s">
        <v>25</v>
      </c>
      <c r="I889" s="75">
        <v>44743</v>
      </c>
      <c r="J889" s="76">
        <f>EFEITO!$J$889*EFEITO!$Y$610</f>
        <v>0</v>
      </c>
      <c r="K889" s="76">
        <f ca="1">EFEITO!$L$889*EFEITO!$Z$610</f>
        <v>3192990.9812948853</v>
      </c>
      <c r="L889" s="76">
        <f>EFEITO!$N$889*EFEITO!$AA$610</f>
        <v>2349593.3941176017</v>
      </c>
      <c r="M889" s="76">
        <f>$J$889-EFEITO!$K$889*EFEITO!$Y$889</f>
        <v>0</v>
      </c>
      <c r="N889" s="76">
        <f ca="1">$K$889-EFEITO!$M$889*EFEITO!$Z$889</f>
        <v>1992426.3723280085</v>
      </c>
      <c r="O889" s="76">
        <f>$L$889-EFEITO!$O$889*EFEITO!$AA$889</f>
        <v>1466146.2779293836</v>
      </c>
      <c r="P889" s="57"/>
      <c r="Q889" s="57"/>
      <c r="R889" s="57"/>
      <c r="S889" s="57"/>
      <c r="T889" s="57"/>
      <c r="U889" s="57"/>
      <c r="V889" s="57"/>
      <c r="W889" s="57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53" t="s">
        <v>27</v>
      </c>
      <c r="B890" s="53" t="s">
        <v>43</v>
      </c>
      <c r="C890" s="53" t="s">
        <v>23</v>
      </c>
      <c r="D890" s="53" t="s">
        <v>44</v>
      </c>
      <c r="E890" s="53" t="s">
        <v>52</v>
      </c>
      <c r="F890" s="53" t="s">
        <v>54</v>
      </c>
      <c r="G890" s="53" t="s">
        <v>25</v>
      </c>
      <c r="H890" s="53" t="s">
        <v>25</v>
      </c>
      <c r="I890" s="75">
        <v>44743</v>
      </c>
      <c r="J890" s="76">
        <f>EFEITO!$J$890*EFEITO!$Y$610</f>
        <v>0</v>
      </c>
      <c r="K890" s="76">
        <f ca="1">EFEITO!$L$890*EFEITO!$Z$610</f>
        <v>4661.9589374002617</v>
      </c>
      <c r="L890" s="76">
        <f>EFEITO!$N$890*EFEITO!$AA$610</f>
        <v>3430.5477175262808</v>
      </c>
      <c r="M890" s="76">
        <f>$J$890-EFEITO!$K$890*EFEITO!$Y$890</f>
        <v>0</v>
      </c>
      <c r="N890" s="76">
        <f ca="1">$K$890-EFEITO!$M$890*EFEITO!$Z$890</f>
        <v>3478.7537590880752</v>
      </c>
      <c r="O890" s="76">
        <f>$L$890-EFEITO!$O$890*EFEITO!$AA$890</f>
        <v>2559.8747068181106</v>
      </c>
      <c r="P890" s="57"/>
      <c r="Q890" s="57"/>
      <c r="R890" s="57"/>
      <c r="S890" s="57"/>
      <c r="T890" s="57"/>
      <c r="U890" s="57"/>
      <c r="V890" s="57"/>
      <c r="W890" s="57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53" t="s">
        <v>28</v>
      </c>
      <c r="B891" s="53" t="s">
        <v>43</v>
      </c>
      <c r="C891" s="53" t="s">
        <v>23</v>
      </c>
      <c r="D891" s="53" t="s">
        <v>44</v>
      </c>
      <c r="E891" s="53" t="s">
        <v>52</v>
      </c>
      <c r="F891" s="53" t="s">
        <v>54</v>
      </c>
      <c r="G891" s="53" t="s">
        <v>25</v>
      </c>
      <c r="H891" s="53" t="s">
        <v>25</v>
      </c>
      <c r="I891" s="75">
        <v>44743</v>
      </c>
      <c r="J891" s="76">
        <f>EFEITO!$J$891*EFEITO!$Y$610</f>
        <v>0</v>
      </c>
      <c r="K891" s="76">
        <f ca="1">EFEITO!$L$891*EFEITO!$Z$610</f>
        <v>73042.139520139215</v>
      </c>
      <c r="L891" s="76">
        <f>EFEITO!$N$891*EFEITO!$AA$610</f>
        <v>53748.767069532034</v>
      </c>
      <c r="M891" s="76">
        <f>$J$891-EFEITO!$K$891*EFEITO!$Y$891</f>
        <v>0</v>
      </c>
      <c r="N891" s="76">
        <f ca="1">$K$891-EFEITO!$M$891*EFEITO!$Z$891</f>
        <v>45578.295060566874</v>
      </c>
      <c r="O891" s="76">
        <f>$L$891-EFEITO!$O$891*EFEITO!$AA$891</f>
        <v>33539.230651387988</v>
      </c>
      <c r="P891" s="57"/>
      <c r="Q891" s="57"/>
      <c r="R891" s="57"/>
      <c r="S891" s="57"/>
      <c r="T891" s="57"/>
      <c r="U891" s="57"/>
      <c r="V891" s="57"/>
      <c r="W891" s="57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53" t="s">
        <v>56</v>
      </c>
      <c r="B892" s="53" t="s">
        <v>43</v>
      </c>
      <c r="C892" s="53" t="s">
        <v>23</v>
      </c>
      <c r="D892" s="53" t="s">
        <v>44</v>
      </c>
      <c r="E892" s="53" t="s">
        <v>52</v>
      </c>
      <c r="F892" s="53" t="s">
        <v>54</v>
      </c>
      <c r="G892" s="53" t="s">
        <v>25</v>
      </c>
      <c r="H892" s="53" t="s">
        <v>25</v>
      </c>
      <c r="I892" s="75">
        <v>44774</v>
      </c>
      <c r="J892" s="76">
        <f>EFEITO!$J$892*EFEITO!$Y$610</f>
        <v>0</v>
      </c>
      <c r="K892" s="76">
        <f ca="1">EFEITO!$L$892*EFEITO!$Z$610</f>
        <v>3192990.9812948853</v>
      </c>
      <c r="L892" s="76">
        <f>EFEITO!$N$892*EFEITO!$AA$610</f>
        <v>2349593.3941176017</v>
      </c>
      <c r="M892" s="76">
        <f>$J$892-EFEITO!$K$892*EFEITO!$Y$892</f>
        <v>0</v>
      </c>
      <c r="N892" s="76">
        <f ca="1">$K$892-EFEITO!$M$892*EFEITO!$Z$892</f>
        <v>1992426.3723280085</v>
      </c>
      <c r="O892" s="76">
        <f>$L$892-EFEITO!$O$892*EFEITO!$AA$892</f>
        <v>1466146.2779293836</v>
      </c>
      <c r="P892" s="57"/>
      <c r="Q892" s="57"/>
      <c r="R892" s="57"/>
      <c r="S892" s="57"/>
      <c r="T892" s="57"/>
      <c r="U892" s="57"/>
      <c r="V892" s="57"/>
      <c r="W892" s="57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53" t="s">
        <v>56</v>
      </c>
      <c r="B893" s="53" t="s">
        <v>43</v>
      </c>
      <c r="C893" s="53" t="s">
        <v>23</v>
      </c>
      <c r="D893" s="53" t="s">
        <v>44</v>
      </c>
      <c r="E893" s="53" t="s">
        <v>52</v>
      </c>
      <c r="F893" s="53" t="s">
        <v>54</v>
      </c>
      <c r="G893" s="53" t="s">
        <v>25</v>
      </c>
      <c r="H893" s="53" t="s">
        <v>25</v>
      </c>
      <c r="I893" s="75">
        <v>44774</v>
      </c>
      <c r="J893" s="76">
        <f>EFEITO!$J$893*EFEITO!$Y$610</f>
        <v>0</v>
      </c>
      <c r="K893" s="76">
        <f ca="1">EFEITO!$L$893*EFEITO!$Z$610</f>
        <v>4661.9589374002617</v>
      </c>
      <c r="L893" s="76">
        <f>EFEITO!$N$893*EFEITO!$AA$610</f>
        <v>3430.5477175262808</v>
      </c>
      <c r="M893" s="76">
        <f>$J$893-EFEITO!$K$893*EFEITO!$Y$893</f>
        <v>0</v>
      </c>
      <c r="N893" s="76">
        <f ca="1">$K$893-EFEITO!$M$893*EFEITO!$Z$893</f>
        <v>3478.7537590880752</v>
      </c>
      <c r="O893" s="76">
        <f>$L$893-EFEITO!$O$893*EFEITO!$AA$893</f>
        <v>2559.8747068181106</v>
      </c>
      <c r="P893" s="57"/>
      <c r="Q893" s="57"/>
      <c r="R893" s="57"/>
      <c r="S893" s="57"/>
      <c r="T893" s="57"/>
      <c r="U893" s="57"/>
      <c r="V893" s="57"/>
      <c r="W893" s="57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53" t="s">
        <v>56</v>
      </c>
      <c r="B894" s="53" t="s">
        <v>43</v>
      </c>
      <c r="C894" s="53" t="s">
        <v>23</v>
      </c>
      <c r="D894" s="53" t="s">
        <v>44</v>
      </c>
      <c r="E894" s="53" t="s">
        <v>52</v>
      </c>
      <c r="F894" s="53" t="s">
        <v>54</v>
      </c>
      <c r="G894" s="53" t="s">
        <v>25</v>
      </c>
      <c r="H894" s="53" t="s">
        <v>25</v>
      </c>
      <c r="I894" s="75">
        <v>44774</v>
      </c>
      <c r="J894" s="76">
        <f>EFEITO!$J$894*EFEITO!$Y$610</f>
        <v>0</v>
      </c>
      <c r="K894" s="76">
        <f ca="1">EFEITO!$L$894*EFEITO!$Z$610</f>
        <v>73042.139520139215</v>
      </c>
      <c r="L894" s="76">
        <f>EFEITO!$N$894*EFEITO!$AA$610</f>
        <v>53748.767069532034</v>
      </c>
      <c r="M894" s="76">
        <f>$J$894-EFEITO!$K$894*EFEITO!$Y$894</f>
        <v>0</v>
      </c>
      <c r="N894" s="76">
        <f ca="1">$K$894-EFEITO!$M$894*EFEITO!$Z$894</f>
        <v>45578.295060566874</v>
      </c>
      <c r="O894" s="76">
        <f>$L$894-EFEITO!$O$894*EFEITO!$AA$894</f>
        <v>33539.230651387988</v>
      </c>
      <c r="P894" s="57"/>
      <c r="Q894" s="57"/>
      <c r="R894" s="57"/>
      <c r="S894" s="57"/>
      <c r="T894" s="57"/>
      <c r="U894" s="57"/>
      <c r="V894" s="57"/>
      <c r="W894" s="57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53" t="s">
        <v>21</v>
      </c>
      <c r="B895" s="53" t="s">
        <v>43</v>
      </c>
      <c r="C895" s="53" t="s">
        <v>23</v>
      </c>
      <c r="D895" s="53" t="s">
        <v>44</v>
      </c>
      <c r="E895" s="53" t="s">
        <v>25</v>
      </c>
      <c r="F895" s="53" t="s">
        <v>25</v>
      </c>
      <c r="G895" s="53" t="s">
        <v>25</v>
      </c>
      <c r="H895" s="53" t="s">
        <v>25</v>
      </c>
      <c r="I895" s="75">
        <v>44440</v>
      </c>
      <c r="J895" s="76">
        <f>EFEITO!$J$895*EFEITO!$Y$610</f>
        <v>0</v>
      </c>
      <c r="K895" s="76">
        <f ca="1">EFEITO!$L$895*EFEITO!$Z$610</f>
        <v>3089822.6387440003</v>
      </c>
      <c r="L895" s="76">
        <f>EFEITO!$N$895*EFEITO!$AA$610</f>
        <v>2273675.9682433461</v>
      </c>
      <c r="M895" s="76">
        <f>$J$895-EFEITO!$K$895*EFEITO!$Y$895</f>
        <v>0</v>
      </c>
      <c r="N895" s="76">
        <f ca="1">$K$895-EFEITO!$M$895*EFEITO!$Z$895</f>
        <v>185389.35832463996</v>
      </c>
      <c r="O895" s="76">
        <f>$L$895-EFEITO!$O$895*EFEITO!$AA$895</f>
        <v>136420.55809460068</v>
      </c>
      <c r="P895" s="57"/>
      <c r="Q895" s="57"/>
      <c r="R895" s="57"/>
      <c r="S895" s="57"/>
      <c r="T895" s="57"/>
      <c r="U895" s="57"/>
      <c r="V895" s="57"/>
      <c r="W895" s="57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53" t="s">
        <v>27</v>
      </c>
      <c r="B896" s="53" t="s">
        <v>43</v>
      </c>
      <c r="C896" s="53" t="s">
        <v>23</v>
      </c>
      <c r="D896" s="53" t="s">
        <v>44</v>
      </c>
      <c r="E896" s="53" t="s">
        <v>25</v>
      </c>
      <c r="F896" s="53" t="s">
        <v>25</v>
      </c>
      <c r="G896" s="53" t="s">
        <v>25</v>
      </c>
      <c r="H896" s="53" t="s">
        <v>25</v>
      </c>
      <c r="I896" s="75">
        <v>44440</v>
      </c>
      <c r="J896" s="76">
        <f>EFEITO!$J$896*EFEITO!$Y$610</f>
        <v>0</v>
      </c>
      <c r="K896" s="76">
        <f ca="1">EFEITO!$L$896*EFEITO!$Z$610</f>
        <v>-848.30086615070991</v>
      </c>
      <c r="L896" s="76">
        <f>EFEITO!$N$896*EFEITO!$AA$610</f>
        <v>-624.23042313875908</v>
      </c>
      <c r="M896" s="76">
        <f>$J$896-EFEITO!$K$896*EFEITO!$Y$896</f>
        <v>0</v>
      </c>
      <c r="N896" s="76">
        <f ca="1">$K$896-EFEITO!$M$896*EFEITO!$Z$896</f>
        <v>-50.898051969042626</v>
      </c>
      <c r="O896" s="76">
        <f>$L$896-EFEITO!$O$896*EFEITO!$AA$896</f>
        <v>-37.453825388325527</v>
      </c>
      <c r="P896" s="57"/>
      <c r="Q896" s="57"/>
      <c r="R896" s="57"/>
      <c r="S896" s="57"/>
      <c r="T896" s="57"/>
      <c r="U896" s="57"/>
      <c r="V896" s="57"/>
      <c r="W896" s="57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53" t="s">
        <v>28</v>
      </c>
      <c r="B897" s="53" t="s">
        <v>43</v>
      </c>
      <c r="C897" s="53" t="s">
        <v>23</v>
      </c>
      <c r="D897" s="53" t="s">
        <v>44</v>
      </c>
      <c r="E897" s="53" t="s">
        <v>25</v>
      </c>
      <c r="F897" s="53" t="s">
        <v>25</v>
      </c>
      <c r="G897" s="53" t="s">
        <v>25</v>
      </c>
      <c r="H897" s="53" t="s">
        <v>25</v>
      </c>
      <c r="I897" s="75">
        <v>44440</v>
      </c>
      <c r="J897" s="76">
        <f>EFEITO!$J$897*EFEITO!$Y$610</f>
        <v>0</v>
      </c>
      <c r="K897" s="76">
        <f ca="1">EFEITO!$L$897*EFEITO!$Z$610</f>
        <v>21594.496421002055</v>
      </c>
      <c r="L897" s="76">
        <f>EFEITO!$N$897*EFEITO!$AA$610</f>
        <v>15890.519715626071</v>
      </c>
      <c r="M897" s="76">
        <f>$J$897-EFEITO!$K$897*EFEITO!$Y$897</f>
        <v>0</v>
      </c>
      <c r="N897" s="76">
        <f ca="1">$K$897-EFEITO!$M$897*EFEITO!$Z$897</f>
        <v>1295.6697852601246</v>
      </c>
      <c r="O897" s="76">
        <f>$L$897-EFEITO!$O$897*EFEITO!$AA$897</f>
        <v>953.43118293756379</v>
      </c>
      <c r="P897" s="57"/>
      <c r="Q897" s="57"/>
      <c r="R897" s="57"/>
      <c r="S897" s="57"/>
      <c r="T897" s="57"/>
      <c r="U897" s="57"/>
      <c r="V897" s="57"/>
      <c r="W897" s="57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53" t="s">
        <v>21</v>
      </c>
      <c r="B898" s="53" t="s">
        <v>43</v>
      </c>
      <c r="C898" s="53" t="s">
        <v>23</v>
      </c>
      <c r="D898" s="53" t="s">
        <v>44</v>
      </c>
      <c r="E898" s="53" t="s">
        <v>25</v>
      </c>
      <c r="F898" s="53" t="s">
        <v>25</v>
      </c>
      <c r="G898" s="53" t="s">
        <v>25</v>
      </c>
      <c r="H898" s="53" t="s">
        <v>25</v>
      </c>
      <c r="I898" s="75">
        <v>44470</v>
      </c>
      <c r="J898" s="76">
        <f>EFEITO!$J$898*EFEITO!$Y$610</f>
        <v>0</v>
      </c>
      <c r="K898" s="76">
        <f ca="1">EFEITO!$L$898*EFEITO!$Z$610</f>
        <v>3197028.1281642905</v>
      </c>
      <c r="L898" s="76">
        <f>EFEITO!$N$898*EFEITO!$AA$610</f>
        <v>2352564.1678125495</v>
      </c>
      <c r="M898" s="76">
        <f>$J$898-EFEITO!$K$898*EFEITO!$Y$898</f>
        <v>0</v>
      </c>
      <c r="N898" s="76">
        <f ca="1">$K$898-EFEITO!$M$898*EFEITO!$Z$898</f>
        <v>191821.68768985756</v>
      </c>
      <c r="O898" s="76">
        <f>$L$898-EFEITO!$O$898*EFEITO!$AA$898</f>
        <v>141153.85006875312</v>
      </c>
      <c r="P898" s="57"/>
      <c r="Q898" s="57"/>
      <c r="R898" s="57"/>
      <c r="S898" s="57"/>
      <c r="T898" s="57"/>
      <c r="U898" s="57"/>
      <c r="V898" s="57"/>
      <c r="W898" s="57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53" t="s">
        <v>27</v>
      </c>
      <c r="B899" s="53" t="s">
        <v>43</v>
      </c>
      <c r="C899" s="53" t="s">
        <v>23</v>
      </c>
      <c r="D899" s="53" t="s">
        <v>44</v>
      </c>
      <c r="E899" s="53" t="s">
        <v>25</v>
      </c>
      <c r="F899" s="53" t="s">
        <v>25</v>
      </c>
      <c r="G899" s="53" t="s">
        <v>25</v>
      </c>
      <c r="H899" s="53" t="s">
        <v>25</v>
      </c>
      <c r="I899" s="75">
        <v>44470</v>
      </c>
      <c r="J899" s="76">
        <f>EFEITO!$J$899*EFEITO!$Y$610</f>
        <v>0</v>
      </c>
      <c r="K899" s="76">
        <f ca="1">EFEITO!$L$899*EFEITO!$Z$610</f>
        <v>-1109.1827317019279</v>
      </c>
      <c r="L899" s="76">
        <f>EFEITO!$N$899*EFEITO!$AA$610</f>
        <v>-816.20287515477924</v>
      </c>
      <c r="M899" s="76">
        <f>$J$899-EFEITO!$K$899*EFEITO!$Y$899</f>
        <v>0</v>
      </c>
      <c r="N899" s="76">
        <f ca="1">$K$899-EFEITO!$M$899*EFEITO!$Z$899</f>
        <v>-66.550963902115882</v>
      </c>
      <c r="O899" s="76">
        <f>$L$899-EFEITO!$O$899*EFEITO!$AA$899</f>
        <v>-48.972172509286679</v>
      </c>
      <c r="P899" s="57"/>
      <c r="Q899" s="57"/>
      <c r="R899" s="57"/>
      <c r="S899" s="57"/>
      <c r="T899" s="57"/>
      <c r="U899" s="57"/>
      <c r="V899" s="57"/>
      <c r="W899" s="57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53" t="s">
        <v>28</v>
      </c>
      <c r="B900" s="53" t="s">
        <v>43</v>
      </c>
      <c r="C900" s="53" t="s">
        <v>23</v>
      </c>
      <c r="D900" s="53" t="s">
        <v>44</v>
      </c>
      <c r="E900" s="53" t="s">
        <v>25</v>
      </c>
      <c r="F900" s="53" t="s">
        <v>25</v>
      </c>
      <c r="G900" s="53" t="s">
        <v>25</v>
      </c>
      <c r="H900" s="53" t="s">
        <v>25</v>
      </c>
      <c r="I900" s="75">
        <v>44470</v>
      </c>
      <c r="J900" s="76">
        <f>EFEITO!$J$900*EFEITO!$Y$610</f>
        <v>0</v>
      </c>
      <c r="K900" s="76">
        <f ca="1">EFEITO!$L$900*EFEITO!$Z$610</f>
        <v>25312.93261132541</v>
      </c>
      <c r="L900" s="76">
        <f>EFEITO!$N$900*EFEITO!$AA$610</f>
        <v>18626.767065027747</v>
      </c>
      <c r="M900" s="76">
        <f>$J$900-EFEITO!$K$900*EFEITO!$Y$900</f>
        <v>0</v>
      </c>
      <c r="N900" s="76">
        <f ca="1">$K$900-EFEITO!$M$900*EFEITO!$Z$900</f>
        <v>1518.7759566795248</v>
      </c>
      <c r="O900" s="76">
        <f>$L$900-EFEITO!$O$900*EFEITO!$AA$900</f>
        <v>1117.606023901666</v>
      </c>
      <c r="P900" s="57"/>
      <c r="Q900" s="57"/>
      <c r="R900" s="57"/>
      <c r="S900" s="57"/>
      <c r="T900" s="57"/>
      <c r="U900" s="57"/>
      <c r="V900" s="57"/>
      <c r="W900" s="57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53" t="s">
        <v>21</v>
      </c>
      <c r="B901" s="53" t="s">
        <v>43</v>
      </c>
      <c r="C901" s="53" t="s">
        <v>23</v>
      </c>
      <c r="D901" s="53" t="s">
        <v>44</v>
      </c>
      <c r="E901" s="53" t="s">
        <v>25</v>
      </c>
      <c r="F901" s="53" t="s">
        <v>25</v>
      </c>
      <c r="G901" s="53" t="s">
        <v>25</v>
      </c>
      <c r="H901" s="53" t="s">
        <v>25</v>
      </c>
      <c r="I901" s="75">
        <v>44501</v>
      </c>
      <c r="J901" s="76">
        <f>EFEITO!$J$901*EFEITO!$Y$610</f>
        <v>0</v>
      </c>
      <c r="K901" s="76">
        <f ca="1">EFEITO!$L$901*EFEITO!$Z$610</f>
        <v>2716407.2064717188</v>
      </c>
      <c r="L901" s="76">
        <f>EFEITO!$N$901*EFEITO!$AA$610</f>
        <v>1998894.599279782</v>
      </c>
      <c r="M901" s="76">
        <f>$J$901-EFEITO!$K$901*EFEITO!$Y$901</f>
        <v>0</v>
      </c>
      <c r="N901" s="76">
        <f ca="1">$K$901-EFEITO!$M$901*EFEITO!$Z$901</f>
        <v>162984.43238830334</v>
      </c>
      <c r="O901" s="76">
        <f>$L$901-EFEITO!$O$901*EFEITO!$AA$901</f>
        <v>119933.67595678684</v>
      </c>
      <c r="P901" s="57"/>
      <c r="Q901" s="57"/>
      <c r="R901" s="57"/>
      <c r="S901" s="57"/>
      <c r="T901" s="57"/>
      <c r="U901" s="57"/>
      <c r="V901" s="57"/>
      <c r="W901" s="57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53" t="s">
        <v>27</v>
      </c>
      <c r="B902" s="53" t="s">
        <v>43</v>
      </c>
      <c r="C902" s="53" t="s">
        <v>23</v>
      </c>
      <c r="D902" s="53" t="s">
        <v>44</v>
      </c>
      <c r="E902" s="53" t="s">
        <v>25</v>
      </c>
      <c r="F902" s="53" t="s">
        <v>25</v>
      </c>
      <c r="G902" s="53" t="s">
        <v>25</v>
      </c>
      <c r="H902" s="53" t="s">
        <v>25</v>
      </c>
      <c r="I902" s="75">
        <v>44501</v>
      </c>
      <c r="J902" s="76">
        <f>EFEITO!$J$902*EFEITO!$Y$610</f>
        <v>0</v>
      </c>
      <c r="K902" s="76">
        <f ca="1">EFEITO!$L$902*EFEITO!$Z$610</f>
        <v>-2240.975225084961</v>
      </c>
      <c r="L902" s="76">
        <f>EFEITO!$N$902*EFEITO!$AA$610</f>
        <v>-1649.0433628176136</v>
      </c>
      <c r="M902" s="76">
        <f>$J$902-EFEITO!$K$902*EFEITO!$Y$902</f>
        <v>0</v>
      </c>
      <c r="N902" s="76">
        <f ca="1">$K$902-EFEITO!$M$902*EFEITO!$Z$902</f>
        <v>-134.45851350509793</v>
      </c>
      <c r="O902" s="76">
        <f>$L$902-EFEITO!$O$902*EFEITO!$AA$902</f>
        <v>-98.942601769056864</v>
      </c>
      <c r="P902" s="57"/>
      <c r="Q902" s="57"/>
      <c r="R902" s="57"/>
      <c r="S902" s="57"/>
      <c r="T902" s="57"/>
      <c r="U902" s="57"/>
      <c r="V902" s="57"/>
      <c r="W902" s="57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53" t="s">
        <v>28</v>
      </c>
      <c r="B903" s="53" t="s">
        <v>43</v>
      </c>
      <c r="C903" s="53" t="s">
        <v>23</v>
      </c>
      <c r="D903" s="53" t="s">
        <v>44</v>
      </c>
      <c r="E903" s="53" t="s">
        <v>25</v>
      </c>
      <c r="F903" s="53" t="s">
        <v>25</v>
      </c>
      <c r="G903" s="53" t="s">
        <v>25</v>
      </c>
      <c r="H903" s="53" t="s">
        <v>25</v>
      </c>
      <c r="I903" s="75">
        <v>44501</v>
      </c>
      <c r="J903" s="76">
        <f>EFEITO!$J$903*EFEITO!$Y$610</f>
        <v>0</v>
      </c>
      <c r="K903" s="76">
        <f ca="1">EFEITO!$L$903*EFEITO!$Z$610</f>
        <v>22481.059960766943</v>
      </c>
      <c r="L903" s="76">
        <f>EFEITO!$N$903*EFEITO!$AA$610</f>
        <v>16542.906098393847</v>
      </c>
      <c r="M903" s="76">
        <f>$J$903-EFEITO!$K$903*EFEITO!$Y$903</f>
        <v>0</v>
      </c>
      <c r="N903" s="76">
        <f ca="1">$K$903-EFEITO!$M$903*EFEITO!$Z$903</f>
        <v>1348.8635976460173</v>
      </c>
      <c r="O903" s="76">
        <f>$L$903-EFEITO!$O$903*EFEITO!$AA$903</f>
        <v>992.57436590363068</v>
      </c>
      <c r="P903" s="57"/>
      <c r="Q903" s="57"/>
      <c r="R903" s="57"/>
      <c r="S903" s="57"/>
      <c r="T903" s="57"/>
      <c r="U903" s="57"/>
      <c r="V903" s="57"/>
      <c r="W903" s="57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53" t="s">
        <v>21</v>
      </c>
      <c r="B904" s="53" t="s">
        <v>43</v>
      </c>
      <c r="C904" s="53" t="s">
        <v>23</v>
      </c>
      <c r="D904" s="53" t="s">
        <v>44</v>
      </c>
      <c r="E904" s="53" t="s">
        <v>25</v>
      </c>
      <c r="F904" s="53" t="s">
        <v>25</v>
      </c>
      <c r="G904" s="53" t="s">
        <v>25</v>
      </c>
      <c r="H904" s="53" t="s">
        <v>25</v>
      </c>
      <c r="I904" s="75">
        <v>44531</v>
      </c>
      <c r="J904" s="76">
        <f>EFEITO!$J$904*EFEITO!$Y$610</f>
        <v>0</v>
      </c>
      <c r="K904" s="76">
        <f ca="1">EFEITO!$L$904*EFEITO!$Z$610</f>
        <v>2745558.580931521</v>
      </c>
      <c r="L904" s="76">
        <f>EFEITO!$N$904*EFEITO!$AA$610</f>
        <v>2020345.921022139</v>
      </c>
      <c r="M904" s="76">
        <f>$J$904-EFEITO!$K$904*EFEITO!$Y$904</f>
        <v>0</v>
      </c>
      <c r="N904" s="76">
        <f ca="1">$K$904-EFEITO!$M$904*EFEITO!$Z$904</f>
        <v>164733.51485589147</v>
      </c>
      <c r="O904" s="76">
        <f>$L$904-EFEITO!$O$904*EFEITO!$AA$904</f>
        <v>121220.7552613283</v>
      </c>
      <c r="P904" s="57"/>
      <c r="Q904" s="57"/>
      <c r="R904" s="57"/>
      <c r="S904" s="57"/>
      <c r="T904" s="57"/>
      <c r="U904" s="57"/>
      <c r="V904" s="57"/>
      <c r="W904" s="57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53" t="s">
        <v>27</v>
      </c>
      <c r="B905" s="53" t="s">
        <v>43</v>
      </c>
      <c r="C905" s="53" t="s">
        <v>23</v>
      </c>
      <c r="D905" s="53" t="s">
        <v>44</v>
      </c>
      <c r="E905" s="53" t="s">
        <v>25</v>
      </c>
      <c r="F905" s="53" t="s">
        <v>25</v>
      </c>
      <c r="G905" s="53" t="s">
        <v>25</v>
      </c>
      <c r="H905" s="53" t="s">
        <v>25</v>
      </c>
      <c r="I905" s="75">
        <v>44531</v>
      </c>
      <c r="J905" s="76">
        <f>EFEITO!$J$905*EFEITO!$Y$610</f>
        <v>0</v>
      </c>
      <c r="K905" s="76">
        <f ca="1">EFEITO!$L$905*EFEITO!$Z$610</f>
        <v>-1166.5767421231956</v>
      </c>
      <c r="L905" s="76">
        <f>EFEITO!$N$905*EFEITO!$AA$610</f>
        <v>-858.43681459830361</v>
      </c>
      <c r="M905" s="76">
        <f>$J$905-EFEITO!$K$905*EFEITO!$Y$905</f>
        <v>0</v>
      </c>
      <c r="N905" s="76">
        <f ca="1">$K$905-EFEITO!$M$905*EFEITO!$Z$905</f>
        <v>-69.994604527391857</v>
      </c>
      <c r="O905" s="76">
        <f>$L$905-EFEITO!$O$905*EFEITO!$AA$905</f>
        <v>-51.50620887589821</v>
      </c>
      <c r="P905" s="57"/>
      <c r="Q905" s="57"/>
      <c r="R905" s="57"/>
      <c r="S905" s="57"/>
      <c r="T905" s="57"/>
      <c r="U905" s="57"/>
      <c r="V905" s="57"/>
      <c r="W905" s="57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53" t="s">
        <v>28</v>
      </c>
      <c r="B906" s="53" t="s">
        <v>43</v>
      </c>
      <c r="C906" s="53" t="s">
        <v>23</v>
      </c>
      <c r="D906" s="53" t="s">
        <v>44</v>
      </c>
      <c r="E906" s="53" t="s">
        <v>25</v>
      </c>
      <c r="F906" s="53" t="s">
        <v>25</v>
      </c>
      <c r="G906" s="53" t="s">
        <v>25</v>
      </c>
      <c r="H906" s="53" t="s">
        <v>25</v>
      </c>
      <c r="I906" s="75">
        <v>44531</v>
      </c>
      <c r="J906" s="76">
        <f>EFEITO!$J$906*EFEITO!$Y$610</f>
        <v>0</v>
      </c>
      <c r="K906" s="76">
        <f ca="1">EFEITO!$L$906*EFEITO!$Z$610</f>
        <v>22160.175266138944</v>
      </c>
      <c r="L906" s="76">
        <f>EFEITO!$N$906*EFEITO!$AA$610</f>
        <v>16306.779982414144</v>
      </c>
      <c r="M906" s="76">
        <f>$J$906-EFEITO!$K$906*EFEITO!$Y$906</f>
        <v>0</v>
      </c>
      <c r="N906" s="76">
        <f ca="1">$K$906-EFEITO!$M$906*EFEITO!$Z$906</f>
        <v>1329.6105159683357</v>
      </c>
      <c r="O906" s="76">
        <f>$L$906-EFEITO!$O$906*EFEITO!$AA$906</f>
        <v>978.40679894484856</v>
      </c>
      <c r="P906" s="57"/>
      <c r="Q906" s="57"/>
      <c r="R906" s="57"/>
      <c r="S906" s="57"/>
      <c r="T906" s="57"/>
      <c r="U906" s="57"/>
      <c r="V906" s="57"/>
      <c r="W906" s="57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53" t="s">
        <v>21</v>
      </c>
      <c r="B907" s="53" t="s">
        <v>43</v>
      </c>
      <c r="C907" s="53" t="s">
        <v>23</v>
      </c>
      <c r="D907" s="53" t="s">
        <v>44</v>
      </c>
      <c r="E907" s="53" t="s">
        <v>25</v>
      </c>
      <c r="F907" s="53" t="s">
        <v>25</v>
      </c>
      <c r="G907" s="53" t="s">
        <v>25</v>
      </c>
      <c r="H907" s="53" t="s">
        <v>25</v>
      </c>
      <c r="I907" s="75">
        <v>44562</v>
      </c>
      <c r="J907" s="76">
        <f>EFEITO!$J$907*EFEITO!$Y$610</f>
        <v>0</v>
      </c>
      <c r="K907" s="76">
        <f ca="1">EFEITO!$L$907*EFEITO!$Z$610</f>
        <v>2875733.4142042678</v>
      </c>
      <c r="L907" s="76">
        <f>EFEITO!$N$907*EFEITO!$AA$610</f>
        <v>2116136.3351290929</v>
      </c>
      <c r="M907" s="76">
        <f>$J$907-EFEITO!$K$907*EFEITO!$Y$907</f>
        <v>0</v>
      </c>
      <c r="N907" s="76">
        <f ca="1">$K$907-EFEITO!$M$907*EFEITO!$Z$907</f>
        <v>172544.00485225627</v>
      </c>
      <c r="O907" s="76">
        <f>$L$907-EFEITO!$O$907*EFEITO!$AA$907</f>
        <v>126968.18010774581</v>
      </c>
      <c r="P907" s="57"/>
      <c r="Q907" s="57"/>
      <c r="R907" s="57"/>
      <c r="S907" s="57"/>
      <c r="T907" s="57"/>
      <c r="U907" s="57"/>
      <c r="V907" s="57"/>
      <c r="W907" s="57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53" t="s">
        <v>27</v>
      </c>
      <c r="B908" s="53" t="s">
        <v>43</v>
      </c>
      <c r="C908" s="53" t="s">
        <v>23</v>
      </c>
      <c r="D908" s="53" t="s">
        <v>44</v>
      </c>
      <c r="E908" s="53" t="s">
        <v>25</v>
      </c>
      <c r="F908" s="53" t="s">
        <v>25</v>
      </c>
      <c r="G908" s="53" t="s">
        <v>25</v>
      </c>
      <c r="H908" s="53" t="s">
        <v>25</v>
      </c>
      <c r="I908" s="75">
        <v>44562</v>
      </c>
      <c r="J908" s="76">
        <f>EFEITO!$J$908*EFEITO!$Y$610</f>
        <v>0</v>
      </c>
      <c r="K908" s="76">
        <f ca="1">EFEITO!$L$908*EFEITO!$Z$610</f>
        <v>-3957.5779004119745</v>
      </c>
      <c r="L908" s="76">
        <f>EFEITO!$N$908*EFEITO!$AA$610</f>
        <v>-2912.2220970830267</v>
      </c>
      <c r="M908" s="76">
        <f>$J$908-EFEITO!$K$908*EFEITO!$Y$908</f>
        <v>0</v>
      </c>
      <c r="N908" s="76">
        <f ca="1">$K$908-EFEITO!$M$908*EFEITO!$Z$908</f>
        <v>-237.45467402471877</v>
      </c>
      <c r="O908" s="76">
        <f>$L$908-EFEITO!$O$908*EFEITO!$AA$908</f>
        <v>-174.73332582498188</v>
      </c>
      <c r="P908" s="57"/>
      <c r="Q908" s="57"/>
      <c r="R908" s="57"/>
      <c r="S908" s="57"/>
      <c r="T908" s="57"/>
      <c r="U908" s="57"/>
      <c r="V908" s="57"/>
      <c r="W908" s="57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53" t="s">
        <v>28</v>
      </c>
      <c r="B909" s="53" t="s">
        <v>43</v>
      </c>
      <c r="C909" s="53" t="s">
        <v>23</v>
      </c>
      <c r="D909" s="53" t="s">
        <v>44</v>
      </c>
      <c r="E909" s="53" t="s">
        <v>25</v>
      </c>
      <c r="F909" s="53" t="s">
        <v>25</v>
      </c>
      <c r="G909" s="53" t="s">
        <v>25</v>
      </c>
      <c r="H909" s="53" t="s">
        <v>25</v>
      </c>
      <c r="I909" s="75">
        <v>44562</v>
      </c>
      <c r="J909" s="76">
        <f>EFEITO!$J$909*EFEITO!$Y$610</f>
        <v>0</v>
      </c>
      <c r="K909" s="76">
        <f ca="1">EFEITO!$L$909*EFEITO!$Z$610</f>
        <v>20900.985461745066</v>
      </c>
      <c r="L909" s="76">
        <f>EFEITO!$N$909*EFEITO!$AA$610</f>
        <v>15380.192947350151</v>
      </c>
      <c r="M909" s="76">
        <f>$J$909-EFEITO!$K$909*EFEITO!$Y$909</f>
        <v>0</v>
      </c>
      <c r="N909" s="76">
        <f ca="1">$K$909-EFEITO!$M$909*EFEITO!$Z$909</f>
        <v>1254.0591277047024</v>
      </c>
      <c r="O909" s="76">
        <f>$L$909-EFEITO!$O$909*EFEITO!$AA$909</f>
        <v>922.81157684100799</v>
      </c>
      <c r="P909" s="57"/>
      <c r="Q909" s="57"/>
      <c r="R909" s="57"/>
      <c r="S909" s="57"/>
      <c r="T909" s="57"/>
      <c r="U909" s="57"/>
      <c r="V909" s="57"/>
      <c r="W909" s="57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53" t="s">
        <v>21</v>
      </c>
      <c r="B910" s="53" t="s">
        <v>43</v>
      </c>
      <c r="C910" s="53" t="s">
        <v>23</v>
      </c>
      <c r="D910" s="53" t="s">
        <v>44</v>
      </c>
      <c r="E910" s="53" t="s">
        <v>25</v>
      </c>
      <c r="F910" s="53" t="s">
        <v>25</v>
      </c>
      <c r="G910" s="53" t="s">
        <v>25</v>
      </c>
      <c r="H910" s="53" t="s">
        <v>25</v>
      </c>
      <c r="I910" s="75">
        <v>44593</v>
      </c>
      <c r="J910" s="76">
        <f>EFEITO!$J$910*EFEITO!$Y$610</f>
        <v>0</v>
      </c>
      <c r="K910" s="76">
        <f ca="1">EFEITO!$L$910*EFEITO!$Z$610</f>
        <v>2932338.6917853523</v>
      </c>
      <c r="L910" s="76">
        <f>EFEITO!$N$910*EFEITO!$AA$610</f>
        <v>2157789.8778593554</v>
      </c>
      <c r="M910" s="76">
        <f>$J$910-EFEITO!$K$910*EFEITO!$Y$910</f>
        <v>0</v>
      </c>
      <c r="N910" s="76">
        <f ca="1">$K$910-EFEITO!$M$910*EFEITO!$Z$910</f>
        <v>175940.32150712097</v>
      </c>
      <c r="O910" s="76">
        <f>$L$910-EFEITO!$O$910*EFEITO!$AA$910</f>
        <v>129467.39267156133</v>
      </c>
      <c r="P910" s="57"/>
      <c r="Q910" s="57"/>
      <c r="R910" s="57"/>
      <c r="S910" s="57"/>
      <c r="T910" s="57"/>
      <c r="U910" s="57"/>
      <c r="V910" s="57"/>
      <c r="W910" s="57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53" t="s">
        <v>27</v>
      </c>
      <c r="B911" s="53" t="s">
        <v>43</v>
      </c>
      <c r="C911" s="53" t="s">
        <v>23</v>
      </c>
      <c r="D911" s="53" t="s">
        <v>44</v>
      </c>
      <c r="E911" s="53" t="s">
        <v>25</v>
      </c>
      <c r="F911" s="53" t="s">
        <v>25</v>
      </c>
      <c r="G911" s="53" t="s">
        <v>25</v>
      </c>
      <c r="H911" s="53" t="s">
        <v>25</v>
      </c>
      <c r="I911" s="75">
        <v>44593</v>
      </c>
      <c r="J911" s="76">
        <f>EFEITO!$J$911*EFEITO!$Y$610</f>
        <v>0</v>
      </c>
      <c r="K911" s="76">
        <f ca="1">EFEITO!$L$911*EFEITO!$Z$610</f>
        <v>-399.58405740261531</v>
      </c>
      <c r="L911" s="76">
        <f>EFEITO!$N$911*EFEITO!$AA$610</f>
        <v>-294.0378056712043</v>
      </c>
      <c r="M911" s="76">
        <f>$J$911-EFEITO!$K$911*EFEITO!$Y$911</f>
        <v>0</v>
      </c>
      <c r="N911" s="76">
        <f ca="1">$K$911-EFEITO!$M$911*EFEITO!$Z$911</f>
        <v>-23.975043444156938</v>
      </c>
      <c r="O911" s="76">
        <f>$L$911-EFEITO!$O$911*EFEITO!$AA$911</f>
        <v>-17.642268340272267</v>
      </c>
      <c r="P911" s="57"/>
      <c r="Q911" s="57"/>
      <c r="R911" s="57"/>
      <c r="S911" s="57"/>
      <c r="T911" s="57"/>
      <c r="U911" s="57"/>
      <c r="V911" s="57"/>
      <c r="W911" s="57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53" t="s">
        <v>28</v>
      </c>
      <c r="B912" s="53" t="s">
        <v>43</v>
      </c>
      <c r="C912" s="53" t="s">
        <v>23</v>
      </c>
      <c r="D912" s="53" t="s">
        <v>44</v>
      </c>
      <c r="E912" s="53" t="s">
        <v>25</v>
      </c>
      <c r="F912" s="53" t="s">
        <v>25</v>
      </c>
      <c r="G912" s="53" t="s">
        <v>25</v>
      </c>
      <c r="H912" s="53" t="s">
        <v>25</v>
      </c>
      <c r="I912" s="75">
        <v>44593</v>
      </c>
      <c r="J912" s="76">
        <f>EFEITO!$J$912*EFEITO!$Y$610</f>
        <v>0</v>
      </c>
      <c r="K912" s="76">
        <f ca="1">EFEITO!$L$912*EFEITO!$Z$610</f>
        <v>23665.898433478724</v>
      </c>
      <c r="L912" s="76">
        <f>EFEITO!$N$912*EFEITO!$AA$610</f>
        <v>17414.780984633275</v>
      </c>
      <c r="M912" s="76">
        <f>$J$912-EFEITO!$K$912*EFEITO!$Y$912</f>
        <v>0</v>
      </c>
      <c r="N912" s="76">
        <f ca="1">$K$912-EFEITO!$M$912*EFEITO!$Z$912</f>
        <v>1419.9539060087227</v>
      </c>
      <c r="O912" s="76">
        <f>$L$912-EFEITO!$O$912*EFEITO!$AA$912</f>
        <v>1044.8868590779985</v>
      </c>
      <c r="P912" s="57"/>
      <c r="Q912" s="57"/>
      <c r="R912" s="57"/>
      <c r="S912" s="57"/>
      <c r="T912" s="57"/>
      <c r="U912" s="57"/>
      <c r="V912" s="57"/>
      <c r="W912" s="57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53" t="s">
        <v>28</v>
      </c>
      <c r="B913" s="53" t="s">
        <v>43</v>
      </c>
      <c r="C913" s="53" t="s">
        <v>23</v>
      </c>
      <c r="D913" s="53" t="s">
        <v>44</v>
      </c>
      <c r="E913" s="53" t="s">
        <v>25</v>
      </c>
      <c r="F913" s="53" t="s">
        <v>25</v>
      </c>
      <c r="G913" s="53" t="s">
        <v>25</v>
      </c>
      <c r="H913" s="53" t="s">
        <v>25</v>
      </c>
      <c r="I913" s="75">
        <v>44593</v>
      </c>
      <c r="J913" s="76">
        <f>EFEITO!$J$913*EFEITO!$Y$610</f>
        <v>0</v>
      </c>
      <c r="K913" s="76">
        <f ca="1">EFEITO!$L$913*EFEITO!$Z$610</f>
        <v>3001.011060057509</v>
      </c>
      <c r="L913" s="76">
        <f>EFEITO!$N$913*EFEITO!$AA$610</f>
        <v>2208.3231063576191</v>
      </c>
      <c r="M913" s="76">
        <f>$J$913-EFEITO!$K$913*EFEITO!$Y$913</f>
        <v>0</v>
      </c>
      <c r="N913" s="76">
        <f ca="1">$K$913-EFEITO!$M$913*EFEITO!$Z$913</f>
        <v>180.06066360345085</v>
      </c>
      <c r="O913" s="76">
        <f>$L$913-EFEITO!$O$913*EFEITO!$AA$913</f>
        <v>132.49938638145704</v>
      </c>
      <c r="P913" s="57"/>
      <c r="Q913" s="57"/>
      <c r="R913" s="57"/>
      <c r="S913" s="57"/>
      <c r="T913" s="57"/>
      <c r="U913" s="57"/>
      <c r="V913" s="57"/>
      <c r="W913" s="57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53" t="s">
        <v>21</v>
      </c>
      <c r="B914" s="53" t="s">
        <v>43</v>
      </c>
      <c r="C914" s="53" t="s">
        <v>23</v>
      </c>
      <c r="D914" s="53" t="s">
        <v>44</v>
      </c>
      <c r="E914" s="53" t="s">
        <v>25</v>
      </c>
      <c r="F914" s="53" t="s">
        <v>25</v>
      </c>
      <c r="G914" s="53" t="s">
        <v>25</v>
      </c>
      <c r="H914" s="53" t="s">
        <v>25</v>
      </c>
      <c r="I914" s="75">
        <v>44621</v>
      </c>
      <c r="J914" s="76">
        <f>EFEITO!$J$914*EFEITO!$Y$610</f>
        <v>0</v>
      </c>
      <c r="K914" s="76">
        <f ca="1">EFEITO!$L$914*EFEITO!$Z$610</f>
        <v>2974477.6351185129</v>
      </c>
      <c r="L914" s="76">
        <f>EFEITO!$N$914*EFEITO!$AA$610</f>
        <v>2188798.2281712429</v>
      </c>
      <c r="M914" s="76">
        <f>$J$914-EFEITO!$K$914*EFEITO!$Y$914</f>
        <v>0</v>
      </c>
      <c r="N914" s="76">
        <f ca="1">$K$914-EFEITO!$M$914*EFEITO!$Z$914</f>
        <v>178468.65810711076</v>
      </c>
      <c r="O914" s="76">
        <f>$L$914-EFEITO!$O$914*EFEITO!$AA$914</f>
        <v>131327.89369027456</v>
      </c>
      <c r="P914" s="57"/>
      <c r="Q914" s="57"/>
      <c r="R914" s="57"/>
      <c r="S914" s="57"/>
      <c r="T914" s="57"/>
      <c r="U914" s="57"/>
      <c r="V914" s="57"/>
      <c r="W914" s="57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53" t="s">
        <v>27</v>
      </c>
      <c r="B915" s="53" t="s">
        <v>43</v>
      </c>
      <c r="C915" s="53" t="s">
        <v>23</v>
      </c>
      <c r="D915" s="53" t="s">
        <v>44</v>
      </c>
      <c r="E915" s="53" t="s">
        <v>25</v>
      </c>
      <c r="F915" s="53" t="s">
        <v>25</v>
      </c>
      <c r="G915" s="53" t="s">
        <v>25</v>
      </c>
      <c r="H915" s="53" t="s">
        <v>25</v>
      </c>
      <c r="I915" s="75">
        <v>44621</v>
      </c>
      <c r="J915" s="76">
        <f>EFEITO!$J$915*EFEITO!$Y$610</f>
        <v>0</v>
      </c>
      <c r="K915" s="76">
        <f ca="1">EFEITO!$L$915*EFEITO!$Z$610</f>
        <v>-6337.6901204575852</v>
      </c>
      <c r="L915" s="76">
        <f>EFEITO!$N$915*EFEITO!$AA$610</f>
        <v>-4663.6507676425172</v>
      </c>
      <c r="M915" s="76">
        <f>$J$915-EFEITO!$K$915*EFEITO!$Y$915</f>
        <v>0</v>
      </c>
      <c r="N915" s="76">
        <f ca="1">$K$915-EFEITO!$M$915*EFEITO!$Z$915</f>
        <v>-380.26140722745549</v>
      </c>
      <c r="O915" s="76">
        <f>$L$915-EFEITO!$O$915*EFEITO!$AA$915</f>
        <v>-279.81904605855016</v>
      </c>
      <c r="P915" s="57"/>
      <c r="Q915" s="57"/>
      <c r="R915" s="57"/>
      <c r="S915" s="57"/>
      <c r="T915" s="57"/>
      <c r="U915" s="57"/>
      <c r="V915" s="57"/>
      <c r="W915" s="57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53" t="s">
        <v>28</v>
      </c>
      <c r="B916" s="53" t="s">
        <v>43</v>
      </c>
      <c r="C916" s="53" t="s">
        <v>23</v>
      </c>
      <c r="D916" s="53" t="s">
        <v>44</v>
      </c>
      <c r="E916" s="53" t="s">
        <v>25</v>
      </c>
      <c r="F916" s="53" t="s">
        <v>25</v>
      </c>
      <c r="G916" s="53" t="s">
        <v>25</v>
      </c>
      <c r="H916" s="53" t="s">
        <v>25</v>
      </c>
      <c r="I916" s="75">
        <v>44621</v>
      </c>
      <c r="J916" s="76">
        <f>EFEITO!$J$916*EFEITO!$Y$610</f>
        <v>0</v>
      </c>
      <c r="K916" s="76">
        <f ca="1">EFEITO!$L$916*EFEITO!$Z$610</f>
        <v>26248.194099326531</v>
      </c>
      <c r="L916" s="76">
        <f>EFEITO!$N$916*EFEITO!$AA$610</f>
        <v>19314.98830550518</v>
      </c>
      <c r="M916" s="76">
        <f>$J$916-EFEITO!$K$916*EFEITO!$Y$916</f>
        <v>0</v>
      </c>
      <c r="N916" s="76">
        <f ca="1">$K$916-EFEITO!$M$916*EFEITO!$Z$916</f>
        <v>1574.8916459595966</v>
      </c>
      <c r="O916" s="76">
        <f>$L$916-EFEITO!$O$916*EFEITO!$AA$916</f>
        <v>1158.8992983303106</v>
      </c>
      <c r="P916" s="57"/>
      <c r="Q916" s="57"/>
      <c r="R916" s="57"/>
      <c r="S916" s="57"/>
      <c r="T916" s="57"/>
      <c r="U916" s="57"/>
      <c r="V916" s="57"/>
      <c r="W916" s="57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53" t="s">
        <v>21</v>
      </c>
      <c r="B917" s="53" t="s">
        <v>43</v>
      </c>
      <c r="C917" s="53" t="s">
        <v>23</v>
      </c>
      <c r="D917" s="53" t="s">
        <v>44</v>
      </c>
      <c r="E917" s="53" t="s">
        <v>25</v>
      </c>
      <c r="F917" s="53" t="s">
        <v>25</v>
      </c>
      <c r="G917" s="53" t="s">
        <v>25</v>
      </c>
      <c r="H917" s="53" t="s">
        <v>25</v>
      </c>
      <c r="I917" s="75">
        <v>44652</v>
      </c>
      <c r="J917" s="76">
        <f>EFEITO!$J$917*EFEITO!$Y$610</f>
        <v>0</v>
      </c>
      <c r="K917" s="76">
        <f ca="1">EFEITO!$L$917*EFEITO!$Z$610</f>
        <v>3053277.0026082583</v>
      </c>
      <c r="L917" s="76">
        <f>EFEITO!$N$917*EFEITO!$AA$610</f>
        <v>2246783.5073026819</v>
      </c>
      <c r="M917" s="76">
        <f>$J$917-EFEITO!$K$917*EFEITO!$Y$917</f>
        <v>0</v>
      </c>
      <c r="N917" s="76">
        <f ca="1">$K$917-EFEITO!$M$917*EFEITO!$Z$917</f>
        <v>183196.62015649537</v>
      </c>
      <c r="O917" s="76">
        <f>$L$917-EFEITO!$O$917*EFEITO!$AA$917</f>
        <v>134807.01043816097</v>
      </c>
      <c r="P917" s="57"/>
      <c r="Q917" s="57"/>
      <c r="R917" s="57"/>
      <c r="S917" s="57"/>
      <c r="T917" s="57"/>
      <c r="U917" s="57"/>
      <c r="V917" s="57"/>
      <c r="W917" s="57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53" t="s">
        <v>27</v>
      </c>
      <c r="B918" s="53" t="s">
        <v>43</v>
      </c>
      <c r="C918" s="53" t="s">
        <v>23</v>
      </c>
      <c r="D918" s="53" t="s">
        <v>44</v>
      </c>
      <c r="E918" s="53" t="s">
        <v>25</v>
      </c>
      <c r="F918" s="53" t="s">
        <v>25</v>
      </c>
      <c r="G918" s="53" t="s">
        <v>25</v>
      </c>
      <c r="H918" s="53" t="s">
        <v>25</v>
      </c>
      <c r="I918" s="75">
        <v>44652</v>
      </c>
      <c r="J918" s="76">
        <f>EFEITO!$J$918*EFEITO!$Y$610</f>
        <v>0</v>
      </c>
      <c r="K918" s="76">
        <f ca="1">EFEITO!$L$918*EFEITO!$Z$610</f>
        <v>-4585.4335901719051</v>
      </c>
      <c r="L918" s="76">
        <f>EFEITO!$N$918*EFEITO!$AA$610</f>
        <v>-3374.2357982682483</v>
      </c>
      <c r="M918" s="76">
        <f>$J$918-EFEITO!$K$918*EFEITO!$Y$918</f>
        <v>0</v>
      </c>
      <c r="N918" s="76">
        <f ca="1">$K$918-EFEITO!$M$918*EFEITO!$Z$918</f>
        <v>-275.12601541031472</v>
      </c>
      <c r="O918" s="76">
        <f>$L$918-EFEITO!$O$918*EFEITO!$AA$918</f>
        <v>-202.45414789609504</v>
      </c>
      <c r="P918" s="57"/>
      <c r="Q918" s="57"/>
      <c r="R918" s="57"/>
      <c r="S918" s="57"/>
      <c r="T918" s="57"/>
      <c r="U918" s="57"/>
      <c r="V918" s="57"/>
      <c r="W918" s="57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53" t="s">
        <v>28</v>
      </c>
      <c r="B919" s="53" t="s">
        <v>43</v>
      </c>
      <c r="C919" s="53" t="s">
        <v>23</v>
      </c>
      <c r="D919" s="53" t="s">
        <v>44</v>
      </c>
      <c r="E919" s="53" t="s">
        <v>25</v>
      </c>
      <c r="F919" s="53" t="s">
        <v>25</v>
      </c>
      <c r="G919" s="53" t="s">
        <v>25</v>
      </c>
      <c r="H919" s="53" t="s">
        <v>25</v>
      </c>
      <c r="I919" s="75">
        <v>44652</v>
      </c>
      <c r="J919" s="76">
        <f>EFEITO!$J$919*EFEITO!$Y$610</f>
        <v>0</v>
      </c>
      <c r="K919" s="76">
        <f ca="1">EFEITO!$L$919*EFEITO!$Z$610</f>
        <v>31085.378689755355</v>
      </c>
      <c r="L919" s="76">
        <f>EFEITO!$N$919*EFEITO!$AA$610</f>
        <v>22874.477519968885</v>
      </c>
      <c r="M919" s="76">
        <f>$J$919-EFEITO!$K$919*EFEITO!$Y$919</f>
        <v>0</v>
      </c>
      <c r="N919" s="76">
        <f ca="1">$K$919-EFEITO!$M$919*EFEITO!$Z$919</f>
        <v>1865.1227213853235</v>
      </c>
      <c r="O919" s="76">
        <f>$L$919-EFEITO!$O$919*EFEITO!$AA$919</f>
        <v>1372.4686511981308</v>
      </c>
      <c r="P919" s="57"/>
      <c r="Q919" s="57"/>
      <c r="R919" s="57"/>
      <c r="S919" s="57"/>
      <c r="T919" s="57"/>
      <c r="U919" s="57"/>
      <c r="V919" s="57"/>
      <c r="W919" s="57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53" t="s">
        <v>28</v>
      </c>
      <c r="B920" s="53" t="s">
        <v>43</v>
      </c>
      <c r="C920" s="53" t="s">
        <v>23</v>
      </c>
      <c r="D920" s="53" t="s">
        <v>44</v>
      </c>
      <c r="E920" s="53" t="s">
        <v>25</v>
      </c>
      <c r="F920" s="53" t="s">
        <v>25</v>
      </c>
      <c r="G920" s="53" t="s">
        <v>25</v>
      </c>
      <c r="H920" s="53" t="s">
        <v>25</v>
      </c>
      <c r="I920" s="75">
        <v>44652</v>
      </c>
      <c r="J920" s="76">
        <f>EFEITO!$J$920*EFEITO!$Y$610</f>
        <v>0</v>
      </c>
      <c r="K920" s="76">
        <f ca="1">EFEITO!$L$920*EFEITO!$Z$610</f>
        <v>491.32751345479352</v>
      </c>
      <c r="L920" s="76">
        <f>EFEITO!$N$920*EFEITO!$AA$610</f>
        <v>361.54811796350469</v>
      </c>
      <c r="M920" s="76">
        <f>$J$920-EFEITO!$K$920*EFEITO!$Y$920</f>
        <v>0</v>
      </c>
      <c r="N920" s="76">
        <f ca="1">$K$920-EFEITO!$M$920*EFEITO!$Z$920</f>
        <v>29.479650807287669</v>
      </c>
      <c r="O920" s="76">
        <f>$L$920-EFEITO!$O$920*EFEITO!$AA$920</f>
        <v>21.692887077810269</v>
      </c>
      <c r="P920" s="57"/>
      <c r="Q920" s="57"/>
      <c r="R920" s="57"/>
      <c r="S920" s="57"/>
      <c r="T920" s="57"/>
      <c r="U920" s="57"/>
      <c r="V920" s="57"/>
      <c r="W920" s="57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53" t="s">
        <v>21</v>
      </c>
      <c r="B921" s="53" t="s">
        <v>43</v>
      </c>
      <c r="C921" s="53" t="s">
        <v>23</v>
      </c>
      <c r="D921" s="53" t="s">
        <v>44</v>
      </c>
      <c r="E921" s="53" t="s">
        <v>25</v>
      </c>
      <c r="F921" s="53" t="s">
        <v>25</v>
      </c>
      <c r="G921" s="53" t="s">
        <v>25</v>
      </c>
      <c r="H921" s="53" t="s">
        <v>25</v>
      </c>
      <c r="I921" s="75">
        <v>44682</v>
      </c>
      <c r="J921" s="76">
        <f>EFEITO!$J$921*EFEITO!$Y$610</f>
        <v>0</v>
      </c>
      <c r="K921" s="76">
        <f ca="1">EFEITO!$L$921*EFEITO!$Z$610</f>
        <v>3708727.0368937599</v>
      </c>
      <c r="L921" s="76">
        <f>EFEITO!$N$921*EFEITO!$AA$610</f>
        <v>2729102.7746458119</v>
      </c>
      <c r="M921" s="76">
        <f>$J$921-EFEITO!$K$921*EFEITO!$Y$921</f>
        <v>0</v>
      </c>
      <c r="N921" s="76">
        <f ca="1">$K$921-EFEITO!$M$921*EFEITO!$Z$921</f>
        <v>222523.62221362581</v>
      </c>
      <c r="O921" s="76">
        <f>$L$921-EFEITO!$O$921*EFEITO!$AA$921</f>
        <v>163746.1664787489</v>
      </c>
      <c r="P921" s="57"/>
      <c r="Q921" s="57"/>
      <c r="R921" s="57"/>
      <c r="S921" s="57"/>
      <c r="T921" s="57"/>
      <c r="U921" s="57"/>
      <c r="V921" s="57"/>
      <c r="W921" s="57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1.25" customHeight="1" x14ac:dyDescent="0.2">
      <c r="A922" s="53" t="s">
        <v>27</v>
      </c>
      <c r="B922" s="53" t="s">
        <v>43</v>
      </c>
      <c r="C922" s="53" t="s">
        <v>23</v>
      </c>
      <c r="D922" s="53" t="s">
        <v>44</v>
      </c>
      <c r="E922" s="53" t="s">
        <v>25</v>
      </c>
      <c r="F922" s="53" t="s">
        <v>25</v>
      </c>
      <c r="G922" s="53" t="s">
        <v>25</v>
      </c>
      <c r="H922" s="53" t="s">
        <v>25</v>
      </c>
      <c r="I922" s="75">
        <v>44682</v>
      </c>
      <c r="J922" s="76">
        <f>EFEITO!$J$922*EFEITO!$Y$610</f>
        <v>0</v>
      </c>
      <c r="K922" s="76">
        <f ca="1">EFEITO!$L$922*EFEITO!$Z$610</f>
        <v>253.92501580318532</v>
      </c>
      <c r="L922" s="76">
        <f>EFEITO!$N$922*EFEITO!$AA$610</f>
        <v>186.85318662892632</v>
      </c>
      <c r="M922" s="76">
        <f>$J$922-EFEITO!$K$922*EFEITO!$Y$922</f>
        <v>0</v>
      </c>
      <c r="N922" s="76">
        <f ca="1">$K$922-EFEITO!$M$922*EFEITO!$Z$922</f>
        <v>15.235500948191145</v>
      </c>
      <c r="O922" s="76">
        <f>$L$922-EFEITO!$O$922*EFEITO!$AA$922</f>
        <v>11.211191197735587</v>
      </c>
      <c r="P922" s="57"/>
      <c r="Q922" s="57"/>
      <c r="R922" s="57"/>
      <c r="S922" s="57"/>
      <c r="T922" s="57"/>
      <c r="U922" s="57"/>
      <c r="V922" s="57"/>
      <c r="W922" s="57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1.25" customHeight="1" x14ac:dyDescent="0.2">
      <c r="A923" s="53" t="s">
        <v>28</v>
      </c>
      <c r="B923" s="53" t="s">
        <v>43</v>
      </c>
      <c r="C923" s="53" t="s">
        <v>23</v>
      </c>
      <c r="D923" s="53" t="s">
        <v>44</v>
      </c>
      <c r="E923" s="53" t="s">
        <v>25</v>
      </c>
      <c r="F923" s="53" t="s">
        <v>25</v>
      </c>
      <c r="G923" s="53" t="s">
        <v>25</v>
      </c>
      <c r="H923" s="53" t="s">
        <v>25</v>
      </c>
      <c r="I923" s="75">
        <v>44682</v>
      </c>
      <c r="J923" s="76">
        <f>EFEITO!$J$923*EFEITO!$Y$610</f>
        <v>0</v>
      </c>
      <c r="K923" s="76">
        <f ca="1">EFEITO!$L$923*EFEITO!$Z$610</f>
        <v>47530.067084776369</v>
      </c>
      <c r="L923" s="76">
        <f>EFEITO!$N$923*EFEITO!$AA$610</f>
        <v>34975.461032798717</v>
      </c>
      <c r="M923" s="76">
        <f>$J$923-EFEITO!$K$923*EFEITO!$Y$923</f>
        <v>0</v>
      </c>
      <c r="N923" s="76">
        <f ca="1">$K$923-EFEITO!$M$923*EFEITO!$Z$923</f>
        <v>2851.8040250865815</v>
      </c>
      <c r="O923" s="76">
        <f>$L$923-EFEITO!$O$923*EFEITO!$AA$923</f>
        <v>2098.5276619679207</v>
      </c>
      <c r="P923" s="57"/>
      <c r="Q923" s="57"/>
      <c r="R923" s="57"/>
      <c r="S923" s="57"/>
      <c r="T923" s="57"/>
      <c r="U923" s="57"/>
      <c r="V923" s="57"/>
      <c r="W923" s="57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1.25" customHeight="1" x14ac:dyDescent="0.2">
      <c r="A924" s="53" t="s">
        <v>21</v>
      </c>
      <c r="B924" s="53" t="s">
        <v>43</v>
      </c>
      <c r="C924" s="53" t="s">
        <v>23</v>
      </c>
      <c r="D924" s="53" t="s">
        <v>44</v>
      </c>
      <c r="E924" s="53" t="s">
        <v>25</v>
      </c>
      <c r="F924" s="53" t="s">
        <v>25</v>
      </c>
      <c r="G924" s="53" t="s">
        <v>25</v>
      </c>
      <c r="H924" s="53" t="s">
        <v>25</v>
      </c>
      <c r="I924" s="75">
        <v>44713</v>
      </c>
      <c r="J924" s="76">
        <f>EFEITO!$J$924*EFEITO!$Y$610</f>
        <v>0</v>
      </c>
      <c r="K924" s="76">
        <f ca="1">EFEITO!$L$924*EFEITO!$Z$610</f>
        <v>4514787.2157837451</v>
      </c>
      <c r="L924" s="76">
        <f>EFEITO!$N$924*EFEITO!$AA$610</f>
        <v>3322249.9782163971</v>
      </c>
      <c r="M924" s="76">
        <f>$J$924-EFEITO!$K$924*EFEITO!$Y$924</f>
        <v>0</v>
      </c>
      <c r="N924" s="76">
        <f ca="1">$K$924-EFEITO!$M$924*EFEITO!$Z$924</f>
        <v>270887.23294702545</v>
      </c>
      <c r="O924" s="76">
        <f>$L$924-EFEITO!$O$924*EFEITO!$AA$924</f>
        <v>199334.99869298376</v>
      </c>
      <c r="P924" s="57"/>
      <c r="Q924" s="57"/>
      <c r="R924" s="57"/>
      <c r="S924" s="57"/>
      <c r="T924" s="57"/>
      <c r="U924" s="57"/>
      <c r="V924" s="57"/>
      <c r="W924" s="57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1.25" customHeight="1" x14ac:dyDescent="0.2">
      <c r="A925" s="53" t="s">
        <v>27</v>
      </c>
      <c r="B925" s="53" t="s">
        <v>43</v>
      </c>
      <c r="C925" s="53" t="s">
        <v>23</v>
      </c>
      <c r="D925" s="53" t="s">
        <v>44</v>
      </c>
      <c r="E925" s="53" t="s">
        <v>25</v>
      </c>
      <c r="F925" s="53" t="s">
        <v>25</v>
      </c>
      <c r="G925" s="53" t="s">
        <v>25</v>
      </c>
      <c r="H925" s="53" t="s">
        <v>25</v>
      </c>
      <c r="I925" s="75">
        <v>44713</v>
      </c>
      <c r="J925" s="76">
        <f>EFEITO!$J$925*EFEITO!$Y$610</f>
        <v>0</v>
      </c>
      <c r="K925" s="76">
        <f ca="1">EFEITO!$L$925*EFEITO!$Z$610</f>
        <v>79.1341658838694</v>
      </c>
      <c r="L925" s="76">
        <f>EFEITO!$N$925*EFEITO!$AA$610</f>
        <v>58.23164377819279</v>
      </c>
      <c r="M925" s="76">
        <f>$J$925-EFEITO!$K$925*EFEITO!$Y$925</f>
        <v>0</v>
      </c>
      <c r="N925" s="76">
        <f ca="1">$K$925-EFEITO!$M$925*EFEITO!$Z$925</f>
        <v>4.7480499530321651</v>
      </c>
      <c r="O925" s="76">
        <f>$L$925-EFEITO!$O$925*EFEITO!$AA$925</f>
        <v>3.4938986266915606</v>
      </c>
      <c r="P925" s="57"/>
      <c r="Q925" s="57"/>
      <c r="R925" s="57"/>
      <c r="S925" s="57"/>
      <c r="T925" s="57"/>
      <c r="U925" s="57"/>
      <c r="V925" s="57"/>
      <c r="W925" s="57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1.25" customHeight="1" x14ac:dyDescent="0.2">
      <c r="A926" s="53" t="s">
        <v>28</v>
      </c>
      <c r="B926" s="53" t="s">
        <v>43</v>
      </c>
      <c r="C926" s="53" t="s">
        <v>23</v>
      </c>
      <c r="D926" s="53" t="s">
        <v>44</v>
      </c>
      <c r="E926" s="53" t="s">
        <v>25</v>
      </c>
      <c r="F926" s="53" t="s">
        <v>25</v>
      </c>
      <c r="G926" s="53" t="s">
        <v>25</v>
      </c>
      <c r="H926" s="53" t="s">
        <v>25</v>
      </c>
      <c r="I926" s="75">
        <v>44713</v>
      </c>
      <c r="J926" s="76">
        <f>EFEITO!$J$926*EFEITO!$Y$610</f>
        <v>0</v>
      </c>
      <c r="K926" s="76">
        <f ca="1">EFEITO!$L$926*EFEITO!$Z$610</f>
        <v>99707.309801238443</v>
      </c>
      <c r="L926" s="76">
        <f>EFEITO!$N$926*EFEITO!$AA$610</f>
        <v>73370.591344176151</v>
      </c>
      <c r="M926" s="76">
        <f>$J$926-EFEITO!$K$926*EFEITO!$Y$926</f>
        <v>0</v>
      </c>
      <c r="N926" s="76">
        <f ca="1">$K$926-EFEITO!$M$926*EFEITO!$Z$926</f>
        <v>5982.4385880743212</v>
      </c>
      <c r="O926" s="76">
        <f>$L$926-EFEITO!$O$926*EFEITO!$AA$926</f>
        <v>4402.2354806505755</v>
      </c>
      <c r="P926" s="57"/>
      <c r="Q926" s="57"/>
      <c r="R926" s="57"/>
      <c r="S926" s="57"/>
      <c r="T926" s="57"/>
      <c r="U926" s="57"/>
      <c r="V926" s="57"/>
      <c r="W926" s="57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1.25" customHeight="1" x14ac:dyDescent="0.2">
      <c r="A927" s="53" t="s">
        <v>21</v>
      </c>
      <c r="B927" s="53" t="s">
        <v>43</v>
      </c>
      <c r="C927" s="53" t="s">
        <v>23</v>
      </c>
      <c r="D927" s="53" t="s">
        <v>44</v>
      </c>
      <c r="E927" s="53" t="s">
        <v>25</v>
      </c>
      <c r="F927" s="53" t="s">
        <v>25</v>
      </c>
      <c r="G927" s="53" t="s">
        <v>25</v>
      </c>
      <c r="H927" s="53" t="s">
        <v>25</v>
      </c>
      <c r="I927" s="75">
        <v>44743</v>
      </c>
      <c r="J927" s="76">
        <f>EFEITO!$J$927*EFEITO!$Y$610</f>
        <v>0</v>
      </c>
      <c r="K927" s="76">
        <f ca="1">EFEITO!$L$927*EFEITO!$Z$610</f>
        <v>4093925.6334267715</v>
      </c>
      <c r="L927" s="76">
        <f>EFEITO!$N$927*EFEITO!$AA$610</f>
        <v>3012554.8993587657</v>
      </c>
      <c r="M927" s="76">
        <f>$J$927-EFEITO!$K$927*EFEITO!$Y$927</f>
        <v>0</v>
      </c>
      <c r="N927" s="76">
        <f ca="1">$K$927-EFEITO!$M$927*EFEITO!$Z$927</f>
        <v>245635.53800560674</v>
      </c>
      <c r="O927" s="76">
        <f>$L$927-EFEITO!$O$927*EFEITO!$AA$927</f>
        <v>180753.29396152589</v>
      </c>
      <c r="P927" s="57"/>
      <c r="Q927" s="57"/>
      <c r="R927" s="57"/>
      <c r="S927" s="57"/>
      <c r="T927" s="57"/>
      <c r="U927" s="57"/>
      <c r="V927" s="57"/>
      <c r="W927" s="57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1.25" customHeight="1" x14ac:dyDescent="0.2">
      <c r="A928" s="53" t="s">
        <v>27</v>
      </c>
      <c r="B928" s="53" t="s">
        <v>43</v>
      </c>
      <c r="C928" s="53" t="s">
        <v>23</v>
      </c>
      <c r="D928" s="53" t="s">
        <v>44</v>
      </c>
      <c r="E928" s="53" t="s">
        <v>25</v>
      </c>
      <c r="F928" s="53" t="s">
        <v>25</v>
      </c>
      <c r="G928" s="53" t="s">
        <v>25</v>
      </c>
      <c r="H928" s="53" t="s">
        <v>25</v>
      </c>
      <c r="I928" s="75">
        <v>44743</v>
      </c>
      <c r="J928" s="76">
        <f>EFEITO!$J$928*EFEITO!$Y$610</f>
        <v>0</v>
      </c>
      <c r="K928" s="76">
        <f ca="1">EFEITO!$L$928*EFEITO!$Z$610</f>
        <v>-3164.9318322455242</v>
      </c>
      <c r="L928" s="76">
        <f>EFEITO!$N$928*EFEITO!$AA$610</f>
        <v>-2328.9457970410185</v>
      </c>
      <c r="M928" s="76">
        <f>$J$928-EFEITO!$K$928*EFEITO!$Y$928</f>
        <v>0</v>
      </c>
      <c r="N928" s="76">
        <f ca="1">$K$928-EFEITO!$M$928*EFEITO!$Z$928</f>
        <v>-189.89590993473166</v>
      </c>
      <c r="O928" s="76">
        <f>$L$928-EFEITO!$O$928*EFEITO!$AA$928</f>
        <v>-139.73674782246098</v>
      </c>
      <c r="P928" s="57"/>
      <c r="Q928" s="57"/>
      <c r="R928" s="57"/>
      <c r="S928" s="57"/>
      <c r="T928" s="57"/>
      <c r="U928" s="57"/>
      <c r="V928" s="57"/>
      <c r="W928" s="57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1.25" customHeight="1" x14ac:dyDescent="0.2">
      <c r="A929" s="53" t="s">
        <v>28</v>
      </c>
      <c r="B929" s="53" t="s">
        <v>43</v>
      </c>
      <c r="C929" s="53" t="s">
        <v>23</v>
      </c>
      <c r="D929" s="53" t="s">
        <v>44</v>
      </c>
      <c r="E929" s="53" t="s">
        <v>25</v>
      </c>
      <c r="F929" s="53" t="s">
        <v>25</v>
      </c>
      <c r="G929" s="53" t="s">
        <v>25</v>
      </c>
      <c r="H929" s="53" t="s">
        <v>25</v>
      </c>
      <c r="I929" s="75">
        <v>44743</v>
      </c>
      <c r="J929" s="76">
        <f>EFEITO!$J$929*EFEITO!$Y$610</f>
        <v>0</v>
      </c>
      <c r="K929" s="76">
        <f ca="1">EFEITO!$L$929*EFEITO!$Z$610</f>
        <v>116452.88194786187</v>
      </c>
      <c r="L929" s="76">
        <f>EFEITO!$N$929*EFEITO!$AA$610</f>
        <v>85692.983084997788</v>
      </c>
      <c r="M929" s="76">
        <f>$J$929-EFEITO!$K$929*EFEITO!$Y$929</f>
        <v>0</v>
      </c>
      <c r="N929" s="76">
        <f ca="1">$K$929-EFEITO!$M$929*EFEITO!$Z$929</f>
        <v>6987.1729168717284</v>
      </c>
      <c r="O929" s="76">
        <f>$L$929-EFEITO!$O$929*EFEITO!$AA$929</f>
        <v>5141.5789850998553</v>
      </c>
      <c r="P929" s="57"/>
      <c r="Q929" s="57"/>
      <c r="R929" s="57"/>
      <c r="S929" s="57"/>
      <c r="T929" s="57"/>
      <c r="U929" s="57"/>
      <c r="V929" s="57"/>
      <c r="W929" s="57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1.25" customHeight="1" x14ac:dyDescent="0.2">
      <c r="A930" s="53" t="s">
        <v>56</v>
      </c>
      <c r="B930" s="53" t="s">
        <v>43</v>
      </c>
      <c r="C930" s="53" t="s">
        <v>23</v>
      </c>
      <c r="D930" s="53" t="s">
        <v>44</v>
      </c>
      <c r="E930" s="53" t="s">
        <v>25</v>
      </c>
      <c r="F930" s="53" t="s">
        <v>25</v>
      </c>
      <c r="G930" s="53" t="s">
        <v>25</v>
      </c>
      <c r="H930" s="53" t="s">
        <v>25</v>
      </c>
      <c r="I930" s="75">
        <v>44774</v>
      </c>
      <c r="J930" s="76">
        <f>EFEITO!$J$930*EFEITO!$Y$610</f>
        <v>0</v>
      </c>
      <c r="K930" s="76">
        <f ca="1">EFEITO!$L$930*EFEITO!$Z$610</f>
        <v>4093925.6334267715</v>
      </c>
      <c r="L930" s="76">
        <f>EFEITO!$N$930*EFEITO!$AA$610</f>
        <v>3012554.8993587657</v>
      </c>
      <c r="M930" s="76">
        <f>$J$930-EFEITO!$K$930*EFEITO!$Y$930</f>
        <v>0</v>
      </c>
      <c r="N930" s="76">
        <f ca="1">$K$930-EFEITO!$M$930*EFEITO!$Z$930</f>
        <v>245635.53800560674</v>
      </c>
      <c r="O930" s="76">
        <f>$L$930-EFEITO!$O$930*EFEITO!$AA$930</f>
        <v>180753.29396152589</v>
      </c>
      <c r="P930" s="57"/>
      <c r="Q930" s="57"/>
      <c r="R930" s="57"/>
      <c r="S930" s="57"/>
      <c r="T930" s="57"/>
      <c r="U930" s="57"/>
      <c r="V930" s="57"/>
      <c r="W930" s="57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1.25" customHeight="1" x14ac:dyDescent="0.2">
      <c r="A931" s="53" t="s">
        <v>56</v>
      </c>
      <c r="B931" s="53" t="s">
        <v>43</v>
      </c>
      <c r="C931" s="53" t="s">
        <v>23</v>
      </c>
      <c r="D931" s="53" t="s">
        <v>44</v>
      </c>
      <c r="E931" s="53" t="s">
        <v>25</v>
      </c>
      <c r="F931" s="53" t="s">
        <v>25</v>
      </c>
      <c r="G931" s="53" t="s">
        <v>25</v>
      </c>
      <c r="H931" s="53" t="s">
        <v>25</v>
      </c>
      <c r="I931" s="75">
        <v>44774</v>
      </c>
      <c r="J931" s="76">
        <f>EFEITO!$J$931*EFEITO!$Y$610</f>
        <v>0</v>
      </c>
      <c r="K931" s="76">
        <f ca="1">EFEITO!$L$931*EFEITO!$Z$610</f>
        <v>-3164.9318322455242</v>
      </c>
      <c r="L931" s="76">
        <f>EFEITO!$N$931*EFEITO!$AA$610</f>
        <v>-2328.9457970410185</v>
      </c>
      <c r="M931" s="76">
        <f>$J$931-EFEITO!$K$931*EFEITO!$Y$931</f>
        <v>0</v>
      </c>
      <c r="N931" s="76">
        <f ca="1">$K$931-EFEITO!$M$931*EFEITO!$Z$931</f>
        <v>-189.89590993473166</v>
      </c>
      <c r="O931" s="76">
        <f>$L$931-EFEITO!$O$931*EFEITO!$AA$931</f>
        <v>-139.73674782246098</v>
      </c>
      <c r="P931" s="57"/>
      <c r="Q931" s="57"/>
      <c r="R931" s="57"/>
      <c r="S931" s="57"/>
      <c r="T931" s="57"/>
      <c r="U931" s="57"/>
      <c r="V931" s="57"/>
      <c r="W931" s="57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1.25" customHeight="1" x14ac:dyDescent="0.2">
      <c r="A932" s="53" t="s">
        <v>56</v>
      </c>
      <c r="B932" s="53" t="s">
        <v>43</v>
      </c>
      <c r="C932" s="53" t="s">
        <v>23</v>
      </c>
      <c r="D932" s="53" t="s">
        <v>44</v>
      </c>
      <c r="E932" s="53" t="s">
        <v>25</v>
      </c>
      <c r="F932" s="53" t="s">
        <v>25</v>
      </c>
      <c r="G932" s="53" t="s">
        <v>25</v>
      </c>
      <c r="H932" s="53" t="s">
        <v>25</v>
      </c>
      <c r="I932" s="75">
        <v>44774</v>
      </c>
      <c r="J932" s="76">
        <f>EFEITO!$J$932*EFEITO!$Y$610</f>
        <v>0</v>
      </c>
      <c r="K932" s="76">
        <f ca="1">EFEITO!$L$932*EFEITO!$Z$610</f>
        <v>116452.88194786187</v>
      </c>
      <c r="L932" s="76">
        <f>EFEITO!$N$932*EFEITO!$AA$610</f>
        <v>85692.983084997788</v>
      </c>
      <c r="M932" s="76">
        <f>$J$932-EFEITO!$K$932*EFEITO!$Y$932</f>
        <v>0</v>
      </c>
      <c r="N932" s="76">
        <f ca="1">$K$932-EFEITO!$M$932*EFEITO!$Z$932</f>
        <v>6987.1729168717284</v>
      </c>
      <c r="O932" s="76">
        <f>$L$932-EFEITO!$O$932*EFEITO!$AA$932</f>
        <v>5141.5789850998553</v>
      </c>
      <c r="P932" s="57"/>
      <c r="Q932" s="57"/>
      <c r="R932" s="57"/>
      <c r="S932" s="57"/>
      <c r="T932" s="57"/>
      <c r="U932" s="57"/>
      <c r="V932" s="57"/>
      <c r="W932" s="57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1.25" customHeight="1" x14ac:dyDescent="0.2">
      <c r="A933" s="53" t="s">
        <v>21</v>
      </c>
      <c r="B933" s="53" t="s">
        <v>43</v>
      </c>
      <c r="C933" s="53" t="s">
        <v>23</v>
      </c>
      <c r="D933" s="53" t="s">
        <v>44</v>
      </c>
      <c r="E933" s="53" t="s">
        <v>55</v>
      </c>
      <c r="F933" s="53" t="s">
        <v>53</v>
      </c>
      <c r="G933" s="53" t="s">
        <v>25</v>
      </c>
      <c r="H933" s="53" t="s">
        <v>25</v>
      </c>
      <c r="I933" s="75">
        <v>44440</v>
      </c>
      <c r="J933" s="76">
        <f>EFEITO!$J$933*EFEITO!$Y$610</f>
        <v>0</v>
      </c>
      <c r="K933" s="76">
        <f ca="1">EFEITO!$L$933*EFEITO!$Z$610</f>
        <v>855.69251900799441</v>
      </c>
      <c r="L933" s="76">
        <f>EFEITO!$N$933*EFEITO!$AA$610</f>
        <v>629.66964261254623</v>
      </c>
      <c r="M933" s="76">
        <f>$J$933-EFEITO!$K$933*EFEITO!$Y$933</f>
        <v>0</v>
      </c>
      <c r="N933" s="76">
        <f ca="1">$K$933-EFEITO!$M$933*EFEITO!$Z$933</f>
        <v>68.455401520639498</v>
      </c>
      <c r="O933" s="76">
        <f>$L$933-EFEITO!$O$933*EFEITO!$AA$933</f>
        <v>50.373571409003603</v>
      </c>
      <c r="P933" s="57"/>
      <c r="Q933" s="57"/>
      <c r="R933" s="57"/>
      <c r="S933" s="57"/>
      <c r="T933" s="57"/>
      <c r="U933" s="57"/>
      <c r="V933" s="57"/>
      <c r="W933" s="57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pans="1:36" ht="11.25" customHeight="1" x14ac:dyDescent="0.2">
      <c r="A934" s="53" t="s">
        <v>21</v>
      </c>
      <c r="B934" s="53" t="s">
        <v>43</v>
      </c>
      <c r="C934" s="53" t="s">
        <v>23</v>
      </c>
      <c r="D934" s="53" t="s">
        <v>44</v>
      </c>
      <c r="E934" s="53" t="s">
        <v>55</v>
      </c>
      <c r="F934" s="53" t="s">
        <v>53</v>
      </c>
      <c r="G934" s="53" t="s">
        <v>25</v>
      </c>
      <c r="H934" s="53" t="s">
        <v>25</v>
      </c>
      <c r="I934" s="75">
        <v>44470</v>
      </c>
      <c r="J934" s="76">
        <f>EFEITO!$J$934*EFEITO!$Y$610</f>
        <v>0</v>
      </c>
      <c r="K934" s="76">
        <f ca="1">EFEITO!$L$934*EFEITO!$Z$610</f>
        <v>980.48101136332684</v>
      </c>
      <c r="L934" s="76">
        <f>EFEITO!$N$934*EFEITO!$AA$610</f>
        <v>721.49646549354259</v>
      </c>
      <c r="M934" s="76">
        <f>$J$934-EFEITO!$K$934*EFEITO!$Y$934</f>
        <v>0</v>
      </c>
      <c r="N934" s="76">
        <f ca="1">$K$934-EFEITO!$M$934*EFEITO!$Z$934</f>
        <v>78.438480909066016</v>
      </c>
      <c r="O934" s="76">
        <f>$L$934-EFEITO!$O$934*EFEITO!$AA$934</f>
        <v>57.71971723948343</v>
      </c>
      <c r="P934" s="57"/>
      <c r="Q934" s="57"/>
      <c r="R934" s="57"/>
      <c r="S934" s="57"/>
      <c r="T934" s="57"/>
      <c r="U934" s="57"/>
      <c r="V934" s="57"/>
      <c r="W934" s="57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spans="1:36" ht="11.25" customHeight="1" x14ac:dyDescent="0.2">
      <c r="A935" s="53" t="s">
        <v>21</v>
      </c>
      <c r="B935" s="53" t="s">
        <v>43</v>
      </c>
      <c r="C935" s="53" t="s">
        <v>23</v>
      </c>
      <c r="D935" s="53" t="s">
        <v>44</v>
      </c>
      <c r="E935" s="53" t="s">
        <v>55</v>
      </c>
      <c r="F935" s="53" t="s">
        <v>53</v>
      </c>
      <c r="G935" s="53" t="s">
        <v>25</v>
      </c>
      <c r="H935" s="53" t="s">
        <v>25</v>
      </c>
      <c r="I935" s="75">
        <v>44501</v>
      </c>
      <c r="J935" s="76">
        <f>EFEITO!$J$935*EFEITO!$Y$610</f>
        <v>0</v>
      </c>
      <c r="K935" s="76">
        <f ca="1">EFEITO!$L$935*EFEITO!$Z$610</f>
        <v>43.480310925202971</v>
      </c>
      <c r="L935" s="76">
        <f>EFEITO!$N$935*EFEITO!$AA$610</f>
        <v>31.995408669336701</v>
      </c>
      <c r="M935" s="76">
        <f>$J$935-EFEITO!$K$935*EFEITO!$Y$935</f>
        <v>0</v>
      </c>
      <c r="N935" s="76">
        <f ca="1">$K$935-EFEITO!$M$935*EFEITO!$Z$935</f>
        <v>3.478424874016234</v>
      </c>
      <c r="O935" s="76">
        <f>$L$935-EFEITO!$O$935*EFEITO!$AA$935</f>
        <v>2.5596326935469342</v>
      </c>
      <c r="P935" s="57"/>
      <c r="Q935" s="57"/>
      <c r="R935" s="57"/>
      <c r="S935" s="57"/>
      <c r="T935" s="57"/>
      <c r="U935" s="57"/>
      <c r="V935" s="57"/>
      <c r="W935" s="57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 ht="11.25" customHeight="1" x14ac:dyDescent="0.2">
      <c r="A936" s="53" t="s">
        <v>21</v>
      </c>
      <c r="B936" s="53" t="s">
        <v>43</v>
      </c>
      <c r="C936" s="53" t="s">
        <v>23</v>
      </c>
      <c r="D936" s="53" t="s">
        <v>44</v>
      </c>
      <c r="E936" s="53" t="s">
        <v>55</v>
      </c>
      <c r="F936" s="53" t="s">
        <v>53</v>
      </c>
      <c r="G936" s="53" t="s">
        <v>25</v>
      </c>
      <c r="H936" s="53" t="s">
        <v>25</v>
      </c>
      <c r="I936" s="75">
        <v>44531</v>
      </c>
      <c r="J936" s="76">
        <f>EFEITO!$J$936*EFEITO!$Y$610</f>
        <v>0</v>
      </c>
      <c r="K936" s="76">
        <f ca="1">EFEITO!$L$936*EFEITO!$Z$610</f>
        <v>17.826927479333218</v>
      </c>
      <c r="L936" s="76">
        <f>EFEITO!$N$936*EFEITO!$AA$610</f>
        <v>13.118117554428048</v>
      </c>
      <c r="M936" s="76">
        <f>$J$936-EFEITO!$K$936*EFEITO!$Y$936</f>
        <v>0</v>
      </c>
      <c r="N936" s="76">
        <f ca="1">$K$936-EFEITO!$M$936*EFEITO!$Z$936</f>
        <v>1.426154198346655</v>
      </c>
      <c r="O936" s="76">
        <f>$L$936-EFEITO!$O$936*EFEITO!$AA$936</f>
        <v>1.0494494043542435</v>
      </c>
      <c r="P936" s="57"/>
      <c r="Q936" s="57"/>
      <c r="R936" s="57"/>
      <c r="S936" s="57"/>
      <c r="T936" s="57"/>
      <c r="U936" s="57"/>
      <c r="V936" s="57"/>
      <c r="W936" s="57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spans="1:36" ht="11.25" customHeight="1" x14ac:dyDescent="0.2">
      <c r="A937" s="53" t="s">
        <v>21</v>
      </c>
      <c r="B937" s="53" t="s">
        <v>43</v>
      </c>
      <c r="C937" s="53" t="s">
        <v>23</v>
      </c>
      <c r="D937" s="53" t="s">
        <v>44</v>
      </c>
      <c r="E937" s="53" t="s">
        <v>55</v>
      </c>
      <c r="F937" s="53" t="s">
        <v>53</v>
      </c>
      <c r="G937" s="53" t="s">
        <v>25</v>
      </c>
      <c r="H937" s="53" t="s">
        <v>25</v>
      </c>
      <c r="I937" s="75">
        <v>44562</v>
      </c>
      <c r="J937" s="76">
        <f>EFEITO!$J$937*EFEITO!$Y$610</f>
        <v>0</v>
      </c>
      <c r="K937" s="76">
        <f ca="1">EFEITO!$L$937*EFEITO!$Z$610</f>
        <v>291.31808319885988</v>
      </c>
      <c r="L937" s="76">
        <f>EFEITO!$N$937*EFEITO!$AA$610</f>
        <v>214.36923808455592</v>
      </c>
      <c r="M937" s="76">
        <f>$J$937-EFEITO!$K$937*EFEITO!$Y$937</f>
        <v>0</v>
      </c>
      <c r="N937" s="76">
        <f ca="1">$K$937-EFEITO!$M$937*EFEITO!$Z$937</f>
        <v>23.305446655908781</v>
      </c>
      <c r="O937" s="76">
        <f>$L$937-EFEITO!$O$937*EFEITO!$AA$937</f>
        <v>17.14953904676446</v>
      </c>
      <c r="P937" s="57"/>
      <c r="Q937" s="57"/>
      <c r="R937" s="57"/>
      <c r="S937" s="57"/>
      <c r="T937" s="57"/>
      <c r="U937" s="57"/>
      <c r="V937" s="57"/>
      <c r="W937" s="57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11.25" customHeight="1" x14ac:dyDescent="0.2">
      <c r="A938" s="53" t="s">
        <v>21</v>
      </c>
      <c r="B938" s="53" t="s">
        <v>43</v>
      </c>
      <c r="C938" s="53" t="s">
        <v>23</v>
      </c>
      <c r="D938" s="53" t="s">
        <v>44</v>
      </c>
      <c r="E938" s="53" t="s">
        <v>55</v>
      </c>
      <c r="F938" s="53" t="s">
        <v>53</v>
      </c>
      <c r="G938" s="53" t="s">
        <v>25</v>
      </c>
      <c r="H938" s="53" t="s">
        <v>25</v>
      </c>
      <c r="I938" s="75">
        <v>44593</v>
      </c>
      <c r="J938" s="76">
        <f>EFEITO!$J$938*EFEITO!$Y$610</f>
        <v>0</v>
      </c>
      <c r="K938" s="76">
        <f ca="1">EFEITO!$L$938*EFEITO!$Z$610</f>
        <v>311.75382933370526</v>
      </c>
      <c r="L938" s="76">
        <f>EFEITO!$N$938*EFEITO!$AA$610</f>
        <v>229.40708015914413</v>
      </c>
      <c r="M938" s="76">
        <f>$J$938-EFEITO!$K$938*EFEITO!$Y$938</f>
        <v>0</v>
      </c>
      <c r="N938" s="76">
        <f ca="1">$K$938-EFEITO!$M$938*EFEITO!$Z$938</f>
        <v>24.940306346696389</v>
      </c>
      <c r="O938" s="76">
        <f>$L$938-EFEITO!$O$938*EFEITO!$AA$938</f>
        <v>18.352566412731505</v>
      </c>
      <c r="P938" s="57"/>
      <c r="Q938" s="57"/>
      <c r="R938" s="57"/>
      <c r="S938" s="57"/>
      <c r="T938" s="57"/>
      <c r="U938" s="57"/>
      <c r="V938" s="57"/>
      <c r="W938" s="57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11.25" customHeight="1" x14ac:dyDescent="0.2">
      <c r="A939" s="53" t="s">
        <v>21</v>
      </c>
      <c r="B939" s="53" t="s">
        <v>43</v>
      </c>
      <c r="C939" s="53" t="s">
        <v>23</v>
      </c>
      <c r="D939" s="53" t="s">
        <v>44</v>
      </c>
      <c r="E939" s="53" t="s">
        <v>55</v>
      </c>
      <c r="F939" s="53" t="s">
        <v>53</v>
      </c>
      <c r="G939" s="53" t="s">
        <v>25</v>
      </c>
      <c r="H939" s="53" t="s">
        <v>25</v>
      </c>
      <c r="I939" s="75">
        <v>44621</v>
      </c>
      <c r="J939" s="76">
        <f>EFEITO!$J$939*EFEITO!$Y$610</f>
        <v>0</v>
      </c>
      <c r="K939" s="76">
        <f ca="1">EFEITO!$L$939*EFEITO!$Z$610</f>
        <v>12.174487059056831</v>
      </c>
      <c r="L939" s="76">
        <f>EFEITO!$N$939*EFEITO!$AA$610</f>
        <v>8.9587144274142769</v>
      </c>
      <c r="M939" s="76">
        <f>$J$939-EFEITO!$K$939*EFEITO!$Y$939</f>
        <v>0</v>
      </c>
      <c r="N939" s="76">
        <f ca="1">$K$939-EFEITO!$M$939*EFEITO!$Z$939</f>
        <v>0.97395896472454524</v>
      </c>
      <c r="O939" s="76">
        <f>$L$939-EFEITO!$O$939*EFEITO!$AA$939</f>
        <v>0.71669715419314173</v>
      </c>
      <c r="P939" s="57"/>
      <c r="Q939" s="57"/>
      <c r="R939" s="57"/>
      <c r="S939" s="57"/>
      <c r="T939" s="57"/>
      <c r="U939" s="57"/>
      <c r="V939" s="57"/>
      <c r="W939" s="57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spans="1:36" ht="11.25" customHeight="1" x14ac:dyDescent="0.2">
      <c r="A940" s="53" t="s">
        <v>21</v>
      </c>
      <c r="B940" s="53" t="s">
        <v>43</v>
      </c>
      <c r="C940" s="53" t="s">
        <v>23</v>
      </c>
      <c r="D940" s="53" t="s">
        <v>44</v>
      </c>
      <c r="E940" s="53" t="s">
        <v>55</v>
      </c>
      <c r="F940" s="53" t="s">
        <v>53</v>
      </c>
      <c r="G940" s="53" t="s">
        <v>25</v>
      </c>
      <c r="H940" s="53" t="s">
        <v>25</v>
      </c>
      <c r="I940" s="75">
        <v>44652</v>
      </c>
      <c r="J940" s="76">
        <f>EFEITO!$J$940*EFEITO!$Y$610</f>
        <v>0</v>
      </c>
      <c r="K940" s="76">
        <f ca="1">EFEITO!$L$940*EFEITO!$Z$610</f>
        <v>623.94246177666264</v>
      </c>
      <c r="L940" s="76">
        <f>EFEITO!$N$940*EFEITO!$AA$610</f>
        <v>459.13411440498169</v>
      </c>
      <c r="M940" s="76">
        <f>$J$940-EFEITO!$K$940*EFEITO!$Y$940</f>
        <v>0</v>
      </c>
      <c r="N940" s="76">
        <f ca="1">$K$940-EFEITO!$M$940*EFEITO!$Z$940</f>
        <v>49.915396942133043</v>
      </c>
      <c r="O940" s="76">
        <f>$L$940-EFEITO!$O$940*EFEITO!$AA$940</f>
        <v>36.73072915239851</v>
      </c>
      <c r="P940" s="57"/>
      <c r="Q940" s="57"/>
      <c r="R940" s="57"/>
      <c r="S940" s="57"/>
      <c r="T940" s="57"/>
      <c r="U940" s="57"/>
      <c r="V940" s="57"/>
      <c r="W940" s="57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spans="1:36" ht="11.25" customHeight="1" x14ac:dyDescent="0.2">
      <c r="A941" s="53" t="s">
        <v>21</v>
      </c>
      <c r="B941" s="53" t="s">
        <v>43</v>
      </c>
      <c r="C941" s="53" t="s">
        <v>23</v>
      </c>
      <c r="D941" s="53" t="s">
        <v>44</v>
      </c>
      <c r="E941" s="53" t="s">
        <v>55</v>
      </c>
      <c r="F941" s="53" t="s">
        <v>53</v>
      </c>
      <c r="G941" s="53" t="s">
        <v>25</v>
      </c>
      <c r="H941" s="53" t="s">
        <v>25</v>
      </c>
      <c r="I941" s="75">
        <v>44682</v>
      </c>
      <c r="J941" s="76">
        <f>EFEITO!$J$941*EFEITO!$Y$610</f>
        <v>0</v>
      </c>
      <c r="K941" s="76">
        <f ca="1">EFEITO!$L$941*EFEITO!$Z$610</f>
        <v>588.2886068179962</v>
      </c>
      <c r="L941" s="76">
        <f>EFEITO!$N$941*EFEITO!$AA$610</f>
        <v>432.89787929612555</v>
      </c>
      <c r="M941" s="76">
        <f>$J$941-EFEITO!$K$941*EFEITO!$Y$941</f>
        <v>0</v>
      </c>
      <c r="N941" s="76">
        <f ca="1">$K$941-EFEITO!$M$941*EFEITO!$Z$941</f>
        <v>47.063088545439655</v>
      </c>
      <c r="O941" s="76">
        <f>$L$941-EFEITO!$O$941*EFEITO!$AA$941</f>
        <v>34.631830343690012</v>
      </c>
      <c r="P941" s="57"/>
      <c r="Q941" s="57"/>
      <c r="R941" s="57"/>
      <c r="S941" s="57"/>
      <c r="T941" s="57"/>
      <c r="U941" s="57"/>
      <c r="V941" s="57"/>
      <c r="W941" s="57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spans="1:36" ht="11.25" customHeight="1" x14ac:dyDescent="0.2">
      <c r="A942" s="53" t="s">
        <v>21</v>
      </c>
      <c r="B942" s="53" t="s">
        <v>43</v>
      </c>
      <c r="C942" s="53" t="s">
        <v>23</v>
      </c>
      <c r="D942" s="53" t="s">
        <v>44</v>
      </c>
      <c r="E942" s="53" t="s">
        <v>55</v>
      </c>
      <c r="F942" s="53" t="s">
        <v>53</v>
      </c>
      <c r="G942" s="53" t="s">
        <v>25</v>
      </c>
      <c r="H942" s="53" t="s">
        <v>25</v>
      </c>
      <c r="I942" s="75">
        <v>44713</v>
      </c>
      <c r="J942" s="76">
        <f>EFEITO!$J$942*EFEITO!$Y$610</f>
        <v>0</v>
      </c>
      <c r="K942" s="76">
        <f ca="1">EFEITO!$L$942*EFEITO!$Z$610</f>
        <v>106.9615648759993</v>
      </c>
      <c r="L942" s="76">
        <f>EFEITO!$N$942*EFEITO!$AA$610</f>
        <v>78.708705326568278</v>
      </c>
      <c r="M942" s="76">
        <f>$J$942-EFEITO!$K$942*EFEITO!$Y$942</f>
        <v>0</v>
      </c>
      <c r="N942" s="76">
        <f ca="1">$K$942-EFEITO!$M$942*EFEITO!$Z$942</f>
        <v>8.5569251900799372</v>
      </c>
      <c r="O942" s="76">
        <f>$L$942-EFEITO!$O$942*EFEITO!$AA$942</f>
        <v>6.2966964261254503</v>
      </c>
      <c r="P942" s="57"/>
      <c r="Q942" s="57"/>
      <c r="R942" s="57"/>
      <c r="S942" s="57"/>
      <c r="T942" s="57"/>
      <c r="U942" s="57"/>
      <c r="V942" s="57"/>
      <c r="W942" s="57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spans="1:36" ht="11.25" customHeight="1" x14ac:dyDescent="0.2">
      <c r="A943" s="53" t="s">
        <v>21</v>
      </c>
      <c r="B943" s="53" t="s">
        <v>43</v>
      </c>
      <c r="C943" s="53" t="s">
        <v>23</v>
      </c>
      <c r="D943" s="53" t="s">
        <v>44</v>
      </c>
      <c r="E943" s="53" t="s">
        <v>55</v>
      </c>
      <c r="F943" s="53" t="s">
        <v>53</v>
      </c>
      <c r="G943" s="53" t="s">
        <v>25</v>
      </c>
      <c r="H943" s="53" t="s">
        <v>25</v>
      </c>
      <c r="I943" s="75">
        <v>44743</v>
      </c>
      <c r="J943" s="76">
        <f>EFEITO!$J$943*EFEITO!$Y$610</f>
        <v>0</v>
      </c>
      <c r="K943" s="76">
        <f ca="1">EFEITO!$L$943*EFEITO!$Z$610</f>
        <v>89.134637396666079</v>
      </c>
      <c r="L943" s="76">
        <f>EFEITO!$N$943*EFEITO!$AA$610</f>
        <v>65.590587772140225</v>
      </c>
      <c r="M943" s="76">
        <f>$J$943-EFEITO!$K$943*EFEITO!$Y$943</f>
        <v>0</v>
      </c>
      <c r="N943" s="76">
        <f ca="1">$K$943-EFEITO!$M$943*EFEITO!$Z$943</f>
        <v>7.1307709917332858</v>
      </c>
      <c r="O943" s="76">
        <f>$L$943-EFEITO!$O$943*EFEITO!$AA$943</f>
        <v>5.2472470217712086</v>
      </c>
      <c r="P943" s="57"/>
      <c r="Q943" s="57"/>
      <c r="R943" s="57"/>
      <c r="S943" s="57"/>
      <c r="T943" s="57"/>
      <c r="U943" s="57"/>
      <c r="V943" s="57"/>
      <c r="W943" s="57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spans="1:36" ht="11.25" customHeight="1" x14ac:dyDescent="0.2">
      <c r="A944" s="53" t="s">
        <v>56</v>
      </c>
      <c r="B944" s="53" t="s">
        <v>43</v>
      </c>
      <c r="C944" s="53" t="s">
        <v>23</v>
      </c>
      <c r="D944" s="53" t="s">
        <v>44</v>
      </c>
      <c r="E944" s="53" t="s">
        <v>55</v>
      </c>
      <c r="F944" s="53" t="s">
        <v>53</v>
      </c>
      <c r="G944" s="53" t="s">
        <v>25</v>
      </c>
      <c r="H944" s="53" t="s">
        <v>25</v>
      </c>
      <c r="I944" s="75">
        <v>44774</v>
      </c>
      <c r="J944" s="76">
        <f>EFEITO!$J$944*EFEITO!$Y$610</f>
        <v>0</v>
      </c>
      <c r="K944" s="76">
        <f ca="1">EFEITO!$L$944*EFEITO!$Z$610</f>
        <v>89.134637396666079</v>
      </c>
      <c r="L944" s="76">
        <f>EFEITO!$N$944*EFEITO!$AA$610</f>
        <v>65.590587772140225</v>
      </c>
      <c r="M944" s="76">
        <f>$J$944-EFEITO!$K$944*EFEITO!$Y$944</f>
        <v>0</v>
      </c>
      <c r="N944" s="76">
        <f ca="1">$K$944-EFEITO!$M$944*EFEITO!$Z$944</f>
        <v>7.1307709917332858</v>
      </c>
      <c r="O944" s="76">
        <f>$L$944-EFEITO!$O$944*EFEITO!$AA$944</f>
        <v>5.2472470217712086</v>
      </c>
      <c r="P944" s="57"/>
      <c r="Q944" s="57"/>
      <c r="R944" s="57"/>
      <c r="S944" s="57"/>
      <c r="T944" s="57"/>
      <c r="U944" s="57"/>
      <c r="V944" s="57"/>
      <c r="W944" s="57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spans="1:36" ht="11.25" customHeight="1" x14ac:dyDescent="0.2">
      <c r="A945" s="53" t="s">
        <v>21</v>
      </c>
      <c r="B945" s="53" t="s">
        <v>43</v>
      </c>
      <c r="C945" s="53" t="s">
        <v>23</v>
      </c>
      <c r="D945" s="53" t="s">
        <v>44</v>
      </c>
      <c r="E945" s="53" t="s">
        <v>55</v>
      </c>
      <c r="F945" s="53" t="s">
        <v>54</v>
      </c>
      <c r="G945" s="53" t="s">
        <v>25</v>
      </c>
      <c r="H945" s="53" t="s">
        <v>25</v>
      </c>
      <c r="I945" s="75">
        <v>44440</v>
      </c>
      <c r="J945" s="76">
        <f>EFEITO!$J$945*EFEITO!$Y$610</f>
        <v>0</v>
      </c>
      <c r="K945" s="76">
        <f ca="1">EFEITO!$L$945*EFEITO!$Z$610</f>
        <v>1479.634980784657</v>
      </c>
      <c r="L945" s="76">
        <f>EFEITO!$N$945*EFEITO!$AA$610</f>
        <v>1088.8037570175279</v>
      </c>
      <c r="M945" s="76">
        <f>$J$945-EFEITO!$K$945*EFEITO!$Y$945</f>
        <v>0</v>
      </c>
      <c r="N945" s="76">
        <f ca="1">$K$945-EFEITO!$M$945*EFEITO!$Z$945</f>
        <v>1104.1036226615111</v>
      </c>
      <c r="O945" s="76">
        <f>$L$945-EFEITO!$O$945*EFEITO!$AA$945</f>
        <v>812.4653634864793</v>
      </c>
      <c r="P945" s="57"/>
      <c r="Q945" s="57"/>
      <c r="R945" s="57"/>
      <c r="S945" s="57"/>
      <c r="T945" s="57"/>
      <c r="U945" s="57"/>
      <c r="V945" s="57"/>
      <c r="W945" s="57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pans="1:36" ht="11.25" customHeight="1" x14ac:dyDescent="0.2">
      <c r="A946" s="53" t="s">
        <v>21</v>
      </c>
      <c r="B946" s="53" t="s">
        <v>43</v>
      </c>
      <c r="C946" s="53" t="s">
        <v>23</v>
      </c>
      <c r="D946" s="53" t="s">
        <v>44</v>
      </c>
      <c r="E946" s="53" t="s">
        <v>55</v>
      </c>
      <c r="F946" s="53" t="s">
        <v>54</v>
      </c>
      <c r="G946" s="53" t="s">
        <v>25</v>
      </c>
      <c r="H946" s="53" t="s">
        <v>25</v>
      </c>
      <c r="I946" s="75">
        <v>44470</v>
      </c>
      <c r="J946" s="76">
        <f>EFEITO!$J$946*EFEITO!$Y$610</f>
        <v>0</v>
      </c>
      <c r="K946" s="76">
        <f ca="1">EFEITO!$L$946*EFEITO!$Z$610</f>
        <v>1943.1350952473208</v>
      </c>
      <c r="L946" s="76">
        <f>EFEITO!$N$946*EFEITO!$AA$610</f>
        <v>1429.8748134326572</v>
      </c>
      <c r="M946" s="76">
        <f>$J$946-EFEITO!$K$946*EFEITO!$Y$946</f>
        <v>0</v>
      </c>
      <c r="N946" s="76">
        <f ca="1">$K$946-EFEITO!$M$946*EFEITO!$Z$946</f>
        <v>1449.9674080735508</v>
      </c>
      <c r="O946" s="76">
        <f>$L$946-EFEITO!$O$946*EFEITO!$AA$946</f>
        <v>1066.9725857834487</v>
      </c>
      <c r="P946" s="57"/>
      <c r="Q946" s="57"/>
      <c r="R946" s="57"/>
      <c r="S946" s="57"/>
      <c r="T946" s="57"/>
      <c r="U946" s="57"/>
      <c r="V946" s="57"/>
      <c r="W946" s="57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spans="1:36" ht="11.25" customHeight="1" x14ac:dyDescent="0.2">
      <c r="A947" s="53" t="s">
        <v>21</v>
      </c>
      <c r="B947" s="53" t="s">
        <v>43</v>
      </c>
      <c r="C947" s="53" t="s">
        <v>23</v>
      </c>
      <c r="D947" s="53" t="s">
        <v>44</v>
      </c>
      <c r="E947" s="53" t="s">
        <v>55</v>
      </c>
      <c r="F947" s="53" t="s">
        <v>54</v>
      </c>
      <c r="G947" s="53" t="s">
        <v>25</v>
      </c>
      <c r="H947" s="53" t="s">
        <v>25</v>
      </c>
      <c r="I947" s="75">
        <v>44501</v>
      </c>
      <c r="J947" s="76">
        <f>EFEITO!$J$947*EFEITO!$Y$610</f>
        <v>0</v>
      </c>
      <c r="K947" s="76">
        <f ca="1">EFEITO!$L$947*EFEITO!$Z$610</f>
        <v>17.826927479333218</v>
      </c>
      <c r="L947" s="76">
        <f>EFEITO!$N$947*EFEITO!$AA$610</f>
        <v>13.118117554428048</v>
      </c>
      <c r="M947" s="76">
        <f>$J$947-EFEITO!$K$947*EFEITO!$Y$947</f>
        <v>0</v>
      </c>
      <c r="N947" s="76">
        <f ca="1">$K$947-EFEITO!$M$947*EFEITO!$Z$947</f>
        <v>13.302453285078448</v>
      </c>
      <c r="O947" s="76">
        <f>$L$947-EFEITO!$O$947*EFEITO!$AA$947</f>
        <v>9.7887393191142102</v>
      </c>
      <c r="P947" s="57"/>
      <c r="Q947" s="57"/>
      <c r="R947" s="57"/>
      <c r="S947" s="57"/>
      <c r="T947" s="57"/>
      <c r="U947" s="57"/>
      <c r="V947" s="57"/>
      <c r="W947" s="57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11.25" customHeight="1" x14ac:dyDescent="0.2">
      <c r="A948" s="53" t="s">
        <v>21</v>
      </c>
      <c r="B948" s="53" t="s">
        <v>43</v>
      </c>
      <c r="C948" s="53" t="s">
        <v>23</v>
      </c>
      <c r="D948" s="53" t="s">
        <v>44</v>
      </c>
      <c r="E948" s="53" t="s">
        <v>55</v>
      </c>
      <c r="F948" s="53" t="s">
        <v>54</v>
      </c>
      <c r="G948" s="53" t="s">
        <v>25</v>
      </c>
      <c r="H948" s="53" t="s">
        <v>25</v>
      </c>
      <c r="I948" s="75">
        <v>44531</v>
      </c>
      <c r="J948" s="76">
        <f>EFEITO!$J$948*EFEITO!$Y$610</f>
        <v>0</v>
      </c>
      <c r="K948" s="76">
        <f ca="1">EFEITO!$L$948*EFEITO!$Z$610</f>
        <v>320.88469462799793</v>
      </c>
      <c r="L948" s="76">
        <f>EFEITO!$N$948*EFEITO!$AA$610</f>
        <v>236.12611597970485</v>
      </c>
      <c r="M948" s="76">
        <f>$J$948-EFEITO!$K$948*EFEITO!$Y$948</f>
        <v>0</v>
      </c>
      <c r="N948" s="76">
        <f ca="1">$K$948-EFEITO!$M$948*EFEITO!$Z$948</f>
        <v>239.44415913141205</v>
      </c>
      <c r="O948" s="76">
        <f>$L$948-EFEITO!$O$948*EFEITO!$AA$948</f>
        <v>176.19730774405576</v>
      </c>
      <c r="P948" s="57"/>
      <c r="Q948" s="57"/>
      <c r="R948" s="57"/>
      <c r="S948" s="57"/>
      <c r="T948" s="57"/>
      <c r="U948" s="57"/>
      <c r="V948" s="57"/>
      <c r="W948" s="57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11.25" customHeight="1" x14ac:dyDescent="0.2">
      <c r="A949" s="53" t="s">
        <v>21</v>
      </c>
      <c r="B949" s="53" t="s">
        <v>43</v>
      </c>
      <c r="C949" s="53" t="s">
        <v>23</v>
      </c>
      <c r="D949" s="53" t="s">
        <v>44</v>
      </c>
      <c r="E949" s="53" t="s">
        <v>55</v>
      </c>
      <c r="F949" s="53" t="s">
        <v>54</v>
      </c>
      <c r="G949" s="53" t="s">
        <v>25</v>
      </c>
      <c r="H949" s="53" t="s">
        <v>25</v>
      </c>
      <c r="I949" s="75">
        <v>44562</v>
      </c>
      <c r="J949" s="76">
        <f>EFEITO!$J$949*EFEITO!$Y$610</f>
        <v>0</v>
      </c>
      <c r="K949" s="76">
        <f ca="1">EFEITO!$L$949*EFEITO!$Z$610</f>
        <v>606.1155342973293</v>
      </c>
      <c r="L949" s="76">
        <f>EFEITO!$N$949*EFEITO!$AA$610</f>
        <v>446.01599685055356</v>
      </c>
      <c r="M949" s="76">
        <f>$J$949-EFEITO!$K$949*EFEITO!$Y$949</f>
        <v>0</v>
      </c>
      <c r="N949" s="76">
        <f ca="1">$K$949-EFEITO!$M$949*EFEITO!$Z$949</f>
        <v>452.28341169266713</v>
      </c>
      <c r="O949" s="76">
        <f>$L$949-EFEITO!$O$949*EFEITO!$AA$949</f>
        <v>332.81713684988307</v>
      </c>
      <c r="P949" s="57"/>
      <c r="Q949" s="57"/>
      <c r="R949" s="57"/>
      <c r="S949" s="57"/>
      <c r="T949" s="57"/>
      <c r="U949" s="57"/>
      <c r="V949" s="57"/>
      <c r="W949" s="57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spans="1:36" ht="11.25" customHeight="1" x14ac:dyDescent="0.2">
      <c r="A950" s="53" t="s">
        <v>21</v>
      </c>
      <c r="B950" s="53" t="s">
        <v>43</v>
      </c>
      <c r="C950" s="53" t="s">
        <v>23</v>
      </c>
      <c r="D950" s="53" t="s">
        <v>44</v>
      </c>
      <c r="E950" s="53" t="s">
        <v>55</v>
      </c>
      <c r="F950" s="53" t="s">
        <v>54</v>
      </c>
      <c r="G950" s="53" t="s">
        <v>25</v>
      </c>
      <c r="H950" s="53" t="s">
        <v>25</v>
      </c>
      <c r="I950" s="75">
        <v>44593</v>
      </c>
      <c r="J950" s="76">
        <f>EFEITO!$J$950*EFEITO!$Y$610</f>
        <v>0</v>
      </c>
      <c r="K950" s="76">
        <f ca="1">EFEITO!$L$950*EFEITO!$Z$610</f>
        <v>958.74085590072548</v>
      </c>
      <c r="L950" s="76">
        <f>EFEITO!$N$950*EFEITO!$AA$610</f>
        <v>705.49876115887423</v>
      </c>
      <c r="M950" s="76">
        <f>$J$950-EFEITO!$K$950*EFEITO!$Y$950</f>
        <v>0</v>
      </c>
      <c r="N950" s="76">
        <f ca="1">$K$950-EFEITO!$M$950*EFEITO!$Z$950</f>
        <v>715.41242667312133</v>
      </c>
      <c r="O950" s="76">
        <f>$L$950-EFEITO!$O$950*EFEITO!$AA$950</f>
        <v>526.44317557675197</v>
      </c>
      <c r="P950" s="57"/>
      <c r="Q950" s="57"/>
      <c r="R950" s="57"/>
      <c r="S950" s="57"/>
      <c r="T950" s="57"/>
      <c r="U950" s="57"/>
      <c r="V950" s="57"/>
      <c r="W950" s="57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spans="1:36" ht="11.25" customHeight="1" x14ac:dyDescent="0.2">
      <c r="A951" s="53" t="s">
        <v>21</v>
      </c>
      <c r="B951" s="53" t="s">
        <v>43</v>
      </c>
      <c r="C951" s="53" t="s">
        <v>23</v>
      </c>
      <c r="D951" s="53" t="s">
        <v>44</v>
      </c>
      <c r="E951" s="53" t="s">
        <v>55</v>
      </c>
      <c r="F951" s="53" t="s">
        <v>54</v>
      </c>
      <c r="G951" s="53" t="s">
        <v>25</v>
      </c>
      <c r="H951" s="53" t="s">
        <v>25</v>
      </c>
      <c r="I951" s="75">
        <v>44621</v>
      </c>
      <c r="J951" s="76">
        <f>EFEITO!$J$951*EFEITO!$Y$610</f>
        <v>0</v>
      </c>
      <c r="K951" s="76">
        <f ca="1">EFEITO!$L$951*EFEITO!$Z$610</f>
        <v>253.92501580318532</v>
      </c>
      <c r="L951" s="76">
        <f>EFEITO!$N$951*EFEITO!$AA$610</f>
        <v>186.85318662892632</v>
      </c>
      <c r="M951" s="76">
        <f>$J$951-EFEITO!$K$951*EFEITO!$Y$951</f>
        <v>0</v>
      </c>
      <c r="N951" s="76">
        <f ca="1">$K$951-EFEITO!$M$951*EFEITO!$Z$951</f>
        <v>158.44920986118763</v>
      </c>
      <c r="O951" s="76">
        <f>$L$951-EFEITO!$O$951*EFEITO!$AA$951</f>
        <v>116.59638845645001</v>
      </c>
      <c r="P951" s="57"/>
      <c r="Q951" s="57"/>
      <c r="R951" s="57"/>
      <c r="S951" s="57"/>
      <c r="T951" s="57"/>
      <c r="U951" s="57"/>
      <c r="V951" s="57"/>
      <c r="W951" s="57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spans="1:36" ht="11.25" customHeight="1" x14ac:dyDescent="0.2">
      <c r="A952" s="53" t="s">
        <v>21</v>
      </c>
      <c r="B952" s="53" t="s">
        <v>43</v>
      </c>
      <c r="C952" s="53" t="s">
        <v>23</v>
      </c>
      <c r="D952" s="53" t="s">
        <v>44</v>
      </c>
      <c r="E952" s="53" t="s">
        <v>55</v>
      </c>
      <c r="F952" s="53" t="s">
        <v>54</v>
      </c>
      <c r="G952" s="53" t="s">
        <v>25</v>
      </c>
      <c r="H952" s="53" t="s">
        <v>25</v>
      </c>
      <c r="I952" s="75">
        <v>44652</v>
      </c>
      <c r="J952" s="76">
        <f>EFEITO!$J$952*EFEITO!$Y$610</f>
        <v>0</v>
      </c>
      <c r="K952" s="76">
        <f ca="1">EFEITO!$L$952*EFEITO!$Z$610</f>
        <v>1087.4425762393262</v>
      </c>
      <c r="L952" s="76">
        <f>EFEITO!$N$952*EFEITO!$AA$610</f>
        <v>800.20517082011088</v>
      </c>
      <c r="M952" s="76">
        <f>$J$952-EFEITO!$K$952*EFEITO!$Y$952</f>
        <v>0</v>
      </c>
      <c r="N952" s="76">
        <f ca="1">$K$952-EFEITO!$M$952*EFEITO!$Z$952</f>
        <v>811.44965038978512</v>
      </c>
      <c r="O952" s="76">
        <f>$L$952-EFEITO!$O$952*EFEITO!$AA$952</f>
        <v>597.11309846596669</v>
      </c>
      <c r="P952" s="57"/>
      <c r="Q952" s="57"/>
      <c r="R952" s="57"/>
      <c r="S952" s="57"/>
      <c r="T952" s="57"/>
      <c r="U952" s="57"/>
      <c r="V952" s="57"/>
      <c r="W952" s="57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spans="1:36" ht="11.25" customHeight="1" x14ac:dyDescent="0.2">
      <c r="A953" s="53" t="s">
        <v>21</v>
      </c>
      <c r="B953" s="53" t="s">
        <v>43</v>
      </c>
      <c r="C953" s="53" t="s">
        <v>23</v>
      </c>
      <c r="D953" s="53" t="s">
        <v>44</v>
      </c>
      <c r="E953" s="53" t="s">
        <v>55</v>
      </c>
      <c r="F953" s="53" t="s">
        <v>54</v>
      </c>
      <c r="G953" s="53" t="s">
        <v>25</v>
      </c>
      <c r="H953" s="53" t="s">
        <v>25</v>
      </c>
      <c r="I953" s="75">
        <v>44682</v>
      </c>
      <c r="J953" s="76">
        <f>EFEITO!$J$953*EFEITO!$Y$610</f>
        <v>0</v>
      </c>
      <c r="K953" s="76">
        <f ca="1">EFEITO!$L$953*EFEITO!$Z$610</f>
        <v>1443.9811258259906</v>
      </c>
      <c r="L953" s="76">
        <f>EFEITO!$N$953*EFEITO!$AA$610</f>
        <v>1062.5675219086718</v>
      </c>
      <c r="M953" s="76">
        <f>$J$953-EFEITO!$K$953*EFEITO!$Y$953</f>
        <v>0</v>
      </c>
      <c r="N953" s="76">
        <f ca="1">$K$953-EFEITO!$M$953*EFEITO!$Z$953</f>
        <v>1077.4987160913543</v>
      </c>
      <c r="O953" s="76">
        <f>$L$953-EFEITO!$O$953*EFEITO!$AA$953</f>
        <v>792.88788484825091</v>
      </c>
      <c r="P953" s="57"/>
      <c r="Q953" s="57"/>
      <c r="R953" s="57"/>
      <c r="S953" s="57"/>
      <c r="T953" s="57"/>
      <c r="U953" s="57"/>
      <c r="V953" s="57"/>
      <c r="W953" s="57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11.25" customHeight="1" x14ac:dyDescent="0.2">
      <c r="A954" s="53" t="s">
        <v>21</v>
      </c>
      <c r="B954" s="53" t="s">
        <v>43</v>
      </c>
      <c r="C954" s="53" t="s">
        <v>23</v>
      </c>
      <c r="D954" s="53" t="s">
        <v>44</v>
      </c>
      <c r="E954" s="53" t="s">
        <v>55</v>
      </c>
      <c r="F954" s="53" t="s">
        <v>54</v>
      </c>
      <c r="G954" s="53" t="s">
        <v>25</v>
      </c>
      <c r="H954" s="53" t="s">
        <v>25</v>
      </c>
      <c r="I954" s="75">
        <v>44713</v>
      </c>
      <c r="J954" s="76">
        <f>EFEITO!$J$954*EFEITO!$Y$610</f>
        <v>0</v>
      </c>
      <c r="K954" s="76">
        <f ca="1">EFEITO!$L$954*EFEITO!$Z$610</f>
        <v>320.88469462799793</v>
      </c>
      <c r="L954" s="76">
        <f>EFEITO!$N$954*EFEITO!$AA$610</f>
        <v>236.12611597970485</v>
      </c>
      <c r="M954" s="76">
        <f>$J$954-EFEITO!$K$954*EFEITO!$Y$954</f>
        <v>0</v>
      </c>
      <c r="N954" s="76">
        <f ca="1">$K$954-EFEITO!$M$954*EFEITO!$Z$954</f>
        <v>239.44415913141205</v>
      </c>
      <c r="O954" s="76">
        <f>$L$954-EFEITO!$O$954*EFEITO!$AA$954</f>
        <v>176.19730774405576</v>
      </c>
      <c r="P954" s="57"/>
      <c r="Q954" s="57"/>
      <c r="R954" s="57"/>
      <c r="S954" s="57"/>
      <c r="T954" s="57"/>
      <c r="U954" s="57"/>
      <c r="V954" s="57"/>
      <c r="W954" s="57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11.25" customHeight="1" x14ac:dyDescent="0.2">
      <c r="A955" s="53" t="s">
        <v>21</v>
      </c>
      <c r="B955" s="53" t="s">
        <v>43</v>
      </c>
      <c r="C955" s="53" t="s">
        <v>23</v>
      </c>
      <c r="D955" s="53" t="s">
        <v>44</v>
      </c>
      <c r="E955" s="53" t="s">
        <v>55</v>
      </c>
      <c r="F955" s="53" t="s">
        <v>54</v>
      </c>
      <c r="G955" s="53" t="s">
        <v>25</v>
      </c>
      <c r="H955" s="53" t="s">
        <v>25</v>
      </c>
      <c r="I955" s="75">
        <v>44743</v>
      </c>
      <c r="J955" s="76">
        <f>EFEITO!$J$955*EFEITO!$Y$610</f>
        <v>0</v>
      </c>
      <c r="K955" s="76">
        <f ca="1">EFEITO!$L$955*EFEITO!$Z$610</f>
        <v>285.23083966933149</v>
      </c>
      <c r="L955" s="76">
        <f>EFEITO!$N$955*EFEITO!$AA$610</f>
        <v>209.88988087084877</v>
      </c>
      <c r="M955" s="76">
        <f>$J$955-EFEITO!$K$955*EFEITO!$Y$955</f>
        <v>0</v>
      </c>
      <c r="N955" s="76">
        <f ca="1">$K$955-EFEITO!$M$955*EFEITO!$Z$955</f>
        <v>212.83925256125517</v>
      </c>
      <c r="O955" s="76">
        <f>$L$955-EFEITO!$O$955*EFEITO!$AA$955</f>
        <v>156.61982910582736</v>
      </c>
      <c r="P955" s="57"/>
      <c r="Q955" s="57"/>
      <c r="R955" s="57"/>
      <c r="S955" s="57"/>
      <c r="T955" s="57"/>
      <c r="U955" s="57"/>
      <c r="V955" s="57"/>
      <c r="W955" s="57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11.25" customHeight="1" x14ac:dyDescent="0.2">
      <c r="A956" s="53" t="s">
        <v>56</v>
      </c>
      <c r="B956" s="53" t="s">
        <v>43</v>
      </c>
      <c r="C956" s="53" t="s">
        <v>23</v>
      </c>
      <c r="D956" s="53" t="s">
        <v>44</v>
      </c>
      <c r="E956" s="53" t="s">
        <v>55</v>
      </c>
      <c r="F956" s="53" t="s">
        <v>54</v>
      </c>
      <c r="G956" s="53" t="s">
        <v>25</v>
      </c>
      <c r="H956" s="53" t="s">
        <v>25</v>
      </c>
      <c r="I956" s="75">
        <v>44774</v>
      </c>
      <c r="J956" s="76">
        <f>EFEITO!$J$956*EFEITO!$Y$610</f>
        <v>0</v>
      </c>
      <c r="K956" s="76">
        <f ca="1">EFEITO!$L$956*EFEITO!$Z$610</f>
        <v>285.23083966933149</v>
      </c>
      <c r="L956" s="76">
        <f>EFEITO!$N$956*EFEITO!$AA$610</f>
        <v>209.88988087084877</v>
      </c>
      <c r="M956" s="76">
        <f>$J$956-EFEITO!$K$956*EFEITO!$Y$956</f>
        <v>0</v>
      </c>
      <c r="N956" s="76">
        <f ca="1">$K$956-EFEITO!$M$956*EFEITO!$Z$956</f>
        <v>212.83925256125517</v>
      </c>
      <c r="O956" s="76">
        <f>$L$956-EFEITO!$O$956*EFEITO!$AA$956</f>
        <v>156.61982910582736</v>
      </c>
      <c r="P956" s="57"/>
      <c r="Q956" s="57"/>
      <c r="R956" s="57"/>
      <c r="S956" s="57"/>
      <c r="T956" s="57"/>
      <c r="U956" s="57"/>
      <c r="V956" s="57"/>
      <c r="W956" s="57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 ht="11.25" customHeight="1" x14ac:dyDescent="0.2">
      <c r="A957" s="53" t="s">
        <v>21</v>
      </c>
      <c r="B957" s="53" t="s">
        <v>37</v>
      </c>
      <c r="C957" s="53" t="s">
        <v>33</v>
      </c>
      <c r="D957" s="53" t="s">
        <v>41</v>
      </c>
      <c r="E957" s="53" t="s">
        <v>25</v>
      </c>
      <c r="F957" s="53" t="s">
        <v>25</v>
      </c>
      <c r="G957" s="53" t="s">
        <v>25</v>
      </c>
      <c r="H957" s="53" t="s">
        <v>35</v>
      </c>
      <c r="I957" s="75">
        <v>44440</v>
      </c>
      <c r="J957" s="76">
        <f>EFEITO!$J$957*EFEITO!$Y$957</f>
        <v>0</v>
      </c>
      <c r="K957" s="76">
        <f ca="1">EFEITO!$L$957*EFEITO!$Z$957</f>
        <v>20498.641483650699</v>
      </c>
      <c r="L957" s="76">
        <f>EFEITO!$N$957*EFEITO!$AA$957</f>
        <v>17237.365548455607</v>
      </c>
      <c r="M957" s="76">
        <f>$J$957-EFEITO!$K$957*EFEITO!$Y$957</f>
        <v>0</v>
      </c>
      <c r="N957" s="76">
        <f ca="1">$K$957-EFEITO!$M$957*EFEITO!$Z$957</f>
        <v>0</v>
      </c>
      <c r="O957" s="76">
        <f>$L$957-EFEITO!$O$957*EFEITO!$AA$957</f>
        <v>0</v>
      </c>
      <c r="P957" s="57"/>
      <c r="Q957" s="57"/>
      <c r="R957" s="57"/>
      <c r="S957" s="57"/>
      <c r="T957" s="57"/>
      <c r="U957" s="57"/>
      <c r="V957" s="57"/>
      <c r="W957" s="57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spans="1:36" ht="11.25" customHeight="1" x14ac:dyDescent="0.2">
      <c r="A958" s="53" t="s">
        <v>28</v>
      </c>
      <c r="B958" s="53" t="s">
        <v>37</v>
      </c>
      <c r="C958" s="53" t="s">
        <v>33</v>
      </c>
      <c r="D958" s="53" t="s">
        <v>41</v>
      </c>
      <c r="E958" s="53" t="s">
        <v>25</v>
      </c>
      <c r="F958" s="53" t="s">
        <v>25</v>
      </c>
      <c r="G958" s="53" t="s">
        <v>25</v>
      </c>
      <c r="H958" s="53" t="s">
        <v>35</v>
      </c>
      <c r="I958" s="75">
        <v>44440</v>
      </c>
      <c r="J958" s="76">
        <f>EFEITO!$J$958*EFEITO!$Y$958</f>
        <v>0</v>
      </c>
      <c r="K958" s="76">
        <f ca="1">EFEITO!$L$958*EFEITO!$Z$958</f>
        <v>1718.129854811119</v>
      </c>
      <c r="L958" s="76">
        <f>EFEITO!$N$958*EFEITO!$AA$958</f>
        <v>1444.7802499846327</v>
      </c>
      <c r="M958" s="76">
        <f>$J$958-EFEITO!$K$958*EFEITO!$Y$958</f>
        <v>0</v>
      </c>
      <c r="N958" s="76">
        <f ca="1">$K$958-EFEITO!$M$958*EFEITO!$Z$958</f>
        <v>0</v>
      </c>
      <c r="O958" s="76">
        <f>$L$958-EFEITO!$O$958*EFEITO!$AA$958</f>
        <v>0</v>
      </c>
      <c r="P958" s="57"/>
      <c r="Q958" s="57"/>
      <c r="R958" s="57"/>
      <c r="S958" s="57"/>
      <c r="T958" s="57"/>
      <c r="U958" s="57"/>
      <c r="V958" s="57"/>
      <c r="W958" s="57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spans="1:36" ht="11.25" customHeight="1" x14ac:dyDescent="0.2">
      <c r="A959" s="53" t="s">
        <v>21</v>
      </c>
      <c r="B959" s="53" t="s">
        <v>37</v>
      </c>
      <c r="C959" s="53" t="s">
        <v>33</v>
      </c>
      <c r="D959" s="53" t="s">
        <v>41</v>
      </c>
      <c r="E959" s="53" t="s">
        <v>25</v>
      </c>
      <c r="F959" s="53" t="s">
        <v>25</v>
      </c>
      <c r="G959" s="53" t="s">
        <v>25</v>
      </c>
      <c r="H959" s="53" t="s">
        <v>35</v>
      </c>
      <c r="I959" s="75">
        <v>44470</v>
      </c>
      <c r="J959" s="76">
        <f>EFEITO!$J$959*EFEITO!$Y$959</f>
        <v>0</v>
      </c>
      <c r="K959" s="76">
        <f ca="1">EFEITO!$L$959*EFEITO!$Z$959</f>
        <v>24005.961216810178</v>
      </c>
      <c r="L959" s="76">
        <f>EFEITO!$N$959*EFEITO!$AA$959</f>
        <v>20186.680623018034</v>
      </c>
      <c r="M959" s="76">
        <f>$J$959-EFEITO!$K$959*EFEITO!$Y$959</f>
        <v>0</v>
      </c>
      <c r="N959" s="76">
        <f ca="1">$K$959-EFEITO!$M$959*EFEITO!$Z$959</f>
        <v>0</v>
      </c>
      <c r="O959" s="76">
        <f>$L$959-EFEITO!$O$959*EFEITO!$AA$959</f>
        <v>0</v>
      </c>
      <c r="P959" s="57"/>
      <c r="Q959" s="57"/>
      <c r="R959" s="57"/>
      <c r="S959" s="57"/>
      <c r="T959" s="57"/>
      <c r="U959" s="57"/>
      <c r="V959" s="57"/>
      <c r="W959" s="57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pans="1:36" ht="11.25" customHeight="1" x14ac:dyDescent="0.2">
      <c r="A960" s="53" t="s">
        <v>28</v>
      </c>
      <c r="B960" s="53" t="s">
        <v>37</v>
      </c>
      <c r="C960" s="53" t="s">
        <v>33</v>
      </c>
      <c r="D960" s="53" t="s">
        <v>41</v>
      </c>
      <c r="E960" s="53" t="s">
        <v>25</v>
      </c>
      <c r="F960" s="53" t="s">
        <v>25</v>
      </c>
      <c r="G960" s="53" t="s">
        <v>25</v>
      </c>
      <c r="H960" s="53" t="s">
        <v>35</v>
      </c>
      <c r="I960" s="75">
        <v>44470</v>
      </c>
      <c r="J960" s="76">
        <f>EFEITO!$J$960*EFEITO!$Y$960</f>
        <v>0</v>
      </c>
      <c r="K960" s="76">
        <f ca="1">EFEITO!$L$960*EFEITO!$Z$960</f>
        <v>1489.7226362985625</v>
      </c>
      <c r="L960" s="76">
        <f>EFEITO!$N$960*EFEITO!$AA$960</f>
        <v>1252.7119745066166</v>
      </c>
      <c r="M960" s="76">
        <f>$J$960-EFEITO!$K$960*EFEITO!$Y$960</f>
        <v>0</v>
      </c>
      <c r="N960" s="76">
        <f ca="1">$K$960-EFEITO!$M$960*EFEITO!$Z$960</f>
        <v>0</v>
      </c>
      <c r="O960" s="76">
        <f>$L$960-EFEITO!$O$960*EFEITO!$AA$960</f>
        <v>0</v>
      </c>
      <c r="P960" s="57"/>
      <c r="Q960" s="57"/>
      <c r="R960" s="57"/>
      <c r="S960" s="57"/>
      <c r="T960" s="57"/>
      <c r="U960" s="57"/>
      <c r="V960" s="57"/>
      <c r="W960" s="57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spans="1:36" ht="11.25" customHeight="1" x14ac:dyDescent="0.2">
      <c r="A961" s="53" t="s">
        <v>21</v>
      </c>
      <c r="B961" s="53" t="s">
        <v>37</v>
      </c>
      <c r="C961" s="53" t="s">
        <v>33</v>
      </c>
      <c r="D961" s="53" t="s">
        <v>41</v>
      </c>
      <c r="E961" s="53" t="s">
        <v>25</v>
      </c>
      <c r="F961" s="53" t="s">
        <v>25</v>
      </c>
      <c r="G961" s="53" t="s">
        <v>25</v>
      </c>
      <c r="H961" s="53" t="s">
        <v>35</v>
      </c>
      <c r="I961" s="75">
        <v>44501</v>
      </c>
      <c r="J961" s="76">
        <f>EFEITO!$J$961*EFEITO!$Y$961</f>
        <v>0</v>
      </c>
      <c r="K961" s="76">
        <f ca="1">EFEITO!$L$961*EFEITO!$Z$961</f>
        <v>23261.643725371639</v>
      </c>
      <c r="L961" s="76">
        <f>EFEITO!$N$961*EFEITO!$AA$961</f>
        <v>19560.781941182533</v>
      </c>
      <c r="M961" s="76">
        <f>$J$961-EFEITO!$K$961*EFEITO!$Y$961</f>
        <v>0</v>
      </c>
      <c r="N961" s="76">
        <f ca="1">$K$961-EFEITO!$M$961*EFEITO!$Z$961</f>
        <v>0</v>
      </c>
      <c r="O961" s="76">
        <f>$L$961-EFEITO!$O$961*EFEITO!$AA$961</f>
        <v>0</v>
      </c>
      <c r="P961" s="57"/>
      <c r="Q961" s="57"/>
      <c r="R961" s="57"/>
      <c r="S961" s="57"/>
      <c r="T961" s="57"/>
      <c r="U961" s="57"/>
      <c r="V961" s="57"/>
      <c r="W961" s="57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11.25" customHeight="1" x14ac:dyDescent="0.2">
      <c r="A962" s="53" t="s">
        <v>28</v>
      </c>
      <c r="B962" s="53" t="s">
        <v>37</v>
      </c>
      <c r="C962" s="53" t="s">
        <v>33</v>
      </c>
      <c r="D962" s="53" t="s">
        <v>41</v>
      </c>
      <c r="E962" s="53" t="s">
        <v>25</v>
      </c>
      <c r="F962" s="53" t="s">
        <v>25</v>
      </c>
      <c r="G962" s="53" t="s">
        <v>25</v>
      </c>
      <c r="H962" s="53" t="s">
        <v>35</v>
      </c>
      <c r="I962" s="75">
        <v>44501</v>
      </c>
      <c r="J962" s="76">
        <f>EFEITO!$J$962*EFEITO!$Y$962</f>
        <v>0</v>
      </c>
      <c r="K962" s="76">
        <f ca="1">EFEITO!$L$962*EFEITO!$Z$962</f>
        <v>1312.7976797364554</v>
      </c>
      <c r="L962" s="76">
        <f>EFEITO!$N$962*EFEITO!$AA$962</f>
        <v>1103.9352785807882</v>
      </c>
      <c r="M962" s="76">
        <f>$J$962-EFEITO!$K$962*EFEITO!$Y$962</f>
        <v>0</v>
      </c>
      <c r="N962" s="76">
        <f ca="1">$K$962-EFEITO!$M$962*EFEITO!$Z$962</f>
        <v>0</v>
      </c>
      <c r="O962" s="76">
        <f>$L$962-EFEITO!$O$962*EFEITO!$AA$962</f>
        <v>0</v>
      </c>
      <c r="P962" s="57"/>
      <c r="Q962" s="57"/>
      <c r="R962" s="57"/>
      <c r="S962" s="57"/>
      <c r="T962" s="57"/>
      <c r="U962" s="57"/>
      <c r="V962" s="57"/>
      <c r="W962" s="57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 ht="11.25" customHeight="1" x14ac:dyDescent="0.2">
      <c r="A963" s="53" t="s">
        <v>21</v>
      </c>
      <c r="B963" s="53" t="s">
        <v>37</v>
      </c>
      <c r="C963" s="53" t="s">
        <v>33</v>
      </c>
      <c r="D963" s="53" t="s">
        <v>41</v>
      </c>
      <c r="E963" s="53" t="s">
        <v>25</v>
      </c>
      <c r="F963" s="53" t="s">
        <v>25</v>
      </c>
      <c r="G963" s="53" t="s">
        <v>25</v>
      </c>
      <c r="H963" s="53" t="s">
        <v>35</v>
      </c>
      <c r="I963" s="75">
        <v>44531</v>
      </c>
      <c r="J963" s="76">
        <f>EFEITO!$J$963*EFEITO!$Y$963</f>
        <v>0</v>
      </c>
      <c r="K963" s="76">
        <f ca="1">EFEITO!$L$963*EFEITO!$Z$963</f>
        <v>28657.854900515911</v>
      </c>
      <c r="L963" s="76">
        <f>EFEITO!$N$963*EFEITO!$AA$963</f>
        <v>24098.471166920299</v>
      </c>
      <c r="M963" s="76">
        <f>$J$963-EFEITO!$K$963*EFEITO!$Y$963</f>
        <v>0</v>
      </c>
      <c r="N963" s="76">
        <f ca="1">$K$963-EFEITO!$M$963*EFEITO!$Z$963</f>
        <v>0</v>
      </c>
      <c r="O963" s="76">
        <f>$L$963-EFEITO!$O$963*EFEITO!$AA$963</f>
        <v>0</v>
      </c>
      <c r="P963" s="57"/>
      <c r="Q963" s="57"/>
      <c r="R963" s="57"/>
      <c r="S963" s="57"/>
      <c r="T963" s="57"/>
      <c r="U963" s="57"/>
      <c r="V963" s="57"/>
      <c r="W963" s="57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11.25" customHeight="1" x14ac:dyDescent="0.2">
      <c r="A964" s="53" t="s">
        <v>28</v>
      </c>
      <c r="B964" s="53" t="s">
        <v>37</v>
      </c>
      <c r="C964" s="53" t="s">
        <v>33</v>
      </c>
      <c r="D964" s="53" t="s">
        <v>41</v>
      </c>
      <c r="E964" s="53" t="s">
        <v>25</v>
      </c>
      <c r="F964" s="53" t="s">
        <v>25</v>
      </c>
      <c r="G964" s="53" t="s">
        <v>25</v>
      </c>
      <c r="H964" s="53" t="s">
        <v>35</v>
      </c>
      <c r="I964" s="75">
        <v>44531</v>
      </c>
      <c r="J964" s="76">
        <f>EFEITO!$J$964*EFEITO!$Y$964</f>
        <v>0</v>
      </c>
      <c r="K964" s="76">
        <f ca="1">EFEITO!$L$964*EFEITO!$Z$964</f>
        <v>1166.6895701165183</v>
      </c>
      <c r="L964" s="76">
        <f>EFEITO!$N$964*EFEITO!$AA$964</f>
        <v>981.07255633056513</v>
      </c>
      <c r="M964" s="76">
        <f>$J$964-EFEITO!$K$964*EFEITO!$Y$964</f>
        <v>0</v>
      </c>
      <c r="N964" s="76">
        <f ca="1">$K$964-EFEITO!$M$964*EFEITO!$Z$964</f>
        <v>0</v>
      </c>
      <c r="O964" s="76">
        <f>$L$964-EFEITO!$O$964*EFEITO!$AA$964</f>
        <v>0</v>
      </c>
      <c r="P964" s="57"/>
      <c r="Q964" s="57"/>
      <c r="R964" s="57"/>
      <c r="S964" s="57"/>
      <c r="T964" s="57"/>
      <c r="U964" s="57"/>
      <c r="V964" s="57"/>
      <c r="W964" s="57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 ht="11.25" customHeight="1" x14ac:dyDescent="0.2">
      <c r="A965" s="53" t="s">
        <v>21</v>
      </c>
      <c r="B965" s="53" t="s">
        <v>37</v>
      </c>
      <c r="C965" s="53" t="s">
        <v>33</v>
      </c>
      <c r="D965" s="53" t="s">
        <v>41</v>
      </c>
      <c r="E965" s="53" t="s">
        <v>25</v>
      </c>
      <c r="F965" s="53" t="s">
        <v>25</v>
      </c>
      <c r="G965" s="53" t="s">
        <v>25</v>
      </c>
      <c r="H965" s="53" t="s">
        <v>35</v>
      </c>
      <c r="I965" s="75">
        <v>44562</v>
      </c>
      <c r="J965" s="76">
        <f>EFEITO!$J$965*EFEITO!$Y$965</f>
        <v>0</v>
      </c>
      <c r="K965" s="76">
        <f ca="1">EFEITO!$L$965*EFEITO!$Z$965</f>
        <v>27452.009807225808</v>
      </c>
      <c r="L965" s="76">
        <f>EFEITO!$N$965*EFEITO!$AA$965</f>
        <v>23084.472620507786</v>
      </c>
      <c r="M965" s="76">
        <f>$J$965-EFEITO!$K$965*EFEITO!$Y$965</f>
        <v>0</v>
      </c>
      <c r="N965" s="76">
        <f ca="1">$K$965-EFEITO!$M$965*EFEITO!$Z$965</f>
        <v>0</v>
      </c>
      <c r="O965" s="76">
        <f>$L$965-EFEITO!$O$965*EFEITO!$AA$965</f>
        <v>0</v>
      </c>
      <c r="P965" s="57"/>
      <c r="Q965" s="57"/>
      <c r="R965" s="57"/>
      <c r="S965" s="57"/>
      <c r="T965" s="57"/>
      <c r="U965" s="57"/>
      <c r="V965" s="57"/>
      <c r="W965" s="57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spans="1:36" ht="11.25" customHeight="1" x14ac:dyDescent="0.2">
      <c r="A966" s="53" t="s">
        <v>27</v>
      </c>
      <c r="B966" s="53" t="s">
        <v>37</v>
      </c>
      <c r="C966" s="53" t="s">
        <v>33</v>
      </c>
      <c r="D966" s="53" t="s">
        <v>41</v>
      </c>
      <c r="E966" s="53" t="s">
        <v>25</v>
      </c>
      <c r="F966" s="53" t="s">
        <v>25</v>
      </c>
      <c r="G966" s="53" t="s">
        <v>25</v>
      </c>
      <c r="H966" s="53" t="s">
        <v>35</v>
      </c>
      <c r="I966" s="75">
        <v>44562</v>
      </c>
      <c r="J966" s="76">
        <f>EFEITO!$J$966*EFEITO!$Y$966</f>
        <v>0</v>
      </c>
      <c r="K966" s="76">
        <f ca="1">EFEITO!$L$966*EFEITO!$Z$966</f>
        <v>-2175.3068429767281</v>
      </c>
      <c r="L966" s="76">
        <f>EFEITO!$N$966*EFEITO!$AA$966</f>
        <v>-1829.2216712192017</v>
      </c>
      <c r="M966" s="76">
        <f>$J$966-EFEITO!$K$966*EFEITO!$Y$966</f>
        <v>0</v>
      </c>
      <c r="N966" s="76">
        <f ca="1">$K$966-EFEITO!$M$966*EFEITO!$Z$966</f>
        <v>0</v>
      </c>
      <c r="O966" s="76">
        <f>$L$966-EFEITO!$O$966*EFEITO!$AA$966</f>
        <v>0</v>
      </c>
      <c r="P966" s="57"/>
      <c r="Q966" s="57"/>
      <c r="R966" s="57"/>
      <c r="S966" s="57"/>
      <c r="T966" s="57"/>
      <c r="U966" s="57"/>
      <c r="V966" s="57"/>
      <c r="W966" s="57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11.25" customHeight="1" x14ac:dyDescent="0.2">
      <c r="A967" s="53" t="s">
        <v>28</v>
      </c>
      <c r="B967" s="53" t="s">
        <v>37</v>
      </c>
      <c r="C967" s="53" t="s">
        <v>33</v>
      </c>
      <c r="D967" s="53" t="s">
        <v>41</v>
      </c>
      <c r="E967" s="53" t="s">
        <v>25</v>
      </c>
      <c r="F967" s="53" t="s">
        <v>25</v>
      </c>
      <c r="G967" s="53" t="s">
        <v>25</v>
      </c>
      <c r="H967" s="53" t="s">
        <v>35</v>
      </c>
      <c r="I967" s="75">
        <v>44562</v>
      </c>
      <c r="J967" s="76">
        <f>EFEITO!$J$967*EFEITO!$Y$967</f>
        <v>0</v>
      </c>
      <c r="K967" s="76">
        <f ca="1">EFEITO!$L$967*EFEITO!$Z$967</f>
        <v>209.55455920675811</v>
      </c>
      <c r="L967" s="76">
        <f>EFEITO!$N$967*EFEITO!$AA$967</f>
        <v>176.2150209941164</v>
      </c>
      <c r="M967" s="76">
        <f>$J$967-EFEITO!$K$967*EFEITO!$Y$967</f>
        <v>0</v>
      </c>
      <c r="N967" s="76">
        <f ca="1">$K$967-EFEITO!$M$967*EFEITO!$Z$967</f>
        <v>0</v>
      </c>
      <c r="O967" s="76">
        <f>$L$967-EFEITO!$O$967*EFEITO!$AA$967</f>
        <v>0</v>
      </c>
      <c r="P967" s="57"/>
      <c r="Q967" s="57"/>
      <c r="R967" s="57"/>
      <c r="S967" s="57"/>
      <c r="T967" s="57"/>
      <c r="U967" s="57"/>
      <c r="V967" s="57"/>
      <c r="W967" s="57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11.25" customHeight="1" x14ac:dyDescent="0.2">
      <c r="A968" s="53" t="s">
        <v>21</v>
      </c>
      <c r="B968" s="53" t="s">
        <v>37</v>
      </c>
      <c r="C968" s="53" t="s">
        <v>33</v>
      </c>
      <c r="D968" s="53" t="s">
        <v>41</v>
      </c>
      <c r="E968" s="53" t="s">
        <v>25</v>
      </c>
      <c r="F968" s="53" t="s">
        <v>25</v>
      </c>
      <c r="G968" s="53" t="s">
        <v>25</v>
      </c>
      <c r="H968" s="53" t="s">
        <v>35</v>
      </c>
      <c r="I968" s="75">
        <v>44593</v>
      </c>
      <c r="J968" s="76">
        <f>EFEITO!$J$968*EFEITO!$Y$968</f>
        <v>0</v>
      </c>
      <c r="K968" s="76">
        <f ca="1">EFEITO!$L$968*EFEITO!$Z$968</f>
        <v>30496.714285112237</v>
      </c>
      <c r="L968" s="76">
        <f>EFEITO!$N$968*EFEITO!$AA$968</f>
        <v>25644.773219657596</v>
      </c>
      <c r="M968" s="76">
        <f>$J$968-EFEITO!$K$968*EFEITO!$Y$968</f>
        <v>0</v>
      </c>
      <c r="N968" s="76">
        <f ca="1">$K$968-EFEITO!$M$968*EFEITO!$Z$968</f>
        <v>0</v>
      </c>
      <c r="O968" s="76">
        <f>$L$968-EFEITO!$O$968*EFEITO!$AA$968</f>
        <v>0</v>
      </c>
      <c r="P968" s="57"/>
      <c r="Q968" s="57"/>
      <c r="R968" s="57"/>
      <c r="S968" s="57"/>
      <c r="T968" s="57"/>
      <c r="U968" s="57"/>
      <c r="V968" s="57"/>
      <c r="W968" s="57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11.25" customHeight="1" x14ac:dyDescent="0.2">
      <c r="A969" s="53" t="s">
        <v>28</v>
      </c>
      <c r="B969" s="53" t="s">
        <v>37</v>
      </c>
      <c r="C969" s="53" t="s">
        <v>33</v>
      </c>
      <c r="D969" s="53" t="s">
        <v>41</v>
      </c>
      <c r="E969" s="53" t="s">
        <v>25</v>
      </c>
      <c r="F969" s="53" t="s">
        <v>25</v>
      </c>
      <c r="G969" s="53" t="s">
        <v>25</v>
      </c>
      <c r="H969" s="53" t="s">
        <v>35</v>
      </c>
      <c r="I969" s="75">
        <v>44593</v>
      </c>
      <c r="J969" s="76">
        <f>EFEITO!$J$969*EFEITO!$Y$969</f>
        <v>0</v>
      </c>
      <c r="K969" s="76">
        <f ca="1">EFEITO!$L$969*EFEITO!$Z$969</f>
        <v>967.28644284365168</v>
      </c>
      <c r="L969" s="76">
        <f>EFEITO!$N$969*EFEITO!$AA$969</f>
        <v>813.39390313547165</v>
      </c>
      <c r="M969" s="76">
        <f>$J$969-EFEITO!$K$969*EFEITO!$Y$969</f>
        <v>0</v>
      </c>
      <c r="N969" s="76">
        <f ca="1">$K$969-EFEITO!$M$969*EFEITO!$Z$969</f>
        <v>0</v>
      </c>
      <c r="O969" s="76">
        <f>$L$969-EFEITO!$O$969*EFEITO!$AA$969</f>
        <v>0</v>
      </c>
      <c r="P969" s="57"/>
      <c r="Q969" s="57"/>
      <c r="R969" s="57"/>
      <c r="S969" s="57"/>
      <c r="T969" s="57"/>
      <c r="U969" s="57"/>
      <c r="V969" s="57"/>
      <c r="W969" s="57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11.25" customHeight="1" x14ac:dyDescent="0.2">
      <c r="A970" s="53" t="s">
        <v>21</v>
      </c>
      <c r="B970" s="53" t="s">
        <v>37</v>
      </c>
      <c r="C970" s="53" t="s">
        <v>33</v>
      </c>
      <c r="D970" s="53" t="s">
        <v>41</v>
      </c>
      <c r="E970" s="53" t="s">
        <v>25</v>
      </c>
      <c r="F970" s="53" t="s">
        <v>25</v>
      </c>
      <c r="G970" s="53" t="s">
        <v>25</v>
      </c>
      <c r="H970" s="53" t="s">
        <v>35</v>
      </c>
      <c r="I970" s="75">
        <v>44621</v>
      </c>
      <c r="J970" s="76">
        <f>EFEITO!$J$970*EFEITO!$Y$970</f>
        <v>0</v>
      </c>
      <c r="K970" s="76">
        <f ca="1">EFEITO!$L$970*EFEITO!$Z$970</f>
        <v>29521.451717177672</v>
      </c>
      <c r="L970" s="76">
        <f>EFEITO!$N$970*EFEITO!$AA$970</f>
        <v>24824.672170394322</v>
      </c>
      <c r="M970" s="76">
        <f>$J$970-EFEITO!$K$970*EFEITO!$Y$970</f>
        <v>0</v>
      </c>
      <c r="N970" s="76">
        <f ca="1">$K$970-EFEITO!$M$970*EFEITO!$Z$970</f>
        <v>0</v>
      </c>
      <c r="O970" s="76">
        <f>$L$970-EFEITO!$O$970*EFEITO!$AA$970</f>
        <v>0</v>
      </c>
      <c r="P970" s="57"/>
      <c r="Q970" s="57"/>
      <c r="R970" s="57"/>
      <c r="S970" s="57"/>
      <c r="T970" s="57"/>
      <c r="U970" s="57"/>
      <c r="V970" s="57"/>
      <c r="W970" s="57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spans="1:36" ht="11.25" customHeight="1" x14ac:dyDescent="0.2">
      <c r="A971" s="53" t="s">
        <v>28</v>
      </c>
      <c r="B971" s="53" t="s">
        <v>37</v>
      </c>
      <c r="C971" s="53" t="s">
        <v>33</v>
      </c>
      <c r="D971" s="53" t="s">
        <v>41</v>
      </c>
      <c r="E971" s="53" t="s">
        <v>25</v>
      </c>
      <c r="F971" s="53" t="s">
        <v>25</v>
      </c>
      <c r="G971" s="53" t="s">
        <v>25</v>
      </c>
      <c r="H971" s="53" t="s">
        <v>35</v>
      </c>
      <c r="I971" s="75">
        <v>44621</v>
      </c>
      <c r="J971" s="76">
        <f>EFEITO!$J$971*EFEITO!$Y$971</f>
        <v>0</v>
      </c>
      <c r="K971" s="76">
        <f ca="1">EFEITO!$L$971*EFEITO!$Z$971</f>
        <v>814.65241269478452</v>
      </c>
      <c r="L971" s="76">
        <f>EFEITO!$N$971*EFEITO!$AA$971</f>
        <v>685.0435158715909</v>
      </c>
      <c r="M971" s="76">
        <f>$J$971-EFEITO!$K$971*EFEITO!$Y$971</f>
        <v>0</v>
      </c>
      <c r="N971" s="76">
        <f ca="1">$K$971-EFEITO!$M$971*EFEITO!$Z$971</f>
        <v>0</v>
      </c>
      <c r="O971" s="76">
        <f>$L$971-EFEITO!$O$971*EFEITO!$AA$971</f>
        <v>0</v>
      </c>
      <c r="P971" s="57"/>
      <c r="Q971" s="57"/>
      <c r="R971" s="57"/>
      <c r="S971" s="57"/>
      <c r="T971" s="57"/>
      <c r="U971" s="57"/>
      <c r="V971" s="57"/>
      <c r="W971" s="57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spans="1:36" ht="11.25" customHeight="1" x14ac:dyDescent="0.2">
      <c r="A972" s="53" t="s">
        <v>21</v>
      </c>
      <c r="B972" s="53" t="s">
        <v>37</v>
      </c>
      <c r="C972" s="53" t="s">
        <v>33</v>
      </c>
      <c r="D972" s="53" t="s">
        <v>41</v>
      </c>
      <c r="E972" s="53" t="s">
        <v>25</v>
      </c>
      <c r="F972" s="53" t="s">
        <v>25</v>
      </c>
      <c r="G972" s="53" t="s">
        <v>25</v>
      </c>
      <c r="H972" s="53" t="s">
        <v>35</v>
      </c>
      <c r="I972" s="75">
        <v>44652</v>
      </c>
      <c r="J972" s="76">
        <f>EFEITO!$J$972*EFEITO!$Y$972</f>
        <v>0</v>
      </c>
      <c r="K972" s="76">
        <f ca="1">EFEITO!$L$972*EFEITO!$Z$972</f>
        <v>30497.076836252731</v>
      </c>
      <c r="L972" s="76">
        <f>EFEITO!$N$972*EFEITO!$AA$972</f>
        <v>25645.078089936131</v>
      </c>
      <c r="M972" s="76">
        <f>$J$972-EFEITO!$K$972*EFEITO!$Y$972</f>
        <v>0</v>
      </c>
      <c r="N972" s="76">
        <f ca="1">$K$972-EFEITO!$M$972*EFEITO!$Z$972</f>
        <v>0</v>
      </c>
      <c r="O972" s="76">
        <f>$L$972-EFEITO!$O$972*EFEITO!$AA$972</f>
        <v>0</v>
      </c>
      <c r="P972" s="57"/>
      <c r="Q972" s="57"/>
      <c r="R972" s="57"/>
      <c r="S972" s="57"/>
      <c r="T972" s="57"/>
      <c r="U972" s="57"/>
      <c r="V972" s="57"/>
      <c r="W972" s="57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11.25" customHeight="1" x14ac:dyDescent="0.2">
      <c r="A973" s="53" t="s">
        <v>28</v>
      </c>
      <c r="B973" s="53" t="s">
        <v>37</v>
      </c>
      <c r="C973" s="53" t="s">
        <v>33</v>
      </c>
      <c r="D973" s="53" t="s">
        <v>41</v>
      </c>
      <c r="E973" s="53" t="s">
        <v>25</v>
      </c>
      <c r="F973" s="53" t="s">
        <v>25</v>
      </c>
      <c r="G973" s="53" t="s">
        <v>25</v>
      </c>
      <c r="H973" s="53" t="s">
        <v>35</v>
      </c>
      <c r="I973" s="75">
        <v>44652</v>
      </c>
      <c r="J973" s="76">
        <f>EFEITO!$J$973*EFEITO!$Y$973</f>
        <v>0</v>
      </c>
      <c r="K973" s="76">
        <f ca="1">EFEITO!$L$973*EFEITO!$Z$973</f>
        <v>670.35705877732835</v>
      </c>
      <c r="L973" s="76">
        <f>EFEITO!$N$973*EFEITO!$AA$973</f>
        <v>563.70514501405057</v>
      </c>
      <c r="M973" s="76">
        <f>$J$973-EFEITO!$K$973*EFEITO!$Y$973</f>
        <v>0</v>
      </c>
      <c r="N973" s="76">
        <f ca="1">$K$973-EFEITO!$M$973*EFEITO!$Z$973</f>
        <v>0</v>
      </c>
      <c r="O973" s="76">
        <f>$L$973-EFEITO!$O$973*EFEITO!$AA$973</f>
        <v>0</v>
      </c>
      <c r="P973" s="57"/>
      <c r="Q973" s="57"/>
      <c r="R973" s="57"/>
      <c r="S973" s="57"/>
      <c r="T973" s="57"/>
      <c r="U973" s="57"/>
      <c r="V973" s="57"/>
      <c r="W973" s="57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11.25" customHeight="1" x14ac:dyDescent="0.2">
      <c r="A974" s="53" t="s">
        <v>21</v>
      </c>
      <c r="B974" s="53" t="s">
        <v>37</v>
      </c>
      <c r="C974" s="53" t="s">
        <v>33</v>
      </c>
      <c r="D974" s="53" t="s">
        <v>41</v>
      </c>
      <c r="E974" s="53" t="s">
        <v>25</v>
      </c>
      <c r="F974" s="53" t="s">
        <v>25</v>
      </c>
      <c r="G974" s="53" t="s">
        <v>25</v>
      </c>
      <c r="H974" s="53" t="s">
        <v>35</v>
      </c>
      <c r="I974" s="75">
        <v>44682</v>
      </c>
      <c r="J974" s="76">
        <f>EFEITO!$J$974*EFEITO!$Y$974</f>
        <v>0</v>
      </c>
      <c r="K974" s="76">
        <f ca="1">EFEITO!$L$974*EFEITO!$Z$974</f>
        <v>25208.180798695317</v>
      </c>
      <c r="L974" s="76">
        <f>EFEITO!$N$974*EFEITO!$AA$974</f>
        <v>21197.63046664518</v>
      </c>
      <c r="M974" s="76">
        <f>$J$974-EFEITO!$K$974*EFEITO!$Y$974</f>
        <v>0</v>
      </c>
      <c r="N974" s="76">
        <f ca="1">$K$974-EFEITO!$M$974*EFEITO!$Z$974</f>
        <v>0</v>
      </c>
      <c r="O974" s="76">
        <f>$L$974-EFEITO!$O$974*EFEITO!$AA$974</f>
        <v>0</v>
      </c>
      <c r="P974" s="57"/>
      <c r="Q974" s="57"/>
      <c r="R974" s="57"/>
      <c r="S974" s="57"/>
      <c r="T974" s="57"/>
      <c r="U974" s="57"/>
      <c r="V974" s="57"/>
      <c r="W974" s="57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11.25" customHeight="1" x14ac:dyDescent="0.2">
      <c r="A975" s="53" t="s">
        <v>28</v>
      </c>
      <c r="B975" s="53" t="s">
        <v>37</v>
      </c>
      <c r="C975" s="53" t="s">
        <v>33</v>
      </c>
      <c r="D975" s="53" t="s">
        <v>41</v>
      </c>
      <c r="E975" s="53" t="s">
        <v>25</v>
      </c>
      <c r="F975" s="53" t="s">
        <v>25</v>
      </c>
      <c r="G975" s="53" t="s">
        <v>25</v>
      </c>
      <c r="H975" s="53" t="s">
        <v>35</v>
      </c>
      <c r="I975" s="75">
        <v>44682</v>
      </c>
      <c r="J975" s="76">
        <f>EFEITO!$J$975*EFEITO!$Y$975</f>
        <v>0</v>
      </c>
      <c r="K975" s="76">
        <f ca="1">EFEITO!$L$975*EFEITO!$Z$975</f>
        <v>1304.0964523645484</v>
      </c>
      <c r="L975" s="76">
        <f>EFEITO!$N$975*EFEITO!$AA$975</f>
        <v>1096.6183918959114</v>
      </c>
      <c r="M975" s="76">
        <f>$J$975-EFEITO!$K$975*EFEITO!$Y$975</f>
        <v>0</v>
      </c>
      <c r="N975" s="76">
        <f ca="1">$K$975-EFEITO!$M$975*EFEITO!$Z$975</f>
        <v>0</v>
      </c>
      <c r="O975" s="76">
        <f>$L$975-EFEITO!$O$975*EFEITO!$AA$975</f>
        <v>0</v>
      </c>
      <c r="P975" s="57"/>
      <c r="Q975" s="57"/>
      <c r="R975" s="57"/>
      <c r="S975" s="57"/>
      <c r="T975" s="57"/>
      <c r="U975" s="57"/>
      <c r="V975" s="57"/>
      <c r="W975" s="57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spans="1:36" ht="11.25" customHeight="1" x14ac:dyDescent="0.2">
      <c r="A976" s="53" t="s">
        <v>21</v>
      </c>
      <c r="B976" s="53" t="s">
        <v>37</v>
      </c>
      <c r="C976" s="53" t="s">
        <v>33</v>
      </c>
      <c r="D976" s="53" t="s">
        <v>41</v>
      </c>
      <c r="E976" s="53" t="s">
        <v>25</v>
      </c>
      <c r="F976" s="53" t="s">
        <v>25</v>
      </c>
      <c r="G976" s="53" t="s">
        <v>25</v>
      </c>
      <c r="H976" s="53" t="s">
        <v>35</v>
      </c>
      <c r="I976" s="75">
        <v>44713</v>
      </c>
      <c r="J976" s="76">
        <f>EFEITO!$J$976*EFEITO!$Y$976</f>
        <v>0</v>
      </c>
      <c r="K976" s="76">
        <f ca="1">EFEITO!$L$976*EFEITO!$Z$976</f>
        <v>18329.860561202902</v>
      </c>
      <c r="L976" s="76">
        <f>EFEITO!$N$976*EFEITO!$AA$976</f>
        <v>15413.631542250065</v>
      </c>
      <c r="M976" s="76">
        <f>$J$976-EFEITO!$K$976*EFEITO!$Y$976</f>
        <v>0</v>
      </c>
      <c r="N976" s="76">
        <f ca="1">$K$976-EFEITO!$M$976*EFEITO!$Z$976</f>
        <v>0</v>
      </c>
      <c r="O976" s="76">
        <f>$L$976-EFEITO!$O$976*EFEITO!$AA$976</f>
        <v>0</v>
      </c>
      <c r="P976" s="57"/>
      <c r="Q976" s="57"/>
      <c r="R976" s="57"/>
      <c r="S976" s="57"/>
      <c r="T976" s="57"/>
      <c r="U976" s="57"/>
      <c r="V976" s="57"/>
      <c r="W976" s="57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spans="1:36" ht="11.25" customHeight="1" x14ac:dyDescent="0.2">
      <c r="A977" s="53" t="s">
        <v>28</v>
      </c>
      <c r="B977" s="53" t="s">
        <v>37</v>
      </c>
      <c r="C977" s="53" t="s">
        <v>33</v>
      </c>
      <c r="D977" s="53" t="s">
        <v>41</v>
      </c>
      <c r="E977" s="53" t="s">
        <v>25</v>
      </c>
      <c r="F977" s="53" t="s">
        <v>25</v>
      </c>
      <c r="G977" s="53" t="s">
        <v>25</v>
      </c>
      <c r="H977" s="53" t="s">
        <v>35</v>
      </c>
      <c r="I977" s="75">
        <v>44713</v>
      </c>
      <c r="J977" s="76">
        <f>EFEITO!$J$977*EFEITO!$Y$977</f>
        <v>0</v>
      </c>
      <c r="K977" s="76">
        <f ca="1">EFEITO!$L$977*EFEITO!$Z$977</f>
        <v>1092.0040351743173</v>
      </c>
      <c r="L977" s="76">
        <f>EFEITO!$N$977*EFEITO!$AA$977</f>
        <v>918.26927895203914</v>
      </c>
      <c r="M977" s="76">
        <f>$J$977-EFEITO!$K$977*EFEITO!$Y$977</f>
        <v>0</v>
      </c>
      <c r="N977" s="76">
        <f ca="1">$K$977-EFEITO!$M$977*EFEITO!$Z$977</f>
        <v>0</v>
      </c>
      <c r="O977" s="76">
        <f>$L$977-EFEITO!$O$977*EFEITO!$AA$977</f>
        <v>0</v>
      </c>
      <c r="P977" s="57"/>
      <c r="Q977" s="57"/>
      <c r="R977" s="57"/>
      <c r="S977" s="57"/>
      <c r="T977" s="57"/>
      <c r="U977" s="57"/>
      <c r="V977" s="57"/>
      <c r="W977" s="57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spans="1:36" ht="11.25" customHeight="1" x14ac:dyDescent="0.2">
      <c r="A978" s="53" t="s">
        <v>21</v>
      </c>
      <c r="B978" s="53" t="s">
        <v>37</v>
      </c>
      <c r="C978" s="53" t="s">
        <v>33</v>
      </c>
      <c r="D978" s="53" t="s">
        <v>41</v>
      </c>
      <c r="E978" s="53" t="s">
        <v>25</v>
      </c>
      <c r="F978" s="53" t="s">
        <v>25</v>
      </c>
      <c r="G978" s="53" t="s">
        <v>25</v>
      </c>
      <c r="H978" s="53" t="s">
        <v>35</v>
      </c>
      <c r="I978" s="75">
        <v>44743</v>
      </c>
      <c r="J978" s="76">
        <f>EFEITO!$J$978*EFEITO!$Y$978</f>
        <v>0</v>
      </c>
      <c r="K978" s="76">
        <f ca="1">EFEITO!$L$978*EFEITO!$Z$978</f>
        <v>15157.53808186184</v>
      </c>
      <c r="L978" s="76">
        <f>EFEITO!$N$978*EFEITO!$AA$978</f>
        <v>12746.016605055396</v>
      </c>
      <c r="M978" s="76">
        <f>$J$978-EFEITO!$K$978*EFEITO!$Y$978</f>
        <v>0</v>
      </c>
      <c r="N978" s="76">
        <f ca="1">$K$978-EFEITO!$M$978*EFEITO!$Z$978</f>
        <v>0</v>
      </c>
      <c r="O978" s="76">
        <f>$L$978-EFEITO!$O$978*EFEITO!$AA$978</f>
        <v>0</v>
      </c>
      <c r="P978" s="57"/>
      <c r="Q978" s="57"/>
      <c r="R978" s="57"/>
      <c r="S978" s="57"/>
      <c r="T978" s="57"/>
      <c r="U978" s="57"/>
      <c r="V978" s="57"/>
      <c r="W978" s="57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11.25" customHeight="1" x14ac:dyDescent="0.2">
      <c r="A979" s="53" t="s">
        <v>28</v>
      </c>
      <c r="B979" s="53" t="s">
        <v>37</v>
      </c>
      <c r="C979" s="53" t="s">
        <v>33</v>
      </c>
      <c r="D979" s="53" t="s">
        <v>41</v>
      </c>
      <c r="E979" s="53" t="s">
        <v>25</v>
      </c>
      <c r="F979" s="53" t="s">
        <v>25</v>
      </c>
      <c r="G979" s="53" t="s">
        <v>25</v>
      </c>
      <c r="H979" s="53" t="s">
        <v>35</v>
      </c>
      <c r="I979" s="75">
        <v>44743</v>
      </c>
      <c r="J979" s="76">
        <f>EFEITO!$J$979*EFEITO!$Y$979</f>
        <v>0</v>
      </c>
      <c r="K979" s="76">
        <f ca="1">EFEITO!$L$979*EFEITO!$Z$979</f>
        <v>2675.6274168613754</v>
      </c>
      <c r="L979" s="76">
        <f>EFEITO!$N$979*EFEITO!$AA$979</f>
        <v>2249.9426555996179</v>
      </c>
      <c r="M979" s="76">
        <f>$J$979-EFEITO!$K$979*EFEITO!$Y$979</f>
        <v>0</v>
      </c>
      <c r="N979" s="76">
        <f ca="1">$K$979-EFEITO!$M$979*EFEITO!$Z$979</f>
        <v>0</v>
      </c>
      <c r="O979" s="76">
        <f>$L$979-EFEITO!$O$979*EFEITO!$AA$979</f>
        <v>0</v>
      </c>
      <c r="P979" s="57"/>
      <c r="Q979" s="57"/>
      <c r="R979" s="57"/>
      <c r="S979" s="57"/>
      <c r="T979" s="57"/>
      <c r="U979" s="57"/>
      <c r="V979" s="57"/>
      <c r="W979" s="57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11.25" customHeight="1" x14ac:dyDescent="0.2">
      <c r="A980" s="53" t="s">
        <v>56</v>
      </c>
      <c r="B980" s="53" t="s">
        <v>37</v>
      </c>
      <c r="C980" s="53" t="s">
        <v>33</v>
      </c>
      <c r="D980" s="53" t="s">
        <v>41</v>
      </c>
      <c r="E980" s="53" t="s">
        <v>25</v>
      </c>
      <c r="F980" s="53" t="s">
        <v>25</v>
      </c>
      <c r="G980" s="53" t="s">
        <v>25</v>
      </c>
      <c r="H980" s="53" t="s">
        <v>35</v>
      </c>
      <c r="I980" s="75">
        <v>44774</v>
      </c>
      <c r="J980" s="76">
        <f>EFEITO!$J$980*EFEITO!$Y$980</f>
        <v>0</v>
      </c>
      <c r="K980" s="76">
        <f ca="1">EFEITO!$L$980*EFEITO!$Z$980</f>
        <v>15157.53808186184</v>
      </c>
      <c r="L980" s="76">
        <f>EFEITO!$N$980*EFEITO!$AA$980</f>
        <v>12746.016605055396</v>
      </c>
      <c r="M980" s="76">
        <f>$J$980-EFEITO!$K$980*EFEITO!$Y$980</f>
        <v>0</v>
      </c>
      <c r="N980" s="76">
        <f ca="1">$K$980-EFEITO!$M$980*EFEITO!$Z$980</f>
        <v>0</v>
      </c>
      <c r="O980" s="76">
        <f>$L$980-EFEITO!$O$980*EFEITO!$AA$980</f>
        <v>0</v>
      </c>
      <c r="P980" s="57"/>
      <c r="Q980" s="57"/>
      <c r="R980" s="57"/>
      <c r="S980" s="57"/>
      <c r="T980" s="57"/>
      <c r="U980" s="57"/>
      <c r="V980" s="57"/>
      <c r="W980" s="57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11.25" customHeight="1" x14ac:dyDescent="0.2">
      <c r="A981" s="53" t="s">
        <v>56</v>
      </c>
      <c r="B981" s="53" t="s">
        <v>37</v>
      </c>
      <c r="C981" s="53" t="s">
        <v>33</v>
      </c>
      <c r="D981" s="53" t="s">
        <v>41</v>
      </c>
      <c r="E981" s="53" t="s">
        <v>25</v>
      </c>
      <c r="F981" s="53" t="s">
        <v>25</v>
      </c>
      <c r="G981" s="53" t="s">
        <v>25</v>
      </c>
      <c r="H981" s="53" t="s">
        <v>35</v>
      </c>
      <c r="I981" s="75">
        <v>44774</v>
      </c>
      <c r="J981" s="76">
        <f>EFEITO!$J$981*EFEITO!$Y$981</f>
        <v>0</v>
      </c>
      <c r="K981" s="76">
        <f ca="1">EFEITO!$L$981*EFEITO!$Z$981</f>
        <v>2675.6274168613754</v>
      </c>
      <c r="L981" s="76">
        <f>EFEITO!$N$981*EFEITO!$AA$981</f>
        <v>2249.9426555996179</v>
      </c>
      <c r="M981" s="76">
        <f>$J$981-EFEITO!$K$981*EFEITO!$Y$981</f>
        <v>0</v>
      </c>
      <c r="N981" s="76">
        <f ca="1">$K$981-EFEITO!$M$981*EFEITO!$Z$981</f>
        <v>0</v>
      </c>
      <c r="O981" s="76">
        <f>$L$981-EFEITO!$O$981*EFEITO!$AA$981</f>
        <v>0</v>
      </c>
      <c r="P981" s="57"/>
      <c r="Q981" s="57"/>
      <c r="R981" s="57"/>
      <c r="S981" s="57"/>
      <c r="T981" s="57"/>
      <c r="U981" s="57"/>
      <c r="V981" s="57"/>
      <c r="W981" s="57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 ht="11.25" customHeight="1" x14ac:dyDescent="0.2">
      <c r="A982" s="53" t="s">
        <v>21</v>
      </c>
      <c r="B982" s="53" t="s">
        <v>37</v>
      </c>
      <c r="C982" s="53" t="s">
        <v>33</v>
      </c>
      <c r="D982" s="53" t="s">
        <v>41</v>
      </c>
      <c r="E982" s="53" t="s">
        <v>25</v>
      </c>
      <c r="F982" s="53" t="s">
        <v>25</v>
      </c>
      <c r="G982" s="53" t="s">
        <v>25</v>
      </c>
      <c r="H982" s="53" t="s">
        <v>36</v>
      </c>
      <c r="I982" s="75">
        <v>44440</v>
      </c>
      <c r="J982" s="76">
        <f>EFEITO!$J$982*EFEITO!$Y$982</f>
        <v>0</v>
      </c>
      <c r="K982" s="76">
        <f ca="1">EFEITO!$L$982*EFEITO!$Z$982</f>
        <v>2184.8261240968677</v>
      </c>
      <c r="L982" s="76">
        <f>EFEITO!$N$982*EFEITO!$AA$982</f>
        <v>929.85434953642743</v>
      </c>
      <c r="M982" s="76">
        <f>$J$982-EFEITO!$K$982*EFEITO!$Y$982</f>
        <v>0</v>
      </c>
      <c r="N982" s="76">
        <f ca="1">$K$982-EFEITO!$M$982*EFEITO!$Z$982</f>
        <v>0</v>
      </c>
      <c r="O982" s="76">
        <f>$L$982-EFEITO!$O$982*EFEITO!$AA$982</f>
        <v>0</v>
      </c>
      <c r="P982" s="57"/>
      <c r="Q982" s="57"/>
      <c r="R982" s="57"/>
      <c r="S982" s="57"/>
      <c r="T982" s="57"/>
      <c r="U982" s="57"/>
      <c r="V982" s="57"/>
      <c r="W982" s="57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11.25" customHeight="1" x14ac:dyDescent="0.2">
      <c r="A983" s="53" t="s">
        <v>28</v>
      </c>
      <c r="B983" s="53" t="s">
        <v>37</v>
      </c>
      <c r="C983" s="53" t="s">
        <v>33</v>
      </c>
      <c r="D983" s="53" t="s">
        <v>41</v>
      </c>
      <c r="E983" s="53" t="s">
        <v>25</v>
      </c>
      <c r="F983" s="53" t="s">
        <v>25</v>
      </c>
      <c r="G983" s="53" t="s">
        <v>25</v>
      </c>
      <c r="H983" s="53" t="s">
        <v>36</v>
      </c>
      <c r="I983" s="75">
        <v>44440</v>
      </c>
      <c r="J983" s="76">
        <f>EFEITO!$J$983*EFEITO!$Y$983</f>
        <v>0</v>
      </c>
      <c r="K983" s="76">
        <f ca="1">EFEITO!$L$983*EFEITO!$Z$983</f>
        <v>108.88313798777834</v>
      </c>
      <c r="L983" s="76">
        <f>EFEITO!$N$983*EFEITO!$AA$983</f>
        <v>46.340282337553106</v>
      </c>
      <c r="M983" s="76">
        <f>$J$983-EFEITO!$K$983*EFEITO!$Y$983</f>
        <v>0</v>
      </c>
      <c r="N983" s="76">
        <f ca="1">$K$983-EFEITO!$M$983*EFEITO!$Z$983</f>
        <v>0</v>
      </c>
      <c r="O983" s="76">
        <f>$L$983-EFEITO!$O$983*EFEITO!$AA$983</f>
        <v>0</v>
      </c>
      <c r="P983" s="57"/>
      <c r="Q983" s="57"/>
      <c r="R983" s="57"/>
      <c r="S983" s="57"/>
      <c r="T983" s="57"/>
      <c r="U983" s="57"/>
      <c r="V983" s="57"/>
      <c r="W983" s="57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pans="1:36" ht="11.25" customHeight="1" x14ac:dyDescent="0.2">
      <c r="A984" s="53" t="s">
        <v>21</v>
      </c>
      <c r="B984" s="53" t="s">
        <v>37</v>
      </c>
      <c r="C984" s="53" t="s">
        <v>33</v>
      </c>
      <c r="D984" s="53" t="s">
        <v>41</v>
      </c>
      <c r="E984" s="53" t="s">
        <v>25</v>
      </c>
      <c r="F984" s="53" t="s">
        <v>25</v>
      </c>
      <c r="G984" s="53" t="s">
        <v>25</v>
      </c>
      <c r="H984" s="53" t="s">
        <v>36</v>
      </c>
      <c r="I984" s="75">
        <v>44470</v>
      </c>
      <c r="J984" s="76">
        <f>EFEITO!$J$984*EFEITO!$Y$984</f>
        <v>0</v>
      </c>
      <c r="K984" s="76">
        <f ca="1">EFEITO!$L$984*EFEITO!$Z$984</f>
        <v>2439.1255582130607</v>
      </c>
      <c r="L984" s="76">
        <f>EFEITO!$N$984*EFEITO!$AA$984</f>
        <v>1038.0832984168969</v>
      </c>
      <c r="M984" s="76">
        <f>$J$984-EFEITO!$K$984*EFEITO!$Y$984</f>
        <v>0</v>
      </c>
      <c r="N984" s="76">
        <f ca="1">$K$984-EFEITO!$M$984*EFEITO!$Z$984</f>
        <v>0</v>
      </c>
      <c r="O984" s="76">
        <f>$L$984-EFEITO!$O$984*EFEITO!$AA$984</f>
        <v>0</v>
      </c>
      <c r="P984" s="57"/>
      <c r="Q984" s="57"/>
      <c r="R984" s="57"/>
      <c r="S984" s="57"/>
      <c r="T984" s="57"/>
      <c r="U984" s="57"/>
      <c r="V984" s="57"/>
      <c r="W984" s="57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spans="1:36" ht="11.25" customHeight="1" x14ac:dyDescent="0.2">
      <c r="A985" s="53" t="s">
        <v>28</v>
      </c>
      <c r="B985" s="53" t="s">
        <v>37</v>
      </c>
      <c r="C985" s="53" t="s">
        <v>33</v>
      </c>
      <c r="D985" s="53" t="s">
        <v>41</v>
      </c>
      <c r="E985" s="53" t="s">
        <v>25</v>
      </c>
      <c r="F985" s="53" t="s">
        <v>25</v>
      </c>
      <c r="G985" s="53" t="s">
        <v>25</v>
      </c>
      <c r="H985" s="53" t="s">
        <v>36</v>
      </c>
      <c r="I985" s="75">
        <v>44470</v>
      </c>
      <c r="J985" s="76">
        <f>EFEITO!$J$985*EFEITO!$Y$985</f>
        <v>0</v>
      </c>
      <c r="K985" s="76">
        <f ca="1">EFEITO!$L$985*EFEITO!$Z$985</f>
        <v>79.513344188443398</v>
      </c>
      <c r="L985" s="76">
        <f>EFEITO!$N$985*EFEITO!$AA$985</f>
        <v>33.840600917555228</v>
      </c>
      <c r="M985" s="76">
        <f>$J$985-EFEITO!$K$985*EFEITO!$Y$985</f>
        <v>0</v>
      </c>
      <c r="N985" s="76">
        <f ca="1">$K$985-EFEITO!$M$985*EFEITO!$Z$985</f>
        <v>0</v>
      </c>
      <c r="O985" s="76">
        <f>$L$985-EFEITO!$O$985*EFEITO!$AA$985</f>
        <v>0</v>
      </c>
      <c r="P985" s="57"/>
      <c r="Q985" s="57"/>
      <c r="R985" s="57"/>
      <c r="S985" s="57"/>
      <c r="T985" s="57"/>
      <c r="U985" s="57"/>
      <c r="V985" s="57"/>
      <c r="W985" s="57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11.25" customHeight="1" x14ac:dyDescent="0.2">
      <c r="A986" s="53" t="s">
        <v>21</v>
      </c>
      <c r="B986" s="53" t="s">
        <v>37</v>
      </c>
      <c r="C986" s="53" t="s">
        <v>33</v>
      </c>
      <c r="D986" s="53" t="s">
        <v>41</v>
      </c>
      <c r="E986" s="53" t="s">
        <v>25</v>
      </c>
      <c r="F986" s="53" t="s">
        <v>25</v>
      </c>
      <c r="G986" s="53" t="s">
        <v>25</v>
      </c>
      <c r="H986" s="53" t="s">
        <v>36</v>
      </c>
      <c r="I986" s="75">
        <v>44501</v>
      </c>
      <c r="J986" s="76">
        <f>EFEITO!$J$986*EFEITO!$Y$986</f>
        <v>0</v>
      </c>
      <c r="K986" s="76">
        <f ca="1">EFEITO!$L$986*EFEITO!$Z$986</f>
        <v>5314.5000048113652</v>
      </c>
      <c r="L986" s="76">
        <f>EFEITO!$N$986*EFEITO!$AA$986</f>
        <v>2261.8325964625424</v>
      </c>
      <c r="M986" s="76">
        <f>$J$986-EFEITO!$K$986*EFEITO!$Y$986</f>
        <v>0</v>
      </c>
      <c r="N986" s="76">
        <f ca="1">$K$986-EFEITO!$M$986*EFEITO!$Z$986</f>
        <v>0</v>
      </c>
      <c r="O986" s="76">
        <f>$L$986-EFEITO!$O$986*EFEITO!$AA$986</f>
        <v>0</v>
      </c>
      <c r="P986" s="57"/>
      <c r="Q986" s="57"/>
      <c r="R986" s="57"/>
      <c r="S986" s="57"/>
      <c r="T986" s="57"/>
      <c r="U986" s="57"/>
      <c r="V986" s="57"/>
      <c r="W986" s="57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spans="1:36" ht="11.25" customHeight="1" x14ac:dyDescent="0.2">
      <c r="A987" s="53" t="s">
        <v>28</v>
      </c>
      <c r="B987" s="53" t="s">
        <v>37</v>
      </c>
      <c r="C987" s="53" t="s">
        <v>33</v>
      </c>
      <c r="D987" s="53" t="s">
        <v>41</v>
      </c>
      <c r="E987" s="53" t="s">
        <v>25</v>
      </c>
      <c r="F987" s="53" t="s">
        <v>25</v>
      </c>
      <c r="G987" s="53" t="s">
        <v>25</v>
      </c>
      <c r="H987" s="53" t="s">
        <v>36</v>
      </c>
      <c r="I987" s="75">
        <v>44501</v>
      </c>
      <c r="J987" s="76">
        <f>EFEITO!$J$987*EFEITO!$Y$987</f>
        <v>0</v>
      </c>
      <c r="K987" s="76">
        <f ca="1">EFEITO!$L$987*EFEITO!$Z$987</f>
        <v>109.59947442190845</v>
      </c>
      <c r="L987" s="76">
        <f>EFEITO!$N$987*EFEITO!$AA$987</f>
        <v>46.645152616089639</v>
      </c>
      <c r="M987" s="76">
        <f>$J$987-EFEITO!$K$987*EFEITO!$Y$987</f>
        <v>0</v>
      </c>
      <c r="N987" s="76">
        <f ca="1">$K$987-EFEITO!$M$987*EFEITO!$Z$987</f>
        <v>0</v>
      </c>
      <c r="O987" s="76">
        <f>$L$987-EFEITO!$O$987*EFEITO!$AA$987</f>
        <v>0</v>
      </c>
      <c r="P987" s="57"/>
      <c r="Q987" s="57"/>
      <c r="R987" s="57"/>
      <c r="S987" s="57"/>
      <c r="T987" s="57"/>
      <c r="U987" s="57"/>
      <c r="V987" s="57"/>
      <c r="W987" s="57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spans="1:36" ht="11.25" customHeight="1" x14ac:dyDescent="0.2">
      <c r="A988" s="53" t="s">
        <v>21</v>
      </c>
      <c r="B988" s="53" t="s">
        <v>37</v>
      </c>
      <c r="C988" s="53" t="s">
        <v>33</v>
      </c>
      <c r="D988" s="53" t="s">
        <v>41</v>
      </c>
      <c r="E988" s="53" t="s">
        <v>25</v>
      </c>
      <c r="F988" s="53" t="s">
        <v>25</v>
      </c>
      <c r="G988" s="53" t="s">
        <v>25</v>
      </c>
      <c r="H988" s="53" t="s">
        <v>36</v>
      </c>
      <c r="I988" s="75">
        <v>44531</v>
      </c>
      <c r="J988" s="76">
        <f>EFEITO!$J$988*EFEITO!$Y$988</f>
        <v>0</v>
      </c>
      <c r="K988" s="76">
        <f ca="1">EFEITO!$L$988*EFEITO!$Z$988</f>
        <v>3598.8742450697264</v>
      </c>
      <c r="L988" s="76">
        <f>EFEITO!$N$988*EFEITO!$AA$988</f>
        <v>1531.6682793675448</v>
      </c>
      <c r="M988" s="76">
        <f>$J$988-EFEITO!$K$988*EFEITO!$Y$988</f>
        <v>0</v>
      </c>
      <c r="N988" s="76">
        <f ca="1">$K$988-EFEITO!$M$988*EFEITO!$Z$988</f>
        <v>0</v>
      </c>
      <c r="O988" s="76">
        <f>$L$988-EFEITO!$O$988*EFEITO!$AA$988</f>
        <v>0</v>
      </c>
      <c r="P988" s="57"/>
      <c r="Q988" s="57"/>
      <c r="R988" s="57"/>
      <c r="S988" s="57"/>
      <c r="T988" s="57"/>
      <c r="U988" s="57"/>
      <c r="V988" s="57"/>
      <c r="W988" s="57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spans="1:36" ht="11.25" customHeight="1" x14ac:dyDescent="0.2">
      <c r="A989" s="53" t="s">
        <v>27</v>
      </c>
      <c r="B989" s="53" t="s">
        <v>37</v>
      </c>
      <c r="C989" s="53" t="s">
        <v>33</v>
      </c>
      <c r="D989" s="53" t="s">
        <v>41</v>
      </c>
      <c r="E989" s="53" t="s">
        <v>25</v>
      </c>
      <c r="F989" s="53" t="s">
        <v>25</v>
      </c>
      <c r="G989" s="53" t="s">
        <v>25</v>
      </c>
      <c r="H989" s="53" t="s">
        <v>36</v>
      </c>
      <c r="I989" s="75">
        <v>44531</v>
      </c>
      <c r="J989" s="76">
        <f>EFEITO!$J$989*EFEITO!$Y$989</f>
        <v>0</v>
      </c>
      <c r="K989" s="76">
        <f ca="1">EFEITO!$L$989*EFEITO!$Z$989</f>
        <v>-2931.9650248945841</v>
      </c>
      <c r="L989" s="76">
        <f>EFEITO!$N$989*EFEITO!$AA$989</f>
        <v>-1247.8340500500319</v>
      </c>
      <c r="M989" s="76">
        <f>$J$989-EFEITO!$K$989*EFEITO!$Y$989</f>
        <v>0</v>
      </c>
      <c r="N989" s="76">
        <f ca="1">$K$989-EFEITO!$M$989*EFEITO!$Z$989</f>
        <v>0</v>
      </c>
      <c r="O989" s="76">
        <f>$L$989-EFEITO!$O$989*EFEITO!$AA$989</f>
        <v>0</v>
      </c>
      <c r="P989" s="57"/>
      <c r="Q989" s="57"/>
      <c r="R989" s="57"/>
      <c r="S989" s="57"/>
      <c r="T989" s="57"/>
      <c r="U989" s="57"/>
      <c r="V989" s="57"/>
      <c r="W989" s="57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spans="1:36" ht="11.25" customHeight="1" x14ac:dyDescent="0.2">
      <c r="A990" s="53" t="s">
        <v>28</v>
      </c>
      <c r="B990" s="53" t="s">
        <v>37</v>
      </c>
      <c r="C990" s="53" t="s">
        <v>33</v>
      </c>
      <c r="D990" s="53" t="s">
        <v>41</v>
      </c>
      <c r="E990" s="53" t="s">
        <v>25</v>
      </c>
      <c r="F990" s="53" t="s">
        <v>25</v>
      </c>
      <c r="G990" s="53" t="s">
        <v>25</v>
      </c>
      <c r="H990" s="53" t="s">
        <v>36</v>
      </c>
      <c r="I990" s="75">
        <v>44531</v>
      </c>
      <c r="J990" s="76">
        <f>EFEITO!$J$990*EFEITO!$Y$990</f>
        <v>0</v>
      </c>
      <c r="K990" s="76">
        <f ca="1">EFEITO!$L$990*EFEITO!$Z$990</f>
        <v>24.355438760424104</v>
      </c>
      <c r="L990" s="76">
        <f>EFEITO!$N$990*EFEITO!$AA$990</f>
        <v>10.365589470242142</v>
      </c>
      <c r="M990" s="76">
        <f>$J$990-EFEITO!$K$990*EFEITO!$Y$990</f>
        <v>0</v>
      </c>
      <c r="N990" s="76">
        <f ca="1">$K$990-EFEITO!$M$990*EFEITO!$Z$990</f>
        <v>0</v>
      </c>
      <c r="O990" s="76">
        <f>$L$990-EFEITO!$O$990*EFEITO!$AA$990</f>
        <v>0</v>
      </c>
      <c r="P990" s="57"/>
      <c r="Q990" s="57"/>
      <c r="R990" s="57"/>
      <c r="S990" s="57"/>
      <c r="T990" s="57"/>
      <c r="U990" s="57"/>
      <c r="V990" s="57"/>
      <c r="W990" s="57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spans="1:36" ht="11.25" customHeight="1" x14ac:dyDescent="0.2">
      <c r="A991" s="53" t="s">
        <v>21</v>
      </c>
      <c r="B991" s="53" t="s">
        <v>37</v>
      </c>
      <c r="C991" s="53" t="s">
        <v>33</v>
      </c>
      <c r="D991" s="53" t="s">
        <v>41</v>
      </c>
      <c r="E991" s="53" t="s">
        <v>25</v>
      </c>
      <c r="F991" s="53" t="s">
        <v>25</v>
      </c>
      <c r="G991" s="53" t="s">
        <v>25</v>
      </c>
      <c r="H991" s="53" t="s">
        <v>36</v>
      </c>
      <c r="I991" s="75">
        <v>44562</v>
      </c>
      <c r="J991" s="76">
        <f>EFEITO!$J$991*EFEITO!$Y$991</f>
        <v>0</v>
      </c>
      <c r="K991" s="76">
        <f ca="1">EFEITO!$L$991*EFEITO!$Z$991</f>
        <v>2782.2507101613887</v>
      </c>
      <c r="L991" s="76">
        <f>EFEITO!$N$991*EFEITO!$AA$991</f>
        <v>1184.1161618358965</v>
      </c>
      <c r="M991" s="76">
        <f>$J$991-EFEITO!$K$991*EFEITO!$Y$991</f>
        <v>0</v>
      </c>
      <c r="N991" s="76">
        <f ca="1">$K$991-EFEITO!$M$991*EFEITO!$Z$991</f>
        <v>0</v>
      </c>
      <c r="O991" s="76">
        <f>$L$991-EFEITO!$O$991*EFEITO!$AA$991</f>
        <v>0</v>
      </c>
      <c r="P991" s="57"/>
      <c r="Q991" s="57"/>
      <c r="R991" s="57"/>
      <c r="S991" s="57"/>
      <c r="T991" s="57"/>
      <c r="U991" s="57"/>
      <c r="V991" s="57"/>
      <c r="W991" s="57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spans="1:36" ht="11.25" customHeight="1" x14ac:dyDescent="0.2">
      <c r="A992" s="53" t="s">
        <v>28</v>
      </c>
      <c r="B992" s="53" t="s">
        <v>37</v>
      </c>
      <c r="C992" s="53" t="s">
        <v>33</v>
      </c>
      <c r="D992" s="53" t="s">
        <v>41</v>
      </c>
      <c r="E992" s="53" t="s">
        <v>25</v>
      </c>
      <c r="F992" s="53" t="s">
        <v>25</v>
      </c>
      <c r="G992" s="53" t="s">
        <v>25</v>
      </c>
      <c r="H992" s="53" t="s">
        <v>36</v>
      </c>
      <c r="I992" s="75">
        <v>44562</v>
      </c>
      <c r="J992" s="76">
        <f>EFEITO!$J$992*EFEITO!$Y$992</f>
        <v>0</v>
      </c>
      <c r="K992" s="76">
        <f ca="1">EFEITO!$L$992*EFEITO!$Z$992</f>
        <v>82.378689924963879</v>
      </c>
      <c r="L992" s="76">
        <f>EFEITO!$N$992*EFEITO!$AA$992</f>
        <v>35.060082031701363</v>
      </c>
      <c r="M992" s="76">
        <f>$J$992-EFEITO!$K$992*EFEITO!$Y$992</f>
        <v>0</v>
      </c>
      <c r="N992" s="76">
        <f ca="1">$K$992-EFEITO!$M$992*EFEITO!$Z$992</f>
        <v>0</v>
      </c>
      <c r="O992" s="76">
        <f>$L$992-EFEITO!$O$992*EFEITO!$AA$992</f>
        <v>0</v>
      </c>
      <c r="P992" s="57"/>
      <c r="Q992" s="57"/>
      <c r="R992" s="57"/>
      <c r="S992" s="57"/>
      <c r="T992" s="57"/>
      <c r="U992" s="57"/>
      <c r="V992" s="57"/>
      <c r="W992" s="57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spans="1:36" ht="11.25" customHeight="1" x14ac:dyDescent="0.2">
      <c r="A993" s="53" t="s">
        <v>21</v>
      </c>
      <c r="B993" s="53" t="s">
        <v>37</v>
      </c>
      <c r="C993" s="53" t="s">
        <v>33</v>
      </c>
      <c r="D993" s="53" t="s">
        <v>41</v>
      </c>
      <c r="E993" s="53" t="s">
        <v>25</v>
      </c>
      <c r="F993" s="53" t="s">
        <v>25</v>
      </c>
      <c r="G993" s="53" t="s">
        <v>25</v>
      </c>
      <c r="H993" s="53" t="s">
        <v>36</v>
      </c>
      <c r="I993" s="75">
        <v>44593</v>
      </c>
      <c r="J993" s="76">
        <f>EFEITO!$J$993*EFEITO!$Y$993</f>
        <v>0</v>
      </c>
      <c r="K993" s="76">
        <f ca="1">EFEITO!$L$993*EFEITO!$Z$993</f>
        <v>3931.9706869402321</v>
      </c>
      <c r="L993" s="76">
        <f>EFEITO!$N$993*EFEITO!$AA$993</f>
        <v>1673.4329588870328</v>
      </c>
      <c r="M993" s="76">
        <f>$J$993-EFEITO!$K$993*EFEITO!$Y$993</f>
        <v>0</v>
      </c>
      <c r="N993" s="76">
        <f ca="1">$K$993-EFEITO!$M$993*EFEITO!$Z$993</f>
        <v>0</v>
      </c>
      <c r="O993" s="76">
        <f>$L$993-EFEITO!$O$993*EFEITO!$AA$993</f>
        <v>0</v>
      </c>
      <c r="P993" s="57"/>
      <c r="Q993" s="57"/>
      <c r="R993" s="57"/>
      <c r="S993" s="57"/>
      <c r="T993" s="57"/>
      <c r="U993" s="57"/>
      <c r="V993" s="57"/>
      <c r="W993" s="57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spans="1:36" ht="11.25" customHeight="1" x14ac:dyDescent="0.2">
      <c r="A994" s="53" t="s">
        <v>28</v>
      </c>
      <c r="B994" s="53" t="s">
        <v>37</v>
      </c>
      <c r="C994" s="53" t="s">
        <v>33</v>
      </c>
      <c r="D994" s="53" t="s">
        <v>41</v>
      </c>
      <c r="E994" s="53" t="s">
        <v>25</v>
      </c>
      <c r="F994" s="53" t="s">
        <v>25</v>
      </c>
      <c r="G994" s="53" t="s">
        <v>25</v>
      </c>
      <c r="H994" s="53" t="s">
        <v>36</v>
      </c>
      <c r="I994" s="75">
        <v>44593</v>
      </c>
      <c r="J994" s="76">
        <f>EFEITO!$J$994*EFEITO!$Y$994</f>
        <v>0</v>
      </c>
      <c r="K994" s="76">
        <f ca="1">EFEITO!$L$994*EFEITO!$Z$994</f>
        <v>83.81136279322412</v>
      </c>
      <c r="L994" s="76">
        <f>EFEITO!$N$994*EFEITO!$AA$994</f>
        <v>35.66982258877443</v>
      </c>
      <c r="M994" s="76">
        <f>$J$994-EFEITO!$K$994*EFEITO!$Y$994</f>
        <v>0</v>
      </c>
      <c r="N994" s="76">
        <f ca="1">$K$994-EFEITO!$M$994*EFEITO!$Z$994</f>
        <v>0</v>
      </c>
      <c r="O994" s="76">
        <f>$L$994-EFEITO!$O$994*EFEITO!$AA$994</f>
        <v>0</v>
      </c>
      <c r="P994" s="57"/>
      <c r="Q994" s="57"/>
      <c r="R994" s="57"/>
      <c r="S994" s="57"/>
      <c r="T994" s="57"/>
      <c r="U994" s="57"/>
      <c r="V994" s="57"/>
      <c r="W994" s="57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spans="1:36" ht="11.25" customHeight="1" x14ac:dyDescent="0.2">
      <c r="A995" s="53" t="s">
        <v>21</v>
      </c>
      <c r="B995" s="53" t="s">
        <v>37</v>
      </c>
      <c r="C995" s="53" t="s">
        <v>33</v>
      </c>
      <c r="D995" s="53" t="s">
        <v>41</v>
      </c>
      <c r="E995" s="53" t="s">
        <v>25</v>
      </c>
      <c r="F995" s="53" t="s">
        <v>25</v>
      </c>
      <c r="G995" s="53" t="s">
        <v>25</v>
      </c>
      <c r="H995" s="53" t="s">
        <v>36</v>
      </c>
      <c r="I995" s="75">
        <v>44621</v>
      </c>
      <c r="J995" s="76">
        <f>EFEITO!$J$995*EFEITO!$Y$995</f>
        <v>0</v>
      </c>
      <c r="K995" s="76">
        <f ca="1">EFEITO!$L$995*EFEITO!$Z$995</f>
        <v>3170.505057459914</v>
      </c>
      <c r="L995" s="76">
        <f>EFEITO!$N$995*EFEITO!$AA$995</f>
        <v>1349.3558528026977</v>
      </c>
      <c r="M995" s="76">
        <f>$J$995-EFEITO!$K$995*EFEITO!$Y$995</f>
        <v>0</v>
      </c>
      <c r="N995" s="76">
        <f ca="1">$K$995-EFEITO!$M$995*EFEITO!$Z$995</f>
        <v>0</v>
      </c>
      <c r="O995" s="76">
        <f>$L$995-EFEITO!$O$995*EFEITO!$AA$995</f>
        <v>0</v>
      </c>
      <c r="P995" s="57"/>
      <c r="Q995" s="57"/>
      <c r="R995" s="57"/>
      <c r="S995" s="57"/>
      <c r="T995" s="57"/>
      <c r="U995" s="57"/>
      <c r="V995" s="57"/>
      <c r="W995" s="57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spans="1:36" ht="11.25" customHeight="1" x14ac:dyDescent="0.2">
      <c r="A996" s="53" t="s">
        <v>27</v>
      </c>
      <c r="B996" s="53" t="s">
        <v>37</v>
      </c>
      <c r="C996" s="53" t="s">
        <v>33</v>
      </c>
      <c r="D996" s="53" t="s">
        <v>41</v>
      </c>
      <c r="E996" s="53" t="s">
        <v>25</v>
      </c>
      <c r="F996" s="53" t="s">
        <v>25</v>
      </c>
      <c r="G996" s="53" t="s">
        <v>25</v>
      </c>
      <c r="H996" s="53" t="s">
        <v>36</v>
      </c>
      <c r="I996" s="75">
        <v>44621</v>
      </c>
      <c r="J996" s="76">
        <f>EFEITO!$J$996*EFEITO!$Y$996</f>
        <v>0</v>
      </c>
      <c r="K996" s="76">
        <f ca="1">EFEITO!$L$996*EFEITO!$Z$996</f>
        <v>-687.68297676491579</v>
      </c>
      <c r="L996" s="76">
        <f>EFEITO!$N$996*EFEITO!$AA$996</f>
        <v>-292.67546739507225</v>
      </c>
      <c r="M996" s="76">
        <f>$J$996-EFEITO!$K$996*EFEITO!$Y$996</f>
        <v>0</v>
      </c>
      <c r="N996" s="76">
        <f ca="1">$K$996-EFEITO!$M$996*EFEITO!$Z$996</f>
        <v>0</v>
      </c>
      <c r="O996" s="76">
        <f>$L$996-EFEITO!$O$996*EFEITO!$AA$996</f>
        <v>0</v>
      </c>
      <c r="P996" s="57"/>
      <c r="Q996" s="57"/>
      <c r="R996" s="57"/>
      <c r="S996" s="57"/>
      <c r="T996" s="57"/>
      <c r="U996" s="57"/>
      <c r="V996" s="57"/>
      <c r="W996" s="57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spans="1:36" ht="11.25" customHeight="1" x14ac:dyDescent="0.2">
      <c r="A997" s="53" t="s">
        <v>28</v>
      </c>
      <c r="B997" s="53" t="s">
        <v>37</v>
      </c>
      <c r="C997" s="53" t="s">
        <v>33</v>
      </c>
      <c r="D997" s="53" t="s">
        <v>41</v>
      </c>
      <c r="E997" s="53" t="s">
        <v>25</v>
      </c>
      <c r="F997" s="53" t="s">
        <v>25</v>
      </c>
      <c r="G997" s="53" t="s">
        <v>25</v>
      </c>
      <c r="H997" s="53" t="s">
        <v>36</v>
      </c>
      <c r="I997" s="75">
        <v>44621</v>
      </c>
      <c r="J997" s="76">
        <f>EFEITO!$J$997*EFEITO!$Y$997</f>
        <v>0</v>
      </c>
      <c r="K997" s="76">
        <f ca="1">EFEITO!$L$997*EFEITO!$Z$997</f>
        <v>30.08613023346507</v>
      </c>
      <c r="L997" s="76">
        <f>EFEITO!$N$997*EFEITO!$AA$997</f>
        <v>12.804551698534411</v>
      </c>
      <c r="M997" s="76">
        <f>$J$997-EFEITO!$K$997*EFEITO!$Y$997</f>
        <v>0</v>
      </c>
      <c r="N997" s="76">
        <f ca="1">$K$997-EFEITO!$M$997*EFEITO!$Z$997</f>
        <v>0</v>
      </c>
      <c r="O997" s="76">
        <f>$L$997-EFEITO!$O$997*EFEITO!$AA$997</f>
        <v>0</v>
      </c>
      <c r="P997" s="57"/>
      <c r="Q997" s="57"/>
      <c r="R997" s="57"/>
      <c r="S997" s="57"/>
      <c r="T997" s="57"/>
      <c r="U997" s="57"/>
      <c r="V997" s="57"/>
      <c r="W997" s="57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spans="1:36" ht="11.25" customHeight="1" x14ac:dyDescent="0.2">
      <c r="A998" s="53" t="s">
        <v>21</v>
      </c>
      <c r="B998" s="53" t="s">
        <v>37</v>
      </c>
      <c r="C998" s="53" t="s">
        <v>33</v>
      </c>
      <c r="D998" s="53" t="s">
        <v>41</v>
      </c>
      <c r="E998" s="53" t="s">
        <v>25</v>
      </c>
      <c r="F998" s="53" t="s">
        <v>25</v>
      </c>
      <c r="G998" s="53" t="s">
        <v>25</v>
      </c>
      <c r="H998" s="53" t="s">
        <v>36</v>
      </c>
      <c r="I998" s="75">
        <v>44652</v>
      </c>
      <c r="J998" s="76">
        <f>EFEITO!$J$998*EFEITO!$Y$998</f>
        <v>0</v>
      </c>
      <c r="K998" s="76">
        <f ca="1">EFEITO!$L$998*EFEITO!$Z$998</f>
        <v>3048.7278636577939</v>
      </c>
      <c r="L998" s="76">
        <f>EFEITO!$N$998*EFEITO!$AA$998</f>
        <v>1297.527905451487</v>
      </c>
      <c r="M998" s="76">
        <f>$J$998-EFEITO!$K$998*EFEITO!$Y$998</f>
        <v>0</v>
      </c>
      <c r="N998" s="76">
        <f ca="1">$K$998-EFEITO!$M$998*EFEITO!$Z$998</f>
        <v>0</v>
      </c>
      <c r="O998" s="76">
        <f>$L$998-EFEITO!$O$998*EFEITO!$AA$998</f>
        <v>0</v>
      </c>
      <c r="P998" s="57"/>
      <c r="Q998" s="57"/>
      <c r="R998" s="57"/>
      <c r="S998" s="57"/>
      <c r="T998" s="57"/>
      <c r="U998" s="57"/>
      <c r="V998" s="57"/>
      <c r="W998" s="57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spans="1:36" ht="11.25" customHeight="1" x14ac:dyDescent="0.2">
      <c r="A999" s="53" t="s">
        <v>28</v>
      </c>
      <c r="B999" s="53" t="s">
        <v>37</v>
      </c>
      <c r="C999" s="53" t="s">
        <v>33</v>
      </c>
      <c r="D999" s="53" t="s">
        <v>41</v>
      </c>
      <c r="E999" s="53" t="s">
        <v>25</v>
      </c>
      <c r="F999" s="53" t="s">
        <v>25</v>
      </c>
      <c r="G999" s="53" t="s">
        <v>25</v>
      </c>
      <c r="H999" s="53" t="s">
        <v>36</v>
      </c>
      <c r="I999" s="75">
        <v>44652</v>
      </c>
      <c r="J999" s="76">
        <f>EFEITO!$J$999*EFEITO!$Y$999</f>
        <v>0</v>
      </c>
      <c r="K999" s="76">
        <f ca="1">EFEITO!$L$999*EFEITO!$Z$999</f>
        <v>88.825717832134956</v>
      </c>
      <c r="L999" s="76">
        <f>EFEITO!$N$999*EFEITO!$AA$999</f>
        <v>37.803914538530165</v>
      </c>
      <c r="M999" s="76">
        <f>$J$999-EFEITO!$K$999*EFEITO!$Y$999</f>
        <v>0</v>
      </c>
      <c r="N999" s="76">
        <f ca="1">$K$999-EFEITO!$M$999*EFEITO!$Z$999</f>
        <v>0</v>
      </c>
      <c r="O999" s="76">
        <f>$L$999-EFEITO!$O$999*EFEITO!$AA$999</f>
        <v>0</v>
      </c>
      <c r="P999" s="57"/>
      <c r="Q999" s="57"/>
      <c r="R999" s="57"/>
      <c r="S999" s="57"/>
      <c r="T999" s="57"/>
      <c r="U999" s="57"/>
      <c r="V999" s="57"/>
      <c r="W999" s="57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spans="1:36" ht="11.25" customHeight="1" x14ac:dyDescent="0.2">
      <c r="A1000" s="53" t="s">
        <v>21</v>
      </c>
      <c r="B1000" s="53" t="s">
        <v>37</v>
      </c>
      <c r="C1000" s="53" t="s">
        <v>33</v>
      </c>
      <c r="D1000" s="53" t="s">
        <v>41</v>
      </c>
      <c r="E1000" s="53" t="s">
        <v>25</v>
      </c>
      <c r="F1000" s="53" t="s">
        <v>25</v>
      </c>
      <c r="G1000" s="53" t="s">
        <v>25</v>
      </c>
      <c r="H1000" s="53" t="s">
        <v>36</v>
      </c>
      <c r="I1000" s="75">
        <v>44682</v>
      </c>
      <c r="J1000" s="76">
        <f>EFEITO!$J$1000*EFEITO!$Y$1000</f>
        <v>0</v>
      </c>
      <c r="K1000" s="76">
        <f ca="1">EFEITO!$L$1000*EFEITO!$Z$1000</f>
        <v>2575.2294806977839</v>
      </c>
      <c r="L1000" s="76">
        <f>EFEITO!$N$1000*EFEITO!$AA$1000</f>
        <v>1096.0086513388383</v>
      </c>
      <c r="M1000" s="76">
        <f>$J$1000-EFEITO!$K$1000*EFEITO!$Y$1000</f>
        <v>0</v>
      </c>
      <c r="N1000" s="76">
        <f ca="1">$K$1000-EFEITO!$M$1000*EFEITO!$Z$1000</f>
        <v>0</v>
      </c>
      <c r="O1000" s="76">
        <f>$L$1000-EFEITO!$O$1000*EFEITO!$AA$1000</f>
        <v>0</v>
      </c>
      <c r="P1000" s="57"/>
      <c r="Q1000" s="57"/>
      <c r="R1000" s="57"/>
      <c r="S1000" s="57"/>
      <c r="T1000" s="57"/>
      <c r="U1000" s="57"/>
      <c r="V1000" s="57"/>
      <c r="W1000" s="57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 spans="1:36" ht="11.25" customHeight="1" x14ac:dyDescent="0.2">
      <c r="A1001" s="53" t="s">
        <v>28</v>
      </c>
      <c r="B1001" s="53" t="s">
        <v>37</v>
      </c>
      <c r="C1001" s="53" t="s">
        <v>33</v>
      </c>
      <c r="D1001" s="53" t="s">
        <v>41</v>
      </c>
      <c r="E1001" s="53" t="s">
        <v>25</v>
      </c>
      <c r="F1001" s="53" t="s">
        <v>25</v>
      </c>
      <c r="G1001" s="53" t="s">
        <v>25</v>
      </c>
      <c r="H1001" s="53" t="s">
        <v>36</v>
      </c>
      <c r="I1001" s="75">
        <v>44682</v>
      </c>
      <c r="J1001" s="76">
        <f>EFEITO!$J$1001*EFEITO!$Y$1001</f>
        <v>0</v>
      </c>
      <c r="K1001" s="76">
        <f ca="1">EFEITO!$L$1001*EFEITO!$Z$1001</f>
        <v>147.56530543080484</v>
      </c>
      <c r="L1001" s="76">
        <f>EFEITO!$N$1001*EFEITO!$AA$1001</f>
        <v>62.80327737852592</v>
      </c>
      <c r="M1001" s="76">
        <f>$J$1001-EFEITO!$K$1001*EFEITO!$Y$1001</f>
        <v>0</v>
      </c>
      <c r="N1001" s="76">
        <f ca="1">$K$1001-EFEITO!$M$1001*EFEITO!$Z$1001</f>
        <v>0</v>
      </c>
      <c r="O1001" s="76">
        <f>$L$1001-EFEITO!$O$1001*EFEITO!$AA$1001</f>
        <v>0</v>
      </c>
      <c r="P1001" s="57"/>
      <c r="Q1001" s="57"/>
      <c r="R1001" s="57"/>
      <c r="S1001" s="57"/>
      <c r="T1001" s="57"/>
      <c r="U1001" s="57"/>
      <c r="V1001" s="57"/>
      <c r="W1001" s="57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 spans="1:36" ht="11.25" customHeight="1" x14ac:dyDescent="0.2">
      <c r="A1002" s="53" t="s">
        <v>21</v>
      </c>
      <c r="B1002" s="53" t="s">
        <v>37</v>
      </c>
      <c r="C1002" s="53" t="s">
        <v>33</v>
      </c>
      <c r="D1002" s="53" t="s">
        <v>41</v>
      </c>
      <c r="E1002" s="53" t="s">
        <v>25</v>
      </c>
      <c r="F1002" s="53" t="s">
        <v>25</v>
      </c>
      <c r="G1002" s="53" t="s">
        <v>25</v>
      </c>
      <c r="H1002" s="53" t="s">
        <v>36</v>
      </c>
      <c r="I1002" s="75">
        <v>44713</v>
      </c>
      <c r="J1002" s="76">
        <f>EFEITO!$J$1002*EFEITO!$Y$1002</f>
        <v>0</v>
      </c>
      <c r="K1002" s="76">
        <f ca="1">EFEITO!$L$1002*EFEITO!$Z$1002</f>
        <v>2040.842500836714</v>
      </c>
      <c r="L1002" s="76">
        <f>EFEITO!$N$1002*EFEITO!$AA$1002</f>
        <v>868.57542355058422</v>
      </c>
      <c r="M1002" s="76">
        <f>$J$1002-EFEITO!$K$1002*EFEITO!$Y$1002</f>
        <v>0</v>
      </c>
      <c r="N1002" s="76">
        <f ca="1">$K$1002-EFEITO!$M$1002*EFEITO!$Z$1002</f>
        <v>0</v>
      </c>
      <c r="O1002" s="76">
        <f>$L$1002-EFEITO!$O$1002*EFEITO!$AA$1002</f>
        <v>0</v>
      </c>
      <c r="P1002" s="57"/>
      <c r="Q1002" s="57"/>
      <c r="R1002" s="57"/>
      <c r="S1002" s="57"/>
      <c r="T1002" s="57"/>
      <c r="U1002" s="57"/>
      <c r="V1002" s="57"/>
      <c r="W1002" s="57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 spans="1:36" ht="11.25" customHeight="1" x14ac:dyDescent="0.2">
      <c r="A1003" s="53" t="s">
        <v>28</v>
      </c>
      <c r="B1003" s="53" t="s">
        <v>37</v>
      </c>
      <c r="C1003" s="53" t="s">
        <v>33</v>
      </c>
      <c r="D1003" s="53" t="s">
        <v>41</v>
      </c>
      <c r="E1003" s="53" t="s">
        <v>25</v>
      </c>
      <c r="F1003" s="53" t="s">
        <v>25</v>
      </c>
      <c r="G1003" s="53" t="s">
        <v>25</v>
      </c>
      <c r="H1003" s="53" t="s">
        <v>36</v>
      </c>
      <c r="I1003" s="75">
        <v>44713</v>
      </c>
      <c r="J1003" s="76">
        <f>EFEITO!$J$1003*EFEITO!$Y$1003</f>
        <v>0</v>
      </c>
      <c r="K1003" s="76">
        <f ca="1">EFEITO!$L$1003*EFEITO!$Z$1003</f>
        <v>68.768297676491585</v>
      </c>
      <c r="L1003" s="76">
        <f>EFEITO!$N$1003*EFEITO!$AA$1003</f>
        <v>29.267546739507225</v>
      </c>
      <c r="M1003" s="76">
        <f>$J$1003-EFEITO!$K$1003*EFEITO!$Y$1003</f>
        <v>0</v>
      </c>
      <c r="N1003" s="76">
        <f ca="1">$K$1003-EFEITO!$M$1003*EFEITO!$Z$1003</f>
        <v>0</v>
      </c>
      <c r="O1003" s="76">
        <f>$L$1003-EFEITO!$O$1003*EFEITO!$AA$1003</f>
        <v>0</v>
      </c>
      <c r="P1003" s="57"/>
      <c r="Q1003" s="57"/>
      <c r="R1003" s="57"/>
      <c r="S1003" s="57"/>
      <c r="T1003" s="57"/>
      <c r="U1003" s="57"/>
      <c r="V1003" s="57"/>
      <c r="W1003" s="57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</row>
    <row r="1004" spans="1:36" ht="11.25" customHeight="1" x14ac:dyDescent="0.2">
      <c r="A1004" s="53" t="s">
        <v>21</v>
      </c>
      <c r="B1004" s="53" t="s">
        <v>37</v>
      </c>
      <c r="C1004" s="53" t="s">
        <v>33</v>
      </c>
      <c r="D1004" s="53" t="s">
        <v>41</v>
      </c>
      <c r="E1004" s="53" t="s">
        <v>25</v>
      </c>
      <c r="F1004" s="53" t="s">
        <v>25</v>
      </c>
      <c r="G1004" s="53" t="s">
        <v>25</v>
      </c>
      <c r="H1004" s="53" t="s">
        <v>36</v>
      </c>
      <c r="I1004" s="75">
        <v>44743</v>
      </c>
      <c r="J1004" s="76">
        <f>EFEITO!$J$1004*EFEITO!$Y$1004</f>
        <v>0</v>
      </c>
      <c r="K1004" s="76">
        <f ca="1">EFEITO!$L$1004*EFEITO!$Z$1004</f>
        <v>1754.3079271846655</v>
      </c>
      <c r="L1004" s="76">
        <f>EFEITO!$N$1004*EFEITO!$AA$1004</f>
        <v>746.62731213597067</v>
      </c>
      <c r="M1004" s="76">
        <f>$J$1004-EFEITO!$K$1004*EFEITO!$Y$1004</f>
        <v>0</v>
      </c>
      <c r="N1004" s="76">
        <f ca="1">$K$1004-EFEITO!$M$1004*EFEITO!$Z$1004</f>
        <v>0</v>
      </c>
      <c r="O1004" s="76">
        <f>$L$1004-EFEITO!$O$1004*EFEITO!$AA$1004</f>
        <v>0</v>
      </c>
      <c r="P1004" s="57"/>
      <c r="Q1004" s="57"/>
      <c r="R1004" s="57"/>
      <c r="S1004" s="57"/>
      <c r="T1004" s="57"/>
      <c r="U1004" s="57"/>
      <c r="V1004" s="57"/>
      <c r="W1004" s="57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 spans="1:36" ht="11.25" customHeight="1" x14ac:dyDescent="0.2">
      <c r="A1005" s="53" t="s">
        <v>28</v>
      </c>
      <c r="B1005" s="53" t="s">
        <v>37</v>
      </c>
      <c r="C1005" s="53" t="s">
        <v>33</v>
      </c>
      <c r="D1005" s="53" t="s">
        <v>41</v>
      </c>
      <c r="E1005" s="53" t="s">
        <v>25</v>
      </c>
      <c r="F1005" s="53" t="s">
        <v>25</v>
      </c>
      <c r="G1005" s="53" t="s">
        <v>25</v>
      </c>
      <c r="H1005" s="53" t="s">
        <v>36</v>
      </c>
      <c r="I1005" s="75">
        <v>44743</v>
      </c>
      <c r="J1005" s="76">
        <f>EFEITO!$J$1005*EFEITO!$Y$1005</f>
        <v>0</v>
      </c>
      <c r="K1005" s="76">
        <f ca="1">EFEITO!$L$1005*EFEITO!$Z$1005</f>
        <v>123.20986667038075</v>
      </c>
      <c r="L1005" s="76">
        <f>EFEITO!$N$1005*EFEITO!$AA$1005</f>
        <v>52.43768790828377</v>
      </c>
      <c r="M1005" s="76">
        <f>$J$1005-EFEITO!$K$1005*EFEITO!$Y$1005</f>
        <v>0</v>
      </c>
      <c r="N1005" s="76">
        <f ca="1">$K$1005-EFEITO!$M$1005*EFEITO!$Z$1005</f>
        <v>0</v>
      </c>
      <c r="O1005" s="76">
        <f>$L$1005-EFEITO!$O$1005*EFEITO!$AA$1005</f>
        <v>0</v>
      </c>
      <c r="P1005" s="57"/>
      <c r="Q1005" s="57"/>
      <c r="R1005" s="57"/>
      <c r="S1005" s="57"/>
      <c r="T1005" s="57"/>
      <c r="U1005" s="57"/>
      <c r="V1005" s="57"/>
      <c r="W1005" s="57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</row>
    <row r="1006" spans="1:36" ht="11.25" customHeight="1" x14ac:dyDescent="0.2">
      <c r="A1006" s="53" t="s">
        <v>56</v>
      </c>
      <c r="B1006" s="53" t="s">
        <v>37</v>
      </c>
      <c r="C1006" s="53" t="s">
        <v>33</v>
      </c>
      <c r="D1006" s="53" t="s">
        <v>41</v>
      </c>
      <c r="E1006" s="53" t="s">
        <v>25</v>
      </c>
      <c r="F1006" s="53" t="s">
        <v>25</v>
      </c>
      <c r="G1006" s="53" t="s">
        <v>25</v>
      </c>
      <c r="H1006" s="53" t="s">
        <v>36</v>
      </c>
      <c r="I1006" s="75">
        <v>44774</v>
      </c>
      <c r="J1006" s="76">
        <f>EFEITO!$J$1006*EFEITO!$Y$1006</f>
        <v>0</v>
      </c>
      <c r="K1006" s="76">
        <f ca="1">EFEITO!$L$1006*EFEITO!$Z$1006</f>
        <v>1754.3079271846655</v>
      </c>
      <c r="L1006" s="76">
        <f>EFEITO!$N$1006*EFEITO!$AA$1006</f>
        <v>746.62731213597067</v>
      </c>
      <c r="M1006" s="76">
        <f>$J$1006-EFEITO!$K$1006*EFEITO!$Y$1006</f>
        <v>0</v>
      </c>
      <c r="N1006" s="76">
        <f ca="1">$K$1006-EFEITO!$M$1006*EFEITO!$Z$1006</f>
        <v>0</v>
      </c>
      <c r="O1006" s="76">
        <f>$L$1006-EFEITO!$O$1006*EFEITO!$AA$1006</f>
        <v>0</v>
      </c>
      <c r="P1006" s="57"/>
      <c r="Q1006" s="57"/>
      <c r="R1006" s="57"/>
      <c r="S1006" s="57"/>
      <c r="T1006" s="57"/>
      <c r="U1006" s="57"/>
      <c r="V1006" s="57"/>
      <c r="W1006" s="57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</row>
    <row r="1007" spans="1:36" ht="11.25" customHeight="1" x14ac:dyDescent="0.2">
      <c r="A1007" s="53" t="s">
        <v>56</v>
      </c>
      <c r="B1007" s="53" t="s">
        <v>37</v>
      </c>
      <c r="C1007" s="53" t="s">
        <v>33</v>
      </c>
      <c r="D1007" s="53" t="s">
        <v>41</v>
      </c>
      <c r="E1007" s="53" t="s">
        <v>25</v>
      </c>
      <c r="F1007" s="53" t="s">
        <v>25</v>
      </c>
      <c r="G1007" s="53" t="s">
        <v>25</v>
      </c>
      <c r="H1007" s="53" t="s">
        <v>36</v>
      </c>
      <c r="I1007" s="75">
        <v>44774</v>
      </c>
      <c r="J1007" s="76">
        <f>EFEITO!$J$1007*EFEITO!$Y$1007</f>
        <v>0</v>
      </c>
      <c r="K1007" s="76">
        <f ca="1">EFEITO!$L$1007*EFEITO!$Z$1007</f>
        <v>123.20986667038075</v>
      </c>
      <c r="L1007" s="76">
        <f>EFEITO!$N$1007*EFEITO!$AA$1007</f>
        <v>52.43768790828377</v>
      </c>
      <c r="M1007" s="76">
        <f>$J$1007-EFEITO!$K$1007*EFEITO!$Y$1007</f>
        <v>0</v>
      </c>
      <c r="N1007" s="76">
        <f ca="1">$K$1007-EFEITO!$M$1007*EFEITO!$Z$1007</f>
        <v>0</v>
      </c>
      <c r="O1007" s="76">
        <f>$L$1007-EFEITO!$O$1007*EFEITO!$AA$1007</f>
        <v>0</v>
      </c>
      <c r="P1007" s="57"/>
      <c r="Q1007" s="57"/>
      <c r="R1007" s="57"/>
      <c r="S1007" s="57"/>
      <c r="T1007" s="57"/>
      <c r="U1007" s="57"/>
      <c r="V1007" s="57"/>
      <c r="W1007" s="57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</row>
    <row r="1008" spans="1:36" ht="11.25" customHeight="1" x14ac:dyDescent="0.2">
      <c r="A1008" s="53" t="s">
        <v>28</v>
      </c>
      <c r="B1008" s="53" t="s">
        <v>37</v>
      </c>
      <c r="C1008" s="53" t="s">
        <v>33</v>
      </c>
      <c r="D1008" s="53" t="s">
        <v>41</v>
      </c>
      <c r="E1008" s="53" t="s">
        <v>25</v>
      </c>
      <c r="F1008" s="53" t="s">
        <v>25</v>
      </c>
      <c r="G1008" s="53" t="s">
        <v>25</v>
      </c>
      <c r="H1008" s="53" t="s">
        <v>25</v>
      </c>
      <c r="I1008" s="75">
        <v>44440</v>
      </c>
      <c r="J1008" s="76">
        <f>EFEITO!$J$1008*EFEITO!$Y$1008</f>
        <v>0</v>
      </c>
      <c r="K1008" s="76">
        <f ca="1">EFEITO!$L$1008*EFEITO!$Z$1008</f>
        <v>86.960621850405943</v>
      </c>
      <c r="L1008" s="76">
        <f>EFEITO!$N$1008*EFEITO!$AA$1008</f>
        <v>63.990817338673402</v>
      </c>
      <c r="M1008" s="76">
        <f>$J$1008-EFEITO!$K$1008*EFEITO!$Y$1008</f>
        <v>0</v>
      </c>
      <c r="N1008" s="76">
        <f ca="1">$K$1008-EFEITO!$M$1008*EFEITO!$Z$1008</f>
        <v>0</v>
      </c>
      <c r="O1008" s="76">
        <f>$L$1008-EFEITO!$O$1008*EFEITO!$AA$1008</f>
        <v>0</v>
      </c>
      <c r="P1008" s="57"/>
      <c r="Q1008" s="57"/>
      <c r="R1008" s="57"/>
      <c r="S1008" s="57"/>
      <c r="T1008" s="57"/>
      <c r="U1008" s="57"/>
      <c r="V1008" s="57"/>
      <c r="W1008" s="57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</row>
    <row r="1009" spans="1:36" ht="11.25" customHeight="1" x14ac:dyDescent="0.2">
      <c r="A1009" s="53" t="s">
        <v>28</v>
      </c>
      <c r="B1009" s="53" t="s">
        <v>37</v>
      </c>
      <c r="C1009" s="53" t="s">
        <v>33</v>
      </c>
      <c r="D1009" s="53" t="s">
        <v>41</v>
      </c>
      <c r="E1009" s="53" t="s">
        <v>25</v>
      </c>
      <c r="F1009" s="53" t="s">
        <v>25</v>
      </c>
      <c r="G1009" s="53" t="s">
        <v>25</v>
      </c>
      <c r="H1009" s="53" t="s">
        <v>25</v>
      </c>
      <c r="I1009" s="75">
        <v>44440</v>
      </c>
      <c r="J1009" s="76">
        <f>EFEITO!$J$1009*EFEITO!$Y$1009</f>
        <v>0</v>
      </c>
      <c r="K1009" s="76">
        <f ca="1">EFEITO!$L$1009*EFEITO!$Z$1009</f>
        <v>43.480310925202971</v>
      </c>
      <c r="L1009" s="76">
        <f>EFEITO!$N$1009*EFEITO!$AA$1009</f>
        <v>31.995408669336701</v>
      </c>
      <c r="M1009" s="76">
        <f>$J$1009-EFEITO!$K$1009*EFEITO!$Y$1009</f>
        <v>0</v>
      </c>
      <c r="N1009" s="76">
        <f ca="1">$K$1009-EFEITO!$M$1009*EFEITO!$Z$1009</f>
        <v>0</v>
      </c>
      <c r="O1009" s="76">
        <f>$L$1009-EFEITO!$O$1009*EFEITO!$AA$1009</f>
        <v>0</v>
      </c>
      <c r="P1009" s="57"/>
      <c r="Q1009" s="57"/>
      <c r="R1009" s="57"/>
      <c r="S1009" s="57"/>
      <c r="T1009" s="57"/>
      <c r="U1009" s="57"/>
      <c r="V1009" s="57"/>
      <c r="W1009" s="57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</row>
    <row r="1010" spans="1:36" ht="11.25" customHeight="1" x14ac:dyDescent="0.2">
      <c r="A1010" s="53" t="s">
        <v>28</v>
      </c>
      <c r="B1010" s="53" t="s">
        <v>37</v>
      </c>
      <c r="C1010" s="53" t="s">
        <v>33</v>
      </c>
      <c r="D1010" s="53" t="s">
        <v>41</v>
      </c>
      <c r="E1010" s="53" t="s">
        <v>25</v>
      </c>
      <c r="F1010" s="53" t="s">
        <v>25</v>
      </c>
      <c r="G1010" s="53" t="s">
        <v>25</v>
      </c>
      <c r="H1010" s="53" t="s">
        <v>25</v>
      </c>
      <c r="I1010" s="75">
        <v>44470</v>
      </c>
      <c r="J1010" s="76">
        <f>EFEITO!$J$1010*EFEITO!$Y$1010</f>
        <v>0</v>
      </c>
      <c r="K1010" s="76">
        <f ca="1">EFEITO!$L$1010*EFEITO!$Z$1010</f>
        <v>42.610704706698911</v>
      </c>
      <c r="L1010" s="76">
        <f>EFEITO!$N$1010*EFEITO!$AA$1010</f>
        <v>31.355500495949968</v>
      </c>
      <c r="M1010" s="76">
        <f>$J$1010-EFEITO!$K$1010*EFEITO!$Y$1010</f>
        <v>0</v>
      </c>
      <c r="N1010" s="76">
        <f ca="1">$K$1010-EFEITO!$M$1010*EFEITO!$Z$1010</f>
        <v>0</v>
      </c>
      <c r="O1010" s="76">
        <f>$L$1010-EFEITO!$O$1010*EFEITO!$AA$1010</f>
        <v>0</v>
      </c>
      <c r="P1010" s="57"/>
      <c r="Q1010" s="57"/>
      <c r="R1010" s="57"/>
      <c r="S1010" s="57"/>
      <c r="T1010" s="57"/>
      <c r="U1010" s="57"/>
      <c r="V1010" s="57"/>
      <c r="W1010" s="57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</row>
    <row r="1011" spans="1:36" ht="11.25" customHeight="1" x14ac:dyDescent="0.2">
      <c r="A1011" s="53" t="s">
        <v>28</v>
      </c>
      <c r="B1011" s="53" t="s">
        <v>37</v>
      </c>
      <c r="C1011" s="53" t="s">
        <v>33</v>
      </c>
      <c r="D1011" s="53" t="s">
        <v>41</v>
      </c>
      <c r="E1011" s="53" t="s">
        <v>25</v>
      </c>
      <c r="F1011" s="53" t="s">
        <v>25</v>
      </c>
      <c r="G1011" s="53" t="s">
        <v>25</v>
      </c>
      <c r="H1011" s="53" t="s">
        <v>25</v>
      </c>
      <c r="I1011" s="75">
        <v>44501</v>
      </c>
      <c r="J1011" s="76">
        <f>EFEITO!$J$1011*EFEITO!$Y$1011</f>
        <v>0</v>
      </c>
      <c r="K1011" s="76">
        <f ca="1">EFEITO!$L$1011*EFEITO!$Z$1011</f>
        <v>43.480310925202971</v>
      </c>
      <c r="L1011" s="76">
        <f>EFEITO!$N$1011*EFEITO!$AA$1011</f>
        <v>31.995408669336701</v>
      </c>
      <c r="M1011" s="76">
        <f>$J$1011-EFEITO!$K$1011*EFEITO!$Y$1011</f>
        <v>0</v>
      </c>
      <c r="N1011" s="76">
        <f ca="1">$K$1011-EFEITO!$M$1011*EFEITO!$Z$1011</f>
        <v>0</v>
      </c>
      <c r="O1011" s="76">
        <f>$L$1011-EFEITO!$O$1011*EFEITO!$AA$1011</f>
        <v>0</v>
      </c>
      <c r="P1011" s="57"/>
      <c r="Q1011" s="57"/>
      <c r="R1011" s="57"/>
      <c r="S1011" s="57"/>
      <c r="T1011" s="57"/>
      <c r="U1011" s="57"/>
      <c r="V1011" s="57"/>
      <c r="W1011" s="57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</row>
    <row r="1012" spans="1:36" ht="11.25" customHeight="1" x14ac:dyDescent="0.2">
      <c r="A1012" s="53" t="s">
        <v>28</v>
      </c>
      <c r="B1012" s="53" t="s">
        <v>37</v>
      </c>
      <c r="C1012" s="53" t="s">
        <v>33</v>
      </c>
      <c r="D1012" s="53" t="s">
        <v>41</v>
      </c>
      <c r="E1012" s="53" t="s">
        <v>25</v>
      </c>
      <c r="F1012" s="53" t="s">
        <v>25</v>
      </c>
      <c r="G1012" s="53" t="s">
        <v>25</v>
      </c>
      <c r="H1012" s="53" t="s">
        <v>25</v>
      </c>
      <c r="I1012" s="75">
        <v>44531</v>
      </c>
      <c r="J1012" s="76">
        <f>EFEITO!$J$1012*EFEITO!$Y$1012</f>
        <v>0</v>
      </c>
      <c r="K1012" s="76">
        <f ca="1">EFEITO!$L$1012*EFEITO!$Z$1012</f>
        <v>43.480310925202971</v>
      </c>
      <c r="L1012" s="76">
        <f>EFEITO!$N$1012*EFEITO!$AA$1012</f>
        <v>31.995408669336701</v>
      </c>
      <c r="M1012" s="76">
        <f>$J$1012-EFEITO!$K$1012*EFEITO!$Y$1012</f>
        <v>0</v>
      </c>
      <c r="N1012" s="76">
        <f ca="1">$K$1012-EFEITO!$M$1012*EFEITO!$Z$1012</f>
        <v>0</v>
      </c>
      <c r="O1012" s="76">
        <f>$L$1012-EFEITO!$O$1012*EFEITO!$AA$1012</f>
        <v>0</v>
      </c>
      <c r="P1012" s="57"/>
      <c r="Q1012" s="57"/>
      <c r="R1012" s="57"/>
      <c r="S1012" s="57"/>
      <c r="T1012" s="57"/>
      <c r="U1012" s="57"/>
      <c r="V1012" s="57"/>
      <c r="W1012" s="57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</row>
    <row r="1013" spans="1:36" ht="11.25" customHeight="1" x14ac:dyDescent="0.2">
      <c r="A1013" s="53" t="s">
        <v>28</v>
      </c>
      <c r="B1013" s="53" t="s">
        <v>37</v>
      </c>
      <c r="C1013" s="53" t="s">
        <v>33</v>
      </c>
      <c r="D1013" s="53" t="s">
        <v>41</v>
      </c>
      <c r="E1013" s="53" t="s">
        <v>25</v>
      </c>
      <c r="F1013" s="53" t="s">
        <v>25</v>
      </c>
      <c r="G1013" s="53" t="s">
        <v>25</v>
      </c>
      <c r="H1013" s="53" t="s">
        <v>25</v>
      </c>
      <c r="I1013" s="75">
        <v>44562</v>
      </c>
      <c r="J1013" s="76">
        <f>EFEITO!$J$1013*EFEITO!$Y$1013</f>
        <v>0</v>
      </c>
      <c r="K1013" s="76">
        <f ca="1">EFEITO!$L$1013*EFEITO!$Z$1013</f>
        <v>43.480310925202971</v>
      </c>
      <c r="L1013" s="76">
        <f>EFEITO!$N$1013*EFEITO!$AA$1013</f>
        <v>31.995408669336701</v>
      </c>
      <c r="M1013" s="76">
        <f>$J$1013-EFEITO!$K$1013*EFEITO!$Y$1013</f>
        <v>0</v>
      </c>
      <c r="N1013" s="76">
        <f ca="1">$K$1013-EFEITO!$M$1013*EFEITO!$Z$1013</f>
        <v>0</v>
      </c>
      <c r="O1013" s="76">
        <f>$L$1013-EFEITO!$O$1013*EFEITO!$AA$1013</f>
        <v>0</v>
      </c>
      <c r="P1013" s="57"/>
      <c r="Q1013" s="57"/>
      <c r="R1013" s="57"/>
      <c r="S1013" s="57"/>
      <c r="T1013" s="57"/>
      <c r="U1013" s="57"/>
      <c r="V1013" s="57"/>
      <c r="W1013" s="57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</row>
    <row r="1014" spans="1:36" ht="11.25" customHeight="1" x14ac:dyDescent="0.2">
      <c r="A1014" s="53" t="s">
        <v>28</v>
      </c>
      <c r="B1014" s="53" t="s">
        <v>37</v>
      </c>
      <c r="C1014" s="53" t="s">
        <v>33</v>
      </c>
      <c r="D1014" s="53" t="s">
        <v>41</v>
      </c>
      <c r="E1014" s="53" t="s">
        <v>25</v>
      </c>
      <c r="F1014" s="53" t="s">
        <v>25</v>
      </c>
      <c r="G1014" s="53" t="s">
        <v>25</v>
      </c>
      <c r="H1014" s="53" t="s">
        <v>25</v>
      </c>
      <c r="I1014" s="75">
        <v>44593</v>
      </c>
      <c r="J1014" s="76">
        <f>EFEITO!$J$1014*EFEITO!$Y$1014</f>
        <v>0</v>
      </c>
      <c r="K1014" s="76">
        <f ca="1">EFEITO!$L$1014*EFEITO!$Z$1014</f>
        <v>43.480310925202971</v>
      </c>
      <c r="L1014" s="76">
        <f>EFEITO!$N$1014*EFEITO!$AA$1014</f>
        <v>31.995408669336701</v>
      </c>
      <c r="M1014" s="76">
        <f>$J$1014-EFEITO!$K$1014*EFEITO!$Y$1014</f>
        <v>0</v>
      </c>
      <c r="N1014" s="76">
        <f ca="1">$K$1014-EFEITO!$M$1014*EFEITO!$Z$1014</f>
        <v>0</v>
      </c>
      <c r="O1014" s="76">
        <f>$L$1014-EFEITO!$O$1014*EFEITO!$AA$1014</f>
        <v>0</v>
      </c>
      <c r="P1014" s="57"/>
      <c r="Q1014" s="57"/>
      <c r="R1014" s="57"/>
      <c r="S1014" s="57"/>
      <c r="T1014" s="57"/>
      <c r="U1014" s="57"/>
      <c r="V1014" s="57"/>
      <c r="W1014" s="57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</row>
    <row r="1015" spans="1:36" ht="11.25" customHeight="1" x14ac:dyDescent="0.2">
      <c r="A1015" s="53" t="s">
        <v>28</v>
      </c>
      <c r="B1015" s="53" t="s">
        <v>37</v>
      </c>
      <c r="C1015" s="53" t="s">
        <v>33</v>
      </c>
      <c r="D1015" s="53" t="s">
        <v>41</v>
      </c>
      <c r="E1015" s="53" t="s">
        <v>25</v>
      </c>
      <c r="F1015" s="53" t="s">
        <v>25</v>
      </c>
      <c r="G1015" s="53" t="s">
        <v>25</v>
      </c>
      <c r="H1015" s="53" t="s">
        <v>25</v>
      </c>
      <c r="I1015" s="75">
        <v>44621</v>
      </c>
      <c r="J1015" s="76">
        <f>EFEITO!$J$1015*EFEITO!$Y$1015</f>
        <v>0</v>
      </c>
      <c r="K1015" s="76">
        <f ca="1">EFEITO!$L$1015*EFEITO!$Z$1015</f>
        <v>43.480310925202971</v>
      </c>
      <c r="L1015" s="76">
        <f>EFEITO!$N$1015*EFEITO!$AA$1015</f>
        <v>31.995408669336701</v>
      </c>
      <c r="M1015" s="76">
        <f>$J$1015-EFEITO!$K$1015*EFEITO!$Y$1015</f>
        <v>0</v>
      </c>
      <c r="N1015" s="76">
        <f ca="1">$K$1015-EFEITO!$M$1015*EFEITO!$Z$1015</f>
        <v>0</v>
      </c>
      <c r="O1015" s="76">
        <f>$L$1015-EFEITO!$O$1015*EFEITO!$AA$1015</f>
        <v>0</v>
      </c>
      <c r="P1015" s="57"/>
      <c r="Q1015" s="57"/>
      <c r="R1015" s="57"/>
      <c r="S1015" s="57"/>
      <c r="T1015" s="57"/>
      <c r="U1015" s="57"/>
      <c r="V1015" s="57"/>
      <c r="W1015" s="57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</row>
    <row r="1016" spans="1:36" ht="11.25" customHeight="1" x14ac:dyDescent="0.2">
      <c r="A1016" s="53" t="s">
        <v>28</v>
      </c>
      <c r="B1016" s="53" t="s">
        <v>37</v>
      </c>
      <c r="C1016" s="53" t="s">
        <v>33</v>
      </c>
      <c r="D1016" s="53" t="s">
        <v>41</v>
      </c>
      <c r="E1016" s="53" t="s">
        <v>25</v>
      </c>
      <c r="F1016" s="53" t="s">
        <v>25</v>
      </c>
      <c r="G1016" s="53" t="s">
        <v>25</v>
      </c>
      <c r="H1016" s="53" t="s">
        <v>25</v>
      </c>
      <c r="I1016" s="75">
        <v>44682</v>
      </c>
      <c r="J1016" s="76">
        <f>EFEITO!$J$1016*EFEITO!$Y$1016</f>
        <v>0</v>
      </c>
      <c r="K1016" s="76">
        <f ca="1">EFEITO!$L$1016*EFEITO!$Z$1016</f>
        <v>43.480310925202971</v>
      </c>
      <c r="L1016" s="76">
        <f>EFEITO!$N$1016*EFEITO!$AA$1016</f>
        <v>31.995408669336701</v>
      </c>
      <c r="M1016" s="76">
        <f>$J$1016-EFEITO!$K$1016*EFEITO!$Y$1016</f>
        <v>0</v>
      </c>
      <c r="N1016" s="76">
        <f ca="1">$K$1016-EFEITO!$M$1016*EFEITO!$Z$1016</f>
        <v>0</v>
      </c>
      <c r="O1016" s="76">
        <f>$L$1016-EFEITO!$O$1016*EFEITO!$AA$1016</f>
        <v>0</v>
      </c>
      <c r="P1016" s="57"/>
      <c r="Q1016" s="57"/>
      <c r="R1016" s="57"/>
      <c r="S1016" s="57"/>
      <c r="T1016" s="57"/>
      <c r="U1016" s="57"/>
      <c r="V1016" s="57"/>
      <c r="W1016" s="57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</row>
    <row r="1017" spans="1:36" ht="11.25" customHeight="1" x14ac:dyDescent="0.2">
      <c r="A1017" s="53" t="s">
        <v>28</v>
      </c>
      <c r="B1017" s="53" t="s">
        <v>37</v>
      </c>
      <c r="C1017" s="53" t="s">
        <v>33</v>
      </c>
      <c r="D1017" s="53" t="s">
        <v>41</v>
      </c>
      <c r="E1017" s="53" t="s">
        <v>25</v>
      </c>
      <c r="F1017" s="53" t="s">
        <v>25</v>
      </c>
      <c r="G1017" s="53" t="s">
        <v>25</v>
      </c>
      <c r="H1017" s="53" t="s">
        <v>25</v>
      </c>
      <c r="I1017" s="75">
        <v>44713</v>
      </c>
      <c r="J1017" s="76">
        <f>EFEITO!$J$1017*EFEITO!$Y$1017</f>
        <v>0</v>
      </c>
      <c r="K1017" s="76">
        <f ca="1">EFEITO!$L$1017*EFEITO!$Z$1017</f>
        <v>130.4409327756089</v>
      </c>
      <c r="L1017" s="76">
        <f>EFEITO!$N$1017*EFEITO!$AA$1017</f>
        <v>95.986226008010092</v>
      </c>
      <c r="M1017" s="76">
        <f>$J$1017-EFEITO!$K$1017*EFEITO!$Y$1017</f>
        <v>0</v>
      </c>
      <c r="N1017" s="76">
        <f ca="1">$K$1017-EFEITO!$M$1017*EFEITO!$Z$1017</f>
        <v>0</v>
      </c>
      <c r="O1017" s="76">
        <f>$L$1017-EFEITO!$O$1017*EFEITO!$AA$1017</f>
        <v>0</v>
      </c>
      <c r="P1017" s="57"/>
      <c r="Q1017" s="57"/>
      <c r="R1017" s="57"/>
      <c r="S1017" s="57"/>
      <c r="T1017" s="57"/>
      <c r="U1017" s="57"/>
      <c r="V1017" s="57"/>
      <c r="W1017" s="57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</row>
    <row r="1018" spans="1:36" ht="11.25" customHeight="1" x14ac:dyDescent="0.2">
      <c r="A1018" s="53" t="s">
        <v>28</v>
      </c>
      <c r="B1018" s="53" t="s">
        <v>37</v>
      </c>
      <c r="C1018" s="53" t="s">
        <v>33</v>
      </c>
      <c r="D1018" s="53" t="s">
        <v>41</v>
      </c>
      <c r="E1018" s="53" t="s">
        <v>25</v>
      </c>
      <c r="F1018" s="53" t="s">
        <v>25</v>
      </c>
      <c r="G1018" s="53" t="s">
        <v>25</v>
      </c>
      <c r="H1018" s="53" t="s">
        <v>25</v>
      </c>
      <c r="I1018" s="75">
        <v>44743</v>
      </c>
      <c r="J1018" s="76">
        <f>EFEITO!$J$1018*EFEITO!$Y$1018</f>
        <v>0</v>
      </c>
      <c r="K1018" s="76">
        <f ca="1">EFEITO!$L$1018*EFEITO!$Z$1018</f>
        <v>130.4409327756089</v>
      </c>
      <c r="L1018" s="76">
        <f>EFEITO!$N$1018*EFEITO!$AA$1018</f>
        <v>95.986226008010092</v>
      </c>
      <c r="M1018" s="76">
        <f>$J$1018-EFEITO!$K$1018*EFEITO!$Y$1018</f>
        <v>0</v>
      </c>
      <c r="N1018" s="76">
        <f ca="1">$K$1018-EFEITO!$M$1018*EFEITO!$Z$1018</f>
        <v>0</v>
      </c>
      <c r="O1018" s="76">
        <f>$L$1018-EFEITO!$O$1018*EFEITO!$AA$1018</f>
        <v>0</v>
      </c>
      <c r="P1018" s="57"/>
      <c r="Q1018" s="57"/>
      <c r="R1018" s="57"/>
      <c r="S1018" s="57"/>
      <c r="T1018" s="57"/>
      <c r="U1018" s="57"/>
      <c r="V1018" s="57"/>
      <c r="W1018" s="57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</row>
    <row r="1019" spans="1:36" ht="11.25" customHeight="1" x14ac:dyDescent="0.2">
      <c r="A1019" s="53" t="s">
        <v>56</v>
      </c>
      <c r="B1019" s="53" t="s">
        <v>37</v>
      </c>
      <c r="C1019" s="53" t="s">
        <v>33</v>
      </c>
      <c r="D1019" s="53" t="s">
        <v>41</v>
      </c>
      <c r="E1019" s="53" t="s">
        <v>25</v>
      </c>
      <c r="F1019" s="53" t="s">
        <v>25</v>
      </c>
      <c r="G1019" s="53" t="s">
        <v>25</v>
      </c>
      <c r="H1019" s="53" t="s">
        <v>25</v>
      </c>
      <c r="I1019" s="75">
        <v>44774</v>
      </c>
      <c r="J1019" s="76">
        <f>EFEITO!$J$1019*EFEITO!$Y$1019</f>
        <v>0</v>
      </c>
      <c r="K1019" s="76">
        <f ca="1">EFEITO!$L$1019*EFEITO!$Z$1019</f>
        <v>130.4409327756089</v>
      </c>
      <c r="L1019" s="76">
        <f>EFEITO!$N$1019*EFEITO!$AA$1019</f>
        <v>95.986226008010092</v>
      </c>
      <c r="M1019" s="76">
        <f>$J$1019-EFEITO!$K$1019*EFEITO!$Y$1019</f>
        <v>0</v>
      </c>
      <c r="N1019" s="76">
        <f ca="1">$K$1019-EFEITO!$M$1019*EFEITO!$Z$1019</f>
        <v>0</v>
      </c>
      <c r="O1019" s="76">
        <f>$L$1019-EFEITO!$O$1019*EFEITO!$AA$1019</f>
        <v>0</v>
      </c>
      <c r="P1019" s="57"/>
      <c r="Q1019" s="57"/>
      <c r="R1019" s="57"/>
      <c r="S1019" s="57"/>
      <c r="T1019" s="57"/>
      <c r="U1019" s="57"/>
      <c r="V1019" s="57"/>
      <c r="W1019" s="57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</row>
    <row r="1020" spans="1:36" ht="11.25" customHeight="1" x14ac:dyDescent="0.2">
      <c r="A1020" s="53" t="s">
        <v>21</v>
      </c>
      <c r="B1020" s="53" t="s">
        <v>37</v>
      </c>
      <c r="C1020" s="53" t="s">
        <v>33</v>
      </c>
      <c r="D1020" s="53" t="s">
        <v>41</v>
      </c>
      <c r="E1020" s="53" t="s">
        <v>25</v>
      </c>
      <c r="F1020" s="53" t="s">
        <v>25</v>
      </c>
      <c r="G1020" s="53" t="s">
        <v>25</v>
      </c>
      <c r="H1020" s="53" t="s">
        <v>34</v>
      </c>
      <c r="I1020" s="75">
        <v>44440</v>
      </c>
      <c r="J1020" s="76">
        <f>EFEITO!$J$1020*EFEITO!$Y$1020</f>
        <v>0</v>
      </c>
      <c r="K1020" s="76">
        <f ca="1">EFEITO!$L$1020*EFEITO!$Z$1020</f>
        <v>4429.2343068980717</v>
      </c>
      <c r="L1020" s="76">
        <f>EFEITO!$N$1020*EFEITO!$AA$1020</f>
        <v>2011.0406663963126</v>
      </c>
      <c r="M1020" s="76">
        <f>$J$1020-EFEITO!$K$1020*EFEITO!$Y$1020</f>
        <v>0</v>
      </c>
      <c r="N1020" s="76">
        <f ca="1">$K$1020-EFEITO!$M$1020*EFEITO!$Z$1020</f>
        <v>0</v>
      </c>
      <c r="O1020" s="76">
        <f>$L$1020-EFEITO!$O$1020*EFEITO!$AA$1020</f>
        <v>0</v>
      </c>
      <c r="P1020" s="57"/>
      <c r="Q1020" s="57"/>
      <c r="R1020" s="57"/>
      <c r="S1020" s="57"/>
      <c r="T1020" s="57"/>
      <c r="U1020" s="57"/>
      <c r="V1020" s="57"/>
      <c r="W1020" s="57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</row>
    <row r="1021" spans="1:36" ht="11.25" customHeight="1" x14ac:dyDescent="0.2">
      <c r="A1021" s="53" t="s">
        <v>28</v>
      </c>
      <c r="B1021" s="53" t="s">
        <v>37</v>
      </c>
      <c r="C1021" s="53" t="s">
        <v>33</v>
      </c>
      <c r="D1021" s="53" t="s">
        <v>41</v>
      </c>
      <c r="E1021" s="53" t="s">
        <v>25</v>
      </c>
      <c r="F1021" s="53" t="s">
        <v>25</v>
      </c>
      <c r="G1021" s="53" t="s">
        <v>25</v>
      </c>
      <c r="H1021" s="53" t="s">
        <v>34</v>
      </c>
      <c r="I1021" s="75">
        <v>44440</v>
      </c>
      <c r="J1021" s="76">
        <f>EFEITO!$J$1021*EFEITO!$Y$1021</f>
        <v>0</v>
      </c>
      <c r="K1021" s="76">
        <f ca="1">EFEITO!$L$1021*EFEITO!$Z$1021</f>
        <v>144.46644876328574</v>
      </c>
      <c r="L1021" s="76">
        <f>EFEITO!$N$1021*EFEITO!$AA$1021</f>
        <v>65.593256816502105</v>
      </c>
      <c r="M1021" s="76">
        <f>$J$1021-EFEITO!$K$1021*EFEITO!$Y$1021</f>
        <v>0</v>
      </c>
      <c r="N1021" s="76">
        <f ca="1">$K$1021-EFEITO!$M$1021*EFEITO!$Z$1021</f>
        <v>0</v>
      </c>
      <c r="O1021" s="76">
        <f>$L$1021-EFEITO!$O$1021*EFEITO!$AA$1021</f>
        <v>0</v>
      </c>
      <c r="P1021" s="57"/>
      <c r="Q1021" s="57"/>
      <c r="R1021" s="57"/>
      <c r="S1021" s="57"/>
      <c r="T1021" s="57"/>
      <c r="U1021" s="57"/>
      <c r="V1021" s="57"/>
      <c r="W1021" s="57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</row>
    <row r="1022" spans="1:36" ht="11.25" customHeight="1" x14ac:dyDescent="0.2">
      <c r="A1022" s="53" t="s">
        <v>21</v>
      </c>
      <c r="B1022" s="53" t="s">
        <v>37</v>
      </c>
      <c r="C1022" s="53" t="s">
        <v>33</v>
      </c>
      <c r="D1022" s="53" t="s">
        <v>41</v>
      </c>
      <c r="E1022" s="53" t="s">
        <v>25</v>
      </c>
      <c r="F1022" s="53" t="s">
        <v>25</v>
      </c>
      <c r="G1022" s="53" t="s">
        <v>25</v>
      </c>
      <c r="H1022" s="53" t="s">
        <v>34</v>
      </c>
      <c r="I1022" s="75">
        <v>44470</v>
      </c>
      <c r="J1022" s="76">
        <f>EFEITO!$J$1022*EFEITO!$Y$1022</f>
        <v>0</v>
      </c>
      <c r="K1022" s="76">
        <f ca="1">EFEITO!$L$1022*EFEITO!$Z$1022</f>
        <v>4492.3714956168415</v>
      </c>
      <c r="L1022" s="76">
        <f>EFEITO!$N$1022*EFEITO!$AA$1022</f>
        <v>2039.7073490050063</v>
      </c>
      <c r="M1022" s="76">
        <f>$J$1022-EFEITO!$K$1022*EFEITO!$Y$1022</f>
        <v>0</v>
      </c>
      <c r="N1022" s="76">
        <f ca="1">$K$1022-EFEITO!$M$1022*EFEITO!$Z$1022</f>
        <v>0</v>
      </c>
      <c r="O1022" s="76">
        <f>$L$1022-EFEITO!$O$1022*EFEITO!$AA$1022</f>
        <v>0</v>
      </c>
      <c r="P1022" s="57"/>
      <c r="Q1022" s="57"/>
      <c r="R1022" s="57"/>
      <c r="S1022" s="57"/>
      <c r="T1022" s="57"/>
      <c r="U1022" s="57"/>
      <c r="V1022" s="57"/>
      <c r="W1022" s="57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</row>
    <row r="1023" spans="1:36" ht="11.25" customHeight="1" x14ac:dyDescent="0.2">
      <c r="A1023" s="53" t="s">
        <v>28</v>
      </c>
      <c r="B1023" s="53" t="s">
        <v>37</v>
      </c>
      <c r="C1023" s="53" t="s">
        <v>33</v>
      </c>
      <c r="D1023" s="53" t="s">
        <v>41</v>
      </c>
      <c r="E1023" s="53" t="s">
        <v>25</v>
      </c>
      <c r="F1023" s="53" t="s">
        <v>25</v>
      </c>
      <c r="G1023" s="53" t="s">
        <v>25</v>
      </c>
      <c r="H1023" s="53" t="s">
        <v>34</v>
      </c>
      <c r="I1023" s="75">
        <v>44470</v>
      </c>
      <c r="J1023" s="76">
        <f>EFEITO!$J$1023*EFEITO!$Y$1023</f>
        <v>0</v>
      </c>
      <c r="K1023" s="76">
        <f ca="1">EFEITO!$L$1023*EFEITO!$Z$1023</f>
        <v>105.94206242640955</v>
      </c>
      <c r="L1023" s="76">
        <f>EFEITO!$N$1023*EFEITO!$AA$1023</f>
        <v>48.10172166543488</v>
      </c>
      <c r="M1023" s="76">
        <f>$J$1023-EFEITO!$K$1023*EFEITO!$Y$1023</f>
        <v>0</v>
      </c>
      <c r="N1023" s="76">
        <f ca="1">$K$1023-EFEITO!$M$1023*EFEITO!$Z$1023</f>
        <v>0</v>
      </c>
      <c r="O1023" s="76">
        <f>$L$1023-EFEITO!$O$1023*EFEITO!$AA$1023</f>
        <v>0</v>
      </c>
      <c r="P1023" s="57"/>
      <c r="Q1023" s="57"/>
      <c r="R1023" s="57"/>
      <c r="S1023" s="57"/>
      <c r="T1023" s="57"/>
      <c r="U1023" s="57"/>
      <c r="V1023" s="57"/>
      <c r="W1023" s="57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</row>
    <row r="1024" spans="1:36" ht="11.25" customHeight="1" x14ac:dyDescent="0.2">
      <c r="A1024" s="53" t="s">
        <v>28</v>
      </c>
      <c r="B1024" s="53" t="s">
        <v>37</v>
      </c>
      <c r="C1024" s="53" t="s">
        <v>33</v>
      </c>
      <c r="D1024" s="53" t="s">
        <v>41</v>
      </c>
      <c r="E1024" s="53" t="s">
        <v>25</v>
      </c>
      <c r="F1024" s="53" t="s">
        <v>25</v>
      </c>
      <c r="G1024" s="53" t="s">
        <v>25</v>
      </c>
      <c r="H1024" s="53" t="s">
        <v>34</v>
      </c>
      <c r="I1024" s="75">
        <v>44470</v>
      </c>
      <c r="J1024" s="76">
        <f>EFEITO!$J$1024*EFEITO!$Y$1024</f>
        <v>0</v>
      </c>
      <c r="K1024" s="76">
        <f ca="1">EFEITO!$L$1024*EFEITO!$Z$1024</f>
        <v>1.0701218426910055</v>
      </c>
      <c r="L1024" s="76">
        <f>EFEITO!$N$1024*EFEITO!$AA$1024</f>
        <v>0.48587597641853408</v>
      </c>
      <c r="M1024" s="76">
        <f>$J$1024-EFEITO!$K$1024*EFEITO!$Y$1024</f>
        <v>0</v>
      </c>
      <c r="N1024" s="76">
        <f ca="1">$K$1024-EFEITO!$M$1024*EFEITO!$Z$1024</f>
        <v>0</v>
      </c>
      <c r="O1024" s="76">
        <f>$L$1024-EFEITO!$O$1024*EFEITO!$AA$1024</f>
        <v>0</v>
      </c>
      <c r="P1024" s="57"/>
      <c r="Q1024" s="57"/>
      <c r="R1024" s="57"/>
      <c r="S1024" s="57"/>
      <c r="T1024" s="57"/>
      <c r="U1024" s="57"/>
      <c r="V1024" s="57"/>
      <c r="W1024" s="57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</row>
    <row r="1025" spans="1:36" ht="11.25" customHeight="1" x14ac:dyDescent="0.2">
      <c r="A1025" s="53" t="s">
        <v>21</v>
      </c>
      <c r="B1025" s="53" t="s">
        <v>37</v>
      </c>
      <c r="C1025" s="53" t="s">
        <v>33</v>
      </c>
      <c r="D1025" s="53" t="s">
        <v>41</v>
      </c>
      <c r="E1025" s="53" t="s">
        <v>25</v>
      </c>
      <c r="F1025" s="53" t="s">
        <v>25</v>
      </c>
      <c r="G1025" s="53" t="s">
        <v>25</v>
      </c>
      <c r="H1025" s="53" t="s">
        <v>34</v>
      </c>
      <c r="I1025" s="75">
        <v>44501</v>
      </c>
      <c r="J1025" s="76">
        <f>EFEITO!$J$1025*EFEITO!$Y$1025</f>
        <v>0</v>
      </c>
      <c r="K1025" s="76">
        <f ca="1">EFEITO!$L$1025*EFEITO!$Z$1025</f>
        <v>4561.9294153917563</v>
      </c>
      <c r="L1025" s="76">
        <f>EFEITO!$N$1025*EFEITO!$AA$1025</f>
        <v>2071.2892874722106</v>
      </c>
      <c r="M1025" s="76">
        <f>$J$1025-EFEITO!$K$1025*EFEITO!$Y$1025</f>
        <v>0</v>
      </c>
      <c r="N1025" s="76">
        <f ca="1">$K$1025-EFEITO!$M$1025*EFEITO!$Z$1025</f>
        <v>0</v>
      </c>
      <c r="O1025" s="76">
        <f>$L$1025-EFEITO!$O$1025*EFEITO!$AA$1025</f>
        <v>0</v>
      </c>
      <c r="P1025" s="57"/>
      <c r="Q1025" s="57"/>
      <c r="R1025" s="57"/>
      <c r="S1025" s="57"/>
      <c r="T1025" s="57"/>
      <c r="U1025" s="57"/>
      <c r="V1025" s="57"/>
      <c r="W1025" s="57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</row>
    <row r="1026" spans="1:36" ht="11.25" customHeight="1" x14ac:dyDescent="0.2">
      <c r="A1026" s="53" t="s">
        <v>28</v>
      </c>
      <c r="B1026" s="53" t="s">
        <v>37</v>
      </c>
      <c r="C1026" s="53" t="s">
        <v>33</v>
      </c>
      <c r="D1026" s="53" t="s">
        <v>41</v>
      </c>
      <c r="E1026" s="53" t="s">
        <v>25</v>
      </c>
      <c r="F1026" s="53" t="s">
        <v>25</v>
      </c>
      <c r="G1026" s="53" t="s">
        <v>25</v>
      </c>
      <c r="H1026" s="53" t="s">
        <v>34</v>
      </c>
      <c r="I1026" s="75">
        <v>44501</v>
      </c>
      <c r="J1026" s="76">
        <f>EFEITO!$J$1026*EFEITO!$Y$1026</f>
        <v>0</v>
      </c>
      <c r="K1026" s="76">
        <f ca="1">EFEITO!$L$1026*EFEITO!$Z$1026</f>
        <v>145.53657060597675</v>
      </c>
      <c r="L1026" s="76">
        <f>EFEITO!$N$1026*EFEITO!$AA$1026</f>
        <v>66.079132792920646</v>
      </c>
      <c r="M1026" s="76">
        <f>$J$1026-EFEITO!$K$1026*EFEITO!$Y$1026</f>
        <v>0</v>
      </c>
      <c r="N1026" s="76">
        <f ca="1">$K$1026-EFEITO!$M$1026*EFEITO!$Z$1026</f>
        <v>0</v>
      </c>
      <c r="O1026" s="76">
        <f>$L$1026-EFEITO!$O$1026*EFEITO!$AA$1026</f>
        <v>0</v>
      </c>
      <c r="P1026" s="57"/>
      <c r="Q1026" s="57"/>
      <c r="R1026" s="57"/>
      <c r="S1026" s="57"/>
      <c r="T1026" s="57"/>
      <c r="U1026" s="57"/>
      <c r="V1026" s="57"/>
      <c r="W1026" s="57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</row>
    <row r="1027" spans="1:36" ht="11.25" customHeight="1" x14ac:dyDescent="0.2">
      <c r="A1027" s="53" t="s">
        <v>21</v>
      </c>
      <c r="B1027" s="53" t="s">
        <v>37</v>
      </c>
      <c r="C1027" s="53" t="s">
        <v>33</v>
      </c>
      <c r="D1027" s="53" t="s">
        <v>41</v>
      </c>
      <c r="E1027" s="53" t="s">
        <v>25</v>
      </c>
      <c r="F1027" s="53" t="s">
        <v>25</v>
      </c>
      <c r="G1027" s="53" t="s">
        <v>25</v>
      </c>
      <c r="H1027" s="53" t="s">
        <v>34</v>
      </c>
      <c r="I1027" s="75">
        <v>44531</v>
      </c>
      <c r="J1027" s="76">
        <f>EFEITO!$J$1027*EFEITO!$Y$1027</f>
        <v>0</v>
      </c>
      <c r="K1027" s="76">
        <f ca="1">EFEITO!$L$1027*EFEITO!$Z$1027</f>
        <v>4884.036090041749</v>
      </c>
      <c r="L1027" s="76">
        <f>EFEITO!$N$1027*EFEITO!$AA$1027</f>
        <v>2217.5379563741894</v>
      </c>
      <c r="M1027" s="76">
        <f>$J$1027-EFEITO!$K$1027*EFEITO!$Y$1027</f>
        <v>0</v>
      </c>
      <c r="N1027" s="76">
        <f ca="1">$K$1027-EFEITO!$M$1027*EFEITO!$Z$1027</f>
        <v>0</v>
      </c>
      <c r="O1027" s="76">
        <f>$L$1027-EFEITO!$O$1027*EFEITO!$AA$1027</f>
        <v>0</v>
      </c>
      <c r="P1027" s="57"/>
      <c r="Q1027" s="57"/>
      <c r="R1027" s="57"/>
      <c r="S1027" s="57"/>
      <c r="T1027" s="57"/>
      <c r="U1027" s="57"/>
      <c r="V1027" s="57"/>
      <c r="W1027" s="57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</row>
    <row r="1028" spans="1:36" ht="11.25" customHeight="1" x14ac:dyDescent="0.2">
      <c r="A1028" s="53" t="s">
        <v>28</v>
      </c>
      <c r="B1028" s="53" t="s">
        <v>37</v>
      </c>
      <c r="C1028" s="53" t="s">
        <v>33</v>
      </c>
      <c r="D1028" s="53" t="s">
        <v>41</v>
      </c>
      <c r="E1028" s="53" t="s">
        <v>25</v>
      </c>
      <c r="F1028" s="53" t="s">
        <v>25</v>
      </c>
      <c r="G1028" s="53" t="s">
        <v>25</v>
      </c>
      <c r="H1028" s="53" t="s">
        <v>34</v>
      </c>
      <c r="I1028" s="75">
        <v>44531</v>
      </c>
      <c r="J1028" s="76">
        <f>EFEITO!$J$1028*EFEITO!$Y$1028</f>
        <v>0</v>
      </c>
      <c r="K1028" s="76">
        <f ca="1">EFEITO!$L$1028*EFEITO!$Z$1028</f>
        <v>148.74693613404978</v>
      </c>
      <c r="L1028" s="76">
        <f>EFEITO!$N$1028*EFEITO!$AA$1028</f>
        <v>67.53676072217624</v>
      </c>
      <c r="M1028" s="76">
        <f>$J$1028-EFEITO!$K$1028*EFEITO!$Y$1028</f>
        <v>0</v>
      </c>
      <c r="N1028" s="76">
        <f ca="1">$K$1028-EFEITO!$M$1028*EFEITO!$Z$1028</f>
        <v>0</v>
      </c>
      <c r="O1028" s="76">
        <f>$L$1028-EFEITO!$O$1028*EFEITO!$AA$1028</f>
        <v>0</v>
      </c>
      <c r="P1028" s="57"/>
      <c r="Q1028" s="57"/>
      <c r="R1028" s="57"/>
      <c r="S1028" s="57"/>
      <c r="T1028" s="57"/>
      <c r="U1028" s="57"/>
      <c r="V1028" s="57"/>
      <c r="W1028" s="57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</row>
    <row r="1029" spans="1:36" ht="11.25" customHeight="1" x14ac:dyDescent="0.2">
      <c r="A1029" s="53" t="s">
        <v>21</v>
      </c>
      <c r="B1029" s="53" t="s">
        <v>37</v>
      </c>
      <c r="C1029" s="53" t="s">
        <v>33</v>
      </c>
      <c r="D1029" s="53" t="s">
        <v>41</v>
      </c>
      <c r="E1029" s="53" t="s">
        <v>25</v>
      </c>
      <c r="F1029" s="53" t="s">
        <v>25</v>
      </c>
      <c r="G1029" s="53" t="s">
        <v>25</v>
      </c>
      <c r="H1029" s="53" t="s">
        <v>34</v>
      </c>
      <c r="I1029" s="75">
        <v>44562</v>
      </c>
      <c r="J1029" s="76">
        <f>EFEITO!$J$1029*EFEITO!$Y$1029</f>
        <v>0</v>
      </c>
      <c r="K1029" s="76">
        <f ca="1">EFEITO!$L$1029*EFEITO!$Z$1029</f>
        <v>4810.1976828960696</v>
      </c>
      <c r="L1029" s="76">
        <f>EFEITO!$N$1029*EFEITO!$AA$1029</f>
        <v>2184.0125140013106</v>
      </c>
      <c r="M1029" s="76">
        <f>$J$1029-EFEITO!$K$1029*EFEITO!$Y$1029</f>
        <v>0</v>
      </c>
      <c r="N1029" s="76">
        <f ca="1">$K$1029-EFEITO!$M$1029*EFEITO!$Z$1029</f>
        <v>0</v>
      </c>
      <c r="O1029" s="76">
        <f>$L$1029-EFEITO!$O$1029*EFEITO!$AA$1029</f>
        <v>0</v>
      </c>
      <c r="P1029" s="57"/>
      <c r="Q1029" s="57"/>
      <c r="R1029" s="57"/>
      <c r="S1029" s="57"/>
      <c r="T1029" s="57"/>
      <c r="U1029" s="57"/>
      <c r="V1029" s="57"/>
      <c r="W1029" s="57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</row>
    <row r="1030" spans="1:36" ht="11.25" customHeight="1" x14ac:dyDescent="0.2">
      <c r="A1030" s="53" t="s">
        <v>28</v>
      </c>
      <c r="B1030" s="53" t="s">
        <v>37</v>
      </c>
      <c r="C1030" s="53" t="s">
        <v>33</v>
      </c>
      <c r="D1030" s="53" t="s">
        <v>41</v>
      </c>
      <c r="E1030" s="53" t="s">
        <v>25</v>
      </c>
      <c r="F1030" s="53" t="s">
        <v>25</v>
      </c>
      <c r="G1030" s="53" t="s">
        <v>25</v>
      </c>
      <c r="H1030" s="53" t="s">
        <v>34</v>
      </c>
      <c r="I1030" s="75">
        <v>44562</v>
      </c>
      <c r="J1030" s="76">
        <f>EFEITO!$J$1030*EFEITO!$Y$1030</f>
        <v>0</v>
      </c>
      <c r="K1030" s="76">
        <f ca="1">EFEITO!$L$1030*EFEITO!$Z$1030</f>
        <v>157.30791087557779</v>
      </c>
      <c r="L1030" s="76">
        <f>EFEITO!$N$1030*EFEITO!$AA$1030</f>
        <v>71.423768533524509</v>
      </c>
      <c r="M1030" s="76">
        <f>$J$1030-EFEITO!$K$1030*EFEITO!$Y$1030</f>
        <v>0</v>
      </c>
      <c r="N1030" s="76">
        <f ca="1">$K$1030-EFEITO!$M$1030*EFEITO!$Z$1030</f>
        <v>0</v>
      </c>
      <c r="O1030" s="76">
        <f>$L$1030-EFEITO!$O$1030*EFEITO!$AA$1030</f>
        <v>0</v>
      </c>
      <c r="P1030" s="57"/>
      <c r="Q1030" s="57"/>
      <c r="R1030" s="57"/>
      <c r="S1030" s="57"/>
      <c r="T1030" s="57"/>
      <c r="U1030" s="57"/>
      <c r="V1030" s="57"/>
      <c r="W1030" s="57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</row>
    <row r="1031" spans="1:36" ht="11.25" customHeight="1" x14ac:dyDescent="0.2">
      <c r="A1031" s="53" t="s">
        <v>21</v>
      </c>
      <c r="B1031" s="53" t="s">
        <v>37</v>
      </c>
      <c r="C1031" s="53" t="s">
        <v>33</v>
      </c>
      <c r="D1031" s="53" t="s">
        <v>41</v>
      </c>
      <c r="E1031" s="53" t="s">
        <v>25</v>
      </c>
      <c r="F1031" s="53" t="s">
        <v>25</v>
      </c>
      <c r="G1031" s="53" t="s">
        <v>25</v>
      </c>
      <c r="H1031" s="53" t="s">
        <v>34</v>
      </c>
      <c r="I1031" s="75">
        <v>44593</v>
      </c>
      <c r="J1031" s="76">
        <f>EFEITO!$J$1031*EFEITO!$Y$1031</f>
        <v>0</v>
      </c>
      <c r="K1031" s="76">
        <f ca="1">EFEITO!$L$1031*EFEITO!$Z$1031</f>
        <v>4695.6946457281319</v>
      </c>
      <c r="L1031" s="76">
        <f>EFEITO!$N$1031*EFEITO!$AA$1031</f>
        <v>2132.0237845245274</v>
      </c>
      <c r="M1031" s="76">
        <f>$J$1031-EFEITO!$K$1031*EFEITO!$Y$1031</f>
        <v>0</v>
      </c>
      <c r="N1031" s="76">
        <f ca="1">$K$1031-EFEITO!$M$1031*EFEITO!$Z$1031</f>
        <v>0</v>
      </c>
      <c r="O1031" s="76">
        <f>$L$1031-EFEITO!$O$1031*EFEITO!$AA$1031</f>
        <v>0</v>
      </c>
      <c r="P1031" s="57"/>
      <c r="Q1031" s="57"/>
      <c r="R1031" s="57"/>
      <c r="S1031" s="57"/>
      <c r="T1031" s="57"/>
      <c r="U1031" s="57"/>
      <c r="V1031" s="57"/>
      <c r="W1031" s="57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</row>
    <row r="1032" spans="1:36" ht="11.25" customHeight="1" x14ac:dyDescent="0.2">
      <c r="A1032" s="53" t="s">
        <v>28</v>
      </c>
      <c r="B1032" s="53" t="s">
        <v>37</v>
      </c>
      <c r="C1032" s="53" t="s">
        <v>33</v>
      </c>
      <c r="D1032" s="53" t="s">
        <v>41</v>
      </c>
      <c r="E1032" s="53" t="s">
        <v>25</v>
      </c>
      <c r="F1032" s="53" t="s">
        <v>25</v>
      </c>
      <c r="G1032" s="53" t="s">
        <v>25</v>
      </c>
      <c r="H1032" s="53" t="s">
        <v>34</v>
      </c>
      <c r="I1032" s="75">
        <v>44593</v>
      </c>
      <c r="J1032" s="76">
        <f>EFEITO!$J$1032*EFEITO!$Y$1032</f>
        <v>0</v>
      </c>
      <c r="K1032" s="76">
        <f ca="1">EFEITO!$L$1032*EFEITO!$Z$1032</f>
        <v>179.78046957208892</v>
      </c>
      <c r="L1032" s="76">
        <f>EFEITO!$N$1032*EFEITO!$AA$1032</f>
        <v>81.627164038313737</v>
      </c>
      <c r="M1032" s="76">
        <f>$J$1032-EFEITO!$K$1032*EFEITO!$Y$1032</f>
        <v>0</v>
      </c>
      <c r="N1032" s="76">
        <f ca="1">$K$1032-EFEITO!$M$1032*EFEITO!$Z$1032</f>
        <v>0</v>
      </c>
      <c r="O1032" s="76">
        <f>$L$1032-EFEITO!$O$1032*EFEITO!$AA$1032</f>
        <v>0</v>
      </c>
      <c r="P1032" s="57"/>
      <c r="Q1032" s="57"/>
      <c r="R1032" s="57"/>
      <c r="S1032" s="57"/>
      <c r="T1032" s="57"/>
      <c r="U1032" s="57"/>
      <c r="V1032" s="57"/>
      <c r="W1032" s="57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</row>
    <row r="1033" spans="1:36" ht="11.25" customHeight="1" x14ac:dyDescent="0.2">
      <c r="A1033" s="53" t="s">
        <v>21</v>
      </c>
      <c r="B1033" s="53" t="s">
        <v>37</v>
      </c>
      <c r="C1033" s="53" t="s">
        <v>33</v>
      </c>
      <c r="D1033" s="53" t="s">
        <v>41</v>
      </c>
      <c r="E1033" s="53" t="s">
        <v>25</v>
      </c>
      <c r="F1033" s="53" t="s">
        <v>25</v>
      </c>
      <c r="G1033" s="53" t="s">
        <v>25</v>
      </c>
      <c r="H1033" s="53" t="s">
        <v>34</v>
      </c>
      <c r="I1033" s="75">
        <v>44621</v>
      </c>
      <c r="J1033" s="76">
        <f>EFEITO!$J$1033*EFEITO!$Y$1033</f>
        <v>0</v>
      </c>
      <c r="K1033" s="76">
        <f ca="1">EFEITO!$L$1033*EFEITO!$Z$1033</f>
        <v>4993.1885179962319</v>
      </c>
      <c r="L1033" s="76">
        <f>EFEITO!$N$1033*EFEITO!$AA$1033</f>
        <v>2267.0973059688804</v>
      </c>
      <c r="M1033" s="76">
        <f>$J$1033-EFEITO!$K$1033*EFEITO!$Y$1033</f>
        <v>0</v>
      </c>
      <c r="N1033" s="76">
        <f ca="1">$K$1033-EFEITO!$M$1033*EFEITO!$Z$1033</f>
        <v>0</v>
      </c>
      <c r="O1033" s="76">
        <f>$L$1033-EFEITO!$O$1033*EFEITO!$AA$1033</f>
        <v>0</v>
      </c>
      <c r="P1033" s="57"/>
      <c r="Q1033" s="57"/>
      <c r="R1033" s="57"/>
      <c r="S1033" s="57"/>
      <c r="T1033" s="57"/>
      <c r="U1033" s="57"/>
      <c r="V1033" s="57"/>
      <c r="W1033" s="57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</row>
    <row r="1034" spans="1:36" ht="11.25" customHeight="1" x14ac:dyDescent="0.2">
      <c r="A1034" s="53" t="s">
        <v>28</v>
      </c>
      <c r="B1034" s="53" t="s">
        <v>37</v>
      </c>
      <c r="C1034" s="53" t="s">
        <v>33</v>
      </c>
      <c r="D1034" s="53" t="s">
        <v>41</v>
      </c>
      <c r="E1034" s="53" t="s">
        <v>25</v>
      </c>
      <c r="F1034" s="53" t="s">
        <v>25</v>
      </c>
      <c r="G1034" s="53" t="s">
        <v>25</v>
      </c>
      <c r="H1034" s="53" t="s">
        <v>34</v>
      </c>
      <c r="I1034" s="75">
        <v>44621</v>
      </c>
      <c r="J1034" s="76">
        <f>EFEITO!$J$1034*EFEITO!$Y$1034</f>
        <v>0</v>
      </c>
      <c r="K1034" s="76">
        <f ca="1">EFEITO!$L$1034*EFEITO!$Z$1034</f>
        <v>113.43291532524657</v>
      </c>
      <c r="L1034" s="76">
        <f>EFEITO!$N$1034*EFEITO!$AA$1034</f>
        <v>51.502853500364616</v>
      </c>
      <c r="M1034" s="76">
        <f>$J$1034-EFEITO!$K$1034*EFEITO!$Y$1034</f>
        <v>0</v>
      </c>
      <c r="N1034" s="76">
        <f ca="1">$K$1034-EFEITO!$M$1034*EFEITO!$Z$1034</f>
        <v>0</v>
      </c>
      <c r="O1034" s="76">
        <f>$L$1034-EFEITO!$O$1034*EFEITO!$AA$1034</f>
        <v>0</v>
      </c>
      <c r="P1034" s="57"/>
      <c r="Q1034" s="57"/>
      <c r="R1034" s="57"/>
      <c r="S1034" s="57"/>
      <c r="T1034" s="57"/>
      <c r="U1034" s="57"/>
      <c r="V1034" s="57"/>
      <c r="W1034" s="57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</row>
    <row r="1035" spans="1:36" ht="11.25" customHeight="1" x14ac:dyDescent="0.2">
      <c r="A1035" s="53" t="s">
        <v>21</v>
      </c>
      <c r="B1035" s="53" t="s">
        <v>37</v>
      </c>
      <c r="C1035" s="53" t="s">
        <v>33</v>
      </c>
      <c r="D1035" s="53" t="s">
        <v>41</v>
      </c>
      <c r="E1035" s="53" t="s">
        <v>25</v>
      </c>
      <c r="F1035" s="53" t="s">
        <v>25</v>
      </c>
      <c r="G1035" s="53" t="s">
        <v>25</v>
      </c>
      <c r="H1035" s="53" t="s">
        <v>34</v>
      </c>
      <c r="I1035" s="75">
        <v>44652</v>
      </c>
      <c r="J1035" s="76">
        <f>EFEITO!$J$1035*EFEITO!$Y$1035</f>
        <v>0</v>
      </c>
      <c r="K1035" s="76">
        <f ca="1">EFEITO!$L$1035*EFEITO!$Z$1035</f>
        <v>4714.9568388965699</v>
      </c>
      <c r="L1035" s="76">
        <f>EFEITO!$N$1035*EFEITO!$AA$1035</f>
        <v>2140.769552100061</v>
      </c>
      <c r="M1035" s="76">
        <f>$J$1035-EFEITO!$K$1035*EFEITO!$Y$1035</f>
        <v>0</v>
      </c>
      <c r="N1035" s="76">
        <f ca="1">$K$1035-EFEITO!$M$1035*EFEITO!$Z$1035</f>
        <v>0</v>
      </c>
      <c r="O1035" s="76">
        <f>$L$1035-EFEITO!$O$1035*EFEITO!$AA$1035</f>
        <v>0</v>
      </c>
      <c r="P1035" s="57"/>
      <c r="Q1035" s="57"/>
      <c r="R1035" s="57"/>
      <c r="S1035" s="57"/>
      <c r="T1035" s="57"/>
      <c r="U1035" s="57"/>
      <c r="V1035" s="57"/>
      <c r="W1035" s="57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</row>
    <row r="1036" spans="1:36" ht="11.25" customHeight="1" x14ac:dyDescent="0.2">
      <c r="A1036" s="53" t="s">
        <v>28</v>
      </c>
      <c r="B1036" s="53" t="s">
        <v>37</v>
      </c>
      <c r="C1036" s="53" t="s">
        <v>33</v>
      </c>
      <c r="D1036" s="53" t="s">
        <v>41</v>
      </c>
      <c r="E1036" s="53" t="s">
        <v>25</v>
      </c>
      <c r="F1036" s="53" t="s">
        <v>25</v>
      </c>
      <c r="G1036" s="53" t="s">
        <v>25</v>
      </c>
      <c r="H1036" s="53" t="s">
        <v>34</v>
      </c>
      <c r="I1036" s="75">
        <v>44652</v>
      </c>
      <c r="J1036" s="76">
        <f>EFEITO!$J$1036*EFEITO!$Y$1036</f>
        <v>0</v>
      </c>
      <c r="K1036" s="76">
        <f ca="1">EFEITO!$L$1036*EFEITO!$Z$1036</f>
        <v>199.04266274052702</v>
      </c>
      <c r="L1036" s="76">
        <f>EFEITO!$N$1036*EFEITO!$AA$1036</f>
        <v>90.372931613847342</v>
      </c>
      <c r="M1036" s="76">
        <f>$J$1036-EFEITO!$K$1036*EFEITO!$Y$1036</f>
        <v>0</v>
      </c>
      <c r="N1036" s="76">
        <f ca="1">$K$1036-EFEITO!$M$1036*EFEITO!$Z$1036</f>
        <v>0</v>
      </c>
      <c r="O1036" s="76">
        <f>$L$1036-EFEITO!$O$1036*EFEITO!$AA$1036</f>
        <v>0</v>
      </c>
      <c r="P1036" s="57"/>
      <c r="Q1036" s="57"/>
      <c r="R1036" s="57"/>
      <c r="S1036" s="57"/>
      <c r="T1036" s="57"/>
      <c r="U1036" s="57"/>
      <c r="V1036" s="57"/>
      <c r="W1036" s="57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</row>
    <row r="1037" spans="1:36" ht="11.25" customHeight="1" x14ac:dyDescent="0.2">
      <c r="A1037" s="53" t="s">
        <v>21</v>
      </c>
      <c r="B1037" s="53" t="s">
        <v>37</v>
      </c>
      <c r="C1037" s="53" t="s">
        <v>33</v>
      </c>
      <c r="D1037" s="53" t="s">
        <v>41</v>
      </c>
      <c r="E1037" s="53" t="s">
        <v>25</v>
      </c>
      <c r="F1037" s="53" t="s">
        <v>25</v>
      </c>
      <c r="G1037" s="53" t="s">
        <v>25</v>
      </c>
      <c r="H1037" s="53" t="s">
        <v>34</v>
      </c>
      <c r="I1037" s="75">
        <v>44682</v>
      </c>
      <c r="J1037" s="76">
        <f>EFEITO!$J$1037*EFEITO!$Y$1037</f>
        <v>0</v>
      </c>
      <c r="K1037" s="76">
        <f ca="1">EFEITO!$L$1037*EFEITO!$Z$1037</f>
        <v>4291.1885891909315</v>
      </c>
      <c r="L1037" s="76">
        <f>EFEITO!$N$1037*EFEITO!$AA$1037</f>
        <v>1948.3626654383215</v>
      </c>
      <c r="M1037" s="76">
        <f>$J$1037-EFEITO!$K$1037*EFEITO!$Y$1037</f>
        <v>0</v>
      </c>
      <c r="N1037" s="76">
        <f ca="1">$K$1037-EFEITO!$M$1037*EFEITO!$Z$1037</f>
        <v>0</v>
      </c>
      <c r="O1037" s="76">
        <f>$L$1037-EFEITO!$O$1037*EFEITO!$AA$1037</f>
        <v>0</v>
      </c>
      <c r="P1037" s="57"/>
      <c r="Q1037" s="57"/>
      <c r="R1037" s="57"/>
      <c r="S1037" s="57"/>
      <c r="T1037" s="57"/>
      <c r="U1037" s="57"/>
      <c r="V1037" s="57"/>
      <c r="W1037" s="57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</row>
    <row r="1038" spans="1:36" ht="11.25" customHeight="1" x14ac:dyDescent="0.2">
      <c r="A1038" s="53" t="s">
        <v>28</v>
      </c>
      <c r="B1038" s="53" t="s">
        <v>37</v>
      </c>
      <c r="C1038" s="53" t="s">
        <v>33</v>
      </c>
      <c r="D1038" s="53" t="s">
        <v>41</v>
      </c>
      <c r="E1038" s="53" t="s">
        <v>25</v>
      </c>
      <c r="F1038" s="53" t="s">
        <v>25</v>
      </c>
      <c r="G1038" s="53" t="s">
        <v>25</v>
      </c>
      <c r="H1038" s="53" t="s">
        <v>34</v>
      </c>
      <c r="I1038" s="75">
        <v>44682</v>
      </c>
      <c r="J1038" s="76">
        <f>EFEITO!$J$1038*EFEITO!$Y$1038</f>
        <v>0</v>
      </c>
      <c r="K1038" s="76">
        <f ca="1">EFEITO!$L$1038*EFEITO!$Z$1038</f>
        <v>277.16155725697041</v>
      </c>
      <c r="L1038" s="76">
        <f>EFEITO!$N$1038*EFEITO!$AA$1038</f>
        <v>125.84187789240033</v>
      </c>
      <c r="M1038" s="76">
        <f>$J$1038-EFEITO!$K$1038*EFEITO!$Y$1038</f>
        <v>0</v>
      </c>
      <c r="N1038" s="76">
        <f ca="1">$K$1038-EFEITO!$M$1038*EFEITO!$Z$1038</f>
        <v>0</v>
      </c>
      <c r="O1038" s="76">
        <f>$L$1038-EFEITO!$O$1038*EFEITO!$AA$1038</f>
        <v>0</v>
      </c>
      <c r="P1038" s="57"/>
      <c r="Q1038" s="57"/>
      <c r="R1038" s="57"/>
      <c r="S1038" s="57"/>
      <c r="T1038" s="57"/>
      <c r="U1038" s="57"/>
      <c r="V1038" s="57"/>
      <c r="W1038" s="57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</row>
    <row r="1039" spans="1:36" ht="11.25" customHeight="1" x14ac:dyDescent="0.2">
      <c r="A1039" s="53" t="s">
        <v>21</v>
      </c>
      <c r="B1039" s="53" t="s">
        <v>37</v>
      </c>
      <c r="C1039" s="53" t="s">
        <v>33</v>
      </c>
      <c r="D1039" s="53" t="s">
        <v>41</v>
      </c>
      <c r="E1039" s="53" t="s">
        <v>25</v>
      </c>
      <c r="F1039" s="53" t="s">
        <v>25</v>
      </c>
      <c r="G1039" s="53" t="s">
        <v>25</v>
      </c>
      <c r="H1039" s="53" t="s">
        <v>34</v>
      </c>
      <c r="I1039" s="75">
        <v>44713</v>
      </c>
      <c r="J1039" s="76">
        <f>EFEITO!$J$1039*EFEITO!$Y$1039</f>
        <v>0</v>
      </c>
      <c r="K1039" s="76">
        <f ca="1">EFEITO!$L$1039*EFEITO!$Z$1039</f>
        <v>3905.9447258221699</v>
      </c>
      <c r="L1039" s="76">
        <f>EFEITO!$N$1039*EFEITO!$AA$1039</f>
        <v>1773.4473139276495</v>
      </c>
      <c r="M1039" s="76">
        <f>$J$1039-EFEITO!$K$1039*EFEITO!$Y$1039</f>
        <v>0</v>
      </c>
      <c r="N1039" s="76">
        <f ca="1">$K$1039-EFEITO!$M$1039*EFEITO!$Z$1039</f>
        <v>0</v>
      </c>
      <c r="O1039" s="76">
        <f>$L$1039-EFEITO!$O$1039*EFEITO!$AA$1039</f>
        <v>0</v>
      </c>
      <c r="P1039" s="57"/>
      <c r="Q1039" s="57"/>
      <c r="R1039" s="57"/>
      <c r="S1039" s="57"/>
      <c r="T1039" s="57"/>
      <c r="U1039" s="57"/>
      <c r="V1039" s="57"/>
      <c r="W1039" s="57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</row>
    <row r="1040" spans="1:36" ht="11.25" customHeight="1" x14ac:dyDescent="0.2">
      <c r="A1040" s="53" t="s">
        <v>28</v>
      </c>
      <c r="B1040" s="53" t="s">
        <v>37</v>
      </c>
      <c r="C1040" s="53" t="s">
        <v>33</v>
      </c>
      <c r="D1040" s="53" t="s">
        <v>41</v>
      </c>
      <c r="E1040" s="53" t="s">
        <v>25</v>
      </c>
      <c r="F1040" s="53" t="s">
        <v>25</v>
      </c>
      <c r="G1040" s="53" t="s">
        <v>25</v>
      </c>
      <c r="H1040" s="53" t="s">
        <v>34</v>
      </c>
      <c r="I1040" s="75">
        <v>44713</v>
      </c>
      <c r="J1040" s="76">
        <f>EFEITO!$J$1040*EFEITO!$Y$1040</f>
        <v>0</v>
      </c>
      <c r="K1040" s="76">
        <f ca="1">EFEITO!$L$1040*EFEITO!$Z$1040</f>
        <v>258.96948593122329</v>
      </c>
      <c r="L1040" s="76">
        <f>EFEITO!$N$1040*EFEITO!$AA$1040</f>
        <v>117.58198629328525</v>
      </c>
      <c r="M1040" s="76">
        <f>$J$1040-EFEITO!$K$1040*EFEITO!$Y$1040</f>
        <v>0</v>
      </c>
      <c r="N1040" s="76">
        <f ca="1">$K$1040-EFEITO!$M$1040*EFEITO!$Z$1040</f>
        <v>0</v>
      </c>
      <c r="O1040" s="76">
        <f>$L$1040-EFEITO!$O$1040*EFEITO!$AA$1040</f>
        <v>0</v>
      </c>
      <c r="P1040" s="57"/>
      <c r="Q1040" s="57"/>
      <c r="R1040" s="57"/>
      <c r="S1040" s="57"/>
      <c r="T1040" s="57"/>
      <c r="U1040" s="57"/>
      <c r="V1040" s="57"/>
      <c r="W1040" s="57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</row>
    <row r="1041" spans="1:36" ht="11.25" customHeight="1" x14ac:dyDescent="0.2">
      <c r="A1041" s="53" t="s">
        <v>21</v>
      </c>
      <c r="B1041" s="53" t="s">
        <v>37</v>
      </c>
      <c r="C1041" s="53" t="s">
        <v>33</v>
      </c>
      <c r="D1041" s="53" t="s">
        <v>41</v>
      </c>
      <c r="E1041" s="53" t="s">
        <v>25</v>
      </c>
      <c r="F1041" s="53" t="s">
        <v>25</v>
      </c>
      <c r="G1041" s="53" t="s">
        <v>25</v>
      </c>
      <c r="H1041" s="53" t="s">
        <v>34</v>
      </c>
      <c r="I1041" s="75">
        <v>44743</v>
      </c>
      <c r="J1041" s="76">
        <f>EFEITO!$J$1041*EFEITO!$Y$1041</f>
        <v>0</v>
      </c>
      <c r="K1041" s="76">
        <f ca="1">EFEITO!$L$1041*EFEITO!$Z$1041</f>
        <v>3617.0118282955982</v>
      </c>
      <c r="L1041" s="76">
        <f>EFEITO!$N$1041*EFEITO!$AA$1041</f>
        <v>1642.2608002946452</v>
      </c>
      <c r="M1041" s="76">
        <f>$J$1041-EFEITO!$K$1041*EFEITO!$Y$1041</f>
        <v>0</v>
      </c>
      <c r="N1041" s="76">
        <f ca="1">$K$1041-EFEITO!$M$1041*EFEITO!$Z$1041</f>
        <v>0</v>
      </c>
      <c r="O1041" s="76">
        <f>$L$1041-EFEITO!$O$1041*EFEITO!$AA$1041</f>
        <v>0</v>
      </c>
      <c r="P1041" s="57"/>
      <c r="Q1041" s="57"/>
      <c r="R1041" s="57"/>
      <c r="S1041" s="57"/>
      <c r="T1041" s="57"/>
      <c r="U1041" s="57"/>
      <c r="V1041" s="57"/>
      <c r="W1041" s="57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</row>
    <row r="1042" spans="1:36" ht="11.25" customHeight="1" x14ac:dyDescent="0.2">
      <c r="A1042" s="53" t="s">
        <v>28</v>
      </c>
      <c r="B1042" s="53" t="s">
        <v>37</v>
      </c>
      <c r="C1042" s="53" t="s">
        <v>33</v>
      </c>
      <c r="D1042" s="53" t="s">
        <v>41</v>
      </c>
      <c r="E1042" s="53" t="s">
        <v>25</v>
      </c>
      <c r="F1042" s="53" t="s">
        <v>25</v>
      </c>
      <c r="G1042" s="53" t="s">
        <v>25</v>
      </c>
      <c r="H1042" s="53" t="s">
        <v>34</v>
      </c>
      <c r="I1042" s="75">
        <v>44743</v>
      </c>
      <c r="J1042" s="76">
        <f>EFEITO!$J$1042*EFEITO!$Y$1042</f>
        <v>0</v>
      </c>
      <c r="K1042" s="76">
        <f ca="1">EFEITO!$L$1042*EFEITO!$Z$1042</f>
        <v>301.77435963886353</v>
      </c>
      <c r="L1042" s="76">
        <f>EFEITO!$N$1042*EFEITO!$AA$1042</f>
        <v>137.01702535002661</v>
      </c>
      <c r="M1042" s="76">
        <f>$J$1042-EFEITO!$K$1042*EFEITO!$Y$1042</f>
        <v>0</v>
      </c>
      <c r="N1042" s="76">
        <f ca="1">$K$1042-EFEITO!$M$1042*EFEITO!$Z$1042</f>
        <v>0</v>
      </c>
      <c r="O1042" s="76">
        <f>$L$1042-EFEITO!$O$1042*EFEITO!$AA$1042</f>
        <v>0</v>
      </c>
      <c r="P1042" s="57"/>
      <c r="Q1042" s="57"/>
      <c r="R1042" s="57"/>
      <c r="S1042" s="57"/>
      <c r="T1042" s="57"/>
      <c r="U1042" s="57"/>
      <c r="V1042" s="57"/>
      <c r="W1042" s="57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</row>
    <row r="1043" spans="1:36" ht="11.25" customHeight="1" x14ac:dyDescent="0.2">
      <c r="A1043" s="53" t="s">
        <v>56</v>
      </c>
      <c r="B1043" s="53" t="s">
        <v>37</v>
      </c>
      <c r="C1043" s="53" t="s">
        <v>33</v>
      </c>
      <c r="D1043" s="53" t="s">
        <v>41</v>
      </c>
      <c r="E1043" s="53" t="s">
        <v>25</v>
      </c>
      <c r="F1043" s="53" t="s">
        <v>25</v>
      </c>
      <c r="G1043" s="53" t="s">
        <v>25</v>
      </c>
      <c r="H1043" s="53" t="s">
        <v>34</v>
      </c>
      <c r="I1043" s="75">
        <v>44774</v>
      </c>
      <c r="J1043" s="76">
        <f>EFEITO!$J$1043*EFEITO!$Y$1043</f>
        <v>0</v>
      </c>
      <c r="K1043" s="76">
        <f ca="1">EFEITO!$L$1043*EFEITO!$Z$1043</f>
        <v>3617.0118282955982</v>
      </c>
      <c r="L1043" s="76">
        <f>EFEITO!$N$1043*EFEITO!$AA$1043</f>
        <v>1642.2608002946452</v>
      </c>
      <c r="M1043" s="76">
        <f>$J$1043-EFEITO!$K$1043*EFEITO!$Y$1043</f>
        <v>0</v>
      </c>
      <c r="N1043" s="76">
        <f ca="1">$K$1043-EFEITO!$M$1043*EFEITO!$Z$1043</f>
        <v>0</v>
      </c>
      <c r="O1043" s="76">
        <f>$L$1043-EFEITO!$O$1043*EFEITO!$AA$1043</f>
        <v>0</v>
      </c>
      <c r="P1043" s="57"/>
      <c r="Q1043" s="57"/>
      <c r="R1043" s="57"/>
      <c r="S1043" s="57"/>
      <c r="T1043" s="57"/>
      <c r="U1043" s="57"/>
      <c r="V1043" s="57"/>
      <c r="W1043" s="57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</row>
    <row r="1044" spans="1:36" ht="11.25" customHeight="1" x14ac:dyDescent="0.2">
      <c r="A1044" s="53" t="s">
        <v>56</v>
      </c>
      <c r="B1044" s="53" t="s">
        <v>37</v>
      </c>
      <c r="C1044" s="53" t="s">
        <v>33</v>
      </c>
      <c r="D1044" s="53" t="s">
        <v>41</v>
      </c>
      <c r="E1044" s="53" t="s">
        <v>25</v>
      </c>
      <c r="F1044" s="53" t="s">
        <v>25</v>
      </c>
      <c r="G1044" s="53" t="s">
        <v>25</v>
      </c>
      <c r="H1044" s="53" t="s">
        <v>34</v>
      </c>
      <c r="I1044" s="75">
        <v>44774</v>
      </c>
      <c r="J1044" s="76">
        <f>EFEITO!$J$1044*EFEITO!$Y$1044</f>
        <v>0</v>
      </c>
      <c r="K1044" s="76">
        <f ca="1">EFEITO!$L$1044*EFEITO!$Z$1044</f>
        <v>301.77435963886353</v>
      </c>
      <c r="L1044" s="76">
        <f>EFEITO!$N$1044*EFEITO!$AA$1044</f>
        <v>137.01702535002661</v>
      </c>
      <c r="M1044" s="76">
        <f>$J$1044-EFEITO!$K$1044*EFEITO!$Y$1044</f>
        <v>0</v>
      </c>
      <c r="N1044" s="76">
        <f ca="1">$K$1044-EFEITO!$M$1044*EFEITO!$Z$1044</f>
        <v>0</v>
      </c>
      <c r="O1044" s="76">
        <f>$L$1044-EFEITO!$O$1044*EFEITO!$AA$1044</f>
        <v>0</v>
      </c>
      <c r="P1044" s="57"/>
      <c r="Q1044" s="57"/>
      <c r="R1044" s="57"/>
      <c r="S1044" s="57"/>
      <c r="T1044" s="57"/>
      <c r="U1044" s="57"/>
      <c r="V1044" s="57"/>
      <c r="W1044" s="57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</row>
    <row r="1045" spans="1:36" ht="11.25" customHeight="1" x14ac:dyDescent="0.2">
      <c r="A1045" s="53" t="s">
        <v>21</v>
      </c>
      <c r="B1045" s="53" t="s">
        <v>37</v>
      </c>
      <c r="C1045" s="53" t="s">
        <v>33</v>
      </c>
      <c r="D1045" s="53" t="s">
        <v>38</v>
      </c>
      <c r="E1045" s="53" t="s">
        <v>25</v>
      </c>
      <c r="F1045" s="53" t="s">
        <v>25</v>
      </c>
      <c r="G1045" s="53" t="s">
        <v>25</v>
      </c>
      <c r="H1045" s="53" t="s">
        <v>35</v>
      </c>
      <c r="I1045" s="75">
        <v>44440</v>
      </c>
      <c r="J1045" s="76">
        <f>EFEITO!$J$1045*EFEITO!$Y$1045</f>
        <v>0</v>
      </c>
      <c r="K1045" s="76">
        <f ca="1">EFEITO!$L$1045*EFEITO!$Z$1045</f>
        <v>4866.8865100199328</v>
      </c>
      <c r="L1045" s="76">
        <f>EFEITO!$N$1045*EFEITO!$AA$1045</f>
        <v>4092.5786190744266</v>
      </c>
      <c r="M1045" s="76">
        <f>$J$1045-EFEITO!$K$1045*EFEITO!$Y$1045</f>
        <v>0</v>
      </c>
      <c r="N1045" s="76">
        <f ca="1">$K$1045-EFEITO!$M$1045*EFEITO!$Z$1045</f>
        <v>0</v>
      </c>
      <c r="O1045" s="76">
        <f>$L$1045-EFEITO!$O$1045*EFEITO!$AA$1045</f>
        <v>0</v>
      </c>
      <c r="P1045" s="57"/>
      <c r="Q1045" s="57"/>
      <c r="R1045" s="57"/>
      <c r="S1045" s="57"/>
      <c r="T1045" s="57"/>
      <c r="U1045" s="57"/>
      <c r="V1045" s="57"/>
      <c r="W1045" s="57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</row>
    <row r="1046" spans="1:36" ht="11.25" customHeight="1" x14ac:dyDescent="0.2">
      <c r="A1046" s="53" t="s">
        <v>28</v>
      </c>
      <c r="B1046" s="53" t="s">
        <v>37</v>
      </c>
      <c r="C1046" s="53" t="s">
        <v>33</v>
      </c>
      <c r="D1046" s="53" t="s">
        <v>38</v>
      </c>
      <c r="E1046" s="53" t="s">
        <v>25</v>
      </c>
      <c r="F1046" s="53" t="s">
        <v>25</v>
      </c>
      <c r="G1046" s="53" t="s">
        <v>25</v>
      </c>
      <c r="H1046" s="53" t="s">
        <v>35</v>
      </c>
      <c r="I1046" s="75">
        <v>44440</v>
      </c>
      <c r="J1046" s="76">
        <f>EFEITO!$J$1046*EFEITO!$Y$1046</f>
        <v>0</v>
      </c>
      <c r="K1046" s="76">
        <f ca="1">EFEITO!$L$1046*EFEITO!$Z$1046</f>
        <v>696.09818975255291</v>
      </c>
      <c r="L1046" s="76">
        <f>EFEITO!$N$1046*EFEITO!$AA$1046</f>
        <v>585.35093479014449</v>
      </c>
      <c r="M1046" s="76">
        <f>$J$1046-EFEITO!$K$1046*EFEITO!$Y$1046</f>
        <v>0</v>
      </c>
      <c r="N1046" s="76">
        <f ca="1">$K$1046-EFEITO!$M$1046*EFEITO!$Z$1046</f>
        <v>0</v>
      </c>
      <c r="O1046" s="76">
        <f>$L$1046-EFEITO!$O$1046*EFEITO!$AA$1046</f>
        <v>0</v>
      </c>
      <c r="P1046" s="57"/>
      <c r="Q1046" s="57"/>
      <c r="R1046" s="57"/>
      <c r="S1046" s="57"/>
      <c r="T1046" s="57"/>
      <c r="U1046" s="57"/>
      <c r="V1046" s="57"/>
      <c r="W1046" s="57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</row>
    <row r="1047" spans="1:36" ht="11.25" customHeight="1" x14ac:dyDescent="0.2">
      <c r="A1047" s="53" t="s">
        <v>21</v>
      </c>
      <c r="B1047" s="53" t="s">
        <v>37</v>
      </c>
      <c r="C1047" s="53" t="s">
        <v>33</v>
      </c>
      <c r="D1047" s="53" t="s">
        <v>38</v>
      </c>
      <c r="E1047" s="53" t="s">
        <v>25</v>
      </c>
      <c r="F1047" s="53" t="s">
        <v>25</v>
      </c>
      <c r="G1047" s="53" t="s">
        <v>25</v>
      </c>
      <c r="H1047" s="53" t="s">
        <v>35</v>
      </c>
      <c r="I1047" s="75">
        <v>44470</v>
      </c>
      <c r="J1047" s="76">
        <f>EFEITO!$J$1047*EFEITO!$Y$1047</f>
        <v>0</v>
      </c>
      <c r="K1047" s="76">
        <f ca="1">EFEITO!$L$1047*EFEITO!$Z$1047</f>
        <v>5134.0867005655737</v>
      </c>
      <c r="L1047" s="76">
        <f>EFEITO!$N$1047*EFEITO!$AA$1047</f>
        <v>4317.2680143558518</v>
      </c>
      <c r="M1047" s="76">
        <f>$J$1047-EFEITO!$K$1047*EFEITO!$Y$1047</f>
        <v>0</v>
      </c>
      <c r="N1047" s="76">
        <f ca="1">$K$1047-EFEITO!$M$1047*EFEITO!$Z$1047</f>
        <v>0</v>
      </c>
      <c r="O1047" s="76">
        <f>$L$1047-EFEITO!$O$1047*EFEITO!$AA$1047</f>
        <v>0</v>
      </c>
      <c r="P1047" s="57"/>
      <c r="Q1047" s="57"/>
      <c r="R1047" s="57"/>
      <c r="S1047" s="57"/>
      <c r="T1047" s="57"/>
      <c r="U1047" s="57"/>
      <c r="V1047" s="57"/>
      <c r="W1047" s="57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</row>
    <row r="1048" spans="1:36" ht="11.25" customHeight="1" x14ac:dyDescent="0.2">
      <c r="A1048" s="53" t="s">
        <v>28</v>
      </c>
      <c r="B1048" s="53" t="s">
        <v>37</v>
      </c>
      <c r="C1048" s="53" t="s">
        <v>33</v>
      </c>
      <c r="D1048" s="53" t="s">
        <v>38</v>
      </c>
      <c r="E1048" s="53" t="s">
        <v>25</v>
      </c>
      <c r="F1048" s="53" t="s">
        <v>25</v>
      </c>
      <c r="G1048" s="53" t="s">
        <v>25</v>
      </c>
      <c r="H1048" s="53" t="s">
        <v>35</v>
      </c>
      <c r="I1048" s="75">
        <v>44470</v>
      </c>
      <c r="J1048" s="76">
        <f>EFEITO!$J$1048*EFEITO!$Y$1048</f>
        <v>0</v>
      </c>
      <c r="K1048" s="76">
        <f ca="1">EFEITO!$L$1048*EFEITO!$Z$1048</f>
        <v>631.92663788473953</v>
      </c>
      <c r="L1048" s="76">
        <f>EFEITO!$N$1048*EFEITO!$AA$1048</f>
        <v>531.38889548917803</v>
      </c>
      <c r="M1048" s="76">
        <f>$J$1048-EFEITO!$K$1048*EFEITO!$Y$1048</f>
        <v>0</v>
      </c>
      <c r="N1048" s="76">
        <f ca="1">$K$1048-EFEITO!$M$1048*EFEITO!$Z$1048</f>
        <v>0</v>
      </c>
      <c r="O1048" s="76">
        <f>$L$1048-EFEITO!$O$1048*EFEITO!$AA$1048</f>
        <v>0</v>
      </c>
      <c r="P1048" s="57"/>
      <c r="Q1048" s="57"/>
      <c r="R1048" s="57"/>
      <c r="S1048" s="57"/>
      <c r="T1048" s="57"/>
      <c r="U1048" s="57"/>
      <c r="V1048" s="57"/>
      <c r="W1048" s="57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</row>
    <row r="1049" spans="1:36" ht="11.25" customHeight="1" x14ac:dyDescent="0.2">
      <c r="A1049" s="53" t="s">
        <v>21</v>
      </c>
      <c r="B1049" s="53" t="s">
        <v>37</v>
      </c>
      <c r="C1049" s="53" t="s">
        <v>33</v>
      </c>
      <c r="D1049" s="53" t="s">
        <v>38</v>
      </c>
      <c r="E1049" s="53" t="s">
        <v>25</v>
      </c>
      <c r="F1049" s="53" t="s">
        <v>25</v>
      </c>
      <c r="G1049" s="53" t="s">
        <v>25</v>
      </c>
      <c r="H1049" s="53" t="s">
        <v>35</v>
      </c>
      <c r="I1049" s="75">
        <v>44501</v>
      </c>
      <c r="J1049" s="76">
        <f>EFEITO!$J$1049*EFEITO!$Y$1049</f>
        <v>0</v>
      </c>
      <c r="K1049" s="76">
        <f ca="1">EFEITO!$L$1049*EFEITO!$Z$1049</f>
        <v>2958.779857588846</v>
      </c>
      <c r="L1049" s="76">
        <f>EFEITO!$N$1049*EFEITO!$AA$1049</f>
        <v>2488.0463431366506</v>
      </c>
      <c r="M1049" s="76">
        <f>$J$1049-EFEITO!$K$1049*EFEITO!$Y$1049</f>
        <v>0</v>
      </c>
      <c r="N1049" s="76">
        <f ca="1">$K$1049-EFEITO!$M$1049*EFEITO!$Z$1049</f>
        <v>0</v>
      </c>
      <c r="O1049" s="76">
        <f>$L$1049-EFEITO!$O$1049*EFEITO!$AA$1049</f>
        <v>0</v>
      </c>
      <c r="P1049" s="57"/>
      <c r="Q1049" s="57"/>
      <c r="R1049" s="57"/>
      <c r="S1049" s="57"/>
      <c r="T1049" s="57"/>
      <c r="U1049" s="57"/>
      <c r="V1049" s="57"/>
      <c r="W1049" s="57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</row>
    <row r="1050" spans="1:36" ht="11.25" customHeight="1" x14ac:dyDescent="0.2">
      <c r="A1050" s="53" t="s">
        <v>28</v>
      </c>
      <c r="B1050" s="53" t="s">
        <v>37</v>
      </c>
      <c r="C1050" s="53" t="s">
        <v>33</v>
      </c>
      <c r="D1050" s="53" t="s">
        <v>38</v>
      </c>
      <c r="E1050" s="53" t="s">
        <v>25</v>
      </c>
      <c r="F1050" s="53" t="s">
        <v>25</v>
      </c>
      <c r="G1050" s="53" t="s">
        <v>25</v>
      </c>
      <c r="H1050" s="53" t="s">
        <v>35</v>
      </c>
      <c r="I1050" s="75">
        <v>44501</v>
      </c>
      <c r="J1050" s="76">
        <f>EFEITO!$J$1050*EFEITO!$Y$1050</f>
        <v>0</v>
      </c>
      <c r="K1050" s="76">
        <f ca="1">EFEITO!$L$1050*EFEITO!$Z$1050</f>
        <v>1358.1165722984704</v>
      </c>
      <c r="L1050" s="76">
        <f>EFEITO!$N$1050*EFEITO!$AA$1050</f>
        <v>1142.0440633978549</v>
      </c>
      <c r="M1050" s="76">
        <f>$J$1050-EFEITO!$K$1050*EFEITO!$Y$1050</f>
        <v>0</v>
      </c>
      <c r="N1050" s="76">
        <f ca="1">$K$1050-EFEITO!$M$1050*EFEITO!$Z$1050</f>
        <v>0</v>
      </c>
      <c r="O1050" s="76">
        <f>$L$1050-EFEITO!$O$1050*EFEITO!$AA$1050</f>
        <v>0</v>
      </c>
      <c r="P1050" s="57"/>
      <c r="Q1050" s="57"/>
      <c r="R1050" s="57"/>
      <c r="S1050" s="57"/>
      <c r="T1050" s="57"/>
      <c r="U1050" s="57"/>
      <c r="V1050" s="57"/>
      <c r="W1050" s="57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</row>
    <row r="1051" spans="1:36" ht="11.25" customHeight="1" x14ac:dyDescent="0.2">
      <c r="A1051" s="53" t="s">
        <v>21</v>
      </c>
      <c r="B1051" s="53" t="s">
        <v>37</v>
      </c>
      <c r="C1051" s="53" t="s">
        <v>33</v>
      </c>
      <c r="D1051" s="53" t="s">
        <v>38</v>
      </c>
      <c r="E1051" s="53" t="s">
        <v>25</v>
      </c>
      <c r="F1051" s="53" t="s">
        <v>25</v>
      </c>
      <c r="G1051" s="53" t="s">
        <v>25</v>
      </c>
      <c r="H1051" s="53" t="s">
        <v>35</v>
      </c>
      <c r="I1051" s="75">
        <v>44531</v>
      </c>
      <c r="J1051" s="76">
        <f>EFEITO!$J$1051*EFEITO!$Y$1051</f>
        <v>0</v>
      </c>
      <c r="K1051" s="76">
        <f ca="1">EFEITO!$L$1051*EFEITO!$Z$1051</f>
        <v>3003.3736478698693</v>
      </c>
      <c r="L1051" s="76">
        <f>EFEITO!$N$1051*EFEITO!$AA$1051</f>
        <v>2525.5453873966444</v>
      </c>
      <c r="M1051" s="76">
        <f>$J$1051-EFEITO!$K$1051*EFEITO!$Y$1051</f>
        <v>0</v>
      </c>
      <c r="N1051" s="76">
        <f ca="1">$K$1051-EFEITO!$M$1051*EFEITO!$Z$1051</f>
        <v>0</v>
      </c>
      <c r="O1051" s="76">
        <f>$L$1051-EFEITO!$O$1051*EFEITO!$AA$1051</f>
        <v>0</v>
      </c>
      <c r="P1051" s="57"/>
      <c r="Q1051" s="57"/>
      <c r="R1051" s="57"/>
      <c r="S1051" s="57"/>
      <c r="T1051" s="57"/>
      <c r="U1051" s="57"/>
      <c r="V1051" s="57"/>
      <c r="W1051" s="57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</row>
    <row r="1052" spans="1:36" ht="11.25" customHeight="1" x14ac:dyDescent="0.2">
      <c r="A1052" s="53" t="s">
        <v>28</v>
      </c>
      <c r="B1052" s="53" t="s">
        <v>37</v>
      </c>
      <c r="C1052" s="53" t="s">
        <v>33</v>
      </c>
      <c r="D1052" s="53" t="s">
        <v>38</v>
      </c>
      <c r="E1052" s="53" t="s">
        <v>25</v>
      </c>
      <c r="F1052" s="53" t="s">
        <v>25</v>
      </c>
      <c r="G1052" s="53" t="s">
        <v>25</v>
      </c>
      <c r="H1052" s="53" t="s">
        <v>35</v>
      </c>
      <c r="I1052" s="75">
        <v>44531</v>
      </c>
      <c r="J1052" s="76">
        <f>EFEITO!$J$1052*EFEITO!$Y$1052</f>
        <v>0</v>
      </c>
      <c r="K1052" s="76">
        <f ca="1">EFEITO!$L$1052*EFEITO!$Z$1052</f>
        <v>339.34786750436956</v>
      </c>
      <c r="L1052" s="76">
        <f>EFEITO!$N$1052*EFEITO!$AA$1052</f>
        <v>285.35858071019544</v>
      </c>
      <c r="M1052" s="76">
        <f>$J$1052-EFEITO!$K$1052*EFEITO!$Y$1052</f>
        <v>0</v>
      </c>
      <c r="N1052" s="76">
        <f ca="1">$K$1052-EFEITO!$M$1052*EFEITO!$Z$1052</f>
        <v>0</v>
      </c>
      <c r="O1052" s="76">
        <f>$L$1052-EFEITO!$O$1052*EFEITO!$AA$1052</f>
        <v>0</v>
      </c>
      <c r="P1052" s="57"/>
      <c r="Q1052" s="57"/>
      <c r="R1052" s="57"/>
      <c r="S1052" s="57"/>
      <c r="T1052" s="57"/>
      <c r="U1052" s="57"/>
      <c r="V1052" s="57"/>
      <c r="W1052" s="57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</row>
    <row r="1053" spans="1:36" ht="11.25" customHeight="1" x14ac:dyDescent="0.2">
      <c r="A1053" s="53" t="s">
        <v>21</v>
      </c>
      <c r="B1053" s="53" t="s">
        <v>37</v>
      </c>
      <c r="C1053" s="53" t="s">
        <v>33</v>
      </c>
      <c r="D1053" s="53" t="s">
        <v>38</v>
      </c>
      <c r="E1053" s="53" t="s">
        <v>25</v>
      </c>
      <c r="F1053" s="53" t="s">
        <v>25</v>
      </c>
      <c r="G1053" s="53" t="s">
        <v>25</v>
      </c>
      <c r="H1053" s="53" t="s">
        <v>35</v>
      </c>
      <c r="I1053" s="75">
        <v>44562</v>
      </c>
      <c r="J1053" s="76">
        <f>EFEITO!$J$1053*EFEITO!$Y$1053</f>
        <v>0</v>
      </c>
      <c r="K1053" s="76">
        <f ca="1">EFEITO!$L$1053*EFEITO!$Z$1053</f>
        <v>3240.4820937543327</v>
      </c>
      <c r="L1053" s="76">
        <f>EFEITO!$N$1053*EFEITO!$AA$1053</f>
        <v>2724.9305495595372</v>
      </c>
      <c r="M1053" s="76">
        <f>$J$1053-EFEITO!$K$1053*EFEITO!$Y$1053</f>
        <v>0</v>
      </c>
      <c r="N1053" s="76">
        <f ca="1">$K$1053-EFEITO!$M$1053*EFEITO!$Z$1053</f>
        <v>0</v>
      </c>
      <c r="O1053" s="76">
        <f>$L$1053-EFEITO!$O$1053*EFEITO!$AA$1053</f>
        <v>0</v>
      </c>
      <c r="P1053" s="57"/>
      <c r="Q1053" s="57"/>
      <c r="R1053" s="57"/>
      <c r="S1053" s="57"/>
      <c r="T1053" s="57"/>
      <c r="U1053" s="57"/>
      <c r="V1053" s="57"/>
      <c r="W1053" s="57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</row>
    <row r="1054" spans="1:36" ht="11.25" customHeight="1" x14ac:dyDescent="0.2">
      <c r="A1054" s="53" t="s">
        <v>21</v>
      </c>
      <c r="B1054" s="53" t="s">
        <v>37</v>
      </c>
      <c r="C1054" s="53" t="s">
        <v>33</v>
      </c>
      <c r="D1054" s="53" t="s">
        <v>38</v>
      </c>
      <c r="E1054" s="53" t="s">
        <v>25</v>
      </c>
      <c r="F1054" s="53" t="s">
        <v>25</v>
      </c>
      <c r="G1054" s="53" t="s">
        <v>25</v>
      </c>
      <c r="H1054" s="53" t="s">
        <v>35</v>
      </c>
      <c r="I1054" s="75">
        <v>44593</v>
      </c>
      <c r="J1054" s="76">
        <f>EFEITO!$J$1054*EFEITO!$Y$1054</f>
        <v>0</v>
      </c>
      <c r="K1054" s="76">
        <f ca="1">EFEITO!$L$1054*EFEITO!$Z$1054</f>
        <v>3692.5833659529958</v>
      </c>
      <c r="L1054" s="76">
        <f>EFEITO!$N$1054*EFEITO!$AA$1054</f>
        <v>3105.1037868945946</v>
      </c>
      <c r="M1054" s="76">
        <f>$J$1054-EFEITO!$K$1054*EFEITO!$Y$1054</f>
        <v>0</v>
      </c>
      <c r="N1054" s="76">
        <f ca="1">$K$1054-EFEITO!$M$1054*EFEITO!$Z$1054</f>
        <v>0</v>
      </c>
      <c r="O1054" s="76">
        <f>$L$1054-EFEITO!$O$1054*EFEITO!$AA$1054</f>
        <v>0</v>
      </c>
      <c r="P1054" s="57"/>
      <c r="Q1054" s="57"/>
      <c r="R1054" s="57"/>
      <c r="S1054" s="57"/>
      <c r="T1054" s="57"/>
      <c r="U1054" s="57"/>
      <c r="V1054" s="57"/>
      <c r="W1054" s="57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</row>
    <row r="1055" spans="1:36" ht="11.25" customHeight="1" x14ac:dyDescent="0.2">
      <c r="A1055" s="53" t="s">
        <v>28</v>
      </c>
      <c r="B1055" s="53" t="s">
        <v>37</v>
      </c>
      <c r="C1055" s="53" t="s">
        <v>33</v>
      </c>
      <c r="D1055" s="53" t="s">
        <v>38</v>
      </c>
      <c r="E1055" s="53" t="s">
        <v>25</v>
      </c>
      <c r="F1055" s="53" t="s">
        <v>25</v>
      </c>
      <c r="G1055" s="53" t="s">
        <v>25</v>
      </c>
      <c r="H1055" s="53" t="s">
        <v>35</v>
      </c>
      <c r="I1055" s="75">
        <v>44593</v>
      </c>
      <c r="J1055" s="76">
        <f>EFEITO!$J$1055*EFEITO!$Y$1055</f>
        <v>0</v>
      </c>
      <c r="K1055" s="76">
        <f ca="1">EFEITO!$L$1055*EFEITO!$Z$1055</f>
        <v>1142.0360925627822</v>
      </c>
      <c r="L1055" s="76">
        <f>EFEITO!$N$1055*EFEITO!$AA$1055</f>
        <v>960.34137739008077</v>
      </c>
      <c r="M1055" s="76">
        <f>$J$1055-EFEITO!$K$1055*EFEITO!$Y$1055</f>
        <v>0</v>
      </c>
      <c r="N1055" s="76">
        <f ca="1">$K$1055-EFEITO!$M$1055*EFEITO!$Z$1055</f>
        <v>0</v>
      </c>
      <c r="O1055" s="76">
        <f>$L$1055-EFEITO!$O$1055*EFEITO!$AA$1055</f>
        <v>0</v>
      </c>
      <c r="P1055" s="57"/>
      <c r="Q1055" s="57"/>
      <c r="R1055" s="57"/>
      <c r="S1055" s="57"/>
      <c r="T1055" s="57"/>
      <c r="U1055" s="57"/>
      <c r="V1055" s="57"/>
      <c r="W1055" s="57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</row>
    <row r="1056" spans="1:36" ht="11.25" customHeight="1" x14ac:dyDescent="0.2">
      <c r="A1056" s="53" t="s">
        <v>21</v>
      </c>
      <c r="B1056" s="53" t="s">
        <v>37</v>
      </c>
      <c r="C1056" s="53" t="s">
        <v>33</v>
      </c>
      <c r="D1056" s="53" t="s">
        <v>38</v>
      </c>
      <c r="E1056" s="53" t="s">
        <v>25</v>
      </c>
      <c r="F1056" s="53" t="s">
        <v>25</v>
      </c>
      <c r="G1056" s="53" t="s">
        <v>25</v>
      </c>
      <c r="H1056" s="53" t="s">
        <v>35</v>
      </c>
      <c r="I1056" s="75">
        <v>44621</v>
      </c>
      <c r="J1056" s="76">
        <f>EFEITO!$J$1056*EFEITO!$Y$1056</f>
        <v>0</v>
      </c>
      <c r="K1056" s="76">
        <f ca="1">EFEITO!$L$1056*EFEITO!$Z$1056</f>
        <v>3917.3650730605909</v>
      </c>
      <c r="L1056" s="76">
        <f>EFEITO!$N$1056*EFEITO!$AA$1056</f>
        <v>3294.1233595872454</v>
      </c>
      <c r="M1056" s="76">
        <f>$J$1056-EFEITO!$K$1056*EFEITO!$Y$1056</f>
        <v>0</v>
      </c>
      <c r="N1056" s="76">
        <f ca="1">$K$1056-EFEITO!$M$1056*EFEITO!$Z$1056</f>
        <v>0</v>
      </c>
      <c r="O1056" s="76">
        <f>$L$1056-EFEITO!$O$1056*EFEITO!$AA$1056</f>
        <v>0</v>
      </c>
      <c r="P1056" s="57"/>
      <c r="Q1056" s="57"/>
      <c r="R1056" s="57"/>
      <c r="S1056" s="57"/>
      <c r="T1056" s="57"/>
      <c r="U1056" s="57"/>
      <c r="V1056" s="57"/>
      <c r="W1056" s="57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</row>
    <row r="1057" spans="1:36" ht="11.25" customHeight="1" x14ac:dyDescent="0.2">
      <c r="A1057" s="53" t="s">
        <v>28</v>
      </c>
      <c r="B1057" s="53" t="s">
        <v>37</v>
      </c>
      <c r="C1057" s="53" t="s">
        <v>33</v>
      </c>
      <c r="D1057" s="53" t="s">
        <v>38</v>
      </c>
      <c r="E1057" s="53" t="s">
        <v>25</v>
      </c>
      <c r="F1057" s="53" t="s">
        <v>25</v>
      </c>
      <c r="G1057" s="53" t="s">
        <v>25</v>
      </c>
      <c r="H1057" s="53" t="s">
        <v>35</v>
      </c>
      <c r="I1057" s="75">
        <v>44621</v>
      </c>
      <c r="J1057" s="76">
        <f>EFEITO!$J$1057*EFEITO!$Y$1057</f>
        <v>0</v>
      </c>
      <c r="K1057" s="76">
        <f ca="1">EFEITO!$L$1057*EFEITO!$Z$1057</f>
        <v>17.0399036033177</v>
      </c>
      <c r="L1057" s="76">
        <f>EFEITO!$N$1057*EFEITO!$AA$1057</f>
        <v>14.328903091217079</v>
      </c>
      <c r="M1057" s="76">
        <f>$J$1057-EFEITO!$K$1057*EFEITO!$Y$1057</f>
        <v>0</v>
      </c>
      <c r="N1057" s="76">
        <f ca="1">$K$1057-EFEITO!$M$1057*EFEITO!$Z$1057</f>
        <v>0</v>
      </c>
      <c r="O1057" s="76">
        <f>$L$1057-EFEITO!$O$1057*EFEITO!$AA$1057</f>
        <v>0</v>
      </c>
      <c r="P1057" s="57"/>
      <c r="Q1057" s="57"/>
      <c r="R1057" s="57"/>
      <c r="S1057" s="57"/>
      <c r="T1057" s="57"/>
      <c r="U1057" s="57"/>
      <c r="V1057" s="57"/>
      <c r="W1057" s="57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</row>
    <row r="1058" spans="1:36" ht="11.25" customHeight="1" x14ac:dyDescent="0.2">
      <c r="A1058" s="53" t="s">
        <v>28</v>
      </c>
      <c r="B1058" s="53" t="s">
        <v>37</v>
      </c>
      <c r="C1058" s="53" t="s">
        <v>33</v>
      </c>
      <c r="D1058" s="53" t="s">
        <v>38</v>
      </c>
      <c r="E1058" s="53" t="s">
        <v>25</v>
      </c>
      <c r="F1058" s="53" t="s">
        <v>25</v>
      </c>
      <c r="G1058" s="53" t="s">
        <v>25</v>
      </c>
      <c r="H1058" s="53" t="s">
        <v>35</v>
      </c>
      <c r="I1058" s="75">
        <v>44621</v>
      </c>
      <c r="J1058" s="76">
        <f>EFEITO!$J$1058*EFEITO!$Y$1058</f>
        <v>0</v>
      </c>
      <c r="K1058" s="76">
        <f ca="1">EFEITO!$L$1058*EFEITO!$Z$1058</f>
        <v>1142.0360925627822</v>
      </c>
      <c r="L1058" s="76">
        <f>EFEITO!$N$1058*EFEITO!$AA$1058</f>
        <v>960.34137739008077</v>
      </c>
      <c r="M1058" s="76">
        <f>$J$1058-EFEITO!$K$1058*EFEITO!$Y$1058</f>
        <v>0</v>
      </c>
      <c r="N1058" s="76">
        <f ca="1">$K$1058-EFEITO!$M$1058*EFEITO!$Z$1058</f>
        <v>0</v>
      </c>
      <c r="O1058" s="76">
        <f>$L$1058-EFEITO!$O$1058*EFEITO!$AA$1058</f>
        <v>0</v>
      </c>
      <c r="P1058" s="57"/>
      <c r="Q1058" s="57"/>
      <c r="R1058" s="57"/>
      <c r="S1058" s="57"/>
      <c r="T1058" s="57"/>
      <c r="U1058" s="57"/>
      <c r="V1058" s="57"/>
      <c r="W1058" s="57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</row>
    <row r="1059" spans="1:36" ht="11.25" customHeight="1" x14ac:dyDescent="0.2">
      <c r="A1059" s="53" t="s">
        <v>21</v>
      </c>
      <c r="B1059" s="53" t="s">
        <v>37</v>
      </c>
      <c r="C1059" s="53" t="s">
        <v>33</v>
      </c>
      <c r="D1059" s="53" t="s">
        <v>38</v>
      </c>
      <c r="E1059" s="53" t="s">
        <v>25</v>
      </c>
      <c r="F1059" s="53" t="s">
        <v>25</v>
      </c>
      <c r="G1059" s="53" t="s">
        <v>25</v>
      </c>
      <c r="H1059" s="53" t="s">
        <v>35</v>
      </c>
      <c r="I1059" s="75">
        <v>44652</v>
      </c>
      <c r="J1059" s="76">
        <f>EFEITO!$J$1059*EFEITO!$Y$1059</f>
        <v>0</v>
      </c>
      <c r="K1059" s="76">
        <f ca="1">EFEITO!$L$1059*EFEITO!$Z$1059</f>
        <v>3752.7668552753521</v>
      </c>
      <c r="L1059" s="76">
        <f>EFEITO!$N$1059*EFEITO!$AA$1059</f>
        <v>3155.7122531316595</v>
      </c>
      <c r="M1059" s="76">
        <f>$J$1059-EFEITO!$K$1059*EFEITO!$Y$1059</f>
        <v>0</v>
      </c>
      <c r="N1059" s="76">
        <f ca="1">$K$1059-EFEITO!$M$1059*EFEITO!$Z$1059</f>
        <v>0</v>
      </c>
      <c r="O1059" s="76">
        <f>$L$1059-EFEITO!$O$1059*EFEITO!$AA$1059</f>
        <v>0</v>
      </c>
      <c r="P1059" s="57"/>
      <c r="Q1059" s="57"/>
      <c r="R1059" s="57"/>
      <c r="S1059" s="57"/>
      <c r="T1059" s="57"/>
      <c r="U1059" s="57"/>
      <c r="V1059" s="57"/>
      <c r="W1059" s="57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</row>
    <row r="1060" spans="1:36" ht="11.25" customHeight="1" x14ac:dyDescent="0.2">
      <c r="A1060" s="53" t="s">
        <v>28</v>
      </c>
      <c r="B1060" s="53" t="s">
        <v>37</v>
      </c>
      <c r="C1060" s="53" t="s">
        <v>33</v>
      </c>
      <c r="D1060" s="53" t="s">
        <v>38</v>
      </c>
      <c r="E1060" s="53" t="s">
        <v>25</v>
      </c>
      <c r="F1060" s="53" t="s">
        <v>25</v>
      </c>
      <c r="G1060" s="53" t="s">
        <v>25</v>
      </c>
      <c r="H1060" s="53" t="s">
        <v>35</v>
      </c>
      <c r="I1060" s="75">
        <v>44652</v>
      </c>
      <c r="J1060" s="76">
        <f>EFEITO!$J$1060*EFEITO!$Y$1060</f>
        <v>0</v>
      </c>
      <c r="K1060" s="76">
        <f ca="1">EFEITO!$L$1060*EFEITO!$Z$1060</f>
        <v>92.813091967007054</v>
      </c>
      <c r="L1060" s="76">
        <f>EFEITO!$N$1060*EFEITO!$AA$1060</f>
        <v>78.046791305352599</v>
      </c>
      <c r="M1060" s="76">
        <f>$J$1060-EFEITO!$K$1060*EFEITO!$Y$1060</f>
        <v>0</v>
      </c>
      <c r="N1060" s="76">
        <f ca="1">$K$1060-EFEITO!$M$1060*EFEITO!$Z$1060</f>
        <v>0</v>
      </c>
      <c r="O1060" s="76">
        <f>$L$1060-EFEITO!$O$1060*EFEITO!$AA$1060</f>
        <v>0</v>
      </c>
      <c r="P1060" s="57"/>
      <c r="Q1060" s="57"/>
      <c r="R1060" s="57"/>
      <c r="S1060" s="57"/>
      <c r="T1060" s="57"/>
      <c r="U1060" s="57"/>
      <c r="V1060" s="57"/>
      <c r="W1060" s="57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</row>
    <row r="1061" spans="1:36" ht="11.25" customHeight="1" x14ac:dyDescent="0.2">
      <c r="A1061" s="53" t="s">
        <v>21</v>
      </c>
      <c r="B1061" s="53" t="s">
        <v>37</v>
      </c>
      <c r="C1061" s="53" t="s">
        <v>33</v>
      </c>
      <c r="D1061" s="53" t="s">
        <v>38</v>
      </c>
      <c r="E1061" s="53" t="s">
        <v>25</v>
      </c>
      <c r="F1061" s="53" t="s">
        <v>25</v>
      </c>
      <c r="G1061" s="53" t="s">
        <v>25</v>
      </c>
      <c r="H1061" s="53" t="s">
        <v>35</v>
      </c>
      <c r="I1061" s="75">
        <v>44682</v>
      </c>
      <c r="J1061" s="76">
        <f>EFEITO!$J$1061*EFEITO!$Y$1061</f>
        <v>0</v>
      </c>
      <c r="K1061" s="76">
        <f ca="1">EFEITO!$L$1061*EFEITO!$Z$1061</f>
        <v>3299.2153785147038</v>
      </c>
      <c r="L1061" s="76">
        <f>EFEITO!$N$1061*EFEITO!$AA$1061</f>
        <v>2774.3195346824555</v>
      </c>
      <c r="M1061" s="76">
        <f>$J$1061-EFEITO!$K$1061*EFEITO!$Y$1061</f>
        <v>0</v>
      </c>
      <c r="N1061" s="76">
        <f ca="1">$K$1061-EFEITO!$M$1061*EFEITO!$Z$1061</f>
        <v>0</v>
      </c>
      <c r="O1061" s="76">
        <f>$L$1061-EFEITO!$O$1061*EFEITO!$AA$1061</f>
        <v>0</v>
      </c>
      <c r="P1061" s="57"/>
      <c r="Q1061" s="57"/>
      <c r="R1061" s="57"/>
      <c r="S1061" s="57"/>
      <c r="T1061" s="57"/>
      <c r="U1061" s="57"/>
      <c r="V1061" s="57"/>
      <c r="W1061" s="57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</row>
    <row r="1062" spans="1:36" ht="11.25" customHeight="1" x14ac:dyDescent="0.2">
      <c r="A1062" s="53" t="s">
        <v>28</v>
      </c>
      <c r="B1062" s="53" t="s">
        <v>37</v>
      </c>
      <c r="C1062" s="53" t="s">
        <v>33</v>
      </c>
      <c r="D1062" s="53" t="s">
        <v>38</v>
      </c>
      <c r="E1062" s="53" t="s">
        <v>25</v>
      </c>
      <c r="F1062" s="53" t="s">
        <v>25</v>
      </c>
      <c r="G1062" s="53" t="s">
        <v>25</v>
      </c>
      <c r="H1062" s="53" t="s">
        <v>35</v>
      </c>
      <c r="I1062" s="75">
        <v>44682</v>
      </c>
      <c r="J1062" s="76">
        <f>EFEITO!$J$1062*EFEITO!$Y$1062</f>
        <v>0</v>
      </c>
      <c r="K1062" s="76">
        <f ca="1">EFEITO!$L$1062*EFEITO!$Z$1062</f>
        <v>87.012273719069114</v>
      </c>
      <c r="L1062" s="76">
        <f>EFEITO!$N$1062*EFEITO!$AA$1062</f>
        <v>73.168866848768062</v>
      </c>
      <c r="M1062" s="76">
        <f>$J$1062-EFEITO!$K$1062*EFEITO!$Y$1062</f>
        <v>0</v>
      </c>
      <c r="N1062" s="76">
        <f ca="1">$K$1062-EFEITO!$M$1062*EFEITO!$Z$1062</f>
        <v>0</v>
      </c>
      <c r="O1062" s="76">
        <f>$L$1062-EFEITO!$O$1062*EFEITO!$AA$1062</f>
        <v>0</v>
      </c>
      <c r="P1062" s="57"/>
      <c r="Q1062" s="57"/>
      <c r="R1062" s="57"/>
      <c r="S1062" s="57"/>
      <c r="T1062" s="57"/>
      <c r="U1062" s="57"/>
      <c r="V1062" s="57"/>
      <c r="W1062" s="57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</row>
    <row r="1063" spans="1:36" ht="11.25" customHeight="1" x14ac:dyDescent="0.2">
      <c r="A1063" s="53" t="s">
        <v>21</v>
      </c>
      <c r="B1063" s="53" t="s">
        <v>37</v>
      </c>
      <c r="C1063" s="53" t="s">
        <v>33</v>
      </c>
      <c r="D1063" s="53" t="s">
        <v>38</v>
      </c>
      <c r="E1063" s="53" t="s">
        <v>25</v>
      </c>
      <c r="F1063" s="53" t="s">
        <v>25</v>
      </c>
      <c r="G1063" s="53" t="s">
        <v>25</v>
      </c>
      <c r="H1063" s="53" t="s">
        <v>35</v>
      </c>
      <c r="I1063" s="75">
        <v>44713</v>
      </c>
      <c r="J1063" s="76">
        <f>EFEITO!$J$1063*EFEITO!$Y$1063</f>
        <v>0</v>
      </c>
      <c r="K1063" s="76">
        <f ca="1">EFEITO!$L$1063*EFEITO!$Z$1063</f>
        <v>3313.7174241345492</v>
      </c>
      <c r="L1063" s="76">
        <f>EFEITO!$N$1063*EFEITO!$AA$1063</f>
        <v>2786.5143458239172</v>
      </c>
      <c r="M1063" s="76">
        <f>$J$1063-EFEITO!$K$1063*EFEITO!$Y$1063</f>
        <v>0</v>
      </c>
      <c r="N1063" s="76">
        <f ca="1">$K$1063-EFEITO!$M$1063*EFEITO!$Z$1063</f>
        <v>0</v>
      </c>
      <c r="O1063" s="76">
        <f>$L$1063-EFEITO!$O$1063*EFEITO!$AA$1063</f>
        <v>0</v>
      </c>
      <c r="P1063" s="57"/>
      <c r="Q1063" s="57"/>
      <c r="R1063" s="57"/>
      <c r="S1063" s="57"/>
      <c r="T1063" s="57"/>
      <c r="U1063" s="57"/>
      <c r="V1063" s="57"/>
      <c r="W1063" s="57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</row>
    <row r="1064" spans="1:36" ht="11.25" customHeight="1" x14ac:dyDescent="0.2">
      <c r="A1064" s="53" t="s">
        <v>28</v>
      </c>
      <c r="B1064" s="53" t="s">
        <v>37</v>
      </c>
      <c r="C1064" s="53" t="s">
        <v>33</v>
      </c>
      <c r="D1064" s="53" t="s">
        <v>38</v>
      </c>
      <c r="E1064" s="53" t="s">
        <v>25</v>
      </c>
      <c r="F1064" s="53" t="s">
        <v>25</v>
      </c>
      <c r="G1064" s="53" t="s">
        <v>25</v>
      </c>
      <c r="H1064" s="53" t="s">
        <v>35</v>
      </c>
      <c r="I1064" s="75">
        <v>44713</v>
      </c>
      <c r="J1064" s="76">
        <f>EFEITO!$J$1064*EFEITO!$Y$1064</f>
        <v>0</v>
      </c>
      <c r="K1064" s="76">
        <f ca="1">EFEITO!$L$1064*EFEITO!$Z$1064</f>
        <v>326.29602644650919</v>
      </c>
      <c r="L1064" s="76">
        <f>EFEITO!$N$1064*EFEITO!$AA$1064</f>
        <v>274.38325068288026</v>
      </c>
      <c r="M1064" s="76">
        <f>$J$1064-EFEITO!$K$1064*EFEITO!$Y$1064</f>
        <v>0</v>
      </c>
      <c r="N1064" s="76">
        <f ca="1">$K$1064-EFEITO!$M$1064*EFEITO!$Z$1064</f>
        <v>0</v>
      </c>
      <c r="O1064" s="76">
        <f>$L$1064-EFEITO!$O$1064*EFEITO!$AA$1064</f>
        <v>0</v>
      </c>
      <c r="P1064" s="57"/>
      <c r="Q1064" s="57"/>
      <c r="R1064" s="57"/>
      <c r="S1064" s="57"/>
      <c r="T1064" s="57"/>
      <c r="U1064" s="57"/>
      <c r="V1064" s="57"/>
      <c r="W1064" s="57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</row>
    <row r="1065" spans="1:36" ht="11.25" customHeight="1" x14ac:dyDescent="0.2">
      <c r="A1065" s="53" t="s">
        <v>21</v>
      </c>
      <c r="B1065" s="53" t="s">
        <v>37</v>
      </c>
      <c r="C1065" s="53" t="s">
        <v>33</v>
      </c>
      <c r="D1065" s="53" t="s">
        <v>38</v>
      </c>
      <c r="E1065" s="53" t="s">
        <v>25</v>
      </c>
      <c r="F1065" s="53" t="s">
        <v>25</v>
      </c>
      <c r="G1065" s="53" t="s">
        <v>25</v>
      </c>
      <c r="H1065" s="53" t="s">
        <v>35</v>
      </c>
      <c r="I1065" s="75">
        <v>44743</v>
      </c>
      <c r="J1065" s="76">
        <f>EFEITO!$J$1065*EFEITO!$Y$1065</f>
        <v>0</v>
      </c>
      <c r="K1065" s="76">
        <f ca="1">EFEITO!$L$1065*EFEITO!$Z$1065</f>
        <v>3694.3961216554762</v>
      </c>
      <c r="L1065" s="76">
        <f>EFEITO!$N$1065*EFEITO!$AA$1065</f>
        <v>3106.6281382872771</v>
      </c>
      <c r="M1065" s="76">
        <f>$J$1065-EFEITO!$K$1065*EFEITO!$Y$1065</f>
        <v>0</v>
      </c>
      <c r="N1065" s="76">
        <f ca="1">$K$1065-EFEITO!$M$1065*EFEITO!$Z$1065</f>
        <v>0</v>
      </c>
      <c r="O1065" s="76">
        <f>$L$1065-EFEITO!$O$1065*EFEITO!$AA$1065</f>
        <v>0</v>
      </c>
      <c r="P1065" s="57"/>
      <c r="Q1065" s="57"/>
      <c r="R1065" s="57"/>
      <c r="S1065" s="57"/>
      <c r="T1065" s="57"/>
      <c r="U1065" s="57"/>
      <c r="V1065" s="57"/>
      <c r="W1065" s="57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</row>
    <row r="1066" spans="1:36" ht="11.25" customHeight="1" x14ac:dyDescent="0.2">
      <c r="A1066" s="53" t="s">
        <v>28</v>
      </c>
      <c r="B1066" s="53" t="s">
        <v>37</v>
      </c>
      <c r="C1066" s="53" t="s">
        <v>33</v>
      </c>
      <c r="D1066" s="53" t="s">
        <v>38</v>
      </c>
      <c r="E1066" s="53" t="s">
        <v>25</v>
      </c>
      <c r="F1066" s="53" t="s">
        <v>25</v>
      </c>
      <c r="G1066" s="53" t="s">
        <v>25</v>
      </c>
      <c r="H1066" s="53" t="s">
        <v>35</v>
      </c>
      <c r="I1066" s="75">
        <v>44743</v>
      </c>
      <c r="J1066" s="76">
        <f>EFEITO!$J$1066*EFEITO!$Y$1066</f>
        <v>0</v>
      </c>
      <c r="K1066" s="76">
        <f ca="1">EFEITO!$L$1066*EFEITO!$Z$1066</f>
        <v>1859.8873507451024</v>
      </c>
      <c r="L1066" s="76">
        <f>EFEITO!$N$1066*EFEITO!$AA$1066</f>
        <v>1563.9845288924173</v>
      </c>
      <c r="M1066" s="76">
        <f>$J$1066-EFEITO!$K$1066*EFEITO!$Y$1066</f>
        <v>0</v>
      </c>
      <c r="N1066" s="76">
        <f ca="1">$K$1066-EFEITO!$M$1066*EFEITO!$Z$1066</f>
        <v>0</v>
      </c>
      <c r="O1066" s="76">
        <f>$L$1066-EFEITO!$O$1066*EFEITO!$AA$1066</f>
        <v>0</v>
      </c>
      <c r="P1066" s="57"/>
      <c r="Q1066" s="57"/>
      <c r="R1066" s="57"/>
      <c r="S1066" s="57"/>
      <c r="T1066" s="57"/>
      <c r="U1066" s="57"/>
      <c r="V1066" s="57"/>
      <c r="W1066" s="57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</row>
    <row r="1067" spans="1:36" ht="11.25" customHeight="1" x14ac:dyDescent="0.2">
      <c r="A1067" s="53" t="s">
        <v>56</v>
      </c>
      <c r="B1067" s="53" t="s">
        <v>37</v>
      </c>
      <c r="C1067" s="53" t="s">
        <v>33</v>
      </c>
      <c r="D1067" s="53" t="s">
        <v>38</v>
      </c>
      <c r="E1067" s="53" t="s">
        <v>25</v>
      </c>
      <c r="F1067" s="53" t="s">
        <v>25</v>
      </c>
      <c r="G1067" s="53" t="s">
        <v>25</v>
      </c>
      <c r="H1067" s="53" t="s">
        <v>35</v>
      </c>
      <c r="I1067" s="75">
        <v>44774</v>
      </c>
      <c r="J1067" s="76">
        <f>EFEITO!$J$1067*EFEITO!$Y$1067</f>
        <v>0</v>
      </c>
      <c r="K1067" s="76">
        <f ca="1">EFEITO!$L$1067*EFEITO!$Z$1067</f>
        <v>3694.3961216554762</v>
      </c>
      <c r="L1067" s="76">
        <f>EFEITO!$N$1067*EFEITO!$AA$1067</f>
        <v>3106.6281382872771</v>
      </c>
      <c r="M1067" s="76">
        <f>$J$1067-EFEITO!$K$1067*EFEITO!$Y$1067</f>
        <v>0</v>
      </c>
      <c r="N1067" s="76">
        <f ca="1">$K$1067-EFEITO!$M$1067*EFEITO!$Z$1067</f>
        <v>0</v>
      </c>
      <c r="O1067" s="76">
        <f>$L$1067-EFEITO!$O$1067*EFEITO!$AA$1067</f>
        <v>0</v>
      </c>
      <c r="P1067" s="57"/>
      <c r="Q1067" s="57"/>
      <c r="R1067" s="57"/>
      <c r="S1067" s="57"/>
      <c r="T1067" s="57"/>
      <c r="U1067" s="57"/>
      <c r="V1067" s="57"/>
      <c r="W1067" s="57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</row>
    <row r="1068" spans="1:36" ht="11.25" customHeight="1" x14ac:dyDescent="0.2">
      <c r="A1068" s="53" t="s">
        <v>56</v>
      </c>
      <c r="B1068" s="53" t="s">
        <v>37</v>
      </c>
      <c r="C1068" s="53" t="s">
        <v>33</v>
      </c>
      <c r="D1068" s="53" t="s">
        <v>38</v>
      </c>
      <c r="E1068" s="53" t="s">
        <v>25</v>
      </c>
      <c r="F1068" s="53" t="s">
        <v>25</v>
      </c>
      <c r="G1068" s="53" t="s">
        <v>25</v>
      </c>
      <c r="H1068" s="53" t="s">
        <v>35</v>
      </c>
      <c r="I1068" s="75">
        <v>44774</v>
      </c>
      <c r="J1068" s="76">
        <f>EFEITO!$J$1068*EFEITO!$Y$1068</f>
        <v>0</v>
      </c>
      <c r="K1068" s="76">
        <f ca="1">EFEITO!$L$1068*EFEITO!$Z$1068</f>
        <v>1859.8873507451024</v>
      </c>
      <c r="L1068" s="76">
        <f>EFEITO!$N$1068*EFEITO!$AA$1068</f>
        <v>1563.9845288924173</v>
      </c>
      <c r="M1068" s="76">
        <f>$J$1068-EFEITO!$K$1068*EFEITO!$Y$1068</f>
        <v>0</v>
      </c>
      <c r="N1068" s="76">
        <f ca="1">$K$1068-EFEITO!$M$1068*EFEITO!$Z$1068</f>
        <v>0</v>
      </c>
      <c r="O1068" s="76">
        <f>$L$1068-EFEITO!$O$1068*EFEITO!$AA$1068</f>
        <v>0</v>
      </c>
      <c r="P1068" s="57"/>
      <c r="Q1068" s="57"/>
      <c r="R1068" s="57"/>
      <c r="S1068" s="57"/>
      <c r="T1068" s="57"/>
      <c r="U1068" s="57"/>
      <c r="V1068" s="57"/>
      <c r="W1068" s="57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</row>
    <row r="1069" spans="1:36" ht="11.25" customHeight="1" x14ac:dyDescent="0.2">
      <c r="A1069" s="53" t="s">
        <v>21</v>
      </c>
      <c r="B1069" s="53" t="s">
        <v>37</v>
      </c>
      <c r="C1069" s="53" t="s">
        <v>33</v>
      </c>
      <c r="D1069" s="53" t="s">
        <v>38</v>
      </c>
      <c r="E1069" s="53" t="s">
        <v>25</v>
      </c>
      <c r="F1069" s="53" t="s">
        <v>25</v>
      </c>
      <c r="G1069" s="53" t="s">
        <v>25</v>
      </c>
      <c r="H1069" s="53" t="s">
        <v>36</v>
      </c>
      <c r="I1069" s="75">
        <v>44440</v>
      </c>
      <c r="J1069" s="76">
        <f>EFEITO!$J$1069*EFEITO!$Y$1069</f>
        <v>0</v>
      </c>
      <c r="K1069" s="76">
        <f ca="1">EFEITO!$L$1069*EFEITO!$Z$1069</f>
        <v>288.68358295443863</v>
      </c>
      <c r="L1069" s="76">
        <f>EFEITO!$N$1069*EFEITO!$AA$1069</f>
        <v>122.86272225022304</v>
      </c>
      <c r="M1069" s="76">
        <f>$J$1069-EFEITO!$K$1069*EFEITO!$Y$1069</f>
        <v>0</v>
      </c>
      <c r="N1069" s="76">
        <f ca="1">$K$1069-EFEITO!$M$1069*EFEITO!$Z$1069</f>
        <v>0</v>
      </c>
      <c r="O1069" s="76">
        <f>$L$1069-EFEITO!$O$1069*EFEITO!$AA$1069</f>
        <v>0</v>
      </c>
      <c r="P1069" s="57"/>
      <c r="Q1069" s="57"/>
      <c r="R1069" s="57"/>
      <c r="S1069" s="57"/>
      <c r="T1069" s="57"/>
      <c r="U1069" s="57"/>
      <c r="V1069" s="57"/>
      <c r="W1069" s="57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</row>
    <row r="1070" spans="1:36" ht="11.25" customHeight="1" x14ac:dyDescent="0.2">
      <c r="A1070" s="53" t="s">
        <v>28</v>
      </c>
      <c r="B1070" s="53" t="s">
        <v>37</v>
      </c>
      <c r="C1070" s="53" t="s">
        <v>33</v>
      </c>
      <c r="D1070" s="53" t="s">
        <v>38</v>
      </c>
      <c r="E1070" s="53" t="s">
        <v>25</v>
      </c>
      <c r="F1070" s="53" t="s">
        <v>25</v>
      </c>
      <c r="G1070" s="53" t="s">
        <v>25</v>
      </c>
      <c r="H1070" s="53" t="s">
        <v>36</v>
      </c>
      <c r="I1070" s="75">
        <v>44440</v>
      </c>
      <c r="J1070" s="76">
        <f>EFEITO!$J$1070*EFEITO!$Y$1070</f>
        <v>0</v>
      </c>
      <c r="K1070" s="76">
        <f ca="1">EFEITO!$L$1070*EFEITO!$Z$1070</f>
        <v>64.470279071710863</v>
      </c>
      <c r="L1070" s="76">
        <f>EFEITO!$N$1070*EFEITO!$AA$1070</f>
        <v>27.438325068288023</v>
      </c>
      <c r="M1070" s="76">
        <f>$J$1070-EFEITO!$K$1070*EFEITO!$Y$1070</f>
        <v>0</v>
      </c>
      <c r="N1070" s="76">
        <f ca="1">$K$1070-EFEITO!$M$1070*EFEITO!$Z$1070</f>
        <v>0</v>
      </c>
      <c r="O1070" s="76">
        <f>$L$1070-EFEITO!$O$1070*EFEITO!$AA$1070</f>
        <v>0</v>
      </c>
      <c r="P1070" s="57"/>
      <c r="Q1070" s="57"/>
      <c r="R1070" s="57"/>
      <c r="S1070" s="57"/>
      <c r="T1070" s="57"/>
      <c r="U1070" s="57"/>
      <c r="V1070" s="57"/>
      <c r="W1070" s="57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</row>
    <row r="1071" spans="1:36" ht="11.25" customHeight="1" x14ac:dyDescent="0.2">
      <c r="A1071" s="53" t="s">
        <v>21</v>
      </c>
      <c r="B1071" s="53" t="s">
        <v>37</v>
      </c>
      <c r="C1071" s="53" t="s">
        <v>33</v>
      </c>
      <c r="D1071" s="53" t="s">
        <v>38</v>
      </c>
      <c r="E1071" s="53" t="s">
        <v>25</v>
      </c>
      <c r="F1071" s="53" t="s">
        <v>25</v>
      </c>
      <c r="G1071" s="53" t="s">
        <v>25</v>
      </c>
      <c r="H1071" s="53" t="s">
        <v>36</v>
      </c>
      <c r="I1071" s="75">
        <v>44470</v>
      </c>
      <c r="J1071" s="76">
        <f>EFEITO!$J$1071*EFEITO!$Y$1071</f>
        <v>0</v>
      </c>
      <c r="K1071" s="76">
        <f ca="1">EFEITO!$L$1071*EFEITO!$Z$1071</f>
        <v>419.05681396612056</v>
      </c>
      <c r="L1071" s="76">
        <f>EFEITO!$N$1071*EFEITO!$AA$1071</f>
        <v>178.34911294387214</v>
      </c>
      <c r="M1071" s="76">
        <f>$J$1071-EFEITO!$K$1071*EFEITO!$Y$1071</f>
        <v>0</v>
      </c>
      <c r="N1071" s="76">
        <f ca="1">$K$1071-EFEITO!$M$1071*EFEITO!$Z$1071</f>
        <v>0</v>
      </c>
      <c r="O1071" s="76">
        <f>$L$1071-EFEITO!$O$1071*EFEITO!$AA$1071</f>
        <v>0</v>
      </c>
      <c r="P1071" s="57"/>
      <c r="Q1071" s="57"/>
      <c r="R1071" s="57"/>
      <c r="S1071" s="57"/>
      <c r="T1071" s="57"/>
      <c r="U1071" s="57"/>
      <c r="V1071" s="57"/>
      <c r="W1071" s="57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</row>
    <row r="1072" spans="1:36" ht="11.25" customHeight="1" x14ac:dyDescent="0.2">
      <c r="A1072" s="53" t="s">
        <v>21</v>
      </c>
      <c r="B1072" s="53" t="s">
        <v>37</v>
      </c>
      <c r="C1072" s="53" t="s">
        <v>33</v>
      </c>
      <c r="D1072" s="53" t="s">
        <v>38</v>
      </c>
      <c r="E1072" s="53" t="s">
        <v>25</v>
      </c>
      <c r="F1072" s="53" t="s">
        <v>25</v>
      </c>
      <c r="G1072" s="53" t="s">
        <v>25</v>
      </c>
      <c r="H1072" s="53" t="s">
        <v>36</v>
      </c>
      <c r="I1072" s="75">
        <v>44501</v>
      </c>
      <c r="J1072" s="76">
        <f>EFEITO!$J$1072*EFEITO!$Y$1072</f>
        <v>0</v>
      </c>
      <c r="K1072" s="76">
        <f ca="1">EFEITO!$L$1072*EFEITO!$Z$1072</f>
        <v>183.3821271373109</v>
      </c>
      <c r="L1072" s="76">
        <f>EFEITO!$N$1072*EFEITO!$AA$1072</f>
        <v>78.046791305352599</v>
      </c>
      <c r="M1072" s="76">
        <f>$J$1072-EFEITO!$K$1072*EFEITO!$Y$1072</f>
        <v>0</v>
      </c>
      <c r="N1072" s="76">
        <f ca="1">$K$1072-EFEITO!$M$1072*EFEITO!$Z$1072</f>
        <v>0</v>
      </c>
      <c r="O1072" s="76">
        <f>$L$1072-EFEITO!$O$1072*EFEITO!$AA$1072</f>
        <v>0</v>
      </c>
      <c r="P1072" s="57"/>
      <c r="Q1072" s="57"/>
      <c r="R1072" s="57"/>
      <c r="S1072" s="57"/>
      <c r="T1072" s="57"/>
      <c r="U1072" s="57"/>
      <c r="V1072" s="57"/>
      <c r="W1072" s="57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</row>
    <row r="1073" spans="1:36" ht="11.25" customHeight="1" x14ac:dyDescent="0.2">
      <c r="A1073" s="53" t="s">
        <v>28</v>
      </c>
      <c r="B1073" s="53" t="s">
        <v>37</v>
      </c>
      <c r="C1073" s="53" t="s">
        <v>33</v>
      </c>
      <c r="D1073" s="53" t="s">
        <v>38</v>
      </c>
      <c r="E1073" s="53" t="s">
        <v>25</v>
      </c>
      <c r="F1073" s="53" t="s">
        <v>25</v>
      </c>
      <c r="G1073" s="53" t="s">
        <v>25</v>
      </c>
      <c r="H1073" s="53" t="s">
        <v>36</v>
      </c>
      <c r="I1073" s="75">
        <v>44501</v>
      </c>
      <c r="J1073" s="76">
        <f>EFEITO!$J$1073*EFEITO!$Y$1073</f>
        <v>0</v>
      </c>
      <c r="K1073" s="76">
        <f ca="1">EFEITO!$L$1073*EFEITO!$Z$1073</f>
        <v>257.88111628684345</v>
      </c>
      <c r="L1073" s="76">
        <f>EFEITO!$N$1073*EFEITO!$AA$1073</f>
        <v>109.75330027315209</v>
      </c>
      <c r="M1073" s="76">
        <f>$J$1073-EFEITO!$K$1073*EFEITO!$Y$1073</f>
        <v>0</v>
      </c>
      <c r="N1073" s="76">
        <f ca="1">$K$1073-EFEITO!$M$1073*EFEITO!$Z$1073</f>
        <v>0</v>
      </c>
      <c r="O1073" s="76">
        <f>$L$1073-EFEITO!$O$1073*EFEITO!$AA$1073</f>
        <v>0</v>
      </c>
      <c r="P1073" s="57"/>
      <c r="Q1073" s="57"/>
      <c r="R1073" s="57"/>
      <c r="S1073" s="57"/>
      <c r="T1073" s="57"/>
      <c r="U1073" s="57"/>
      <c r="V1073" s="57"/>
      <c r="W1073" s="57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</row>
    <row r="1074" spans="1:36" ht="11.25" customHeight="1" x14ac:dyDescent="0.2">
      <c r="A1074" s="53" t="s">
        <v>21</v>
      </c>
      <c r="B1074" s="53" t="s">
        <v>37</v>
      </c>
      <c r="C1074" s="53" t="s">
        <v>33</v>
      </c>
      <c r="D1074" s="53" t="s">
        <v>38</v>
      </c>
      <c r="E1074" s="53" t="s">
        <v>25</v>
      </c>
      <c r="F1074" s="53" t="s">
        <v>25</v>
      </c>
      <c r="G1074" s="53" t="s">
        <v>25</v>
      </c>
      <c r="H1074" s="53" t="s">
        <v>36</v>
      </c>
      <c r="I1074" s="75">
        <v>44531</v>
      </c>
      <c r="J1074" s="76">
        <f>EFEITO!$J$1074*EFEITO!$Y$1074</f>
        <v>0</v>
      </c>
      <c r="K1074" s="76">
        <f ca="1">EFEITO!$L$1074*EFEITO!$Z$1074</f>
        <v>212.03558450251572</v>
      </c>
      <c r="L1074" s="76">
        <f>EFEITO!$N$1074*EFEITO!$AA$1074</f>
        <v>90.241602446813943</v>
      </c>
      <c r="M1074" s="76">
        <f>$J$1074-EFEITO!$K$1074*EFEITO!$Y$1074</f>
        <v>0</v>
      </c>
      <c r="N1074" s="76">
        <f ca="1">$K$1074-EFEITO!$M$1074*EFEITO!$Z$1074</f>
        <v>0</v>
      </c>
      <c r="O1074" s="76">
        <f>$L$1074-EFEITO!$O$1074*EFEITO!$AA$1074</f>
        <v>0</v>
      </c>
      <c r="P1074" s="57"/>
      <c r="Q1074" s="57"/>
      <c r="R1074" s="57"/>
      <c r="S1074" s="57"/>
      <c r="T1074" s="57"/>
      <c r="U1074" s="57"/>
      <c r="V1074" s="57"/>
      <c r="W1074" s="57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</row>
    <row r="1075" spans="1:36" ht="11.25" customHeight="1" x14ac:dyDescent="0.2">
      <c r="A1075" s="53" t="s">
        <v>28</v>
      </c>
      <c r="B1075" s="53" t="s">
        <v>37</v>
      </c>
      <c r="C1075" s="53" t="s">
        <v>33</v>
      </c>
      <c r="D1075" s="53" t="s">
        <v>38</v>
      </c>
      <c r="E1075" s="53" t="s">
        <v>25</v>
      </c>
      <c r="F1075" s="53" t="s">
        <v>25</v>
      </c>
      <c r="G1075" s="53" t="s">
        <v>25</v>
      </c>
      <c r="H1075" s="53" t="s">
        <v>36</v>
      </c>
      <c r="I1075" s="75">
        <v>44531</v>
      </c>
      <c r="J1075" s="76">
        <f>EFEITO!$J$1075*EFEITO!$Y$1075</f>
        <v>0</v>
      </c>
      <c r="K1075" s="76">
        <f ca="1">EFEITO!$L$1075*EFEITO!$Z$1075</f>
        <v>150.43065116732532</v>
      </c>
      <c r="L1075" s="76">
        <f>EFEITO!$N$1075*EFEITO!$AA$1075</f>
        <v>64.022758492672054</v>
      </c>
      <c r="M1075" s="76">
        <f>$J$1075-EFEITO!$K$1075*EFEITO!$Y$1075</f>
        <v>0</v>
      </c>
      <c r="N1075" s="76">
        <f ca="1">$K$1075-EFEITO!$M$1075*EFEITO!$Z$1075</f>
        <v>0</v>
      </c>
      <c r="O1075" s="76">
        <f>$L$1075-EFEITO!$O$1075*EFEITO!$AA$1075</f>
        <v>0</v>
      </c>
      <c r="P1075" s="57"/>
      <c r="Q1075" s="57"/>
      <c r="R1075" s="57"/>
      <c r="S1075" s="57"/>
      <c r="T1075" s="57"/>
      <c r="U1075" s="57"/>
      <c r="V1075" s="57"/>
      <c r="W1075" s="57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</row>
    <row r="1076" spans="1:36" ht="11.25" customHeight="1" x14ac:dyDescent="0.2">
      <c r="A1076" s="53" t="s">
        <v>21</v>
      </c>
      <c r="B1076" s="53" t="s">
        <v>37</v>
      </c>
      <c r="C1076" s="53" t="s">
        <v>33</v>
      </c>
      <c r="D1076" s="53" t="s">
        <v>38</v>
      </c>
      <c r="E1076" s="53" t="s">
        <v>25</v>
      </c>
      <c r="F1076" s="53" t="s">
        <v>25</v>
      </c>
      <c r="G1076" s="53" t="s">
        <v>25</v>
      </c>
      <c r="H1076" s="53" t="s">
        <v>36</v>
      </c>
      <c r="I1076" s="75">
        <v>44562</v>
      </c>
      <c r="J1076" s="76">
        <f>EFEITO!$J$1076*EFEITO!$Y$1076</f>
        <v>0</v>
      </c>
      <c r="K1076" s="76">
        <f ca="1">EFEITO!$L$1076*EFEITO!$Z$1076</f>
        <v>182.66579070318076</v>
      </c>
      <c r="L1076" s="76">
        <f>EFEITO!$N$1076*EFEITO!$AA$1076</f>
        <v>77.741921026816073</v>
      </c>
      <c r="M1076" s="76">
        <f>$J$1076-EFEITO!$K$1076*EFEITO!$Y$1076</f>
        <v>0</v>
      </c>
      <c r="N1076" s="76">
        <f ca="1">$K$1076-EFEITO!$M$1076*EFEITO!$Z$1076</f>
        <v>0</v>
      </c>
      <c r="O1076" s="76">
        <f>$L$1076-EFEITO!$O$1076*EFEITO!$AA$1076</f>
        <v>0</v>
      </c>
      <c r="P1076" s="57"/>
      <c r="Q1076" s="57"/>
      <c r="R1076" s="57"/>
      <c r="S1076" s="57"/>
      <c r="T1076" s="57"/>
      <c r="U1076" s="57"/>
      <c r="V1076" s="57"/>
      <c r="W1076" s="57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</row>
    <row r="1077" spans="1:36" ht="11.25" customHeight="1" x14ac:dyDescent="0.2">
      <c r="A1077" s="53" t="s">
        <v>21</v>
      </c>
      <c r="B1077" s="53" t="s">
        <v>37</v>
      </c>
      <c r="C1077" s="53" t="s">
        <v>33</v>
      </c>
      <c r="D1077" s="53" t="s">
        <v>38</v>
      </c>
      <c r="E1077" s="53" t="s">
        <v>25</v>
      </c>
      <c r="F1077" s="53" t="s">
        <v>25</v>
      </c>
      <c r="G1077" s="53" t="s">
        <v>25</v>
      </c>
      <c r="H1077" s="53" t="s">
        <v>36</v>
      </c>
      <c r="I1077" s="75">
        <v>44593</v>
      </c>
      <c r="J1077" s="76">
        <f>EFEITO!$J$1077*EFEITO!$Y$1077</f>
        <v>0</v>
      </c>
      <c r="K1077" s="76">
        <f ca="1">EFEITO!$L$1077*EFEITO!$Z$1077</f>
        <v>350.288516289629</v>
      </c>
      <c r="L1077" s="76">
        <f>EFEITO!$N$1077*EFEITO!$AA$1077</f>
        <v>149.08156620436492</v>
      </c>
      <c r="M1077" s="76">
        <f>$J$1077-EFEITO!$K$1077*EFEITO!$Y$1077</f>
        <v>0</v>
      </c>
      <c r="N1077" s="76">
        <f ca="1">$K$1077-EFEITO!$M$1077*EFEITO!$Z$1077</f>
        <v>0</v>
      </c>
      <c r="O1077" s="76">
        <f>$L$1077-EFEITO!$O$1077*EFEITO!$AA$1077</f>
        <v>0</v>
      </c>
      <c r="P1077" s="57"/>
      <c r="Q1077" s="57"/>
      <c r="R1077" s="57"/>
      <c r="S1077" s="57"/>
      <c r="T1077" s="57"/>
      <c r="U1077" s="57"/>
      <c r="V1077" s="57"/>
      <c r="W1077" s="57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</row>
    <row r="1078" spans="1:36" ht="11.25" customHeight="1" x14ac:dyDescent="0.2">
      <c r="A1078" s="53" t="s">
        <v>21</v>
      </c>
      <c r="B1078" s="53" t="s">
        <v>37</v>
      </c>
      <c r="C1078" s="53" t="s">
        <v>33</v>
      </c>
      <c r="D1078" s="53" t="s">
        <v>38</v>
      </c>
      <c r="E1078" s="53" t="s">
        <v>25</v>
      </c>
      <c r="F1078" s="53" t="s">
        <v>25</v>
      </c>
      <c r="G1078" s="53" t="s">
        <v>25</v>
      </c>
      <c r="H1078" s="53" t="s">
        <v>36</v>
      </c>
      <c r="I1078" s="75">
        <v>44621</v>
      </c>
      <c r="J1078" s="76">
        <f>EFEITO!$J$1078*EFEITO!$Y$1078</f>
        <v>0</v>
      </c>
      <c r="K1078" s="76">
        <f ca="1">EFEITO!$L$1078*EFEITO!$Z$1078</f>
        <v>831.66660002507012</v>
      </c>
      <c r="L1078" s="76">
        <f>EFEITO!$N$1078*EFEITO!$AA$1078</f>
        <v>353.95439338091552</v>
      </c>
      <c r="M1078" s="76">
        <f>$J$1078-EFEITO!$K$1078*EFEITO!$Y$1078</f>
        <v>0</v>
      </c>
      <c r="N1078" s="76">
        <f ca="1">$K$1078-EFEITO!$M$1078*EFEITO!$Z$1078</f>
        <v>0</v>
      </c>
      <c r="O1078" s="76">
        <f>$L$1078-EFEITO!$O$1078*EFEITO!$AA$1078</f>
        <v>0</v>
      </c>
      <c r="P1078" s="57"/>
      <c r="Q1078" s="57"/>
      <c r="R1078" s="57"/>
      <c r="S1078" s="57"/>
      <c r="T1078" s="57"/>
      <c r="U1078" s="57"/>
      <c r="V1078" s="57"/>
      <c r="W1078" s="57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</row>
    <row r="1079" spans="1:36" ht="11.25" customHeight="1" x14ac:dyDescent="0.2">
      <c r="A1079" s="53" t="s">
        <v>28</v>
      </c>
      <c r="B1079" s="53" t="s">
        <v>37</v>
      </c>
      <c r="C1079" s="53" t="s">
        <v>33</v>
      </c>
      <c r="D1079" s="53" t="s">
        <v>38</v>
      </c>
      <c r="E1079" s="53" t="s">
        <v>25</v>
      </c>
      <c r="F1079" s="53" t="s">
        <v>25</v>
      </c>
      <c r="G1079" s="53" t="s">
        <v>25</v>
      </c>
      <c r="H1079" s="53" t="s">
        <v>36</v>
      </c>
      <c r="I1079" s="75">
        <v>44621</v>
      </c>
      <c r="J1079" s="76">
        <f>EFEITO!$J$1079*EFEITO!$Y$1079</f>
        <v>0</v>
      </c>
      <c r="K1079" s="76">
        <f ca="1">EFEITO!$L$1079*EFEITO!$Z$1079</f>
        <v>42.980186047807237</v>
      </c>
      <c r="L1079" s="76">
        <f>EFEITO!$N$1079*EFEITO!$AA$1079</f>
        <v>18.292216712192015</v>
      </c>
      <c r="M1079" s="76">
        <f>$J$1079-EFEITO!$K$1079*EFEITO!$Y$1079</f>
        <v>0</v>
      </c>
      <c r="N1079" s="76">
        <f ca="1">$K$1079-EFEITO!$M$1079*EFEITO!$Z$1079</f>
        <v>0</v>
      </c>
      <c r="O1079" s="76">
        <f>$L$1079-EFEITO!$O$1079*EFEITO!$AA$1079</f>
        <v>0</v>
      </c>
      <c r="P1079" s="57"/>
      <c r="Q1079" s="57"/>
      <c r="R1079" s="57"/>
      <c r="S1079" s="57"/>
      <c r="T1079" s="57"/>
      <c r="U1079" s="57"/>
      <c r="V1079" s="57"/>
      <c r="W1079" s="57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</row>
    <row r="1080" spans="1:36" ht="11.25" customHeight="1" x14ac:dyDescent="0.2">
      <c r="A1080" s="53" t="s">
        <v>21</v>
      </c>
      <c r="B1080" s="53" t="s">
        <v>37</v>
      </c>
      <c r="C1080" s="53" t="s">
        <v>33</v>
      </c>
      <c r="D1080" s="53" t="s">
        <v>38</v>
      </c>
      <c r="E1080" s="53" t="s">
        <v>25</v>
      </c>
      <c r="F1080" s="53" t="s">
        <v>25</v>
      </c>
      <c r="G1080" s="53" t="s">
        <v>25</v>
      </c>
      <c r="H1080" s="53" t="s">
        <v>36</v>
      </c>
      <c r="I1080" s="75">
        <v>44652</v>
      </c>
      <c r="J1080" s="76">
        <f>EFEITO!$J$1080*EFEITO!$Y$1080</f>
        <v>0</v>
      </c>
      <c r="K1080" s="76">
        <f ca="1">EFEITO!$L$1080*EFEITO!$Z$1080</f>
        <v>212.75192093664583</v>
      </c>
      <c r="L1080" s="76">
        <f>EFEITO!$N$1080*EFEITO!$AA$1080</f>
        <v>90.546472725350469</v>
      </c>
      <c r="M1080" s="76">
        <f>$J$1080-EFEITO!$K$1080*EFEITO!$Y$1080</f>
        <v>0</v>
      </c>
      <c r="N1080" s="76">
        <f ca="1">$K$1080-EFEITO!$M$1080*EFEITO!$Z$1080</f>
        <v>0</v>
      </c>
      <c r="O1080" s="76">
        <f>$L$1080-EFEITO!$O$1080*EFEITO!$AA$1080</f>
        <v>0</v>
      </c>
      <c r="P1080" s="57"/>
      <c r="Q1080" s="57"/>
      <c r="R1080" s="57"/>
      <c r="S1080" s="57"/>
      <c r="T1080" s="57"/>
      <c r="U1080" s="57"/>
      <c r="V1080" s="57"/>
      <c r="W1080" s="57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</row>
    <row r="1081" spans="1:36" ht="11.25" customHeight="1" x14ac:dyDescent="0.2">
      <c r="A1081" s="53" t="s">
        <v>21</v>
      </c>
      <c r="B1081" s="53" t="s">
        <v>37</v>
      </c>
      <c r="C1081" s="53" t="s">
        <v>33</v>
      </c>
      <c r="D1081" s="53" t="s">
        <v>38</v>
      </c>
      <c r="E1081" s="53" t="s">
        <v>25</v>
      </c>
      <c r="F1081" s="53" t="s">
        <v>25</v>
      </c>
      <c r="G1081" s="53" t="s">
        <v>25</v>
      </c>
      <c r="H1081" s="53" t="s">
        <v>36</v>
      </c>
      <c r="I1081" s="75">
        <v>44682</v>
      </c>
      <c r="J1081" s="76">
        <f>EFEITO!$J$1081*EFEITO!$Y$1081</f>
        <v>0</v>
      </c>
      <c r="K1081" s="76">
        <f ca="1">EFEITO!$L$1081*EFEITO!$Z$1081</f>
        <v>202.72321085882413</v>
      </c>
      <c r="L1081" s="76">
        <f>EFEITO!$N$1081*EFEITO!$AA$1081</f>
        <v>86.278288825838999</v>
      </c>
      <c r="M1081" s="76">
        <f>$J$1081-EFEITO!$K$1081*EFEITO!$Y$1081</f>
        <v>0</v>
      </c>
      <c r="N1081" s="76">
        <f ca="1">$K$1081-EFEITO!$M$1081*EFEITO!$Z$1081</f>
        <v>0</v>
      </c>
      <c r="O1081" s="76">
        <f>$L$1081-EFEITO!$O$1081*EFEITO!$AA$1081</f>
        <v>0</v>
      </c>
      <c r="P1081" s="57"/>
      <c r="Q1081" s="57"/>
      <c r="R1081" s="57"/>
      <c r="S1081" s="57"/>
      <c r="T1081" s="57"/>
      <c r="U1081" s="57"/>
      <c r="V1081" s="57"/>
      <c r="W1081" s="57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</row>
    <row r="1082" spans="1:36" ht="11.25" customHeight="1" x14ac:dyDescent="0.2">
      <c r="A1082" s="53" t="s">
        <v>28</v>
      </c>
      <c r="B1082" s="53" t="s">
        <v>37</v>
      </c>
      <c r="C1082" s="53" t="s">
        <v>33</v>
      </c>
      <c r="D1082" s="53" t="s">
        <v>38</v>
      </c>
      <c r="E1082" s="53" t="s">
        <v>25</v>
      </c>
      <c r="F1082" s="53" t="s">
        <v>25</v>
      </c>
      <c r="G1082" s="53" t="s">
        <v>25</v>
      </c>
      <c r="H1082" s="53" t="s">
        <v>36</v>
      </c>
      <c r="I1082" s="75">
        <v>44682</v>
      </c>
      <c r="J1082" s="76">
        <f>EFEITO!$J$1082*EFEITO!$Y$1082</f>
        <v>0</v>
      </c>
      <c r="K1082" s="76">
        <f ca="1">EFEITO!$L$1082*EFEITO!$Z$1082</f>
        <v>128.94055814342173</v>
      </c>
      <c r="L1082" s="76">
        <f>EFEITO!$N$1082*EFEITO!$AA$1082</f>
        <v>54.876650136576046</v>
      </c>
      <c r="M1082" s="76">
        <f>$J$1082-EFEITO!$K$1082*EFEITO!$Y$1082</f>
        <v>0</v>
      </c>
      <c r="N1082" s="76">
        <f ca="1">$K$1082-EFEITO!$M$1082*EFEITO!$Z$1082</f>
        <v>0</v>
      </c>
      <c r="O1082" s="76">
        <f>$L$1082-EFEITO!$O$1082*EFEITO!$AA$1082</f>
        <v>0</v>
      </c>
      <c r="P1082" s="57"/>
      <c r="Q1082" s="57"/>
      <c r="R1082" s="57"/>
      <c r="S1082" s="57"/>
      <c r="T1082" s="57"/>
      <c r="U1082" s="57"/>
      <c r="V1082" s="57"/>
      <c r="W1082" s="57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</row>
    <row r="1083" spans="1:36" ht="11.25" customHeight="1" x14ac:dyDescent="0.2">
      <c r="A1083" s="53" t="s">
        <v>21</v>
      </c>
      <c r="B1083" s="53" t="s">
        <v>37</v>
      </c>
      <c r="C1083" s="53" t="s">
        <v>33</v>
      </c>
      <c r="D1083" s="53" t="s">
        <v>38</v>
      </c>
      <c r="E1083" s="53" t="s">
        <v>25</v>
      </c>
      <c r="F1083" s="53" t="s">
        <v>25</v>
      </c>
      <c r="G1083" s="53" t="s">
        <v>25</v>
      </c>
      <c r="H1083" s="53" t="s">
        <v>36</v>
      </c>
      <c r="I1083" s="75">
        <v>44713</v>
      </c>
      <c r="J1083" s="76">
        <f>EFEITO!$J$1083*EFEITO!$Y$1083</f>
        <v>0</v>
      </c>
      <c r="K1083" s="76">
        <f ca="1">EFEITO!$L$1083*EFEITO!$Z$1083</f>
        <v>238.54003256533019</v>
      </c>
      <c r="L1083" s="76">
        <f>EFEITO!$N$1083*EFEITO!$AA$1083</f>
        <v>101.52180275266569</v>
      </c>
      <c r="M1083" s="76">
        <f>$J$1083-EFEITO!$K$1083*EFEITO!$Y$1083</f>
        <v>0</v>
      </c>
      <c r="N1083" s="76">
        <f ca="1">$K$1083-EFEITO!$M$1083*EFEITO!$Z$1083</f>
        <v>0</v>
      </c>
      <c r="O1083" s="76">
        <f>$L$1083-EFEITO!$O$1083*EFEITO!$AA$1083</f>
        <v>0</v>
      </c>
      <c r="P1083" s="57"/>
      <c r="Q1083" s="57"/>
      <c r="R1083" s="57"/>
      <c r="S1083" s="57"/>
      <c r="T1083" s="57"/>
      <c r="U1083" s="57"/>
      <c r="V1083" s="57"/>
      <c r="W1083" s="57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</row>
    <row r="1084" spans="1:36" ht="11.25" customHeight="1" x14ac:dyDescent="0.2">
      <c r="A1084" s="53" t="s">
        <v>28</v>
      </c>
      <c r="B1084" s="53" t="s">
        <v>37</v>
      </c>
      <c r="C1084" s="53" t="s">
        <v>33</v>
      </c>
      <c r="D1084" s="53" t="s">
        <v>38</v>
      </c>
      <c r="E1084" s="53" t="s">
        <v>25</v>
      </c>
      <c r="F1084" s="53" t="s">
        <v>25</v>
      </c>
      <c r="G1084" s="53" t="s">
        <v>25</v>
      </c>
      <c r="H1084" s="53" t="s">
        <v>36</v>
      </c>
      <c r="I1084" s="75">
        <v>44713</v>
      </c>
      <c r="J1084" s="76">
        <f>EFEITO!$J$1084*EFEITO!$Y$1084</f>
        <v>0</v>
      </c>
      <c r="K1084" s="76">
        <f ca="1">EFEITO!$L$1084*EFEITO!$Z$1084</f>
        <v>128.94055814342173</v>
      </c>
      <c r="L1084" s="76">
        <f>EFEITO!$N$1084*EFEITO!$AA$1084</f>
        <v>54.876650136576046</v>
      </c>
      <c r="M1084" s="76">
        <f>$J$1084-EFEITO!$K$1084*EFEITO!$Y$1084</f>
        <v>0</v>
      </c>
      <c r="N1084" s="76">
        <f ca="1">$K$1084-EFEITO!$M$1084*EFEITO!$Z$1084</f>
        <v>0</v>
      </c>
      <c r="O1084" s="76">
        <f>$L$1084-EFEITO!$O$1084*EFEITO!$AA$1084</f>
        <v>0</v>
      </c>
      <c r="P1084" s="57"/>
      <c r="Q1084" s="57"/>
      <c r="R1084" s="57"/>
      <c r="S1084" s="57"/>
      <c r="T1084" s="57"/>
      <c r="U1084" s="57"/>
      <c r="V1084" s="57"/>
      <c r="W1084" s="57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</row>
    <row r="1085" spans="1:36" ht="11.25" customHeight="1" x14ac:dyDescent="0.2">
      <c r="A1085" s="53" t="s">
        <v>21</v>
      </c>
      <c r="B1085" s="53" t="s">
        <v>37</v>
      </c>
      <c r="C1085" s="53" t="s">
        <v>33</v>
      </c>
      <c r="D1085" s="53" t="s">
        <v>38</v>
      </c>
      <c r="E1085" s="53" t="s">
        <v>25</v>
      </c>
      <c r="F1085" s="53" t="s">
        <v>25</v>
      </c>
      <c r="G1085" s="53" t="s">
        <v>25</v>
      </c>
      <c r="H1085" s="53" t="s">
        <v>36</v>
      </c>
      <c r="I1085" s="75">
        <v>44743</v>
      </c>
      <c r="J1085" s="76">
        <f>EFEITO!$J$1085*EFEITO!$Y$1085</f>
        <v>0</v>
      </c>
      <c r="K1085" s="76">
        <f ca="1">EFEITO!$L$1085*EFEITO!$Z$1085</f>
        <v>269.34249923292538</v>
      </c>
      <c r="L1085" s="76">
        <f>EFEITO!$N$1085*EFEITO!$AA$1085</f>
        <v>114.63122472973663</v>
      </c>
      <c r="M1085" s="76">
        <f>$J$1085-EFEITO!$K$1085*EFEITO!$Y$1085</f>
        <v>0</v>
      </c>
      <c r="N1085" s="76">
        <f ca="1">$K$1085-EFEITO!$M$1085*EFEITO!$Z$1085</f>
        <v>0</v>
      </c>
      <c r="O1085" s="76">
        <f>$L$1085-EFEITO!$O$1085*EFEITO!$AA$1085</f>
        <v>0</v>
      </c>
      <c r="P1085" s="57"/>
      <c r="Q1085" s="57"/>
      <c r="R1085" s="57"/>
      <c r="S1085" s="57"/>
      <c r="T1085" s="57"/>
      <c r="U1085" s="57"/>
      <c r="V1085" s="57"/>
      <c r="W1085" s="57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</row>
    <row r="1086" spans="1:36" ht="11.25" customHeight="1" x14ac:dyDescent="0.2">
      <c r="A1086" s="53" t="s">
        <v>28</v>
      </c>
      <c r="B1086" s="53" t="s">
        <v>37</v>
      </c>
      <c r="C1086" s="53" t="s">
        <v>33</v>
      </c>
      <c r="D1086" s="53" t="s">
        <v>38</v>
      </c>
      <c r="E1086" s="53" t="s">
        <v>25</v>
      </c>
      <c r="F1086" s="53" t="s">
        <v>25</v>
      </c>
      <c r="G1086" s="53" t="s">
        <v>25</v>
      </c>
      <c r="H1086" s="53" t="s">
        <v>36</v>
      </c>
      <c r="I1086" s="75">
        <v>44743</v>
      </c>
      <c r="J1086" s="76">
        <f>EFEITO!$J$1086*EFEITO!$Y$1086</f>
        <v>0</v>
      </c>
      <c r="K1086" s="76">
        <f ca="1">EFEITO!$L$1086*EFEITO!$Z$1086</f>
        <v>257.88111628684345</v>
      </c>
      <c r="L1086" s="76">
        <f>EFEITO!$N$1086*EFEITO!$AA$1086</f>
        <v>109.75330027315209</v>
      </c>
      <c r="M1086" s="76">
        <f>$J$1086-EFEITO!$K$1086*EFEITO!$Y$1086</f>
        <v>0</v>
      </c>
      <c r="N1086" s="76">
        <f ca="1">$K$1086-EFEITO!$M$1086*EFEITO!$Z$1086</f>
        <v>0</v>
      </c>
      <c r="O1086" s="76">
        <f>$L$1086-EFEITO!$O$1086*EFEITO!$AA$1086</f>
        <v>0</v>
      </c>
      <c r="P1086" s="57"/>
      <c r="Q1086" s="57"/>
      <c r="R1086" s="57"/>
      <c r="S1086" s="57"/>
      <c r="T1086" s="57"/>
      <c r="U1086" s="57"/>
      <c r="V1086" s="57"/>
      <c r="W1086" s="57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</row>
    <row r="1087" spans="1:36" ht="11.25" customHeight="1" x14ac:dyDescent="0.2">
      <c r="A1087" s="53" t="s">
        <v>56</v>
      </c>
      <c r="B1087" s="53" t="s">
        <v>37</v>
      </c>
      <c r="C1087" s="53" t="s">
        <v>33</v>
      </c>
      <c r="D1087" s="53" t="s">
        <v>38</v>
      </c>
      <c r="E1087" s="53" t="s">
        <v>25</v>
      </c>
      <c r="F1087" s="53" t="s">
        <v>25</v>
      </c>
      <c r="G1087" s="53" t="s">
        <v>25</v>
      </c>
      <c r="H1087" s="53" t="s">
        <v>36</v>
      </c>
      <c r="I1087" s="75">
        <v>44774</v>
      </c>
      <c r="J1087" s="76">
        <f>EFEITO!$J$1087*EFEITO!$Y$1087</f>
        <v>0</v>
      </c>
      <c r="K1087" s="76">
        <f ca="1">EFEITO!$L$1087*EFEITO!$Z$1087</f>
        <v>269.34249923292538</v>
      </c>
      <c r="L1087" s="76">
        <f>EFEITO!$N$1087*EFEITO!$AA$1087</f>
        <v>114.63122472973663</v>
      </c>
      <c r="M1087" s="76">
        <f>$J$1087-EFEITO!$K$1087*EFEITO!$Y$1087</f>
        <v>0</v>
      </c>
      <c r="N1087" s="76">
        <f ca="1">$K$1087-EFEITO!$M$1087*EFEITO!$Z$1087</f>
        <v>0</v>
      </c>
      <c r="O1087" s="76">
        <f>$L$1087-EFEITO!$O$1087*EFEITO!$AA$1087</f>
        <v>0</v>
      </c>
      <c r="P1087" s="57"/>
      <c r="Q1087" s="57"/>
      <c r="R1087" s="57"/>
      <c r="S1087" s="57"/>
      <c r="T1087" s="57"/>
      <c r="U1087" s="57"/>
      <c r="V1087" s="57"/>
      <c r="W1087" s="57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</row>
    <row r="1088" spans="1:36" ht="11.25" customHeight="1" x14ac:dyDescent="0.2">
      <c r="A1088" s="53" t="s">
        <v>56</v>
      </c>
      <c r="B1088" s="53" t="s">
        <v>37</v>
      </c>
      <c r="C1088" s="53" t="s">
        <v>33</v>
      </c>
      <c r="D1088" s="53" t="s">
        <v>38</v>
      </c>
      <c r="E1088" s="53" t="s">
        <v>25</v>
      </c>
      <c r="F1088" s="53" t="s">
        <v>25</v>
      </c>
      <c r="G1088" s="53" t="s">
        <v>25</v>
      </c>
      <c r="H1088" s="53" t="s">
        <v>36</v>
      </c>
      <c r="I1088" s="75">
        <v>44774</v>
      </c>
      <c r="J1088" s="76">
        <f>EFEITO!$J$1088*EFEITO!$Y$1088</f>
        <v>0</v>
      </c>
      <c r="K1088" s="76">
        <f ca="1">EFEITO!$L$1088*EFEITO!$Z$1088</f>
        <v>257.88111628684345</v>
      </c>
      <c r="L1088" s="76">
        <f>EFEITO!$N$1088*EFEITO!$AA$1088</f>
        <v>109.75330027315209</v>
      </c>
      <c r="M1088" s="76">
        <f>$J$1088-EFEITO!$K$1088*EFEITO!$Y$1088</f>
        <v>0</v>
      </c>
      <c r="N1088" s="76">
        <f ca="1">$K$1088-EFEITO!$M$1088*EFEITO!$Z$1088</f>
        <v>0</v>
      </c>
      <c r="O1088" s="76">
        <f>$L$1088-EFEITO!$O$1088*EFEITO!$AA$1088</f>
        <v>0</v>
      </c>
      <c r="P1088" s="57"/>
      <c r="Q1088" s="57"/>
      <c r="R1088" s="57"/>
      <c r="S1088" s="57"/>
      <c r="T1088" s="57"/>
      <c r="U1088" s="57"/>
      <c r="V1088" s="57"/>
      <c r="W1088" s="57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</row>
    <row r="1089" spans="1:36" ht="11.25" customHeight="1" x14ac:dyDescent="0.2">
      <c r="A1089" s="53" t="s">
        <v>28</v>
      </c>
      <c r="B1089" s="53" t="s">
        <v>37</v>
      </c>
      <c r="C1089" s="53" t="s">
        <v>33</v>
      </c>
      <c r="D1089" s="53" t="s">
        <v>38</v>
      </c>
      <c r="E1089" s="53" t="s">
        <v>25</v>
      </c>
      <c r="F1089" s="53" t="s">
        <v>25</v>
      </c>
      <c r="G1089" s="53" t="s">
        <v>25</v>
      </c>
      <c r="H1089" s="53" t="s">
        <v>25</v>
      </c>
      <c r="I1089" s="75">
        <v>44440</v>
      </c>
      <c r="J1089" s="76">
        <f>EFEITO!$J$1089*EFEITO!$Y$1089</f>
        <v>0</v>
      </c>
      <c r="K1089" s="76">
        <f ca="1">EFEITO!$L$1089*EFEITO!$Z$1089</f>
        <v>130.4409327756089</v>
      </c>
      <c r="L1089" s="76">
        <f>EFEITO!$N$1089*EFEITO!$AA$1089</f>
        <v>95.986226008010092</v>
      </c>
      <c r="M1089" s="76">
        <f>$J$1089-EFEITO!$K$1089*EFEITO!$Y$1089</f>
        <v>0</v>
      </c>
      <c r="N1089" s="76">
        <f ca="1">$K$1089-EFEITO!$M$1089*EFEITO!$Z$1089</f>
        <v>0</v>
      </c>
      <c r="O1089" s="76">
        <f>$L$1089-EFEITO!$O$1089*EFEITO!$AA$1089</f>
        <v>0</v>
      </c>
      <c r="P1089" s="57"/>
      <c r="Q1089" s="57"/>
      <c r="R1089" s="57"/>
      <c r="S1089" s="57"/>
      <c r="T1089" s="57"/>
      <c r="U1089" s="57"/>
      <c r="V1089" s="57"/>
      <c r="W1089" s="57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</row>
    <row r="1090" spans="1:36" ht="11.25" customHeight="1" x14ac:dyDescent="0.2">
      <c r="A1090" s="53" t="s">
        <v>28</v>
      </c>
      <c r="B1090" s="53" t="s">
        <v>37</v>
      </c>
      <c r="C1090" s="53" t="s">
        <v>33</v>
      </c>
      <c r="D1090" s="53" t="s">
        <v>38</v>
      </c>
      <c r="E1090" s="53" t="s">
        <v>25</v>
      </c>
      <c r="F1090" s="53" t="s">
        <v>25</v>
      </c>
      <c r="G1090" s="53" t="s">
        <v>25</v>
      </c>
      <c r="H1090" s="53" t="s">
        <v>25</v>
      </c>
      <c r="I1090" s="75">
        <v>44470</v>
      </c>
      <c r="J1090" s="76">
        <f>EFEITO!$J$1090*EFEITO!$Y$1090</f>
        <v>0</v>
      </c>
      <c r="K1090" s="76">
        <f ca="1">EFEITO!$L$1090*EFEITO!$Z$1090</f>
        <v>86.960621850405943</v>
      </c>
      <c r="L1090" s="76">
        <f>EFEITO!$N$1090*EFEITO!$AA$1090</f>
        <v>63.990817338673402</v>
      </c>
      <c r="M1090" s="76">
        <f>$J$1090-EFEITO!$K$1090*EFEITO!$Y$1090</f>
        <v>0</v>
      </c>
      <c r="N1090" s="76">
        <f ca="1">$K$1090-EFEITO!$M$1090*EFEITO!$Z$1090</f>
        <v>0</v>
      </c>
      <c r="O1090" s="76">
        <f>$L$1090-EFEITO!$O$1090*EFEITO!$AA$1090</f>
        <v>0</v>
      </c>
      <c r="P1090" s="57"/>
      <c r="Q1090" s="57"/>
      <c r="R1090" s="57"/>
      <c r="S1090" s="57"/>
      <c r="T1090" s="57"/>
      <c r="U1090" s="57"/>
      <c r="V1090" s="57"/>
      <c r="W1090" s="57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</row>
    <row r="1091" spans="1:36" ht="11.25" customHeight="1" x14ac:dyDescent="0.2">
      <c r="A1091" s="53" t="s">
        <v>28</v>
      </c>
      <c r="B1091" s="53" t="s">
        <v>37</v>
      </c>
      <c r="C1091" s="53" t="s">
        <v>33</v>
      </c>
      <c r="D1091" s="53" t="s">
        <v>38</v>
      </c>
      <c r="E1091" s="53" t="s">
        <v>25</v>
      </c>
      <c r="F1091" s="53" t="s">
        <v>25</v>
      </c>
      <c r="G1091" s="53" t="s">
        <v>25</v>
      </c>
      <c r="H1091" s="53" t="s">
        <v>25</v>
      </c>
      <c r="I1091" s="75">
        <v>44501</v>
      </c>
      <c r="J1091" s="76">
        <f>EFEITO!$J$1091*EFEITO!$Y$1091</f>
        <v>0</v>
      </c>
      <c r="K1091" s="76">
        <f ca="1">EFEITO!$L$1091*EFEITO!$Z$1091</f>
        <v>173.92124370081189</v>
      </c>
      <c r="L1091" s="76">
        <f>EFEITO!$N$1091*EFEITO!$AA$1091</f>
        <v>127.9816346773468</v>
      </c>
      <c r="M1091" s="76">
        <f>$J$1091-EFEITO!$K$1091*EFEITO!$Y$1091</f>
        <v>0</v>
      </c>
      <c r="N1091" s="76">
        <f ca="1">$K$1091-EFEITO!$M$1091*EFEITO!$Z$1091</f>
        <v>0</v>
      </c>
      <c r="O1091" s="76">
        <f>$L$1091-EFEITO!$O$1091*EFEITO!$AA$1091</f>
        <v>0</v>
      </c>
      <c r="P1091" s="57"/>
      <c r="Q1091" s="57"/>
      <c r="R1091" s="57"/>
      <c r="S1091" s="57"/>
      <c r="T1091" s="57"/>
      <c r="U1091" s="57"/>
      <c r="V1091" s="57"/>
      <c r="W1091" s="57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</row>
    <row r="1092" spans="1:36" ht="11.25" customHeight="1" x14ac:dyDescent="0.2">
      <c r="A1092" s="53" t="s">
        <v>28</v>
      </c>
      <c r="B1092" s="53" t="s">
        <v>37</v>
      </c>
      <c r="C1092" s="53" t="s">
        <v>33</v>
      </c>
      <c r="D1092" s="53" t="s">
        <v>38</v>
      </c>
      <c r="E1092" s="53" t="s">
        <v>25</v>
      </c>
      <c r="F1092" s="53" t="s">
        <v>25</v>
      </c>
      <c r="G1092" s="53" t="s">
        <v>25</v>
      </c>
      <c r="H1092" s="53" t="s">
        <v>25</v>
      </c>
      <c r="I1092" s="75">
        <v>44531</v>
      </c>
      <c r="J1092" s="76">
        <f>EFEITO!$J$1092*EFEITO!$Y$1092</f>
        <v>0</v>
      </c>
      <c r="K1092" s="76">
        <f ca="1">EFEITO!$L$1092*EFEITO!$Z$1092</f>
        <v>43.480310925202971</v>
      </c>
      <c r="L1092" s="76">
        <f>EFEITO!$N$1092*EFEITO!$AA$1092</f>
        <v>31.995408669336701</v>
      </c>
      <c r="M1092" s="76">
        <f>$J$1092-EFEITO!$K$1092*EFEITO!$Y$1092</f>
        <v>0</v>
      </c>
      <c r="N1092" s="76">
        <f ca="1">$K$1092-EFEITO!$M$1092*EFEITO!$Z$1092</f>
        <v>0</v>
      </c>
      <c r="O1092" s="76">
        <f>$L$1092-EFEITO!$O$1092*EFEITO!$AA$1092</f>
        <v>0</v>
      </c>
      <c r="P1092" s="57"/>
      <c r="Q1092" s="57"/>
      <c r="R1092" s="57"/>
      <c r="S1092" s="57"/>
      <c r="T1092" s="57"/>
      <c r="U1092" s="57"/>
      <c r="V1092" s="57"/>
      <c r="W1092" s="57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</row>
    <row r="1093" spans="1:36" ht="11.25" customHeight="1" x14ac:dyDescent="0.2">
      <c r="A1093" s="53" t="s">
        <v>28</v>
      </c>
      <c r="B1093" s="53" t="s">
        <v>37</v>
      </c>
      <c r="C1093" s="53" t="s">
        <v>33</v>
      </c>
      <c r="D1093" s="53" t="s">
        <v>38</v>
      </c>
      <c r="E1093" s="53" t="s">
        <v>25</v>
      </c>
      <c r="F1093" s="53" t="s">
        <v>25</v>
      </c>
      <c r="G1093" s="53" t="s">
        <v>25</v>
      </c>
      <c r="H1093" s="53" t="s">
        <v>25</v>
      </c>
      <c r="I1093" s="75">
        <v>44562</v>
      </c>
      <c r="J1093" s="76">
        <f>EFEITO!$J$1093*EFEITO!$Y$1093</f>
        <v>0</v>
      </c>
      <c r="K1093" s="76">
        <f ca="1">EFEITO!$L$1093*EFEITO!$Z$1093</f>
        <v>173.92124370081189</v>
      </c>
      <c r="L1093" s="76">
        <f>EFEITO!$N$1093*EFEITO!$AA$1093</f>
        <v>127.9816346773468</v>
      </c>
      <c r="M1093" s="76">
        <f>$J$1093-EFEITO!$K$1093*EFEITO!$Y$1093</f>
        <v>0</v>
      </c>
      <c r="N1093" s="76">
        <f ca="1">$K$1093-EFEITO!$M$1093*EFEITO!$Z$1093</f>
        <v>0</v>
      </c>
      <c r="O1093" s="76">
        <f>$L$1093-EFEITO!$O$1093*EFEITO!$AA$1093</f>
        <v>0</v>
      </c>
      <c r="P1093" s="57"/>
      <c r="Q1093" s="57"/>
      <c r="R1093" s="57"/>
      <c r="S1093" s="57"/>
      <c r="T1093" s="57"/>
      <c r="U1093" s="57"/>
      <c r="V1093" s="57"/>
      <c r="W1093" s="57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</row>
    <row r="1094" spans="1:36" ht="11.25" customHeight="1" x14ac:dyDescent="0.2">
      <c r="A1094" s="53" t="s">
        <v>28</v>
      </c>
      <c r="B1094" s="53" t="s">
        <v>37</v>
      </c>
      <c r="C1094" s="53" t="s">
        <v>33</v>
      </c>
      <c r="D1094" s="53" t="s">
        <v>38</v>
      </c>
      <c r="E1094" s="53" t="s">
        <v>25</v>
      </c>
      <c r="F1094" s="53" t="s">
        <v>25</v>
      </c>
      <c r="G1094" s="53" t="s">
        <v>25</v>
      </c>
      <c r="H1094" s="53" t="s">
        <v>25</v>
      </c>
      <c r="I1094" s="75">
        <v>44593</v>
      </c>
      <c r="J1094" s="76">
        <f>EFEITO!$J$1094*EFEITO!$Y$1094</f>
        <v>0</v>
      </c>
      <c r="K1094" s="76">
        <f ca="1">EFEITO!$L$1094*EFEITO!$Z$1094</f>
        <v>173.92124370081189</v>
      </c>
      <c r="L1094" s="76">
        <f>EFEITO!$N$1094*EFEITO!$AA$1094</f>
        <v>127.9816346773468</v>
      </c>
      <c r="M1094" s="76">
        <f>$J$1094-EFEITO!$K$1094*EFEITO!$Y$1094</f>
        <v>0</v>
      </c>
      <c r="N1094" s="76">
        <f ca="1">$K$1094-EFEITO!$M$1094*EFEITO!$Z$1094</f>
        <v>0</v>
      </c>
      <c r="O1094" s="76">
        <f>$L$1094-EFEITO!$O$1094*EFEITO!$AA$1094</f>
        <v>0</v>
      </c>
      <c r="P1094" s="57"/>
      <c r="Q1094" s="57"/>
      <c r="R1094" s="57"/>
      <c r="S1094" s="57"/>
      <c r="T1094" s="57"/>
      <c r="U1094" s="57"/>
      <c r="V1094" s="57"/>
      <c r="W1094" s="57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</row>
    <row r="1095" spans="1:36" ht="11.25" customHeight="1" x14ac:dyDescent="0.2">
      <c r="A1095" s="53" t="s">
        <v>28</v>
      </c>
      <c r="B1095" s="53" t="s">
        <v>37</v>
      </c>
      <c r="C1095" s="53" t="s">
        <v>33</v>
      </c>
      <c r="D1095" s="53" t="s">
        <v>38</v>
      </c>
      <c r="E1095" s="53" t="s">
        <v>25</v>
      </c>
      <c r="F1095" s="53" t="s">
        <v>25</v>
      </c>
      <c r="G1095" s="53" t="s">
        <v>25</v>
      </c>
      <c r="H1095" s="53" t="s">
        <v>25</v>
      </c>
      <c r="I1095" s="75">
        <v>44621</v>
      </c>
      <c r="J1095" s="76">
        <f>EFEITO!$J$1095*EFEITO!$Y$1095</f>
        <v>0</v>
      </c>
      <c r="K1095" s="76">
        <f ca="1">EFEITO!$L$1095*EFEITO!$Z$1095</f>
        <v>173.92124370081189</v>
      </c>
      <c r="L1095" s="76">
        <f>EFEITO!$N$1095*EFEITO!$AA$1095</f>
        <v>127.9816346773468</v>
      </c>
      <c r="M1095" s="76">
        <f>$J$1095-EFEITO!$K$1095*EFEITO!$Y$1095</f>
        <v>0</v>
      </c>
      <c r="N1095" s="76">
        <f ca="1">$K$1095-EFEITO!$M$1095*EFEITO!$Z$1095</f>
        <v>0</v>
      </c>
      <c r="O1095" s="76">
        <f>$L$1095-EFEITO!$O$1095*EFEITO!$AA$1095</f>
        <v>0</v>
      </c>
      <c r="P1095" s="57"/>
      <c r="Q1095" s="57"/>
      <c r="R1095" s="57"/>
      <c r="S1095" s="57"/>
      <c r="T1095" s="57"/>
      <c r="U1095" s="57"/>
      <c r="V1095" s="57"/>
      <c r="W1095" s="57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</row>
    <row r="1096" spans="1:36" ht="11.25" customHeight="1" x14ac:dyDescent="0.2">
      <c r="A1096" s="53" t="s">
        <v>28</v>
      </c>
      <c r="B1096" s="53" t="s">
        <v>37</v>
      </c>
      <c r="C1096" s="53" t="s">
        <v>33</v>
      </c>
      <c r="D1096" s="53" t="s">
        <v>38</v>
      </c>
      <c r="E1096" s="53" t="s">
        <v>25</v>
      </c>
      <c r="F1096" s="53" t="s">
        <v>25</v>
      </c>
      <c r="G1096" s="53" t="s">
        <v>25</v>
      </c>
      <c r="H1096" s="53" t="s">
        <v>25</v>
      </c>
      <c r="I1096" s="75">
        <v>44621</v>
      </c>
      <c r="J1096" s="76">
        <f>EFEITO!$J$1096*EFEITO!$Y$1096</f>
        <v>0</v>
      </c>
      <c r="K1096" s="76">
        <f ca="1">EFEITO!$L$1096*EFEITO!$Z$1096</f>
        <v>260.8818655512178</v>
      </c>
      <c r="L1096" s="76">
        <f>EFEITO!$N$1096*EFEITO!$AA$1096</f>
        <v>191.97245201602018</v>
      </c>
      <c r="M1096" s="76">
        <f>$J$1096-EFEITO!$K$1096*EFEITO!$Y$1096</f>
        <v>0</v>
      </c>
      <c r="N1096" s="76">
        <f ca="1">$K$1096-EFEITO!$M$1096*EFEITO!$Z$1096</f>
        <v>0</v>
      </c>
      <c r="O1096" s="76">
        <f>$L$1096-EFEITO!$O$1096*EFEITO!$AA$1096</f>
        <v>0</v>
      </c>
      <c r="P1096" s="57"/>
      <c r="Q1096" s="57"/>
      <c r="R1096" s="57"/>
      <c r="S1096" s="57"/>
      <c r="T1096" s="57"/>
      <c r="U1096" s="57"/>
      <c r="V1096" s="57"/>
      <c r="W1096" s="57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</row>
    <row r="1097" spans="1:36" ht="11.25" customHeight="1" x14ac:dyDescent="0.2">
      <c r="A1097" s="53" t="s">
        <v>28</v>
      </c>
      <c r="B1097" s="53" t="s">
        <v>37</v>
      </c>
      <c r="C1097" s="53" t="s">
        <v>33</v>
      </c>
      <c r="D1097" s="53" t="s">
        <v>38</v>
      </c>
      <c r="E1097" s="53" t="s">
        <v>25</v>
      </c>
      <c r="F1097" s="53" t="s">
        <v>25</v>
      </c>
      <c r="G1097" s="53" t="s">
        <v>25</v>
      </c>
      <c r="H1097" s="53" t="s">
        <v>25</v>
      </c>
      <c r="I1097" s="75">
        <v>44652</v>
      </c>
      <c r="J1097" s="76">
        <f>EFEITO!$J$1097*EFEITO!$Y$1097</f>
        <v>0</v>
      </c>
      <c r="K1097" s="76">
        <f ca="1">EFEITO!$L$1097*EFEITO!$Z$1097</f>
        <v>173.92124370081189</v>
      </c>
      <c r="L1097" s="76">
        <f>EFEITO!$N$1097*EFEITO!$AA$1097</f>
        <v>127.9816346773468</v>
      </c>
      <c r="M1097" s="76">
        <f>$J$1097-EFEITO!$K$1097*EFEITO!$Y$1097</f>
        <v>0</v>
      </c>
      <c r="N1097" s="76">
        <f ca="1">$K$1097-EFEITO!$M$1097*EFEITO!$Z$1097</f>
        <v>0</v>
      </c>
      <c r="O1097" s="76">
        <f>$L$1097-EFEITO!$O$1097*EFEITO!$AA$1097</f>
        <v>0</v>
      </c>
      <c r="P1097" s="57"/>
      <c r="Q1097" s="57"/>
      <c r="R1097" s="57"/>
      <c r="S1097" s="57"/>
      <c r="T1097" s="57"/>
      <c r="U1097" s="57"/>
      <c r="V1097" s="57"/>
      <c r="W1097" s="57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</row>
    <row r="1098" spans="1:36" ht="11.25" customHeight="1" x14ac:dyDescent="0.2">
      <c r="A1098" s="53" t="s">
        <v>28</v>
      </c>
      <c r="B1098" s="53" t="s">
        <v>37</v>
      </c>
      <c r="C1098" s="53" t="s">
        <v>33</v>
      </c>
      <c r="D1098" s="53" t="s">
        <v>38</v>
      </c>
      <c r="E1098" s="53" t="s">
        <v>25</v>
      </c>
      <c r="F1098" s="53" t="s">
        <v>25</v>
      </c>
      <c r="G1098" s="53" t="s">
        <v>25</v>
      </c>
      <c r="H1098" s="53" t="s">
        <v>25</v>
      </c>
      <c r="I1098" s="75">
        <v>44682</v>
      </c>
      <c r="J1098" s="76">
        <f>EFEITO!$J$1098*EFEITO!$Y$1098</f>
        <v>0</v>
      </c>
      <c r="K1098" s="76">
        <f ca="1">EFEITO!$L$1098*EFEITO!$Z$1098</f>
        <v>173.92124370081189</v>
      </c>
      <c r="L1098" s="76">
        <f>EFEITO!$N$1098*EFEITO!$AA$1098</f>
        <v>127.9816346773468</v>
      </c>
      <c r="M1098" s="76">
        <f>$J$1098-EFEITO!$K$1098*EFEITO!$Y$1098</f>
        <v>0</v>
      </c>
      <c r="N1098" s="76">
        <f ca="1">$K$1098-EFEITO!$M$1098*EFEITO!$Z$1098</f>
        <v>0</v>
      </c>
      <c r="O1098" s="76">
        <f>$L$1098-EFEITO!$O$1098*EFEITO!$AA$1098</f>
        <v>0</v>
      </c>
      <c r="P1098" s="57"/>
      <c r="Q1098" s="57"/>
      <c r="R1098" s="57"/>
      <c r="S1098" s="57"/>
      <c r="T1098" s="57"/>
      <c r="U1098" s="57"/>
      <c r="V1098" s="57"/>
      <c r="W1098" s="57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</row>
    <row r="1099" spans="1:36" ht="11.25" customHeight="1" x14ac:dyDescent="0.2">
      <c r="A1099" s="53" t="s">
        <v>28</v>
      </c>
      <c r="B1099" s="53" t="s">
        <v>37</v>
      </c>
      <c r="C1099" s="53" t="s">
        <v>33</v>
      </c>
      <c r="D1099" s="53" t="s">
        <v>38</v>
      </c>
      <c r="E1099" s="53" t="s">
        <v>25</v>
      </c>
      <c r="F1099" s="53" t="s">
        <v>25</v>
      </c>
      <c r="G1099" s="53" t="s">
        <v>25</v>
      </c>
      <c r="H1099" s="53" t="s">
        <v>25</v>
      </c>
      <c r="I1099" s="75">
        <v>44713</v>
      </c>
      <c r="J1099" s="76">
        <f>EFEITO!$J$1099*EFEITO!$Y$1099</f>
        <v>0</v>
      </c>
      <c r="K1099" s="76">
        <f ca="1">EFEITO!$L$1099*EFEITO!$Z$1099</f>
        <v>130.4409327756089</v>
      </c>
      <c r="L1099" s="76">
        <f>EFEITO!$N$1099*EFEITO!$AA$1099</f>
        <v>95.986226008010092</v>
      </c>
      <c r="M1099" s="76">
        <f>$J$1099-EFEITO!$K$1099*EFEITO!$Y$1099</f>
        <v>0</v>
      </c>
      <c r="N1099" s="76">
        <f ca="1">$K$1099-EFEITO!$M$1099*EFEITO!$Z$1099</f>
        <v>0</v>
      </c>
      <c r="O1099" s="76">
        <f>$L$1099-EFEITO!$O$1099*EFEITO!$AA$1099</f>
        <v>0</v>
      </c>
      <c r="P1099" s="57"/>
      <c r="Q1099" s="57"/>
      <c r="R1099" s="57"/>
      <c r="S1099" s="57"/>
      <c r="T1099" s="57"/>
      <c r="U1099" s="57"/>
      <c r="V1099" s="57"/>
      <c r="W1099" s="57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  <row r="1100" spans="1:36" ht="11.25" customHeight="1" x14ac:dyDescent="0.2">
      <c r="A1100" s="53" t="s">
        <v>28</v>
      </c>
      <c r="B1100" s="53" t="s">
        <v>37</v>
      </c>
      <c r="C1100" s="53" t="s">
        <v>33</v>
      </c>
      <c r="D1100" s="53" t="s">
        <v>38</v>
      </c>
      <c r="E1100" s="53" t="s">
        <v>25</v>
      </c>
      <c r="F1100" s="53" t="s">
        <v>25</v>
      </c>
      <c r="G1100" s="53" t="s">
        <v>25</v>
      </c>
      <c r="H1100" s="53" t="s">
        <v>25</v>
      </c>
      <c r="I1100" s="75">
        <v>44743</v>
      </c>
      <c r="J1100" s="76">
        <f>EFEITO!$J$1100*EFEITO!$Y$1100</f>
        <v>0</v>
      </c>
      <c r="K1100" s="76">
        <f ca="1">EFEITO!$L$1100*EFEITO!$Z$1100</f>
        <v>43.480310925202971</v>
      </c>
      <c r="L1100" s="76">
        <f>EFEITO!$N$1100*EFEITO!$AA$1100</f>
        <v>31.995408669336701</v>
      </c>
      <c r="M1100" s="76">
        <f>$J$1100-EFEITO!$K$1100*EFEITO!$Y$1100</f>
        <v>0</v>
      </c>
      <c r="N1100" s="76">
        <f ca="1">$K$1100-EFEITO!$M$1100*EFEITO!$Z$1100</f>
        <v>0</v>
      </c>
      <c r="O1100" s="76">
        <f>$L$1100-EFEITO!$O$1100*EFEITO!$AA$1100</f>
        <v>0</v>
      </c>
      <c r="P1100" s="57"/>
      <c r="Q1100" s="57"/>
      <c r="R1100" s="57"/>
      <c r="S1100" s="57"/>
      <c r="T1100" s="57"/>
      <c r="U1100" s="57"/>
      <c r="V1100" s="57"/>
      <c r="W1100" s="57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</row>
    <row r="1101" spans="1:36" ht="11.25" customHeight="1" x14ac:dyDescent="0.2">
      <c r="A1101" s="53" t="s">
        <v>56</v>
      </c>
      <c r="B1101" s="53" t="s">
        <v>37</v>
      </c>
      <c r="C1101" s="53" t="s">
        <v>33</v>
      </c>
      <c r="D1101" s="53" t="s">
        <v>38</v>
      </c>
      <c r="E1101" s="53" t="s">
        <v>25</v>
      </c>
      <c r="F1101" s="53" t="s">
        <v>25</v>
      </c>
      <c r="G1101" s="53" t="s">
        <v>25</v>
      </c>
      <c r="H1101" s="53" t="s">
        <v>25</v>
      </c>
      <c r="I1101" s="75">
        <v>44774</v>
      </c>
      <c r="J1101" s="76">
        <f>EFEITO!$J$1101*EFEITO!$Y$1101</f>
        <v>0</v>
      </c>
      <c r="K1101" s="76">
        <f ca="1">EFEITO!$L$1101*EFEITO!$Z$1101</f>
        <v>43.480310925202971</v>
      </c>
      <c r="L1101" s="76">
        <f>EFEITO!$N$1101*EFEITO!$AA$1101</f>
        <v>31.995408669336701</v>
      </c>
      <c r="M1101" s="76">
        <f>$J$1101-EFEITO!$K$1101*EFEITO!$Y$1101</f>
        <v>0</v>
      </c>
      <c r="N1101" s="76">
        <f ca="1">$K$1101-EFEITO!$M$1101*EFEITO!$Z$1101</f>
        <v>0</v>
      </c>
      <c r="O1101" s="76">
        <f>$L$1101-EFEITO!$O$1101*EFEITO!$AA$1101</f>
        <v>0</v>
      </c>
      <c r="P1101" s="57"/>
      <c r="Q1101" s="57"/>
      <c r="R1101" s="57"/>
      <c r="S1101" s="57"/>
      <c r="T1101" s="57"/>
      <c r="U1101" s="57"/>
      <c r="V1101" s="57"/>
      <c r="W1101" s="57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</row>
    <row r="1102" spans="1:36" ht="11.25" customHeight="1" x14ac:dyDescent="0.2">
      <c r="A1102" s="53" t="s">
        <v>21</v>
      </c>
      <c r="B1102" s="53" t="s">
        <v>37</v>
      </c>
      <c r="C1102" s="53" t="s">
        <v>33</v>
      </c>
      <c r="D1102" s="53" t="s">
        <v>38</v>
      </c>
      <c r="E1102" s="53" t="s">
        <v>25</v>
      </c>
      <c r="F1102" s="53" t="s">
        <v>25</v>
      </c>
      <c r="G1102" s="53" t="s">
        <v>25</v>
      </c>
      <c r="H1102" s="53" t="s">
        <v>34</v>
      </c>
      <c r="I1102" s="75">
        <v>44440</v>
      </c>
      <c r="J1102" s="76">
        <f>EFEITO!$J$1102*EFEITO!$Y$1102</f>
        <v>0</v>
      </c>
      <c r="K1102" s="76">
        <f ca="1">EFEITO!$L$1102*EFEITO!$Z$1102</f>
        <v>413.06703127872811</v>
      </c>
      <c r="L1102" s="76">
        <f>EFEITO!$N$1102*EFEITO!$AA$1102</f>
        <v>187.54812689755417</v>
      </c>
      <c r="M1102" s="76">
        <f>$J$1102-EFEITO!$K$1102*EFEITO!$Y$1102</f>
        <v>0</v>
      </c>
      <c r="N1102" s="76">
        <f ca="1">$K$1102-EFEITO!$M$1102*EFEITO!$Z$1102</f>
        <v>0</v>
      </c>
      <c r="O1102" s="76">
        <f>$L$1102-EFEITO!$O$1102*EFEITO!$AA$1102</f>
        <v>0</v>
      </c>
      <c r="P1102" s="57"/>
      <c r="Q1102" s="57"/>
      <c r="R1102" s="57"/>
      <c r="S1102" s="57"/>
      <c r="T1102" s="57"/>
      <c r="U1102" s="57"/>
      <c r="V1102" s="57"/>
      <c r="W1102" s="57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</row>
    <row r="1103" spans="1:36" ht="11.25" customHeight="1" x14ac:dyDescent="0.2">
      <c r="A1103" s="53" t="s">
        <v>28</v>
      </c>
      <c r="B1103" s="53" t="s">
        <v>37</v>
      </c>
      <c r="C1103" s="53" t="s">
        <v>33</v>
      </c>
      <c r="D1103" s="53" t="s">
        <v>38</v>
      </c>
      <c r="E1103" s="53" t="s">
        <v>25</v>
      </c>
      <c r="F1103" s="53" t="s">
        <v>25</v>
      </c>
      <c r="G1103" s="53" t="s">
        <v>25</v>
      </c>
      <c r="H1103" s="53" t="s">
        <v>34</v>
      </c>
      <c r="I1103" s="75">
        <v>44440</v>
      </c>
      <c r="J1103" s="76">
        <f>EFEITO!$J$1103*EFEITO!$Y$1103</f>
        <v>0</v>
      </c>
      <c r="K1103" s="76">
        <f ca="1">EFEITO!$L$1103*EFEITO!$Z$1103</f>
        <v>64.207310561460318</v>
      </c>
      <c r="L1103" s="76">
        <f>EFEITO!$N$1103*EFEITO!$AA$1103</f>
        <v>29.152558585112043</v>
      </c>
      <c r="M1103" s="76">
        <f>$J$1103-EFEITO!$K$1103*EFEITO!$Y$1103</f>
        <v>0</v>
      </c>
      <c r="N1103" s="76">
        <f ca="1">$K$1103-EFEITO!$M$1103*EFEITO!$Z$1103</f>
        <v>0</v>
      </c>
      <c r="O1103" s="76">
        <f>$L$1103-EFEITO!$O$1103*EFEITO!$AA$1103</f>
        <v>0</v>
      </c>
      <c r="P1103" s="57"/>
      <c r="Q1103" s="57"/>
      <c r="R1103" s="57"/>
      <c r="S1103" s="57"/>
      <c r="T1103" s="57"/>
      <c r="U1103" s="57"/>
      <c r="V1103" s="57"/>
      <c r="W1103" s="57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</row>
    <row r="1104" spans="1:36" ht="11.25" customHeight="1" x14ac:dyDescent="0.2">
      <c r="A1104" s="53" t="s">
        <v>21</v>
      </c>
      <c r="B1104" s="53" t="s">
        <v>37</v>
      </c>
      <c r="C1104" s="53" t="s">
        <v>33</v>
      </c>
      <c r="D1104" s="53" t="s">
        <v>38</v>
      </c>
      <c r="E1104" s="53" t="s">
        <v>25</v>
      </c>
      <c r="F1104" s="53" t="s">
        <v>25</v>
      </c>
      <c r="G1104" s="53" t="s">
        <v>25</v>
      </c>
      <c r="H1104" s="53" t="s">
        <v>34</v>
      </c>
      <c r="I1104" s="75">
        <v>44470</v>
      </c>
      <c r="J1104" s="76">
        <f>EFEITO!$J$1104*EFEITO!$Y$1104</f>
        <v>0</v>
      </c>
      <c r="K1104" s="76">
        <f ca="1">EFEITO!$L$1104*EFEITO!$Z$1104</f>
        <v>519.00909370513762</v>
      </c>
      <c r="L1104" s="76">
        <f>EFEITO!$N$1104*EFEITO!$AA$1104</f>
        <v>235.64984856298904</v>
      </c>
      <c r="M1104" s="76">
        <f>$J$1104-EFEITO!$K$1104*EFEITO!$Y$1104</f>
        <v>0</v>
      </c>
      <c r="N1104" s="76">
        <f ca="1">$K$1104-EFEITO!$M$1104*EFEITO!$Z$1104</f>
        <v>0</v>
      </c>
      <c r="O1104" s="76">
        <f>$L$1104-EFEITO!$O$1104*EFEITO!$AA$1104</f>
        <v>0</v>
      </c>
      <c r="P1104" s="57"/>
      <c r="Q1104" s="57"/>
      <c r="R1104" s="57"/>
      <c r="S1104" s="57"/>
      <c r="T1104" s="57"/>
      <c r="U1104" s="57"/>
      <c r="V1104" s="57"/>
      <c r="W1104" s="57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</row>
    <row r="1105" spans="1:36" ht="11.25" customHeight="1" x14ac:dyDescent="0.2">
      <c r="A1105" s="53" t="s">
        <v>21</v>
      </c>
      <c r="B1105" s="53" t="s">
        <v>37</v>
      </c>
      <c r="C1105" s="53" t="s">
        <v>33</v>
      </c>
      <c r="D1105" s="53" t="s">
        <v>38</v>
      </c>
      <c r="E1105" s="53" t="s">
        <v>25</v>
      </c>
      <c r="F1105" s="53" t="s">
        <v>25</v>
      </c>
      <c r="G1105" s="53" t="s">
        <v>25</v>
      </c>
      <c r="H1105" s="53" t="s">
        <v>34</v>
      </c>
      <c r="I1105" s="75">
        <v>44501</v>
      </c>
      <c r="J1105" s="76">
        <f>EFEITO!$J$1105*EFEITO!$Y$1105</f>
        <v>0</v>
      </c>
      <c r="K1105" s="76">
        <f ca="1">EFEITO!$L$1105*EFEITO!$Z$1105</f>
        <v>280.37192278504341</v>
      </c>
      <c r="L1105" s="76">
        <f>EFEITO!$N$1105*EFEITO!$AA$1105</f>
        <v>127.29950582165594</v>
      </c>
      <c r="M1105" s="76">
        <f>$J$1105-EFEITO!$K$1105*EFEITO!$Y$1105</f>
        <v>0</v>
      </c>
      <c r="N1105" s="76">
        <f ca="1">$K$1105-EFEITO!$M$1105*EFEITO!$Z$1105</f>
        <v>0</v>
      </c>
      <c r="O1105" s="76">
        <f>$L$1105-EFEITO!$O$1105*EFEITO!$AA$1105</f>
        <v>0</v>
      </c>
      <c r="P1105" s="57"/>
      <c r="Q1105" s="57"/>
      <c r="R1105" s="57"/>
      <c r="S1105" s="57"/>
      <c r="T1105" s="57"/>
      <c r="U1105" s="57"/>
      <c r="V1105" s="57"/>
      <c r="W1105" s="57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</row>
    <row r="1106" spans="1:36" ht="11.25" customHeight="1" x14ac:dyDescent="0.2">
      <c r="A1106" s="53" t="s">
        <v>28</v>
      </c>
      <c r="B1106" s="53" t="s">
        <v>37</v>
      </c>
      <c r="C1106" s="53" t="s">
        <v>33</v>
      </c>
      <c r="D1106" s="53" t="s">
        <v>38</v>
      </c>
      <c r="E1106" s="53" t="s">
        <v>25</v>
      </c>
      <c r="F1106" s="53" t="s">
        <v>25</v>
      </c>
      <c r="G1106" s="53" t="s">
        <v>25</v>
      </c>
      <c r="H1106" s="53" t="s">
        <v>34</v>
      </c>
      <c r="I1106" s="75">
        <v>44501</v>
      </c>
      <c r="J1106" s="76">
        <f>EFEITO!$J$1106*EFEITO!$Y$1106</f>
        <v>0</v>
      </c>
      <c r="K1106" s="76">
        <f ca="1">EFEITO!$L$1106*EFEITO!$Z$1106</f>
        <v>449.4511739302223</v>
      </c>
      <c r="L1106" s="76">
        <f>EFEITO!$N$1106*EFEITO!$AA$1106</f>
        <v>204.0679100957843</v>
      </c>
      <c r="M1106" s="76">
        <f>$J$1106-EFEITO!$K$1106*EFEITO!$Y$1106</f>
        <v>0</v>
      </c>
      <c r="N1106" s="76">
        <f ca="1">$K$1106-EFEITO!$M$1106*EFEITO!$Z$1106</f>
        <v>0</v>
      </c>
      <c r="O1106" s="76">
        <f>$L$1106-EFEITO!$O$1106*EFEITO!$AA$1106</f>
        <v>0</v>
      </c>
      <c r="P1106" s="57"/>
      <c r="Q1106" s="57"/>
      <c r="R1106" s="57"/>
      <c r="S1106" s="57"/>
      <c r="T1106" s="57"/>
      <c r="U1106" s="57"/>
      <c r="V1106" s="57"/>
      <c r="W1106" s="57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</row>
    <row r="1107" spans="1:36" ht="11.25" customHeight="1" x14ac:dyDescent="0.2">
      <c r="A1107" s="53" t="s">
        <v>21</v>
      </c>
      <c r="B1107" s="53" t="s">
        <v>37</v>
      </c>
      <c r="C1107" s="53" t="s">
        <v>33</v>
      </c>
      <c r="D1107" s="53" t="s">
        <v>38</v>
      </c>
      <c r="E1107" s="53" t="s">
        <v>25</v>
      </c>
      <c r="F1107" s="53" t="s">
        <v>25</v>
      </c>
      <c r="G1107" s="53" t="s">
        <v>25</v>
      </c>
      <c r="H1107" s="53" t="s">
        <v>34</v>
      </c>
      <c r="I1107" s="75">
        <v>44531</v>
      </c>
      <c r="J1107" s="76">
        <f>EFEITO!$J$1107*EFEITO!$Y$1107</f>
        <v>0</v>
      </c>
      <c r="K1107" s="76">
        <f ca="1">EFEITO!$L$1107*EFEITO!$Z$1107</f>
        <v>298.56399411079053</v>
      </c>
      <c r="L1107" s="76">
        <f>EFEITO!$N$1107*EFEITO!$AA$1107</f>
        <v>135.55939742077103</v>
      </c>
      <c r="M1107" s="76">
        <f>$J$1107-EFEITO!$K$1107*EFEITO!$Y$1107</f>
        <v>0</v>
      </c>
      <c r="N1107" s="76">
        <f ca="1">$K$1107-EFEITO!$M$1107*EFEITO!$Z$1107</f>
        <v>0</v>
      </c>
      <c r="O1107" s="76">
        <f>$L$1107-EFEITO!$O$1107*EFEITO!$AA$1107</f>
        <v>0</v>
      </c>
      <c r="P1107" s="57"/>
      <c r="Q1107" s="57"/>
      <c r="R1107" s="57"/>
      <c r="S1107" s="57"/>
      <c r="T1107" s="57"/>
      <c r="U1107" s="57"/>
      <c r="V1107" s="57"/>
      <c r="W1107" s="57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</row>
    <row r="1108" spans="1:36" ht="11.25" customHeight="1" x14ac:dyDescent="0.2">
      <c r="A1108" s="53" t="s">
        <v>28</v>
      </c>
      <c r="B1108" s="53" t="s">
        <v>37</v>
      </c>
      <c r="C1108" s="53" t="s">
        <v>33</v>
      </c>
      <c r="D1108" s="53" t="s">
        <v>38</v>
      </c>
      <c r="E1108" s="53" t="s">
        <v>25</v>
      </c>
      <c r="F1108" s="53" t="s">
        <v>25</v>
      </c>
      <c r="G1108" s="53" t="s">
        <v>25</v>
      </c>
      <c r="H1108" s="53" t="s">
        <v>34</v>
      </c>
      <c r="I1108" s="75">
        <v>44531</v>
      </c>
      <c r="J1108" s="76">
        <f>EFEITO!$J$1108*EFEITO!$Y$1108</f>
        <v>0</v>
      </c>
      <c r="K1108" s="76">
        <f ca="1">EFEITO!$L$1108*EFEITO!$Z$1108</f>
        <v>192.62193168438097</v>
      </c>
      <c r="L1108" s="76">
        <f>EFEITO!$N$1108*EFEITO!$AA$1108</f>
        <v>87.45767575533614</v>
      </c>
      <c r="M1108" s="76">
        <f>$J$1108-EFEITO!$K$1108*EFEITO!$Y$1108</f>
        <v>0</v>
      </c>
      <c r="N1108" s="76">
        <f ca="1">$K$1108-EFEITO!$M$1108*EFEITO!$Z$1108</f>
        <v>0</v>
      </c>
      <c r="O1108" s="76">
        <f>$L$1108-EFEITO!$O$1108*EFEITO!$AA$1108</f>
        <v>0</v>
      </c>
      <c r="P1108" s="57"/>
      <c r="Q1108" s="57"/>
      <c r="R1108" s="57"/>
      <c r="S1108" s="57"/>
      <c r="T1108" s="57"/>
      <c r="U1108" s="57"/>
      <c r="V1108" s="57"/>
      <c r="W1108" s="57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</row>
    <row r="1109" spans="1:36" ht="11.25" customHeight="1" x14ac:dyDescent="0.2">
      <c r="A1109" s="53" t="s">
        <v>21</v>
      </c>
      <c r="B1109" s="53" t="s">
        <v>37</v>
      </c>
      <c r="C1109" s="53" t="s">
        <v>33</v>
      </c>
      <c r="D1109" s="53" t="s">
        <v>38</v>
      </c>
      <c r="E1109" s="53" t="s">
        <v>25</v>
      </c>
      <c r="F1109" s="53" t="s">
        <v>25</v>
      </c>
      <c r="G1109" s="53" t="s">
        <v>25</v>
      </c>
      <c r="H1109" s="53" t="s">
        <v>34</v>
      </c>
      <c r="I1109" s="75">
        <v>44562</v>
      </c>
      <c r="J1109" s="76">
        <f>EFEITO!$J$1109*EFEITO!$Y$1109</f>
        <v>0</v>
      </c>
      <c r="K1109" s="76">
        <f ca="1">EFEITO!$L$1109*EFEITO!$Z$1109</f>
        <v>240.77741460547622</v>
      </c>
      <c r="L1109" s="76">
        <f>EFEITO!$N$1109*EFEITO!$AA$1109</f>
        <v>109.32209469417018</v>
      </c>
      <c r="M1109" s="76">
        <f>$J$1109-EFEITO!$K$1109*EFEITO!$Y$1109</f>
        <v>0</v>
      </c>
      <c r="N1109" s="76">
        <f ca="1">$K$1109-EFEITO!$M$1109*EFEITO!$Z$1109</f>
        <v>0</v>
      </c>
      <c r="O1109" s="76">
        <f>$L$1109-EFEITO!$O$1109*EFEITO!$AA$1109</f>
        <v>0</v>
      </c>
      <c r="P1109" s="57"/>
      <c r="Q1109" s="57"/>
      <c r="R1109" s="57"/>
      <c r="S1109" s="57"/>
      <c r="T1109" s="57"/>
      <c r="U1109" s="57"/>
      <c r="V1109" s="57"/>
      <c r="W1109" s="57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</row>
    <row r="1110" spans="1:36" ht="11.25" customHeight="1" x14ac:dyDescent="0.2">
      <c r="A1110" s="53" t="s">
        <v>21</v>
      </c>
      <c r="B1110" s="53" t="s">
        <v>37</v>
      </c>
      <c r="C1110" s="53" t="s">
        <v>33</v>
      </c>
      <c r="D1110" s="53" t="s">
        <v>38</v>
      </c>
      <c r="E1110" s="53" t="s">
        <v>25</v>
      </c>
      <c r="F1110" s="53" t="s">
        <v>25</v>
      </c>
      <c r="G1110" s="53" t="s">
        <v>25</v>
      </c>
      <c r="H1110" s="53" t="s">
        <v>34</v>
      </c>
      <c r="I1110" s="75">
        <v>44593</v>
      </c>
      <c r="J1110" s="76">
        <f>EFEITO!$J$1110*EFEITO!$Y$1110</f>
        <v>0</v>
      </c>
      <c r="K1110" s="76">
        <f ca="1">EFEITO!$L$1110*EFEITO!$Z$1110</f>
        <v>238.63717092009421</v>
      </c>
      <c r="L1110" s="76">
        <f>EFEITO!$N$1110*EFEITO!$AA$1110</f>
        <v>108.35034274133311</v>
      </c>
      <c r="M1110" s="76">
        <f>$J$1110-EFEITO!$K$1110*EFEITO!$Y$1110</f>
        <v>0</v>
      </c>
      <c r="N1110" s="76">
        <f ca="1">$K$1110-EFEITO!$M$1110*EFEITO!$Z$1110</f>
        <v>0</v>
      </c>
      <c r="O1110" s="76">
        <f>$L$1110-EFEITO!$O$1110*EFEITO!$AA$1110</f>
        <v>0</v>
      </c>
      <c r="P1110" s="57"/>
      <c r="Q1110" s="57"/>
      <c r="R1110" s="57"/>
      <c r="S1110" s="57"/>
      <c r="T1110" s="57"/>
      <c r="U1110" s="57"/>
      <c r="V1110" s="57"/>
      <c r="W1110" s="57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</row>
    <row r="1111" spans="1:36" ht="11.25" customHeight="1" x14ac:dyDescent="0.2">
      <c r="A1111" s="53" t="s">
        <v>28</v>
      </c>
      <c r="B1111" s="53" t="s">
        <v>37</v>
      </c>
      <c r="C1111" s="53" t="s">
        <v>33</v>
      </c>
      <c r="D1111" s="53" t="s">
        <v>38</v>
      </c>
      <c r="E1111" s="53" t="s">
        <v>25</v>
      </c>
      <c r="F1111" s="53" t="s">
        <v>25</v>
      </c>
      <c r="G1111" s="53" t="s">
        <v>25</v>
      </c>
      <c r="H1111" s="53" t="s">
        <v>34</v>
      </c>
      <c r="I1111" s="75">
        <v>44593</v>
      </c>
      <c r="J1111" s="76">
        <f>EFEITO!$J$1111*EFEITO!$Y$1111</f>
        <v>0</v>
      </c>
      <c r="K1111" s="76">
        <f ca="1">EFEITO!$L$1111*EFEITO!$Z$1111</f>
        <v>96.310965842190484</v>
      </c>
      <c r="L1111" s="76">
        <f>EFEITO!$N$1111*EFEITO!$AA$1111</f>
        <v>43.72883787766807</v>
      </c>
      <c r="M1111" s="76">
        <f>$J$1111-EFEITO!$K$1111*EFEITO!$Y$1111</f>
        <v>0</v>
      </c>
      <c r="N1111" s="76">
        <f ca="1">$K$1111-EFEITO!$M$1111*EFEITO!$Z$1111</f>
        <v>0</v>
      </c>
      <c r="O1111" s="76">
        <f>$L$1111-EFEITO!$O$1111*EFEITO!$AA$1111</f>
        <v>0</v>
      </c>
      <c r="P1111" s="57"/>
      <c r="Q1111" s="57"/>
      <c r="R1111" s="57"/>
      <c r="S1111" s="57"/>
      <c r="T1111" s="57"/>
      <c r="U1111" s="57"/>
      <c r="V1111" s="57"/>
      <c r="W1111" s="57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</row>
    <row r="1112" spans="1:36" ht="11.25" customHeight="1" x14ac:dyDescent="0.2">
      <c r="A1112" s="53" t="s">
        <v>21</v>
      </c>
      <c r="B1112" s="53" t="s">
        <v>37</v>
      </c>
      <c r="C1112" s="53" t="s">
        <v>33</v>
      </c>
      <c r="D1112" s="53" t="s">
        <v>38</v>
      </c>
      <c r="E1112" s="53" t="s">
        <v>25</v>
      </c>
      <c r="F1112" s="53" t="s">
        <v>25</v>
      </c>
      <c r="G1112" s="53" t="s">
        <v>25</v>
      </c>
      <c r="H1112" s="53" t="s">
        <v>34</v>
      </c>
      <c r="I1112" s="75">
        <v>44621</v>
      </c>
      <c r="J1112" s="76">
        <f>EFEITO!$J$1112*EFEITO!$Y$1112</f>
        <v>0</v>
      </c>
      <c r="K1112" s="76">
        <f ca="1">EFEITO!$L$1112*EFEITO!$Z$1112</f>
        <v>287.8627756838805</v>
      </c>
      <c r="L1112" s="76">
        <f>EFEITO!$N$1112*EFEITO!$AA$1112</f>
        <v>130.70063765658568</v>
      </c>
      <c r="M1112" s="76">
        <f>$J$1112-EFEITO!$K$1112*EFEITO!$Y$1112</f>
        <v>0</v>
      </c>
      <c r="N1112" s="76">
        <f ca="1">$K$1112-EFEITO!$M$1112*EFEITO!$Z$1112</f>
        <v>0</v>
      </c>
      <c r="O1112" s="76">
        <f>$L$1112-EFEITO!$O$1112*EFEITO!$AA$1112</f>
        <v>0</v>
      </c>
      <c r="P1112" s="57"/>
      <c r="Q1112" s="57"/>
      <c r="R1112" s="57"/>
      <c r="S1112" s="57"/>
      <c r="T1112" s="57"/>
      <c r="U1112" s="57"/>
      <c r="V1112" s="57"/>
      <c r="W1112" s="57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</row>
    <row r="1113" spans="1:36" ht="11.25" customHeight="1" x14ac:dyDescent="0.2">
      <c r="A1113" s="53" t="s">
        <v>28</v>
      </c>
      <c r="B1113" s="53" t="s">
        <v>37</v>
      </c>
      <c r="C1113" s="53" t="s">
        <v>33</v>
      </c>
      <c r="D1113" s="53" t="s">
        <v>38</v>
      </c>
      <c r="E1113" s="53" t="s">
        <v>25</v>
      </c>
      <c r="F1113" s="53" t="s">
        <v>25</v>
      </c>
      <c r="G1113" s="53" t="s">
        <v>25</v>
      </c>
      <c r="H1113" s="53" t="s">
        <v>34</v>
      </c>
      <c r="I1113" s="75">
        <v>44621</v>
      </c>
      <c r="J1113" s="76">
        <f>EFEITO!$J$1113*EFEITO!$Y$1113</f>
        <v>0</v>
      </c>
      <c r="K1113" s="76">
        <f ca="1">EFEITO!$L$1113*EFEITO!$Z$1113</f>
        <v>96.310965842190484</v>
      </c>
      <c r="L1113" s="76">
        <f>EFEITO!$N$1113*EFEITO!$AA$1113</f>
        <v>43.72883787766807</v>
      </c>
      <c r="M1113" s="76">
        <f>$J$1113-EFEITO!$K$1113*EFEITO!$Y$1113</f>
        <v>0</v>
      </c>
      <c r="N1113" s="76">
        <f ca="1">$K$1113-EFEITO!$M$1113*EFEITO!$Z$1113</f>
        <v>0</v>
      </c>
      <c r="O1113" s="76">
        <f>$L$1113-EFEITO!$O$1113*EFEITO!$AA$1113</f>
        <v>0</v>
      </c>
      <c r="P1113" s="57"/>
      <c r="Q1113" s="57"/>
      <c r="R1113" s="57"/>
      <c r="S1113" s="57"/>
      <c r="T1113" s="57"/>
      <c r="U1113" s="57"/>
      <c r="V1113" s="57"/>
      <c r="W1113" s="57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</row>
    <row r="1114" spans="1:36" ht="11.25" customHeight="1" x14ac:dyDescent="0.2">
      <c r="A1114" s="53" t="s">
        <v>21</v>
      </c>
      <c r="B1114" s="53" t="s">
        <v>37</v>
      </c>
      <c r="C1114" s="53" t="s">
        <v>33</v>
      </c>
      <c r="D1114" s="53" t="s">
        <v>38</v>
      </c>
      <c r="E1114" s="53" t="s">
        <v>25</v>
      </c>
      <c r="F1114" s="53" t="s">
        <v>25</v>
      </c>
      <c r="G1114" s="53" t="s">
        <v>25</v>
      </c>
      <c r="H1114" s="53" t="s">
        <v>34</v>
      </c>
      <c r="I1114" s="75">
        <v>44652</v>
      </c>
      <c r="J1114" s="76">
        <f>EFEITO!$J$1114*EFEITO!$Y$1114</f>
        <v>0</v>
      </c>
      <c r="K1114" s="76">
        <f ca="1">EFEITO!$L$1114*EFEITO!$Z$1114</f>
        <v>261.10972961660531</v>
      </c>
      <c r="L1114" s="76">
        <f>EFEITO!$N$1114*EFEITO!$AA$1114</f>
        <v>118.55373824612232</v>
      </c>
      <c r="M1114" s="76">
        <f>$J$1114-EFEITO!$K$1114*EFEITO!$Y$1114</f>
        <v>0</v>
      </c>
      <c r="N1114" s="76">
        <f ca="1">$K$1114-EFEITO!$M$1114*EFEITO!$Z$1114</f>
        <v>0</v>
      </c>
      <c r="O1114" s="76">
        <f>$L$1114-EFEITO!$O$1114*EFEITO!$AA$1114</f>
        <v>0</v>
      </c>
      <c r="P1114" s="57"/>
      <c r="Q1114" s="57"/>
      <c r="R1114" s="57"/>
      <c r="S1114" s="57"/>
      <c r="T1114" s="57"/>
      <c r="U1114" s="57"/>
      <c r="V1114" s="57"/>
      <c r="W1114" s="57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</row>
    <row r="1115" spans="1:36" ht="11.25" customHeight="1" x14ac:dyDescent="0.2">
      <c r="A1115" s="53" t="s">
        <v>21</v>
      </c>
      <c r="B1115" s="53" t="s">
        <v>37</v>
      </c>
      <c r="C1115" s="53" t="s">
        <v>33</v>
      </c>
      <c r="D1115" s="53" t="s">
        <v>38</v>
      </c>
      <c r="E1115" s="53" t="s">
        <v>25</v>
      </c>
      <c r="F1115" s="53" t="s">
        <v>25</v>
      </c>
      <c r="G1115" s="53" t="s">
        <v>25</v>
      </c>
      <c r="H1115" s="53" t="s">
        <v>34</v>
      </c>
      <c r="I1115" s="75">
        <v>44682</v>
      </c>
      <c r="J1115" s="76">
        <f>EFEITO!$J$1115*EFEITO!$Y$1115</f>
        <v>0</v>
      </c>
      <c r="K1115" s="76">
        <f ca="1">EFEITO!$L$1115*EFEITO!$Z$1115</f>
        <v>358.49081730148686</v>
      </c>
      <c r="L1115" s="76">
        <f>EFEITO!$N$1115*EFEITO!$AA$1115</f>
        <v>162.76845210020892</v>
      </c>
      <c r="M1115" s="76">
        <f>$J$1115-EFEITO!$K$1115*EFEITO!$Y$1115</f>
        <v>0</v>
      </c>
      <c r="N1115" s="76">
        <f ca="1">$K$1115-EFEITO!$M$1115*EFEITO!$Z$1115</f>
        <v>0</v>
      </c>
      <c r="O1115" s="76">
        <f>$L$1115-EFEITO!$O$1115*EFEITO!$AA$1115</f>
        <v>0</v>
      </c>
      <c r="P1115" s="57"/>
      <c r="Q1115" s="57"/>
      <c r="R1115" s="57"/>
      <c r="S1115" s="57"/>
      <c r="T1115" s="57"/>
      <c r="U1115" s="57"/>
      <c r="V1115" s="57"/>
      <c r="W1115" s="57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</row>
    <row r="1116" spans="1:36" ht="11.25" customHeight="1" x14ac:dyDescent="0.2">
      <c r="A1116" s="53" t="s">
        <v>28</v>
      </c>
      <c r="B1116" s="53" t="s">
        <v>37</v>
      </c>
      <c r="C1116" s="53" t="s">
        <v>33</v>
      </c>
      <c r="D1116" s="53" t="s">
        <v>38</v>
      </c>
      <c r="E1116" s="53" t="s">
        <v>25</v>
      </c>
      <c r="F1116" s="53" t="s">
        <v>25</v>
      </c>
      <c r="G1116" s="53" t="s">
        <v>25</v>
      </c>
      <c r="H1116" s="53" t="s">
        <v>34</v>
      </c>
      <c r="I1116" s="75">
        <v>44682</v>
      </c>
      <c r="J1116" s="76">
        <f>EFEITO!$J$1116*EFEITO!$Y$1116</f>
        <v>0</v>
      </c>
      <c r="K1116" s="76">
        <f ca="1">EFEITO!$L$1116*EFEITO!$Z$1116</f>
        <v>64.207310561460318</v>
      </c>
      <c r="L1116" s="76">
        <f>EFEITO!$N$1116*EFEITO!$AA$1116</f>
        <v>29.152558585112043</v>
      </c>
      <c r="M1116" s="76">
        <f>$J$1116-EFEITO!$K$1116*EFEITO!$Y$1116</f>
        <v>0</v>
      </c>
      <c r="N1116" s="76">
        <f ca="1">$K$1116-EFEITO!$M$1116*EFEITO!$Z$1116</f>
        <v>0</v>
      </c>
      <c r="O1116" s="76">
        <f>$L$1116-EFEITO!$O$1116*EFEITO!$AA$1116</f>
        <v>0</v>
      </c>
      <c r="P1116" s="57"/>
      <c r="Q1116" s="57"/>
      <c r="R1116" s="57"/>
      <c r="S1116" s="57"/>
      <c r="T1116" s="57"/>
      <c r="U1116" s="57"/>
      <c r="V1116" s="57"/>
      <c r="W1116" s="57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</row>
    <row r="1117" spans="1:36" ht="11.25" customHeight="1" x14ac:dyDescent="0.2">
      <c r="A1117" s="53" t="s">
        <v>21</v>
      </c>
      <c r="B1117" s="53" t="s">
        <v>37</v>
      </c>
      <c r="C1117" s="53" t="s">
        <v>33</v>
      </c>
      <c r="D1117" s="53" t="s">
        <v>38</v>
      </c>
      <c r="E1117" s="53" t="s">
        <v>25</v>
      </c>
      <c r="F1117" s="53" t="s">
        <v>25</v>
      </c>
      <c r="G1117" s="53" t="s">
        <v>25</v>
      </c>
      <c r="H1117" s="53" t="s">
        <v>34</v>
      </c>
      <c r="I1117" s="75">
        <v>44713</v>
      </c>
      <c r="J1117" s="76">
        <f>EFEITO!$J$1117*EFEITO!$Y$1117</f>
        <v>0</v>
      </c>
      <c r="K1117" s="76">
        <f ca="1">EFEITO!$L$1117*EFEITO!$Z$1117</f>
        <v>222.58534327972913</v>
      </c>
      <c r="L1117" s="76">
        <f>EFEITO!$N$1117*EFEITO!$AA$1117</f>
        <v>101.06220309505508</v>
      </c>
      <c r="M1117" s="76">
        <f>$J$1117-EFEITO!$K$1117*EFEITO!$Y$1117</f>
        <v>0</v>
      </c>
      <c r="N1117" s="76">
        <f ca="1">$K$1117-EFEITO!$M$1117*EFEITO!$Z$1117</f>
        <v>0</v>
      </c>
      <c r="O1117" s="76">
        <f>$L$1117-EFEITO!$O$1117*EFEITO!$AA$1117</f>
        <v>0</v>
      </c>
      <c r="P1117" s="57"/>
      <c r="Q1117" s="57"/>
      <c r="R1117" s="57"/>
      <c r="S1117" s="57"/>
      <c r="T1117" s="57"/>
      <c r="U1117" s="57"/>
      <c r="V1117" s="57"/>
      <c r="W1117" s="57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</row>
    <row r="1118" spans="1:36" ht="11.25" customHeight="1" x14ac:dyDescent="0.2">
      <c r="A1118" s="53" t="s">
        <v>28</v>
      </c>
      <c r="B1118" s="53" t="s">
        <v>37</v>
      </c>
      <c r="C1118" s="53" t="s">
        <v>33</v>
      </c>
      <c r="D1118" s="53" t="s">
        <v>38</v>
      </c>
      <c r="E1118" s="53" t="s">
        <v>25</v>
      </c>
      <c r="F1118" s="53" t="s">
        <v>25</v>
      </c>
      <c r="G1118" s="53" t="s">
        <v>25</v>
      </c>
      <c r="H1118" s="53" t="s">
        <v>34</v>
      </c>
      <c r="I1118" s="75">
        <v>44713</v>
      </c>
      <c r="J1118" s="76">
        <f>EFEITO!$J$1118*EFEITO!$Y$1118</f>
        <v>0</v>
      </c>
      <c r="K1118" s="76">
        <f ca="1">EFEITO!$L$1118*EFEITO!$Z$1118</f>
        <v>64.207310561460318</v>
      </c>
      <c r="L1118" s="76">
        <f>EFEITO!$N$1118*EFEITO!$AA$1118</f>
        <v>29.152558585112043</v>
      </c>
      <c r="M1118" s="76">
        <f>$J$1118-EFEITO!$K$1118*EFEITO!$Y$1118</f>
        <v>0</v>
      </c>
      <c r="N1118" s="76">
        <f ca="1">$K$1118-EFEITO!$M$1118*EFEITO!$Z$1118</f>
        <v>0</v>
      </c>
      <c r="O1118" s="76">
        <f>$L$1118-EFEITO!$O$1118*EFEITO!$AA$1118</f>
        <v>0</v>
      </c>
      <c r="P1118" s="57"/>
      <c r="Q1118" s="57"/>
      <c r="R1118" s="57"/>
      <c r="S1118" s="57"/>
      <c r="T1118" s="57"/>
      <c r="U1118" s="57"/>
      <c r="V1118" s="57"/>
      <c r="W1118" s="57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</row>
    <row r="1119" spans="1:36" ht="11.25" customHeight="1" x14ac:dyDescent="0.2">
      <c r="A1119" s="53" t="s">
        <v>21</v>
      </c>
      <c r="B1119" s="53" t="s">
        <v>37</v>
      </c>
      <c r="C1119" s="53" t="s">
        <v>33</v>
      </c>
      <c r="D1119" s="53" t="s">
        <v>38</v>
      </c>
      <c r="E1119" s="53" t="s">
        <v>25</v>
      </c>
      <c r="F1119" s="53" t="s">
        <v>25</v>
      </c>
      <c r="G1119" s="53" t="s">
        <v>25</v>
      </c>
      <c r="H1119" s="53" t="s">
        <v>34</v>
      </c>
      <c r="I1119" s="75">
        <v>44743</v>
      </c>
      <c r="J1119" s="76">
        <f>EFEITO!$J$1119*EFEITO!$Y$1119</f>
        <v>0</v>
      </c>
      <c r="K1119" s="76">
        <f ca="1">EFEITO!$L$1119*EFEITO!$Z$1119</f>
        <v>483.69507289633447</v>
      </c>
      <c r="L1119" s="76">
        <f>EFEITO!$N$1119*EFEITO!$AA$1119</f>
        <v>219.6159413411774</v>
      </c>
      <c r="M1119" s="76">
        <f>$J$1119-EFEITO!$K$1119*EFEITO!$Y$1119</f>
        <v>0</v>
      </c>
      <c r="N1119" s="76">
        <f ca="1">$K$1119-EFEITO!$M$1119*EFEITO!$Z$1119</f>
        <v>0</v>
      </c>
      <c r="O1119" s="76">
        <f>$L$1119-EFEITO!$O$1119*EFEITO!$AA$1119</f>
        <v>0</v>
      </c>
      <c r="P1119" s="57"/>
      <c r="Q1119" s="57"/>
      <c r="R1119" s="57"/>
      <c r="S1119" s="57"/>
      <c r="T1119" s="57"/>
      <c r="U1119" s="57"/>
      <c r="V1119" s="57"/>
      <c r="W1119" s="57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</row>
    <row r="1120" spans="1:36" ht="11.25" customHeight="1" x14ac:dyDescent="0.2">
      <c r="A1120" s="53" t="s">
        <v>28</v>
      </c>
      <c r="B1120" s="53" t="s">
        <v>37</v>
      </c>
      <c r="C1120" s="53" t="s">
        <v>33</v>
      </c>
      <c r="D1120" s="53" t="s">
        <v>38</v>
      </c>
      <c r="E1120" s="53" t="s">
        <v>25</v>
      </c>
      <c r="F1120" s="53" t="s">
        <v>25</v>
      </c>
      <c r="G1120" s="53" t="s">
        <v>25</v>
      </c>
      <c r="H1120" s="53" t="s">
        <v>34</v>
      </c>
      <c r="I1120" s="75">
        <v>44743</v>
      </c>
      <c r="J1120" s="76">
        <f>EFEITO!$J$1120*EFEITO!$Y$1120</f>
        <v>0</v>
      </c>
      <c r="K1120" s="76">
        <f ca="1">EFEITO!$L$1120*EFEITO!$Z$1120</f>
        <v>353.14020808803178</v>
      </c>
      <c r="L1120" s="76">
        <f>EFEITO!$N$1120*EFEITO!$AA$1120</f>
        <v>160.33907221811626</v>
      </c>
      <c r="M1120" s="76">
        <f>$J$1120-EFEITO!$K$1120*EFEITO!$Y$1120</f>
        <v>0</v>
      </c>
      <c r="N1120" s="76">
        <f ca="1">$K$1120-EFEITO!$M$1120*EFEITO!$Z$1120</f>
        <v>0</v>
      </c>
      <c r="O1120" s="76">
        <f>$L$1120-EFEITO!$O$1120*EFEITO!$AA$1120</f>
        <v>0</v>
      </c>
      <c r="P1120" s="57"/>
      <c r="Q1120" s="57"/>
      <c r="R1120" s="57"/>
      <c r="S1120" s="57"/>
      <c r="T1120" s="57"/>
      <c r="U1120" s="57"/>
      <c r="V1120" s="57"/>
      <c r="W1120" s="57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</row>
    <row r="1121" spans="1:36" ht="11.25" customHeight="1" x14ac:dyDescent="0.2">
      <c r="A1121" s="53" t="s">
        <v>56</v>
      </c>
      <c r="B1121" s="53" t="s">
        <v>37</v>
      </c>
      <c r="C1121" s="53" t="s">
        <v>33</v>
      </c>
      <c r="D1121" s="53" t="s">
        <v>38</v>
      </c>
      <c r="E1121" s="53" t="s">
        <v>25</v>
      </c>
      <c r="F1121" s="53" t="s">
        <v>25</v>
      </c>
      <c r="G1121" s="53" t="s">
        <v>25</v>
      </c>
      <c r="H1121" s="53" t="s">
        <v>34</v>
      </c>
      <c r="I1121" s="75">
        <v>44774</v>
      </c>
      <c r="J1121" s="76">
        <f>EFEITO!$J$1121*EFEITO!$Y$1121</f>
        <v>0</v>
      </c>
      <c r="K1121" s="76">
        <f ca="1">EFEITO!$L$1121*EFEITO!$Z$1121</f>
        <v>483.69507289633447</v>
      </c>
      <c r="L1121" s="76">
        <f>EFEITO!$N$1121*EFEITO!$AA$1121</f>
        <v>219.6159413411774</v>
      </c>
      <c r="M1121" s="76">
        <f>$J$1121-EFEITO!$K$1121*EFEITO!$Y$1121</f>
        <v>0</v>
      </c>
      <c r="N1121" s="76">
        <f ca="1">$K$1121-EFEITO!$M$1121*EFEITO!$Z$1121</f>
        <v>0</v>
      </c>
      <c r="O1121" s="76">
        <f>$L$1121-EFEITO!$O$1121*EFEITO!$AA$1121</f>
        <v>0</v>
      </c>
      <c r="P1121" s="57"/>
      <c r="Q1121" s="57"/>
      <c r="R1121" s="57"/>
      <c r="S1121" s="57"/>
      <c r="T1121" s="57"/>
      <c r="U1121" s="57"/>
      <c r="V1121" s="57"/>
      <c r="W1121" s="57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</row>
    <row r="1122" spans="1:36" ht="11.25" customHeight="1" x14ac:dyDescent="0.2">
      <c r="A1122" s="53" t="s">
        <v>56</v>
      </c>
      <c r="B1122" s="53" t="s">
        <v>37</v>
      </c>
      <c r="C1122" s="53" t="s">
        <v>33</v>
      </c>
      <c r="D1122" s="53" t="s">
        <v>38</v>
      </c>
      <c r="E1122" s="53" t="s">
        <v>25</v>
      </c>
      <c r="F1122" s="53" t="s">
        <v>25</v>
      </c>
      <c r="G1122" s="53" t="s">
        <v>25</v>
      </c>
      <c r="H1122" s="53" t="s">
        <v>34</v>
      </c>
      <c r="I1122" s="75">
        <v>44774</v>
      </c>
      <c r="J1122" s="76">
        <f>EFEITO!$J$1122*EFEITO!$Y$1122</f>
        <v>0</v>
      </c>
      <c r="K1122" s="76">
        <f ca="1">EFEITO!$L$1122*EFEITO!$Z$1122</f>
        <v>353.14020808803178</v>
      </c>
      <c r="L1122" s="76">
        <f>EFEITO!$N$1122*EFEITO!$AA$1122</f>
        <v>160.33907221811626</v>
      </c>
      <c r="M1122" s="76">
        <f>$J$1122-EFEITO!$K$1122*EFEITO!$Y$1122</f>
        <v>0</v>
      </c>
      <c r="N1122" s="76">
        <f ca="1">$K$1122-EFEITO!$M$1122*EFEITO!$Z$1122</f>
        <v>0</v>
      </c>
      <c r="O1122" s="76">
        <f>$L$1122-EFEITO!$O$1122*EFEITO!$AA$1122</f>
        <v>0</v>
      </c>
      <c r="P1122" s="57"/>
      <c r="Q1122" s="57"/>
      <c r="R1122" s="57"/>
      <c r="S1122" s="57"/>
      <c r="T1122" s="57"/>
      <c r="U1122" s="57"/>
      <c r="V1122" s="57"/>
      <c r="W1122" s="57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</row>
    <row r="1123" spans="1:36" ht="11.25" customHeight="1" x14ac:dyDescent="0.2">
      <c r="A1123" s="53" t="s">
        <v>21</v>
      </c>
      <c r="B1123" s="53" t="s">
        <v>37</v>
      </c>
      <c r="C1123" s="53" t="s">
        <v>23</v>
      </c>
      <c r="D1123" s="53" t="s">
        <v>41</v>
      </c>
      <c r="E1123" s="53" t="s">
        <v>25</v>
      </c>
      <c r="F1123" s="53" t="s">
        <v>25</v>
      </c>
      <c r="G1123" s="53" t="s">
        <v>25</v>
      </c>
      <c r="H1123" s="53" t="s">
        <v>25</v>
      </c>
      <c r="I1123" s="75">
        <v>44440</v>
      </c>
      <c r="J1123" s="76">
        <f>EFEITO!$J$1123*EFEITO!$Y$1123</f>
        <v>0</v>
      </c>
      <c r="K1123" s="76">
        <f ca="1">EFEITO!$L$1123*EFEITO!$Z$1123</f>
        <v>2092580.8371252264</v>
      </c>
      <c r="L1123" s="76">
        <f>EFEITO!$N$1123*EFEITO!$AA$1123</f>
        <v>1539845.9126159477</v>
      </c>
      <c r="M1123" s="76">
        <f>$J$1123-EFEITO!$K$1123*EFEITO!$Y$1123</f>
        <v>0</v>
      </c>
      <c r="N1123" s="76">
        <f ca="1">$K$1123-EFEITO!$M$1123*EFEITO!$Z$1123</f>
        <v>0</v>
      </c>
      <c r="O1123" s="76">
        <f>$L$1123-EFEITO!$O$1123*EFEITO!$AA$1123</f>
        <v>0</v>
      </c>
      <c r="P1123" s="57"/>
      <c r="Q1123" s="57"/>
      <c r="R1123" s="57"/>
      <c r="S1123" s="57"/>
      <c r="T1123" s="57"/>
      <c r="U1123" s="57"/>
      <c r="V1123" s="57"/>
      <c r="W1123" s="57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</row>
    <row r="1124" spans="1:36" ht="11.25" customHeight="1" x14ac:dyDescent="0.2">
      <c r="A1124" s="53" t="s">
        <v>27</v>
      </c>
      <c r="B1124" s="53" t="s">
        <v>37</v>
      </c>
      <c r="C1124" s="53" t="s">
        <v>23</v>
      </c>
      <c r="D1124" s="53" t="s">
        <v>41</v>
      </c>
      <c r="E1124" s="53" t="s">
        <v>25</v>
      </c>
      <c r="F1124" s="53" t="s">
        <v>25</v>
      </c>
      <c r="G1124" s="53" t="s">
        <v>25</v>
      </c>
      <c r="H1124" s="53" t="s">
        <v>25</v>
      </c>
      <c r="I1124" s="75">
        <v>44440</v>
      </c>
      <c r="J1124" s="76">
        <f>EFEITO!$J$1124*EFEITO!$Y$1124</f>
        <v>0</v>
      </c>
      <c r="K1124" s="76">
        <f ca="1">EFEITO!$L$1124*EFEITO!$Z$1124</f>
        <v>-108.70077731300742</v>
      </c>
      <c r="L1124" s="76">
        <f>EFEITO!$N$1124*EFEITO!$AA$1124</f>
        <v>-79.988521673341751</v>
      </c>
      <c r="M1124" s="76">
        <f>$J$1124-EFEITO!$K$1124*EFEITO!$Y$1124</f>
        <v>0</v>
      </c>
      <c r="N1124" s="76">
        <f ca="1">$K$1124-EFEITO!$M$1124*EFEITO!$Z$1124</f>
        <v>0</v>
      </c>
      <c r="O1124" s="76">
        <f>$L$1124-EFEITO!$O$1124*EFEITO!$AA$1124</f>
        <v>0</v>
      </c>
      <c r="P1124" s="57"/>
      <c r="Q1124" s="57"/>
      <c r="R1124" s="57"/>
      <c r="S1124" s="57"/>
      <c r="T1124" s="57"/>
      <c r="U1124" s="57"/>
      <c r="V1124" s="57"/>
      <c r="W1124" s="57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</row>
    <row r="1125" spans="1:36" ht="11.25" customHeight="1" x14ac:dyDescent="0.2">
      <c r="A1125" s="53" t="s">
        <v>28</v>
      </c>
      <c r="B1125" s="53" t="s">
        <v>37</v>
      </c>
      <c r="C1125" s="53" t="s">
        <v>23</v>
      </c>
      <c r="D1125" s="53" t="s">
        <v>41</v>
      </c>
      <c r="E1125" s="53" t="s">
        <v>25</v>
      </c>
      <c r="F1125" s="53" t="s">
        <v>25</v>
      </c>
      <c r="G1125" s="53" t="s">
        <v>25</v>
      </c>
      <c r="H1125" s="53" t="s">
        <v>25</v>
      </c>
      <c r="I1125" s="75">
        <v>44440</v>
      </c>
      <c r="J1125" s="76">
        <f>EFEITO!$J$1125*EFEITO!$Y$1125</f>
        <v>0</v>
      </c>
      <c r="K1125" s="76">
        <f ca="1">EFEITO!$L$1125*EFEITO!$Z$1125</f>
        <v>65653.09548151023</v>
      </c>
      <c r="L1125" s="76">
        <f>EFEITO!$N$1125*EFEITO!$AA$1125</f>
        <v>48311.46732026495</v>
      </c>
      <c r="M1125" s="76">
        <f>$J$1125-EFEITO!$K$1125*EFEITO!$Y$1125</f>
        <v>0</v>
      </c>
      <c r="N1125" s="76">
        <f ca="1">$K$1125-EFEITO!$M$1125*EFEITO!$Z$1125</f>
        <v>0</v>
      </c>
      <c r="O1125" s="76">
        <f>$L$1125-EFEITO!$O$1125*EFEITO!$AA$1125</f>
        <v>0</v>
      </c>
      <c r="P1125" s="57"/>
      <c r="Q1125" s="57"/>
      <c r="R1125" s="57"/>
      <c r="S1125" s="57"/>
      <c r="T1125" s="57"/>
      <c r="U1125" s="57"/>
      <c r="V1125" s="57"/>
      <c r="W1125" s="57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</row>
    <row r="1126" spans="1:36" ht="11.25" customHeight="1" x14ac:dyDescent="0.2">
      <c r="A1126" s="53" t="s">
        <v>21</v>
      </c>
      <c r="B1126" s="53" t="s">
        <v>37</v>
      </c>
      <c r="C1126" s="53" t="s">
        <v>23</v>
      </c>
      <c r="D1126" s="53" t="s">
        <v>41</v>
      </c>
      <c r="E1126" s="53" t="s">
        <v>25</v>
      </c>
      <c r="F1126" s="53" t="s">
        <v>25</v>
      </c>
      <c r="G1126" s="53" t="s">
        <v>25</v>
      </c>
      <c r="H1126" s="53" t="s">
        <v>25</v>
      </c>
      <c r="I1126" s="75">
        <v>44470</v>
      </c>
      <c r="J1126" s="76">
        <f>EFEITO!$J$1126*EFEITO!$Y$1126</f>
        <v>0</v>
      </c>
      <c r="K1126" s="76">
        <f ca="1">EFEITO!$L$1126*EFEITO!$Z$1126</f>
        <v>2255962.0186546599</v>
      </c>
      <c r="L1126" s="76">
        <f>EFEITO!$N$1126*EFEITO!$AA$1126</f>
        <v>1660071.5402777605</v>
      </c>
      <c r="M1126" s="76">
        <f>$J$1126-EFEITO!$K$1126*EFEITO!$Y$1126</f>
        <v>0</v>
      </c>
      <c r="N1126" s="76">
        <f ca="1">$K$1126-EFEITO!$M$1126*EFEITO!$Z$1126</f>
        <v>0</v>
      </c>
      <c r="O1126" s="76">
        <f>$L$1126-EFEITO!$O$1126*EFEITO!$AA$1126</f>
        <v>0</v>
      </c>
      <c r="P1126" s="57"/>
      <c r="Q1126" s="57"/>
      <c r="R1126" s="57"/>
      <c r="S1126" s="57"/>
      <c r="T1126" s="57"/>
      <c r="U1126" s="57"/>
      <c r="V1126" s="57"/>
      <c r="W1126" s="57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</row>
    <row r="1127" spans="1:36" ht="11.25" customHeight="1" x14ac:dyDescent="0.2">
      <c r="A1127" s="53" t="s">
        <v>27</v>
      </c>
      <c r="B1127" s="53" t="s">
        <v>37</v>
      </c>
      <c r="C1127" s="53" t="s">
        <v>23</v>
      </c>
      <c r="D1127" s="53" t="s">
        <v>41</v>
      </c>
      <c r="E1127" s="53" t="s">
        <v>25</v>
      </c>
      <c r="F1127" s="53" t="s">
        <v>25</v>
      </c>
      <c r="G1127" s="53" t="s">
        <v>25</v>
      </c>
      <c r="H1127" s="53" t="s">
        <v>25</v>
      </c>
      <c r="I1127" s="75">
        <v>44470</v>
      </c>
      <c r="J1127" s="76">
        <f>EFEITO!$J$1127*EFEITO!$Y$1127</f>
        <v>0</v>
      </c>
      <c r="K1127" s="76">
        <f ca="1">EFEITO!$L$1127*EFEITO!$Z$1127</f>
        <v>193.05258050790118</v>
      </c>
      <c r="L1127" s="76">
        <f>EFEITO!$N$1127*EFEITO!$AA$1127</f>
        <v>142.05961449185494</v>
      </c>
      <c r="M1127" s="76">
        <f>$J$1127-EFEITO!$K$1127*EFEITO!$Y$1127</f>
        <v>0</v>
      </c>
      <c r="N1127" s="76">
        <f ca="1">$K$1127-EFEITO!$M$1127*EFEITO!$Z$1127</f>
        <v>0</v>
      </c>
      <c r="O1127" s="76">
        <f>$L$1127-EFEITO!$O$1127*EFEITO!$AA$1127</f>
        <v>0</v>
      </c>
      <c r="P1127" s="57"/>
      <c r="Q1127" s="57"/>
      <c r="R1127" s="57"/>
      <c r="S1127" s="57"/>
      <c r="T1127" s="57"/>
      <c r="U1127" s="57"/>
      <c r="V1127" s="57"/>
      <c r="W1127" s="57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</row>
    <row r="1128" spans="1:36" ht="11.25" customHeight="1" x14ac:dyDescent="0.2">
      <c r="A1128" s="53" t="s">
        <v>28</v>
      </c>
      <c r="B1128" s="53" t="s">
        <v>37</v>
      </c>
      <c r="C1128" s="53" t="s">
        <v>23</v>
      </c>
      <c r="D1128" s="53" t="s">
        <v>41</v>
      </c>
      <c r="E1128" s="53" t="s">
        <v>25</v>
      </c>
      <c r="F1128" s="53" t="s">
        <v>25</v>
      </c>
      <c r="G1128" s="53" t="s">
        <v>25</v>
      </c>
      <c r="H1128" s="53" t="s">
        <v>25</v>
      </c>
      <c r="I1128" s="75">
        <v>44470</v>
      </c>
      <c r="J1128" s="76">
        <f>EFEITO!$J$1128*EFEITO!$Y$1128</f>
        <v>0</v>
      </c>
      <c r="K1128" s="76">
        <f ca="1">EFEITO!$L$1128*EFEITO!$Z$1128</f>
        <v>84690.949620110347</v>
      </c>
      <c r="L1128" s="76">
        <f>EFEITO!$N$1128*EFEITO!$AA$1128</f>
        <v>62320.657006134024</v>
      </c>
      <c r="M1128" s="76">
        <f>$J$1128-EFEITO!$K$1128*EFEITO!$Y$1128</f>
        <v>0</v>
      </c>
      <c r="N1128" s="76">
        <f ca="1">$K$1128-EFEITO!$M$1128*EFEITO!$Z$1128</f>
        <v>0</v>
      </c>
      <c r="O1128" s="76">
        <f>$L$1128-EFEITO!$O$1128*EFEITO!$AA$1128</f>
        <v>0</v>
      </c>
      <c r="P1128" s="57"/>
      <c r="Q1128" s="57"/>
      <c r="R1128" s="57"/>
      <c r="S1128" s="57"/>
      <c r="T1128" s="57"/>
      <c r="U1128" s="57"/>
      <c r="V1128" s="57"/>
      <c r="W1128" s="57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</row>
    <row r="1129" spans="1:36" ht="11.25" customHeight="1" x14ac:dyDescent="0.2">
      <c r="A1129" s="53" t="s">
        <v>21</v>
      </c>
      <c r="B1129" s="53" t="s">
        <v>37</v>
      </c>
      <c r="C1129" s="53" t="s">
        <v>23</v>
      </c>
      <c r="D1129" s="53" t="s">
        <v>41</v>
      </c>
      <c r="E1129" s="53" t="s">
        <v>25</v>
      </c>
      <c r="F1129" s="53" t="s">
        <v>25</v>
      </c>
      <c r="G1129" s="53" t="s">
        <v>25</v>
      </c>
      <c r="H1129" s="53" t="s">
        <v>25</v>
      </c>
      <c r="I1129" s="75">
        <v>44501</v>
      </c>
      <c r="J1129" s="76">
        <f>EFEITO!$J$1129*EFEITO!$Y$1129</f>
        <v>0</v>
      </c>
      <c r="K1129" s="76">
        <f ca="1">EFEITO!$L$1129*EFEITO!$Z$1129</f>
        <v>2170643.2133447896</v>
      </c>
      <c r="L1129" s="76">
        <f>EFEITO!$N$1129*EFEITO!$AA$1129</f>
        <v>1597288.8695704411</v>
      </c>
      <c r="M1129" s="76">
        <f>$J$1129-EFEITO!$K$1129*EFEITO!$Y$1129</f>
        <v>0</v>
      </c>
      <c r="N1129" s="76">
        <f ca="1">$K$1129-EFEITO!$M$1129*EFEITO!$Z$1129</f>
        <v>0</v>
      </c>
      <c r="O1129" s="76">
        <f>$L$1129-EFEITO!$O$1129*EFEITO!$AA$1129</f>
        <v>0</v>
      </c>
      <c r="P1129" s="57"/>
      <c r="Q1129" s="57"/>
      <c r="R1129" s="57"/>
      <c r="S1129" s="57"/>
      <c r="T1129" s="57"/>
      <c r="U1129" s="57"/>
      <c r="V1129" s="57"/>
      <c r="W1129" s="57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</row>
    <row r="1130" spans="1:36" ht="11.25" customHeight="1" x14ac:dyDescent="0.2">
      <c r="A1130" s="53" t="s">
        <v>27</v>
      </c>
      <c r="B1130" s="53" t="s">
        <v>37</v>
      </c>
      <c r="C1130" s="53" t="s">
        <v>23</v>
      </c>
      <c r="D1130" s="53" t="s">
        <v>41</v>
      </c>
      <c r="E1130" s="53" t="s">
        <v>25</v>
      </c>
      <c r="F1130" s="53" t="s">
        <v>25</v>
      </c>
      <c r="G1130" s="53" t="s">
        <v>25</v>
      </c>
      <c r="H1130" s="53" t="s">
        <v>25</v>
      </c>
      <c r="I1130" s="75">
        <v>44501</v>
      </c>
      <c r="J1130" s="76">
        <f>EFEITO!$J$1130*EFEITO!$Y$1130</f>
        <v>0</v>
      </c>
      <c r="K1130" s="76">
        <f ca="1">EFEITO!$L$1130*EFEITO!$Z$1130</f>
        <v>8.2612590757885638</v>
      </c>
      <c r="L1130" s="76">
        <f>EFEITO!$N$1130*EFEITO!$AA$1130</f>
        <v>6.0791276471739728</v>
      </c>
      <c r="M1130" s="76">
        <f>$J$1130-EFEITO!$K$1130*EFEITO!$Y$1130</f>
        <v>0</v>
      </c>
      <c r="N1130" s="76">
        <f ca="1">$K$1130-EFEITO!$M$1130*EFEITO!$Z$1130</f>
        <v>0</v>
      </c>
      <c r="O1130" s="76">
        <f>$L$1130-EFEITO!$O$1130*EFEITO!$AA$1130</f>
        <v>0</v>
      </c>
      <c r="P1130" s="57"/>
      <c r="Q1130" s="57"/>
      <c r="R1130" s="57"/>
      <c r="S1130" s="57"/>
      <c r="T1130" s="57"/>
      <c r="U1130" s="57"/>
      <c r="V1130" s="57"/>
      <c r="W1130" s="57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</row>
    <row r="1131" spans="1:36" ht="11.25" customHeight="1" x14ac:dyDescent="0.2">
      <c r="A1131" s="53" t="s">
        <v>28</v>
      </c>
      <c r="B1131" s="53" t="s">
        <v>37</v>
      </c>
      <c r="C1131" s="53" t="s">
        <v>23</v>
      </c>
      <c r="D1131" s="53" t="s">
        <v>41</v>
      </c>
      <c r="E1131" s="53" t="s">
        <v>25</v>
      </c>
      <c r="F1131" s="53" t="s">
        <v>25</v>
      </c>
      <c r="G1131" s="53" t="s">
        <v>25</v>
      </c>
      <c r="H1131" s="53" t="s">
        <v>25</v>
      </c>
      <c r="I1131" s="75">
        <v>44501</v>
      </c>
      <c r="J1131" s="76">
        <f>EFEITO!$J$1131*EFEITO!$Y$1131</f>
        <v>0</v>
      </c>
      <c r="K1131" s="76">
        <f ca="1">EFEITO!$L$1131*EFEITO!$Z$1131</f>
        <v>70417.66795269397</v>
      </c>
      <c r="L1131" s="76">
        <f>EFEITO!$N$1131*EFEITO!$AA$1131</f>
        <v>51817.524202250868</v>
      </c>
      <c r="M1131" s="76">
        <f>$J$1131-EFEITO!$K$1131*EFEITO!$Y$1131</f>
        <v>0</v>
      </c>
      <c r="N1131" s="76">
        <f ca="1">$K$1131-EFEITO!$M$1131*EFEITO!$Z$1131</f>
        <v>0</v>
      </c>
      <c r="O1131" s="76">
        <f>$L$1131-EFEITO!$O$1131*EFEITO!$AA$1131</f>
        <v>0</v>
      </c>
      <c r="P1131" s="57"/>
      <c r="Q1131" s="57"/>
      <c r="R1131" s="57"/>
      <c r="S1131" s="57"/>
      <c r="T1131" s="57"/>
      <c r="U1131" s="57"/>
      <c r="V1131" s="57"/>
      <c r="W1131" s="57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</row>
    <row r="1132" spans="1:36" ht="11.25" customHeight="1" x14ac:dyDescent="0.2">
      <c r="A1132" s="53" t="s">
        <v>21</v>
      </c>
      <c r="B1132" s="53" t="s">
        <v>37</v>
      </c>
      <c r="C1132" s="53" t="s">
        <v>23</v>
      </c>
      <c r="D1132" s="53" t="s">
        <v>41</v>
      </c>
      <c r="E1132" s="53" t="s">
        <v>25</v>
      </c>
      <c r="F1132" s="53" t="s">
        <v>25</v>
      </c>
      <c r="G1132" s="53" t="s">
        <v>25</v>
      </c>
      <c r="H1132" s="53" t="s">
        <v>25</v>
      </c>
      <c r="I1132" s="75">
        <v>44531</v>
      </c>
      <c r="J1132" s="76">
        <f>EFEITO!$J$1132*EFEITO!$Y$1132</f>
        <v>0</v>
      </c>
      <c r="K1132" s="76">
        <f ca="1">EFEITO!$L$1132*EFEITO!$Z$1132</f>
        <v>2319788.0714710932</v>
      </c>
      <c r="L1132" s="76">
        <f>EFEITO!$N$1132*EFEITO!$AA$1132</f>
        <v>1707038.56052574</v>
      </c>
      <c r="M1132" s="76">
        <f>$J$1132-EFEITO!$K$1132*EFEITO!$Y$1132</f>
        <v>0</v>
      </c>
      <c r="N1132" s="76">
        <f ca="1">$K$1132-EFEITO!$M$1132*EFEITO!$Z$1132</f>
        <v>0</v>
      </c>
      <c r="O1132" s="76">
        <f>$L$1132-EFEITO!$O$1132*EFEITO!$AA$1132</f>
        <v>0</v>
      </c>
      <c r="P1132" s="57"/>
      <c r="Q1132" s="57"/>
      <c r="R1132" s="57"/>
      <c r="S1132" s="57"/>
      <c r="T1132" s="57"/>
      <c r="U1132" s="57"/>
      <c r="V1132" s="57"/>
      <c r="W1132" s="57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</row>
    <row r="1133" spans="1:36" ht="11.25" customHeight="1" x14ac:dyDescent="0.2">
      <c r="A1133" s="53" t="s">
        <v>27</v>
      </c>
      <c r="B1133" s="53" t="s">
        <v>37</v>
      </c>
      <c r="C1133" s="53" t="s">
        <v>23</v>
      </c>
      <c r="D1133" s="53" t="s">
        <v>41</v>
      </c>
      <c r="E1133" s="53" t="s">
        <v>25</v>
      </c>
      <c r="F1133" s="53" t="s">
        <v>25</v>
      </c>
      <c r="G1133" s="53" t="s">
        <v>25</v>
      </c>
      <c r="H1133" s="53" t="s">
        <v>25</v>
      </c>
      <c r="I1133" s="75">
        <v>44531</v>
      </c>
      <c r="J1133" s="76">
        <f>EFEITO!$J$1133*EFEITO!$Y$1133</f>
        <v>0</v>
      </c>
      <c r="K1133" s="76">
        <f ca="1">EFEITO!$L$1133*EFEITO!$Z$1133</f>
        <v>-263.92548731598202</v>
      </c>
      <c r="L1133" s="76">
        <f>EFEITO!$N$1133*EFEITO!$AA$1133</f>
        <v>-194.21213062287376</v>
      </c>
      <c r="M1133" s="76">
        <f>$J$1133-EFEITO!$K$1133*EFEITO!$Y$1133</f>
        <v>0</v>
      </c>
      <c r="N1133" s="76">
        <f ca="1">$K$1133-EFEITO!$M$1133*EFEITO!$Z$1133</f>
        <v>0</v>
      </c>
      <c r="O1133" s="76">
        <f>$L$1133-EFEITO!$O$1133*EFEITO!$AA$1133</f>
        <v>0</v>
      </c>
      <c r="P1133" s="57"/>
      <c r="Q1133" s="57"/>
      <c r="R1133" s="57"/>
      <c r="S1133" s="57"/>
      <c r="T1133" s="57"/>
      <c r="U1133" s="57"/>
      <c r="V1133" s="57"/>
      <c r="W1133" s="57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</row>
    <row r="1134" spans="1:36" ht="11.25" customHeight="1" x14ac:dyDescent="0.2">
      <c r="A1134" s="53" t="s">
        <v>28</v>
      </c>
      <c r="B1134" s="53" t="s">
        <v>37</v>
      </c>
      <c r="C1134" s="53" t="s">
        <v>23</v>
      </c>
      <c r="D1134" s="53" t="s">
        <v>41</v>
      </c>
      <c r="E1134" s="53" t="s">
        <v>25</v>
      </c>
      <c r="F1134" s="53" t="s">
        <v>25</v>
      </c>
      <c r="G1134" s="53" t="s">
        <v>25</v>
      </c>
      <c r="H1134" s="53" t="s">
        <v>25</v>
      </c>
      <c r="I1134" s="75">
        <v>44531</v>
      </c>
      <c r="J1134" s="76">
        <f>EFEITO!$J$1134*EFEITO!$Y$1134</f>
        <v>0</v>
      </c>
      <c r="K1134" s="76">
        <f ca="1">EFEITO!$L$1134*EFEITO!$Z$1134</f>
        <v>78460.221064528756</v>
      </c>
      <c r="L1134" s="76">
        <f>EFEITO!$N$1134*EFEITO!$AA$1134</f>
        <v>57735.714943818071</v>
      </c>
      <c r="M1134" s="76">
        <f>$J$1134-EFEITO!$K$1134*EFEITO!$Y$1134</f>
        <v>0</v>
      </c>
      <c r="N1134" s="76">
        <f ca="1">$K$1134-EFEITO!$M$1134*EFEITO!$Z$1134</f>
        <v>0</v>
      </c>
      <c r="O1134" s="76">
        <f>$L$1134-EFEITO!$O$1134*EFEITO!$AA$1134</f>
        <v>0</v>
      </c>
      <c r="P1134" s="57"/>
      <c r="Q1134" s="57"/>
      <c r="R1134" s="57"/>
      <c r="S1134" s="57"/>
      <c r="T1134" s="57"/>
      <c r="U1134" s="57"/>
      <c r="V1134" s="57"/>
      <c r="W1134" s="57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</row>
    <row r="1135" spans="1:36" ht="11.25" customHeight="1" x14ac:dyDescent="0.2">
      <c r="A1135" s="53" t="s">
        <v>28</v>
      </c>
      <c r="B1135" s="53" t="s">
        <v>37</v>
      </c>
      <c r="C1135" s="53" t="s">
        <v>23</v>
      </c>
      <c r="D1135" s="53" t="s">
        <v>41</v>
      </c>
      <c r="E1135" s="53" t="s">
        <v>25</v>
      </c>
      <c r="F1135" s="53" t="s">
        <v>25</v>
      </c>
      <c r="G1135" s="53" t="s">
        <v>25</v>
      </c>
      <c r="H1135" s="53" t="s">
        <v>25</v>
      </c>
      <c r="I1135" s="75">
        <v>44531</v>
      </c>
      <c r="J1135" s="76">
        <f>EFEITO!$J$1135*EFEITO!$Y$1135</f>
        <v>0</v>
      </c>
      <c r="K1135" s="76">
        <f ca="1">EFEITO!$L$1135*EFEITO!$Z$1135</f>
        <v>5161.1129068215923</v>
      </c>
      <c r="L1135" s="76">
        <f>EFEITO!$N$1135*EFEITO!$AA$1135</f>
        <v>3797.8550090502663</v>
      </c>
      <c r="M1135" s="76">
        <f>$J$1135-EFEITO!$K$1135*EFEITO!$Y$1135</f>
        <v>0</v>
      </c>
      <c r="N1135" s="76">
        <f ca="1">$K$1135-EFEITO!$M$1135*EFEITO!$Z$1135</f>
        <v>0</v>
      </c>
      <c r="O1135" s="76">
        <f>$L$1135-EFEITO!$O$1135*EFEITO!$AA$1135</f>
        <v>0</v>
      </c>
      <c r="P1135" s="57"/>
      <c r="Q1135" s="57"/>
      <c r="R1135" s="57"/>
      <c r="S1135" s="57"/>
      <c r="T1135" s="57"/>
      <c r="U1135" s="57"/>
      <c r="V1135" s="57"/>
      <c r="W1135" s="57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</row>
    <row r="1136" spans="1:36" ht="11.25" customHeight="1" x14ac:dyDescent="0.2">
      <c r="A1136" s="53" t="s">
        <v>21</v>
      </c>
      <c r="B1136" s="53" t="s">
        <v>37</v>
      </c>
      <c r="C1136" s="53" t="s">
        <v>23</v>
      </c>
      <c r="D1136" s="53" t="s">
        <v>41</v>
      </c>
      <c r="E1136" s="53" t="s">
        <v>25</v>
      </c>
      <c r="F1136" s="53" t="s">
        <v>25</v>
      </c>
      <c r="G1136" s="53" t="s">
        <v>25</v>
      </c>
      <c r="H1136" s="53" t="s">
        <v>25</v>
      </c>
      <c r="I1136" s="75">
        <v>44562</v>
      </c>
      <c r="J1136" s="76">
        <f>EFEITO!$J$1136*EFEITO!$Y$1136</f>
        <v>0</v>
      </c>
      <c r="K1136" s="76">
        <f ca="1">EFEITO!$L$1136*EFEITO!$Z$1136</f>
        <v>2274609.8544042609</v>
      </c>
      <c r="L1136" s="76">
        <f>EFEITO!$N$1136*EFEITO!$AA$1136</f>
        <v>1673793.7311478655</v>
      </c>
      <c r="M1136" s="76">
        <f>$J$1136-EFEITO!$K$1136*EFEITO!$Y$1136</f>
        <v>0</v>
      </c>
      <c r="N1136" s="76">
        <f ca="1">$K$1136-EFEITO!$M$1136*EFEITO!$Z$1136</f>
        <v>0</v>
      </c>
      <c r="O1136" s="76">
        <f>$L$1136-EFEITO!$O$1136*EFEITO!$AA$1136</f>
        <v>0</v>
      </c>
      <c r="P1136" s="57"/>
      <c r="Q1136" s="57"/>
      <c r="R1136" s="57"/>
      <c r="S1136" s="57"/>
      <c r="T1136" s="57"/>
      <c r="U1136" s="57"/>
      <c r="V1136" s="57"/>
      <c r="W1136" s="57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</row>
    <row r="1137" spans="1:36" ht="11.25" customHeight="1" x14ac:dyDescent="0.2">
      <c r="A1137" s="53" t="s">
        <v>27</v>
      </c>
      <c r="B1137" s="53" t="s">
        <v>37</v>
      </c>
      <c r="C1137" s="53" t="s">
        <v>23</v>
      </c>
      <c r="D1137" s="53" t="s">
        <v>41</v>
      </c>
      <c r="E1137" s="53" t="s">
        <v>25</v>
      </c>
      <c r="F1137" s="53" t="s">
        <v>25</v>
      </c>
      <c r="G1137" s="53" t="s">
        <v>25</v>
      </c>
      <c r="H1137" s="53" t="s">
        <v>25</v>
      </c>
      <c r="I1137" s="75">
        <v>44562</v>
      </c>
      <c r="J1137" s="76">
        <f>EFEITO!$J$1137*EFEITO!$Y$1137</f>
        <v>0</v>
      </c>
      <c r="K1137" s="76">
        <f ca="1">EFEITO!$L$1137*EFEITO!$Z$1137</f>
        <v>-4101.0629264651443</v>
      </c>
      <c r="L1137" s="76">
        <f>EFEITO!$N$1137*EFEITO!$AA$1137</f>
        <v>-3017.8069456918379</v>
      </c>
      <c r="M1137" s="76">
        <f>$J$1137-EFEITO!$K$1137*EFEITO!$Y$1137</f>
        <v>0</v>
      </c>
      <c r="N1137" s="76">
        <f ca="1">$K$1137-EFEITO!$M$1137*EFEITO!$Z$1137</f>
        <v>0</v>
      </c>
      <c r="O1137" s="76">
        <f>$L$1137-EFEITO!$O$1137*EFEITO!$AA$1137</f>
        <v>0</v>
      </c>
      <c r="P1137" s="57"/>
      <c r="Q1137" s="57"/>
      <c r="R1137" s="57"/>
      <c r="S1137" s="57"/>
      <c r="T1137" s="57"/>
      <c r="U1137" s="57"/>
      <c r="V1137" s="57"/>
      <c r="W1137" s="57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</row>
    <row r="1138" spans="1:36" ht="11.25" customHeight="1" x14ac:dyDescent="0.2">
      <c r="A1138" s="53" t="s">
        <v>28</v>
      </c>
      <c r="B1138" s="53" t="s">
        <v>37</v>
      </c>
      <c r="C1138" s="53" t="s">
        <v>23</v>
      </c>
      <c r="D1138" s="53" t="s">
        <v>41</v>
      </c>
      <c r="E1138" s="53" t="s">
        <v>25</v>
      </c>
      <c r="F1138" s="53" t="s">
        <v>25</v>
      </c>
      <c r="G1138" s="53" t="s">
        <v>25</v>
      </c>
      <c r="H1138" s="53" t="s">
        <v>25</v>
      </c>
      <c r="I1138" s="75">
        <v>44562</v>
      </c>
      <c r="J1138" s="76">
        <f>EFEITO!$J$1138*EFEITO!$Y$1138</f>
        <v>0</v>
      </c>
      <c r="K1138" s="76">
        <f ca="1">EFEITO!$L$1138*EFEITO!$Z$1138</f>
        <v>70187.222304790383</v>
      </c>
      <c r="L1138" s="76">
        <f>EFEITO!$N$1138*EFEITO!$AA$1138</f>
        <v>51647.948536303382</v>
      </c>
      <c r="M1138" s="76">
        <f>$J$1138-EFEITO!$K$1138*EFEITO!$Y$1138</f>
        <v>0</v>
      </c>
      <c r="N1138" s="76">
        <f ca="1">$K$1138-EFEITO!$M$1138*EFEITO!$Z$1138</f>
        <v>0</v>
      </c>
      <c r="O1138" s="76">
        <f>$L$1138-EFEITO!$O$1138*EFEITO!$AA$1138</f>
        <v>0</v>
      </c>
      <c r="P1138" s="57"/>
      <c r="Q1138" s="57"/>
      <c r="R1138" s="57"/>
      <c r="S1138" s="57"/>
      <c r="T1138" s="57"/>
      <c r="U1138" s="57"/>
      <c r="V1138" s="57"/>
      <c r="W1138" s="57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</row>
    <row r="1139" spans="1:36" ht="11.25" customHeight="1" x14ac:dyDescent="0.2">
      <c r="A1139" s="53" t="s">
        <v>21</v>
      </c>
      <c r="B1139" s="53" t="s">
        <v>37</v>
      </c>
      <c r="C1139" s="53" t="s">
        <v>23</v>
      </c>
      <c r="D1139" s="53" t="s">
        <v>41</v>
      </c>
      <c r="E1139" s="53" t="s">
        <v>25</v>
      </c>
      <c r="F1139" s="53" t="s">
        <v>25</v>
      </c>
      <c r="G1139" s="53" t="s">
        <v>25</v>
      </c>
      <c r="H1139" s="53" t="s">
        <v>25</v>
      </c>
      <c r="I1139" s="75">
        <v>44593</v>
      </c>
      <c r="J1139" s="76">
        <f>EFEITO!$J$1139*EFEITO!$Y$1139</f>
        <v>0</v>
      </c>
      <c r="K1139" s="76">
        <f ca="1">EFEITO!$L$1139*EFEITO!$Z$1139</f>
        <v>2514952.0558775221</v>
      </c>
      <c r="L1139" s="76">
        <f>EFEITO!$N$1139*EFEITO!$AA$1139</f>
        <v>1850651.8720625779</v>
      </c>
      <c r="M1139" s="76">
        <f>$J$1139-EFEITO!$K$1139*EFEITO!$Y$1139</f>
        <v>0</v>
      </c>
      <c r="N1139" s="76">
        <f ca="1">$K$1139-EFEITO!$M$1139*EFEITO!$Z$1139</f>
        <v>0</v>
      </c>
      <c r="O1139" s="76">
        <f>$L$1139-EFEITO!$O$1139*EFEITO!$AA$1139</f>
        <v>0</v>
      </c>
      <c r="P1139" s="57"/>
      <c r="Q1139" s="57"/>
      <c r="R1139" s="57"/>
      <c r="S1139" s="57"/>
      <c r="T1139" s="57"/>
      <c r="U1139" s="57"/>
      <c r="V1139" s="57"/>
      <c r="W1139" s="57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</row>
    <row r="1140" spans="1:36" ht="11.25" customHeight="1" x14ac:dyDescent="0.2">
      <c r="A1140" s="53" t="s">
        <v>27</v>
      </c>
      <c r="B1140" s="53" t="s">
        <v>37</v>
      </c>
      <c r="C1140" s="53" t="s">
        <v>23</v>
      </c>
      <c r="D1140" s="53" t="s">
        <v>41</v>
      </c>
      <c r="E1140" s="53" t="s">
        <v>25</v>
      </c>
      <c r="F1140" s="53" t="s">
        <v>25</v>
      </c>
      <c r="G1140" s="53" t="s">
        <v>25</v>
      </c>
      <c r="H1140" s="53" t="s">
        <v>25</v>
      </c>
      <c r="I1140" s="75">
        <v>44593</v>
      </c>
      <c r="J1140" s="76">
        <f>EFEITO!$J$1140*EFEITO!$Y$1140</f>
        <v>0</v>
      </c>
      <c r="K1140" s="76">
        <f ca="1">EFEITO!$L$1140*EFEITO!$Z$1140</f>
        <v>-173.92124370081189</v>
      </c>
      <c r="L1140" s="76">
        <f>EFEITO!$N$1140*EFEITO!$AA$1140</f>
        <v>-127.9816346773468</v>
      </c>
      <c r="M1140" s="76">
        <f>$J$1140-EFEITO!$K$1140*EFEITO!$Y$1140</f>
        <v>0</v>
      </c>
      <c r="N1140" s="76">
        <f ca="1">$K$1140-EFEITO!$M$1140*EFEITO!$Z$1140</f>
        <v>0</v>
      </c>
      <c r="O1140" s="76">
        <f>$L$1140-EFEITO!$O$1140*EFEITO!$AA$1140</f>
        <v>0</v>
      </c>
      <c r="P1140" s="57"/>
      <c r="Q1140" s="57"/>
      <c r="R1140" s="57"/>
      <c r="S1140" s="57"/>
      <c r="T1140" s="57"/>
      <c r="U1140" s="57"/>
      <c r="V1140" s="57"/>
      <c r="W1140" s="57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</row>
    <row r="1141" spans="1:36" ht="11.25" customHeight="1" x14ac:dyDescent="0.2">
      <c r="A1141" s="53" t="s">
        <v>28</v>
      </c>
      <c r="B1141" s="53" t="s">
        <v>37</v>
      </c>
      <c r="C1141" s="53" t="s">
        <v>23</v>
      </c>
      <c r="D1141" s="53" t="s">
        <v>41</v>
      </c>
      <c r="E1141" s="53" t="s">
        <v>25</v>
      </c>
      <c r="F1141" s="53" t="s">
        <v>25</v>
      </c>
      <c r="G1141" s="53" t="s">
        <v>25</v>
      </c>
      <c r="H1141" s="53" t="s">
        <v>25</v>
      </c>
      <c r="I1141" s="75">
        <v>44593</v>
      </c>
      <c r="J1141" s="76">
        <f>EFEITO!$J$1141*EFEITO!$Y$1141</f>
        <v>0</v>
      </c>
      <c r="K1141" s="76">
        <f ca="1">EFEITO!$L$1141*EFEITO!$Z$1141</f>
        <v>73756.086225531049</v>
      </c>
      <c r="L1141" s="76">
        <f>EFEITO!$N$1141*EFEITO!$AA$1141</f>
        <v>54274.131679882536</v>
      </c>
      <c r="M1141" s="76">
        <f>$J$1141-EFEITO!$K$1141*EFEITO!$Y$1141</f>
        <v>0</v>
      </c>
      <c r="N1141" s="76">
        <f ca="1">$K$1141-EFEITO!$M$1141*EFEITO!$Z$1141</f>
        <v>0</v>
      </c>
      <c r="O1141" s="76">
        <f>$L$1141-EFEITO!$O$1141*EFEITO!$AA$1141</f>
        <v>0</v>
      </c>
      <c r="P1141" s="57"/>
      <c r="Q1141" s="57"/>
      <c r="R1141" s="57"/>
      <c r="S1141" s="57"/>
      <c r="T1141" s="57"/>
      <c r="U1141" s="57"/>
      <c r="V1141" s="57"/>
      <c r="W1141" s="57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</row>
    <row r="1142" spans="1:36" ht="11.25" customHeight="1" x14ac:dyDescent="0.2">
      <c r="A1142" s="53" t="s">
        <v>21</v>
      </c>
      <c r="B1142" s="53" t="s">
        <v>37</v>
      </c>
      <c r="C1142" s="53" t="s">
        <v>23</v>
      </c>
      <c r="D1142" s="53" t="s">
        <v>41</v>
      </c>
      <c r="E1142" s="53" t="s">
        <v>25</v>
      </c>
      <c r="F1142" s="53" t="s">
        <v>25</v>
      </c>
      <c r="G1142" s="53" t="s">
        <v>25</v>
      </c>
      <c r="H1142" s="53" t="s">
        <v>25</v>
      </c>
      <c r="I1142" s="75">
        <v>44621</v>
      </c>
      <c r="J1142" s="76">
        <f>EFEITO!$J$1142*EFEITO!$Y$1142</f>
        <v>0</v>
      </c>
      <c r="K1142" s="76">
        <f ca="1">EFEITO!$L$1142*EFEITO!$Z$1142</f>
        <v>2455400.987231255</v>
      </c>
      <c r="L1142" s="76">
        <f>EFEITO!$N$1142*EFEITO!$AA$1142</f>
        <v>1806830.6403949675</v>
      </c>
      <c r="M1142" s="76">
        <f>$J$1142-EFEITO!$K$1142*EFEITO!$Y$1142</f>
        <v>0</v>
      </c>
      <c r="N1142" s="76">
        <f ca="1">$K$1142-EFEITO!$M$1142*EFEITO!$Z$1142</f>
        <v>0</v>
      </c>
      <c r="O1142" s="76">
        <f>$L$1142-EFEITO!$O$1142*EFEITO!$AA$1142</f>
        <v>0</v>
      </c>
      <c r="P1142" s="57"/>
      <c r="Q1142" s="57"/>
      <c r="R1142" s="57"/>
      <c r="S1142" s="57"/>
      <c r="T1142" s="57"/>
      <c r="U1142" s="57"/>
      <c r="V1142" s="57"/>
      <c r="W1142" s="57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</row>
    <row r="1143" spans="1:36" ht="11.25" customHeight="1" x14ac:dyDescent="0.2">
      <c r="A1143" s="53" t="s">
        <v>27</v>
      </c>
      <c r="B1143" s="53" t="s">
        <v>37</v>
      </c>
      <c r="C1143" s="53" t="s">
        <v>23</v>
      </c>
      <c r="D1143" s="53" t="s">
        <v>41</v>
      </c>
      <c r="E1143" s="53" t="s">
        <v>25</v>
      </c>
      <c r="F1143" s="53" t="s">
        <v>25</v>
      </c>
      <c r="G1143" s="53" t="s">
        <v>25</v>
      </c>
      <c r="H1143" s="53" t="s">
        <v>25</v>
      </c>
      <c r="I1143" s="75">
        <v>44621</v>
      </c>
      <c r="J1143" s="76">
        <f>EFEITO!$J$1143*EFEITO!$Y$1143</f>
        <v>0</v>
      </c>
      <c r="K1143" s="76">
        <f ca="1">EFEITO!$L$1143*EFEITO!$Z$1143</f>
        <v>-1061.3543896842043</v>
      </c>
      <c r="L1143" s="76">
        <f>EFEITO!$N$1143*EFEITO!$AA$1143</f>
        <v>-781.00792561850881</v>
      </c>
      <c r="M1143" s="76">
        <f>$J$1143-EFEITO!$K$1143*EFEITO!$Y$1143</f>
        <v>0</v>
      </c>
      <c r="N1143" s="76">
        <f ca="1">$K$1143-EFEITO!$M$1143*EFEITO!$Z$1143</f>
        <v>0</v>
      </c>
      <c r="O1143" s="76">
        <f>$L$1143-EFEITO!$O$1143*EFEITO!$AA$1143</f>
        <v>0</v>
      </c>
      <c r="P1143" s="57"/>
      <c r="Q1143" s="57"/>
      <c r="R1143" s="57"/>
      <c r="S1143" s="57"/>
      <c r="T1143" s="57"/>
      <c r="U1143" s="57"/>
      <c r="V1143" s="57"/>
      <c r="W1143" s="57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</row>
    <row r="1144" spans="1:36" ht="11.25" customHeight="1" x14ac:dyDescent="0.2">
      <c r="A1144" s="53" t="s">
        <v>28</v>
      </c>
      <c r="B1144" s="53" t="s">
        <v>37</v>
      </c>
      <c r="C1144" s="53" t="s">
        <v>23</v>
      </c>
      <c r="D1144" s="53" t="s">
        <v>41</v>
      </c>
      <c r="E1144" s="53" t="s">
        <v>25</v>
      </c>
      <c r="F1144" s="53" t="s">
        <v>25</v>
      </c>
      <c r="G1144" s="53" t="s">
        <v>25</v>
      </c>
      <c r="H1144" s="53" t="s">
        <v>25</v>
      </c>
      <c r="I1144" s="75">
        <v>44621</v>
      </c>
      <c r="J1144" s="76">
        <f>EFEITO!$J$1144*EFEITO!$Y$1144</f>
        <v>0</v>
      </c>
      <c r="K1144" s="76">
        <f ca="1">EFEITO!$L$1144*EFEITO!$Z$1144</f>
        <v>81156.00034189134</v>
      </c>
      <c r="L1144" s="76">
        <f>EFEITO!$N$1144*EFEITO!$AA$1144</f>
        <v>59719.430281316956</v>
      </c>
      <c r="M1144" s="76">
        <f>$J$1144-EFEITO!$K$1144*EFEITO!$Y$1144</f>
        <v>0</v>
      </c>
      <c r="N1144" s="76">
        <f ca="1">$K$1144-EFEITO!$M$1144*EFEITO!$Z$1144</f>
        <v>0</v>
      </c>
      <c r="O1144" s="76">
        <f>$L$1144-EFEITO!$O$1144*EFEITO!$AA$1144</f>
        <v>0</v>
      </c>
      <c r="P1144" s="57"/>
      <c r="Q1144" s="57"/>
      <c r="R1144" s="57"/>
      <c r="S1144" s="57"/>
      <c r="T1144" s="57"/>
      <c r="U1144" s="57"/>
      <c r="V1144" s="57"/>
      <c r="W1144" s="57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</row>
    <row r="1145" spans="1:36" ht="11.25" customHeight="1" x14ac:dyDescent="0.2">
      <c r="A1145" s="53" t="s">
        <v>28</v>
      </c>
      <c r="B1145" s="53" t="s">
        <v>37</v>
      </c>
      <c r="C1145" s="53" t="s">
        <v>23</v>
      </c>
      <c r="D1145" s="53" t="s">
        <v>41</v>
      </c>
      <c r="E1145" s="53" t="s">
        <v>25</v>
      </c>
      <c r="F1145" s="53" t="s">
        <v>25</v>
      </c>
      <c r="G1145" s="53" t="s">
        <v>25</v>
      </c>
      <c r="H1145" s="53" t="s">
        <v>25</v>
      </c>
      <c r="I1145" s="75">
        <v>44621</v>
      </c>
      <c r="J1145" s="76">
        <f>EFEITO!$J$1145*EFEITO!$Y$1145</f>
        <v>0</v>
      </c>
      <c r="K1145" s="76">
        <f ca="1">EFEITO!$L$1145*EFEITO!$Z$1145</f>
        <v>118.70124882580411</v>
      </c>
      <c r="L1145" s="76">
        <f>EFEITO!$N$1145*EFEITO!$AA$1145</f>
        <v>87.3474656672892</v>
      </c>
      <c r="M1145" s="76">
        <f>$J$1145-EFEITO!$K$1145*EFEITO!$Y$1145</f>
        <v>0</v>
      </c>
      <c r="N1145" s="76">
        <f ca="1">$K$1145-EFEITO!$M$1145*EFEITO!$Z$1145</f>
        <v>0</v>
      </c>
      <c r="O1145" s="76">
        <f>$L$1145-EFEITO!$O$1145*EFEITO!$AA$1145</f>
        <v>0</v>
      </c>
      <c r="P1145" s="57"/>
      <c r="Q1145" s="57"/>
      <c r="R1145" s="57"/>
      <c r="S1145" s="57"/>
      <c r="T1145" s="57"/>
      <c r="U1145" s="57"/>
      <c r="V1145" s="57"/>
      <c r="W1145" s="57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</row>
    <row r="1146" spans="1:36" ht="11.25" customHeight="1" x14ac:dyDescent="0.2">
      <c r="A1146" s="53" t="s">
        <v>21</v>
      </c>
      <c r="B1146" s="53" t="s">
        <v>37</v>
      </c>
      <c r="C1146" s="53" t="s">
        <v>23</v>
      </c>
      <c r="D1146" s="53" t="s">
        <v>41</v>
      </c>
      <c r="E1146" s="53" t="s">
        <v>25</v>
      </c>
      <c r="F1146" s="53" t="s">
        <v>25</v>
      </c>
      <c r="G1146" s="53" t="s">
        <v>25</v>
      </c>
      <c r="H1146" s="53" t="s">
        <v>25</v>
      </c>
      <c r="I1146" s="75">
        <v>44652</v>
      </c>
      <c r="J1146" s="76">
        <f>EFEITO!$J$1146*EFEITO!$Y$1146</f>
        <v>0</v>
      </c>
      <c r="K1146" s="76">
        <f ca="1">EFEITO!$L$1146*EFEITO!$Z$1146</f>
        <v>2522529.8044655668</v>
      </c>
      <c r="L1146" s="76">
        <f>EFEITO!$N$1146*EFEITO!$AA$1146</f>
        <v>1856228.0318854698</v>
      </c>
      <c r="M1146" s="76">
        <f>$J$1146-EFEITO!$K$1146*EFEITO!$Y$1146</f>
        <v>0</v>
      </c>
      <c r="N1146" s="76">
        <f ca="1">$K$1146-EFEITO!$M$1146*EFEITO!$Z$1146</f>
        <v>0</v>
      </c>
      <c r="O1146" s="76">
        <f>$L$1146-EFEITO!$O$1146*EFEITO!$AA$1146</f>
        <v>0</v>
      </c>
      <c r="P1146" s="57"/>
      <c r="Q1146" s="57"/>
      <c r="R1146" s="57"/>
      <c r="S1146" s="57"/>
      <c r="T1146" s="57"/>
      <c r="U1146" s="57"/>
      <c r="V1146" s="57"/>
      <c r="W1146" s="57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</row>
    <row r="1147" spans="1:36" ht="11.25" customHeight="1" x14ac:dyDescent="0.2">
      <c r="A1147" s="53" t="s">
        <v>27</v>
      </c>
      <c r="B1147" s="53" t="s">
        <v>37</v>
      </c>
      <c r="C1147" s="53" t="s">
        <v>23</v>
      </c>
      <c r="D1147" s="53" t="s">
        <v>41</v>
      </c>
      <c r="E1147" s="53" t="s">
        <v>25</v>
      </c>
      <c r="F1147" s="53" t="s">
        <v>25</v>
      </c>
      <c r="G1147" s="53" t="s">
        <v>25</v>
      </c>
      <c r="H1147" s="53" t="s">
        <v>25</v>
      </c>
      <c r="I1147" s="75">
        <v>44652</v>
      </c>
      <c r="J1147" s="76">
        <f>EFEITO!$J$1147*EFEITO!$Y$1147</f>
        <v>0</v>
      </c>
      <c r="K1147" s="76">
        <f ca="1">EFEITO!$L$1147*EFEITO!$Z$1147</f>
        <v>39052.71086368955</v>
      </c>
      <c r="L1147" s="76">
        <f>EFEITO!$N$1147*EFEITO!$AA$1147</f>
        <v>28737.316204538143</v>
      </c>
      <c r="M1147" s="76">
        <f>$J$1147-EFEITO!$K$1147*EFEITO!$Y$1147</f>
        <v>0</v>
      </c>
      <c r="N1147" s="76">
        <f ca="1">$K$1147-EFEITO!$M$1147*EFEITO!$Z$1147</f>
        <v>0</v>
      </c>
      <c r="O1147" s="76">
        <f>$L$1147-EFEITO!$O$1147*EFEITO!$AA$1147</f>
        <v>0</v>
      </c>
      <c r="P1147" s="57"/>
      <c r="Q1147" s="57"/>
      <c r="R1147" s="57"/>
      <c r="S1147" s="57"/>
      <c r="T1147" s="57"/>
      <c r="U1147" s="57"/>
      <c r="V1147" s="57"/>
      <c r="W1147" s="57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</row>
    <row r="1148" spans="1:36" ht="11.25" customHeight="1" x14ac:dyDescent="0.2">
      <c r="A1148" s="53" t="s">
        <v>28</v>
      </c>
      <c r="B1148" s="53" t="s">
        <v>37</v>
      </c>
      <c r="C1148" s="53" t="s">
        <v>23</v>
      </c>
      <c r="D1148" s="53" t="s">
        <v>41</v>
      </c>
      <c r="E1148" s="53" t="s">
        <v>25</v>
      </c>
      <c r="F1148" s="53" t="s">
        <v>25</v>
      </c>
      <c r="G1148" s="53" t="s">
        <v>25</v>
      </c>
      <c r="H1148" s="53" t="s">
        <v>25</v>
      </c>
      <c r="I1148" s="75">
        <v>44652</v>
      </c>
      <c r="J1148" s="76">
        <f>EFEITO!$J$1148*EFEITO!$Y$1148</f>
        <v>0</v>
      </c>
      <c r="K1148" s="76">
        <f ca="1">EFEITO!$L$1148*EFEITO!$Z$1148</f>
        <v>99814.271366114437</v>
      </c>
      <c r="L1148" s="76">
        <f>EFEITO!$N$1148*EFEITO!$AA$1148</f>
        <v>73449.300049502723</v>
      </c>
      <c r="M1148" s="76">
        <f>$J$1148-EFEITO!$K$1148*EFEITO!$Y$1148</f>
        <v>0</v>
      </c>
      <c r="N1148" s="76">
        <f ca="1">$K$1148-EFEITO!$M$1148*EFEITO!$Z$1148</f>
        <v>0</v>
      </c>
      <c r="O1148" s="76">
        <f>$L$1148-EFEITO!$O$1148*EFEITO!$AA$1148</f>
        <v>0</v>
      </c>
      <c r="P1148" s="57"/>
      <c r="Q1148" s="57"/>
      <c r="R1148" s="57"/>
      <c r="S1148" s="57"/>
      <c r="T1148" s="57"/>
      <c r="U1148" s="57"/>
      <c r="V1148" s="57"/>
      <c r="W1148" s="57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</row>
    <row r="1149" spans="1:36" ht="11.25" customHeight="1" x14ac:dyDescent="0.2">
      <c r="A1149" s="53" t="s">
        <v>21</v>
      </c>
      <c r="B1149" s="53" t="s">
        <v>37</v>
      </c>
      <c r="C1149" s="53" t="s">
        <v>23</v>
      </c>
      <c r="D1149" s="53" t="s">
        <v>41</v>
      </c>
      <c r="E1149" s="53" t="s">
        <v>25</v>
      </c>
      <c r="F1149" s="53" t="s">
        <v>25</v>
      </c>
      <c r="G1149" s="53" t="s">
        <v>25</v>
      </c>
      <c r="H1149" s="53" t="s">
        <v>25</v>
      </c>
      <c r="I1149" s="75">
        <v>44682</v>
      </c>
      <c r="J1149" s="76">
        <f>EFEITO!$J$1149*EFEITO!$Y$1149</f>
        <v>0</v>
      </c>
      <c r="K1149" s="76">
        <f ca="1">EFEITO!$L$1149*EFEITO!$Z$1149</f>
        <v>2214224.8333944483</v>
      </c>
      <c r="L1149" s="76">
        <f>EFEITO!$N$1149*EFEITO!$AA$1149</f>
        <v>1629358.8275419774</v>
      </c>
      <c r="M1149" s="76">
        <f>$J$1149-EFEITO!$K$1149*EFEITO!$Y$1149</f>
        <v>0</v>
      </c>
      <c r="N1149" s="76">
        <f ca="1">$K$1149-EFEITO!$M$1149*EFEITO!$Z$1149</f>
        <v>0</v>
      </c>
      <c r="O1149" s="76">
        <f>$L$1149-EFEITO!$O$1149*EFEITO!$AA$1149</f>
        <v>0</v>
      </c>
      <c r="P1149" s="57"/>
      <c r="Q1149" s="57"/>
      <c r="R1149" s="57"/>
      <c r="S1149" s="57"/>
      <c r="T1149" s="57"/>
      <c r="U1149" s="57"/>
      <c r="V1149" s="57"/>
      <c r="W1149" s="57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</row>
    <row r="1150" spans="1:36" ht="11.25" customHeight="1" x14ac:dyDescent="0.2">
      <c r="A1150" s="53" t="s">
        <v>27</v>
      </c>
      <c r="B1150" s="53" t="s">
        <v>37</v>
      </c>
      <c r="C1150" s="53" t="s">
        <v>23</v>
      </c>
      <c r="D1150" s="53" t="s">
        <v>41</v>
      </c>
      <c r="E1150" s="53" t="s">
        <v>25</v>
      </c>
      <c r="F1150" s="53" t="s">
        <v>25</v>
      </c>
      <c r="G1150" s="53" t="s">
        <v>25</v>
      </c>
      <c r="H1150" s="53" t="s">
        <v>25</v>
      </c>
      <c r="I1150" s="75">
        <v>44682</v>
      </c>
      <c r="J1150" s="76">
        <f>EFEITO!$J$1150*EFEITO!$Y$1150</f>
        <v>0</v>
      </c>
      <c r="K1150" s="76">
        <f ca="1">EFEITO!$L$1150*EFEITO!$Z$1150</f>
        <v>1660.9478773427534</v>
      </c>
      <c r="L1150" s="76">
        <f>EFEITO!$N$1150*EFEITO!$AA$1150</f>
        <v>1222.2246111686618</v>
      </c>
      <c r="M1150" s="76">
        <f>$J$1150-EFEITO!$K$1150*EFEITO!$Y$1150</f>
        <v>0</v>
      </c>
      <c r="N1150" s="76">
        <f ca="1">$K$1150-EFEITO!$M$1150*EFEITO!$Z$1150</f>
        <v>0</v>
      </c>
      <c r="O1150" s="76">
        <f>$L$1150-EFEITO!$O$1150*EFEITO!$AA$1150</f>
        <v>0</v>
      </c>
      <c r="P1150" s="57"/>
      <c r="Q1150" s="57"/>
      <c r="R1150" s="57"/>
      <c r="S1150" s="57"/>
      <c r="T1150" s="57"/>
      <c r="U1150" s="57"/>
      <c r="V1150" s="57"/>
      <c r="W1150" s="57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</row>
    <row r="1151" spans="1:36" ht="11.25" customHeight="1" x14ac:dyDescent="0.2">
      <c r="A1151" s="53" t="s">
        <v>28</v>
      </c>
      <c r="B1151" s="53" t="s">
        <v>37</v>
      </c>
      <c r="C1151" s="53" t="s">
        <v>23</v>
      </c>
      <c r="D1151" s="53" t="s">
        <v>41</v>
      </c>
      <c r="E1151" s="53" t="s">
        <v>25</v>
      </c>
      <c r="F1151" s="53" t="s">
        <v>25</v>
      </c>
      <c r="G1151" s="53" t="s">
        <v>25</v>
      </c>
      <c r="H1151" s="53" t="s">
        <v>25</v>
      </c>
      <c r="I1151" s="75">
        <v>44682</v>
      </c>
      <c r="J1151" s="76">
        <f>EFEITO!$J$1151*EFEITO!$Y$1151</f>
        <v>0</v>
      </c>
      <c r="K1151" s="76">
        <f ca="1">EFEITO!$L$1151*EFEITO!$Z$1151</f>
        <v>96513.246160673036</v>
      </c>
      <c r="L1151" s="76">
        <f>EFEITO!$N$1151*EFEITO!$AA$1151</f>
        <v>71020.208623326675</v>
      </c>
      <c r="M1151" s="76">
        <f>$J$1151-EFEITO!$K$1151*EFEITO!$Y$1151</f>
        <v>0</v>
      </c>
      <c r="N1151" s="76">
        <f ca="1">$K$1151-EFEITO!$M$1151*EFEITO!$Z$1151</f>
        <v>0</v>
      </c>
      <c r="O1151" s="76">
        <f>$L$1151-EFEITO!$O$1151*EFEITO!$AA$1151</f>
        <v>0</v>
      </c>
      <c r="P1151" s="57"/>
      <c r="Q1151" s="57"/>
      <c r="R1151" s="57"/>
      <c r="S1151" s="57"/>
      <c r="T1151" s="57"/>
      <c r="U1151" s="57"/>
      <c r="V1151" s="57"/>
      <c r="W1151" s="57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</row>
    <row r="1152" spans="1:36" ht="11.25" customHeight="1" x14ac:dyDescent="0.2">
      <c r="A1152" s="53" t="s">
        <v>28</v>
      </c>
      <c r="B1152" s="53" t="s">
        <v>37</v>
      </c>
      <c r="C1152" s="53" t="s">
        <v>23</v>
      </c>
      <c r="D1152" s="53" t="s">
        <v>41</v>
      </c>
      <c r="E1152" s="53" t="s">
        <v>25</v>
      </c>
      <c r="F1152" s="53" t="s">
        <v>25</v>
      </c>
      <c r="G1152" s="53" t="s">
        <v>25</v>
      </c>
      <c r="H1152" s="53" t="s">
        <v>25</v>
      </c>
      <c r="I1152" s="75">
        <v>44682</v>
      </c>
      <c r="J1152" s="76">
        <f>EFEITO!$J$1152*EFEITO!$Y$1152</f>
        <v>0</v>
      </c>
      <c r="K1152" s="76">
        <f ca="1">EFEITO!$L$1152*EFEITO!$Z$1152</f>
        <v>1398.7616024637796</v>
      </c>
      <c r="L1152" s="76">
        <f>EFEITO!$N$1152*EFEITO!$AA$1152</f>
        <v>1029.2922968925616</v>
      </c>
      <c r="M1152" s="76">
        <f>$J$1152-EFEITO!$K$1152*EFEITO!$Y$1152</f>
        <v>0</v>
      </c>
      <c r="N1152" s="76">
        <f ca="1">$K$1152-EFEITO!$M$1152*EFEITO!$Z$1152</f>
        <v>0</v>
      </c>
      <c r="O1152" s="76">
        <f>$L$1152-EFEITO!$O$1152*EFEITO!$AA$1152</f>
        <v>0</v>
      </c>
      <c r="P1152" s="57"/>
      <c r="Q1152" s="57"/>
      <c r="R1152" s="57"/>
      <c r="S1152" s="57"/>
      <c r="T1152" s="57"/>
      <c r="U1152" s="57"/>
      <c r="V1152" s="57"/>
      <c r="W1152" s="57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</row>
    <row r="1153" spans="1:36" ht="11.25" customHeight="1" x14ac:dyDescent="0.2">
      <c r="A1153" s="53" t="s">
        <v>21</v>
      </c>
      <c r="B1153" s="53" t="s">
        <v>37</v>
      </c>
      <c r="C1153" s="53" t="s">
        <v>23</v>
      </c>
      <c r="D1153" s="53" t="s">
        <v>41</v>
      </c>
      <c r="E1153" s="53" t="s">
        <v>25</v>
      </c>
      <c r="F1153" s="53" t="s">
        <v>25</v>
      </c>
      <c r="G1153" s="53" t="s">
        <v>25</v>
      </c>
      <c r="H1153" s="53" t="s">
        <v>25</v>
      </c>
      <c r="I1153" s="75">
        <v>44713</v>
      </c>
      <c r="J1153" s="76">
        <f>EFEITO!$J$1153*EFEITO!$Y$1153</f>
        <v>0</v>
      </c>
      <c r="K1153" s="76">
        <f ca="1">EFEITO!$L$1153*EFEITO!$Z$1153</f>
        <v>1931785.4296865149</v>
      </c>
      <c r="L1153" s="76">
        <f>EFEITO!$N$1153*EFEITO!$AA$1153</f>
        <v>1421523.0519077003</v>
      </c>
      <c r="M1153" s="76">
        <f>$J$1153-EFEITO!$K$1153*EFEITO!$Y$1153</f>
        <v>0</v>
      </c>
      <c r="N1153" s="76">
        <f ca="1">$K$1153-EFEITO!$M$1153*EFEITO!$Z$1153</f>
        <v>0</v>
      </c>
      <c r="O1153" s="76">
        <f>$L$1153-EFEITO!$O$1153*EFEITO!$AA$1153</f>
        <v>0</v>
      </c>
      <c r="P1153" s="57"/>
      <c r="Q1153" s="57"/>
      <c r="R1153" s="57"/>
      <c r="S1153" s="57"/>
      <c r="T1153" s="57"/>
      <c r="U1153" s="57"/>
      <c r="V1153" s="57"/>
      <c r="W1153" s="57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</row>
    <row r="1154" spans="1:36" ht="11.25" customHeight="1" x14ac:dyDescent="0.2">
      <c r="A1154" s="53" t="s">
        <v>27</v>
      </c>
      <c r="B1154" s="53" t="s">
        <v>37</v>
      </c>
      <c r="C1154" s="53" t="s">
        <v>23</v>
      </c>
      <c r="D1154" s="53" t="s">
        <v>41</v>
      </c>
      <c r="E1154" s="53" t="s">
        <v>25</v>
      </c>
      <c r="F1154" s="53" t="s">
        <v>25</v>
      </c>
      <c r="G1154" s="53" t="s">
        <v>25</v>
      </c>
      <c r="H1154" s="53" t="s">
        <v>25</v>
      </c>
      <c r="I1154" s="75">
        <v>44713</v>
      </c>
      <c r="J1154" s="76">
        <f>EFEITO!$J$1154*EFEITO!$Y$1154</f>
        <v>0</v>
      </c>
      <c r="K1154" s="76">
        <f ca="1">EFEITO!$L$1154*EFEITO!$Z$1154</f>
        <v>525.67695908570397</v>
      </c>
      <c r="L1154" s="76">
        <f>EFEITO!$N$1154*EFEITO!$AA$1154</f>
        <v>386.82449081228071</v>
      </c>
      <c r="M1154" s="76">
        <f>$J$1154-EFEITO!$K$1154*EFEITO!$Y$1154</f>
        <v>0</v>
      </c>
      <c r="N1154" s="76">
        <f ca="1">$K$1154-EFEITO!$M$1154*EFEITO!$Z$1154</f>
        <v>0</v>
      </c>
      <c r="O1154" s="76">
        <f>$L$1154-EFEITO!$O$1154*EFEITO!$AA$1154</f>
        <v>0</v>
      </c>
      <c r="P1154" s="57"/>
      <c r="Q1154" s="57"/>
      <c r="R1154" s="57"/>
      <c r="S1154" s="57"/>
      <c r="T1154" s="57"/>
      <c r="U1154" s="57"/>
      <c r="V1154" s="57"/>
      <c r="W1154" s="57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</row>
    <row r="1155" spans="1:36" ht="11.25" customHeight="1" x14ac:dyDescent="0.2">
      <c r="A1155" s="53" t="s">
        <v>28</v>
      </c>
      <c r="B1155" s="53" t="s">
        <v>37</v>
      </c>
      <c r="C1155" s="53" t="s">
        <v>23</v>
      </c>
      <c r="D1155" s="53" t="s">
        <v>41</v>
      </c>
      <c r="E1155" s="53" t="s">
        <v>25</v>
      </c>
      <c r="F1155" s="53" t="s">
        <v>25</v>
      </c>
      <c r="G1155" s="53" t="s">
        <v>25</v>
      </c>
      <c r="H1155" s="53" t="s">
        <v>25</v>
      </c>
      <c r="I1155" s="75">
        <v>44713</v>
      </c>
      <c r="J1155" s="76">
        <f>EFEITO!$J$1155*EFEITO!$Y$1155</f>
        <v>0</v>
      </c>
      <c r="K1155" s="76">
        <f ca="1">EFEITO!$L$1155*EFEITO!$Z$1155</f>
        <v>88765.48955691111</v>
      </c>
      <c r="L1155" s="76">
        <f>EFEITO!$N$1155*EFEITO!$AA$1155</f>
        <v>65318.946752537573</v>
      </c>
      <c r="M1155" s="76">
        <f>$J$1155-EFEITO!$K$1155*EFEITO!$Y$1155</f>
        <v>0</v>
      </c>
      <c r="N1155" s="76">
        <f ca="1">$K$1155-EFEITO!$M$1155*EFEITO!$Z$1155</f>
        <v>0</v>
      </c>
      <c r="O1155" s="76">
        <f>$L$1155-EFEITO!$O$1155*EFEITO!$AA$1155</f>
        <v>0</v>
      </c>
      <c r="P1155" s="57"/>
      <c r="Q1155" s="57"/>
      <c r="R1155" s="57"/>
      <c r="S1155" s="57"/>
      <c r="T1155" s="57"/>
      <c r="U1155" s="57"/>
      <c r="V1155" s="57"/>
      <c r="W1155" s="57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</row>
    <row r="1156" spans="1:36" ht="11.25" customHeight="1" x14ac:dyDescent="0.2">
      <c r="A1156" s="53" t="s">
        <v>21</v>
      </c>
      <c r="B1156" s="53" t="s">
        <v>37</v>
      </c>
      <c r="C1156" s="53" t="s">
        <v>23</v>
      </c>
      <c r="D1156" s="53" t="s">
        <v>41</v>
      </c>
      <c r="E1156" s="53" t="s">
        <v>25</v>
      </c>
      <c r="F1156" s="53" t="s">
        <v>25</v>
      </c>
      <c r="G1156" s="53" t="s">
        <v>25</v>
      </c>
      <c r="H1156" s="53" t="s">
        <v>25</v>
      </c>
      <c r="I1156" s="75">
        <v>44743</v>
      </c>
      <c r="J1156" s="76">
        <f>EFEITO!$J$1156*EFEITO!$Y$1156</f>
        <v>0</v>
      </c>
      <c r="K1156" s="76">
        <f ca="1">EFEITO!$L$1156*EFEITO!$Z$1156</f>
        <v>1715409.5755952257</v>
      </c>
      <c r="L1156" s="76">
        <f>EFEITO!$N$1156*EFEITO!$AA$1156</f>
        <v>1262300.7802515263</v>
      </c>
      <c r="M1156" s="76">
        <f>$J$1156-EFEITO!$K$1156*EFEITO!$Y$1156</f>
        <v>0</v>
      </c>
      <c r="N1156" s="76">
        <f ca="1">$K$1156-EFEITO!$M$1156*EFEITO!$Z$1156</f>
        <v>0</v>
      </c>
      <c r="O1156" s="76">
        <f>$L$1156-EFEITO!$O$1156*EFEITO!$AA$1156</f>
        <v>0</v>
      </c>
      <c r="P1156" s="57"/>
      <c r="Q1156" s="57"/>
      <c r="R1156" s="57"/>
      <c r="S1156" s="57"/>
      <c r="T1156" s="57"/>
      <c r="U1156" s="57"/>
      <c r="V1156" s="57"/>
      <c r="W1156" s="57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</row>
    <row r="1157" spans="1:36" ht="11.25" customHeight="1" x14ac:dyDescent="0.2">
      <c r="A1157" s="53" t="s">
        <v>27</v>
      </c>
      <c r="B1157" s="53" t="s">
        <v>37</v>
      </c>
      <c r="C1157" s="53" t="s">
        <v>23</v>
      </c>
      <c r="D1157" s="53" t="s">
        <v>41</v>
      </c>
      <c r="E1157" s="53" t="s">
        <v>25</v>
      </c>
      <c r="F1157" s="53" t="s">
        <v>25</v>
      </c>
      <c r="G1157" s="53" t="s">
        <v>25</v>
      </c>
      <c r="H1157" s="53" t="s">
        <v>25</v>
      </c>
      <c r="I1157" s="75">
        <v>44743</v>
      </c>
      <c r="J1157" s="76">
        <f>EFEITO!$J$1157*EFEITO!$Y$1157</f>
        <v>0</v>
      </c>
      <c r="K1157" s="76">
        <f ca="1">EFEITO!$L$1157*EFEITO!$Z$1157</f>
        <v>2014.4428051646535</v>
      </c>
      <c r="L1157" s="76">
        <f>EFEITO!$N$1157*EFEITO!$AA$1157</f>
        <v>1482.3472836503693</v>
      </c>
      <c r="M1157" s="76">
        <f>$J$1157-EFEITO!$K$1157*EFEITO!$Y$1157</f>
        <v>0</v>
      </c>
      <c r="N1157" s="76">
        <f ca="1">$K$1157-EFEITO!$M$1157*EFEITO!$Z$1157</f>
        <v>0</v>
      </c>
      <c r="O1157" s="76">
        <f>$L$1157-EFEITO!$O$1157*EFEITO!$AA$1157</f>
        <v>0</v>
      </c>
      <c r="P1157" s="57"/>
      <c r="Q1157" s="57"/>
      <c r="R1157" s="57"/>
      <c r="S1157" s="57"/>
      <c r="T1157" s="57"/>
      <c r="U1157" s="57"/>
      <c r="V1157" s="57"/>
      <c r="W1157" s="57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</row>
    <row r="1158" spans="1:36" ht="11.25" customHeight="1" x14ac:dyDescent="0.2">
      <c r="A1158" s="53" t="s">
        <v>28</v>
      </c>
      <c r="B1158" s="53" t="s">
        <v>37</v>
      </c>
      <c r="C1158" s="53" t="s">
        <v>23</v>
      </c>
      <c r="D1158" s="53" t="s">
        <v>41</v>
      </c>
      <c r="E1158" s="53" t="s">
        <v>25</v>
      </c>
      <c r="F1158" s="53" t="s">
        <v>25</v>
      </c>
      <c r="G1158" s="53" t="s">
        <v>25</v>
      </c>
      <c r="H1158" s="53" t="s">
        <v>25</v>
      </c>
      <c r="I1158" s="75">
        <v>44743</v>
      </c>
      <c r="J1158" s="76">
        <f>EFEITO!$J$1158*EFEITO!$Y$1158</f>
        <v>0</v>
      </c>
      <c r="K1158" s="76">
        <f ca="1">EFEITO!$L$1158*EFEITO!$Z$1158</f>
        <v>99009.88561399818</v>
      </c>
      <c r="L1158" s="76">
        <f>EFEITO!$N$1158*EFEITO!$AA$1158</f>
        <v>72857.384989119979</v>
      </c>
      <c r="M1158" s="76">
        <f>$J$1158-EFEITO!$K$1158*EFEITO!$Y$1158</f>
        <v>0</v>
      </c>
      <c r="N1158" s="76">
        <f ca="1">$K$1158-EFEITO!$M$1158*EFEITO!$Z$1158</f>
        <v>0</v>
      </c>
      <c r="O1158" s="76">
        <f>$L$1158-EFEITO!$O$1158*EFEITO!$AA$1158</f>
        <v>0</v>
      </c>
      <c r="P1158" s="57"/>
      <c r="Q1158" s="57"/>
      <c r="R1158" s="57"/>
      <c r="S1158" s="57"/>
      <c r="T1158" s="57"/>
      <c r="U1158" s="57"/>
      <c r="V1158" s="57"/>
      <c r="W1158" s="57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</row>
    <row r="1159" spans="1:36" ht="11.25" customHeight="1" x14ac:dyDescent="0.2">
      <c r="A1159" s="53" t="s">
        <v>56</v>
      </c>
      <c r="B1159" s="53" t="s">
        <v>37</v>
      </c>
      <c r="C1159" s="53" t="s">
        <v>23</v>
      </c>
      <c r="D1159" s="53" t="s">
        <v>41</v>
      </c>
      <c r="E1159" s="53" t="s">
        <v>25</v>
      </c>
      <c r="F1159" s="53" t="s">
        <v>25</v>
      </c>
      <c r="G1159" s="53" t="s">
        <v>25</v>
      </c>
      <c r="H1159" s="53" t="s">
        <v>25</v>
      </c>
      <c r="I1159" s="75">
        <v>44774</v>
      </c>
      <c r="J1159" s="76">
        <f>EFEITO!$J$1159*EFEITO!$Y$1159</f>
        <v>0</v>
      </c>
      <c r="K1159" s="76">
        <f ca="1">EFEITO!$L$1159*EFEITO!$Z$1159</f>
        <v>1715409.5755952257</v>
      </c>
      <c r="L1159" s="76">
        <f>EFEITO!$N$1159*EFEITO!$AA$1159</f>
        <v>1262300.7802515263</v>
      </c>
      <c r="M1159" s="76">
        <f>$J$1159-EFEITO!$K$1159*EFEITO!$Y$1159</f>
        <v>0</v>
      </c>
      <c r="N1159" s="76">
        <f ca="1">$K$1159-EFEITO!$M$1159*EFEITO!$Z$1159</f>
        <v>0</v>
      </c>
      <c r="O1159" s="76">
        <f>$L$1159-EFEITO!$O$1159*EFEITO!$AA$1159</f>
        <v>0</v>
      </c>
      <c r="P1159" s="57"/>
      <c r="Q1159" s="57"/>
      <c r="R1159" s="57"/>
      <c r="S1159" s="57"/>
      <c r="T1159" s="57"/>
      <c r="U1159" s="57"/>
      <c r="V1159" s="57"/>
      <c r="W1159" s="57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</row>
    <row r="1160" spans="1:36" ht="11.25" customHeight="1" x14ac:dyDescent="0.2">
      <c r="A1160" s="53" t="s">
        <v>56</v>
      </c>
      <c r="B1160" s="53" t="s">
        <v>37</v>
      </c>
      <c r="C1160" s="53" t="s">
        <v>23</v>
      </c>
      <c r="D1160" s="53" t="s">
        <v>41</v>
      </c>
      <c r="E1160" s="53" t="s">
        <v>25</v>
      </c>
      <c r="F1160" s="53" t="s">
        <v>25</v>
      </c>
      <c r="G1160" s="53" t="s">
        <v>25</v>
      </c>
      <c r="H1160" s="53" t="s">
        <v>25</v>
      </c>
      <c r="I1160" s="75">
        <v>44774</v>
      </c>
      <c r="J1160" s="76">
        <f>EFEITO!$J$1160*EFEITO!$Y$1160</f>
        <v>0</v>
      </c>
      <c r="K1160" s="76">
        <f ca="1">EFEITO!$L$1160*EFEITO!$Z$1160</f>
        <v>2014.4428051646535</v>
      </c>
      <c r="L1160" s="76">
        <f>EFEITO!$N$1160*EFEITO!$AA$1160</f>
        <v>1482.3472836503693</v>
      </c>
      <c r="M1160" s="76">
        <f>$J$1160-EFEITO!$K$1160*EFEITO!$Y$1160</f>
        <v>0</v>
      </c>
      <c r="N1160" s="76">
        <f ca="1">$K$1160-EFEITO!$M$1160*EFEITO!$Z$1160</f>
        <v>0</v>
      </c>
      <c r="O1160" s="76">
        <f>$L$1160-EFEITO!$O$1160*EFEITO!$AA$1160</f>
        <v>0</v>
      </c>
      <c r="P1160" s="57"/>
      <c r="Q1160" s="57"/>
      <c r="R1160" s="57"/>
      <c r="S1160" s="57"/>
      <c r="T1160" s="57"/>
      <c r="U1160" s="57"/>
      <c r="V1160" s="57"/>
      <c r="W1160" s="57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</row>
    <row r="1161" spans="1:36" ht="11.25" customHeight="1" x14ac:dyDescent="0.2">
      <c r="A1161" s="53" t="s">
        <v>56</v>
      </c>
      <c r="B1161" s="53" t="s">
        <v>37</v>
      </c>
      <c r="C1161" s="53" t="s">
        <v>23</v>
      </c>
      <c r="D1161" s="53" t="s">
        <v>41</v>
      </c>
      <c r="E1161" s="53" t="s">
        <v>25</v>
      </c>
      <c r="F1161" s="53" t="s">
        <v>25</v>
      </c>
      <c r="G1161" s="53" t="s">
        <v>25</v>
      </c>
      <c r="H1161" s="53" t="s">
        <v>25</v>
      </c>
      <c r="I1161" s="75">
        <v>44774</v>
      </c>
      <c r="J1161" s="76">
        <f>EFEITO!$J$1161*EFEITO!$Y$1161</f>
        <v>0</v>
      </c>
      <c r="K1161" s="76">
        <f ca="1">EFEITO!$L$1161*EFEITO!$Z$1161</f>
        <v>99009.88561399818</v>
      </c>
      <c r="L1161" s="76">
        <f>EFEITO!$N$1161*EFEITO!$AA$1161</f>
        <v>72857.384989119979</v>
      </c>
      <c r="M1161" s="76">
        <f>$J$1161-EFEITO!$K$1161*EFEITO!$Y$1161</f>
        <v>0</v>
      </c>
      <c r="N1161" s="76">
        <f ca="1">$K$1161-EFEITO!$M$1161*EFEITO!$Z$1161</f>
        <v>0</v>
      </c>
      <c r="O1161" s="76">
        <f>$L$1161-EFEITO!$O$1161*EFEITO!$AA$1161</f>
        <v>0</v>
      </c>
      <c r="P1161" s="57"/>
      <c r="Q1161" s="57"/>
      <c r="R1161" s="57"/>
      <c r="S1161" s="57"/>
      <c r="T1161" s="57"/>
      <c r="U1161" s="57"/>
      <c r="V1161" s="57"/>
      <c r="W1161" s="57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</row>
    <row r="1162" spans="1:36" ht="11.25" customHeight="1" x14ac:dyDescent="0.2">
      <c r="A1162" s="53" t="s">
        <v>21</v>
      </c>
      <c r="B1162" s="53" t="s">
        <v>37</v>
      </c>
      <c r="C1162" s="53" t="s">
        <v>23</v>
      </c>
      <c r="D1162" s="53" t="s">
        <v>51</v>
      </c>
      <c r="E1162" s="53" t="s">
        <v>25</v>
      </c>
      <c r="F1162" s="53" t="s">
        <v>25</v>
      </c>
      <c r="G1162" s="53" t="s">
        <v>25</v>
      </c>
      <c r="H1162" s="53" t="s">
        <v>25</v>
      </c>
      <c r="I1162" s="75">
        <v>44440</v>
      </c>
      <c r="J1162" s="76">
        <f>EFEITO!$J$1162*EFEITO!$Y$1162</f>
        <v>0</v>
      </c>
      <c r="K1162" s="76">
        <f ca="1">EFEITO!$L$1162*EFEITO!$Z$1162</f>
        <v>15891.184036943181</v>
      </c>
      <c r="L1162" s="76">
        <f>EFEITO!$N$1162*EFEITO!$AA$1162</f>
        <v>11693.681960469177</v>
      </c>
      <c r="M1162" s="76">
        <f>$J$1162-EFEITO!$K$1162*EFEITO!$Y$1162</f>
        <v>0</v>
      </c>
      <c r="N1162" s="76">
        <f ca="1">$K$1162-EFEITO!$M$1162*EFEITO!$Z$1162</f>
        <v>0</v>
      </c>
      <c r="O1162" s="76">
        <f>$L$1162-EFEITO!$O$1162*EFEITO!$AA$1162</f>
        <v>0</v>
      </c>
      <c r="P1162" s="57"/>
      <c r="Q1162" s="57"/>
      <c r="R1162" s="57"/>
      <c r="S1162" s="57"/>
      <c r="T1162" s="57"/>
      <c r="U1162" s="57"/>
      <c r="V1162" s="57"/>
      <c r="W1162" s="57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</row>
    <row r="1163" spans="1:36" ht="11.25" customHeight="1" x14ac:dyDescent="0.2">
      <c r="A1163" s="53" t="s">
        <v>21</v>
      </c>
      <c r="B1163" s="53" t="s">
        <v>37</v>
      </c>
      <c r="C1163" s="53" t="s">
        <v>23</v>
      </c>
      <c r="D1163" s="53" t="s">
        <v>51</v>
      </c>
      <c r="E1163" s="53" t="s">
        <v>25</v>
      </c>
      <c r="F1163" s="53" t="s">
        <v>25</v>
      </c>
      <c r="G1163" s="53" t="s">
        <v>25</v>
      </c>
      <c r="H1163" s="53" t="s">
        <v>25</v>
      </c>
      <c r="I1163" s="75">
        <v>44470</v>
      </c>
      <c r="J1163" s="76">
        <f>EFEITO!$J$1163*EFEITO!$Y$1163</f>
        <v>0</v>
      </c>
      <c r="K1163" s="76">
        <f ca="1">EFEITO!$L$1163*EFEITO!$Z$1163</f>
        <v>15121.147730457837</v>
      </c>
      <c r="L1163" s="76">
        <f>EFEITO!$N$1163*EFEITO!$AA$1163</f>
        <v>11127.043272935225</v>
      </c>
      <c r="M1163" s="76">
        <f>$J$1163-EFEITO!$K$1163*EFEITO!$Y$1163</f>
        <v>0</v>
      </c>
      <c r="N1163" s="76">
        <f ca="1">$K$1163-EFEITO!$M$1163*EFEITO!$Z$1163</f>
        <v>0</v>
      </c>
      <c r="O1163" s="76">
        <f>$L$1163-EFEITO!$O$1163*EFEITO!$AA$1163</f>
        <v>0</v>
      </c>
      <c r="P1163" s="57"/>
      <c r="Q1163" s="57"/>
      <c r="R1163" s="57"/>
      <c r="S1163" s="57"/>
      <c r="T1163" s="57"/>
      <c r="U1163" s="57"/>
      <c r="V1163" s="57"/>
      <c r="W1163" s="57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</row>
    <row r="1164" spans="1:36" ht="11.25" customHeight="1" x14ac:dyDescent="0.2">
      <c r="A1164" s="53" t="s">
        <v>21</v>
      </c>
      <c r="B1164" s="53" t="s">
        <v>37</v>
      </c>
      <c r="C1164" s="53" t="s">
        <v>23</v>
      </c>
      <c r="D1164" s="53" t="s">
        <v>51</v>
      </c>
      <c r="E1164" s="53" t="s">
        <v>25</v>
      </c>
      <c r="F1164" s="53" t="s">
        <v>25</v>
      </c>
      <c r="G1164" s="53" t="s">
        <v>25</v>
      </c>
      <c r="H1164" s="53" t="s">
        <v>25</v>
      </c>
      <c r="I1164" s="75">
        <v>44501</v>
      </c>
      <c r="J1164" s="76">
        <f>EFEITO!$J$1164*EFEITO!$Y$1164</f>
        <v>0</v>
      </c>
      <c r="K1164" s="76">
        <f ca="1">EFEITO!$L$1164*EFEITO!$Z$1164</f>
        <v>19803.107610883693</v>
      </c>
      <c r="L1164" s="76">
        <f>EFEITO!$N$1164*EFEITO!$AA$1164</f>
        <v>14572.308878449401</v>
      </c>
      <c r="M1164" s="76">
        <f>$J$1164-EFEITO!$K$1164*EFEITO!$Y$1164</f>
        <v>0</v>
      </c>
      <c r="N1164" s="76">
        <f ca="1">$K$1164-EFEITO!$M$1164*EFEITO!$Z$1164</f>
        <v>0</v>
      </c>
      <c r="O1164" s="76">
        <f>$L$1164-EFEITO!$O$1164*EFEITO!$AA$1164</f>
        <v>0</v>
      </c>
      <c r="P1164" s="57"/>
      <c r="Q1164" s="57"/>
      <c r="R1164" s="57"/>
      <c r="S1164" s="57"/>
      <c r="T1164" s="57"/>
      <c r="U1164" s="57"/>
      <c r="V1164" s="57"/>
      <c r="W1164" s="57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</row>
    <row r="1165" spans="1:36" ht="11.25" customHeight="1" x14ac:dyDescent="0.2">
      <c r="A1165" s="53" t="s">
        <v>27</v>
      </c>
      <c r="B1165" s="53" t="s">
        <v>37</v>
      </c>
      <c r="C1165" s="53" t="s">
        <v>23</v>
      </c>
      <c r="D1165" s="53" t="s">
        <v>51</v>
      </c>
      <c r="E1165" s="53" t="s">
        <v>25</v>
      </c>
      <c r="F1165" s="53" t="s">
        <v>25</v>
      </c>
      <c r="G1165" s="53" t="s">
        <v>25</v>
      </c>
      <c r="H1165" s="53" t="s">
        <v>25</v>
      </c>
      <c r="I1165" s="75">
        <v>44501</v>
      </c>
      <c r="J1165" s="76">
        <f>EFEITO!$J$1165*EFEITO!$Y$1165</f>
        <v>0</v>
      </c>
      <c r="K1165" s="76">
        <f ca="1">EFEITO!$L$1165*EFEITO!$Z$1165</f>
        <v>885.2591304371324</v>
      </c>
      <c r="L1165" s="76">
        <f>EFEITO!$N$1165*EFEITO!$AA$1165</f>
        <v>651.42652050769527</v>
      </c>
      <c r="M1165" s="76">
        <f>$J$1165-EFEITO!$K$1165*EFEITO!$Y$1165</f>
        <v>0</v>
      </c>
      <c r="N1165" s="76">
        <f ca="1">$K$1165-EFEITO!$M$1165*EFEITO!$Z$1165</f>
        <v>0</v>
      </c>
      <c r="O1165" s="76">
        <f>$L$1165-EFEITO!$O$1165*EFEITO!$AA$1165</f>
        <v>0</v>
      </c>
      <c r="P1165" s="57"/>
      <c r="Q1165" s="57"/>
      <c r="R1165" s="57"/>
      <c r="S1165" s="57"/>
      <c r="T1165" s="57"/>
      <c r="U1165" s="57"/>
      <c r="V1165" s="57"/>
      <c r="W1165" s="57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</row>
    <row r="1166" spans="1:36" ht="11.25" customHeight="1" x14ac:dyDescent="0.2">
      <c r="A1166" s="53" t="s">
        <v>21</v>
      </c>
      <c r="B1166" s="53" t="s">
        <v>37</v>
      </c>
      <c r="C1166" s="53" t="s">
        <v>23</v>
      </c>
      <c r="D1166" s="53" t="s">
        <v>51</v>
      </c>
      <c r="E1166" s="53" t="s">
        <v>25</v>
      </c>
      <c r="F1166" s="53" t="s">
        <v>25</v>
      </c>
      <c r="G1166" s="53" t="s">
        <v>25</v>
      </c>
      <c r="H1166" s="53" t="s">
        <v>25</v>
      </c>
      <c r="I1166" s="75">
        <v>44531</v>
      </c>
      <c r="J1166" s="76">
        <f>EFEITO!$J$1166*EFEITO!$Y$1166</f>
        <v>0</v>
      </c>
      <c r="K1166" s="76">
        <f ca="1">EFEITO!$L$1166*EFEITO!$Z$1166</f>
        <v>18515.220801279178</v>
      </c>
      <c r="L1166" s="76">
        <f>EFEITO!$N$1166*EFEITO!$AA$1166</f>
        <v>13624.604873663646</v>
      </c>
      <c r="M1166" s="76">
        <f>$J$1166-EFEITO!$K$1166*EFEITO!$Y$1166</f>
        <v>0</v>
      </c>
      <c r="N1166" s="76">
        <f ca="1">$K$1166-EFEITO!$M$1166*EFEITO!$Z$1166</f>
        <v>0</v>
      </c>
      <c r="O1166" s="76">
        <f>$L$1166-EFEITO!$O$1166*EFEITO!$AA$1166</f>
        <v>0</v>
      </c>
      <c r="P1166" s="57"/>
      <c r="Q1166" s="57"/>
      <c r="R1166" s="57"/>
      <c r="S1166" s="57"/>
      <c r="T1166" s="57"/>
      <c r="U1166" s="57"/>
      <c r="V1166" s="57"/>
      <c r="W1166" s="57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</row>
    <row r="1167" spans="1:36" ht="11.25" customHeight="1" x14ac:dyDescent="0.2">
      <c r="A1167" s="53" t="s">
        <v>21</v>
      </c>
      <c r="B1167" s="53" t="s">
        <v>37</v>
      </c>
      <c r="C1167" s="53" t="s">
        <v>23</v>
      </c>
      <c r="D1167" s="53" t="s">
        <v>51</v>
      </c>
      <c r="E1167" s="53" t="s">
        <v>25</v>
      </c>
      <c r="F1167" s="53" t="s">
        <v>25</v>
      </c>
      <c r="G1167" s="53" t="s">
        <v>25</v>
      </c>
      <c r="H1167" s="53" t="s">
        <v>25</v>
      </c>
      <c r="I1167" s="75">
        <v>44562</v>
      </c>
      <c r="J1167" s="76">
        <f>EFEITO!$J$1167*EFEITO!$Y$1167</f>
        <v>0</v>
      </c>
      <c r="K1167" s="76">
        <f ca="1">EFEITO!$L$1167*EFEITO!$Z$1167</f>
        <v>22472.363898581902</v>
      </c>
      <c r="L1167" s="76">
        <f>EFEITO!$N$1167*EFEITO!$AA$1167</f>
        <v>16536.50701665998</v>
      </c>
      <c r="M1167" s="76">
        <f>$J$1167-EFEITO!$K$1167*EFEITO!$Y$1167</f>
        <v>0</v>
      </c>
      <c r="N1167" s="76">
        <f ca="1">$K$1167-EFEITO!$M$1167*EFEITO!$Z$1167</f>
        <v>0</v>
      </c>
      <c r="O1167" s="76">
        <f>$L$1167-EFEITO!$O$1167*EFEITO!$AA$1167</f>
        <v>0</v>
      </c>
      <c r="P1167" s="57"/>
      <c r="Q1167" s="57"/>
      <c r="R1167" s="57"/>
      <c r="S1167" s="57"/>
      <c r="T1167" s="57"/>
      <c r="U1167" s="57"/>
      <c r="V1167" s="57"/>
      <c r="W1167" s="57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</row>
    <row r="1168" spans="1:36" ht="11.25" customHeight="1" x14ac:dyDescent="0.2">
      <c r="A1168" s="53" t="s">
        <v>27</v>
      </c>
      <c r="B1168" s="53" t="s">
        <v>37</v>
      </c>
      <c r="C1168" s="53" t="s">
        <v>23</v>
      </c>
      <c r="D1168" s="53" t="s">
        <v>51</v>
      </c>
      <c r="E1168" s="53" t="s">
        <v>25</v>
      </c>
      <c r="F1168" s="53" t="s">
        <v>25</v>
      </c>
      <c r="G1168" s="53" t="s">
        <v>25</v>
      </c>
      <c r="H1168" s="53" t="s">
        <v>25</v>
      </c>
      <c r="I1168" s="75">
        <v>44562</v>
      </c>
      <c r="J1168" s="76">
        <f>EFEITO!$J$1168*EFEITO!$Y$1168</f>
        <v>0</v>
      </c>
      <c r="K1168" s="76">
        <f ca="1">EFEITO!$L$1168*EFEITO!$Z$1168</f>
        <v>-13.04409327756089</v>
      </c>
      <c r="L1168" s="76">
        <f>EFEITO!$N$1168*EFEITO!$AA$1168</f>
        <v>-9.5986226008010096</v>
      </c>
      <c r="M1168" s="76">
        <f>$J$1168-EFEITO!$K$1168*EFEITO!$Y$1168</f>
        <v>0</v>
      </c>
      <c r="N1168" s="76">
        <f ca="1">$K$1168-EFEITO!$M$1168*EFEITO!$Z$1168</f>
        <v>0</v>
      </c>
      <c r="O1168" s="76">
        <f>$L$1168-EFEITO!$O$1168*EFEITO!$AA$1168</f>
        <v>0</v>
      </c>
      <c r="P1168" s="57"/>
      <c r="Q1168" s="57"/>
      <c r="R1168" s="57"/>
      <c r="S1168" s="57"/>
      <c r="T1168" s="57"/>
      <c r="U1168" s="57"/>
      <c r="V1168" s="57"/>
      <c r="W1168" s="57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</row>
    <row r="1169" spans="1:36" ht="11.25" customHeight="1" x14ac:dyDescent="0.2">
      <c r="A1169" s="53" t="s">
        <v>21</v>
      </c>
      <c r="B1169" s="53" t="s">
        <v>37</v>
      </c>
      <c r="C1169" s="53" t="s">
        <v>23</v>
      </c>
      <c r="D1169" s="53" t="s">
        <v>51</v>
      </c>
      <c r="E1169" s="53" t="s">
        <v>25</v>
      </c>
      <c r="F1169" s="53" t="s">
        <v>25</v>
      </c>
      <c r="G1169" s="53" t="s">
        <v>25</v>
      </c>
      <c r="H1169" s="53" t="s">
        <v>25</v>
      </c>
      <c r="I1169" s="75">
        <v>44593</v>
      </c>
      <c r="J1169" s="76">
        <f>EFEITO!$J$1169*EFEITO!$Y$1169</f>
        <v>0</v>
      </c>
      <c r="K1169" s="76">
        <f ca="1">EFEITO!$L$1169*EFEITO!$Z$1169</f>
        <v>18991.330205910152</v>
      </c>
      <c r="L1169" s="76">
        <f>EFEITO!$N$1169*EFEITO!$AA$1169</f>
        <v>13974.954598592883</v>
      </c>
      <c r="M1169" s="76">
        <f>$J$1169-EFEITO!$K$1169*EFEITO!$Y$1169</f>
        <v>0</v>
      </c>
      <c r="N1169" s="76">
        <f ca="1">$K$1169-EFEITO!$M$1169*EFEITO!$Z$1169</f>
        <v>0</v>
      </c>
      <c r="O1169" s="76">
        <f>$L$1169-EFEITO!$O$1169*EFEITO!$AA$1169</f>
        <v>0</v>
      </c>
      <c r="P1169" s="57"/>
      <c r="Q1169" s="57"/>
      <c r="R1169" s="57"/>
      <c r="S1169" s="57"/>
      <c r="T1169" s="57"/>
      <c r="U1169" s="57"/>
      <c r="V1169" s="57"/>
      <c r="W1169" s="57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</row>
    <row r="1170" spans="1:36" ht="11.25" customHeight="1" x14ac:dyDescent="0.2">
      <c r="A1170" s="53" t="s">
        <v>21</v>
      </c>
      <c r="B1170" s="53" t="s">
        <v>37</v>
      </c>
      <c r="C1170" s="53" t="s">
        <v>23</v>
      </c>
      <c r="D1170" s="53" t="s">
        <v>51</v>
      </c>
      <c r="E1170" s="53" t="s">
        <v>25</v>
      </c>
      <c r="F1170" s="53" t="s">
        <v>25</v>
      </c>
      <c r="G1170" s="53" t="s">
        <v>25</v>
      </c>
      <c r="H1170" s="53" t="s">
        <v>25</v>
      </c>
      <c r="I1170" s="75">
        <v>44621</v>
      </c>
      <c r="J1170" s="76">
        <f>EFEITO!$J$1170*EFEITO!$Y$1170</f>
        <v>0</v>
      </c>
      <c r="K1170" s="76">
        <f ca="1">EFEITO!$L$1170*EFEITO!$Z$1170</f>
        <v>24977.264610982846</v>
      </c>
      <c r="L1170" s="76">
        <f>EFEITO!$N$1170*EFEITO!$AA$1170</f>
        <v>18379.762510100467</v>
      </c>
      <c r="M1170" s="76">
        <f>$J$1170-EFEITO!$K$1170*EFEITO!$Y$1170</f>
        <v>0</v>
      </c>
      <c r="N1170" s="76">
        <f ca="1">$K$1170-EFEITO!$M$1170*EFEITO!$Z$1170</f>
        <v>0</v>
      </c>
      <c r="O1170" s="76">
        <f>$L$1170-EFEITO!$O$1170*EFEITO!$AA$1170</f>
        <v>0</v>
      </c>
      <c r="P1170" s="57"/>
      <c r="Q1170" s="57"/>
      <c r="R1170" s="57"/>
      <c r="S1170" s="57"/>
      <c r="T1170" s="57"/>
      <c r="U1170" s="57"/>
      <c r="V1170" s="57"/>
      <c r="W1170" s="57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</row>
    <row r="1171" spans="1:36" ht="11.25" customHeight="1" x14ac:dyDescent="0.2">
      <c r="A1171" s="53" t="s">
        <v>21</v>
      </c>
      <c r="B1171" s="53" t="s">
        <v>37</v>
      </c>
      <c r="C1171" s="53" t="s">
        <v>23</v>
      </c>
      <c r="D1171" s="53" t="s">
        <v>51</v>
      </c>
      <c r="E1171" s="53" t="s">
        <v>25</v>
      </c>
      <c r="F1171" s="53" t="s">
        <v>25</v>
      </c>
      <c r="G1171" s="53" t="s">
        <v>25</v>
      </c>
      <c r="H1171" s="53" t="s">
        <v>25</v>
      </c>
      <c r="I1171" s="75">
        <v>44652</v>
      </c>
      <c r="J1171" s="76">
        <f>EFEITO!$J$1171*EFEITO!$Y$1171</f>
        <v>0</v>
      </c>
      <c r="K1171" s="76">
        <f ca="1">EFEITO!$L$1171*EFEITO!$Z$1171</f>
        <v>19908.329963322682</v>
      </c>
      <c r="L1171" s="76">
        <f>EFEITO!$N$1171*EFEITO!$AA$1171</f>
        <v>14649.737767429195</v>
      </c>
      <c r="M1171" s="76">
        <f>$J$1171-EFEITO!$K$1171*EFEITO!$Y$1171</f>
        <v>0</v>
      </c>
      <c r="N1171" s="76">
        <f ca="1">$K$1171-EFEITO!$M$1171*EFEITO!$Z$1171</f>
        <v>0</v>
      </c>
      <c r="O1171" s="76">
        <f>$L$1171-EFEITO!$O$1171*EFEITO!$AA$1171</f>
        <v>0</v>
      </c>
      <c r="P1171" s="57"/>
      <c r="Q1171" s="57"/>
      <c r="R1171" s="57"/>
      <c r="S1171" s="57"/>
      <c r="T1171" s="57"/>
      <c r="U1171" s="57"/>
      <c r="V1171" s="57"/>
      <c r="W1171" s="57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</row>
    <row r="1172" spans="1:36" ht="11.25" customHeight="1" x14ac:dyDescent="0.2">
      <c r="A1172" s="53" t="s">
        <v>21</v>
      </c>
      <c r="B1172" s="53" t="s">
        <v>37</v>
      </c>
      <c r="C1172" s="53" t="s">
        <v>23</v>
      </c>
      <c r="D1172" s="53" t="s">
        <v>51</v>
      </c>
      <c r="E1172" s="53" t="s">
        <v>25</v>
      </c>
      <c r="F1172" s="53" t="s">
        <v>25</v>
      </c>
      <c r="G1172" s="53" t="s">
        <v>25</v>
      </c>
      <c r="H1172" s="53" t="s">
        <v>25</v>
      </c>
      <c r="I1172" s="75">
        <v>44682</v>
      </c>
      <c r="J1172" s="76">
        <f>EFEITO!$J$1172*EFEITO!$Y$1172</f>
        <v>0</v>
      </c>
      <c r="K1172" s="76">
        <f ca="1">EFEITO!$L$1172*EFEITO!$Z$1172</f>
        <v>17489.955069662894</v>
      </c>
      <c r="L1172" s="76">
        <f>EFEITO!$N$1172*EFEITO!$AA$1172</f>
        <v>12870.153137240688</v>
      </c>
      <c r="M1172" s="76">
        <f>$J$1172-EFEITO!$K$1172*EFEITO!$Y$1172</f>
        <v>0</v>
      </c>
      <c r="N1172" s="76">
        <f ca="1">$K$1172-EFEITO!$M$1172*EFEITO!$Z$1172</f>
        <v>0</v>
      </c>
      <c r="O1172" s="76">
        <f>$L$1172-EFEITO!$O$1172*EFEITO!$AA$1172</f>
        <v>0</v>
      </c>
      <c r="P1172" s="57"/>
      <c r="Q1172" s="57"/>
      <c r="R1172" s="57"/>
      <c r="S1172" s="57"/>
      <c r="T1172" s="57"/>
      <c r="U1172" s="57"/>
      <c r="V1172" s="57"/>
      <c r="W1172" s="57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</row>
    <row r="1173" spans="1:36" ht="11.25" customHeight="1" x14ac:dyDescent="0.2">
      <c r="A1173" s="53" t="s">
        <v>21</v>
      </c>
      <c r="B1173" s="53" t="s">
        <v>37</v>
      </c>
      <c r="C1173" s="53" t="s">
        <v>23</v>
      </c>
      <c r="D1173" s="53" t="s">
        <v>51</v>
      </c>
      <c r="E1173" s="53" t="s">
        <v>25</v>
      </c>
      <c r="F1173" s="53" t="s">
        <v>25</v>
      </c>
      <c r="G1173" s="53" t="s">
        <v>25</v>
      </c>
      <c r="H1173" s="53" t="s">
        <v>25</v>
      </c>
      <c r="I1173" s="75">
        <v>44713</v>
      </c>
      <c r="J1173" s="76">
        <f>EFEITO!$J$1173*EFEITO!$Y$1173</f>
        <v>0</v>
      </c>
      <c r="K1173" s="76">
        <f ca="1">EFEITO!$L$1173*EFEITO!$Z$1173</f>
        <v>14922.87751263891</v>
      </c>
      <c r="L1173" s="76">
        <f>EFEITO!$N$1173*EFEITO!$AA$1173</f>
        <v>10981.144209403048</v>
      </c>
      <c r="M1173" s="76">
        <f>$J$1173-EFEITO!$K$1173*EFEITO!$Y$1173</f>
        <v>0</v>
      </c>
      <c r="N1173" s="76">
        <f ca="1">$K$1173-EFEITO!$M$1173*EFEITO!$Z$1173</f>
        <v>0</v>
      </c>
      <c r="O1173" s="76">
        <f>$L$1173-EFEITO!$O$1173*EFEITO!$AA$1173</f>
        <v>0</v>
      </c>
      <c r="P1173" s="57"/>
      <c r="Q1173" s="57"/>
      <c r="R1173" s="57"/>
      <c r="S1173" s="57"/>
      <c r="T1173" s="57"/>
      <c r="U1173" s="57"/>
      <c r="V1173" s="57"/>
      <c r="W1173" s="57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</row>
    <row r="1174" spans="1:36" ht="11.25" customHeight="1" x14ac:dyDescent="0.2">
      <c r="A1174" s="53" t="s">
        <v>21</v>
      </c>
      <c r="B1174" s="53" t="s">
        <v>37</v>
      </c>
      <c r="C1174" s="53" t="s">
        <v>23</v>
      </c>
      <c r="D1174" s="53" t="s">
        <v>51</v>
      </c>
      <c r="E1174" s="53" t="s">
        <v>25</v>
      </c>
      <c r="F1174" s="53" t="s">
        <v>25</v>
      </c>
      <c r="G1174" s="53" t="s">
        <v>25</v>
      </c>
      <c r="H1174" s="53" t="s">
        <v>25</v>
      </c>
      <c r="I1174" s="75">
        <v>44743</v>
      </c>
      <c r="J1174" s="76">
        <f>EFEITO!$J$1174*EFEITO!$Y$1174</f>
        <v>0</v>
      </c>
      <c r="K1174" s="76">
        <f ca="1">EFEITO!$L$1174*EFEITO!$Z$1174</f>
        <v>15679.000119628192</v>
      </c>
      <c r="L1174" s="76">
        <f>EFEITO!$N$1174*EFEITO!$AA$1174</f>
        <v>11537.544366162814</v>
      </c>
      <c r="M1174" s="76">
        <f>$J$1174-EFEITO!$K$1174*EFEITO!$Y$1174</f>
        <v>0</v>
      </c>
      <c r="N1174" s="76">
        <f ca="1">$K$1174-EFEITO!$M$1174*EFEITO!$Z$1174</f>
        <v>0</v>
      </c>
      <c r="O1174" s="76">
        <f>$L$1174-EFEITO!$O$1174*EFEITO!$AA$1174</f>
        <v>0</v>
      </c>
      <c r="P1174" s="57"/>
      <c r="Q1174" s="57"/>
      <c r="R1174" s="57"/>
      <c r="S1174" s="57"/>
      <c r="T1174" s="57"/>
      <c r="U1174" s="57"/>
      <c r="V1174" s="57"/>
      <c r="W1174" s="57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</row>
    <row r="1175" spans="1:36" ht="11.25" customHeight="1" x14ac:dyDescent="0.2">
      <c r="A1175" s="53" t="s">
        <v>56</v>
      </c>
      <c r="B1175" s="53" t="s">
        <v>37</v>
      </c>
      <c r="C1175" s="53" t="s">
        <v>23</v>
      </c>
      <c r="D1175" s="53" t="s">
        <v>51</v>
      </c>
      <c r="E1175" s="53" t="s">
        <v>25</v>
      </c>
      <c r="F1175" s="53" t="s">
        <v>25</v>
      </c>
      <c r="G1175" s="53" t="s">
        <v>25</v>
      </c>
      <c r="H1175" s="53" t="s">
        <v>25</v>
      </c>
      <c r="I1175" s="75">
        <v>44774</v>
      </c>
      <c r="J1175" s="76">
        <f>EFEITO!$J$1175*EFEITO!$Y$1175</f>
        <v>0</v>
      </c>
      <c r="K1175" s="76">
        <f ca="1">EFEITO!$L$1175*EFEITO!$Z$1175</f>
        <v>15679.000119628192</v>
      </c>
      <c r="L1175" s="76">
        <f>EFEITO!$N$1175*EFEITO!$AA$1175</f>
        <v>11537.544366162814</v>
      </c>
      <c r="M1175" s="76">
        <f>$J$1175-EFEITO!$K$1175*EFEITO!$Y$1175</f>
        <v>0</v>
      </c>
      <c r="N1175" s="76">
        <f ca="1">$K$1175-EFEITO!$M$1175*EFEITO!$Z$1175</f>
        <v>0</v>
      </c>
      <c r="O1175" s="76">
        <f>$L$1175-EFEITO!$O$1175*EFEITO!$AA$1175</f>
        <v>0</v>
      </c>
      <c r="P1175" s="57"/>
      <c r="Q1175" s="57"/>
      <c r="R1175" s="57"/>
      <c r="S1175" s="57"/>
      <c r="T1175" s="57"/>
      <c r="U1175" s="57"/>
      <c r="V1175" s="57"/>
      <c r="W1175" s="57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</row>
    <row r="1176" spans="1:36" ht="11.25" customHeight="1" x14ac:dyDescent="0.2">
      <c r="A1176" s="53" t="s">
        <v>21</v>
      </c>
      <c r="B1176" s="53" t="s">
        <v>37</v>
      </c>
      <c r="C1176" s="53" t="s">
        <v>23</v>
      </c>
      <c r="D1176" s="53" t="s">
        <v>38</v>
      </c>
      <c r="E1176" s="53" t="s">
        <v>25</v>
      </c>
      <c r="F1176" s="53" t="s">
        <v>25</v>
      </c>
      <c r="G1176" s="53" t="s">
        <v>25</v>
      </c>
      <c r="H1176" s="53" t="s">
        <v>25</v>
      </c>
      <c r="I1176" s="75">
        <v>44440</v>
      </c>
      <c r="J1176" s="76">
        <f>EFEITO!$J$1176*EFEITO!$Y$1176</f>
        <v>0</v>
      </c>
      <c r="K1176" s="76">
        <f ca="1">EFEITO!$L$1176*EFEITO!$Z$1176</f>
        <v>318045.43032458215</v>
      </c>
      <c r="L1176" s="76">
        <f>EFEITO!$N$1176*EFEITO!$AA$1176</f>
        <v>234036.81579359717</v>
      </c>
      <c r="M1176" s="76">
        <f>$J$1176-EFEITO!$K$1176*EFEITO!$Y$1176</f>
        <v>0</v>
      </c>
      <c r="N1176" s="76">
        <f ca="1">$K$1176-EFEITO!$M$1176*EFEITO!$Z$1176</f>
        <v>0</v>
      </c>
      <c r="O1176" s="76">
        <f>$L$1176-EFEITO!$O$1176*EFEITO!$AA$1176</f>
        <v>0</v>
      </c>
      <c r="P1176" s="57"/>
      <c r="Q1176" s="57"/>
      <c r="R1176" s="57"/>
      <c r="S1176" s="57"/>
      <c r="T1176" s="57"/>
      <c r="U1176" s="57"/>
      <c r="V1176" s="57"/>
      <c r="W1176" s="57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</row>
    <row r="1177" spans="1:36" ht="11.25" customHeight="1" x14ac:dyDescent="0.2">
      <c r="A1177" s="53" t="s">
        <v>28</v>
      </c>
      <c r="B1177" s="53" t="s">
        <v>37</v>
      </c>
      <c r="C1177" s="53" t="s">
        <v>23</v>
      </c>
      <c r="D1177" s="53" t="s">
        <v>38</v>
      </c>
      <c r="E1177" s="53" t="s">
        <v>25</v>
      </c>
      <c r="F1177" s="53" t="s">
        <v>25</v>
      </c>
      <c r="G1177" s="53" t="s">
        <v>25</v>
      </c>
      <c r="H1177" s="53" t="s">
        <v>25</v>
      </c>
      <c r="I1177" s="75">
        <v>44440</v>
      </c>
      <c r="J1177" s="76">
        <f>EFEITO!$J$1177*EFEITO!$Y$1177</f>
        <v>0</v>
      </c>
      <c r="K1177" s="76">
        <f ca="1">EFEITO!$L$1177*EFEITO!$Z$1177</f>
        <v>17329.07791923964</v>
      </c>
      <c r="L1177" s="76">
        <f>EFEITO!$N$1177*EFEITO!$AA$1177</f>
        <v>12751.770125164141</v>
      </c>
      <c r="M1177" s="76">
        <f>$J$1177-EFEITO!$K$1177*EFEITO!$Y$1177</f>
        <v>0</v>
      </c>
      <c r="N1177" s="76">
        <f ca="1">$K$1177-EFEITO!$M$1177*EFEITO!$Z$1177</f>
        <v>0</v>
      </c>
      <c r="O1177" s="76">
        <f>$L$1177-EFEITO!$O$1177*EFEITO!$AA$1177</f>
        <v>0</v>
      </c>
      <c r="P1177" s="57"/>
      <c r="Q1177" s="57"/>
      <c r="R1177" s="57"/>
      <c r="S1177" s="57"/>
      <c r="T1177" s="57"/>
      <c r="U1177" s="57"/>
      <c r="V1177" s="57"/>
      <c r="W1177" s="57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</row>
    <row r="1178" spans="1:36" ht="11.25" customHeight="1" x14ac:dyDescent="0.2">
      <c r="A1178" s="53" t="s">
        <v>21</v>
      </c>
      <c r="B1178" s="53" t="s">
        <v>37</v>
      </c>
      <c r="C1178" s="53" t="s">
        <v>23</v>
      </c>
      <c r="D1178" s="53" t="s">
        <v>38</v>
      </c>
      <c r="E1178" s="53" t="s">
        <v>25</v>
      </c>
      <c r="F1178" s="53" t="s">
        <v>25</v>
      </c>
      <c r="G1178" s="53" t="s">
        <v>25</v>
      </c>
      <c r="H1178" s="53" t="s">
        <v>25</v>
      </c>
      <c r="I1178" s="75">
        <v>44470</v>
      </c>
      <c r="J1178" s="76">
        <f>EFEITO!$J$1178*EFEITO!$Y$1178</f>
        <v>0</v>
      </c>
      <c r="K1178" s="76">
        <f ca="1">EFEITO!$L$1178*EFEITO!$Z$1178</f>
        <v>324724.44088580261</v>
      </c>
      <c r="L1178" s="76">
        <f>EFEITO!$N$1178*EFEITO!$AA$1178</f>
        <v>238951.63051929398</v>
      </c>
      <c r="M1178" s="76">
        <f>$J$1178-EFEITO!$K$1178*EFEITO!$Y$1178</f>
        <v>0</v>
      </c>
      <c r="N1178" s="76">
        <f ca="1">$K$1178-EFEITO!$M$1178*EFEITO!$Z$1178</f>
        <v>0</v>
      </c>
      <c r="O1178" s="76">
        <f>$L$1178-EFEITO!$O$1178*EFEITO!$AA$1178</f>
        <v>0</v>
      </c>
      <c r="P1178" s="57"/>
      <c r="Q1178" s="57"/>
      <c r="R1178" s="57"/>
      <c r="S1178" s="57"/>
      <c r="T1178" s="57"/>
      <c r="U1178" s="57"/>
      <c r="V1178" s="57"/>
      <c r="W1178" s="57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</row>
    <row r="1179" spans="1:36" ht="11.25" customHeight="1" x14ac:dyDescent="0.2">
      <c r="A1179" s="53" t="s">
        <v>27</v>
      </c>
      <c r="B1179" s="53" t="s">
        <v>37</v>
      </c>
      <c r="C1179" s="53" t="s">
        <v>23</v>
      </c>
      <c r="D1179" s="53" t="s">
        <v>38</v>
      </c>
      <c r="E1179" s="53" t="s">
        <v>25</v>
      </c>
      <c r="F1179" s="53" t="s">
        <v>25</v>
      </c>
      <c r="G1179" s="53" t="s">
        <v>25</v>
      </c>
      <c r="H1179" s="53" t="s">
        <v>25</v>
      </c>
      <c r="I1179" s="75">
        <v>44470</v>
      </c>
      <c r="J1179" s="76">
        <f>EFEITO!$J$1179*EFEITO!$Y$1179</f>
        <v>0</v>
      </c>
      <c r="K1179" s="76">
        <f ca="1">EFEITO!$L$1179*EFEITO!$Z$1179</f>
        <v>-3049.2742051844843</v>
      </c>
      <c r="L1179" s="76">
        <f>EFEITO!$N$1179*EFEITO!$AA$1179</f>
        <v>-2243.8380099805827</v>
      </c>
      <c r="M1179" s="76">
        <f>$J$1179-EFEITO!$K$1179*EFEITO!$Y$1179</f>
        <v>0</v>
      </c>
      <c r="N1179" s="76">
        <f ca="1">$K$1179-EFEITO!$M$1179*EFEITO!$Z$1179</f>
        <v>0</v>
      </c>
      <c r="O1179" s="76">
        <f>$L$1179-EFEITO!$O$1179*EFEITO!$AA$1179</f>
        <v>0</v>
      </c>
      <c r="P1179" s="57"/>
      <c r="Q1179" s="57"/>
      <c r="R1179" s="57"/>
      <c r="S1179" s="57"/>
      <c r="T1179" s="57"/>
      <c r="U1179" s="57"/>
      <c r="V1179" s="57"/>
      <c r="W1179" s="57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</row>
    <row r="1180" spans="1:36" ht="11.25" customHeight="1" x14ac:dyDescent="0.2">
      <c r="A1180" s="53" t="s">
        <v>28</v>
      </c>
      <c r="B1180" s="53" t="s">
        <v>37</v>
      </c>
      <c r="C1180" s="53" t="s">
        <v>23</v>
      </c>
      <c r="D1180" s="53" t="s">
        <v>38</v>
      </c>
      <c r="E1180" s="53" t="s">
        <v>25</v>
      </c>
      <c r="F1180" s="53" t="s">
        <v>25</v>
      </c>
      <c r="G1180" s="53" t="s">
        <v>25</v>
      </c>
      <c r="H1180" s="53" t="s">
        <v>25</v>
      </c>
      <c r="I1180" s="75">
        <v>44470</v>
      </c>
      <c r="J1180" s="76">
        <f>EFEITO!$J$1180*EFEITO!$Y$1180</f>
        <v>0</v>
      </c>
      <c r="K1180" s="76">
        <f ca="1">EFEITO!$L$1180*EFEITO!$Z$1180</f>
        <v>23312.838308766073</v>
      </c>
      <c r="L1180" s="76">
        <f>EFEITO!$N$1180*EFEITO!$AA$1180</f>
        <v>17154.978266238257</v>
      </c>
      <c r="M1180" s="76">
        <f>$J$1180-EFEITO!$K$1180*EFEITO!$Y$1180</f>
        <v>0</v>
      </c>
      <c r="N1180" s="76">
        <f ca="1">$K$1180-EFEITO!$M$1180*EFEITO!$Z$1180</f>
        <v>0</v>
      </c>
      <c r="O1180" s="76">
        <f>$L$1180-EFEITO!$O$1180*EFEITO!$AA$1180</f>
        <v>0</v>
      </c>
      <c r="P1180" s="57"/>
      <c r="Q1180" s="57"/>
      <c r="R1180" s="57"/>
      <c r="S1180" s="57"/>
      <c r="T1180" s="57"/>
      <c r="U1180" s="57"/>
      <c r="V1180" s="57"/>
      <c r="W1180" s="57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</row>
    <row r="1181" spans="1:36" ht="11.25" customHeight="1" x14ac:dyDescent="0.2">
      <c r="A1181" s="53" t="s">
        <v>28</v>
      </c>
      <c r="B1181" s="53" t="s">
        <v>37</v>
      </c>
      <c r="C1181" s="53" t="s">
        <v>23</v>
      </c>
      <c r="D1181" s="53" t="s">
        <v>38</v>
      </c>
      <c r="E1181" s="53" t="s">
        <v>25</v>
      </c>
      <c r="F1181" s="53" t="s">
        <v>25</v>
      </c>
      <c r="G1181" s="53" t="s">
        <v>25</v>
      </c>
      <c r="H1181" s="53" t="s">
        <v>25</v>
      </c>
      <c r="I1181" s="75">
        <v>44470</v>
      </c>
      <c r="J1181" s="76">
        <f>EFEITO!$J$1181*EFEITO!$Y$1181</f>
        <v>0</v>
      </c>
      <c r="K1181" s="76">
        <f ca="1">EFEITO!$L$1181*EFEITO!$Z$1181</f>
        <v>2217.4958571853513</v>
      </c>
      <c r="L1181" s="76">
        <f>EFEITO!$N$1181*EFEITO!$AA$1181</f>
        <v>1631.7658421361716</v>
      </c>
      <c r="M1181" s="76">
        <f>$J$1181-EFEITO!$K$1181*EFEITO!$Y$1181</f>
        <v>0</v>
      </c>
      <c r="N1181" s="76">
        <f ca="1">$K$1181-EFEITO!$M$1181*EFEITO!$Z$1181</f>
        <v>0</v>
      </c>
      <c r="O1181" s="76">
        <f>$L$1181-EFEITO!$O$1181*EFEITO!$AA$1181</f>
        <v>0</v>
      </c>
      <c r="P1181" s="57"/>
      <c r="Q1181" s="57"/>
      <c r="R1181" s="57"/>
      <c r="S1181" s="57"/>
      <c r="T1181" s="57"/>
      <c r="U1181" s="57"/>
      <c r="V1181" s="57"/>
      <c r="W1181" s="57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</row>
    <row r="1182" spans="1:36" ht="11.25" customHeight="1" x14ac:dyDescent="0.2">
      <c r="A1182" s="53" t="s">
        <v>21</v>
      </c>
      <c r="B1182" s="53" t="s">
        <v>37</v>
      </c>
      <c r="C1182" s="53" t="s">
        <v>23</v>
      </c>
      <c r="D1182" s="53" t="s">
        <v>38</v>
      </c>
      <c r="E1182" s="53" t="s">
        <v>25</v>
      </c>
      <c r="F1182" s="53" t="s">
        <v>25</v>
      </c>
      <c r="G1182" s="53" t="s">
        <v>25</v>
      </c>
      <c r="H1182" s="53" t="s">
        <v>25</v>
      </c>
      <c r="I1182" s="75">
        <v>44501</v>
      </c>
      <c r="J1182" s="76">
        <f>EFEITO!$J$1182*EFEITO!$Y$1182</f>
        <v>0</v>
      </c>
      <c r="K1182" s="76">
        <f ca="1">EFEITO!$L$1182*EFEITO!$Z$1182</f>
        <v>310675.51762276026</v>
      </c>
      <c r="L1182" s="76">
        <f>EFEITO!$N$1182*EFEITO!$AA$1182</f>
        <v>228613.59402414458</v>
      </c>
      <c r="M1182" s="76">
        <f>$J$1182-EFEITO!$K$1182*EFEITO!$Y$1182</f>
        <v>0</v>
      </c>
      <c r="N1182" s="76">
        <f ca="1">$K$1182-EFEITO!$M$1182*EFEITO!$Z$1182</f>
        <v>0</v>
      </c>
      <c r="O1182" s="76">
        <f>$L$1182-EFEITO!$O$1182*EFEITO!$AA$1182</f>
        <v>0</v>
      </c>
      <c r="P1182" s="57"/>
      <c r="Q1182" s="57"/>
      <c r="R1182" s="57"/>
      <c r="S1182" s="57"/>
      <c r="T1182" s="57"/>
      <c r="U1182" s="57"/>
      <c r="V1182" s="57"/>
      <c r="W1182" s="57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</row>
    <row r="1183" spans="1:36" ht="11.25" customHeight="1" x14ac:dyDescent="0.2">
      <c r="A1183" s="53" t="s">
        <v>27</v>
      </c>
      <c r="B1183" s="53" t="s">
        <v>37</v>
      </c>
      <c r="C1183" s="53" t="s">
        <v>23</v>
      </c>
      <c r="D1183" s="53" t="s">
        <v>38</v>
      </c>
      <c r="E1183" s="53" t="s">
        <v>25</v>
      </c>
      <c r="F1183" s="53" t="s">
        <v>25</v>
      </c>
      <c r="G1183" s="53" t="s">
        <v>25</v>
      </c>
      <c r="H1183" s="53" t="s">
        <v>25</v>
      </c>
      <c r="I1183" s="75">
        <v>44501</v>
      </c>
      <c r="J1183" s="76">
        <f>EFEITO!$J$1183*EFEITO!$Y$1183</f>
        <v>0</v>
      </c>
      <c r="K1183" s="76">
        <f ca="1">EFEITO!$L$1183*EFEITO!$Z$1183</f>
        <v>19.131336807089305</v>
      </c>
      <c r="L1183" s="76">
        <f>EFEITO!$N$1183*EFEITO!$AA$1183</f>
        <v>14.077979814508147</v>
      </c>
      <c r="M1183" s="76">
        <f>$J$1183-EFEITO!$K$1183*EFEITO!$Y$1183</f>
        <v>0</v>
      </c>
      <c r="N1183" s="76">
        <f ca="1">$K$1183-EFEITO!$M$1183*EFEITO!$Z$1183</f>
        <v>0</v>
      </c>
      <c r="O1183" s="76">
        <f>$L$1183-EFEITO!$O$1183*EFEITO!$AA$1183</f>
        <v>0</v>
      </c>
      <c r="P1183" s="57"/>
      <c r="Q1183" s="57"/>
      <c r="R1183" s="57"/>
      <c r="S1183" s="57"/>
      <c r="T1183" s="57"/>
      <c r="U1183" s="57"/>
      <c r="V1183" s="57"/>
      <c r="W1183" s="57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</row>
    <row r="1184" spans="1:36" ht="11.25" customHeight="1" x14ac:dyDescent="0.2">
      <c r="A1184" s="53" t="s">
        <v>28</v>
      </c>
      <c r="B1184" s="53" t="s">
        <v>37</v>
      </c>
      <c r="C1184" s="53" t="s">
        <v>23</v>
      </c>
      <c r="D1184" s="53" t="s">
        <v>38</v>
      </c>
      <c r="E1184" s="53" t="s">
        <v>25</v>
      </c>
      <c r="F1184" s="53" t="s">
        <v>25</v>
      </c>
      <c r="G1184" s="53" t="s">
        <v>25</v>
      </c>
      <c r="H1184" s="53" t="s">
        <v>25</v>
      </c>
      <c r="I1184" s="75">
        <v>44501</v>
      </c>
      <c r="J1184" s="76">
        <f>EFEITO!$J$1184*EFEITO!$Y$1184</f>
        <v>0</v>
      </c>
      <c r="K1184" s="76">
        <f ca="1">EFEITO!$L$1184*EFEITO!$Z$1184</f>
        <v>21963.644260757028</v>
      </c>
      <c r="L1184" s="76">
        <f>EFEITO!$N$1184*EFEITO!$AA$1184</f>
        <v>16162.160735228741</v>
      </c>
      <c r="M1184" s="76">
        <f>$J$1184-EFEITO!$K$1184*EFEITO!$Y$1184</f>
        <v>0</v>
      </c>
      <c r="N1184" s="76">
        <f ca="1">$K$1184-EFEITO!$M$1184*EFEITO!$Z$1184</f>
        <v>0</v>
      </c>
      <c r="O1184" s="76">
        <f>$L$1184-EFEITO!$O$1184*EFEITO!$AA$1184</f>
        <v>0</v>
      </c>
      <c r="P1184" s="57"/>
      <c r="Q1184" s="57"/>
      <c r="R1184" s="57"/>
      <c r="S1184" s="57"/>
      <c r="T1184" s="57"/>
      <c r="U1184" s="57"/>
      <c r="V1184" s="57"/>
      <c r="W1184" s="57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</row>
    <row r="1185" spans="1:36" ht="11.25" customHeight="1" x14ac:dyDescent="0.2">
      <c r="A1185" s="53" t="s">
        <v>28</v>
      </c>
      <c r="B1185" s="53" t="s">
        <v>37</v>
      </c>
      <c r="C1185" s="53" t="s">
        <v>23</v>
      </c>
      <c r="D1185" s="53" t="s">
        <v>38</v>
      </c>
      <c r="E1185" s="53" t="s">
        <v>25</v>
      </c>
      <c r="F1185" s="53" t="s">
        <v>25</v>
      </c>
      <c r="G1185" s="53" t="s">
        <v>25</v>
      </c>
      <c r="H1185" s="53" t="s">
        <v>25</v>
      </c>
      <c r="I1185" s="75">
        <v>44501</v>
      </c>
      <c r="J1185" s="76">
        <f>EFEITO!$J$1185*EFEITO!$Y$1185</f>
        <v>0</v>
      </c>
      <c r="K1185" s="76">
        <f ca="1">EFEITO!$L$1185*EFEITO!$Z$1185</f>
        <v>547.85191765755735</v>
      </c>
      <c r="L1185" s="76">
        <f>EFEITO!$N$1185*EFEITO!$AA$1185</f>
        <v>403.14214923364244</v>
      </c>
      <c r="M1185" s="76">
        <f>$J$1185-EFEITO!$K$1185*EFEITO!$Y$1185</f>
        <v>0</v>
      </c>
      <c r="N1185" s="76">
        <f ca="1">$K$1185-EFEITO!$M$1185*EFEITO!$Z$1185</f>
        <v>0</v>
      </c>
      <c r="O1185" s="76">
        <f>$L$1185-EFEITO!$O$1185*EFEITO!$AA$1185</f>
        <v>0</v>
      </c>
      <c r="P1185" s="57"/>
      <c r="Q1185" s="57"/>
      <c r="R1185" s="57"/>
      <c r="S1185" s="57"/>
      <c r="T1185" s="57"/>
      <c r="U1185" s="57"/>
      <c r="V1185" s="57"/>
      <c r="W1185" s="57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</row>
    <row r="1186" spans="1:36" ht="11.25" customHeight="1" x14ac:dyDescent="0.2">
      <c r="A1186" s="53" t="s">
        <v>21</v>
      </c>
      <c r="B1186" s="53" t="s">
        <v>37</v>
      </c>
      <c r="C1186" s="53" t="s">
        <v>23</v>
      </c>
      <c r="D1186" s="53" t="s">
        <v>38</v>
      </c>
      <c r="E1186" s="53" t="s">
        <v>25</v>
      </c>
      <c r="F1186" s="53" t="s">
        <v>25</v>
      </c>
      <c r="G1186" s="53" t="s">
        <v>25</v>
      </c>
      <c r="H1186" s="53" t="s">
        <v>25</v>
      </c>
      <c r="I1186" s="75">
        <v>44531</v>
      </c>
      <c r="J1186" s="76">
        <f>EFEITO!$J$1186*EFEITO!$Y$1186</f>
        <v>0</v>
      </c>
      <c r="K1186" s="76">
        <f ca="1">EFEITO!$L$1186*EFEITO!$Z$1186</f>
        <v>323721.78491586738</v>
      </c>
      <c r="L1186" s="76">
        <f>EFEITO!$N$1186*EFEITO!$AA$1186</f>
        <v>238213.81639537905</v>
      </c>
      <c r="M1186" s="76">
        <f>$J$1186-EFEITO!$K$1186*EFEITO!$Y$1186</f>
        <v>0</v>
      </c>
      <c r="N1186" s="76">
        <f ca="1">$K$1186-EFEITO!$M$1186*EFEITO!$Z$1186</f>
        <v>0</v>
      </c>
      <c r="O1186" s="76">
        <f>$L$1186-EFEITO!$O$1186*EFEITO!$AA$1186</f>
        <v>0</v>
      </c>
      <c r="P1186" s="57"/>
      <c r="Q1186" s="57"/>
      <c r="R1186" s="57"/>
      <c r="S1186" s="57"/>
      <c r="T1186" s="57"/>
      <c r="U1186" s="57"/>
      <c r="V1186" s="57"/>
      <c r="W1186" s="57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</row>
    <row r="1187" spans="1:36" ht="11.25" customHeight="1" x14ac:dyDescent="0.2">
      <c r="A1187" s="53" t="s">
        <v>27</v>
      </c>
      <c r="B1187" s="53" t="s">
        <v>37</v>
      </c>
      <c r="C1187" s="53" t="s">
        <v>23</v>
      </c>
      <c r="D1187" s="53" t="s">
        <v>38</v>
      </c>
      <c r="E1187" s="53" t="s">
        <v>25</v>
      </c>
      <c r="F1187" s="53" t="s">
        <v>25</v>
      </c>
      <c r="G1187" s="53" t="s">
        <v>25</v>
      </c>
      <c r="H1187" s="53" t="s">
        <v>25</v>
      </c>
      <c r="I1187" s="75">
        <v>44531</v>
      </c>
      <c r="J1187" s="76">
        <f>EFEITO!$J$1187*EFEITO!$Y$1187</f>
        <v>0</v>
      </c>
      <c r="K1187" s="76">
        <f ca="1">EFEITO!$L$1187*EFEITO!$Z$1187</f>
        <v>156.96392243998272</v>
      </c>
      <c r="L1187" s="76">
        <f>EFEITO!$N$1187*EFEITO!$AA$1187</f>
        <v>115.50342529630548</v>
      </c>
      <c r="M1187" s="76">
        <f>$J$1187-EFEITO!$K$1187*EFEITO!$Y$1187</f>
        <v>0</v>
      </c>
      <c r="N1187" s="76">
        <f ca="1">$K$1187-EFEITO!$M$1187*EFEITO!$Z$1187</f>
        <v>0</v>
      </c>
      <c r="O1187" s="76">
        <f>$L$1187-EFEITO!$O$1187*EFEITO!$AA$1187</f>
        <v>0</v>
      </c>
      <c r="P1187" s="57"/>
      <c r="Q1187" s="57"/>
      <c r="R1187" s="57"/>
      <c r="S1187" s="57"/>
      <c r="T1187" s="57"/>
      <c r="U1187" s="57"/>
      <c r="V1187" s="57"/>
      <c r="W1187" s="57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</row>
    <row r="1188" spans="1:36" ht="11.25" customHeight="1" x14ac:dyDescent="0.2">
      <c r="A1188" s="53" t="s">
        <v>28</v>
      </c>
      <c r="B1188" s="53" t="s">
        <v>37</v>
      </c>
      <c r="C1188" s="53" t="s">
        <v>23</v>
      </c>
      <c r="D1188" s="53" t="s">
        <v>38</v>
      </c>
      <c r="E1188" s="53" t="s">
        <v>25</v>
      </c>
      <c r="F1188" s="53" t="s">
        <v>25</v>
      </c>
      <c r="G1188" s="53" t="s">
        <v>25</v>
      </c>
      <c r="H1188" s="53" t="s">
        <v>25</v>
      </c>
      <c r="I1188" s="75">
        <v>44531</v>
      </c>
      <c r="J1188" s="76">
        <f>EFEITO!$J$1188*EFEITO!$Y$1188</f>
        <v>0</v>
      </c>
      <c r="K1188" s="76">
        <f ca="1">EFEITO!$L$1188*EFEITO!$Z$1188</f>
        <v>21689.718301928249</v>
      </c>
      <c r="L1188" s="76">
        <f>EFEITO!$N$1188*EFEITO!$AA$1188</f>
        <v>15960.58966061192</v>
      </c>
      <c r="M1188" s="76">
        <f>$J$1188-EFEITO!$K$1188*EFEITO!$Y$1188</f>
        <v>0</v>
      </c>
      <c r="N1188" s="76">
        <f ca="1">$K$1188-EFEITO!$M$1188*EFEITO!$Z$1188</f>
        <v>0</v>
      </c>
      <c r="O1188" s="76">
        <f>$L$1188-EFEITO!$O$1188*EFEITO!$AA$1188</f>
        <v>0</v>
      </c>
      <c r="P1188" s="57"/>
      <c r="Q1188" s="57"/>
      <c r="R1188" s="57"/>
      <c r="S1188" s="57"/>
      <c r="T1188" s="57"/>
      <c r="U1188" s="57"/>
      <c r="V1188" s="57"/>
      <c r="W1188" s="57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</row>
    <row r="1189" spans="1:36" ht="11.25" customHeight="1" x14ac:dyDescent="0.2">
      <c r="A1189" s="53" t="s">
        <v>21</v>
      </c>
      <c r="B1189" s="53" t="s">
        <v>37</v>
      </c>
      <c r="C1189" s="53" t="s">
        <v>23</v>
      </c>
      <c r="D1189" s="53" t="s">
        <v>38</v>
      </c>
      <c r="E1189" s="53" t="s">
        <v>25</v>
      </c>
      <c r="F1189" s="53" t="s">
        <v>25</v>
      </c>
      <c r="G1189" s="53" t="s">
        <v>25</v>
      </c>
      <c r="H1189" s="53" t="s">
        <v>25</v>
      </c>
      <c r="I1189" s="75">
        <v>44562</v>
      </c>
      <c r="J1189" s="76">
        <f>EFEITO!$J$1189*EFEITO!$Y$1189</f>
        <v>0</v>
      </c>
      <c r="K1189" s="76">
        <f ca="1">EFEITO!$L$1189*EFEITO!$Z$1189</f>
        <v>290411.95351917867</v>
      </c>
      <c r="L1189" s="76">
        <f>EFEITO!$N$1189*EFEITO!$AA$1189</f>
        <v>213702.45376788694</v>
      </c>
      <c r="M1189" s="76">
        <f>$J$1189-EFEITO!$K$1189*EFEITO!$Y$1189</f>
        <v>0</v>
      </c>
      <c r="N1189" s="76">
        <f ca="1">$K$1189-EFEITO!$M$1189*EFEITO!$Z$1189</f>
        <v>0</v>
      </c>
      <c r="O1189" s="76">
        <f>$L$1189-EFEITO!$O$1189*EFEITO!$AA$1189</f>
        <v>0</v>
      </c>
      <c r="P1189" s="57"/>
      <c r="Q1189" s="57"/>
      <c r="R1189" s="57"/>
      <c r="S1189" s="57"/>
      <c r="T1189" s="57"/>
      <c r="U1189" s="57"/>
      <c r="V1189" s="57"/>
      <c r="W1189" s="57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</row>
    <row r="1190" spans="1:36" ht="11.25" customHeight="1" x14ac:dyDescent="0.2">
      <c r="A1190" s="53" t="s">
        <v>28</v>
      </c>
      <c r="B1190" s="53" t="s">
        <v>37</v>
      </c>
      <c r="C1190" s="53" t="s">
        <v>23</v>
      </c>
      <c r="D1190" s="53" t="s">
        <v>38</v>
      </c>
      <c r="E1190" s="53" t="s">
        <v>25</v>
      </c>
      <c r="F1190" s="53" t="s">
        <v>25</v>
      </c>
      <c r="G1190" s="53" t="s">
        <v>25</v>
      </c>
      <c r="H1190" s="53" t="s">
        <v>25</v>
      </c>
      <c r="I1190" s="75">
        <v>44562</v>
      </c>
      <c r="J1190" s="76">
        <f>EFEITO!$J$1190*EFEITO!$Y$1190</f>
        <v>0</v>
      </c>
      <c r="K1190" s="76">
        <f ca="1">EFEITO!$L$1190*EFEITO!$Z$1190</f>
        <v>17480.8242043686</v>
      </c>
      <c r="L1190" s="76">
        <f>EFEITO!$N$1190*EFEITO!$AA$1190</f>
        <v>12863.434101420127</v>
      </c>
      <c r="M1190" s="76">
        <f>$J$1190-EFEITO!$K$1190*EFEITO!$Y$1190</f>
        <v>0</v>
      </c>
      <c r="N1190" s="76">
        <f ca="1">$K$1190-EFEITO!$M$1190*EFEITO!$Z$1190</f>
        <v>0</v>
      </c>
      <c r="O1190" s="76">
        <f>$L$1190-EFEITO!$O$1190*EFEITO!$AA$1190</f>
        <v>0</v>
      </c>
      <c r="P1190" s="57"/>
      <c r="Q1190" s="57"/>
      <c r="R1190" s="57"/>
      <c r="S1190" s="57"/>
      <c r="T1190" s="57"/>
      <c r="U1190" s="57"/>
      <c r="V1190" s="57"/>
      <c r="W1190" s="57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</row>
    <row r="1191" spans="1:36" ht="11.25" customHeight="1" x14ac:dyDescent="0.2">
      <c r="A1191" s="53" t="s">
        <v>21</v>
      </c>
      <c r="B1191" s="53" t="s">
        <v>37</v>
      </c>
      <c r="C1191" s="53" t="s">
        <v>23</v>
      </c>
      <c r="D1191" s="53" t="s">
        <v>38</v>
      </c>
      <c r="E1191" s="53" t="s">
        <v>25</v>
      </c>
      <c r="F1191" s="53" t="s">
        <v>25</v>
      </c>
      <c r="G1191" s="53" t="s">
        <v>25</v>
      </c>
      <c r="H1191" s="53" t="s">
        <v>25</v>
      </c>
      <c r="I1191" s="75">
        <v>44593</v>
      </c>
      <c r="J1191" s="76">
        <f>EFEITO!$J$1191*EFEITO!$Y$1191</f>
        <v>0</v>
      </c>
      <c r="K1191" s="76">
        <f ca="1">EFEITO!$L$1191*EFEITO!$Z$1191</f>
        <v>363934.55047504138</v>
      </c>
      <c r="L1191" s="76">
        <f>EFEITO!$N$1191*EFEITO!$AA$1191</f>
        <v>267804.77010321512</v>
      </c>
      <c r="M1191" s="76">
        <f>$J$1191-EFEITO!$K$1191*EFEITO!$Y$1191</f>
        <v>0</v>
      </c>
      <c r="N1191" s="76">
        <f ca="1">$K$1191-EFEITO!$M$1191*EFEITO!$Z$1191</f>
        <v>0</v>
      </c>
      <c r="O1191" s="76">
        <f>$L$1191-EFEITO!$O$1191*EFEITO!$AA$1191</f>
        <v>0</v>
      </c>
      <c r="P1191" s="57"/>
      <c r="Q1191" s="57"/>
      <c r="R1191" s="57"/>
      <c r="S1191" s="57"/>
      <c r="T1191" s="57"/>
      <c r="U1191" s="57"/>
      <c r="V1191" s="57"/>
      <c r="W1191" s="57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</row>
    <row r="1192" spans="1:36" ht="11.25" customHeight="1" x14ac:dyDescent="0.2">
      <c r="A1192" s="53" t="s">
        <v>27</v>
      </c>
      <c r="B1192" s="53" t="s">
        <v>37</v>
      </c>
      <c r="C1192" s="53" t="s">
        <v>23</v>
      </c>
      <c r="D1192" s="53" t="s">
        <v>38</v>
      </c>
      <c r="E1192" s="53" t="s">
        <v>25</v>
      </c>
      <c r="F1192" s="53" t="s">
        <v>25</v>
      </c>
      <c r="G1192" s="53" t="s">
        <v>25</v>
      </c>
      <c r="H1192" s="53" t="s">
        <v>25</v>
      </c>
      <c r="I1192" s="75">
        <v>44593</v>
      </c>
      <c r="J1192" s="76">
        <f>EFEITO!$J$1192*EFEITO!$Y$1192</f>
        <v>0</v>
      </c>
      <c r="K1192" s="76">
        <f ca="1">EFEITO!$L$1192*EFEITO!$Z$1192</f>
        <v>224.79320748329934</v>
      </c>
      <c r="L1192" s="76">
        <f>EFEITO!$N$1192*EFEITO!$AA$1192</f>
        <v>165.41626282047073</v>
      </c>
      <c r="M1192" s="76">
        <f>$J$1192-EFEITO!$K$1192*EFEITO!$Y$1192</f>
        <v>0</v>
      </c>
      <c r="N1192" s="76">
        <f ca="1">$K$1192-EFEITO!$M$1192*EFEITO!$Z$1192</f>
        <v>0</v>
      </c>
      <c r="O1192" s="76">
        <f>$L$1192-EFEITO!$O$1192*EFEITO!$AA$1192</f>
        <v>0</v>
      </c>
      <c r="P1192" s="57"/>
      <c r="Q1192" s="57"/>
      <c r="R1192" s="57"/>
      <c r="S1192" s="57"/>
      <c r="T1192" s="57"/>
      <c r="U1192" s="57"/>
      <c r="V1192" s="57"/>
      <c r="W1192" s="57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</row>
    <row r="1193" spans="1:36" ht="11.25" customHeight="1" x14ac:dyDescent="0.2">
      <c r="A1193" s="53" t="s">
        <v>28</v>
      </c>
      <c r="B1193" s="53" t="s">
        <v>37</v>
      </c>
      <c r="C1193" s="53" t="s">
        <v>23</v>
      </c>
      <c r="D1193" s="53" t="s">
        <v>38</v>
      </c>
      <c r="E1193" s="53" t="s">
        <v>25</v>
      </c>
      <c r="F1193" s="53" t="s">
        <v>25</v>
      </c>
      <c r="G1193" s="53" t="s">
        <v>25</v>
      </c>
      <c r="H1193" s="53" t="s">
        <v>25</v>
      </c>
      <c r="I1193" s="75">
        <v>44593</v>
      </c>
      <c r="J1193" s="76">
        <f>EFEITO!$J$1193*EFEITO!$Y$1193</f>
        <v>0</v>
      </c>
      <c r="K1193" s="76">
        <f ca="1">EFEITO!$L$1193*EFEITO!$Z$1193</f>
        <v>23797.208972472836</v>
      </c>
      <c r="L1193" s="76">
        <f>EFEITO!$N$1193*EFEITO!$AA$1193</f>
        <v>17511.40711881467</v>
      </c>
      <c r="M1193" s="76">
        <f>$J$1193-EFEITO!$K$1193*EFEITO!$Y$1193</f>
        <v>0</v>
      </c>
      <c r="N1193" s="76">
        <f ca="1">$K$1193-EFEITO!$M$1193*EFEITO!$Z$1193</f>
        <v>0</v>
      </c>
      <c r="O1193" s="76">
        <f>$L$1193-EFEITO!$O$1193*EFEITO!$AA$1193</f>
        <v>0</v>
      </c>
      <c r="P1193" s="57"/>
      <c r="Q1193" s="57"/>
      <c r="R1193" s="57"/>
      <c r="S1193" s="57"/>
      <c r="T1193" s="57"/>
      <c r="U1193" s="57"/>
      <c r="V1193" s="57"/>
      <c r="W1193" s="57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</row>
    <row r="1194" spans="1:36" ht="11.25" customHeight="1" x14ac:dyDescent="0.2">
      <c r="A1194" s="53" t="s">
        <v>21</v>
      </c>
      <c r="B1194" s="53" t="s">
        <v>37</v>
      </c>
      <c r="C1194" s="53" t="s">
        <v>23</v>
      </c>
      <c r="D1194" s="53" t="s">
        <v>38</v>
      </c>
      <c r="E1194" s="53" t="s">
        <v>25</v>
      </c>
      <c r="F1194" s="53" t="s">
        <v>25</v>
      </c>
      <c r="G1194" s="53" t="s">
        <v>25</v>
      </c>
      <c r="H1194" s="53" t="s">
        <v>25</v>
      </c>
      <c r="I1194" s="75">
        <v>44621</v>
      </c>
      <c r="J1194" s="76">
        <f>EFEITO!$J$1194*EFEITO!$Y$1194</f>
        <v>0</v>
      </c>
      <c r="K1194" s="76">
        <f ca="1">EFEITO!$L$1194*EFEITO!$Z$1194</f>
        <v>349201.24711803632</v>
      </c>
      <c r="L1194" s="76">
        <f>EFEITO!$N$1194*EFEITO!$AA$1194</f>
        <v>256963.12587561036</v>
      </c>
      <c r="M1194" s="76">
        <f>$J$1194-EFEITO!$K$1194*EFEITO!$Y$1194</f>
        <v>0</v>
      </c>
      <c r="N1194" s="76">
        <f ca="1">$K$1194-EFEITO!$M$1194*EFEITO!$Z$1194</f>
        <v>0</v>
      </c>
      <c r="O1194" s="76">
        <f>$L$1194-EFEITO!$O$1194*EFEITO!$AA$1194</f>
        <v>0</v>
      </c>
      <c r="P1194" s="57"/>
      <c r="Q1194" s="57"/>
      <c r="R1194" s="57"/>
      <c r="S1194" s="57"/>
      <c r="T1194" s="57"/>
      <c r="U1194" s="57"/>
      <c r="V1194" s="57"/>
      <c r="W1194" s="57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</row>
    <row r="1195" spans="1:36" ht="11.25" customHeight="1" x14ac:dyDescent="0.2">
      <c r="A1195" s="53" t="s">
        <v>28</v>
      </c>
      <c r="B1195" s="53" t="s">
        <v>37</v>
      </c>
      <c r="C1195" s="53" t="s">
        <v>23</v>
      </c>
      <c r="D1195" s="53" t="s">
        <v>38</v>
      </c>
      <c r="E1195" s="53" t="s">
        <v>25</v>
      </c>
      <c r="F1195" s="53" t="s">
        <v>25</v>
      </c>
      <c r="G1195" s="53" t="s">
        <v>25</v>
      </c>
      <c r="H1195" s="53" t="s">
        <v>25</v>
      </c>
      <c r="I1195" s="75">
        <v>44621</v>
      </c>
      <c r="J1195" s="76">
        <f>EFEITO!$J$1195*EFEITO!$Y$1195</f>
        <v>0</v>
      </c>
      <c r="K1195" s="76">
        <f ca="1">EFEITO!$L$1195*EFEITO!$Z$1195</f>
        <v>23100.654391451084</v>
      </c>
      <c r="L1195" s="76">
        <f>EFEITO!$N$1195*EFEITO!$AA$1195</f>
        <v>16998.840671931895</v>
      </c>
      <c r="M1195" s="76">
        <f>$J$1195-EFEITO!$K$1195*EFEITO!$Y$1195</f>
        <v>0</v>
      </c>
      <c r="N1195" s="76">
        <f ca="1">$K$1195-EFEITO!$M$1195*EFEITO!$Z$1195</f>
        <v>0</v>
      </c>
      <c r="O1195" s="76">
        <f>$L$1195-EFEITO!$O$1195*EFEITO!$AA$1195</f>
        <v>0</v>
      </c>
      <c r="P1195" s="57"/>
      <c r="Q1195" s="57"/>
      <c r="R1195" s="57"/>
      <c r="S1195" s="57"/>
      <c r="T1195" s="57"/>
      <c r="U1195" s="57"/>
      <c r="V1195" s="57"/>
      <c r="W1195" s="57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</row>
    <row r="1196" spans="1:36" ht="11.25" customHeight="1" x14ac:dyDescent="0.2">
      <c r="A1196" s="53" t="s">
        <v>21</v>
      </c>
      <c r="B1196" s="53" t="s">
        <v>37</v>
      </c>
      <c r="C1196" s="53" t="s">
        <v>23</v>
      </c>
      <c r="D1196" s="53" t="s">
        <v>38</v>
      </c>
      <c r="E1196" s="53" t="s">
        <v>25</v>
      </c>
      <c r="F1196" s="53" t="s">
        <v>25</v>
      </c>
      <c r="G1196" s="53" t="s">
        <v>25</v>
      </c>
      <c r="H1196" s="53" t="s">
        <v>25</v>
      </c>
      <c r="I1196" s="75">
        <v>44652</v>
      </c>
      <c r="J1196" s="76">
        <f>EFEITO!$J$1196*EFEITO!$Y$1196</f>
        <v>0</v>
      </c>
      <c r="K1196" s="76">
        <f ca="1">EFEITO!$L$1196*EFEITO!$Z$1196</f>
        <v>360348.72923303989</v>
      </c>
      <c r="L1196" s="76">
        <f>EFEITO!$N$1196*EFEITO!$AA$1196</f>
        <v>265166.10875025491</v>
      </c>
      <c r="M1196" s="76">
        <f>$J$1196-EFEITO!$K$1196*EFEITO!$Y$1196</f>
        <v>0</v>
      </c>
      <c r="N1196" s="76">
        <f ca="1">$K$1196-EFEITO!$M$1196*EFEITO!$Z$1196</f>
        <v>0</v>
      </c>
      <c r="O1196" s="76">
        <f>$L$1196-EFEITO!$O$1196*EFEITO!$AA$1196</f>
        <v>0</v>
      </c>
      <c r="P1196" s="57"/>
      <c r="Q1196" s="57"/>
      <c r="R1196" s="57"/>
      <c r="S1196" s="57"/>
      <c r="T1196" s="57"/>
      <c r="U1196" s="57"/>
      <c r="V1196" s="57"/>
      <c r="W1196" s="57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</row>
    <row r="1197" spans="1:36" ht="11.25" customHeight="1" x14ac:dyDescent="0.2">
      <c r="A1197" s="53" t="s">
        <v>27</v>
      </c>
      <c r="B1197" s="53" t="s">
        <v>37</v>
      </c>
      <c r="C1197" s="53" t="s">
        <v>23</v>
      </c>
      <c r="D1197" s="53" t="s">
        <v>38</v>
      </c>
      <c r="E1197" s="53" t="s">
        <v>25</v>
      </c>
      <c r="F1197" s="53" t="s">
        <v>25</v>
      </c>
      <c r="G1197" s="53" t="s">
        <v>25</v>
      </c>
      <c r="H1197" s="53" t="s">
        <v>25</v>
      </c>
      <c r="I1197" s="75">
        <v>44652</v>
      </c>
      <c r="J1197" s="76">
        <f>EFEITO!$J$1197*EFEITO!$Y$1197</f>
        <v>0</v>
      </c>
      <c r="K1197" s="76">
        <f ca="1">EFEITO!$L$1197*EFEITO!$Z$1197</f>
        <v>31.740626975398165</v>
      </c>
      <c r="L1197" s="76">
        <f>EFEITO!$N$1197*EFEITO!$AA$1197</f>
        <v>23.35664832861579</v>
      </c>
      <c r="M1197" s="76">
        <f>$J$1197-EFEITO!$K$1197*EFEITO!$Y$1197</f>
        <v>0</v>
      </c>
      <c r="N1197" s="76">
        <f ca="1">$K$1197-EFEITO!$M$1197*EFEITO!$Z$1197</f>
        <v>0</v>
      </c>
      <c r="O1197" s="76">
        <f>$L$1197-EFEITO!$O$1197*EFEITO!$AA$1197</f>
        <v>0</v>
      </c>
      <c r="P1197" s="57"/>
      <c r="Q1197" s="57"/>
      <c r="R1197" s="57"/>
      <c r="S1197" s="57"/>
      <c r="T1197" s="57"/>
      <c r="U1197" s="57"/>
      <c r="V1197" s="57"/>
      <c r="W1197" s="57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</row>
    <row r="1198" spans="1:36" ht="11.25" customHeight="1" x14ac:dyDescent="0.2">
      <c r="A1198" s="53" t="s">
        <v>28</v>
      </c>
      <c r="B1198" s="53" t="s">
        <v>37</v>
      </c>
      <c r="C1198" s="53" t="s">
        <v>23</v>
      </c>
      <c r="D1198" s="53" t="s">
        <v>38</v>
      </c>
      <c r="E1198" s="53" t="s">
        <v>25</v>
      </c>
      <c r="F1198" s="53" t="s">
        <v>25</v>
      </c>
      <c r="G1198" s="53" t="s">
        <v>25</v>
      </c>
      <c r="H1198" s="53" t="s">
        <v>25</v>
      </c>
      <c r="I1198" s="75">
        <v>44652</v>
      </c>
      <c r="J1198" s="76">
        <f>EFEITO!$J$1198*EFEITO!$Y$1198</f>
        <v>0</v>
      </c>
      <c r="K1198" s="76">
        <f ca="1">EFEITO!$L$1198*EFEITO!$Z$1198</f>
        <v>31518.442586570382</v>
      </c>
      <c r="L1198" s="76">
        <f>EFEITO!$N$1198*EFEITO!$AA$1198</f>
        <v>23193.151790315482</v>
      </c>
      <c r="M1198" s="76">
        <f>$J$1198-EFEITO!$K$1198*EFEITO!$Y$1198</f>
        <v>0</v>
      </c>
      <c r="N1198" s="76">
        <f ca="1">$K$1198-EFEITO!$M$1198*EFEITO!$Z$1198</f>
        <v>0</v>
      </c>
      <c r="O1198" s="76">
        <f>$L$1198-EFEITO!$O$1198*EFEITO!$AA$1198</f>
        <v>0</v>
      </c>
      <c r="P1198" s="57"/>
      <c r="Q1198" s="57"/>
      <c r="R1198" s="57"/>
      <c r="S1198" s="57"/>
      <c r="T1198" s="57"/>
      <c r="U1198" s="57"/>
      <c r="V1198" s="57"/>
      <c r="W1198" s="57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</row>
    <row r="1199" spans="1:36" ht="11.25" customHeight="1" x14ac:dyDescent="0.2">
      <c r="A1199" s="53" t="s">
        <v>21</v>
      </c>
      <c r="B1199" s="53" t="s">
        <v>37</v>
      </c>
      <c r="C1199" s="53" t="s">
        <v>23</v>
      </c>
      <c r="D1199" s="53" t="s">
        <v>38</v>
      </c>
      <c r="E1199" s="53" t="s">
        <v>25</v>
      </c>
      <c r="F1199" s="53" t="s">
        <v>25</v>
      </c>
      <c r="G1199" s="53" t="s">
        <v>25</v>
      </c>
      <c r="H1199" s="53" t="s">
        <v>25</v>
      </c>
      <c r="I1199" s="75">
        <v>44682</v>
      </c>
      <c r="J1199" s="76">
        <f>EFEITO!$J$1199*EFEITO!$Y$1199</f>
        <v>0</v>
      </c>
      <c r="K1199" s="76">
        <f ca="1">EFEITO!$L$1199*EFEITO!$Z$1199</f>
        <v>322920.87758862518</v>
      </c>
      <c r="L1199" s="76">
        <f>EFEITO!$N$1199*EFEITO!$AA$1199</f>
        <v>237624.4609676899</v>
      </c>
      <c r="M1199" s="76">
        <f>$J$1199-EFEITO!$K$1199*EFEITO!$Y$1199</f>
        <v>0</v>
      </c>
      <c r="N1199" s="76">
        <f ca="1">$K$1199-EFEITO!$M$1199*EFEITO!$Z$1199</f>
        <v>0</v>
      </c>
      <c r="O1199" s="76">
        <f>$L$1199-EFEITO!$O$1199*EFEITO!$AA$1199</f>
        <v>0</v>
      </c>
      <c r="P1199" s="57"/>
      <c r="Q1199" s="57"/>
      <c r="R1199" s="57"/>
      <c r="S1199" s="57"/>
      <c r="T1199" s="57"/>
      <c r="U1199" s="57"/>
      <c r="V1199" s="57"/>
      <c r="W1199" s="57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</row>
    <row r="1200" spans="1:36" ht="11.25" customHeight="1" x14ac:dyDescent="0.2">
      <c r="A1200" s="53" t="s">
        <v>27</v>
      </c>
      <c r="B1200" s="53" t="s">
        <v>37</v>
      </c>
      <c r="C1200" s="53" t="s">
        <v>23</v>
      </c>
      <c r="D1200" s="53" t="s">
        <v>38</v>
      </c>
      <c r="E1200" s="53" t="s">
        <v>25</v>
      </c>
      <c r="F1200" s="53" t="s">
        <v>25</v>
      </c>
      <c r="G1200" s="53" t="s">
        <v>25</v>
      </c>
      <c r="H1200" s="53" t="s">
        <v>25</v>
      </c>
      <c r="I1200" s="75">
        <v>44682</v>
      </c>
      <c r="J1200" s="76">
        <f>EFEITO!$J$1200*EFEITO!$Y$1200</f>
        <v>0</v>
      </c>
      <c r="K1200" s="76">
        <f ca="1">EFEITO!$L$1200*EFEITO!$Z$1200</f>
        <v>1106.1391099371635</v>
      </c>
      <c r="L1200" s="76">
        <f>EFEITO!$N$1200*EFEITO!$AA$1200</f>
        <v>813.96319654792569</v>
      </c>
      <c r="M1200" s="76">
        <f>$J$1200-EFEITO!$K$1200*EFEITO!$Y$1200</f>
        <v>0</v>
      </c>
      <c r="N1200" s="76">
        <f ca="1">$K$1200-EFEITO!$M$1200*EFEITO!$Z$1200</f>
        <v>0</v>
      </c>
      <c r="O1200" s="76">
        <f>$L$1200-EFEITO!$O$1200*EFEITO!$AA$1200</f>
        <v>0</v>
      </c>
      <c r="P1200" s="57"/>
      <c r="Q1200" s="57"/>
      <c r="R1200" s="57"/>
      <c r="S1200" s="57"/>
      <c r="T1200" s="57"/>
      <c r="U1200" s="57"/>
      <c r="V1200" s="57"/>
      <c r="W1200" s="57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</row>
    <row r="1201" spans="1:36" ht="11.25" customHeight="1" x14ac:dyDescent="0.2">
      <c r="A1201" s="53" t="s">
        <v>28</v>
      </c>
      <c r="B1201" s="53" t="s">
        <v>37</v>
      </c>
      <c r="C1201" s="53" t="s">
        <v>23</v>
      </c>
      <c r="D1201" s="53" t="s">
        <v>38</v>
      </c>
      <c r="E1201" s="53" t="s">
        <v>25</v>
      </c>
      <c r="F1201" s="53" t="s">
        <v>25</v>
      </c>
      <c r="G1201" s="53" t="s">
        <v>25</v>
      </c>
      <c r="H1201" s="53" t="s">
        <v>25</v>
      </c>
      <c r="I1201" s="75">
        <v>44682</v>
      </c>
      <c r="J1201" s="76">
        <f>EFEITO!$J$1201*EFEITO!$Y$1201</f>
        <v>0</v>
      </c>
      <c r="K1201" s="76">
        <f ca="1">EFEITO!$L$1201*EFEITO!$Z$1201</f>
        <v>31368.870316987679</v>
      </c>
      <c r="L1201" s="76">
        <f>EFEITO!$N$1201*EFEITO!$AA$1201</f>
        <v>23083.087584492961</v>
      </c>
      <c r="M1201" s="76">
        <f>$J$1201-EFEITO!$K$1201*EFEITO!$Y$1201</f>
        <v>0</v>
      </c>
      <c r="N1201" s="76">
        <f ca="1">$K$1201-EFEITO!$M$1201*EFEITO!$Z$1201</f>
        <v>0</v>
      </c>
      <c r="O1201" s="76">
        <f>$L$1201-EFEITO!$O$1201*EFEITO!$AA$1201</f>
        <v>0</v>
      </c>
      <c r="P1201" s="57"/>
      <c r="Q1201" s="57"/>
      <c r="R1201" s="57"/>
      <c r="S1201" s="57"/>
      <c r="T1201" s="57"/>
      <c r="U1201" s="57"/>
      <c r="V1201" s="57"/>
      <c r="W1201" s="57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</row>
    <row r="1202" spans="1:36" ht="11.25" customHeight="1" x14ac:dyDescent="0.2">
      <c r="A1202" s="53" t="s">
        <v>21</v>
      </c>
      <c r="B1202" s="53" t="s">
        <v>37</v>
      </c>
      <c r="C1202" s="53" t="s">
        <v>23</v>
      </c>
      <c r="D1202" s="53" t="s">
        <v>38</v>
      </c>
      <c r="E1202" s="53" t="s">
        <v>25</v>
      </c>
      <c r="F1202" s="53" t="s">
        <v>25</v>
      </c>
      <c r="G1202" s="53" t="s">
        <v>25</v>
      </c>
      <c r="H1202" s="53" t="s">
        <v>25</v>
      </c>
      <c r="I1202" s="75">
        <v>44713</v>
      </c>
      <c r="J1202" s="76">
        <f>EFEITO!$J$1202*EFEITO!$Y$1202</f>
        <v>0</v>
      </c>
      <c r="K1202" s="76">
        <f ca="1">EFEITO!$L$1202*EFEITO!$Z$1202</f>
        <v>304021.29083876719</v>
      </c>
      <c r="L1202" s="76">
        <f>EFEITO!$N$1202*EFEITO!$AA$1202</f>
        <v>223717.0166813893</v>
      </c>
      <c r="M1202" s="76">
        <f>$J$1202-EFEITO!$K$1202*EFEITO!$Y$1202</f>
        <v>0</v>
      </c>
      <c r="N1202" s="76">
        <f ca="1">$K$1202-EFEITO!$M$1202*EFEITO!$Z$1202</f>
        <v>0</v>
      </c>
      <c r="O1202" s="76">
        <f>$L$1202-EFEITO!$O$1202*EFEITO!$AA$1202</f>
        <v>0</v>
      </c>
      <c r="P1202" s="57"/>
      <c r="Q1202" s="57"/>
      <c r="R1202" s="57"/>
      <c r="S1202" s="57"/>
      <c r="T1202" s="57"/>
      <c r="U1202" s="57"/>
      <c r="V1202" s="57"/>
      <c r="W1202" s="57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</row>
    <row r="1203" spans="1:36" ht="11.25" customHeight="1" x14ac:dyDescent="0.2">
      <c r="A1203" s="53" t="s">
        <v>27</v>
      </c>
      <c r="B1203" s="53" t="s">
        <v>37</v>
      </c>
      <c r="C1203" s="53" t="s">
        <v>23</v>
      </c>
      <c r="D1203" s="53" t="s">
        <v>38</v>
      </c>
      <c r="E1203" s="53" t="s">
        <v>25</v>
      </c>
      <c r="F1203" s="53" t="s">
        <v>25</v>
      </c>
      <c r="G1203" s="53" t="s">
        <v>25</v>
      </c>
      <c r="H1203" s="53" t="s">
        <v>25</v>
      </c>
      <c r="I1203" s="75">
        <v>44713</v>
      </c>
      <c r="J1203" s="76">
        <f>EFEITO!$J$1203*EFEITO!$Y$1203</f>
        <v>0</v>
      </c>
      <c r="K1203" s="76">
        <f ca="1">EFEITO!$L$1203*EFEITO!$Z$1203</f>
        <v>86.960621850405943</v>
      </c>
      <c r="L1203" s="76">
        <f>EFEITO!$N$1203*EFEITO!$AA$1203</f>
        <v>63.990817338673402</v>
      </c>
      <c r="M1203" s="76">
        <f>$J$1203-EFEITO!$K$1203*EFEITO!$Y$1203</f>
        <v>0</v>
      </c>
      <c r="N1203" s="76">
        <f ca="1">$K$1203-EFEITO!$M$1203*EFEITO!$Z$1203</f>
        <v>0</v>
      </c>
      <c r="O1203" s="76">
        <f>$L$1203-EFEITO!$O$1203*EFEITO!$AA$1203</f>
        <v>0</v>
      </c>
      <c r="P1203" s="57"/>
      <c r="Q1203" s="57"/>
      <c r="R1203" s="57"/>
      <c r="S1203" s="57"/>
      <c r="T1203" s="57"/>
      <c r="U1203" s="57"/>
      <c r="V1203" s="57"/>
      <c r="W1203" s="57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</row>
    <row r="1204" spans="1:36" ht="11.25" customHeight="1" x14ac:dyDescent="0.2">
      <c r="A1204" s="53" t="s">
        <v>28</v>
      </c>
      <c r="B1204" s="53" t="s">
        <v>37</v>
      </c>
      <c r="C1204" s="53" t="s">
        <v>23</v>
      </c>
      <c r="D1204" s="53" t="s">
        <v>38</v>
      </c>
      <c r="E1204" s="53" t="s">
        <v>25</v>
      </c>
      <c r="F1204" s="53" t="s">
        <v>25</v>
      </c>
      <c r="G1204" s="53" t="s">
        <v>25</v>
      </c>
      <c r="H1204" s="53" t="s">
        <v>25</v>
      </c>
      <c r="I1204" s="75">
        <v>44713</v>
      </c>
      <c r="J1204" s="76">
        <f>EFEITO!$J$1204*EFEITO!$Y$1204</f>
        <v>0</v>
      </c>
      <c r="K1204" s="76">
        <f ca="1">EFEITO!$L$1204*EFEITO!$Z$1204</f>
        <v>32072.816550866715</v>
      </c>
      <c r="L1204" s="76">
        <f>EFEITO!$N$1204*EFEITO!$AA$1204</f>
        <v>23601.093250849521</v>
      </c>
      <c r="M1204" s="76">
        <f>$J$1204-EFEITO!$K$1204*EFEITO!$Y$1204</f>
        <v>0</v>
      </c>
      <c r="N1204" s="76">
        <f ca="1">$K$1204-EFEITO!$M$1204*EFEITO!$Z$1204</f>
        <v>0</v>
      </c>
      <c r="O1204" s="76">
        <f>$L$1204-EFEITO!$O$1204*EFEITO!$AA$1204</f>
        <v>0</v>
      </c>
      <c r="P1204" s="57"/>
      <c r="Q1204" s="57"/>
      <c r="R1204" s="57"/>
      <c r="S1204" s="57"/>
      <c r="T1204" s="57"/>
      <c r="U1204" s="57"/>
      <c r="V1204" s="57"/>
      <c r="W1204" s="57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</row>
    <row r="1205" spans="1:36" ht="11.25" customHeight="1" x14ac:dyDescent="0.2">
      <c r="A1205" s="53" t="s">
        <v>21</v>
      </c>
      <c r="B1205" s="53" t="s">
        <v>37</v>
      </c>
      <c r="C1205" s="53" t="s">
        <v>23</v>
      </c>
      <c r="D1205" s="53" t="s">
        <v>38</v>
      </c>
      <c r="E1205" s="53" t="s">
        <v>25</v>
      </c>
      <c r="F1205" s="53" t="s">
        <v>25</v>
      </c>
      <c r="G1205" s="53" t="s">
        <v>25</v>
      </c>
      <c r="H1205" s="53" t="s">
        <v>25</v>
      </c>
      <c r="I1205" s="75">
        <v>44743</v>
      </c>
      <c r="J1205" s="76">
        <f>EFEITO!$J$1205*EFEITO!$Y$1205</f>
        <v>0</v>
      </c>
      <c r="K1205" s="76">
        <f ca="1">EFEITO!$L$1205*EFEITO!$Z$1205</f>
        <v>284290.79534712859</v>
      </c>
      <c r="L1205" s="76">
        <f>EFEITO!$N$1205*EFEITO!$AA$1205</f>
        <v>209198.14013541769</v>
      </c>
      <c r="M1205" s="76">
        <f>$J$1205-EFEITO!$K$1205*EFEITO!$Y$1205</f>
        <v>0</v>
      </c>
      <c r="N1205" s="76">
        <f ca="1">$K$1205-EFEITO!$M$1205*EFEITO!$Z$1205</f>
        <v>0</v>
      </c>
      <c r="O1205" s="76">
        <f>$L$1205-EFEITO!$O$1205*EFEITO!$AA$1205</f>
        <v>0</v>
      </c>
      <c r="P1205" s="57"/>
      <c r="Q1205" s="57"/>
      <c r="R1205" s="57"/>
      <c r="S1205" s="57"/>
      <c r="T1205" s="57"/>
      <c r="U1205" s="57"/>
      <c r="V1205" s="57"/>
      <c r="W1205" s="57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</row>
    <row r="1206" spans="1:36" ht="11.25" customHeight="1" x14ac:dyDescent="0.2">
      <c r="A1206" s="53" t="s">
        <v>27</v>
      </c>
      <c r="B1206" s="53" t="s">
        <v>37</v>
      </c>
      <c r="C1206" s="53" t="s">
        <v>23</v>
      </c>
      <c r="D1206" s="53" t="s">
        <v>38</v>
      </c>
      <c r="E1206" s="53" t="s">
        <v>25</v>
      </c>
      <c r="F1206" s="53" t="s">
        <v>25</v>
      </c>
      <c r="G1206" s="53" t="s">
        <v>25</v>
      </c>
      <c r="H1206" s="53" t="s">
        <v>25</v>
      </c>
      <c r="I1206" s="75">
        <v>44743</v>
      </c>
      <c r="J1206" s="76">
        <f>EFEITO!$J$1206*EFEITO!$Y$1206</f>
        <v>0</v>
      </c>
      <c r="K1206" s="76">
        <f ca="1">EFEITO!$L$1206*EFEITO!$Z$1206</f>
        <v>2175.3199555879046</v>
      </c>
      <c r="L1206" s="76">
        <f>EFEITO!$N$1206*EFEITO!$AA$1206</f>
        <v>1600.7302957269151</v>
      </c>
      <c r="M1206" s="76">
        <f>$J$1206-EFEITO!$K$1206*EFEITO!$Y$1206</f>
        <v>0</v>
      </c>
      <c r="N1206" s="76">
        <f ca="1">$K$1206-EFEITO!$M$1206*EFEITO!$Z$1206</f>
        <v>0</v>
      </c>
      <c r="O1206" s="76">
        <f>$L$1206-EFEITO!$O$1206*EFEITO!$AA$1206</f>
        <v>0</v>
      </c>
      <c r="P1206" s="57"/>
      <c r="Q1206" s="57"/>
      <c r="R1206" s="57"/>
      <c r="S1206" s="57"/>
      <c r="T1206" s="57"/>
      <c r="U1206" s="57"/>
      <c r="V1206" s="57"/>
      <c r="W1206" s="57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</row>
    <row r="1207" spans="1:36" ht="11.25" customHeight="1" x14ac:dyDescent="0.2">
      <c r="A1207" s="53" t="s">
        <v>28</v>
      </c>
      <c r="B1207" s="53" t="s">
        <v>37</v>
      </c>
      <c r="C1207" s="53" t="s">
        <v>23</v>
      </c>
      <c r="D1207" s="53" t="s">
        <v>38</v>
      </c>
      <c r="E1207" s="53" t="s">
        <v>25</v>
      </c>
      <c r="F1207" s="53" t="s">
        <v>25</v>
      </c>
      <c r="G1207" s="53" t="s">
        <v>25</v>
      </c>
      <c r="H1207" s="53" t="s">
        <v>25</v>
      </c>
      <c r="I1207" s="75">
        <v>44743</v>
      </c>
      <c r="J1207" s="76">
        <f>EFEITO!$J$1207*EFEITO!$Y$1207</f>
        <v>0</v>
      </c>
      <c r="K1207" s="76">
        <f ca="1">EFEITO!$L$1207*EFEITO!$Z$1207</f>
        <v>34415.970506625905</v>
      </c>
      <c r="L1207" s="76">
        <f>EFEITO!$N$1207*EFEITO!$AA$1207</f>
        <v>25325.325824040079</v>
      </c>
      <c r="M1207" s="76">
        <f>$J$1207-EFEITO!$K$1207*EFEITO!$Y$1207</f>
        <v>0</v>
      </c>
      <c r="N1207" s="76">
        <f ca="1">$K$1207-EFEITO!$M$1207*EFEITO!$Z$1207</f>
        <v>0</v>
      </c>
      <c r="O1207" s="76">
        <f>$L$1207-EFEITO!$O$1207*EFEITO!$AA$1207</f>
        <v>0</v>
      </c>
      <c r="P1207" s="57"/>
      <c r="Q1207" s="57"/>
      <c r="R1207" s="57"/>
      <c r="S1207" s="57"/>
      <c r="T1207" s="57"/>
      <c r="U1207" s="57"/>
      <c r="V1207" s="57"/>
      <c r="W1207" s="57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</row>
    <row r="1208" spans="1:36" ht="11.25" customHeight="1" x14ac:dyDescent="0.2">
      <c r="A1208" s="53" t="s">
        <v>56</v>
      </c>
      <c r="B1208" s="53" t="s">
        <v>37</v>
      </c>
      <c r="C1208" s="53" t="s">
        <v>23</v>
      </c>
      <c r="D1208" s="53" t="s">
        <v>38</v>
      </c>
      <c r="E1208" s="53" t="s">
        <v>25</v>
      </c>
      <c r="F1208" s="53" t="s">
        <v>25</v>
      </c>
      <c r="G1208" s="53" t="s">
        <v>25</v>
      </c>
      <c r="H1208" s="53" t="s">
        <v>25</v>
      </c>
      <c r="I1208" s="75">
        <v>44774</v>
      </c>
      <c r="J1208" s="76">
        <f>EFEITO!$J$1208*EFEITO!$Y$1208</f>
        <v>0</v>
      </c>
      <c r="K1208" s="76">
        <f ca="1">EFEITO!$L$1208*EFEITO!$Z$1208</f>
        <v>284290.79534712859</v>
      </c>
      <c r="L1208" s="76">
        <f>EFEITO!$N$1208*EFEITO!$AA$1208</f>
        <v>209198.14013541769</v>
      </c>
      <c r="M1208" s="76">
        <f>$J$1208-EFEITO!$K$1208*EFEITO!$Y$1208</f>
        <v>0</v>
      </c>
      <c r="N1208" s="76">
        <f ca="1">$K$1208-EFEITO!$M$1208*EFEITO!$Z$1208</f>
        <v>0</v>
      </c>
      <c r="O1208" s="76">
        <f>$L$1208-EFEITO!$O$1208*EFEITO!$AA$1208</f>
        <v>0</v>
      </c>
      <c r="P1208" s="57"/>
      <c r="Q1208" s="57"/>
      <c r="R1208" s="57"/>
      <c r="S1208" s="57"/>
      <c r="T1208" s="57"/>
      <c r="U1208" s="57"/>
      <c r="V1208" s="57"/>
      <c r="W1208" s="57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</row>
    <row r="1209" spans="1:36" ht="11.25" customHeight="1" x14ac:dyDescent="0.2">
      <c r="A1209" s="53" t="s">
        <v>56</v>
      </c>
      <c r="B1209" s="53" t="s">
        <v>37</v>
      </c>
      <c r="C1209" s="53" t="s">
        <v>23</v>
      </c>
      <c r="D1209" s="53" t="s">
        <v>38</v>
      </c>
      <c r="E1209" s="53" t="s">
        <v>25</v>
      </c>
      <c r="F1209" s="53" t="s">
        <v>25</v>
      </c>
      <c r="G1209" s="53" t="s">
        <v>25</v>
      </c>
      <c r="H1209" s="53" t="s">
        <v>25</v>
      </c>
      <c r="I1209" s="75">
        <v>44774</v>
      </c>
      <c r="J1209" s="76">
        <f>EFEITO!$J$1209*EFEITO!$Y$1209</f>
        <v>0</v>
      </c>
      <c r="K1209" s="76">
        <f ca="1">EFEITO!$L$1209*EFEITO!$Z$1209</f>
        <v>2175.3199555879046</v>
      </c>
      <c r="L1209" s="76">
        <f>EFEITO!$N$1209*EFEITO!$AA$1209</f>
        <v>1600.7302957269151</v>
      </c>
      <c r="M1209" s="76">
        <f>$J$1209-EFEITO!$K$1209*EFEITO!$Y$1209</f>
        <v>0</v>
      </c>
      <c r="N1209" s="76">
        <f ca="1">$K$1209-EFEITO!$M$1209*EFEITO!$Z$1209</f>
        <v>0</v>
      </c>
      <c r="O1209" s="76">
        <f>$L$1209-EFEITO!$O$1209*EFEITO!$AA$1209</f>
        <v>0</v>
      </c>
      <c r="P1209" s="57"/>
      <c r="Q1209" s="57"/>
      <c r="R1209" s="57"/>
      <c r="S1209" s="57"/>
      <c r="T1209" s="57"/>
      <c r="U1209" s="57"/>
      <c r="V1209" s="57"/>
      <c r="W1209" s="57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</row>
    <row r="1210" spans="1:36" ht="11.25" customHeight="1" x14ac:dyDescent="0.2">
      <c r="A1210" s="53" t="s">
        <v>56</v>
      </c>
      <c r="B1210" s="53" t="s">
        <v>37</v>
      </c>
      <c r="C1210" s="53" t="s">
        <v>23</v>
      </c>
      <c r="D1210" s="53" t="s">
        <v>38</v>
      </c>
      <c r="E1210" s="53" t="s">
        <v>25</v>
      </c>
      <c r="F1210" s="53" t="s">
        <v>25</v>
      </c>
      <c r="G1210" s="53" t="s">
        <v>25</v>
      </c>
      <c r="H1210" s="53" t="s">
        <v>25</v>
      </c>
      <c r="I1210" s="75">
        <v>44774</v>
      </c>
      <c r="J1210" s="76">
        <f>EFEITO!$J$1210*EFEITO!$Y$1210</f>
        <v>0</v>
      </c>
      <c r="K1210" s="76">
        <f ca="1">EFEITO!$L$1210*EFEITO!$Z$1210</f>
        <v>34415.970506625905</v>
      </c>
      <c r="L1210" s="76">
        <f>EFEITO!$N$1210*EFEITO!$AA$1210</f>
        <v>25325.325824040079</v>
      </c>
      <c r="M1210" s="76">
        <f>$J$1210-EFEITO!$K$1210*EFEITO!$Y$1210</f>
        <v>0</v>
      </c>
      <c r="N1210" s="76">
        <f ca="1">$K$1210-EFEITO!$M$1210*EFEITO!$Z$1210</f>
        <v>0</v>
      </c>
      <c r="O1210" s="76">
        <f>$L$1210-EFEITO!$O$1210*EFEITO!$AA$1210</f>
        <v>0</v>
      </c>
      <c r="P1210" s="57"/>
      <c r="Q1210" s="57"/>
      <c r="R1210" s="57"/>
      <c r="S1210" s="57"/>
      <c r="T1210" s="57"/>
      <c r="U1210" s="57"/>
      <c r="V1210" s="57"/>
      <c r="W1210" s="57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</row>
    <row r="1211" spans="1:36" ht="11.25" customHeight="1" x14ac:dyDescent="0.2">
      <c r="A1211" s="53" t="s">
        <v>21</v>
      </c>
      <c r="B1211" s="53" t="s">
        <v>37</v>
      </c>
      <c r="C1211" s="53" t="s">
        <v>23</v>
      </c>
      <c r="D1211" s="53" t="s">
        <v>45</v>
      </c>
      <c r="E1211" s="53" t="s">
        <v>25</v>
      </c>
      <c r="F1211" s="53" t="s">
        <v>25</v>
      </c>
      <c r="G1211" s="53" t="s">
        <v>25</v>
      </c>
      <c r="H1211" s="53" t="s">
        <v>25</v>
      </c>
      <c r="I1211" s="75">
        <v>44440</v>
      </c>
      <c r="J1211" s="76">
        <f>EFEITO!$J$1211*EFEITO!$Y$1211</f>
        <v>0</v>
      </c>
      <c r="K1211" s="76">
        <f ca="1">EFEITO!$L$1211*EFEITO!$Z$1211</f>
        <v>347397.24901774968</v>
      </c>
      <c r="L1211" s="76">
        <f>EFEITO!$N$1211*EFEITO!$AA$1211</f>
        <v>255635.63636991961</v>
      </c>
      <c r="M1211" s="76">
        <f>$J$1211-EFEITO!$K$1211*EFEITO!$Y$1211</f>
        <v>0</v>
      </c>
      <c r="N1211" s="76">
        <f ca="1">$K$1211-EFEITO!$M$1211*EFEITO!$Z$1211</f>
        <v>0</v>
      </c>
      <c r="O1211" s="76">
        <f>$L$1211-EFEITO!$O$1211*EFEITO!$AA$1211</f>
        <v>0</v>
      </c>
      <c r="P1211" s="57"/>
      <c r="Q1211" s="57"/>
      <c r="R1211" s="57"/>
      <c r="S1211" s="57"/>
      <c r="T1211" s="57"/>
      <c r="U1211" s="57"/>
      <c r="V1211" s="57"/>
      <c r="W1211" s="57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</row>
    <row r="1212" spans="1:36" ht="11.25" customHeight="1" x14ac:dyDescent="0.2">
      <c r="A1212" s="53" t="s">
        <v>21</v>
      </c>
      <c r="B1212" s="53" t="s">
        <v>37</v>
      </c>
      <c r="C1212" s="53" t="s">
        <v>23</v>
      </c>
      <c r="D1212" s="53" t="s">
        <v>45</v>
      </c>
      <c r="E1212" s="53" t="s">
        <v>25</v>
      </c>
      <c r="F1212" s="53" t="s">
        <v>25</v>
      </c>
      <c r="G1212" s="53" t="s">
        <v>25</v>
      </c>
      <c r="H1212" s="53" t="s">
        <v>25</v>
      </c>
      <c r="I1212" s="75">
        <v>44470</v>
      </c>
      <c r="J1212" s="76">
        <f>EFEITO!$J$1212*EFEITO!$Y$1212</f>
        <v>0</v>
      </c>
      <c r="K1212" s="76">
        <f ca="1">EFEITO!$L$1212*EFEITO!$Z$1212</f>
        <v>394129.88720015786</v>
      </c>
      <c r="L1212" s="76">
        <f>EFEITO!$N$1212*EFEITO!$AA$1212</f>
        <v>290024.30160772271</v>
      </c>
      <c r="M1212" s="76">
        <f>$J$1212-EFEITO!$K$1212*EFEITO!$Y$1212</f>
        <v>0</v>
      </c>
      <c r="N1212" s="76">
        <f ca="1">$K$1212-EFEITO!$M$1212*EFEITO!$Z$1212</f>
        <v>0</v>
      </c>
      <c r="O1212" s="76">
        <f>$L$1212-EFEITO!$O$1212*EFEITO!$AA$1212</f>
        <v>0</v>
      </c>
      <c r="P1212" s="57"/>
      <c r="Q1212" s="57"/>
      <c r="R1212" s="57"/>
      <c r="S1212" s="57"/>
      <c r="T1212" s="57"/>
      <c r="U1212" s="57"/>
      <c r="V1212" s="57"/>
      <c r="W1212" s="57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</row>
    <row r="1213" spans="1:36" ht="11.25" customHeight="1" x14ac:dyDescent="0.2">
      <c r="A1213" s="53" t="s">
        <v>21</v>
      </c>
      <c r="B1213" s="53" t="s">
        <v>37</v>
      </c>
      <c r="C1213" s="53" t="s">
        <v>23</v>
      </c>
      <c r="D1213" s="53" t="s">
        <v>45</v>
      </c>
      <c r="E1213" s="53" t="s">
        <v>25</v>
      </c>
      <c r="F1213" s="53" t="s">
        <v>25</v>
      </c>
      <c r="G1213" s="53" t="s">
        <v>25</v>
      </c>
      <c r="H1213" s="53" t="s">
        <v>25</v>
      </c>
      <c r="I1213" s="75">
        <v>44501</v>
      </c>
      <c r="J1213" s="76">
        <f>EFEITO!$J$1213*EFEITO!$Y$1213</f>
        <v>0</v>
      </c>
      <c r="K1213" s="76">
        <f ca="1">EFEITO!$L$1213*EFEITO!$Z$1213</f>
        <v>376803.4180995737</v>
      </c>
      <c r="L1213" s="76">
        <f>EFEITO!$N$1213*EFEITO!$AA$1213</f>
        <v>277274.4512070787</v>
      </c>
      <c r="M1213" s="76">
        <f>$J$1213-EFEITO!$K$1213*EFEITO!$Y$1213</f>
        <v>0</v>
      </c>
      <c r="N1213" s="76">
        <f ca="1">$K$1213-EFEITO!$M$1213*EFEITO!$Z$1213</f>
        <v>0</v>
      </c>
      <c r="O1213" s="76">
        <f>$L$1213-EFEITO!$O$1213*EFEITO!$AA$1213</f>
        <v>0</v>
      </c>
      <c r="P1213" s="57"/>
      <c r="Q1213" s="57"/>
      <c r="R1213" s="57"/>
      <c r="S1213" s="57"/>
      <c r="T1213" s="57"/>
      <c r="U1213" s="57"/>
      <c r="V1213" s="57"/>
      <c r="W1213" s="57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</row>
    <row r="1214" spans="1:36" ht="11.25" customHeight="1" x14ac:dyDescent="0.2">
      <c r="A1214" s="53" t="s">
        <v>21</v>
      </c>
      <c r="B1214" s="53" t="s">
        <v>37</v>
      </c>
      <c r="C1214" s="53" t="s">
        <v>23</v>
      </c>
      <c r="D1214" s="53" t="s">
        <v>45</v>
      </c>
      <c r="E1214" s="53" t="s">
        <v>25</v>
      </c>
      <c r="F1214" s="53" t="s">
        <v>25</v>
      </c>
      <c r="G1214" s="53" t="s">
        <v>25</v>
      </c>
      <c r="H1214" s="53" t="s">
        <v>25</v>
      </c>
      <c r="I1214" s="75">
        <v>44531</v>
      </c>
      <c r="J1214" s="76">
        <f>EFEITO!$J$1214*EFEITO!$Y$1214</f>
        <v>0</v>
      </c>
      <c r="K1214" s="76">
        <f ca="1">EFEITO!$L$1214*EFEITO!$Z$1214</f>
        <v>410723.71306165226</v>
      </c>
      <c r="L1214" s="76">
        <f>EFEITO!$N$1214*EFEITO!$AA$1214</f>
        <v>302235.02937228832</v>
      </c>
      <c r="M1214" s="76">
        <f>$J$1214-EFEITO!$K$1214*EFEITO!$Y$1214</f>
        <v>0</v>
      </c>
      <c r="N1214" s="76">
        <f ca="1">$K$1214-EFEITO!$M$1214*EFEITO!$Z$1214</f>
        <v>0</v>
      </c>
      <c r="O1214" s="76">
        <f>$L$1214-EFEITO!$O$1214*EFEITO!$AA$1214</f>
        <v>0</v>
      </c>
      <c r="P1214" s="57"/>
      <c r="Q1214" s="57"/>
      <c r="R1214" s="57"/>
      <c r="S1214" s="57"/>
      <c r="T1214" s="57"/>
      <c r="U1214" s="57"/>
      <c r="V1214" s="57"/>
      <c r="W1214" s="57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</row>
    <row r="1215" spans="1:36" ht="11.25" customHeight="1" x14ac:dyDescent="0.2">
      <c r="A1215" s="53" t="s">
        <v>21</v>
      </c>
      <c r="B1215" s="53" t="s">
        <v>37</v>
      </c>
      <c r="C1215" s="53" t="s">
        <v>23</v>
      </c>
      <c r="D1215" s="53" t="s">
        <v>45</v>
      </c>
      <c r="E1215" s="53" t="s">
        <v>25</v>
      </c>
      <c r="F1215" s="53" t="s">
        <v>25</v>
      </c>
      <c r="G1215" s="53" t="s">
        <v>25</v>
      </c>
      <c r="H1215" s="53" t="s">
        <v>25</v>
      </c>
      <c r="I1215" s="75">
        <v>44562</v>
      </c>
      <c r="J1215" s="76">
        <f>EFEITO!$J$1215*EFEITO!$Y$1215</f>
        <v>0</v>
      </c>
      <c r="K1215" s="76">
        <f ca="1">EFEITO!$L$1215*EFEITO!$Z$1215</f>
        <v>347582.47514229105</v>
      </c>
      <c r="L1215" s="76">
        <f>EFEITO!$N$1215*EFEITO!$AA$1215</f>
        <v>255771.93681085098</v>
      </c>
      <c r="M1215" s="76">
        <f>$J$1215-EFEITO!$K$1215*EFEITO!$Y$1215</f>
        <v>0</v>
      </c>
      <c r="N1215" s="76">
        <f ca="1">$K$1215-EFEITO!$M$1215*EFEITO!$Z$1215</f>
        <v>0</v>
      </c>
      <c r="O1215" s="76">
        <f>$L$1215-EFEITO!$O$1215*EFEITO!$AA$1215</f>
        <v>0</v>
      </c>
      <c r="P1215" s="57"/>
      <c r="Q1215" s="57"/>
      <c r="R1215" s="57"/>
      <c r="S1215" s="57"/>
      <c r="T1215" s="57"/>
      <c r="U1215" s="57"/>
      <c r="V1215" s="57"/>
      <c r="W1215" s="57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</row>
    <row r="1216" spans="1:36" ht="11.25" customHeight="1" x14ac:dyDescent="0.2">
      <c r="A1216" s="53" t="s">
        <v>21</v>
      </c>
      <c r="B1216" s="53" t="s">
        <v>37</v>
      </c>
      <c r="C1216" s="53" t="s">
        <v>23</v>
      </c>
      <c r="D1216" s="53" t="s">
        <v>45</v>
      </c>
      <c r="E1216" s="53" t="s">
        <v>25</v>
      </c>
      <c r="F1216" s="53" t="s">
        <v>25</v>
      </c>
      <c r="G1216" s="53" t="s">
        <v>25</v>
      </c>
      <c r="H1216" s="53" t="s">
        <v>25</v>
      </c>
      <c r="I1216" s="75">
        <v>44593</v>
      </c>
      <c r="J1216" s="76">
        <f>EFEITO!$J$1216*EFEITO!$Y$1216</f>
        <v>0</v>
      </c>
      <c r="K1216" s="76">
        <f ca="1">EFEITO!$L$1216*EFEITO!$Z$1216</f>
        <v>434783.54311211337</v>
      </c>
      <c r="L1216" s="76">
        <f>EFEITO!$N$1216*EFEITO!$AA$1216</f>
        <v>319939.68875946582</v>
      </c>
      <c r="M1216" s="76">
        <f>$J$1216-EFEITO!$K$1216*EFEITO!$Y$1216</f>
        <v>0</v>
      </c>
      <c r="N1216" s="76">
        <f ca="1">$K$1216-EFEITO!$M$1216*EFEITO!$Z$1216</f>
        <v>0</v>
      </c>
      <c r="O1216" s="76">
        <f>$L$1216-EFEITO!$O$1216*EFEITO!$AA$1216</f>
        <v>0</v>
      </c>
      <c r="P1216" s="57"/>
      <c r="Q1216" s="57"/>
      <c r="R1216" s="57"/>
      <c r="S1216" s="57"/>
      <c r="T1216" s="57"/>
      <c r="U1216" s="57"/>
      <c r="V1216" s="57"/>
      <c r="W1216" s="57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</row>
    <row r="1217" spans="1:36" ht="11.25" customHeight="1" x14ac:dyDescent="0.2">
      <c r="A1217" s="53" t="s">
        <v>21</v>
      </c>
      <c r="B1217" s="53" t="s">
        <v>37</v>
      </c>
      <c r="C1217" s="53" t="s">
        <v>23</v>
      </c>
      <c r="D1217" s="53" t="s">
        <v>45</v>
      </c>
      <c r="E1217" s="53" t="s">
        <v>25</v>
      </c>
      <c r="F1217" s="53" t="s">
        <v>25</v>
      </c>
      <c r="G1217" s="53" t="s">
        <v>25</v>
      </c>
      <c r="H1217" s="53" t="s">
        <v>25</v>
      </c>
      <c r="I1217" s="75">
        <v>44621</v>
      </c>
      <c r="J1217" s="76">
        <f>EFEITO!$J$1217*EFEITO!$Y$1217</f>
        <v>0</v>
      </c>
      <c r="K1217" s="76">
        <f ca="1">EFEITO!$L$1217*EFEITO!$Z$1217</f>
        <v>495524.66786840337</v>
      </c>
      <c r="L1217" s="76">
        <f>EFEITO!$N$1217*EFEITO!$AA$1217</f>
        <v>364636.63476235577</v>
      </c>
      <c r="M1217" s="76">
        <f>$J$1217-EFEITO!$K$1217*EFEITO!$Y$1217</f>
        <v>0</v>
      </c>
      <c r="N1217" s="76">
        <f ca="1">$K$1217-EFEITO!$M$1217*EFEITO!$Z$1217</f>
        <v>0</v>
      </c>
      <c r="O1217" s="76">
        <f>$L$1217-EFEITO!$O$1217*EFEITO!$AA$1217</f>
        <v>0</v>
      </c>
      <c r="P1217" s="57"/>
      <c r="Q1217" s="57"/>
      <c r="R1217" s="57"/>
      <c r="S1217" s="57"/>
      <c r="T1217" s="57"/>
      <c r="U1217" s="57"/>
      <c r="V1217" s="57"/>
      <c r="W1217" s="57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</row>
    <row r="1218" spans="1:36" ht="11.25" customHeight="1" x14ac:dyDescent="0.2">
      <c r="A1218" s="53" t="s">
        <v>27</v>
      </c>
      <c r="B1218" s="53" t="s">
        <v>37</v>
      </c>
      <c r="C1218" s="53" t="s">
        <v>23</v>
      </c>
      <c r="D1218" s="53" t="s">
        <v>45</v>
      </c>
      <c r="E1218" s="53" t="s">
        <v>25</v>
      </c>
      <c r="F1218" s="53" t="s">
        <v>25</v>
      </c>
      <c r="G1218" s="53" t="s">
        <v>25</v>
      </c>
      <c r="H1218" s="53" t="s">
        <v>25</v>
      </c>
      <c r="I1218" s="75">
        <v>44621</v>
      </c>
      <c r="J1218" s="76">
        <f>EFEITO!$J$1218*EFEITO!$Y$1218</f>
        <v>0</v>
      </c>
      <c r="K1218" s="76">
        <f ca="1">EFEITO!$L$1218*EFEITO!$Z$1218</f>
        <v>230.44564790357575</v>
      </c>
      <c r="L1218" s="76">
        <f>EFEITO!$N$1218*EFEITO!$AA$1218</f>
        <v>169.57566594748451</v>
      </c>
      <c r="M1218" s="76">
        <f>$J$1218-EFEITO!$K$1218*EFEITO!$Y$1218</f>
        <v>0</v>
      </c>
      <c r="N1218" s="76">
        <f ca="1">$K$1218-EFEITO!$M$1218*EFEITO!$Z$1218</f>
        <v>0</v>
      </c>
      <c r="O1218" s="76">
        <f>$L$1218-EFEITO!$O$1218*EFEITO!$AA$1218</f>
        <v>0</v>
      </c>
      <c r="P1218" s="57"/>
      <c r="Q1218" s="57"/>
      <c r="R1218" s="57"/>
      <c r="S1218" s="57"/>
      <c r="T1218" s="57"/>
      <c r="U1218" s="57"/>
      <c r="V1218" s="57"/>
      <c r="W1218" s="57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</row>
    <row r="1219" spans="1:36" ht="11.25" customHeight="1" x14ac:dyDescent="0.2">
      <c r="A1219" s="53" t="s">
        <v>28</v>
      </c>
      <c r="B1219" s="53" t="s">
        <v>37</v>
      </c>
      <c r="C1219" s="53" t="s">
        <v>23</v>
      </c>
      <c r="D1219" s="53" t="s">
        <v>45</v>
      </c>
      <c r="E1219" s="53" t="s">
        <v>25</v>
      </c>
      <c r="F1219" s="53" t="s">
        <v>25</v>
      </c>
      <c r="G1219" s="53" t="s">
        <v>25</v>
      </c>
      <c r="H1219" s="53" t="s">
        <v>25</v>
      </c>
      <c r="I1219" s="75">
        <v>44621</v>
      </c>
      <c r="J1219" s="76">
        <f>EFEITO!$J$1219*EFEITO!$Y$1219</f>
        <v>0</v>
      </c>
      <c r="K1219" s="76">
        <f ca="1">EFEITO!$L$1219*EFEITO!$Z$1219</f>
        <v>560.89601093511828</v>
      </c>
      <c r="L1219" s="76">
        <f>EFEITO!$N$1219*EFEITO!$AA$1219</f>
        <v>412.74077183444342</v>
      </c>
      <c r="M1219" s="76">
        <f>$J$1219-EFEITO!$K$1219*EFEITO!$Y$1219</f>
        <v>0</v>
      </c>
      <c r="N1219" s="76">
        <f ca="1">$K$1219-EFEITO!$M$1219*EFEITO!$Z$1219</f>
        <v>0</v>
      </c>
      <c r="O1219" s="76">
        <f>$L$1219-EFEITO!$O$1219*EFEITO!$AA$1219</f>
        <v>0</v>
      </c>
      <c r="P1219" s="57"/>
      <c r="Q1219" s="57"/>
      <c r="R1219" s="57"/>
      <c r="S1219" s="57"/>
      <c r="T1219" s="57"/>
      <c r="U1219" s="57"/>
      <c r="V1219" s="57"/>
      <c r="W1219" s="57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</row>
    <row r="1220" spans="1:36" ht="11.25" customHeight="1" x14ac:dyDescent="0.2">
      <c r="A1220" s="53" t="s">
        <v>21</v>
      </c>
      <c r="B1220" s="53" t="s">
        <v>37</v>
      </c>
      <c r="C1220" s="53" t="s">
        <v>23</v>
      </c>
      <c r="D1220" s="53" t="s">
        <v>45</v>
      </c>
      <c r="E1220" s="53" t="s">
        <v>25</v>
      </c>
      <c r="F1220" s="53" t="s">
        <v>25</v>
      </c>
      <c r="G1220" s="53" t="s">
        <v>25</v>
      </c>
      <c r="H1220" s="53" t="s">
        <v>25</v>
      </c>
      <c r="I1220" s="75">
        <v>44652</v>
      </c>
      <c r="J1220" s="76">
        <f>EFEITO!$J$1220*EFEITO!$Y$1220</f>
        <v>0</v>
      </c>
      <c r="K1220" s="76">
        <f ca="1">EFEITO!$L$1220*EFEITO!$Z$1220</f>
        <v>516759.58211805398</v>
      </c>
      <c r="L1220" s="76">
        <f>EFEITO!$N$1220*EFEITO!$AA$1220</f>
        <v>380262.55244828644</v>
      </c>
      <c r="M1220" s="76">
        <f>$J$1220-EFEITO!$K$1220*EFEITO!$Y$1220</f>
        <v>0</v>
      </c>
      <c r="N1220" s="76">
        <f ca="1">$K$1220-EFEITO!$M$1220*EFEITO!$Z$1220</f>
        <v>0</v>
      </c>
      <c r="O1220" s="76">
        <f>$L$1220-EFEITO!$O$1220*EFEITO!$AA$1220</f>
        <v>0</v>
      </c>
      <c r="P1220" s="57"/>
      <c r="Q1220" s="57"/>
      <c r="R1220" s="57"/>
      <c r="S1220" s="57"/>
      <c r="T1220" s="57"/>
      <c r="U1220" s="57"/>
      <c r="V1220" s="57"/>
      <c r="W1220" s="57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</row>
    <row r="1221" spans="1:36" ht="11.25" customHeight="1" x14ac:dyDescent="0.2">
      <c r="A1221" s="53" t="s">
        <v>28</v>
      </c>
      <c r="B1221" s="53" t="s">
        <v>37</v>
      </c>
      <c r="C1221" s="53" t="s">
        <v>23</v>
      </c>
      <c r="D1221" s="53" t="s">
        <v>45</v>
      </c>
      <c r="E1221" s="53" t="s">
        <v>25</v>
      </c>
      <c r="F1221" s="53" t="s">
        <v>25</v>
      </c>
      <c r="G1221" s="53" t="s">
        <v>25</v>
      </c>
      <c r="H1221" s="53" t="s">
        <v>25</v>
      </c>
      <c r="I1221" s="75">
        <v>44652</v>
      </c>
      <c r="J1221" s="76">
        <f>EFEITO!$J$1221*EFEITO!$Y$1221</f>
        <v>0</v>
      </c>
      <c r="K1221" s="76">
        <f ca="1">EFEITO!$L$1221*EFEITO!$Z$1221</f>
        <v>43.480310925202971</v>
      </c>
      <c r="L1221" s="76">
        <f>EFEITO!$N$1221*EFEITO!$AA$1221</f>
        <v>31.995408669336701</v>
      </c>
      <c r="M1221" s="76">
        <f>$J$1221-EFEITO!$K$1221*EFEITO!$Y$1221</f>
        <v>0</v>
      </c>
      <c r="N1221" s="76">
        <f ca="1">$K$1221-EFEITO!$M$1221*EFEITO!$Z$1221</f>
        <v>0</v>
      </c>
      <c r="O1221" s="76">
        <f>$L$1221-EFEITO!$O$1221*EFEITO!$AA$1221</f>
        <v>0</v>
      </c>
      <c r="P1221" s="57"/>
      <c r="Q1221" s="57"/>
      <c r="R1221" s="57"/>
      <c r="S1221" s="57"/>
      <c r="T1221" s="57"/>
      <c r="U1221" s="57"/>
      <c r="V1221" s="57"/>
      <c r="W1221" s="57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</row>
    <row r="1222" spans="1:36" ht="11.25" customHeight="1" x14ac:dyDescent="0.2">
      <c r="A1222" s="53" t="s">
        <v>21</v>
      </c>
      <c r="B1222" s="53" t="s">
        <v>37</v>
      </c>
      <c r="C1222" s="53" t="s">
        <v>23</v>
      </c>
      <c r="D1222" s="53" t="s">
        <v>45</v>
      </c>
      <c r="E1222" s="53" t="s">
        <v>25</v>
      </c>
      <c r="F1222" s="53" t="s">
        <v>25</v>
      </c>
      <c r="G1222" s="53" t="s">
        <v>25</v>
      </c>
      <c r="H1222" s="53" t="s">
        <v>25</v>
      </c>
      <c r="I1222" s="75">
        <v>44682</v>
      </c>
      <c r="J1222" s="76">
        <f>EFEITO!$J$1222*EFEITO!$Y$1222</f>
        <v>0</v>
      </c>
      <c r="K1222" s="76">
        <f ca="1">EFEITO!$L$1222*EFEITO!$Z$1222</f>
        <v>420529.39278150408</v>
      </c>
      <c r="L1222" s="76">
        <f>EFEITO!$N$1222*EFEITO!$AA$1222</f>
        <v>309450.63393539714</v>
      </c>
      <c r="M1222" s="76">
        <f>$J$1222-EFEITO!$K$1222*EFEITO!$Y$1222</f>
        <v>0</v>
      </c>
      <c r="N1222" s="76">
        <f ca="1">$K$1222-EFEITO!$M$1222*EFEITO!$Z$1222</f>
        <v>0</v>
      </c>
      <c r="O1222" s="76">
        <f>$L$1222-EFEITO!$O$1222*EFEITO!$AA$1222</f>
        <v>0</v>
      </c>
      <c r="P1222" s="57"/>
      <c r="Q1222" s="57"/>
      <c r="R1222" s="57"/>
      <c r="S1222" s="57"/>
      <c r="T1222" s="57"/>
      <c r="U1222" s="57"/>
      <c r="V1222" s="57"/>
      <c r="W1222" s="57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</row>
    <row r="1223" spans="1:36" ht="11.25" customHeight="1" x14ac:dyDescent="0.2">
      <c r="A1223" s="53" t="s">
        <v>27</v>
      </c>
      <c r="B1223" s="53" t="s">
        <v>37</v>
      </c>
      <c r="C1223" s="53" t="s">
        <v>23</v>
      </c>
      <c r="D1223" s="53" t="s">
        <v>45</v>
      </c>
      <c r="E1223" s="53" t="s">
        <v>25</v>
      </c>
      <c r="F1223" s="53" t="s">
        <v>25</v>
      </c>
      <c r="G1223" s="53" t="s">
        <v>25</v>
      </c>
      <c r="H1223" s="53" t="s">
        <v>25</v>
      </c>
      <c r="I1223" s="75">
        <v>44682</v>
      </c>
      <c r="J1223" s="76">
        <f>EFEITO!$J$1223*EFEITO!$Y$1223</f>
        <v>0</v>
      </c>
      <c r="K1223" s="76">
        <f ca="1">EFEITO!$L$1223*EFEITO!$Z$1223</f>
        <v>66.09007260630851</v>
      </c>
      <c r="L1223" s="76">
        <f>EFEITO!$N$1223*EFEITO!$AA$1223</f>
        <v>48.633021177391782</v>
      </c>
      <c r="M1223" s="76">
        <f>$J$1223-EFEITO!$K$1223*EFEITO!$Y$1223</f>
        <v>0</v>
      </c>
      <c r="N1223" s="76">
        <f ca="1">$K$1223-EFEITO!$M$1223*EFEITO!$Z$1223</f>
        <v>0</v>
      </c>
      <c r="O1223" s="76">
        <f>$L$1223-EFEITO!$O$1223*EFEITO!$AA$1223</f>
        <v>0</v>
      </c>
      <c r="P1223" s="57"/>
      <c r="Q1223" s="57"/>
      <c r="R1223" s="57"/>
      <c r="S1223" s="57"/>
      <c r="T1223" s="57"/>
      <c r="U1223" s="57"/>
      <c r="V1223" s="57"/>
      <c r="W1223" s="57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</row>
    <row r="1224" spans="1:36" ht="11.25" customHeight="1" x14ac:dyDescent="0.2">
      <c r="A1224" s="53" t="s">
        <v>28</v>
      </c>
      <c r="B1224" s="53" t="s">
        <v>37</v>
      </c>
      <c r="C1224" s="53" t="s">
        <v>23</v>
      </c>
      <c r="D1224" s="53" t="s">
        <v>45</v>
      </c>
      <c r="E1224" s="53" t="s">
        <v>25</v>
      </c>
      <c r="F1224" s="53" t="s">
        <v>25</v>
      </c>
      <c r="G1224" s="53" t="s">
        <v>25</v>
      </c>
      <c r="H1224" s="53" t="s">
        <v>25</v>
      </c>
      <c r="I1224" s="75">
        <v>44682</v>
      </c>
      <c r="J1224" s="76">
        <f>EFEITO!$J$1224*EFEITO!$Y$1224</f>
        <v>0</v>
      </c>
      <c r="K1224" s="76">
        <f ca="1">EFEITO!$L$1224*EFEITO!$Z$1224</f>
        <v>845.69204749519781</v>
      </c>
      <c r="L1224" s="76">
        <f>EFEITO!$N$1224*EFEITO!$AA$1224</f>
        <v>622.31069861859885</v>
      </c>
      <c r="M1224" s="76">
        <f>$J$1224-EFEITO!$K$1224*EFEITO!$Y$1224</f>
        <v>0</v>
      </c>
      <c r="N1224" s="76">
        <f ca="1">$K$1224-EFEITO!$M$1224*EFEITO!$Z$1224</f>
        <v>0</v>
      </c>
      <c r="O1224" s="76">
        <f>$L$1224-EFEITO!$O$1224*EFEITO!$AA$1224</f>
        <v>0</v>
      </c>
      <c r="P1224" s="57"/>
      <c r="Q1224" s="57"/>
      <c r="R1224" s="57"/>
      <c r="S1224" s="57"/>
      <c r="T1224" s="57"/>
      <c r="U1224" s="57"/>
      <c r="V1224" s="57"/>
      <c r="W1224" s="57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</row>
    <row r="1225" spans="1:36" ht="11.25" customHeight="1" x14ac:dyDescent="0.2">
      <c r="A1225" s="53" t="s">
        <v>21</v>
      </c>
      <c r="B1225" s="53" t="s">
        <v>37</v>
      </c>
      <c r="C1225" s="53" t="s">
        <v>23</v>
      </c>
      <c r="D1225" s="53" t="s">
        <v>45</v>
      </c>
      <c r="E1225" s="53" t="s">
        <v>25</v>
      </c>
      <c r="F1225" s="53" t="s">
        <v>25</v>
      </c>
      <c r="G1225" s="53" t="s">
        <v>25</v>
      </c>
      <c r="H1225" s="53" t="s">
        <v>25</v>
      </c>
      <c r="I1225" s="75">
        <v>44713</v>
      </c>
      <c r="J1225" s="76">
        <f>EFEITO!$J$1225*EFEITO!$Y$1225</f>
        <v>0</v>
      </c>
      <c r="K1225" s="76">
        <f ca="1">EFEITO!$L$1225*EFEITO!$Z$1225</f>
        <v>355501.54417109827</v>
      </c>
      <c r="L1225" s="76">
        <f>EFEITO!$N$1225*EFEITO!$AA$1225</f>
        <v>261599.26059179727</v>
      </c>
      <c r="M1225" s="76">
        <f>$J$1225-EFEITO!$K$1225*EFEITO!$Y$1225</f>
        <v>0</v>
      </c>
      <c r="N1225" s="76">
        <f ca="1">$K$1225-EFEITO!$M$1225*EFEITO!$Z$1225</f>
        <v>0</v>
      </c>
      <c r="O1225" s="76">
        <f>$L$1225-EFEITO!$O$1225*EFEITO!$AA$1225</f>
        <v>0</v>
      </c>
      <c r="P1225" s="57"/>
      <c r="Q1225" s="57"/>
      <c r="R1225" s="57"/>
      <c r="S1225" s="57"/>
      <c r="T1225" s="57"/>
      <c r="U1225" s="57"/>
      <c r="V1225" s="57"/>
      <c r="W1225" s="57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</row>
    <row r="1226" spans="1:36" ht="11.25" customHeight="1" x14ac:dyDescent="0.2">
      <c r="A1226" s="53" t="s">
        <v>28</v>
      </c>
      <c r="B1226" s="53" t="s">
        <v>37</v>
      </c>
      <c r="C1226" s="53" t="s">
        <v>23</v>
      </c>
      <c r="D1226" s="53" t="s">
        <v>45</v>
      </c>
      <c r="E1226" s="53" t="s">
        <v>25</v>
      </c>
      <c r="F1226" s="53" t="s">
        <v>25</v>
      </c>
      <c r="G1226" s="53" t="s">
        <v>25</v>
      </c>
      <c r="H1226" s="53" t="s">
        <v>25</v>
      </c>
      <c r="I1226" s="75">
        <v>44713</v>
      </c>
      <c r="J1226" s="76">
        <f>EFEITO!$J$1226*EFEITO!$Y$1226</f>
        <v>0</v>
      </c>
      <c r="K1226" s="76">
        <f ca="1">EFEITO!$L$1226*EFEITO!$Z$1226</f>
        <v>130.4409327756089</v>
      </c>
      <c r="L1226" s="76">
        <f>EFEITO!$N$1226*EFEITO!$AA$1226</f>
        <v>95.986226008010092</v>
      </c>
      <c r="M1226" s="76">
        <f>$J$1226-EFEITO!$K$1226*EFEITO!$Y$1226</f>
        <v>0</v>
      </c>
      <c r="N1226" s="76">
        <f ca="1">$K$1226-EFEITO!$M$1226*EFEITO!$Z$1226</f>
        <v>0</v>
      </c>
      <c r="O1226" s="76">
        <f>$L$1226-EFEITO!$O$1226*EFEITO!$AA$1226</f>
        <v>0</v>
      </c>
      <c r="P1226" s="57"/>
      <c r="Q1226" s="57"/>
      <c r="R1226" s="57"/>
      <c r="S1226" s="57"/>
      <c r="T1226" s="57"/>
      <c r="U1226" s="57"/>
      <c r="V1226" s="57"/>
      <c r="W1226" s="57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</row>
    <row r="1227" spans="1:36" ht="11.25" customHeight="1" x14ac:dyDescent="0.2">
      <c r="A1227" s="53" t="s">
        <v>21</v>
      </c>
      <c r="B1227" s="53" t="s">
        <v>37</v>
      </c>
      <c r="C1227" s="53" t="s">
        <v>23</v>
      </c>
      <c r="D1227" s="53" t="s">
        <v>45</v>
      </c>
      <c r="E1227" s="53" t="s">
        <v>25</v>
      </c>
      <c r="F1227" s="53" t="s">
        <v>25</v>
      </c>
      <c r="G1227" s="53" t="s">
        <v>25</v>
      </c>
      <c r="H1227" s="53" t="s">
        <v>25</v>
      </c>
      <c r="I1227" s="75">
        <v>44743</v>
      </c>
      <c r="J1227" s="76">
        <f>EFEITO!$J$1227*EFEITO!$Y$1227</f>
        <v>0</v>
      </c>
      <c r="K1227" s="76">
        <f ca="1">EFEITO!$L$1227*EFEITO!$Z$1227</f>
        <v>288730.13509259181</v>
      </c>
      <c r="L1227" s="76">
        <f>EFEITO!$N$1227*EFEITO!$AA$1227</f>
        <v>212464.87136055698</v>
      </c>
      <c r="M1227" s="76">
        <f>$J$1227-EFEITO!$K$1227*EFEITO!$Y$1227</f>
        <v>0</v>
      </c>
      <c r="N1227" s="76">
        <f ca="1">$K$1227-EFEITO!$M$1227*EFEITO!$Z$1227</f>
        <v>0</v>
      </c>
      <c r="O1227" s="76">
        <f>$L$1227-EFEITO!$O$1227*EFEITO!$AA$1227</f>
        <v>0</v>
      </c>
      <c r="P1227" s="57"/>
      <c r="Q1227" s="57"/>
      <c r="R1227" s="57"/>
      <c r="S1227" s="57"/>
      <c r="T1227" s="57"/>
      <c r="U1227" s="57"/>
      <c r="V1227" s="57"/>
      <c r="W1227" s="57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</row>
    <row r="1228" spans="1:36" ht="11.25" customHeight="1" x14ac:dyDescent="0.2">
      <c r="A1228" s="53" t="s">
        <v>27</v>
      </c>
      <c r="B1228" s="53" t="s">
        <v>37</v>
      </c>
      <c r="C1228" s="53" t="s">
        <v>23</v>
      </c>
      <c r="D1228" s="53" t="s">
        <v>45</v>
      </c>
      <c r="E1228" s="53" t="s">
        <v>25</v>
      </c>
      <c r="F1228" s="53" t="s">
        <v>25</v>
      </c>
      <c r="G1228" s="53" t="s">
        <v>25</v>
      </c>
      <c r="H1228" s="53" t="s">
        <v>25</v>
      </c>
      <c r="I1228" s="75">
        <v>44743</v>
      </c>
      <c r="J1228" s="76">
        <f>EFEITO!$J$1228*EFEITO!$Y$1228</f>
        <v>0</v>
      </c>
      <c r="K1228" s="76">
        <f ca="1">EFEITO!$L$1228*EFEITO!$Z$1228</f>
        <v>-30264.470419487527</v>
      </c>
      <c r="L1228" s="76">
        <f>EFEITO!$N$1228*EFEITO!$AA$1228</f>
        <v>-22270.404204291812</v>
      </c>
      <c r="M1228" s="76">
        <f>$J$1228-EFEITO!$K$1228*EFEITO!$Y$1228</f>
        <v>0</v>
      </c>
      <c r="N1228" s="76">
        <f ca="1">$K$1228-EFEITO!$M$1228*EFEITO!$Z$1228</f>
        <v>0</v>
      </c>
      <c r="O1228" s="76">
        <f>$L$1228-EFEITO!$O$1228*EFEITO!$AA$1228</f>
        <v>0</v>
      </c>
      <c r="P1228" s="57"/>
      <c r="Q1228" s="57"/>
      <c r="R1228" s="57"/>
      <c r="S1228" s="57"/>
      <c r="T1228" s="57"/>
      <c r="U1228" s="57"/>
      <c r="V1228" s="57"/>
      <c r="W1228" s="57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</row>
    <row r="1229" spans="1:36" ht="11.25" customHeight="1" x14ac:dyDescent="0.2">
      <c r="A1229" s="53" t="s">
        <v>28</v>
      </c>
      <c r="B1229" s="53" t="s">
        <v>37</v>
      </c>
      <c r="C1229" s="53" t="s">
        <v>23</v>
      </c>
      <c r="D1229" s="53" t="s">
        <v>45</v>
      </c>
      <c r="E1229" s="53" t="s">
        <v>25</v>
      </c>
      <c r="F1229" s="53" t="s">
        <v>25</v>
      </c>
      <c r="G1229" s="53" t="s">
        <v>25</v>
      </c>
      <c r="H1229" s="53" t="s">
        <v>25</v>
      </c>
      <c r="I1229" s="75">
        <v>44743</v>
      </c>
      <c r="J1229" s="76">
        <f>EFEITO!$J$1229*EFEITO!$Y$1229</f>
        <v>0</v>
      </c>
      <c r="K1229" s="76">
        <f ca="1">EFEITO!$L$1229*EFEITO!$Z$1229</f>
        <v>173.92124370081189</v>
      </c>
      <c r="L1229" s="76">
        <f>EFEITO!$N$1229*EFEITO!$AA$1229</f>
        <v>127.9816346773468</v>
      </c>
      <c r="M1229" s="76">
        <f>$J$1229-EFEITO!$K$1229*EFEITO!$Y$1229</f>
        <v>0</v>
      </c>
      <c r="N1229" s="76">
        <f ca="1">$K$1229-EFEITO!$M$1229*EFEITO!$Z$1229</f>
        <v>0</v>
      </c>
      <c r="O1229" s="76">
        <f>$L$1229-EFEITO!$O$1229*EFEITO!$AA$1229</f>
        <v>0</v>
      </c>
      <c r="P1229" s="57"/>
      <c r="Q1229" s="57"/>
      <c r="R1229" s="57"/>
      <c r="S1229" s="57"/>
      <c r="T1229" s="57"/>
      <c r="U1229" s="57"/>
      <c r="V1229" s="57"/>
      <c r="W1229" s="57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</row>
    <row r="1230" spans="1:36" ht="11.25" customHeight="1" x14ac:dyDescent="0.2">
      <c r="A1230" s="53" t="s">
        <v>56</v>
      </c>
      <c r="B1230" s="53" t="s">
        <v>37</v>
      </c>
      <c r="C1230" s="53" t="s">
        <v>23</v>
      </c>
      <c r="D1230" s="53" t="s">
        <v>45</v>
      </c>
      <c r="E1230" s="53" t="s">
        <v>25</v>
      </c>
      <c r="F1230" s="53" t="s">
        <v>25</v>
      </c>
      <c r="G1230" s="53" t="s">
        <v>25</v>
      </c>
      <c r="H1230" s="53" t="s">
        <v>25</v>
      </c>
      <c r="I1230" s="75">
        <v>44774</v>
      </c>
      <c r="J1230" s="76">
        <f>EFEITO!$J$1230*EFEITO!$Y$1230</f>
        <v>0</v>
      </c>
      <c r="K1230" s="76">
        <f ca="1">EFEITO!$L$1230*EFEITO!$Z$1230</f>
        <v>288730.13509259181</v>
      </c>
      <c r="L1230" s="76">
        <f>EFEITO!$N$1230*EFEITO!$AA$1230</f>
        <v>212464.87136055698</v>
      </c>
      <c r="M1230" s="76">
        <f>$J$1230-EFEITO!$K$1230*EFEITO!$Y$1230</f>
        <v>0</v>
      </c>
      <c r="N1230" s="76">
        <f ca="1">$K$1230-EFEITO!$M$1230*EFEITO!$Z$1230</f>
        <v>0</v>
      </c>
      <c r="O1230" s="76">
        <f>$L$1230-EFEITO!$O$1230*EFEITO!$AA$1230</f>
        <v>0</v>
      </c>
      <c r="P1230" s="57"/>
      <c r="Q1230" s="57"/>
      <c r="R1230" s="57"/>
      <c r="S1230" s="57"/>
      <c r="T1230" s="57"/>
      <c r="U1230" s="57"/>
      <c r="V1230" s="57"/>
      <c r="W1230" s="57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</row>
    <row r="1231" spans="1:36" ht="11.25" customHeight="1" x14ac:dyDescent="0.2">
      <c r="A1231" s="53" t="s">
        <v>56</v>
      </c>
      <c r="B1231" s="53" t="s">
        <v>37</v>
      </c>
      <c r="C1231" s="53" t="s">
        <v>23</v>
      </c>
      <c r="D1231" s="53" t="s">
        <v>45</v>
      </c>
      <c r="E1231" s="53" t="s">
        <v>25</v>
      </c>
      <c r="F1231" s="53" t="s">
        <v>25</v>
      </c>
      <c r="G1231" s="53" t="s">
        <v>25</v>
      </c>
      <c r="H1231" s="53" t="s">
        <v>25</v>
      </c>
      <c r="I1231" s="75">
        <v>44774</v>
      </c>
      <c r="J1231" s="76">
        <f>EFEITO!$J$1231*EFEITO!$Y$1231</f>
        <v>0</v>
      </c>
      <c r="K1231" s="76">
        <f ca="1">EFEITO!$L$1231*EFEITO!$Z$1231</f>
        <v>-30264.470419487527</v>
      </c>
      <c r="L1231" s="76">
        <f>EFEITO!$N$1231*EFEITO!$AA$1231</f>
        <v>-22270.404204291812</v>
      </c>
      <c r="M1231" s="76">
        <f>$J$1231-EFEITO!$K$1231*EFEITO!$Y$1231</f>
        <v>0</v>
      </c>
      <c r="N1231" s="76">
        <f ca="1">$K$1231-EFEITO!$M$1231*EFEITO!$Z$1231</f>
        <v>0</v>
      </c>
      <c r="O1231" s="76">
        <f>$L$1231-EFEITO!$O$1231*EFEITO!$AA$1231</f>
        <v>0</v>
      </c>
      <c r="P1231" s="57"/>
      <c r="Q1231" s="57"/>
      <c r="R1231" s="57"/>
      <c r="S1231" s="57"/>
      <c r="T1231" s="57"/>
      <c r="U1231" s="57"/>
      <c r="V1231" s="57"/>
      <c r="W1231" s="57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</row>
    <row r="1232" spans="1:36" ht="11.25" customHeight="1" x14ac:dyDescent="0.2">
      <c r="A1232" s="53" t="s">
        <v>56</v>
      </c>
      <c r="B1232" s="53" t="s">
        <v>37</v>
      </c>
      <c r="C1232" s="53" t="s">
        <v>23</v>
      </c>
      <c r="D1232" s="53" t="s">
        <v>45</v>
      </c>
      <c r="E1232" s="53" t="s">
        <v>25</v>
      </c>
      <c r="F1232" s="53" t="s">
        <v>25</v>
      </c>
      <c r="G1232" s="53" t="s">
        <v>25</v>
      </c>
      <c r="H1232" s="53" t="s">
        <v>25</v>
      </c>
      <c r="I1232" s="75">
        <v>44774</v>
      </c>
      <c r="J1232" s="76">
        <f>EFEITO!$J$1232*EFEITO!$Y$1232</f>
        <v>0</v>
      </c>
      <c r="K1232" s="76">
        <f ca="1">EFEITO!$L$1232*EFEITO!$Z$1232</f>
        <v>173.92124370081189</v>
      </c>
      <c r="L1232" s="76">
        <f>EFEITO!$N$1232*EFEITO!$AA$1232</f>
        <v>127.9816346773468</v>
      </c>
      <c r="M1232" s="76">
        <f>$J$1232-EFEITO!$K$1232*EFEITO!$Y$1232</f>
        <v>0</v>
      </c>
      <c r="N1232" s="76">
        <f ca="1">$K$1232-EFEITO!$M$1232*EFEITO!$Z$1232</f>
        <v>0</v>
      </c>
      <c r="O1232" s="76">
        <f>$L$1232-EFEITO!$O$1232*EFEITO!$AA$1232</f>
        <v>0</v>
      </c>
      <c r="P1232" s="57"/>
      <c r="Q1232" s="57"/>
      <c r="R1232" s="57"/>
      <c r="S1232" s="57"/>
      <c r="T1232" s="57"/>
      <c r="U1232" s="57"/>
      <c r="V1232" s="57"/>
      <c r="W1232" s="57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</row>
    <row r="1233" spans="1:36" ht="11.25" customHeight="1" x14ac:dyDescent="0.2">
      <c r="A1233" s="53" t="s">
        <v>21</v>
      </c>
      <c r="B1233" s="53" t="s">
        <v>37</v>
      </c>
      <c r="C1233" s="53" t="s">
        <v>23</v>
      </c>
      <c r="D1233" s="53" t="s">
        <v>49</v>
      </c>
      <c r="E1233" s="53" t="s">
        <v>50</v>
      </c>
      <c r="F1233" s="53" t="s">
        <v>25</v>
      </c>
      <c r="G1233" s="53" t="s">
        <v>25</v>
      </c>
      <c r="H1233" s="53" t="s">
        <v>25</v>
      </c>
      <c r="I1233" s="75">
        <v>44440</v>
      </c>
      <c r="J1233" s="76">
        <f>EFEITO!$J$1233*EFEITO!$Y$1232</f>
        <v>0</v>
      </c>
      <c r="K1233" s="76">
        <f ca="1">EFEITO!$L$1233*EFEITO!$Z$1232</f>
        <v>123777.57512632155</v>
      </c>
      <c r="L1233" s="76">
        <f>EFEITO!$N$1233*EFEITO!$AA$1232</f>
        <v>91082.929629434249</v>
      </c>
      <c r="M1233" s="76">
        <f>$J$1233-EFEITO!$K$1233*EFEITO!$Y$1233</f>
        <v>0</v>
      </c>
      <c r="N1233" s="76">
        <f ca="1">$K$1233-EFEITO!$M$1233*EFEITO!$Z$1233</f>
        <v>3713.327253789641</v>
      </c>
      <c r="O1233" s="76">
        <f>$L$1233-EFEITO!$O$1233*EFEITO!$AA$1233</f>
        <v>2732.4878888830281</v>
      </c>
      <c r="P1233" s="57"/>
      <c r="Q1233" s="57"/>
      <c r="R1233" s="57"/>
      <c r="S1233" s="57"/>
      <c r="T1233" s="57"/>
      <c r="U1233" s="57"/>
      <c r="V1233" s="57"/>
      <c r="W1233" s="57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</row>
    <row r="1234" spans="1:36" ht="11.25" customHeight="1" x14ac:dyDescent="0.2">
      <c r="A1234" s="53" t="s">
        <v>21</v>
      </c>
      <c r="B1234" s="53" t="s">
        <v>37</v>
      </c>
      <c r="C1234" s="53" t="s">
        <v>23</v>
      </c>
      <c r="D1234" s="53" t="s">
        <v>49</v>
      </c>
      <c r="E1234" s="53" t="s">
        <v>50</v>
      </c>
      <c r="F1234" s="53" t="s">
        <v>25</v>
      </c>
      <c r="G1234" s="53" t="s">
        <v>25</v>
      </c>
      <c r="H1234" s="53" t="s">
        <v>25</v>
      </c>
      <c r="I1234" s="75">
        <v>44470</v>
      </c>
      <c r="J1234" s="76">
        <f>EFEITO!$J$1234*EFEITO!$Y$1232</f>
        <v>0</v>
      </c>
      <c r="K1234" s="76">
        <f ca="1">EFEITO!$L$1234*EFEITO!$Z$1232</f>
        <v>132221.45150799598</v>
      </c>
      <c r="L1234" s="76">
        <f>EFEITO!$N$1234*EFEITO!$AA$1232</f>
        <v>97296.437993019441</v>
      </c>
      <c r="M1234" s="76">
        <f>$J$1234-EFEITO!$K$1234*EFEITO!$Y$1234</f>
        <v>0</v>
      </c>
      <c r="N1234" s="76">
        <f ca="1">$K$1234-EFEITO!$M$1234*EFEITO!$Z$1234</f>
        <v>3966.6435452398728</v>
      </c>
      <c r="O1234" s="76">
        <f>$L$1234-EFEITO!$O$1234*EFEITO!$AA$1234</f>
        <v>2918.8931397905835</v>
      </c>
      <c r="P1234" s="57"/>
      <c r="Q1234" s="57"/>
      <c r="R1234" s="57"/>
      <c r="S1234" s="57"/>
      <c r="T1234" s="57"/>
      <c r="U1234" s="57"/>
      <c r="V1234" s="57"/>
      <c r="W1234" s="57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</row>
    <row r="1235" spans="1:36" ht="11.25" customHeight="1" x14ac:dyDescent="0.2">
      <c r="A1235" s="53" t="s">
        <v>21</v>
      </c>
      <c r="B1235" s="53" t="s">
        <v>37</v>
      </c>
      <c r="C1235" s="53" t="s">
        <v>23</v>
      </c>
      <c r="D1235" s="53" t="s">
        <v>49</v>
      </c>
      <c r="E1235" s="53" t="s">
        <v>50</v>
      </c>
      <c r="F1235" s="53" t="s">
        <v>25</v>
      </c>
      <c r="G1235" s="53" t="s">
        <v>25</v>
      </c>
      <c r="H1235" s="53" t="s">
        <v>25</v>
      </c>
      <c r="I1235" s="75">
        <v>44501</v>
      </c>
      <c r="J1235" s="76">
        <f>EFEITO!$J$1235*EFEITO!$Y$1232</f>
        <v>0</v>
      </c>
      <c r="K1235" s="76">
        <f ca="1">EFEITO!$L$1235*EFEITO!$Z$1232</f>
        <v>118527.3275821033</v>
      </c>
      <c r="L1235" s="76">
        <f>EFEITO!$N$1235*EFEITO!$AA$1232</f>
        <v>87219.484032611857</v>
      </c>
      <c r="M1235" s="76">
        <f>$J$1235-EFEITO!$K$1235*EFEITO!$Y$1235</f>
        <v>0</v>
      </c>
      <c r="N1235" s="76">
        <f ca="1">$K$1235-EFEITO!$M$1235*EFEITO!$Z$1235</f>
        <v>3555.8198274630995</v>
      </c>
      <c r="O1235" s="76">
        <f>$L$1235-EFEITO!$O$1235*EFEITO!$AA$1235</f>
        <v>2616.5845209783729</v>
      </c>
      <c r="P1235" s="57"/>
      <c r="Q1235" s="57"/>
      <c r="R1235" s="57"/>
      <c r="S1235" s="57"/>
      <c r="T1235" s="57"/>
      <c r="U1235" s="57"/>
      <c r="V1235" s="57"/>
      <c r="W1235" s="57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</row>
    <row r="1236" spans="1:36" ht="11.25" customHeight="1" x14ac:dyDescent="0.2">
      <c r="A1236" s="53" t="s">
        <v>21</v>
      </c>
      <c r="B1236" s="53" t="s">
        <v>37</v>
      </c>
      <c r="C1236" s="53" t="s">
        <v>23</v>
      </c>
      <c r="D1236" s="53" t="s">
        <v>49</v>
      </c>
      <c r="E1236" s="53" t="s">
        <v>50</v>
      </c>
      <c r="F1236" s="53" t="s">
        <v>25</v>
      </c>
      <c r="G1236" s="53" t="s">
        <v>25</v>
      </c>
      <c r="H1236" s="53" t="s">
        <v>25</v>
      </c>
      <c r="I1236" s="75">
        <v>44531</v>
      </c>
      <c r="J1236" s="76">
        <f>EFEITO!$J$1236*EFEITO!$Y$1232</f>
        <v>0</v>
      </c>
      <c r="K1236" s="76">
        <f ca="1">EFEITO!$L$1236*EFEITO!$Z$1232</f>
        <v>114989.33468211953</v>
      </c>
      <c r="L1236" s="76">
        <f>EFEITO!$N$1236*EFEITO!$AA$1232</f>
        <v>84616.017629187918</v>
      </c>
      <c r="M1236" s="76">
        <f>$J$1236-EFEITO!$K$1236*EFEITO!$Y$1236</f>
        <v>0</v>
      </c>
      <c r="N1236" s="76">
        <f ca="1">$K$1236-EFEITO!$M$1236*EFEITO!$Z$1236</f>
        <v>3449.6800404635724</v>
      </c>
      <c r="O1236" s="76">
        <f>$L$1236-EFEITO!$O$1236*EFEITO!$AA$1236</f>
        <v>2538.4805288756324</v>
      </c>
      <c r="P1236" s="57"/>
      <c r="Q1236" s="57"/>
      <c r="R1236" s="57"/>
      <c r="S1236" s="57"/>
      <c r="T1236" s="57"/>
      <c r="U1236" s="57"/>
      <c r="V1236" s="57"/>
      <c r="W1236" s="57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</row>
    <row r="1237" spans="1:36" ht="11.25" customHeight="1" x14ac:dyDescent="0.2">
      <c r="A1237" s="53" t="s">
        <v>21</v>
      </c>
      <c r="B1237" s="53" t="s">
        <v>37</v>
      </c>
      <c r="C1237" s="53" t="s">
        <v>23</v>
      </c>
      <c r="D1237" s="53" t="s">
        <v>49</v>
      </c>
      <c r="E1237" s="53" t="s">
        <v>50</v>
      </c>
      <c r="F1237" s="53" t="s">
        <v>25</v>
      </c>
      <c r="G1237" s="53" t="s">
        <v>25</v>
      </c>
      <c r="H1237" s="53" t="s">
        <v>25</v>
      </c>
      <c r="I1237" s="75">
        <v>44562</v>
      </c>
      <c r="J1237" s="76">
        <f>EFEITO!$J$1237*EFEITO!$Y$1232</f>
        <v>0</v>
      </c>
      <c r="K1237" s="76">
        <f ca="1">EFEITO!$L$1237*EFEITO!$Z$1232</f>
        <v>115878.50704053992</v>
      </c>
      <c r="L1237" s="76">
        <f>EFEITO!$N$1237*EFEITO!$AA$1232</f>
        <v>85270.323736475853</v>
      </c>
      <c r="M1237" s="76">
        <f>$J$1237-EFEITO!$K$1237*EFEITO!$Y$1237</f>
        <v>0</v>
      </c>
      <c r="N1237" s="76">
        <f ca="1">$K$1237-EFEITO!$M$1237*EFEITO!$Z$1237</f>
        <v>3476.3552112161851</v>
      </c>
      <c r="O1237" s="76">
        <f>$L$1237-EFEITO!$O$1237*EFEITO!$AA$1237</f>
        <v>2558.1097120942868</v>
      </c>
      <c r="P1237" s="57"/>
      <c r="Q1237" s="57"/>
      <c r="R1237" s="57"/>
      <c r="S1237" s="57"/>
      <c r="T1237" s="57"/>
      <c r="U1237" s="57"/>
      <c r="V1237" s="57"/>
      <c r="W1237" s="57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</row>
    <row r="1238" spans="1:36" ht="11.25" customHeight="1" x14ac:dyDescent="0.2">
      <c r="A1238" s="53" t="s">
        <v>21</v>
      </c>
      <c r="B1238" s="53" t="s">
        <v>37</v>
      </c>
      <c r="C1238" s="53" t="s">
        <v>23</v>
      </c>
      <c r="D1238" s="53" t="s">
        <v>49</v>
      </c>
      <c r="E1238" s="53" t="s">
        <v>50</v>
      </c>
      <c r="F1238" s="53" t="s">
        <v>25</v>
      </c>
      <c r="G1238" s="53" t="s">
        <v>25</v>
      </c>
      <c r="H1238" s="53" t="s">
        <v>25</v>
      </c>
      <c r="I1238" s="75">
        <v>44593</v>
      </c>
      <c r="J1238" s="76">
        <f>EFEITO!$J$1238*EFEITO!$Y$1232</f>
        <v>0</v>
      </c>
      <c r="K1238" s="76">
        <f ca="1">EFEITO!$L$1238*EFEITO!$Z$1232</f>
        <v>120193.49309675708</v>
      </c>
      <c r="L1238" s="76">
        <f>EFEITO!$N$1238*EFEITO!$AA$1232</f>
        <v>88445.548092820827</v>
      </c>
      <c r="M1238" s="76">
        <f>$J$1238-EFEITO!$K$1238*EFEITO!$Y$1238</f>
        <v>0</v>
      </c>
      <c r="N1238" s="76">
        <f ca="1">$K$1238-EFEITO!$M$1238*EFEITO!$Z$1238</f>
        <v>3605.8047929027089</v>
      </c>
      <c r="O1238" s="76">
        <f>$L$1238-EFEITO!$O$1238*EFEITO!$AA$1238</f>
        <v>2653.3664427846234</v>
      </c>
      <c r="P1238" s="57"/>
      <c r="Q1238" s="57"/>
      <c r="R1238" s="57"/>
      <c r="S1238" s="57"/>
      <c r="T1238" s="57"/>
      <c r="U1238" s="57"/>
      <c r="V1238" s="57"/>
      <c r="W1238" s="57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</row>
    <row r="1239" spans="1:36" ht="11.25" customHeight="1" x14ac:dyDescent="0.2">
      <c r="A1239" s="53" t="s">
        <v>21</v>
      </c>
      <c r="B1239" s="53" t="s">
        <v>37</v>
      </c>
      <c r="C1239" s="53" t="s">
        <v>23</v>
      </c>
      <c r="D1239" s="53" t="s">
        <v>49</v>
      </c>
      <c r="E1239" s="53" t="s">
        <v>50</v>
      </c>
      <c r="F1239" s="53" t="s">
        <v>25</v>
      </c>
      <c r="G1239" s="53" t="s">
        <v>25</v>
      </c>
      <c r="H1239" s="53" t="s">
        <v>25</v>
      </c>
      <c r="I1239" s="75">
        <v>44621</v>
      </c>
      <c r="J1239" s="76">
        <f>EFEITO!$J$1239*EFEITO!$Y$1232</f>
        <v>0</v>
      </c>
      <c r="K1239" s="76">
        <f ca="1">EFEITO!$L$1239*EFEITO!$Z$1232</f>
        <v>123600.17545774672</v>
      </c>
      <c r="L1239" s="76">
        <f>EFEITO!$N$1239*EFEITO!$AA$1232</f>
        <v>90952.388362063357</v>
      </c>
      <c r="M1239" s="76">
        <f>$J$1239-EFEITO!$K$1239*EFEITO!$Y$1239</f>
        <v>0</v>
      </c>
      <c r="N1239" s="76">
        <f ca="1">$K$1239-EFEITO!$M$1239*EFEITO!$Z$1239</f>
        <v>3708.005263732397</v>
      </c>
      <c r="O1239" s="76">
        <f>$L$1239-EFEITO!$O$1239*EFEITO!$AA$1239</f>
        <v>2728.571650861908</v>
      </c>
      <c r="P1239" s="57"/>
      <c r="Q1239" s="57"/>
      <c r="R1239" s="57"/>
      <c r="S1239" s="57"/>
      <c r="T1239" s="57"/>
      <c r="U1239" s="57"/>
      <c r="V1239" s="57"/>
      <c r="W1239" s="57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</row>
    <row r="1240" spans="1:36" ht="11.25" customHeight="1" x14ac:dyDescent="0.2">
      <c r="A1240" s="53" t="s">
        <v>21</v>
      </c>
      <c r="B1240" s="53" t="s">
        <v>37</v>
      </c>
      <c r="C1240" s="53" t="s">
        <v>23</v>
      </c>
      <c r="D1240" s="53" t="s">
        <v>49</v>
      </c>
      <c r="E1240" s="53" t="s">
        <v>50</v>
      </c>
      <c r="F1240" s="53" t="s">
        <v>25</v>
      </c>
      <c r="G1240" s="53" t="s">
        <v>25</v>
      </c>
      <c r="H1240" s="53" t="s">
        <v>25</v>
      </c>
      <c r="I1240" s="75">
        <v>44652</v>
      </c>
      <c r="J1240" s="76">
        <f>EFEITO!$J$1240*EFEITO!$Y$1232</f>
        <v>0</v>
      </c>
      <c r="K1240" s="76">
        <f ca="1">EFEITO!$L$1240*EFEITO!$Z$1232</f>
        <v>124456.73758297323</v>
      </c>
      <c r="L1240" s="76">
        <f>EFEITO!$N$1240*EFEITO!$AA$1232</f>
        <v>91582.697912849297</v>
      </c>
      <c r="M1240" s="76">
        <f>$J$1240-EFEITO!$K$1240*EFEITO!$Y$1240</f>
        <v>0</v>
      </c>
      <c r="N1240" s="76">
        <f ca="1">$K$1240-EFEITO!$M$1240*EFEITO!$Z$1240</f>
        <v>3733.7021274891886</v>
      </c>
      <c r="O1240" s="76">
        <f>$L$1240-EFEITO!$O$1240*EFEITO!$AA$1240</f>
        <v>2747.4809373854805</v>
      </c>
      <c r="P1240" s="57"/>
      <c r="Q1240" s="57"/>
      <c r="R1240" s="57"/>
      <c r="S1240" s="57"/>
      <c r="T1240" s="57"/>
      <c r="U1240" s="57"/>
      <c r="V1240" s="57"/>
      <c r="W1240" s="57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</row>
    <row r="1241" spans="1:36" ht="11.25" customHeight="1" x14ac:dyDescent="0.2">
      <c r="A1241" s="53" t="s">
        <v>21</v>
      </c>
      <c r="B1241" s="53" t="s">
        <v>37</v>
      </c>
      <c r="C1241" s="53" t="s">
        <v>23</v>
      </c>
      <c r="D1241" s="53" t="s">
        <v>49</v>
      </c>
      <c r="E1241" s="53" t="s">
        <v>50</v>
      </c>
      <c r="F1241" s="53" t="s">
        <v>25</v>
      </c>
      <c r="G1241" s="53" t="s">
        <v>25</v>
      </c>
      <c r="H1241" s="53" t="s">
        <v>25</v>
      </c>
      <c r="I1241" s="75">
        <v>44682</v>
      </c>
      <c r="J1241" s="76">
        <f>EFEITO!$J$1241*EFEITO!$Y$1232</f>
        <v>0</v>
      </c>
      <c r="K1241" s="76">
        <f ca="1">EFEITO!$L$1241*EFEITO!$Z$1232</f>
        <v>120917.00547055245</v>
      </c>
      <c r="L1241" s="76">
        <f>EFEITO!$N$1241*EFEITO!$AA$1232</f>
        <v>88977.95169307859</v>
      </c>
      <c r="M1241" s="76">
        <f>$J$1241-EFEITO!$K$1241*EFEITO!$Y$1241</f>
        <v>0</v>
      </c>
      <c r="N1241" s="76">
        <f ca="1">$K$1241-EFEITO!$M$1241*EFEITO!$Z$1241</f>
        <v>3627.5101641165675</v>
      </c>
      <c r="O1241" s="76">
        <f>$L$1241-EFEITO!$O$1241*EFEITO!$AA$1241</f>
        <v>2669.3385507923667</v>
      </c>
      <c r="P1241" s="57"/>
      <c r="Q1241" s="57"/>
      <c r="R1241" s="57"/>
      <c r="S1241" s="57"/>
      <c r="T1241" s="57"/>
      <c r="U1241" s="57"/>
      <c r="V1241" s="57"/>
      <c r="W1241" s="57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</row>
    <row r="1242" spans="1:36" ht="11.25" customHeight="1" x14ac:dyDescent="0.2">
      <c r="A1242" s="53" t="s">
        <v>21</v>
      </c>
      <c r="B1242" s="53" t="s">
        <v>37</v>
      </c>
      <c r="C1242" s="53" t="s">
        <v>23</v>
      </c>
      <c r="D1242" s="53" t="s">
        <v>49</v>
      </c>
      <c r="E1242" s="53" t="s">
        <v>50</v>
      </c>
      <c r="F1242" s="53" t="s">
        <v>25</v>
      </c>
      <c r="G1242" s="53" t="s">
        <v>25</v>
      </c>
      <c r="H1242" s="53" t="s">
        <v>25</v>
      </c>
      <c r="I1242" s="75">
        <v>44713</v>
      </c>
      <c r="J1242" s="76">
        <f>EFEITO!$J$1242*EFEITO!$Y$1232</f>
        <v>0</v>
      </c>
      <c r="K1242" s="76">
        <f ca="1">EFEITO!$L$1242*EFEITO!$Z$1232</f>
        <v>124034.10896078024</v>
      </c>
      <c r="L1242" s="76">
        <f>EFEITO!$N$1242*EFEITO!$AA$1232</f>
        <v>91271.702540583341</v>
      </c>
      <c r="M1242" s="76">
        <f>$J$1242-EFEITO!$K$1242*EFEITO!$Y$1242</f>
        <v>0</v>
      </c>
      <c r="N1242" s="76">
        <f ca="1">$K$1242-EFEITO!$M$1242*EFEITO!$Z$1242</f>
        <v>3721.02326882341</v>
      </c>
      <c r="O1242" s="76">
        <f>$L$1242-EFEITO!$O$1242*EFEITO!$AA$1242</f>
        <v>2738.1510762175167</v>
      </c>
      <c r="P1242" s="57"/>
      <c r="Q1242" s="57"/>
      <c r="R1242" s="57"/>
      <c r="S1242" s="57"/>
      <c r="T1242" s="57"/>
      <c r="U1242" s="57"/>
      <c r="V1242" s="57"/>
      <c r="W1242" s="57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</row>
    <row r="1243" spans="1:36" ht="11.25" customHeight="1" x14ac:dyDescent="0.2">
      <c r="A1243" s="53" t="s">
        <v>21</v>
      </c>
      <c r="B1243" s="53" t="s">
        <v>37</v>
      </c>
      <c r="C1243" s="53" t="s">
        <v>23</v>
      </c>
      <c r="D1243" s="53" t="s">
        <v>49</v>
      </c>
      <c r="E1243" s="53" t="s">
        <v>50</v>
      </c>
      <c r="F1243" s="53" t="s">
        <v>25</v>
      </c>
      <c r="G1243" s="53" t="s">
        <v>25</v>
      </c>
      <c r="H1243" s="53" t="s">
        <v>25</v>
      </c>
      <c r="I1243" s="75">
        <v>44743</v>
      </c>
      <c r="J1243" s="76">
        <f>EFEITO!$J$1243*EFEITO!$Y$1232</f>
        <v>0</v>
      </c>
      <c r="K1243" s="76">
        <f ca="1">EFEITO!$L$1243*EFEITO!$Z$1232</f>
        <v>120399.15496743326</v>
      </c>
      <c r="L1243" s="76">
        <f>EFEITO!$N$1243*EFEITO!$AA$1232</f>
        <v>88596.886375826783</v>
      </c>
      <c r="M1243" s="76">
        <f>$J$1243-EFEITO!$K$1243*EFEITO!$Y$1243</f>
        <v>0</v>
      </c>
      <c r="N1243" s="76">
        <f ca="1">$K$1243-EFEITO!$M$1243*EFEITO!$Z$1243</f>
        <v>3611.9746490229882</v>
      </c>
      <c r="O1243" s="76">
        <f>$L$1243-EFEITO!$O$1243*EFEITO!$AA$1243</f>
        <v>2657.9065912748192</v>
      </c>
      <c r="P1243" s="57"/>
      <c r="Q1243" s="57"/>
      <c r="R1243" s="57"/>
      <c r="S1243" s="57"/>
      <c r="T1243" s="57"/>
      <c r="U1243" s="57"/>
      <c r="V1243" s="57"/>
      <c r="W1243" s="57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</row>
    <row r="1244" spans="1:36" ht="11.25" customHeight="1" x14ac:dyDescent="0.2">
      <c r="A1244" s="53" t="s">
        <v>56</v>
      </c>
      <c r="B1244" s="53" t="s">
        <v>37</v>
      </c>
      <c r="C1244" s="53" t="s">
        <v>23</v>
      </c>
      <c r="D1244" s="53" t="s">
        <v>49</v>
      </c>
      <c r="E1244" s="53" t="s">
        <v>50</v>
      </c>
      <c r="F1244" s="53" t="s">
        <v>25</v>
      </c>
      <c r="G1244" s="53" t="s">
        <v>25</v>
      </c>
      <c r="H1244" s="53" t="s">
        <v>25</v>
      </c>
      <c r="I1244" s="75">
        <v>44774</v>
      </c>
      <c r="J1244" s="76">
        <f>EFEITO!$J$1244*EFEITO!$Y$1232</f>
        <v>0</v>
      </c>
      <c r="K1244" s="76">
        <f ca="1">EFEITO!$L$1244*EFEITO!$Z$1232</f>
        <v>120399.15496743326</v>
      </c>
      <c r="L1244" s="76">
        <f>EFEITO!$N$1244*EFEITO!$AA$1232</f>
        <v>88596.886375826783</v>
      </c>
      <c r="M1244" s="76">
        <f>$J$1244-EFEITO!$K$1244*EFEITO!$Y$1244</f>
        <v>0</v>
      </c>
      <c r="N1244" s="76">
        <f ca="1">$K$1244-EFEITO!$M$1244*EFEITO!$Z$1244</f>
        <v>3611.9746490229882</v>
      </c>
      <c r="O1244" s="76">
        <f>$L$1244-EFEITO!$O$1244*EFEITO!$AA$1244</f>
        <v>2657.9065912748192</v>
      </c>
      <c r="P1244" s="57"/>
      <c r="Q1244" s="57"/>
      <c r="R1244" s="57"/>
      <c r="S1244" s="57"/>
      <c r="T1244" s="57"/>
      <c r="U1244" s="57"/>
      <c r="V1244" s="57"/>
      <c r="W1244" s="57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</row>
    <row r="1245" spans="1:36" ht="11.25" customHeight="1" x14ac:dyDescent="0.2">
      <c r="A1245" s="53" t="s">
        <v>21</v>
      </c>
      <c r="B1245" s="53" t="s">
        <v>46</v>
      </c>
      <c r="C1245" s="53" t="s">
        <v>23</v>
      </c>
      <c r="D1245" s="53" t="s">
        <v>47</v>
      </c>
      <c r="E1245" s="53" t="s">
        <v>48</v>
      </c>
      <c r="F1245" s="53" t="s">
        <v>25</v>
      </c>
      <c r="G1245" s="53" t="s">
        <v>25</v>
      </c>
      <c r="H1245" s="53" t="s">
        <v>25</v>
      </c>
      <c r="I1245" s="75">
        <v>44440</v>
      </c>
      <c r="J1245" s="76">
        <f>EFEITO!$J$1245*EFEITO!$Y$1245</f>
        <v>0</v>
      </c>
      <c r="K1245" s="76">
        <f ca="1">EFEITO!$L$1245*EFEITO!$Z$1245</f>
        <v>367638.05117856193</v>
      </c>
      <c r="L1245" s="76">
        <f>EFEITO!$N$1245*EFEITO!$AA$1245</f>
        <v>270530.02702973882</v>
      </c>
      <c r="M1245" s="76">
        <f>$J$1245-EFEITO!$K$1245*EFEITO!$Y$1245</f>
        <v>0</v>
      </c>
      <c r="N1245" s="76">
        <f ca="1">$K$1245-EFEITO!$M$1245*EFEITO!$Z$1245</f>
        <v>0</v>
      </c>
      <c r="O1245" s="76">
        <f>$L$1245-EFEITO!$O$1245*EFEITO!$AA$1245</f>
        <v>0</v>
      </c>
      <c r="P1245" s="57"/>
      <c r="Q1245" s="57"/>
      <c r="R1245" s="57"/>
      <c r="S1245" s="57"/>
      <c r="T1245" s="57"/>
      <c r="U1245" s="57"/>
      <c r="V1245" s="57"/>
      <c r="W1245" s="57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</row>
    <row r="1246" spans="1:36" ht="11.25" customHeight="1" x14ac:dyDescent="0.2">
      <c r="A1246" s="53" t="s">
        <v>27</v>
      </c>
      <c r="B1246" s="53" t="s">
        <v>46</v>
      </c>
      <c r="C1246" s="53" t="s">
        <v>23</v>
      </c>
      <c r="D1246" s="53" t="s">
        <v>47</v>
      </c>
      <c r="E1246" s="53" t="s">
        <v>48</v>
      </c>
      <c r="F1246" s="53" t="s">
        <v>25</v>
      </c>
      <c r="G1246" s="53" t="s">
        <v>25</v>
      </c>
      <c r="H1246" s="53" t="s">
        <v>25</v>
      </c>
      <c r="I1246" s="75">
        <v>44440</v>
      </c>
      <c r="J1246" s="76">
        <f>EFEITO!$J$1246*EFEITO!$Y$1246</f>
        <v>0</v>
      </c>
      <c r="K1246" s="76">
        <f ca="1">EFEITO!$L$1246*EFEITO!$Z$1246</f>
        <v>-75.807922098091382</v>
      </c>
      <c r="L1246" s="76">
        <f>EFEITO!$N$1246*EFEITO!$AA$1246</f>
        <v>-55.78399501498852</v>
      </c>
      <c r="M1246" s="76">
        <f>$J$1246-EFEITO!$K$1246*EFEITO!$Y$1246</f>
        <v>0</v>
      </c>
      <c r="N1246" s="76">
        <f ca="1">$K$1246-EFEITO!$M$1246*EFEITO!$Z$1246</f>
        <v>0</v>
      </c>
      <c r="O1246" s="76">
        <f>$L$1246-EFEITO!$O$1246*EFEITO!$AA$1246</f>
        <v>0</v>
      </c>
      <c r="P1246" s="57"/>
      <c r="Q1246" s="57"/>
      <c r="R1246" s="57"/>
      <c r="S1246" s="57"/>
      <c r="T1246" s="57"/>
      <c r="U1246" s="57"/>
      <c r="V1246" s="57"/>
      <c r="W1246" s="57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</row>
    <row r="1247" spans="1:36" ht="11.25" customHeight="1" x14ac:dyDescent="0.2">
      <c r="A1247" s="53" t="s">
        <v>21</v>
      </c>
      <c r="B1247" s="53" t="s">
        <v>46</v>
      </c>
      <c r="C1247" s="53" t="s">
        <v>23</v>
      </c>
      <c r="D1247" s="53" t="s">
        <v>47</v>
      </c>
      <c r="E1247" s="53" t="s">
        <v>48</v>
      </c>
      <c r="F1247" s="53" t="s">
        <v>25</v>
      </c>
      <c r="G1247" s="53" t="s">
        <v>25</v>
      </c>
      <c r="H1247" s="53" t="s">
        <v>25</v>
      </c>
      <c r="I1247" s="75">
        <v>44470</v>
      </c>
      <c r="J1247" s="76">
        <f>EFEITO!$J$1247*EFEITO!$Y$1247</f>
        <v>0</v>
      </c>
      <c r="K1247" s="76">
        <f ca="1">EFEITO!$L$1247*EFEITO!$Z$1247</f>
        <v>385984.04660972022</v>
      </c>
      <c r="L1247" s="76">
        <f>EFEITO!$N$1247*EFEITO!$AA$1247</f>
        <v>284030.1057728614</v>
      </c>
      <c r="M1247" s="76">
        <f>$J$1247-EFEITO!$K$1247*EFEITO!$Y$1247</f>
        <v>0</v>
      </c>
      <c r="N1247" s="76">
        <f ca="1">$K$1247-EFEITO!$M$1247*EFEITO!$Z$1247</f>
        <v>0</v>
      </c>
      <c r="O1247" s="76">
        <f>$L$1247-EFEITO!$O$1247*EFEITO!$AA$1247</f>
        <v>0</v>
      </c>
      <c r="P1247" s="57"/>
      <c r="Q1247" s="57"/>
      <c r="R1247" s="57"/>
      <c r="S1247" s="57"/>
      <c r="T1247" s="57"/>
      <c r="U1247" s="57"/>
      <c r="V1247" s="57"/>
      <c r="W1247" s="57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</row>
    <row r="1248" spans="1:36" ht="11.25" customHeight="1" x14ac:dyDescent="0.2">
      <c r="A1248" s="53" t="s">
        <v>21</v>
      </c>
      <c r="B1248" s="53" t="s">
        <v>46</v>
      </c>
      <c r="C1248" s="53" t="s">
        <v>23</v>
      </c>
      <c r="D1248" s="53" t="s">
        <v>47</v>
      </c>
      <c r="E1248" s="53" t="s">
        <v>48</v>
      </c>
      <c r="F1248" s="53" t="s">
        <v>25</v>
      </c>
      <c r="G1248" s="53" t="s">
        <v>25</v>
      </c>
      <c r="H1248" s="53" t="s">
        <v>25</v>
      </c>
      <c r="I1248" s="75">
        <v>44501</v>
      </c>
      <c r="J1248" s="76">
        <f>EFEITO!$J$1248*EFEITO!$Y$1248</f>
        <v>0</v>
      </c>
      <c r="K1248" s="76">
        <f ca="1">EFEITO!$L$1248*EFEITO!$Z$1248</f>
        <v>390846.99328437221</v>
      </c>
      <c r="L1248" s="76">
        <f>EFEITO!$N$1248*EFEITO!$AA$1248</f>
        <v>287608.55226696166</v>
      </c>
      <c r="M1248" s="76">
        <f>$J$1248-EFEITO!$K$1248*EFEITO!$Y$1248</f>
        <v>0</v>
      </c>
      <c r="N1248" s="76">
        <f ca="1">$K$1248-EFEITO!$M$1248*EFEITO!$Z$1248</f>
        <v>0</v>
      </c>
      <c r="O1248" s="76">
        <f>$L$1248-EFEITO!$O$1248*EFEITO!$AA$1248</f>
        <v>0</v>
      </c>
      <c r="P1248" s="57"/>
      <c r="Q1248" s="57"/>
      <c r="R1248" s="57"/>
      <c r="S1248" s="57"/>
      <c r="T1248" s="57"/>
      <c r="U1248" s="57"/>
      <c r="V1248" s="57"/>
      <c r="W1248" s="57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</row>
    <row r="1249" spans="1:36" ht="11.25" customHeight="1" x14ac:dyDescent="0.2">
      <c r="A1249" s="53" t="s">
        <v>21</v>
      </c>
      <c r="B1249" s="53" t="s">
        <v>46</v>
      </c>
      <c r="C1249" s="53" t="s">
        <v>23</v>
      </c>
      <c r="D1249" s="53" t="s">
        <v>47</v>
      </c>
      <c r="E1249" s="53" t="s">
        <v>48</v>
      </c>
      <c r="F1249" s="53" t="s">
        <v>25</v>
      </c>
      <c r="G1249" s="53" t="s">
        <v>25</v>
      </c>
      <c r="H1249" s="53" t="s">
        <v>25</v>
      </c>
      <c r="I1249" s="75">
        <v>44531</v>
      </c>
      <c r="J1249" s="76">
        <f>EFEITO!$J$1249*EFEITO!$Y$1249</f>
        <v>0</v>
      </c>
      <c r="K1249" s="76">
        <f ca="1">EFEITO!$L$1249*EFEITO!$Z$1249</f>
        <v>385023.17521858413</v>
      </c>
      <c r="L1249" s="76">
        <f>EFEITO!$N$1249*EFEITO!$AA$1249</f>
        <v>283323.03923667769</v>
      </c>
      <c r="M1249" s="76">
        <f>$J$1249-EFEITO!$K$1249*EFEITO!$Y$1249</f>
        <v>0</v>
      </c>
      <c r="N1249" s="76">
        <f ca="1">$K$1249-EFEITO!$M$1249*EFEITO!$Z$1249</f>
        <v>0</v>
      </c>
      <c r="O1249" s="76">
        <f>$L$1249-EFEITO!$O$1249*EFEITO!$AA$1249</f>
        <v>0</v>
      </c>
      <c r="P1249" s="57"/>
      <c r="Q1249" s="57"/>
      <c r="R1249" s="57"/>
      <c r="S1249" s="57"/>
      <c r="T1249" s="57"/>
      <c r="U1249" s="57"/>
      <c r="V1249" s="57"/>
      <c r="W1249" s="57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</row>
    <row r="1250" spans="1:36" ht="11.25" customHeight="1" x14ac:dyDescent="0.2">
      <c r="A1250" s="53" t="s">
        <v>21</v>
      </c>
      <c r="B1250" s="53" t="s">
        <v>46</v>
      </c>
      <c r="C1250" s="53" t="s">
        <v>23</v>
      </c>
      <c r="D1250" s="53" t="s">
        <v>47</v>
      </c>
      <c r="E1250" s="53" t="s">
        <v>48</v>
      </c>
      <c r="F1250" s="53" t="s">
        <v>25</v>
      </c>
      <c r="G1250" s="53" t="s">
        <v>25</v>
      </c>
      <c r="H1250" s="53" t="s">
        <v>25</v>
      </c>
      <c r="I1250" s="75">
        <v>44562</v>
      </c>
      <c r="J1250" s="76">
        <f>EFEITO!$J$1250*EFEITO!$Y$1250</f>
        <v>0</v>
      </c>
      <c r="K1250" s="76">
        <f ca="1">EFEITO!$L$1250*EFEITO!$Z$1250</f>
        <v>380097.57341588888</v>
      </c>
      <c r="L1250" s="76">
        <f>EFEITO!$N$1250*EFEITO!$AA$1250</f>
        <v>279698.48735868488</v>
      </c>
      <c r="M1250" s="76">
        <f>$J$1250-EFEITO!$K$1250*EFEITO!$Y$1250</f>
        <v>0</v>
      </c>
      <c r="N1250" s="76">
        <f ca="1">$K$1250-EFEITO!$M$1250*EFEITO!$Z$1250</f>
        <v>0</v>
      </c>
      <c r="O1250" s="76">
        <f>$L$1250-EFEITO!$O$1250*EFEITO!$AA$1250</f>
        <v>0</v>
      </c>
      <c r="P1250" s="57"/>
      <c r="Q1250" s="57"/>
      <c r="R1250" s="57"/>
      <c r="S1250" s="57"/>
      <c r="T1250" s="57"/>
      <c r="U1250" s="57"/>
      <c r="V1250" s="57"/>
      <c r="W1250" s="57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</row>
    <row r="1251" spans="1:36" ht="11.25" customHeight="1" x14ac:dyDescent="0.2">
      <c r="A1251" s="53" t="s">
        <v>21</v>
      </c>
      <c r="B1251" s="53" t="s">
        <v>46</v>
      </c>
      <c r="C1251" s="53" t="s">
        <v>23</v>
      </c>
      <c r="D1251" s="53" t="s">
        <v>47</v>
      </c>
      <c r="E1251" s="53" t="s">
        <v>48</v>
      </c>
      <c r="F1251" s="53" t="s">
        <v>25</v>
      </c>
      <c r="G1251" s="53" t="s">
        <v>25</v>
      </c>
      <c r="H1251" s="53" t="s">
        <v>25</v>
      </c>
      <c r="I1251" s="75">
        <v>44593</v>
      </c>
      <c r="J1251" s="76">
        <f>EFEITO!$J$1251*EFEITO!$Y$1251</f>
        <v>0</v>
      </c>
      <c r="K1251" s="76">
        <f ca="1">EFEITO!$L$1251*EFEITO!$Z$1251</f>
        <v>349343.71035678277</v>
      </c>
      <c r="L1251" s="76">
        <f>EFEITO!$N$1251*EFEITO!$AA$1251</f>
        <v>257067.9588321154</v>
      </c>
      <c r="M1251" s="76">
        <f>$J$1251-EFEITO!$K$1251*EFEITO!$Y$1251</f>
        <v>0</v>
      </c>
      <c r="N1251" s="76">
        <f ca="1">$K$1251-EFEITO!$M$1251*EFEITO!$Z$1251</f>
        <v>0</v>
      </c>
      <c r="O1251" s="76">
        <f>$L$1251-EFEITO!$O$1251*EFEITO!$AA$1251</f>
        <v>0</v>
      </c>
      <c r="P1251" s="57"/>
      <c r="Q1251" s="57"/>
      <c r="R1251" s="57"/>
      <c r="S1251" s="57"/>
      <c r="T1251" s="57"/>
      <c r="U1251" s="57"/>
      <c r="V1251" s="57"/>
      <c r="W1251" s="57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</row>
    <row r="1252" spans="1:36" ht="11.25" customHeight="1" x14ac:dyDescent="0.2">
      <c r="A1252" s="53" t="s">
        <v>21</v>
      </c>
      <c r="B1252" s="53" t="s">
        <v>46</v>
      </c>
      <c r="C1252" s="53" t="s">
        <v>23</v>
      </c>
      <c r="D1252" s="53" t="s">
        <v>47</v>
      </c>
      <c r="E1252" s="53" t="s">
        <v>48</v>
      </c>
      <c r="F1252" s="53" t="s">
        <v>25</v>
      </c>
      <c r="G1252" s="53" t="s">
        <v>25</v>
      </c>
      <c r="H1252" s="53" t="s">
        <v>25</v>
      </c>
      <c r="I1252" s="75">
        <v>44621</v>
      </c>
      <c r="J1252" s="76">
        <f>EFEITO!$J$1252*EFEITO!$Y$1252</f>
        <v>0</v>
      </c>
      <c r="K1252" s="76">
        <f ca="1">EFEITO!$L$1252*EFEITO!$Z$1252</f>
        <v>384358.12212282768</v>
      </c>
      <c r="L1252" s="76">
        <f>EFEITO!$N$1252*EFEITO!$AA$1252</f>
        <v>282833.65346337587</v>
      </c>
      <c r="M1252" s="76">
        <f>$J$1252-EFEITO!$K$1252*EFEITO!$Y$1252</f>
        <v>0</v>
      </c>
      <c r="N1252" s="76">
        <f ca="1">$K$1252-EFEITO!$M$1252*EFEITO!$Z$1252</f>
        <v>0</v>
      </c>
      <c r="O1252" s="76">
        <f>$L$1252-EFEITO!$O$1252*EFEITO!$AA$1252</f>
        <v>0</v>
      </c>
      <c r="P1252" s="57"/>
      <c r="Q1252" s="57"/>
      <c r="R1252" s="57"/>
      <c r="S1252" s="57"/>
      <c r="T1252" s="57"/>
      <c r="U1252" s="57"/>
      <c r="V1252" s="57"/>
      <c r="W1252" s="57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</row>
    <row r="1253" spans="1:36" ht="11.25" customHeight="1" x14ac:dyDescent="0.2">
      <c r="A1253" s="53" t="s">
        <v>27</v>
      </c>
      <c r="B1253" s="53" t="s">
        <v>46</v>
      </c>
      <c r="C1253" s="53" t="s">
        <v>23</v>
      </c>
      <c r="D1253" s="53" t="s">
        <v>47</v>
      </c>
      <c r="E1253" s="53" t="s">
        <v>48</v>
      </c>
      <c r="F1253" s="53" t="s">
        <v>25</v>
      </c>
      <c r="G1253" s="53" t="s">
        <v>25</v>
      </c>
      <c r="H1253" s="53" t="s">
        <v>25</v>
      </c>
      <c r="I1253" s="75">
        <v>44621</v>
      </c>
      <c r="J1253" s="76">
        <f>EFEITO!$J$1253*EFEITO!$Y$1253</f>
        <v>0</v>
      </c>
      <c r="K1253" s="76">
        <f ca="1">EFEITO!$L$1253*EFEITO!$Z$1253</f>
        <v>-3009.1201380450593</v>
      </c>
      <c r="L1253" s="76">
        <f>EFEITO!$N$1253*EFEITO!$AA$1253</f>
        <v>-2214.2902500744499</v>
      </c>
      <c r="M1253" s="76">
        <f>$J$1253-EFEITO!$K$1253*EFEITO!$Y$1253</f>
        <v>0</v>
      </c>
      <c r="N1253" s="76">
        <f ca="1">$K$1253-EFEITO!$M$1253*EFEITO!$Z$1253</f>
        <v>0</v>
      </c>
      <c r="O1253" s="76">
        <f>$L$1253-EFEITO!$O$1253*EFEITO!$AA$1253</f>
        <v>0</v>
      </c>
      <c r="P1253" s="57"/>
      <c r="Q1253" s="57"/>
      <c r="R1253" s="57"/>
      <c r="S1253" s="57"/>
      <c r="T1253" s="57"/>
      <c r="U1253" s="57"/>
      <c r="V1253" s="57"/>
      <c r="W1253" s="57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</row>
    <row r="1254" spans="1:36" ht="11.25" customHeight="1" x14ac:dyDescent="0.2">
      <c r="A1254" s="53" t="s">
        <v>21</v>
      </c>
      <c r="B1254" s="53" t="s">
        <v>46</v>
      </c>
      <c r="C1254" s="53" t="s">
        <v>23</v>
      </c>
      <c r="D1254" s="53" t="s">
        <v>47</v>
      </c>
      <c r="E1254" s="53" t="s">
        <v>48</v>
      </c>
      <c r="F1254" s="53" t="s">
        <v>25</v>
      </c>
      <c r="G1254" s="53" t="s">
        <v>25</v>
      </c>
      <c r="H1254" s="53" t="s">
        <v>25</v>
      </c>
      <c r="I1254" s="75">
        <v>44652</v>
      </c>
      <c r="J1254" s="76">
        <f>EFEITO!$J$1254*EFEITO!$Y$1254</f>
        <v>0</v>
      </c>
      <c r="K1254" s="76">
        <f ca="1">EFEITO!$L$1254*EFEITO!$Z$1254</f>
        <v>371383.4886419698</v>
      </c>
      <c r="L1254" s="76">
        <f>EFEITO!$N$1254*EFEITO!$AA$1254</f>
        <v>273286.14352792408</v>
      </c>
      <c r="M1254" s="76">
        <f>$J$1254-EFEITO!$K$1254*EFEITO!$Y$1254</f>
        <v>0</v>
      </c>
      <c r="N1254" s="76">
        <f ca="1">$K$1254-EFEITO!$M$1254*EFEITO!$Z$1254</f>
        <v>0</v>
      </c>
      <c r="O1254" s="76">
        <f>$L$1254-EFEITO!$O$1254*EFEITO!$AA$1254</f>
        <v>0</v>
      </c>
      <c r="P1254" s="57"/>
      <c r="Q1254" s="57"/>
      <c r="R1254" s="57"/>
      <c r="S1254" s="57"/>
      <c r="T1254" s="57"/>
      <c r="U1254" s="57"/>
      <c r="V1254" s="57"/>
      <c r="W1254" s="57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</row>
    <row r="1255" spans="1:36" ht="11.25" customHeight="1" x14ac:dyDescent="0.2">
      <c r="A1255" s="53" t="s">
        <v>21</v>
      </c>
      <c r="B1255" s="53" t="s">
        <v>46</v>
      </c>
      <c r="C1255" s="53" t="s">
        <v>23</v>
      </c>
      <c r="D1255" s="53" t="s">
        <v>47</v>
      </c>
      <c r="E1255" s="53" t="s">
        <v>48</v>
      </c>
      <c r="F1255" s="53" t="s">
        <v>25</v>
      </c>
      <c r="G1255" s="53" t="s">
        <v>25</v>
      </c>
      <c r="H1255" s="53" t="s">
        <v>25</v>
      </c>
      <c r="I1255" s="75">
        <v>44682</v>
      </c>
      <c r="J1255" s="76">
        <f>EFEITO!$J$1255*EFEITO!$Y$1255</f>
        <v>0</v>
      </c>
      <c r="K1255" s="76">
        <f ca="1">EFEITO!$L$1255*EFEITO!$Z$1255</f>
        <v>384135.72033244529</v>
      </c>
      <c r="L1255" s="76">
        <f>EFEITO!$N$1255*EFEITO!$AA$1255</f>
        <v>282669.99694803217</v>
      </c>
      <c r="M1255" s="76">
        <f>$J$1255-EFEITO!$K$1255*EFEITO!$Y$1255</f>
        <v>0</v>
      </c>
      <c r="N1255" s="76">
        <f ca="1">$K$1255-EFEITO!$M$1255*EFEITO!$Z$1255</f>
        <v>0</v>
      </c>
      <c r="O1255" s="76">
        <f>$L$1255-EFEITO!$O$1255*EFEITO!$AA$1255</f>
        <v>0</v>
      </c>
      <c r="P1255" s="57"/>
      <c r="Q1255" s="57"/>
      <c r="R1255" s="57"/>
      <c r="S1255" s="57"/>
      <c r="T1255" s="57"/>
      <c r="U1255" s="57"/>
      <c r="V1255" s="57"/>
      <c r="W1255" s="57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</row>
    <row r="1256" spans="1:36" ht="11.25" customHeight="1" x14ac:dyDescent="0.2">
      <c r="A1256" s="53" t="s">
        <v>27</v>
      </c>
      <c r="B1256" s="53" t="s">
        <v>46</v>
      </c>
      <c r="C1256" s="53" t="s">
        <v>23</v>
      </c>
      <c r="D1256" s="53" t="s">
        <v>47</v>
      </c>
      <c r="E1256" s="53" t="s">
        <v>48</v>
      </c>
      <c r="F1256" s="53" t="s">
        <v>25</v>
      </c>
      <c r="G1256" s="53" t="s">
        <v>25</v>
      </c>
      <c r="H1256" s="53" t="s">
        <v>25</v>
      </c>
      <c r="I1256" s="75">
        <v>44682</v>
      </c>
      <c r="J1256" s="76">
        <f>EFEITO!$J$1256*EFEITO!$Y$1256</f>
        <v>0</v>
      </c>
      <c r="K1256" s="76">
        <f ca="1">EFEITO!$L$1256*EFEITO!$Z$1256</f>
        <v>-217.61895618064085</v>
      </c>
      <c r="L1256" s="76">
        <f>EFEITO!$N$1256*EFEITO!$AA$1256</f>
        <v>-160.13702039003013</v>
      </c>
      <c r="M1256" s="76">
        <f>$J$1256-EFEITO!$K$1256*EFEITO!$Y$1256</f>
        <v>0</v>
      </c>
      <c r="N1256" s="76">
        <f ca="1">$K$1256-EFEITO!$M$1256*EFEITO!$Z$1256</f>
        <v>0</v>
      </c>
      <c r="O1256" s="76">
        <f>$L$1256-EFEITO!$O$1256*EFEITO!$AA$1256</f>
        <v>0</v>
      </c>
      <c r="P1256" s="57"/>
      <c r="Q1256" s="57"/>
      <c r="R1256" s="57"/>
      <c r="S1256" s="57"/>
      <c r="T1256" s="57"/>
      <c r="U1256" s="57"/>
      <c r="V1256" s="57"/>
      <c r="W1256" s="57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</row>
    <row r="1257" spans="1:36" ht="11.25" customHeight="1" x14ac:dyDescent="0.2">
      <c r="A1257" s="53" t="s">
        <v>21</v>
      </c>
      <c r="B1257" s="53" t="s">
        <v>46</v>
      </c>
      <c r="C1257" s="53" t="s">
        <v>23</v>
      </c>
      <c r="D1257" s="53" t="s">
        <v>47</v>
      </c>
      <c r="E1257" s="53" t="s">
        <v>48</v>
      </c>
      <c r="F1257" s="53" t="s">
        <v>25</v>
      </c>
      <c r="G1257" s="53" t="s">
        <v>25</v>
      </c>
      <c r="H1257" s="53" t="s">
        <v>25</v>
      </c>
      <c r="I1257" s="75">
        <v>44713</v>
      </c>
      <c r="J1257" s="76">
        <f>EFEITO!$J$1257*EFEITO!$Y$1257</f>
        <v>0</v>
      </c>
      <c r="K1257" s="76">
        <f ca="1">EFEITO!$L$1257*EFEITO!$Z$1257</f>
        <v>374122.85693103494</v>
      </c>
      <c r="L1257" s="76">
        <f>EFEITO!$N$1257*EFEITO!$AA$1257</f>
        <v>275301.934262614</v>
      </c>
      <c r="M1257" s="76">
        <f>$J$1257-EFEITO!$K$1257*EFEITO!$Y$1257</f>
        <v>0</v>
      </c>
      <c r="N1257" s="76">
        <f ca="1">$K$1257-EFEITO!$M$1257*EFEITO!$Z$1257</f>
        <v>0</v>
      </c>
      <c r="O1257" s="76">
        <f>$L$1257-EFEITO!$O$1257*EFEITO!$AA$1257</f>
        <v>0</v>
      </c>
      <c r="P1257" s="57"/>
      <c r="Q1257" s="57"/>
      <c r="R1257" s="57"/>
      <c r="S1257" s="57"/>
      <c r="T1257" s="57"/>
      <c r="U1257" s="57"/>
      <c r="V1257" s="57"/>
      <c r="W1257" s="57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</row>
    <row r="1258" spans="1:36" ht="11.25" customHeight="1" x14ac:dyDescent="0.2">
      <c r="A1258" s="53" t="s">
        <v>21</v>
      </c>
      <c r="B1258" s="53" t="s">
        <v>46</v>
      </c>
      <c r="C1258" s="53" t="s">
        <v>23</v>
      </c>
      <c r="D1258" s="53" t="s">
        <v>47</v>
      </c>
      <c r="E1258" s="53" t="s">
        <v>48</v>
      </c>
      <c r="F1258" s="53" t="s">
        <v>25</v>
      </c>
      <c r="G1258" s="53" t="s">
        <v>25</v>
      </c>
      <c r="H1258" s="53" t="s">
        <v>25</v>
      </c>
      <c r="I1258" s="75">
        <v>44743</v>
      </c>
      <c r="J1258" s="76">
        <f>EFEITO!$J$1258*EFEITO!$Y$1258</f>
        <v>0</v>
      </c>
      <c r="K1258" s="76">
        <f ca="1">EFEITO!$L$1258*EFEITO!$Z$1258</f>
        <v>385845.34441786882</v>
      </c>
      <c r="L1258" s="76">
        <f>EFEITO!$N$1258*EFEITO!$AA$1258</f>
        <v>283928.0404192062</v>
      </c>
      <c r="M1258" s="76">
        <f>$J$1258-EFEITO!$K$1258*EFEITO!$Y$1258</f>
        <v>0</v>
      </c>
      <c r="N1258" s="76">
        <f ca="1">$K$1258-EFEITO!$M$1258*EFEITO!$Z$1258</f>
        <v>0</v>
      </c>
      <c r="O1258" s="76">
        <f>$L$1258-EFEITO!$O$1258*EFEITO!$AA$1258</f>
        <v>0</v>
      </c>
      <c r="P1258" s="57"/>
      <c r="Q1258" s="57"/>
      <c r="R1258" s="57"/>
      <c r="S1258" s="57"/>
      <c r="T1258" s="57"/>
      <c r="U1258" s="57"/>
      <c r="V1258" s="57"/>
      <c r="W1258" s="57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</row>
    <row r="1259" spans="1:36" ht="11.25" customHeight="1" x14ac:dyDescent="0.2">
      <c r="A1259" s="53" t="s">
        <v>27</v>
      </c>
      <c r="B1259" s="53" t="s">
        <v>46</v>
      </c>
      <c r="C1259" s="53" t="s">
        <v>23</v>
      </c>
      <c r="D1259" s="53" t="s">
        <v>47</v>
      </c>
      <c r="E1259" s="53" t="s">
        <v>48</v>
      </c>
      <c r="F1259" s="53" t="s">
        <v>25</v>
      </c>
      <c r="G1259" s="53" t="s">
        <v>25</v>
      </c>
      <c r="H1259" s="53" t="s">
        <v>25</v>
      </c>
      <c r="I1259" s="75">
        <v>44743</v>
      </c>
      <c r="J1259" s="76">
        <f>EFEITO!$J$1259*EFEITO!$Y$1259</f>
        <v>0</v>
      </c>
      <c r="K1259" s="76">
        <f ca="1">EFEITO!$L$1259*EFEITO!$Z$1259</f>
        <v>-1644.3383985693258</v>
      </c>
      <c r="L1259" s="76">
        <f>EFEITO!$N$1259*EFEITO!$AA$1259</f>
        <v>-1210.0023650569751</v>
      </c>
      <c r="M1259" s="76">
        <f>$J$1259-EFEITO!$K$1259*EFEITO!$Y$1259</f>
        <v>0</v>
      </c>
      <c r="N1259" s="76">
        <f ca="1">$K$1259-EFEITO!$M$1259*EFEITO!$Z$1259</f>
        <v>0</v>
      </c>
      <c r="O1259" s="76">
        <f>$L$1259-EFEITO!$O$1259*EFEITO!$AA$1259</f>
        <v>0</v>
      </c>
      <c r="P1259" s="57"/>
      <c r="Q1259" s="57"/>
      <c r="R1259" s="57"/>
      <c r="S1259" s="57"/>
      <c r="T1259" s="57"/>
      <c r="U1259" s="57"/>
      <c r="V1259" s="57"/>
      <c r="W1259" s="57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</row>
    <row r="1260" spans="1:36" ht="11.25" customHeight="1" x14ac:dyDescent="0.2">
      <c r="A1260" s="53" t="s">
        <v>56</v>
      </c>
      <c r="B1260" s="53" t="s">
        <v>46</v>
      </c>
      <c r="C1260" s="53" t="s">
        <v>23</v>
      </c>
      <c r="D1260" s="53" t="s">
        <v>47</v>
      </c>
      <c r="E1260" s="53" t="s">
        <v>48</v>
      </c>
      <c r="F1260" s="53" t="s">
        <v>25</v>
      </c>
      <c r="G1260" s="53" t="s">
        <v>25</v>
      </c>
      <c r="H1260" s="53" t="s">
        <v>25</v>
      </c>
      <c r="I1260" s="75">
        <v>44774</v>
      </c>
      <c r="J1260" s="76">
        <f>EFEITO!$J$1260*EFEITO!$Y$1260</f>
        <v>0</v>
      </c>
      <c r="K1260" s="76">
        <f ca="1">EFEITO!$L$1260*EFEITO!$Z$1260</f>
        <v>385845.34441786882</v>
      </c>
      <c r="L1260" s="76">
        <f>EFEITO!$N$1260*EFEITO!$AA$1260</f>
        <v>283928.0404192062</v>
      </c>
      <c r="M1260" s="76">
        <f>$J$1260-EFEITO!$K$1260*EFEITO!$Y$1260</f>
        <v>0</v>
      </c>
      <c r="N1260" s="76">
        <f ca="1">$K$1260-EFEITO!$M$1260*EFEITO!$Z$1260</f>
        <v>0</v>
      </c>
      <c r="O1260" s="76">
        <f>$L$1260-EFEITO!$O$1260*EFEITO!$AA$1260</f>
        <v>0</v>
      </c>
      <c r="P1260" s="57"/>
      <c r="Q1260" s="57"/>
      <c r="R1260" s="57"/>
      <c r="S1260" s="57"/>
      <c r="T1260" s="57"/>
      <c r="U1260" s="57"/>
      <c r="V1260" s="57"/>
      <c r="W1260" s="57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</row>
    <row r="1261" spans="1:36" ht="11.25" customHeight="1" x14ac:dyDescent="0.2">
      <c r="A1261" s="53" t="s">
        <v>56</v>
      </c>
      <c r="B1261" s="53" t="s">
        <v>46</v>
      </c>
      <c r="C1261" s="53" t="s">
        <v>23</v>
      </c>
      <c r="D1261" s="53" t="s">
        <v>47</v>
      </c>
      <c r="E1261" s="53" t="s">
        <v>48</v>
      </c>
      <c r="F1261" s="53" t="s">
        <v>25</v>
      </c>
      <c r="G1261" s="53" t="s">
        <v>25</v>
      </c>
      <c r="H1261" s="53" t="s">
        <v>25</v>
      </c>
      <c r="I1261" s="75">
        <v>44774</v>
      </c>
      <c r="J1261" s="76">
        <f>EFEITO!$J$1261*EFEITO!$Y$1261</f>
        <v>0</v>
      </c>
      <c r="K1261" s="76">
        <f ca="1">EFEITO!$L$1261*EFEITO!$Z$1261</f>
        <v>-1644.3383985693258</v>
      </c>
      <c r="L1261" s="76">
        <f>EFEITO!$N$1261*EFEITO!$AA$1261</f>
        <v>-1210.0023650569751</v>
      </c>
      <c r="M1261" s="76">
        <f>$J$1261-EFEITO!$K$1261*EFEITO!$Y$1261</f>
        <v>0</v>
      </c>
      <c r="N1261" s="76">
        <f ca="1">$K$1261-EFEITO!$M$1261*EFEITO!$Z$1261</f>
        <v>0</v>
      </c>
      <c r="O1261" s="76">
        <f>$L$1261-EFEITO!$O$1261*EFEITO!$AA$1261</f>
        <v>0</v>
      </c>
      <c r="P1261" s="57"/>
      <c r="Q1261" s="57"/>
      <c r="R1261" s="57"/>
      <c r="S1261" s="57"/>
      <c r="T1261" s="57"/>
      <c r="U1261" s="57"/>
      <c r="V1261" s="57"/>
      <c r="W1261" s="57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</row>
  </sheetData>
  <mergeCells count="1">
    <mergeCell ref="Q1:AJ1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CEE0B-652B-4A62-9988-FE848C7CF74A}">
  <dimension ref="A1:BD103"/>
  <sheetViews>
    <sheetView showGridLines="0" topLeftCell="D38" workbookViewId="0">
      <selection activeCell="L53" sqref="L53:BD10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" style="9" bestFit="1" customWidth="1"/>
    <col min="21" max="21" width="8.7109375" style="9" bestFit="1" customWidth="1"/>
    <col min="22" max="23" width="9.85546875" style="9" bestFit="1" customWidth="1"/>
    <col min="24" max="24" width="10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7.85546875" style="9" bestFit="1" customWidth="1"/>
    <col min="34" max="34" width="9.140625" style="9"/>
    <col min="35" max="35" width="13.42578125" style="9" bestFit="1" customWidth="1"/>
    <col min="36" max="37" width="8.7109375" style="9" bestFit="1" customWidth="1"/>
    <col min="38" max="38" width="4.140625" style="9" bestFit="1" customWidth="1"/>
    <col min="39" max="39" width="4.42578125" style="9" bestFit="1" customWidth="1"/>
    <col min="40" max="40" width="10.85546875" style="9" bestFit="1" customWidth="1"/>
    <col min="41" max="41" width="10" style="9" bestFit="1" customWidth="1"/>
    <col min="42" max="42" width="8.7109375" style="9" bestFit="1" customWidth="1"/>
    <col min="43" max="43" width="10" style="9" bestFit="1" customWidth="1"/>
    <col min="44" max="44" width="8.7109375" style="9" bestFit="1" customWidth="1"/>
    <col min="45" max="46" width="9.85546875" style="9" bestFit="1" customWidth="1"/>
    <col min="47" max="47" width="10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7.85546875" style="9" bestFit="1" customWidth="1"/>
    <col min="57" max="16384" width="9.140625" style="9"/>
  </cols>
  <sheetData>
    <row r="1" spans="1:56" ht="11.25" customHeight="1" x14ac:dyDescent="0.25">
      <c r="A1" s="120" t="s">
        <v>70</v>
      </c>
      <c r="B1" s="120" t="s">
        <v>71</v>
      </c>
      <c r="C1" s="120" t="s">
        <v>72</v>
      </c>
      <c r="D1" s="120" t="s">
        <v>73</v>
      </c>
      <c r="E1" s="120" t="s">
        <v>74</v>
      </c>
      <c r="F1" s="120" t="s">
        <v>15</v>
      </c>
      <c r="G1" s="120" t="s">
        <v>76</v>
      </c>
      <c r="H1" s="120" t="s">
        <v>77</v>
      </c>
      <c r="I1" s="120" t="s">
        <v>745</v>
      </c>
      <c r="J1" s="108"/>
      <c r="L1" s="121" t="s">
        <v>945</v>
      </c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I1" s="121" t="s">
        <v>946</v>
      </c>
      <c r="AJ1" s="121"/>
      <c r="AK1" s="121"/>
      <c r="AL1" s="121"/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  <c r="AX1" s="121"/>
      <c r="AY1" s="121"/>
      <c r="AZ1" s="121"/>
      <c r="BA1" s="121"/>
      <c r="BB1" s="121"/>
      <c r="BC1" s="121"/>
      <c r="BD1" s="121"/>
    </row>
    <row r="2" spans="1:56" ht="11.25" customHeight="1" x14ac:dyDescent="0.25">
      <c r="A2" s="120"/>
      <c r="B2" s="120"/>
      <c r="C2" s="120"/>
      <c r="D2" s="120"/>
      <c r="E2" s="120"/>
      <c r="F2" s="120"/>
      <c r="G2" s="120"/>
      <c r="H2" s="120"/>
      <c r="I2" s="120"/>
      <c r="J2" s="108"/>
      <c r="L2" s="121" t="s">
        <v>644</v>
      </c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I2" s="121" t="s">
        <v>644</v>
      </c>
      <c r="AJ2" s="121"/>
      <c r="AK2" s="121"/>
      <c r="AL2" s="121"/>
      <c r="AM2" s="121"/>
      <c r="AN2" s="121"/>
      <c r="AO2" s="121"/>
      <c r="AP2" s="121"/>
      <c r="AQ2" s="121"/>
      <c r="AR2" s="121"/>
      <c r="AS2" s="121"/>
      <c r="AT2" s="121"/>
      <c r="AU2" s="121"/>
      <c r="AV2" s="121"/>
      <c r="AW2" s="121"/>
      <c r="AX2" s="121"/>
      <c r="AY2" s="121"/>
      <c r="AZ2" s="121"/>
      <c r="BA2" s="121"/>
      <c r="BB2" s="121"/>
      <c r="BC2" s="121"/>
      <c r="BD2" s="121"/>
    </row>
    <row r="3" spans="1:56" ht="11.25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08"/>
      <c r="L3" s="121" t="s">
        <v>645</v>
      </c>
      <c r="M3" s="121"/>
      <c r="N3" s="121"/>
      <c r="O3" s="121"/>
      <c r="P3" s="121"/>
      <c r="Q3" s="121"/>
      <c r="R3" s="121"/>
      <c r="S3" s="121"/>
      <c r="T3" s="121" t="s">
        <v>654</v>
      </c>
      <c r="U3" s="121"/>
      <c r="V3" s="121"/>
      <c r="W3" s="121"/>
      <c r="X3" s="121"/>
      <c r="Y3" s="121"/>
      <c r="Z3" s="121"/>
      <c r="AA3" s="80" t="s">
        <v>662</v>
      </c>
      <c r="AB3" s="121" t="s">
        <v>664</v>
      </c>
      <c r="AC3" s="121"/>
      <c r="AD3" s="121" t="s">
        <v>667</v>
      </c>
      <c r="AE3" s="121"/>
      <c r="AF3" s="121"/>
      <c r="AG3" s="121"/>
      <c r="AI3" s="121" t="s">
        <v>645</v>
      </c>
      <c r="AJ3" s="121"/>
      <c r="AK3" s="121"/>
      <c r="AL3" s="121"/>
      <c r="AM3" s="121"/>
      <c r="AN3" s="121"/>
      <c r="AO3" s="121"/>
      <c r="AP3" s="121"/>
      <c r="AQ3" s="121" t="s">
        <v>654</v>
      </c>
      <c r="AR3" s="121"/>
      <c r="AS3" s="121"/>
      <c r="AT3" s="121"/>
      <c r="AU3" s="121"/>
      <c r="AV3" s="121"/>
      <c r="AW3" s="121"/>
      <c r="AX3" s="80" t="s">
        <v>662</v>
      </c>
      <c r="AY3" s="121" t="s">
        <v>664</v>
      </c>
      <c r="AZ3" s="121"/>
      <c r="BA3" s="121" t="s">
        <v>667</v>
      </c>
      <c r="BB3" s="121"/>
      <c r="BC3" s="121"/>
      <c r="BD3" s="121"/>
    </row>
    <row r="4" spans="1:56" ht="11.25" customHeight="1" x14ac:dyDescent="0.25">
      <c r="A4" s="120"/>
      <c r="B4" s="120"/>
      <c r="C4" s="120"/>
      <c r="D4" s="120"/>
      <c r="E4" s="120"/>
      <c r="F4" s="120"/>
      <c r="G4" s="120"/>
      <c r="H4" s="120"/>
      <c r="I4" s="120"/>
      <c r="J4" s="108"/>
      <c r="L4" s="80" t="s">
        <v>730</v>
      </c>
      <c r="M4" s="80" t="s">
        <v>646</v>
      </c>
      <c r="N4" s="80" t="s">
        <v>647</v>
      </c>
      <c r="O4" s="80" t="s">
        <v>648</v>
      </c>
      <c r="P4" s="80" t="s">
        <v>649</v>
      </c>
      <c r="Q4" s="80" t="s">
        <v>650</v>
      </c>
      <c r="R4" s="80" t="s">
        <v>651</v>
      </c>
      <c r="S4" s="80" t="s">
        <v>652</v>
      </c>
      <c r="T4" s="80" t="s">
        <v>655</v>
      </c>
      <c r="U4" s="80" t="s">
        <v>656</v>
      </c>
      <c r="V4" s="80" t="s">
        <v>657</v>
      </c>
      <c r="W4" s="80" t="s">
        <v>658</v>
      </c>
      <c r="X4" s="80" t="s">
        <v>659</v>
      </c>
      <c r="Y4" s="80" t="s">
        <v>660</v>
      </c>
      <c r="Z4" s="80" t="s">
        <v>661</v>
      </c>
      <c r="AA4" s="80" t="s">
        <v>663</v>
      </c>
      <c r="AB4" s="80" t="s">
        <v>665</v>
      </c>
      <c r="AC4" s="80" t="s">
        <v>666</v>
      </c>
      <c r="AD4" s="80" t="s">
        <v>668</v>
      </c>
      <c r="AE4" s="80" t="s">
        <v>669</v>
      </c>
      <c r="AF4" s="80" t="s">
        <v>670</v>
      </c>
      <c r="AG4" s="80" t="s">
        <v>671</v>
      </c>
      <c r="AI4" s="80" t="s">
        <v>730</v>
      </c>
      <c r="AJ4" s="80" t="s">
        <v>646</v>
      </c>
      <c r="AK4" s="80" t="s">
        <v>647</v>
      </c>
      <c r="AL4" s="80" t="s">
        <v>648</v>
      </c>
      <c r="AM4" s="80" t="s">
        <v>649</v>
      </c>
      <c r="AN4" s="80" t="s">
        <v>650</v>
      </c>
      <c r="AO4" s="80" t="s">
        <v>651</v>
      </c>
      <c r="AP4" s="80" t="s">
        <v>652</v>
      </c>
      <c r="AQ4" s="80" t="s">
        <v>655</v>
      </c>
      <c r="AR4" s="80" t="s">
        <v>656</v>
      </c>
      <c r="AS4" s="80" t="s">
        <v>657</v>
      </c>
      <c r="AT4" s="80" t="s">
        <v>658</v>
      </c>
      <c r="AU4" s="80" t="s">
        <v>659</v>
      </c>
      <c r="AV4" s="80" t="s">
        <v>660</v>
      </c>
      <c r="AW4" s="80" t="s">
        <v>661</v>
      </c>
      <c r="AX4" s="80" t="s">
        <v>663</v>
      </c>
      <c r="AY4" s="80" t="s">
        <v>665</v>
      </c>
      <c r="AZ4" s="80" t="s">
        <v>666</v>
      </c>
      <c r="BA4" s="80" t="s">
        <v>668</v>
      </c>
      <c r="BB4" s="80" t="s">
        <v>669</v>
      </c>
      <c r="BC4" s="80" t="s">
        <v>670</v>
      </c>
      <c r="BD4" s="80" t="s">
        <v>671</v>
      </c>
    </row>
    <row r="5" spans="1:56" ht="11.25" customHeight="1" x14ac:dyDescent="0.25">
      <c r="A5" s="119" t="s">
        <v>39</v>
      </c>
      <c r="B5" s="119" t="s">
        <v>42</v>
      </c>
      <c r="C5" s="119" t="s">
        <v>25</v>
      </c>
      <c r="D5" s="119" t="s">
        <v>25</v>
      </c>
      <c r="E5" s="119" t="s">
        <v>25</v>
      </c>
      <c r="F5" s="119" t="s">
        <v>25</v>
      </c>
      <c r="G5" s="21" t="s">
        <v>84</v>
      </c>
      <c r="H5" s="21" t="s">
        <v>83</v>
      </c>
      <c r="I5" s="21">
        <f>'MERCADO TUSD'!$U$2</f>
        <v>63135</v>
      </c>
      <c r="J5" s="17"/>
      <c r="L5" s="79">
        <f>('TUSD BE'!$L$5+'TUSD BF'!$L$5+'TUSD CVA'!$L$5)*1</f>
        <v>0</v>
      </c>
      <c r="M5" s="79">
        <f>('TUSD BE'!$M$5+'TUSD BF'!$M$5+'TUSD CVA'!$M$5)*1</f>
        <v>0</v>
      </c>
      <c r="N5" s="79">
        <f ca="1">('TUSD BE'!$N$5+'TUSD BF'!$N$5+'TUSD CVA'!$N$5)*1</f>
        <v>0</v>
      </c>
      <c r="O5" s="79">
        <f>('TUSD BE'!$O$5+'TUSD BF'!$O$5+'TUSD CVA'!$O$5)*1</f>
        <v>0</v>
      </c>
      <c r="P5" s="79">
        <f>('TUSD BE'!$P$5+'TUSD BF'!$P$5+'TUSD CVA'!$P$5)*1</f>
        <v>0</v>
      </c>
      <c r="Q5" s="79">
        <f>('TUSD BE'!$Q$5+'TUSD BF'!$Q$5+'TUSD CVA'!$Q$5)*1</f>
        <v>0</v>
      </c>
      <c r="R5" s="79">
        <f>('TUSD BE'!$R$5+'TUSD BF'!$R$5+'TUSD CVA'!$R$5)*1</f>
        <v>0</v>
      </c>
      <c r="S5" s="79">
        <f>('TUSD BE'!$S$5+'TUSD BF'!$S$5+'TUSD CVA'!$S$5)*1</f>
        <v>0</v>
      </c>
      <c r="T5" s="79">
        <f>('TUSD BE'!$U$5+'TUSD BF'!$U$5+'TUSD CVA'!$U$5)*1</f>
        <v>6.504485262436865</v>
      </c>
      <c r="U5" s="79">
        <f>('TUSD BE'!$V$5+'TUSD BF'!$V$5+'TUSD CVA'!$V$5)*1</f>
        <v>0.83247752325426472</v>
      </c>
      <c r="V5" s="79">
        <f>('TUSD BE'!$W$5+'TUSD BF'!$W$5+'TUSD CVA'!$W$5)*1</f>
        <v>0.25800270889866667</v>
      </c>
      <c r="W5" s="79">
        <f>('TUSD BE'!$X$5+'TUSD BF'!$X$5+'TUSD CVA'!$X$5)*1</f>
        <v>0</v>
      </c>
      <c r="X5" s="79">
        <f>('TUSD BE'!$Y$5+'TUSD BF'!$Y$5+'TUSD CVA'!$Y$5)*1</f>
        <v>13.293691346705003</v>
      </c>
      <c r="Y5" s="79">
        <f>('TUSD BE'!$Z$5+'TUSD BF'!$Z$5+'TUSD CVA'!$Z$5)*1</f>
        <v>0</v>
      </c>
      <c r="Z5" s="79">
        <f>('TUSD BE'!$AA$5+'TUSD BF'!$AA$5+'TUSD CVA'!$AA$5)*1</f>
        <v>0</v>
      </c>
      <c r="AA5" s="79">
        <f>('TUSD BE'!$AC$5+'TUSD BF'!$AC$5+'TUSD CVA'!$AC$5)*1</f>
        <v>38.347762379499578</v>
      </c>
      <c r="AB5" s="79">
        <f ca="1">('TUSD BE'!$AE$5+'TUSD BF'!$AE$5+'TUSD CVA'!$AE$5)*1</f>
        <v>-1.7197451443765803</v>
      </c>
      <c r="AC5" s="79">
        <f ca="1">('TUSD BE'!$AF$5+'TUSD BF'!$AF$5+'TUSD CVA'!$AF$5)*1</f>
        <v>0</v>
      </c>
      <c r="AD5" s="79">
        <f>('TUSD BE'!$AH$5+'TUSD BF'!$AH$5+'TUSD CVA'!$AH$5)*1</f>
        <v>0</v>
      </c>
      <c r="AE5" s="79">
        <f>('TUSD BE'!$AI$5+'TUSD BF'!$AI$5+'TUSD CVA'!$AI$5)*1</f>
        <v>0</v>
      </c>
      <c r="AF5" s="79">
        <f ca="1">('TUSD BE'!$AJ$5+'TUSD BF'!$AJ$5+'TUSD CVA'!$AJ$5)*1</f>
        <v>0</v>
      </c>
      <c r="AG5" s="79">
        <f ca="1">('TUSD BE'!$AK$5+'TUSD BF'!$AK$5+'TUSD CVA'!$AK$5)*1</f>
        <v>0</v>
      </c>
      <c r="AI5" s="79">
        <v>0</v>
      </c>
      <c r="AJ5" s="79">
        <v>0</v>
      </c>
      <c r="AK5" s="79">
        <v>0</v>
      </c>
      <c r="AL5" s="79">
        <v>0</v>
      </c>
      <c r="AM5" s="79">
        <v>0</v>
      </c>
      <c r="AN5" s="79">
        <v>0</v>
      </c>
      <c r="AO5" s="79">
        <v>0</v>
      </c>
      <c r="AP5" s="79">
        <v>0</v>
      </c>
      <c r="AQ5" s="79">
        <v>4.9487280728393399</v>
      </c>
      <c r="AR5" s="79">
        <v>0.73460648524123096</v>
      </c>
      <c r="AS5" s="79">
        <v>0.194725528060743</v>
      </c>
      <c r="AT5" s="79">
        <v>0</v>
      </c>
      <c r="AU5" s="79">
        <v>10.9457392007522</v>
      </c>
      <c r="AV5" s="79">
        <v>0</v>
      </c>
      <c r="AW5" s="79">
        <v>0</v>
      </c>
      <c r="AX5" s="79">
        <v>35.107580492159499</v>
      </c>
      <c r="AY5" s="79">
        <v>0</v>
      </c>
      <c r="AZ5" s="79">
        <v>0</v>
      </c>
      <c r="BA5" s="79">
        <v>0</v>
      </c>
      <c r="BB5" s="79">
        <v>0</v>
      </c>
      <c r="BC5" s="79">
        <v>0</v>
      </c>
      <c r="BD5" s="79">
        <v>0</v>
      </c>
    </row>
    <row r="6" spans="1:56" ht="11.25" customHeight="1" x14ac:dyDescent="0.25">
      <c r="A6" s="119"/>
      <c r="B6" s="119"/>
      <c r="C6" s="119"/>
      <c r="D6" s="119"/>
      <c r="E6" s="119"/>
      <c r="F6" s="119"/>
      <c r="G6" s="21" t="s">
        <v>85</v>
      </c>
      <c r="H6" s="21" t="s">
        <v>83</v>
      </c>
      <c r="I6" s="21">
        <f>'MERCADO TUSD'!$U$3</f>
        <v>71815</v>
      </c>
      <c r="J6" s="17"/>
      <c r="L6" s="79">
        <f>('TUSD BE'!$L$6+'TUSD BF'!$L$6+'TUSD CVA'!$L$6)*1</f>
        <v>0</v>
      </c>
      <c r="M6" s="79">
        <f>('TUSD BE'!$M$6+'TUSD BF'!$M$6+'TUSD CVA'!$M$6)*1</f>
        <v>0</v>
      </c>
      <c r="N6" s="79">
        <f ca="1">('TUSD BE'!$N$6+'TUSD BF'!$N$6+'TUSD CVA'!$N$6)*1</f>
        <v>0</v>
      </c>
      <c r="O6" s="79">
        <f>('TUSD BE'!$O$6+'TUSD BF'!$O$6+'TUSD CVA'!$O$6)*1</f>
        <v>0</v>
      </c>
      <c r="P6" s="79">
        <f>('TUSD BE'!$P$6+'TUSD BF'!$P$6+'TUSD CVA'!$P$6)*1</f>
        <v>0</v>
      </c>
      <c r="Q6" s="79">
        <f>('TUSD BE'!$Q$6+'TUSD BF'!$Q$6+'TUSD CVA'!$Q$6)*1</f>
        <v>0</v>
      </c>
      <c r="R6" s="79">
        <f>('TUSD BE'!$R$6+'TUSD BF'!$R$6+'TUSD CVA'!$R$6)*1</f>
        <v>0</v>
      </c>
      <c r="S6" s="79">
        <f>('TUSD BE'!$S$6+'TUSD BF'!$S$6+'TUSD CVA'!$S$6)*1</f>
        <v>0</v>
      </c>
      <c r="T6" s="79">
        <f>('TUSD BE'!$U$6+'TUSD BF'!$U$6+'TUSD CVA'!$U$6)*1</f>
        <v>2.3077477987228647</v>
      </c>
      <c r="U6" s="79">
        <f>('TUSD BE'!$V$6+'TUSD BF'!$V$6+'TUSD CVA'!$V$6)*1</f>
        <v>0.31123501198633985</v>
      </c>
      <c r="V6" s="79">
        <f>('TUSD BE'!$W$6+'TUSD BF'!$W$6+'TUSD CVA'!$W$6)*1</f>
        <v>9.358803096136524E-2</v>
      </c>
      <c r="W6" s="79">
        <f>('TUSD BE'!$X$6+'TUSD BF'!$X$6+'TUSD CVA'!$X$6)*1</f>
        <v>0</v>
      </c>
      <c r="X6" s="79">
        <f>('TUSD BE'!$Y$6+'TUSD BF'!$Y$6+'TUSD CVA'!$Y$6)*1</f>
        <v>3.3048790298346642</v>
      </c>
      <c r="Y6" s="79">
        <f>('TUSD BE'!$Z$6+'TUSD BF'!$Z$6+'TUSD CVA'!$Z$6)*1</f>
        <v>0</v>
      </c>
      <c r="Z6" s="79">
        <f>('TUSD BE'!$AA$6+'TUSD BF'!$AA$6+'TUSD CVA'!$AA$6)*1</f>
        <v>0</v>
      </c>
      <c r="AA6" s="79">
        <f>('TUSD BE'!$AC$6+'TUSD BF'!$AC$6+'TUSD CVA'!$AC$6)*1</f>
        <v>12.903352705370144</v>
      </c>
      <c r="AB6" s="79">
        <f ca="1">('TUSD BE'!$AE$6+'TUSD BF'!$AE$6+'TUSD CVA'!$AE$6)*1</f>
        <v>-0.54894815321821888</v>
      </c>
      <c r="AC6" s="79">
        <f ca="1">('TUSD BE'!$AF$6+'TUSD BF'!$AF$6+'TUSD CVA'!$AF$6)*1</f>
        <v>0</v>
      </c>
      <c r="AD6" s="79">
        <f>('TUSD BE'!$AH$6+'TUSD BF'!$AH$6+'TUSD CVA'!$AH$6)*1</f>
        <v>0</v>
      </c>
      <c r="AE6" s="79">
        <f>('TUSD BE'!$AI$6+'TUSD BF'!$AI$6+'TUSD CVA'!$AI$6)*1</f>
        <v>0</v>
      </c>
      <c r="AF6" s="79">
        <f ca="1">('TUSD BE'!$AJ$6+'TUSD BF'!$AJ$6+'TUSD CVA'!$AJ$6)*1</f>
        <v>0</v>
      </c>
      <c r="AG6" s="79">
        <f ca="1">('TUSD BE'!$AK$6+'TUSD BF'!$AK$6+'TUSD CVA'!$AK$6)*1</f>
        <v>0</v>
      </c>
      <c r="AI6" s="79">
        <v>0</v>
      </c>
      <c r="AJ6" s="79">
        <v>0</v>
      </c>
      <c r="AK6" s="79">
        <v>0</v>
      </c>
      <c r="AL6" s="79">
        <v>0</v>
      </c>
      <c r="AM6" s="79">
        <v>0</v>
      </c>
      <c r="AN6" s="79">
        <v>0</v>
      </c>
      <c r="AO6" s="79">
        <v>0</v>
      </c>
      <c r="AP6" s="79">
        <v>0</v>
      </c>
      <c r="AQ6" s="79">
        <v>1.75577556959433</v>
      </c>
      <c r="AR6" s="79">
        <v>0.27464436198293002</v>
      </c>
      <c r="AS6" s="79">
        <v>7.0634834908941596E-2</v>
      </c>
      <c r="AT6" s="79">
        <v>0</v>
      </c>
      <c r="AU6" s="79">
        <v>2.7211662289399801</v>
      </c>
      <c r="AV6" s="79">
        <v>0</v>
      </c>
      <c r="AW6" s="79">
        <v>0</v>
      </c>
      <c r="AX6" s="79">
        <v>11.813088055554401</v>
      </c>
      <c r="AY6" s="79">
        <v>0</v>
      </c>
      <c r="AZ6" s="79">
        <v>0</v>
      </c>
      <c r="BA6" s="79">
        <v>0</v>
      </c>
      <c r="BB6" s="79">
        <v>0</v>
      </c>
      <c r="BC6" s="79">
        <v>0</v>
      </c>
      <c r="BD6" s="79">
        <v>0</v>
      </c>
    </row>
    <row r="7" spans="1:56" ht="11.25" customHeight="1" x14ac:dyDescent="0.25">
      <c r="A7" s="119"/>
      <c r="B7" s="119"/>
      <c r="C7" s="119"/>
      <c r="D7" s="119"/>
      <c r="E7" s="119"/>
      <c r="F7" s="119"/>
      <c r="G7" s="21" t="s">
        <v>86</v>
      </c>
      <c r="H7" s="21" t="s">
        <v>80</v>
      </c>
      <c r="I7" s="21">
        <f>'MERCADO TUSD'!$U$4</f>
        <v>30235.892999999989</v>
      </c>
      <c r="J7" s="17"/>
      <c r="L7" s="79">
        <f>('TUSD BE'!$L$7+'TUSD BF'!$L$7+'TUSD CVA'!$L$7)*1</f>
        <v>6.022158063122582</v>
      </c>
      <c r="M7" s="79">
        <f>('TUSD BE'!$M$7+'TUSD BF'!$M$7+'TUSD CVA'!$M$7)*1</f>
        <v>0.48664603921432653</v>
      </c>
      <c r="N7" s="79">
        <f ca="1">('TUSD BE'!$N$7+'TUSD BF'!$N$7+'TUSD CVA'!$N$7)*1</f>
        <v>1.6377415549853545</v>
      </c>
      <c r="O7" s="79">
        <f>('TUSD BE'!$O$7+'TUSD BF'!$O$7+'TUSD CVA'!$O$7)*1</f>
        <v>0</v>
      </c>
      <c r="P7" s="79">
        <f>('TUSD BE'!$P$7+'TUSD BF'!$P$7+'TUSD CVA'!$P$7)*1</f>
        <v>0</v>
      </c>
      <c r="Q7" s="79">
        <f>('TUSD BE'!$Q$7+'TUSD BF'!$Q$7+'TUSD CVA'!$Q$7)*1</f>
        <v>102.46018648815055</v>
      </c>
      <c r="R7" s="79">
        <f>('TUSD BE'!$R$7+'TUSD BF'!$R$7+'TUSD CVA'!$R$7)*1</f>
        <v>20.175502292736393</v>
      </c>
      <c r="S7" s="79">
        <f>('TUSD BE'!$S$7+'TUSD BF'!$S$7+'TUSD CVA'!$S$7)*1</f>
        <v>0</v>
      </c>
      <c r="T7" s="79">
        <f>('TUSD BE'!$U$7+'TUSD BF'!$U$7+'TUSD CVA'!$U$7)*1</f>
        <v>0</v>
      </c>
      <c r="U7" s="79">
        <f>('TUSD BE'!$V$7+'TUSD BF'!$V$7+'TUSD CVA'!$V$7)*1</f>
        <v>0</v>
      </c>
      <c r="V7" s="79">
        <f>('TUSD BE'!$W$7+'TUSD BF'!$W$7+'TUSD CVA'!$W$7)*1</f>
        <v>0</v>
      </c>
      <c r="W7" s="79">
        <f>('TUSD BE'!$X$7+'TUSD BF'!$X$7+'TUSD CVA'!$X$7)*1</f>
        <v>0</v>
      </c>
      <c r="X7" s="79">
        <f>('TUSD BE'!$Y$7+'TUSD BF'!$Y$7+'TUSD CVA'!$Y$7)*1</f>
        <v>0</v>
      </c>
      <c r="Y7" s="79">
        <f>('TUSD BE'!$Z$7+'TUSD BF'!$Z$7+'TUSD CVA'!$Z$7)*1</f>
        <v>0</v>
      </c>
      <c r="Z7" s="79">
        <f>('TUSD BE'!$AA$7+'TUSD BF'!$AA$7+'TUSD CVA'!$AA$7)*1</f>
        <v>0</v>
      </c>
      <c r="AA7" s="79">
        <f>('TUSD BE'!$AC$7+'TUSD BF'!$AC$7+'TUSD CVA'!$AC$7)*1</f>
        <v>0</v>
      </c>
      <c r="AB7" s="79">
        <f ca="1">('TUSD BE'!$AE$7+'TUSD BF'!$AE$7+'TUSD CVA'!$AE$7)*1</f>
        <v>-3.578911015845196</v>
      </c>
      <c r="AC7" s="79">
        <f ca="1">('TUSD BE'!$AF$7+'TUSD BF'!$AF$7+'TUSD CVA'!$AF$7)*1</f>
        <v>0</v>
      </c>
      <c r="AD7" s="79">
        <f>('TUSD BE'!$AH$7+'TUSD BF'!$AH$7+'TUSD CVA'!$AH$7)*1</f>
        <v>16.63962412402557</v>
      </c>
      <c r="AE7" s="79">
        <f>('TUSD BE'!$AI$7+'TUSD BF'!$AI$7+'TUSD CVA'!$AI$7)*1</f>
        <v>0.58689456722429134</v>
      </c>
      <c r="AF7" s="79">
        <f ca="1">('TUSD BE'!$AJ$7+'TUSD BF'!$AJ$7+'TUSD CVA'!$AJ$7)*1</f>
        <v>3.1831502675418761</v>
      </c>
      <c r="AG7" s="79">
        <f ca="1">('TUSD BE'!$AK$7+'TUSD BF'!$AK$7+'TUSD CVA'!$AK$7)*1</f>
        <v>0.38131910618192749</v>
      </c>
      <c r="AI7" s="79">
        <v>5.5234150629108996</v>
      </c>
      <c r="AJ7" s="79">
        <v>0.40270664099445702</v>
      </c>
      <c r="AK7" s="79">
        <v>1.5072031833920401</v>
      </c>
      <c r="AL7" s="79">
        <v>0</v>
      </c>
      <c r="AM7" s="79">
        <v>0</v>
      </c>
      <c r="AN7" s="79">
        <v>42.766383586282899</v>
      </c>
      <c r="AO7" s="79">
        <v>8.6131800263507792</v>
      </c>
      <c r="AP7" s="79">
        <v>0</v>
      </c>
      <c r="AQ7" s="79">
        <v>0</v>
      </c>
      <c r="AR7" s="79">
        <v>0</v>
      </c>
      <c r="AS7" s="79">
        <v>0</v>
      </c>
      <c r="AT7" s="79">
        <v>0</v>
      </c>
      <c r="AU7" s="79">
        <v>0</v>
      </c>
      <c r="AV7" s="79">
        <v>0</v>
      </c>
      <c r="AW7" s="79">
        <v>0</v>
      </c>
      <c r="AX7" s="79">
        <v>0</v>
      </c>
      <c r="AY7" s="79">
        <v>0</v>
      </c>
      <c r="AZ7" s="79">
        <v>0</v>
      </c>
      <c r="BA7" s="79">
        <v>12.3011755094347</v>
      </c>
      <c r="BB7" s="79">
        <v>0.42526906090667899</v>
      </c>
      <c r="BC7" s="79">
        <v>4.93062581078975</v>
      </c>
      <c r="BD7" s="79">
        <v>0.27620825698867202</v>
      </c>
    </row>
    <row r="8" spans="1:56" ht="11.25" customHeight="1" x14ac:dyDescent="0.25">
      <c r="A8" s="119"/>
      <c r="B8" s="119"/>
      <c r="C8" s="119"/>
      <c r="D8" s="119"/>
      <c r="E8" s="81" t="s">
        <v>87</v>
      </c>
      <c r="F8" s="81" t="s">
        <v>25</v>
      </c>
      <c r="G8" s="21" t="s">
        <v>86</v>
      </c>
      <c r="H8" s="21" t="s">
        <v>80</v>
      </c>
      <c r="I8" s="21">
        <f>'MERCADO TUSD'!$U$5</f>
        <v>0</v>
      </c>
      <c r="J8" s="17"/>
      <c r="L8" s="79">
        <f>('TUSD BE'!$L$8+'TUSD BF'!$L$8+'TUSD CVA'!$L$8)*1</f>
        <v>0</v>
      </c>
      <c r="M8" s="79">
        <f>('TUSD BE'!$M$8+'TUSD BF'!$M$8+'TUSD CVA'!$M$8)*1</f>
        <v>0.48664603921432653</v>
      </c>
      <c r="N8" s="79">
        <f ca="1">('TUSD BE'!$N$8+'TUSD BF'!$N$8+'TUSD CVA'!$N$8)*1</f>
        <v>1.6371377922213541</v>
      </c>
      <c r="O8" s="79">
        <f>('TUSD BE'!$O$8+'TUSD BF'!$O$8+'TUSD CVA'!$O$8)*1</f>
        <v>0</v>
      </c>
      <c r="P8" s="79">
        <f>('TUSD BE'!$P$8+'TUSD BF'!$P$8+'TUSD CVA'!$P$8)*1</f>
        <v>0</v>
      </c>
      <c r="Q8" s="79">
        <f>('TUSD BE'!$Q$8+'TUSD BF'!$Q$8+'TUSD CVA'!$Q$8)*1</f>
        <v>0</v>
      </c>
      <c r="R8" s="79">
        <f>('TUSD BE'!$R$8+'TUSD BF'!$R$8+'TUSD CVA'!$R$8)*1</f>
        <v>0</v>
      </c>
      <c r="S8" s="79">
        <f>('TUSD BE'!$S$8+'TUSD BF'!$S$8+'TUSD CVA'!$S$8)*1</f>
        <v>0</v>
      </c>
      <c r="T8" s="79">
        <f>('TUSD BE'!$U$8+'TUSD BF'!$U$8+'TUSD CVA'!$U$8)*1</f>
        <v>0</v>
      </c>
      <c r="U8" s="79">
        <f>('TUSD BE'!$V$8+'TUSD BF'!$V$8+'TUSD CVA'!$V$8)*1</f>
        <v>0</v>
      </c>
      <c r="V8" s="79">
        <f>('TUSD BE'!$W$8+'TUSD BF'!$W$8+'TUSD CVA'!$W$8)*1</f>
        <v>0</v>
      </c>
      <c r="W8" s="79">
        <f>('TUSD BE'!$X$8+'TUSD BF'!$X$8+'TUSD CVA'!$X$8)*1</f>
        <v>0</v>
      </c>
      <c r="X8" s="79">
        <f>('TUSD BE'!$Y$8+'TUSD BF'!$Y$8+'TUSD CVA'!$Y$8)*1</f>
        <v>0</v>
      </c>
      <c r="Y8" s="79">
        <f>('TUSD BE'!$Z$8+'TUSD BF'!$Z$8+'TUSD CVA'!$Z$8)*1</f>
        <v>0</v>
      </c>
      <c r="Z8" s="79">
        <f>('TUSD BE'!$AA$8+'TUSD BF'!$AA$8+'TUSD CVA'!$AA$8)*1</f>
        <v>0</v>
      </c>
      <c r="AA8" s="79">
        <f>('TUSD BE'!$AC$8+'TUSD BF'!$AC$8+'TUSD CVA'!$AC$8)*1</f>
        <v>0</v>
      </c>
      <c r="AB8" s="79">
        <f ca="1">('TUSD BE'!$AE$8+'TUSD BF'!$AE$8+'TUSD CVA'!$AE$8)*1</f>
        <v>-0.64121051385333927</v>
      </c>
      <c r="AC8" s="79">
        <f ca="1">('TUSD BE'!$AF$8+'TUSD BF'!$AF$8+'TUSD CVA'!$AF$8)*1</f>
        <v>0</v>
      </c>
      <c r="AD8" s="79">
        <f>('TUSD BE'!$AH$8+'TUSD BF'!$AH$8+'TUSD CVA'!$AH$8)*1</f>
        <v>16.63962412402557</v>
      </c>
      <c r="AE8" s="79">
        <f>('TUSD BE'!$AI$8+'TUSD BF'!$AI$8+'TUSD CVA'!$AI$8)*1</f>
        <v>0.58689456722429134</v>
      </c>
      <c r="AF8" s="79">
        <f ca="1">('TUSD BE'!$AJ$8+'TUSD BF'!$AJ$8+'TUSD CVA'!$AJ$8)*1</f>
        <v>3.1831502675418761</v>
      </c>
      <c r="AG8" s="79">
        <f ca="1">('TUSD BE'!$AK$8+'TUSD BF'!$AK$8+'TUSD CVA'!$AK$8)*1</f>
        <v>0.38131910618192749</v>
      </c>
      <c r="AI8" s="79">
        <v>0</v>
      </c>
      <c r="AJ8" s="79">
        <v>0.40270664099445702</v>
      </c>
      <c r="AK8" s="79">
        <v>1.50664805966918</v>
      </c>
      <c r="AL8" s="79">
        <v>0</v>
      </c>
      <c r="AM8" s="79">
        <v>0</v>
      </c>
      <c r="AN8" s="79">
        <v>0</v>
      </c>
      <c r="AO8" s="79">
        <v>0</v>
      </c>
      <c r="AP8" s="79">
        <v>0</v>
      </c>
      <c r="AQ8" s="79">
        <v>0</v>
      </c>
      <c r="AR8" s="79">
        <v>0</v>
      </c>
      <c r="AS8" s="79">
        <v>0</v>
      </c>
      <c r="AT8" s="79">
        <v>0</v>
      </c>
      <c r="AU8" s="79">
        <v>0</v>
      </c>
      <c r="AV8" s="79">
        <v>0</v>
      </c>
      <c r="AW8" s="79">
        <v>0</v>
      </c>
      <c r="AX8" s="79">
        <v>0</v>
      </c>
      <c r="AY8" s="79">
        <v>0</v>
      </c>
      <c r="AZ8" s="79">
        <v>0</v>
      </c>
      <c r="BA8" s="79">
        <v>12.3011755094347</v>
      </c>
      <c r="BB8" s="79">
        <v>0.42526906090667899</v>
      </c>
      <c r="BC8" s="79">
        <v>4.93062581078975</v>
      </c>
      <c r="BD8" s="79">
        <v>0.27620825698867202</v>
      </c>
    </row>
    <row r="9" spans="1:56" ht="11.25" customHeight="1" x14ac:dyDescent="0.25">
      <c r="A9" s="119"/>
      <c r="B9" s="81" t="s">
        <v>59</v>
      </c>
      <c r="C9" s="81" t="s">
        <v>25</v>
      </c>
      <c r="D9" s="81" t="s">
        <v>25</v>
      </c>
      <c r="E9" s="81" t="s">
        <v>25</v>
      </c>
      <c r="F9" s="81" t="s">
        <v>25</v>
      </c>
      <c r="G9" s="21" t="s">
        <v>9</v>
      </c>
      <c r="H9" s="21" t="s">
        <v>83</v>
      </c>
      <c r="I9" s="21">
        <f>'MERCADO TUSD'!$U$6</f>
        <v>16152</v>
      </c>
      <c r="J9" s="17"/>
      <c r="L9" s="79">
        <f>('TUSD BE'!$L$9+'TUSD BF'!$L$9+'TUSD CVA'!$L$9)*1</f>
        <v>0</v>
      </c>
      <c r="M9" s="79">
        <f>('TUSD BE'!$M$9+'TUSD BF'!$M$9+'TUSD CVA'!$M$9)*1</f>
        <v>4.4717466335900791E-2</v>
      </c>
      <c r="N9" s="79">
        <f ca="1">('TUSD BE'!$N$9+'TUSD BF'!$N$9+'TUSD CVA'!$N$9)*1</f>
        <v>7.0700619664404397E-3</v>
      </c>
      <c r="O9" s="79">
        <f>('TUSD BE'!$O$9+'TUSD BF'!$O$9+'TUSD CVA'!$O$9)*1</f>
        <v>0</v>
      </c>
      <c r="P9" s="79">
        <f>('TUSD BE'!$P$9+'TUSD BF'!$P$9+'TUSD CVA'!$P$9)*1</f>
        <v>0</v>
      </c>
      <c r="Q9" s="79">
        <f>('TUSD BE'!$Q$9+'TUSD BF'!$Q$9+'TUSD CVA'!$Q$9)*1</f>
        <v>0</v>
      </c>
      <c r="R9" s="79">
        <f>('TUSD BE'!$R$9+'TUSD BF'!$R$9+'TUSD CVA'!$R$9)*1</f>
        <v>0</v>
      </c>
      <c r="S9" s="79">
        <f>('TUSD BE'!$S$9+'TUSD BF'!$S$9+'TUSD CVA'!$S$9)*1</f>
        <v>0</v>
      </c>
      <c r="T9" s="79">
        <f>('TUSD BE'!$U$9+'TUSD BF'!$U$9+'TUSD CVA'!$U$9)*1</f>
        <v>0</v>
      </c>
      <c r="U9" s="79">
        <f>('TUSD BE'!$V$9+'TUSD BF'!$V$9+'TUSD CVA'!$V$9)*1</f>
        <v>0</v>
      </c>
      <c r="V9" s="79">
        <f>('TUSD BE'!$W$9+'TUSD BF'!$W$9+'TUSD CVA'!$W$9)*1</f>
        <v>0</v>
      </c>
      <c r="W9" s="79">
        <f>('TUSD BE'!$X$9+'TUSD BF'!$X$9+'TUSD CVA'!$X$9)*1</f>
        <v>0</v>
      </c>
      <c r="X9" s="79">
        <f>('TUSD BE'!$Y$9+'TUSD BF'!$Y$9+'TUSD CVA'!$Y$9)*1</f>
        <v>0</v>
      </c>
      <c r="Y9" s="79">
        <f>('TUSD BE'!$Z$9+'TUSD BF'!$Z$9+'TUSD CVA'!$Z$9)*1</f>
        <v>0</v>
      </c>
      <c r="Z9" s="79">
        <f>('TUSD BE'!$AA$9+'TUSD BF'!$AA$9+'TUSD CVA'!$AA$9)*1</f>
        <v>0</v>
      </c>
      <c r="AA9" s="79">
        <f>('TUSD BE'!$AC$9+'TUSD BF'!$AC$9+'TUSD CVA'!$AC$9)*1</f>
        <v>12.099557100524295</v>
      </c>
      <c r="AB9" s="79">
        <f ca="1">('TUSD BE'!$AE$9+'TUSD BF'!$AE$9+'TUSD CVA'!$AE$9)*1</f>
        <v>-0.35874437500610384</v>
      </c>
      <c r="AC9" s="79">
        <f ca="1">('TUSD BE'!$AF$9+'TUSD BF'!$AF$9+'TUSD CVA'!$AF$9)*1</f>
        <v>0</v>
      </c>
      <c r="AD9" s="79">
        <f>('TUSD BE'!$AH$9+'TUSD BF'!$AH$9+'TUSD CVA'!$AH$9)*1</f>
        <v>8.0436179012532139E-3</v>
      </c>
      <c r="AE9" s="79">
        <f>('TUSD BE'!$AI$9+'TUSD BF'!$AI$9+'TUSD CVA'!$AI$9)*1</f>
        <v>0</v>
      </c>
      <c r="AF9" s="79">
        <f ca="1">('TUSD BE'!$AJ$9+'TUSD BF'!$AJ$9+'TUSD CVA'!$AJ$9)*1</f>
        <v>0</v>
      </c>
      <c r="AG9" s="79">
        <f ca="1">('TUSD BE'!$AK$9+'TUSD BF'!$AK$9+'TUSD CVA'!$AK$9)*1</f>
        <v>0</v>
      </c>
      <c r="AI9" s="79">
        <v>0</v>
      </c>
      <c r="AJ9" s="79">
        <v>3.9428802367908099E-2</v>
      </c>
      <c r="AK9" s="79">
        <v>6.5004987946891898E-3</v>
      </c>
      <c r="AL9" s="79">
        <v>0</v>
      </c>
      <c r="AM9" s="79">
        <v>0</v>
      </c>
      <c r="AN9" s="79">
        <v>0</v>
      </c>
      <c r="AO9" s="79">
        <v>0</v>
      </c>
      <c r="AP9" s="79">
        <v>0</v>
      </c>
      <c r="AQ9" s="79">
        <v>0</v>
      </c>
      <c r="AR9" s="79">
        <v>0</v>
      </c>
      <c r="AS9" s="79">
        <v>0</v>
      </c>
      <c r="AT9" s="79">
        <v>0</v>
      </c>
      <c r="AU9" s="79">
        <v>0</v>
      </c>
      <c r="AV9" s="79">
        <v>0</v>
      </c>
      <c r="AW9" s="79">
        <v>0</v>
      </c>
      <c r="AX9" s="79">
        <v>11.077208902630099</v>
      </c>
      <c r="AY9" s="79">
        <v>0</v>
      </c>
      <c r="AZ9" s="79">
        <v>0</v>
      </c>
      <c r="BA9" s="79">
        <v>5.9464056878112204E-3</v>
      </c>
      <c r="BB9" s="79">
        <v>0</v>
      </c>
      <c r="BC9" s="79">
        <v>0</v>
      </c>
      <c r="BD9" s="79">
        <v>0</v>
      </c>
    </row>
    <row r="10" spans="1:56" ht="11.25" customHeight="1" x14ac:dyDescent="0.25">
      <c r="A10" s="119"/>
      <c r="B10" s="119" t="s">
        <v>40</v>
      </c>
      <c r="C10" s="119" t="s">
        <v>25</v>
      </c>
      <c r="D10" s="119" t="s">
        <v>25</v>
      </c>
      <c r="E10" s="119" t="s">
        <v>25</v>
      </c>
      <c r="F10" s="119" t="s">
        <v>25</v>
      </c>
      <c r="G10" s="21" t="s">
        <v>9</v>
      </c>
      <c r="H10" s="21" t="s">
        <v>83</v>
      </c>
      <c r="I10" s="21">
        <f>'MERCADO TUSD'!$U$7</f>
        <v>539141</v>
      </c>
      <c r="J10" s="17"/>
      <c r="L10" s="79">
        <f>('TUSD BE'!$L$10+'TUSD BF'!$L$10+'TUSD CVA'!$L$10)*1</f>
        <v>0</v>
      </c>
      <c r="M10" s="79">
        <f>('TUSD BE'!$M$10+'TUSD BF'!$M$10+'TUSD CVA'!$M$10)*1</f>
        <v>0</v>
      </c>
      <c r="N10" s="79">
        <f ca="1">('TUSD BE'!$N$10+'TUSD BF'!$N$10+'TUSD CVA'!$N$10)*1</f>
        <v>0</v>
      </c>
      <c r="O10" s="79">
        <f>('TUSD BE'!$O$10+'TUSD BF'!$O$10+'TUSD CVA'!$O$10)*1</f>
        <v>0</v>
      </c>
      <c r="P10" s="79">
        <f>('TUSD BE'!$P$10+'TUSD BF'!$P$10+'TUSD CVA'!$P$10)*1</f>
        <v>0</v>
      </c>
      <c r="Q10" s="79">
        <f>('TUSD BE'!$Q$10+'TUSD BF'!$Q$10+'TUSD CVA'!$Q$10)*1</f>
        <v>0</v>
      </c>
      <c r="R10" s="79">
        <f>('TUSD BE'!$R$10+'TUSD BF'!$R$10+'TUSD CVA'!$R$10)*1</f>
        <v>0</v>
      </c>
      <c r="S10" s="79">
        <f>('TUSD BE'!$S$10+'TUSD BF'!$S$10+'TUSD CVA'!$S$10)*1</f>
        <v>0</v>
      </c>
      <c r="T10" s="79">
        <f>('TUSD BE'!$U$10+'TUSD BF'!$U$10+'TUSD CVA'!$U$10)*1</f>
        <v>2.3077477987228647</v>
      </c>
      <c r="U10" s="79">
        <f>('TUSD BE'!$V$10+'TUSD BF'!$V$10+'TUSD CVA'!$V$10)*1</f>
        <v>0.31123501198633985</v>
      </c>
      <c r="V10" s="79">
        <f>('TUSD BE'!$W$10+'TUSD BF'!$W$10+'TUSD CVA'!$W$10)*1</f>
        <v>9.358803096136524E-2</v>
      </c>
      <c r="W10" s="79">
        <f>('TUSD BE'!$X$10+'TUSD BF'!$X$10+'TUSD CVA'!$X$10)*1</f>
        <v>0</v>
      </c>
      <c r="X10" s="79">
        <f>('TUSD BE'!$Y$10+'TUSD BF'!$Y$10+'TUSD CVA'!$Y$10)*1</f>
        <v>3.3048790298346642</v>
      </c>
      <c r="Y10" s="79">
        <f>('TUSD BE'!$Z$10+'TUSD BF'!$Z$10+'TUSD CVA'!$Z$10)*1</f>
        <v>0</v>
      </c>
      <c r="Z10" s="79">
        <f>('TUSD BE'!$AA$10+'TUSD BF'!$AA$10+'TUSD CVA'!$AA$10)*1</f>
        <v>0</v>
      </c>
      <c r="AA10" s="79">
        <f>('TUSD BE'!$AC$10+'TUSD BF'!$AC$10+'TUSD CVA'!$AC$10)*1</f>
        <v>12.903352705370144</v>
      </c>
      <c r="AB10" s="79">
        <f ca="1">('TUSD BE'!$AE$10+'TUSD BF'!$AE$10+'TUSD CVA'!$AE$10)*1</f>
        <v>-0.54894815321821888</v>
      </c>
      <c r="AC10" s="79">
        <f ca="1">('TUSD BE'!$AF$10+'TUSD BF'!$AF$10+'TUSD CVA'!$AF$10)*1</f>
        <v>0</v>
      </c>
      <c r="AD10" s="79">
        <f>('TUSD BE'!$AH$10+'TUSD BF'!$AH$10+'TUSD CVA'!$AH$10)*1</f>
        <v>0</v>
      </c>
      <c r="AE10" s="79">
        <f>('TUSD BE'!$AI$10+'TUSD BF'!$AI$10+'TUSD CVA'!$AI$10)*1</f>
        <v>0</v>
      </c>
      <c r="AF10" s="79">
        <f ca="1">('TUSD BE'!$AJ$10+'TUSD BF'!$AJ$10+'TUSD CVA'!$AJ$10)*1</f>
        <v>0</v>
      </c>
      <c r="AG10" s="79">
        <f ca="1">('TUSD BE'!$AK$10+'TUSD BF'!$AK$10+'TUSD CVA'!$AK$10)*1</f>
        <v>0</v>
      </c>
      <c r="AI10" s="79">
        <v>0</v>
      </c>
      <c r="AJ10" s="79">
        <v>0</v>
      </c>
      <c r="AK10" s="79">
        <v>0</v>
      </c>
      <c r="AL10" s="79">
        <v>0</v>
      </c>
      <c r="AM10" s="79">
        <v>0</v>
      </c>
      <c r="AN10" s="79">
        <v>0</v>
      </c>
      <c r="AO10" s="79">
        <v>0</v>
      </c>
      <c r="AP10" s="79">
        <v>0</v>
      </c>
      <c r="AQ10" s="79">
        <v>1.75577556959433</v>
      </c>
      <c r="AR10" s="79">
        <v>0.27464436198293002</v>
      </c>
      <c r="AS10" s="79">
        <v>7.0634834908941596E-2</v>
      </c>
      <c r="AT10" s="79">
        <v>0</v>
      </c>
      <c r="AU10" s="79">
        <v>2.7211662289399801</v>
      </c>
      <c r="AV10" s="79">
        <v>0</v>
      </c>
      <c r="AW10" s="79">
        <v>0</v>
      </c>
      <c r="AX10" s="79">
        <v>11.813088055554401</v>
      </c>
      <c r="AY10" s="79">
        <v>0</v>
      </c>
      <c r="AZ10" s="79">
        <v>0</v>
      </c>
      <c r="BA10" s="79">
        <v>0</v>
      </c>
      <c r="BB10" s="79">
        <v>0</v>
      </c>
      <c r="BC10" s="79">
        <v>0</v>
      </c>
      <c r="BD10" s="79">
        <v>0</v>
      </c>
    </row>
    <row r="11" spans="1:56" ht="11.25" customHeight="1" x14ac:dyDescent="0.25">
      <c r="A11" s="119"/>
      <c r="B11" s="119"/>
      <c r="C11" s="119"/>
      <c r="D11" s="119"/>
      <c r="E11" s="119"/>
      <c r="F11" s="119"/>
      <c r="G11" s="21" t="s">
        <v>81</v>
      </c>
      <c r="H11" s="21" t="s">
        <v>80</v>
      </c>
      <c r="I11" s="21">
        <f>'MERCADO TUSD'!$U$8</f>
        <v>7136.594000000001</v>
      </c>
      <c r="J11" s="17"/>
      <c r="L11" s="79">
        <f>('TUSD BE'!$L$11+'TUSD BF'!$L$11+'TUSD CVA'!$L$11)*1</f>
        <v>6.022158063122582</v>
      </c>
      <c r="M11" s="79">
        <f>('TUSD BE'!$M$11+'TUSD BF'!$M$11+'TUSD CVA'!$M$11)*1</f>
        <v>0.48664603921432653</v>
      </c>
      <c r="N11" s="79">
        <f ca="1">('TUSD BE'!$N$11+'TUSD BF'!$N$11+'TUSD CVA'!$N$11)*1</f>
        <v>2.3909562517619296</v>
      </c>
      <c r="O11" s="79">
        <f>('TUSD BE'!$O$11+'TUSD BF'!$O$11+'TUSD CVA'!$O$11)*1</f>
        <v>0</v>
      </c>
      <c r="P11" s="79">
        <f>('TUSD BE'!$P$11+'TUSD BF'!$P$11+'TUSD CVA'!$P$11)*1</f>
        <v>0</v>
      </c>
      <c r="Q11" s="79">
        <f>('TUSD BE'!$Q$11+'TUSD BF'!$Q$11+'TUSD CVA'!$Q$11)*1</f>
        <v>102.46018648815055</v>
      </c>
      <c r="R11" s="79">
        <f>('TUSD BE'!$R$11+'TUSD BF'!$R$11+'TUSD CVA'!$R$11)*1</f>
        <v>20.175502292736393</v>
      </c>
      <c r="S11" s="79">
        <f>('TUSD BE'!$S$11+'TUSD BF'!$S$11+'TUSD CVA'!$S$11)*1</f>
        <v>0</v>
      </c>
      <c r="T11" s="79">
        <f>('TUSD BE'!$U$11+'TUSD BF'!$U$11+'TUSD CVA'!$U$11)*1</f>
        <v>156.43336203015585</v>
      </c>
      <c r="U11" s="79">
        <f>('TUSD BE'!$V$11+'TUSD BF'!$V$11+'TUSD CVA'!$V$11)*1</f>
        <v>20.022582747630008</v>
      </c>
      <c r="V11" s="79">
        <f>('TUSD BE'!$W$11+'TUSD BF'!$W$11+'TUSD CVA'!$W$11)*1</f>
        <v>6.2041721327091848</v>
      </c>
      <c r="W11" s="79">
        <f>('TUSD BE'!$X$11+'TUSD BF'!$X$11+'TUSD CVA'!$X$11)*1</f>
        <v>0</v>
      </c>
      <c r="X11" s="79">
        <f>('TUSD BE'!$Y$11+'TUSD BF'!$Y$11+'TUSD CVA'!$Y$11)*1</f>
        <v>319.71250201147819</v>
      </c>
      <c r="Y11" s="79">
        <f>('TUSD BE'!$Z$11+'TUSD BF'!$Z$11+'TUSD CVA'!$Z$11)*1</f>
        <v>0</v>
      </c>
      <c r="Z11" s="79">
        <f>('TUSD BE'!$AA$11+'TUSD BF'!$AA$11+'TUSD CVA'!$AA$11)*1</f>
        <v>0</v>
      </c>
      <c r="AA11" s="79">
        <f>('TUSD BE'!$AC$11+'TUSD BF'!$AC$11+'TUSD CVA'!$AC$11)*1</f>
        <v>922.26400380114205</v>
      </c>
      <c r="AB11" s="79">
        <f ca="1">('TUSD BE'!$AE$11+'TUSD BF'!$AE$11+'TUSD CVA'!$AE$11)*1</f>
        <v>-44.961021846676566</v>
      </c>
      <c r="AC11" s="79">
        <f ca="1">('TUSD BE'!$AF$11+'TUSD BF'!$AF$11+'TUSD CVA'!$AF$11)*1</f>
        <v>0</v>
      </c>
      <c r="AD11" s="79">
        <f>('TUSD BE'!$AH$11+'TUSD BF'!$AH$11+'TUSD CVA'!$AH$11)*1</f>
        <v>16.63962412402557</v>
      </c>
      <c r="AE11" s="79">
        <f>('TUSD BE'!$AI$11+'TUSD BF'!$AI$11+'TUSD CVA'!$AI$11)*1</f>
        <v>0.58689456722429134</v>
      </c>
      <c r="AF11" s="79">
        <f ca="1">('TUSD BE'!$AJ$11+'TUSD BF'!$AJ$11+'TUSD CVA'!$AJ$11)*1</f>
        <v>3.1831502675418761</v>
      </c>
      <c r="AG11" s="79">
        <f ca="1">('TUSD BE'!$AK$11+'TUSD BF'!$AK$11+'TUSD CVA'!$AK$11)*1</f>
        <v>0.38131910618192749</v>
      </c>
      <c r="AI11" s="79">
        <v>5.5234150629108996</v>
      </c>
      <c r="AJ11" s="79">
        <v>0.40270664099445702</v>
      </c>
      <c r="AK11" s="79">
        <v>2.1997390128910599</v>
      </c>
      <c r="AL11" s="79">
        <v>0</v>
      </c>
      <c r="AM11" s="79">
        <v>0</v>
      </c>
      <c r="AN11" s="79">
        <v>42.766383586282899</v>
      </c>
      <c r="AO11" s="79">
        <v>8.6131800263507792</v>
      </c>
      <c r="AP11" s="79">
        <v>0</v>
      </c>
      <c r="AQ11" s="79">
        <v>119.017284069799</v>
      </c>
      <c r="AR11" s="79">
        <v>17.668608132733599</v>
      </c>
      <c r="AS11" s="79">
        <v>4.6825504270036298</v>
      </c>
      <c r="AT11" s="79">
        <v>0</v>
      </c>
      <c r="AU11" s="79">
        <v>263.24438976123798</v>
      </c>
      <c r="AV11" s="79">
        <v>0</v>
      </c>
      <c r="AW11" s="79">
        <v>0</v>
      </c>
      <c r="AX11" s="79">
        <v>844.33760249278998</v>
      </c>
      <c r="AY11" s="79">
        <v>0</v>
      </c>
      <c r="AZ11" s="79">
        <v>0</v>
      </c>
      <c r="BA11" s="79">
        <v>12.3011755094347</v>
      </c>
      <c r="BB11" s="79">
        <v>0.42526906090667899</v>
      </c>
      <c r="BC11" s="79">
        <v>4.93062581078975</v>
      </c>
      <c r="BD11" s="79">
        <v>0.27620825698867202</v>
      </c>
    </row>
    <row r="12" spans="1:56" ht="11.25" customHeight="1" x14ac:dyDescent="0.25">
      <c r="A12" s="119"/>
      <c r="B12" s="119"/>
      <c r="C12" s="119"/>
      <c r="D12" s="119"/>
      <c r="E12" s="119"/>
      <c r="F12" s="119"/>
      <c r="G12" s="21" t="s">
        <v>82</v>
      </c>
      <c r="H12" s="21" t="s">
        <v>80</v>
      </c>
      <c r="I12" s="21">
        <f>'MERCADO TUSD'!$U$9</f>
        <v>103922.32400000001</v>
      </c>
      <c r="J12" s="17"/>
      <c r="L12" s="79">
        <f>('TUSD BE'!$L$12+'TUSD BF'!$L$12+'TUSD CVA'!$L$12)*1</f>
        <v>6.022158063122582</v>
      </c>
      <c r="M12" s="79">
        <f>('TUSD BE'!$M$12+'TUSD BF'!$M$12+'TUSD CVA'!$M$12)*1</f>
        <v>0.48664603921432653</v>
      </c>
      <c r="N12" s="79">
        <f ca="1">('TUSD BE'!$N$12+'TUSD BF'!$N$12+'TUSD CVA'!$N$12)*1</f>
        <v>1.6377415549853545</v>
      </c>
      <c r="O12" s="79">
        <f>('TUSD BE'!$O$12+'TUSD BF'!$O$12+'TUSD CVA'!$O$12)*1</f>
        <v>0</v>
      </c>
      <c r="P12" s="79">
        <f>('TUSD BE'!$P$12+'TUSD BF'!$P$12+'TUSD CVA'!$P$12)*1</f>
        <v>0</v>
      </c>
      <c r="Q12" s="79">
        <f>('TUSD BE'!$Q$12+'TUSD BF'!$Q$12+'TUSD CVA'!$Q$12)*1</f>
        <v>102.46018648815055</v>
      </c>
      <c r="R12" s="79">
        <f>('TUSD BE'!$R$12+'TUSD BF'!$R$12+'TUSD CVA'!$R$12)*1</f>
        <v>20.175502292736393</v>
      </c>
      <c r="S12" s="79">
        <f>('TUSD BE'!$S$12+'TUSD BF'!$S$12+'TUSD CVA'!$S$12)*1</f>
        <v>0</v>
      </c>
      <c r="T12" s="79">
        <f>('TUSD BE'!$U$12+'TUSD BF'!$U$12+'TUSD CVA'!$U$12)*1</f>
        <v>0</v>
      </c>
      <c r="U12" s="79">
        <f>('TUSD BE'!$V$12+'TUSD BF'!$V$12+'TUSD CVA'!$V$12)*1</f>
        <v>0</v>
      </c>
      <c r="V12" s="79">
        <f>('TUSD BE'!$W$12+'TUSD BF'!$W$12+'TUSD CVA'!$W$12)*1</f>
        <v>0</v>
      </c>
      <c r="W12" s="79">
        <f>('TUSD BE'!$X$12+'TUSD BF'!$X$12+'TUSD CVA'!$X$12)*1</f>
        <v>0</v>
      </c>
      <c r="X12" s="79">
        <f>('TUSD BE'!$Y$12+'TUSD BF'!$Y$12+'TUSD CVA'!$Y$12)*1</f>
        <v>0</v>
      </c>
      <c r="Y12" s="79">
        <f>('TUSD BE'!$Z$12+'TUSD BF'!$Z$12+'TUSD CVA'!$Z$12)*1</f>
        <v>0</v>
      </c>
      <c r="Z12" s="79">
        <f>('TUSD BE'!$AA$12+'TUSD BF'!$AA$12+'TUSD CVA'!$AA$12)*1</f>
        <v>0</v>
      </c>
      <c r="AA12" s="79">
        <f>('TUSD BE'!$AC$12+'TUSD BF'!$AC$12+'TUSD CVA'!$AC$12)*1</f>
        <v>0</v>
      </c>
      <c r="AB12" s="79">
        <f ca="1">('TUSD BE'!$AE$12+'TUSD BF'!$AE$12+'TUSD CVA'!$AE$12)*1</f>
        <v>-3.578911015845196</v>
      </c>
      <c r="AC12" s="79">
        <f ca="1">('TUSD BE'!$AF$12+'TUSD BF'!$AF$12+'TUSD CVA'!$AF$12)*1</f>
        <v>0</v>
      </c>
      <c r="AD12" s="79">
        <f>('TUSD BE'!$AH$12+'TUSD BF'!$AH$12+'TUSD CVA'!$AH$12)*1</f>
        <v>16.63962412402557</v>
      </c>
      <c r="AE12" s="79">
        <f>('TUSD BE'!$AI$12+'TUSD BF'!$AI$12+'TUSD CVA'!$AI$12)*1</f>
        <v>0.58689456722429134</v>
      </c>
      <c r="AF12" s="79">
        <f ca="1">('TUSD BE'!$AJ$12+'TUSD BF'!$AJ$12+'TUSD CVA'!$AJ$12)*1</f>
        <v>3.1831502675418761</v>
      </c>
      <c r="AG12" s="79">
        <f ca="1">('TUSD BE'!$AK$12+'TUSD BF'!$AK$12+'TUSD CVA'!$AK$12)*1</f>
        <v>0.38131910618192749</v>
      </c>
      <c r="AI12" s="79">
        <v>5.5234150629108996</v>
      </c>
      <c r="AJ12" s="79">
        <v>0.40270664099445702</v>
      </c>
      <c r="AK12" s="79">
        <v>1.5072031833920401</v>
      </c>
      <c r="AL12" s="79">
        <v>0</v>
      </c>
      <c r="AM12" s="79">
        <v>0</v>
      </c>
      <c r="AN12" s="79">
        <v>42.766383586282899</v>
      </c>
      <c r="AO12" s="79">
        <v>8.6131800263507792</v>
      </c>
      <c r="AP12" s="79">
        <v>0</v>
      </c>
      <c r="AQ12" s="79">
        <v>0</v>
      </c>
      <c r="AR12" s="79">
        <v>0</v>
      </c>
      <c r="AS12" s="79">
        <v>0</v>
      </c>
      <c r="AT12" s="79">
        <v>0</v>
      </c>
      <c r="AU12" s="79">
        <v>0</v>
      </c>
      <c r="AV12" s="79">
        <v>0</v>
      </c>
      <c r="AW12" s="79">
        <v>0</v>
      </c>
      <c r="AX12" s="79">
        <v>0</v>
      </c>
      <c r="AY12" s="79">
        <v>0</v>
      </c>
      <c r="AZ12" s="79">
        <v>0</v>
      </c>
      <c r="BA12" s="79">
        <v>12.3011755094347</v>
      </c>
      <c r="BB12" s="79">
        <v>0.42526906090667899</v>
      </c>
      <c r="BC12" s="79">
        <v>4.93062581078975</v>
      </c>
      <c r="BD12" s="79">
        <v>0.27620825698867202</v>
      </c>
    </row>
    <row r="13" spans="1:56" ht="11.25" customHeight="1" x14ac:dyDescent="0.25">
      <c r="A13" s="119"/>
      <c r="B13" s="119"/>
      <c r="C13" s="119"/>
      <c r="D13" s="119"/>
      <c r="E13" s="119" t="s">
        <v>87</v>
      </c>
      <c r="F13" s="119" t="s">
        <v>25</v>
      </c>
      <c r="G13" s="21" t="s">
        <v>81</v>
      </c>
      <c r="H13" s="21" t="s">
        <v>80</v>
      </c>
      <c r="I13" s="21">
        <f>'MERCADO TUSD'!$U$10</f>
        <v>0</v>
      </c>
      <c r="J13" s="17"/>
      <c r="L13" s="79">
        <f>('TUSD BE'!$L$13+'TUSD BF'!$L$13+'TUSD CVA'!$L$13)*1</f>
        <v>0</v>
      </c>
      <c r="M13" s="79">
        <f>('TUSD BE'!$M$13+'TUSD BF'!$M$13+'TUSD CVA'!$M$13)*1</f>
        <v>0.48664603921432653</v>
      </c>
      <c r="N13" s="79">
        <f ca="1">('TUSD BE'!$N$13+'TUSD BF'!$N$13+'TUSD CVA'!$N$13)*1</f>
        <v>2.3903524889979297</v>
      </c>
      <c r="O13" s="79">
        <f>('TUSD BE'!$O$13+'TUSD BF'!$O$13+'TUSD CVA'!$O$13)*1</f>
        <v>0</v>
      </c>
      <c r="P13" s="79">
        <f>('TUSD BE'!$P$13+'TUSD BF'!$P$13+'TUSD CVA'!$P$13)*1</f>
        <v>0</v>
      </c>
      <c r="Q13" s="79">
        <f>('TUSD BE'!$Q$13+'TUSD BF'!$Q$13+'TUSD CVA'!$Q$13)*1</f>
        <v>0</v>
      </c>
      <c r="R13" s="79">
        <f>('TUSD BE'!$R$13+'TUSD BF'!$R$13+'TUSD CVA'!$R$13)*1</f>
        <v>0</v>
      </c>
      <c r="S13" s="79">
        <f>('TUSD BE'!$S$13+'TUSD BF'!$S$13+'TUSD CVA'!$S$13)*1</f>
        <v>0</v>
      </c>
      <c r="T13" s="79">
        <f>('TUSD BE'!$U$13+'TUSD BF'!$U$13+'TUSD CVA'!$U$13)*1</f>
        <v>156.43336203015585</v>
      </c>
      <c r="U13" s="79">
        <f>('TUSD BE'!$V$13+'TUSD BF'!$V$13+'TUSD CVA'!$V$13)*1</f>
        <v>20.022582747630008</v>
      </c>
      <c r="V13" s="79">
        <f>('TUSD BE'!$W$13+'TUSD BF'!$W$13+'TUSD CVA'!$W$13)*1</f>
        <v>6.2041721327091848</v>
      </c>
      <c r="W13" s="79">
        <f>('TUSD BE'!$X$13+'TUSD BF'!$X$13+'TUSD CVA'!$X$13)*1</f>
        <v>0</v>
      </c>
      <c r="X13" s="79">
        <f>('TUSD BE'!$Y$13+'TUSD BF'!$Y$13+'TUSD CVA'!$Y$13)*1</f>
        <v>319.71250201147819</v>
      </c>
      <c r="Y13" s="79">
        <f>('TUSD BE'!$Z$13+'TUSD BF'!$Z$13+'TUSD CVA'!$Z$13)*1</f>
        <v>0</v>
      </c>
      <c r="Z13" s="79">
        <f>('TUSD BE'!$AA$13+'TUSD BF'!$AA$13+'TUSD CVA'!$AA$13)*1</f>
        <v>0</v>
      </c>
      <c r="AA13" s="79">
        <f>('TUSD BE'!$AC$13+'TUSD BF'!$AC$13+'TUSD CVA'!$AC$13)*1</f>
        <v>922.26400380114205</v>
      </c>
      <c r="AB13" s="79">
        <f ca="1">('TUSD BE'!$AE$13+'TUSD BF'!$AE$13+'TUSD CVA'!$AE$13)*1</f>
        <v>-42.02332134468471</v>
      </c>
      <c r="AC13" s="79">
        <f ca="1">('TUSD BE'!$AF$13+'TUSD BF'!$AF$13+'TUSD CVA'!$AF$13)*1</f>
        <v>0</v>
      </c>
      <c r="AD13" s="79">
        <f>('TUSD BE'!$AH$13+'TUSD BF'!$AH$13+'TUSD CVA'!$AH$13)*1</f>
        <v>16.63962412402557</v>
      </c>
      <c r="AE13" s="79">
        <f>('TUSD BE'!$AI$13+'TUSD BF'!$AI$13+'TUSD CVA'!$AI$13)*1</f>
        <v>0.58689456722429134</v>
      </c>
      <c r="AF13" s="79">
        <f ca="1">('TUSD BE'!$AJ$13+'TUSD BF'!$AJ$13+'TUSD CVA'!$AJ$13)*1</f>
        <v>3.1831502675418761</v>
      </c>
      <c r="AG13" s="79">
        <f ca="1">('TUSD BE'!$AK$13+'TUSD BF'!$AK$13+'TUSD CVA'!$AK$13)*1</f>
        <v>0.38131910618192749</v>
      </c>
      <c r="AI13" s="79">
        <v>0</v>
      </c>
      <c r="AJ13" s="79">
        <v>0.40270664099445702</v>
      </c>
      <c r="AK13" s="79">
        <v>2.1991838891682001</v>
      </c>
      <c r="AL13" s="79">
        <v>0</v>
      </c>
      <c r="AM13" s="79">
        <v>0</v>
      </c>
      <c r="AN13" s="79">
        <v>0</v>
      </c>
      <c r="AO13" s="79">
        <v>0</v>
      </c>
      <c r="AP13" s="79">
        <v>0</v>
      </c>
      <c r="AQ13" s="79">
        <v>119.017284069799</v>
      </c>
      <c r="AR13" s="79">
        <v>17.668608132733599</v>
      </c>
      <c r="AS13" s="79">
        <v>4.6825504270036298</v>
      </c>
      <c r="AT13" s="79">
        <v>0</v>
      </c>
      <c r="AU13" s="79">
        <v>263.24438976123798</v>
      </c>
      <c r="AV13" s="79">
        <v>0</v>
      </c>
      <c r="AW13" s="79">
        <v>0</v>
      </c>
      <c r="AX13" s="79">
        <v>844.33760249278998</v>
      </c>
      <c r="AY13" s="79">
        <v>0</v>
      </c>
      <c r="AZ13" s="79">
        <v>0</v>
      </c>
      <c r="BA13" s="79">
        <v>12.3011755094347</v>
      </c>
      <c r="BB13" s="79">
        <v>0.42526906090667899</v>
      </c>
      <c r="BC13" s="79">
        <v>4.93062581078975</v>
      </c>
      <c r="BD13" s="79">
        <v>0.27620825698867202</v>
      </c>
    </row>
    <row r="14" spans="1:56" ht="11.25" customHeight="1" x14ac:dyDescent="0.25">
      <c r="A14" s="119"/>
      <c r="B14" s="119"/>
      <c r="C14" s="119"/>
      <c r="D14" s="119"/>
      <c r="E14" s="119"/>
      <c r="F14" s="119"/>
      <c r="G14" s="21" t="s">
        <v>82</v>
      </c>
      <c r="H14" s="21" t="s">
        <v>80</v>
      </c>
      <c r="I14" s="21">
        <f>'MERCADO TUSD'!$U$11</f>
        <v>0</v>
      </c>
      <c r="J14" s="17"/>
      <c r="L14" s="79">
        <f>('TUSD BE'!$L$14+'TUSD BF'!$L$14+'TUSD CVA'!$L$14)*1</f>
        <v>0</v>
      </c>
      <c r="M14" s="79">
        <f>('TUSD BE'!$M$14+'TUSD BF'!$M$14+'TUSD CVA'!$M$14)*1</f>
        <v>0.48664603921432653</v>
      </c>
      <c r="N14" s="79">
        <f ca="1">('TUSD BE'!$N$14+'TUSD BF'!$N$14+'TUSD CVA'!$N$14)*1</f>
        <v>1.6371377922213541</v>
      </c>
      <c r="O14" s="79">
        <f>('TUSD BE'!$O$14+'TUSD BF'!$O$14+'TUSD CVA'!$O$14)*1</f>
        <v>0</v>
      </c>
      <c r="P14" s="79">
        <f>('TUSD BE'!$P$14+'TUSD BF'!$P$14+'TUSD CVA'!$P$14)*1</f>
        <v>0</v>
      </c>
      <c r="Q14" s="79">
        <f>('TUSD BE'!$Q$14+'TUSD BF'!$Q$14+'TUSD CVA'!$Q$14)*1</f>
        <v>0</v>
      </c>
      <c r="R14" s="79">
        <f>('TUSD BE'!$R$14+'TUSD BF'!$R$14+'TUSD CVA'!$R$14)*1</f>
        <v>0</v>
      </c>
      <c r="S14" s="79">
        <f>('TUSD BE'!$S$14+'TUSD BF'!$S$14+'TUSD CVA'!$S$14)*1</f>
        <v>0</v>
      </c>
      <c r="T14" s="79">
        <f>('TUSD BE'!$U$14+'TUSD BF'!$U$14+'TUSD CVA'!$U$14)*1</f>
        <v>0</v>
      </c>
      <c r="U14" s="79">
        <f>('TUSD BE'!$V$14+'TUSD BF'!$V$14+'TUSD CVA'!$V$14)*1</f>
        <v>0</v>
      </c>
      <c r="V14" s="79">
        <f>('TUSD BE'!$W$14+'TUSD BF'!$W$14+'TUSD CVA'!$W$14)*1</f>
        <v>0</v>
      </c>
      <c r="W14" s="79">
        <f>('TUSD BE'!$X$14+'TUSD BF'!$X$14+'TUSD CVA'!$X$14)*1</f>
        <v>0</v>
      </c>
      <c r="X14" s="79">
        <f>('TUSD BE'!$Y$14+'TUSD BF'!$Y$14+'TUSD CVA'!$Y$14)*1</f>
        <v>0</v>
      </c>
      <c r="Y14" s="79">
        <f>('TUSD BE'!$Z$14+'TUSD BF'!$Z$14+'TUSD CVA'!$Z$14)*1</f>
        <v>0</v>
      </c>
      <c r="Z14" s="79">
        <f>('TUSD BE'!$AA$14+'TUSD BF'!$AA$14+'TUSD CVA'!$AA$14)*1</f>
        <v>0</v>
      </c>
      <c r="AA14" s="79">
        <f>('TUSD BE'!$AC$14+'TUSD BF'!$AC$14+'TUSD CVA'!$AC$14)*1</f>
        <v>0</v>
      </c>
      <c r="AB14" s="79">
        <f ca="1">('TUSD BE'!$AE$14+'TUSD BF'!$AE$14+'TUSD CVA'!$AE$14)*1</f>
        <v>-0.64121051385333927</v>
      </c>
      <c r="AC14" s="79">
        <f ca="1">('TUSD BE'!$AF$14+'TUSD BF'!$AF$14+'TUSD CVA'!$AF$14)*1</f>
        <v>0</v>
      </c>
      <c r="AD14" s="79">
        <f>('TUSD BE'!$AH$14+'TUSD BF'!$AH$14+'TUSD CVA'!$AH$14)*1</f>
        <v>16.63962412402557</v>
      </c>
      <c r="AE14" s="79">
        <f>('TUSD BE'!$AI$14+'TUSD BF'!$AI$14+'TUSD CVA'!$AI$14)*1</f>
        <v>0.58689456722429134</v>
      </c>
      <c r="AF14" s="79">
        <f ca="1">('TUSD BE'!$AJ$14+'TUSD BF'!$AJ$14+'TUSD CVA'!$AJ$14)*1</f>
        <v>3.1831502675418761</v>
      </c>
      <c r="AG14" s="79">
        <f ca="1">('TUSD BE'!$AK$14+'TUSD BF'!$AK$14+'TUSD CVA'!$AK$14)*1</f>
        <v>0.38131910618192749</v>
      </c>
      <c r="AI14" s="79">
        <v>0</v>
      </c>
      <c r="AJ14" s="79">
        <v>0.40270664099445702</v>
      </c>
      <c r="AK14" s="79">
        <v>1.50664805966918</v>
      </c>
      <c r="AL14" s="79">
        <v>0</v>
      </c>
      <c r="AM14" s="79">
        <v>0</v>
      </c>
      <c r="AN14" s="79">
        <v>0</v>
      </c>
      <c r="AO14" s="79">
        <v>0</v>
      </c>
      <c r="AP14" s="79">
        <v>0</v>
      </c>
      <c r="AQ14" s="79">
        <v>0</v>
      </c>
      <c r="AR14" s="79">
        <v>0</v>
      </c>
      <c r="AS14" s="79">
        <v>0</v>
      </c>
      <c r="AT14" s="79">
        <v>0</v>
      </c>
      <c r="AU14" s="79">
        <v>0</v>
      </c>
      <c r="AV14" s="79">
        <v>0</v>
      </c>
      <c r="AW14" s="79">
        <v>0</v>
      </c>
      <c r="AX14" s="79">
        <v>0</v>
      </c>
      <c r="AY14" s="79">
        <v>0</v>
      </c>
      <c r="AZ14" s="79">
        <v>0</v>
      </c>
      <c r="BA14" s="79">
        <v>12.3011755094347</v>
      </c>
      <c r="BB14" s="79">
        <v>0.42526906090667899</v>
      </c>
      <c r="BC14" s="79">
        <v>4.93062581078975</v>
      </c>
      <c r="BD14" s="79">
        <v>0.27620825698867202</v>
      </c>
    </row>
    <row r="15" spans="1:56" ht="11.25" customHeight="1" x14ac:dyDescent="0.25">
      <c r="A15" s="119" t="s">
        <v>88</v>
      </c>
      <c r="B15" s="119" t="s">
        <v>59</v>
      </c>
      <c r="C15" s="119" t="s">
        <v>25</v>
      </c>
      <c r="D15" s="119" t="s">
        <v>25</v>
      </c>
      <c r="E15" s="81" t="s">
        <v>89</v>
      </c>
      <c r="F15" s="81" t="s">
        <v>25</v>
      </c>
      <c r="G15" s="21" t="s">
        <v>9</v>
      </c>
      <c r="H15" s="21" t="s">
        <v>83</v>
      </c>
      <c r="I15" s="21">
        <f>'MERCADO TUSD'!$U$12+0.00000001</f>
        <v>1E-8</v>
      </c>
      <c r="J15" s="17"/>
      <c r="L15" s="79">
        <f>('TUSD BE'!$L$15+'TUSD BF'!$L$15+'TUSD CVA'!$L$15)*1</f>
        <v>0</v>
      </c>
      <c r="M15" s="79">
        <f>('TUSD BE'!$M$15+'TUSD BF'!$M$15+'TUSD CVA'!$M$15)*1</f>
        <v>6.4896096269788008E-3</v>
      </c>
      <c r="N15" s="79">
        <f ca="1">('TUSD BE'!$N$15+'TUSD BF'!$N$15+'TUSD CVA'!$N$15)*1</f>
        <v>9.599827947600597E-4</v>
      </c>
      <c r="O15" s="79">
        <f>('TUSD BE'!$O$15+'TUSD BF'!$O$15+'TUSD CVA'!$O$15)*1</f>
        <v>0</v>
      </c>
      <c r="P15" s="79">
        <f>('TUSD BE'!$P$15+'TUSD BF'!$P$15+'TUSD CVA'!$P$15)*1</f>
        <v>0</v>
      </c>
      <c r="Q15" s="79">
        <f>('TUSD BE'!$Q$15+'TUSD BF'!$Q$15+'TUSD CVA'!$Q$15)*1</f>
        <v>0</v>
      </c>
      <c r="R15" s="79">
        <f>('TUSD BE'!$R$15+'TUSD BF'!$R$15+'TUSD CVA'!$R$15)*1</f>
        <v>0</v>
      </c>
      <c r="S15" s="79">
        <f>('TUSD BE'!$S$15+'TUSD BF'!$S$15+'TUSD CVA'!$S$15)*1</f>
        <v>0</v>
      </c>
      <c r="T15" s="79">
        <f>('TUSD BE'!$U$15+'TUSD BF'!$U$15+'TUSD CVA'!$U$15)*1</f>
        <v>0</v>
      </c>
      <c r="U15" s="79">
        <f>('TUSD BE'!$V$15+'TUSD BF'!$V$15+'TUSD CVA'!$V$15)*1</f>
        <v>0</v>
      </c>
      <c r="V15" s="79">
        <f>('TUSD BE'!$W$15+'TUSD BF'!$W$15+'TUSD CVA'!$W$15)*1</f>
        <v>0</v>
      </c>
      <c r="W15" s="79">
        <f>('TUSD BE'!$X$15+'TUSD BF'!$X$15+'TUSD CVA'!$X$15)*1</f>
        <v>0</v>
      </c>
      <c r="X15" s="79">
        <f>('TUSD BE'!$Y$15+'TUSD BF'!$Y$15+'TUSD CVA'!$Y$15)*1</f>
        <v>0</v>
      </c>
      <c r="Y15" s="79">
        <f>('TUSD BE'!$Z$15+'TUSD BF'!$Z$15+'TUSD CVA'!$Z$15)*1</f>
        <v>0</v>
      </c>
      <c r="Z15" s="79">
        <f>('TUSD BE'!$AA$15+'TUSD BF'!$AA$15+'TUSD CVA'!$AA$15)*1</f>
        <v>0</v>
      </c>
      <c r="AA15" s="79">
        <f>('TUSD BE'!$AC$15+'TUSD BF'!$AC$15+'TUSD CVA'!$AC$15)*1</f>
        <v>1.7447978121862251</v>
      </c>
      <c r="AB15" s="79">
        <f ca="1">('TUSD BE'!$AE$15+'TUSD BF'!$AE$15+'TUSD CVA'!$AE$15)*1</f>
        <v>-5.1699371505740908E-2</v>
      </c>
      <c r="AC15" s="79">
        <f ca="1">('TUSD BE'!$AF$15+'TUSD BF'!$AF$15+'TUSD CVA'!$AF$15)*1</f>
        <v>0</v>
      </c>
      <c r="AD15" s="79">
        <f>('TUSD BE'!$AH$15+'TUSD BF'!$AH$15+'TUSD CVA'!$AH$15)*1</f>
        <v>0</v>
      </c>
      <c r="AE15" s="79">
        <f>('TUSD BE'!$AI$15+'TUSD BF'!$AI$15+'TUSD CVA'!$AI$15)*1</f>
        <v>0</v>
      </c>
      <c r="AF15" s="79">
        <f ca="1">('TUSD BE'!$AJ$15+'TUSD BF'!$AJ$15+'TUSD CVA'!$AJ$15)*1</f>
        <v>0</v>
      </c>
      <c r="AG15" s="79">
        <f ca="1">('TUSD BE'!$AK$15+'TUSD BF'!$AK$15+'TUSD CVA'!$AK$15)*1</f>
        <v>0</v>
      </c>
      <c r="AI15" s="79">
        <v>0</v>
      </c>
      <c r="AJ15" s="79">
        <v>5.7220937676782701E-3</v>
      </c>
      <c r="AK15" s="79">
        <v>8.8264671934720903E-4</v>
      </c>
      <c r="AL15" s="79">
        <v>0</v>
      </c>
      <c r="AM15" s="79">
        <v>0</v>
      </c>
      <c r="AN15" s="79">
        <v>0</v>
      </c>
      <c r="AO15" s="79">
        <v>0</v>
      </c>
      <c r="AP15" s="79">
        <v>0</v>
      </c>
      <c r="AQ15" s="79">
        <v>0</v>
      </c>
      <c r="AR15" s="79">
        <v>0</v>
      </c>
      <c r="AS15" s="79">
        <v>0</v>
      </c>
      <c r="AT15" s="79">
        <v>0</v>
      </c>
      <c r="AU15" s="79">
        <v>0</v>
      </c>
      <c r="AV15" s="79">
        <v>0</v>
      </c>
      <c r="AW15" s="79">
        <v>0</v>
      </c>
      <c r="AX15" s="79">
        <v>1.59737168045608</v>
      </c>
      <c r="AY15" s="79">
        <v>0</v>
      </c>
      <c r="AZ15" s="79">
        <v>0</v>
      </c>
      <c r="BA15" s="79">
        <v>0</v>
      </c>
      <c r="BB15" s="79">
        <v>0</v>
      </c>
      <c r="BC15" s="79">
        <v>0</v>
      </c>
      <c r="BD15" s="79">
        <v>0</v>
      </c>
    </row>
    <row r="16" spans="1:56" ht="11.25" customHeight="1" x14ac:dyDescent="0.25">
      <c r="A16" s="119"/>
      <c r="B16" s="119"/>
      <c r="C16" s="119"/>
      <c r="D16" s="119"/>
      <c r="E16" s="81" t="s">
        <v>90</v>
      </c>
      <c r="F16" s="81" t="s">
        <v>25</v>
      </c>
      <c r="G16" s="21" t="s">
        <v>9</v>
      </c>
      <c r="H16" s="21" t="s">
        <v>83</v>
      </c>
      <c r="I16" s="21">
        <f>'MERCADO TUSD'!$U$13+0.00000001</f>
        <v>1E-8</v>
      </c>
      <c r="J16" s="17"/>
      <c r="L16" s="79">
        <f>('TUSD BE'!$L$16+'TUSD BF'!$L$16+'TUSD CVA'!$L$16)*1</f>
        <v>0</v>
      </c>
      <c r="M16" s="79">
        <f>('TUSD BE'!$M$16+'TUSD BF'!$M$16+'TUSD CVA'!$M$16)*1</f>
        <v>6.4896096269788008E-3</v>
      </c>
      <c r="N16" s="79">
        <f ca="1">('TUSD BE'!$N$16+'TUSD BF'!$N$16+'TUSD CVA'!$N$16)*1</f>
        <v>9.599827947600597E-4</v>
      </c>
      <c r="O16" s="79">
        <f>('TUSD BE'!$O$16+'TUSD BF'!$O$16+'TUSD CVA'!$O$16)*1</f>
        <v>0</v>
      </c>
      <c r="P16" s="79">
        <f>('TUSD BE'!$P$16+'TUSD BF'!$P$16+'TUSD CVA'!$P$16)*1</f>
        <v>0</v>
      </c>
      <c r="Q16" s="79">
        <f>('TUSD BE'!$Q$16+'TUSD BF'!$Q$16+'TUSD CVA'!$Q$16)*1</f>
        <v>0</v>
      </c>
      <c r="R16" s="79">
        <f>('TUSD BE'!$R$16+'TUSD BF'!$R$16+'TUSD CVA'!$R$16)*1</f>
        <v>0</v>
      </c>
      <c r="S16" s="79">
        <f>('TUSD BE'!$S$16+'TUSD BF'!$S$16+'TUSD CVA'!$S$16)*1</f>
        <v>0</v>
      </c>
      <c r="T16" s="79">
        <f>('TUSD BE'!$U$16+'TUSD BF'!$U$16+'TUSD CVA'!$U$16)*1</f>
        <v>0</v>
      </c>
      <c r="U16" s="79">
        <f>('TUSD BE'!$V$16+'TUSD BF'!$V$16+'TUSD CVA'!$V$16)*1</f>
        <v>0</v>
      </c>
      <c r="V16" s="79">
        <f>('TUSD BE'!$W$16+'TUSD BF'!$W$16+'TUSD CVA'!$W$16)*1</f>
        <v>0</v>
      </c>
      <c r="W16" s="79">
        <f>('TUSD BE'!$X$16+'TUSD BF'!$X$16+'TUSD CVA'!$X$16)*1</f>
        <v>0</v>
      </c>
      <c r="X16" s="79">
        <f>('TUSD BE'!$Y$16+'TUSD BF'!$Y$16+'TUSD CVA'!$Y$16)*1</f>
        <v>0</v>
      </c>
      <c r="Y16" s="79">
        <f>('TUSD BE'!$Z$16+'TUSD BF'!$Z$16+'TUSD CVA'!$Z$16)*1</f>
        <v>0</v>
      </c>
      <c r="Z16" s="79">
        <f>('TUSD BE'!$AA$16+'TUSD BF'!$AA$16+'TUSD CVA'!$AA$16)*1</f>
        <v>0</v>
      </c>
      <c r="AA16" s="79">
        <f>('TUSD BE'!$AC$16+'TUSD BF'!$AC$16+'TUSD CVA'!$AC$16)*1</f>
        <v>15.66670905905298</v>
      </c>
      <c r="AB16" s="79">
        <f ca="1">('TUSD BE'!$AE$16+'TUSD BF'!$AE$16+'TUSD CVA'!$AE$16)*1</f>
        <v>-0.46245915150792338</v>
      </c>
      <c r="AC16" s="79">
        <f ca="1">('TUSD BE'!$AF$16+'TUSD BF'!$AF$16+'TUSD CVA'!$AF$16)*1</f>
        <v>0</v>
      </c>
      <c r="AD16" s="79">
        <f>('TUSD BE'!$AH$16+'TUSD BF'!$AH$16+'TUSD CVA'!$AH$16)*1</f>
        <v>0</v>
      </c>
      <c r="AE16" s="79">
        <f>('TUSD BE'!$AI$16+'TUSD BF'!$AI$16+'TUSD CVA'!$AI$16)*1</f>
        <v>0</v>
      </c>
      <c r="AF16" s="79">
        <f ca="1">('TUSD BE'!$AJ$16+'TUSD BF'!$AJ$16+'TUSD CVA'!$AJ$16)*1</f>
        <v>0</v>
      </c>
      <c r="AG16" s="79">
        <f ca="1">('TUSD BE'!$AK$16+'TUSD BF'!$AK$16+'TUSD CVA'!$AK$16)*1</f>
        <v>0</v>
      </c>
      <c r="AI16" s="79">
        <v>0</v>
      </c>
      <c r="AJ16" s="79">
        <v>5.7220937676782701E-3</v>
      </c>
      <c r="AK16" s="79">
        <v>8.8264671934720903E-4</v>
      </c>
      <c r="AL16" s="79">
        <v>0</v>
      </c>
      <c r="AM16" s="79">
        <v>0</v>
      </c>
      <c r="AN16" s="79">
        <v>0</v>
      </c>
      <c r="AO16" s="79">
        <v>0</v>
      </c>
      <c r="AP16" s="79">
        <v>0</v>
      </c>
      <c r="AQ16" s="79">
        <v>0</v>
      </c>
      <c r="AR16" s="79">
        <v>0</v>
      </c>
      <c r="AS16" s="79">
        <v>0</v>
      </c>
      <c r="AT16" s="79">
        <v>0</v>
      </c>
      <c r="AU16" s="79">
        <v>0</v>
      </c>
      <c r="AV16" s="79">
        <v>0</v>
      </c>
      <c r="AW16" s="79">
        <v>0</v>
      </c>
      <c r="AX16" s="79">
        <v>14.342955500109801</v>
      </c>
      <c r="AY16" s="79">
        <v>0</v>
      </c>
      <c r="AZ16" s="79">
        <v>0</v>
      </c>
      <c r="BA16" s="79">
        <v>0</v>
      </c>
      <c r="BB16" s="79">
        <v>0</v>
      </c>
      <c r="BC16" s="79">
        <v>0</v>
      </c>
      <c r="BD16" s="79">
        <v>0</v>
      </c>
    </row>
    <row r="17" spans="1:56" ht="11.25" customHeight="1" x14ac:dyDescent="0.25">
      <c r="A17" s="119" t="s">
        <v>22</v>
      </c>
      <c r="B17" s="119" t="s">
        <v>33</v>
      </c>
      <c r="C17" s="119" t="s">
        <v>24</v>
      </c>
      <c r="D17" s="119" t="s">
        <v>24</v>
      </c>
      <c r="E17" s="119" t="s">
        <v>25</v>
      </c>
      <c r="F17" s="119" t="s">
        <v>25</v>
      </c>
      <c r="G17" s="21" t="s">
        <v>81</v>
      </c>
      <c r="H17" s="21" t="s">
        <v>80</v>
      </c>
      <c r="I17" s="21">
        <f>'MERCADO TUSD'!$U$14</f>
        <v>17.608000000000004</v>
      </c>
      <c r="J17" s="17"/>
      <c r="L17" s="79">
        <f>('TUSD BE'!$L$17+'TUSD BF'!$L$17+'TUSD CVA'!$L$17)*1</f>
        <v>7.1692357894316459</v>
      </c>
      <c r="M17" s="79">
        <f>('TUSD BE'!$M$17+'TUSD BF'!$M$17+'TUSD CVA'!$M$17)*1</f>
        <v>0.74078524590952821</v>
      </c>
      <c r="N17" s="79">
        <f ca="1">('TUSD BE'!$N$17+'TUSD BF'!$N$17+'TUSD CVA'!$N$17)*1</f>
        <v>3.5042827764753826</v>
      </c>
      <c r="O17" s="79">
        <f>('TUSD BE'!$O$17+'TUSD BF'!$O$17+'TUSD CVA'!$O$17)*1</f>
        <v>0</v>
      </c>
      <c r="P17" s="79">
        <f>('TUSD BE'!$P$17+'TUSD BF'!$P$17+'TUSD CVA'!$P$17)*1</f>
        <v>0</v>
      </c>
      <c r="Q17" s="79">
        <f>('TUSD BE'!$Q$17+'TUSD BF'!$Q$17+'TUSD CVA'!$Q$17)*1</f>
        <v>121.97641248589352</v>
      </c>
      <c r="R17" s="79">
        <f>('TUSD BE'!$R$17+'TUSD BF'!$R$17+'TUSD CVA'!$R$17)*1</f>
        <v>20.175502292736393</v>
      </c>
      <c r="S17" s="79">
        <f>('TUSD BE'!$S$17+'TUSD BF'!$S$17+'TUSD CVA'!$S$17)*1</f>
        <v>0</v>
      </c>
      <c r="T17" s="79">
        <f>('TUSD BE'!$U$17+'TUSD BF'!$U$17+'TUSD CVA'!$U$17)*1</f>
        <v>88.721652943828786</v>
      </c>
      <c r="U17" s="79">
        <f>('TUSD BE'!$V$17+'TUSD BF'!$V$17+'TUSD CVA'!$V$17)*1</f>
        <v>11.692813137204215</v>
      </c>
      <c r="V17" s="79">
        <f>('TUSD BE'!$W$17+'TUSD BF'!$W$17+'TUSD CVA'!$W$17)*1</f>
        <v>3.5620355225282361</v>
      </c>
      <c r="W17" s="79">
        <f>('TUSD BE'!$X$17+'TUSD BF'!$X$17+'TUSD CVA'!$X$17)*1</f>
        <v>0</v>
      </c>
      <c r="X17" s="79">
        <f>('TUSD BE'!$Y$17+'TUSD BF'!$Y$17+'TUSD CVA'!$Y$17)*1</f>
        <v>130.72573456002542</v>
      </c>
      <c r="Y17" s="79">
        <f>('TUSD BE'!$Z$17+'TUSD BF'!$Z$17+'TUSD CVA'!$Z$17)*1</f>
        <v>0</v>
      </c>
      <c r="Z17" s="79">
        <f>('TUSD BE'!$AA$17+'TUSD BF'!$AA$17+'TUSD CVA'!$AA$17)*1</f>
        <v>0</v>
      </c>
      <c r="AA17" s="79">
        <f>('TUSD BE'!$AC$17+'TUSD BF'!$AC$17+'TUSD CVA'!$AC$17)*1</f>
        <v>573.16404901963108</v>
      </c>
      <c r="AB17" s="79">
        <f ca="1">('TUSD BE'!$AE$17+'TUSD BF'!$AE$17+'TUSD CVA'!$AE$17)*1</f>
        <v>-28.047597479613888</v>
      </c>
      <c r="AC17" s="79">
        <f ca="1">('TUSD BE'!$AF$17+'TUSD BF'!$AF$17+'TUSD CVA'!$AF$17)*1</f>
        <v>0</v>
      </c>
      <c r="AD17" s="79">
        <f>('TUSD BE'!$AH$17+'TUSD BF'!$AH$17+'TUSD CVA'!$AH$17)*1</f>
        <v>31.27648584373458</v>
      </c>
      <c r="AE17" s="79">
        <f>('TUSD BE'!$AI$17+'TUSD BF'!$AI$17+'TUSD CVA'!$AI$17)*1</f>
        <v>1.1031498960996045</v>
      </c>
      <c r="AF17" s="79">
        <f ca="1">('TUSD BE'!$AJ$17+'TUSD BF'!$AJ$17+'TUSD CVA'!$AJ$17)*1</f>
        <v>4.1967072797042011</v>
      </c>
      <c r="AG17" s="79">
        <f ca="1">('TUSD BE'!$AK$17+'TUSD BF'!$AK$17+'TUSD CVA'!$AK$17)*1</f>
        <v>0.50273613694014574</v>
      </c>
      <c r="AI17" s="79">
        <v>6.3487529458746002</v>
      </c>
      <c r="AJ17" s="79">
        <v>0.61338971648968299</v>
      </c>
      <c r="AK17" s="79">
        <v>3.2239039950542501</v>
      </c>
      <c r="AL17" s="79">
        <v>0</v>
      </c>
      <c r="AM17" s="79">
        <v>0</v>
      </c>
      <c r="AN17" s="79">
        <v>49.1567627428539</v>
      </c>
      <c r="AO17" s="79">
        <v>8.6131800263507792</v>
      </c>
      <c r="AP17" s="79">
        <v>0</v>
      </c>
      <c r="AQ17" s="79">
        <v>67.501011513913994</v>
      </c>
      <c r="AR17" s="79">
        <v>10.318136071381399</v>
      </c>
      <c r="AS17" s="79">
        <v>2.6884184707063001</v>
      </c>
      <c r="AT17" s="79">
        <v>0</v>
      </c>
      <c r="AU17" s="79">
        <v>107.636754908971</v>
      </c>
      <c r="AV17" s="79">
        <v>0</v>
      </c>
      <c r="AW17" s="79">
        <v>0</v>
      </c>
      <c r="AX17" s="79">
        <v>524.73473646342495</v>
      </c>
      <c r="AY17" s="79">
        <v>0</v>
      </c>
      <c r="AZ17" s="79">
        <v>0</v>
      </c>
      <c r="BA17" s="79">
        <v>23.121768786027701</v>
      </c>
      <c r="BB17" s="79">
        <v>0.799352296908027</v>
      </c>
      <c r="BC17" s="79">
        <v>6.5908313251906403</v>
      </c>
      <c r="BD17" s="79">
        <v>0.369211151341793</v>
      </c>
    </row>
    <row r="18" spans="1:56" ht="11.25" customHeight="1" x14ac:dyDescent="0.25">
      <c r="A18" s="119"/>
      <c r="B18" s="119"/>
      <c r="C18" s="119"/>
      <c r="D18" s="119"/>
      <c r="E18" s="119"/>
      <c r="F18" s="119"/>
      <c r="G18" s="21" t="s">
        <v>91</v>
      </c>
      <c r="H18" s="21" t="s">
        <v>80</v>
      </c>
      <c r="I18" s="21">
        <f>'MERCADO TUSD'!$U$15</f>
        <v>7.3439999999999994</v>
      </c>
      <c r="J18" s="17"/>
      <c r="L18" s="79">
        <f>('TUSD BE'!$L$18+'TUSD BF'!$L$18+'TUSD CVA'!$L$18)*1</f>
        <v>7.1692357894316459</v>
      </c>
      <c r="M18" s="79">
        <f>('TUSD BE'!$M$18+'TUSD BF'!$M$18+'TUSD CVA'!$M$18)*1</f>
        <v>0.74078524590952821</v>
      </c>
      <c r="N18" s="79">
        <f ca="1">('TUSD BE'!$N$18+'TUSD BF'!$N$18+'TUSD CVA'!$N$18)*1</f>
        <v>3.3326476941053369</v>
      </c>
      <c r="O18" s="79">
        <f>('TUSD BE'!$O$18+'TUSD BF'!$O$18+'TUSD CVA'!$O$18)*1</f>
        <v>0</v>
      </c>
      <c r="P18" s="79">
        <f>('TUSD BE'!$P$18+'TUSD BF'!$P$18+'TUSD CVA'!$P$18)*1</f>
        <v>0</v>
      </c>
      <c r="Q18" s="79">
        <f>('TUSD BE'!$Q$18+'TUSD BF'!$Q$18+'TUSD CVA'!$Q$18)*1</f>
        <v>121.97641248589352</v>
      </c>
      <c r="R18" s="79">
        <f>('TUSD BE'!$R$18+'TUSD BF'!$R$18+'TUSD CVA'!$R$18)*1</f>
        <v>20.175502292736393</v>
      </c>
      <c r="S18" s="79">
        <f>('TUSD BE'!$S$18+'TUSD BF'!$S$18+'TUSD CVA'!$S$18)*1</f>
        <v>0</v>
      </c>
      <c r="T18" s="79">
        <f>('TUSD BE'!$U$18+'TUSD BF'!$U$18+'TUSD CVA'!$U$18)*1</f>
        <v>53.232910976946719</v>
      </c>
      <c r="U18" s="79">
        <f>('TUSD BE'!$V$18+'TUSD BF'!$V$18+'TUSD CVA'!$V$18)*1</f>
        <v>7.0156391566846441</v>
      </c>
      <c r="V18" s="79">
        <f>('TUSD BE'!$W$18+'TUSD BF'!$W$18+'TUSD CVA'!$W$18)*1</f>
        <v>2.1371486708020946</v>
      </c>
      <c r="W18" s="79">
        <f>('TUSD BE'!$X$18+'TUSD BF'!$X$18+'TUSD CVA'!$X$18)*1</f>
        <v>0</v>
      </c>
      <c r="X18" s="79">
        <f>('TUSD BE'!$Y$18+'TUSD BF'!$Y$18+'TUSD CVA'!$Y$18)*1</f>
        <v>78.435393415296048</v>
      </c>
      <c r="Y18" s="79">
        <f>('TUSD BE'!$Z$18+'TUSD BF'!$Z$18+'TUSD CVA'!$Z$18)*1</f>
        <v>0</v>
      </c>
      <c r="Z18" s="79">
        <f>('TUSD BE'!$AA$18+'TUSD BF'!$AA$18+'TUSD CVA'!$AA$18)*1</f>
        <v>0</v>
      </c>
      <c r="AA18" s="79">
        <f>('TUSD BE'!$AC$18+'TUSD BF'!$AC$18+'TUSD CVA'!$AC$18)*1</f>
        <v>343.89840744114576</v>
      </c>
      <c r="AB18" s="79">
        <f ca="1">('TUSD BE'!$AE$18+'TUSD BF'!$AE$18+'TUSD CVA'!$AE$18)*1</f>
        <v>-18.651655888364658</v>
      </c>
      <c r="AC18" s="79">
        <f ca="1">('TUSD BE'!$AF$18+'TUSD BF'!$AF$18+'TUSD CVA'!$AF$18)*1</f>
        <v>0</v>
      </c>
      <c r="AD18" s="79">
        <f>('TUSD BE'!$AH$18+'TUSD BF'!$AH$18+'TUSD CVA'!$AH$18)*1</f>
        <v>31.27648584373458</v>
      </c>
      <c r="AE18" s="79">
        <f>('TUSD BE'!$AI$18+'TUSD BF'!$AI$18+'TUSD CVA'!$AI$18)*1</f>
        <v>1.1031498960996045</v>
      </c>
      <c r="AF18" s="79">
        <f ca="1">('TUSD BE'!$AJ$18+'TUSD BF'!$AJ$18+'TUSD CVA'!$AJ$18)*1</f>
        <v>4.1967072797042011</v>
      </c>
      <c r="AG18" s="79">
        <f ca="1">('TUSD BE'!$AK$18+'TUSD BF'!$AK$18+'TUSD CVA'!$AK$18)*1</f>
        <v>0.50273613694014574</v>
      </c>
      <c r="AI18" s="79">
        <v>6.3487529458746002</v>
      </c>
      <c r="AJ18" s="79">
        <v>0.61338971648968299</v>
      </c>
      <c r="AK18" s="79">
        <v>3.06609581015165</v>
      </c>
      <c r="AL18" s="79">
        <v>0</v>
      </c>
      <c r="AM18" s="79">
        <v>0</v>
      </c>
      <c r="AN18" s="79">
        <v>49.1567627428539</v>
      </c>
      <c r="AO18" s="79">
        <v>8.6131800263507792</v>
      </c>
      <c r="AP18" s="79">
        <v>0</v>
      </c>
      <c r="AQ18" s="79">
        <v>40.5005454423736</v>
      </c>
      <c r="AR18" s="79">
        <v>6.1908386456684603</v>
      </c>
      <c r="AS18" s="79">
        <v>1.6129962559025099</v>
      </c>
      <c r="AT18" s="79">
        <v>0</v>
      </c>
      <c r="AU18" s="79">
        <v>64.582013982521602</v>
      </c>
      <c r="AV18" s="79">
        <v>0</v>
      </c>
      <c r="AW18" s="79">
        <v>0</v>
      </c>
      <c r="AX18" s="79">
        <v>314.84082176382401</v>
      </c>
      <c r="AY18" s="79">
        <v>0</v>
      </c>
      <c r="AZ18" s="79">
        <v>0</v>
      </c>
      <c r="BA18" s="79">
        <v>23.121768786027701</v>
      </c>
      <c r="BB18" s="79">
        <v>0.799352296908027</v>
      </c>
      <c r="BC18" s="79">
        <v>6.5908313251906403</v>
      </c>
      <c r="BD18" s="79">
        <v>0.369211151341793</v>
      </c>
    </row>
    <row r="19" spans="1:56" ht="11.25" customHeight="1" x14ac:dyDescent="0.25">
      <c r="A19" s="119"/>
      <c r="B19" s="119"/>
      <c r="C19" s="119"/>
      <c r="D19" s="119"/>
      <c r="E19" s="119"/>
      <c r="F19" s="119"/>
      <c r="G19" s="21" t="s">
        <v>82</v>
      </c>
      <c r="H19" s="21" t="s">
        <v>80</v>
      </c>
      <c r="I19" s="21">
        <f>'MERCADO TUSD'!$U$16</f>
        <v>120.18199999999999</v>
      </c>
      <c r="J19" s="17"/>
      <c r="L19" s="79">
        <f>('TUSD BE'!$L$19+'TUSD BF'!$L$19+'TUSD CVA'!$L$19)*1</f>
        <v>7.1692357894316459</v>
      </c>
      <c r="M19" s="79">
        <f>('TUSD BE'!$M$19+'TUSD BF'!$M$19+'TUSD CVA'!$M$19)*1</f>
        <v>0.74078524590952821</v>
      </c>
      <c r="N19" s="79">
        <f ca="1">('TUSD BE'!$N$19+'TUSD BF'!$N$19+'TUSD CVA'!$N$19)*1</f>
        <v>3.1610128532403969</v>
      </c>
      <c r="O19" s="79">
        <f>('TUSD BE'!$O$19+'TUSD BF'!$O$19+'TUSD CVA'!$O$19)*1</f>
        <v>0</v>
      </c>
      <c r="P19" s="79">
        <f>('TUSD BE'!$P$19+'TUSD BF'!$P$19+'TUSD CVA'!$P$19)*1</f>
        <v>0</v>
      </c>
      <c r="Q19" s="79">
        <f>('TUSD BE'!$Q$19+'TUSD BF'!$Q$19+'TUSD CVA'!$Q$19)*1</f>
        <v>121.97641248589352</v>
      </c>
      <c r="R19" s="79">
        <f>('TUSD BE'!$R$19+'TUSD BF'!$R$19+'TUSD CVA'!$R$19)*1</f>
        <v>20.175502292736393</v>
      </c>
      <c r="S19" s="79">
        <f>('TUSD BE'!$S$19+'TUSD BF'!$S$19+'TUSD CVA'!$S$19)*1</f>
        <v>0</v>
      </c>
      <c r="T19" s="79">
        <f>('TUSD BE'!$U$19+'TUSD BF'!$U$19+'TUSD CVA'!$U$19)*1</f>
        <v>17.74430365898224</v>
      </c>
      <c r="U19" s="79">
        <f>('TUSD BE'!$V$19+'TUSD BF'!$V$19+'TUSD CVA'!$V$19)*1</f>
        <v>2.3385869902597851</v>
      </c>
      <c r="V19" s="79">
        <f>('TUSD BE'!$W$19+'TUSD BF'!$W$19+'TUSD CVA'!$W$19)*1</f>
        <v>0.7123828902673649</v>
      </c>
      <c r="W19" s="79">
        <f>('TUSD BE'!$X$19+'TUSD BF'!$X$19+'TUSD CVA'!$X$19)*1</f>
        <v>0</v>
      </c>
      <c r="X19" s="79">
        <f>('TUSD BE'!$Y$19+'TUSD BF'!$Y$19+'TUSD CVA'!$Y$19)*1</f>
        <v>26.145170572364695</v>
      </c>
      <c r="Y19" s="79">
        <f>('TUSD BE'!$Z$19+'TUSD BF'!$Z$19+'TUSD CVA'!$Z$19)*1</f>
        <v>0</v>
      </c>
      <c r="Z19" s="79">
        <f>('TUSD BE'!$AA$19+'TUSD BF'!$AA$19+'TUSD CVA'!$AA$19)*1</f>
        <v>0</v>
      </c>
      <c r="AA19" s="79">
        <f>('TUSD BE'!$AC$19+'TUSD BF'!$AC$19+'TUSD CVA'!$AC$19)*1</f>
        <v>114.63276586266042</v>
      </c>
      <c r="AB19" s="79">
        <f ca="1">('TUSD BE'!$AE$19+'TUSD BF'!$AE$19+'TUSD CVA'!$AE$19)*1</f>
        <v>-9.2557280624764235</v>
      </c>
      <c r="AC19" s="79">
        <f ca="1">('TUSD BE'!$AF$19+'TUSD BF'!$AF$19+'TUSD CVA'!$AF$19)*1</f>
        <v>0</v>
      </c>
      <c r="AD19" s="79">
        <f>('TUSD BE'!$AH$19+'TUSD BF'!$AH$19+'TUSD CVA'!$AH$19)*1</f>
        <v>31.27648584373458</v>
      </c>
      <c r="AE19" s="79">
        <f>('TUSD BE'!$AI$19+'TUSD BF'!$AI$19+'TUSD CVA'!$AI$19)*1</f>
        <v>1.1031498960996045</v>
      </c>
      <c r="AF19" s="79">
        <f ca="1">('TUSD BE'!$AJ$19+'TUSD BF'!$AJ$19+'TUSD CVA'!$AJ$19)*1</f>
        <v>4.1967072797042011</v>
      </c>
      <c r="AG19" s="79">
        <f ca="1">('TUSD BE'!$AK$19+'TUSD BF'!$AK$19+'TUSD CVA'!$AK$19)*1</f>
        <v>0.50273613694014574</v>
      </c>
      <c r="AI19" s="79">
        <v>6.3487529458746002</v>
      </c>
      <c r="AJ19" s="79">
        <v>0.61338971648968299</v>
      </c>
      <c r="AK19" s="79">
        <v>2.9082878472985398</v>
      </c>
      <c r="AL19" s="79">
        <v>0</v>
      </c>
      <c r="AM19" s="79">
        <v>0</v>
      </c>
      <c r="AN19" s="79">
        <v>49.1567627428539</v>
      </c>
      <c r="AO19" s="79">
        <v>8.6131800263507792</v>
      </c>
      <c r="AP19" s="79">
        <v>0</v>
      </c>
      <c r="AQ19" s="79">
        <v>13.500181814124501</v>
      </c>
      <c r="AR19" s="79">
        <v>2.0636487128564802</v>
      </c>
      <c r="AS19" s="79">
        <v>0.53766541863416895</v>
      </c>
      <c r="AT19" s="79">
        <v>0</v>
      </c>
      <c r="AU19" s="79">
        <v>21.527370463224901</v>
      </c>
      <c r="AV19" s="79">
        <v>0</v>
      </c>
      <c r="AW19" s="79">
        <v>0</v>
      </c>
      <c r="AX19" s="79">
        <v>104.946907064222</v>
      </c>
      <c r="AY19" s="79">
        <v>0</v>
      </c>
      <c r="AZ19" s="79">
        <v>0</v>
      </c>
      <c r="BA19" s="79">
        <v>23.121768786027701</v>
      </c>
      <c r="BB19" s="79">
        <v>0.799352296908027</v>
      </c>
      <c r="BC19" s="79">
        <v>6.5908313251906403</v>
      </c>
      <c r="BD19" s="79">
        <v>0.369211151341793</v>
      </c>
    </row>
    <row r="20" spans="1:56" ht="11.25" customHeight="1" x14ac:dyDescent="0.25">
      <c r="A20" s="119"/>
      <c r="B20" s="119" t="s">
        <v>23</v>
      </c>
      <c r="C20" s="119" t="s">
        <v>24</v>
      </c>
      <c r="D20" s="81" t="s">
        <v>24</v>
      </c>
      <c r="E20" s="81" t="s">
        <v>25</v>
      </c>
      <c r="F20" s="81" t="s">
        <v>25</v>
      </c>
      <c r="G20" s="21" t="s">
        <v>86</v>
      </c>
      <c r="H20" s="21" t="s">
        <v>80</v>
      </c>
      <c r="I20" s="21">
        <f>'MERCADO TUSD'!$U$17</f>
        <v>125132.74900000001</v>
      </c>
      <c r="J20" s="17"/>
      <c r="L20" s="79">
        <f>('TUSD BE'!$L$20+'TUSD BF'!$L$20+'TUSD CVA'!$L$20)*1</f>
        <v>7.1692357894316459</v>
      </c>
      <c r="M20" s="79">
        <f>('TUSD BE'!$M$20+'TUSD BF'!$M$20+'TUSD CVA'!$M$20)*1</f>
        <v>0.74078524590952821</v>
      </c>
      <c r="N20" s="79">
        <f ca="1">('TUSD BE'!$N$20+'TUSD BF'!$N$20+'TUSD CVA'!$N$20)*1</f>
        <v>3.2114136405010396</v>
      </c>
      <c r="O20" s="79">
        <f>('TUSD BE'!$O$20+'TUSD BF'!$O$20+'TUSD CVA'!$O$20)*1</f>
        <v>0</v>
      </c>
      <c r="P20" s="79">
        <f>('TUSD BE'!$P$20+'TUSD BF'!$P$20+'TUSD CVA'!$P$20)*1</f>
        <v>0</v>
      </c>
      <c r="Q20" s="79">
        <f>('TUSD BE'!$Q$20+'TUSD BF'!$Q$20+'TUSD CVA'!$Q$20)*1</f>
        <v>121.97641248589352</v>
      </c>
      <c r="R20" s="79">
        <f>('TUSD BE'!$R$20+'TUSD BF'!$R$20+'TUSD CVA'!$R$20)*1</f>
        <v>20.175502292736393</v>
      </c>
      <c r="S20" s="79">
        <f>('TUSD BE'!$S$20+'TUSD BF'!$S$20+'TUSD CVA'!$S$20)*1</f>
        <v>0</v>
      </c>
      <c r="T20" s="79">
        <f>('TUSD BE'!$U$20+'TUSD BF'!$U$20+'TUSD CVA'!$U$20)*1</f>
        <v>28.165591285445561</v>
      </c>
      <c r="U20" s="79">
        <f>('TUSD BE'!$V$20+'TUSD BF'!$V$20+'TUSD CVA'!$V$20)*1</f>
        <v>3.71204090812514</v>
      </c>
      <c r="V20" s="79">
        <f>('TUSD BE'!$W$20+'TUSD BF'!$W$20+'TUSD CVA'!$W$20)*1</f>
        <v>1.1308049277867418</v>
      </c>
      <c r="W20" s="79">
        <f>('TUSD BE'!$X$20+'TUSD BF'!$X$20+'TUSD CVA'!$X$20)*1</f>
        <v>0</v>
      </c>
      <c r="X20" s="79">
        <f>('TUSD BE'!$Y$20+'TUSD BF'!$Y$20+'TUSD CVA'!$Y$20)*1</f>
        <v>41.500270749785223</v>
      </c>
      <c r="Y20" s="79">
        <f>('TUSD BE'!$Z$20+'TUSD BF'!$Z$20+'TUSD CVA'!$Z$20)*1</f>
        <v>0</v>
      </c>
      <c r="Z20" s="79">
        <f>('TUSD BE'!$AA$20+'TUSD BF'!$AA$20+'TUSD CVA'!$AA$20)*1</f>
        <v>0</v>
      </c>
      <c r="AA20" s="79">
        <f>('TUSD BE'!$AC$20+'TUSD BF'!$AC$20+'TUSD CVA'!$AC$20)*1</f>
        <v>181.95682700900488</v>
      </c>
      <c r="AB20" s="79">
        <f ca="1">('TUSD BE'!$AE$20+'TUSD BF'!$AE$20+'TUSD CVA'!$AE$20)*1</f>
        <v>-12.014854239068573</v>
      </c>
      <c r="AC20" s="79">
        <f ca="1">('TUSD BE'!$AF$20+'TUSD BF'!$AF$20+'TUSD CVA'!$AF$20)*1</f>
        <v>0</v>
      </c>
      <c r="AD20" s="79">
        <f>('TUSD BE'!$AH$20+'TUSD BF'!$AH$20+'TUSD CVA'!$AH$20)*1</f>
        <v>31.27648584373458</v>
      </c>
      <c r="AE20" s="79">
        <f>('TUSD BE'!$AI$20+'TUSD BF'!$AI$20+'TUSD CVA'!$AI$20)*1</f>
        <v>1.1031498960996045</v>
      </c>
      <c r="AF20" s="79">
        <f ca="1">('TUSD BE'!$AJ$20+'TUSD BF'!$AJ$20+'TUSD CVA'!$AJ$20)*1</f>
        <v>4.1967072797042011</v>
      </c>
      <c r="AG20" s="79">
        <f ca="1">('TUSD BE'!$AK$20+'TUSD BF'!$AK$20+'TUSD CVA'!$AK$20)*1</f>
        <v>0.50273613694014574</v>
      </c>
      <c r="AI20" s="79">
        <v>6.3487529458746002</v>
      </c>
      <c r="AJ20" s="79">
        <v>0.61338971648968299</v>
      </c>
      <c r="AK20" s="79">
        <v>2.9546283544106999</v>
      </c>
      <c r="AL20" s="79">
        <v>0</v>
      </c>
      <c r="AM20" s="79">
        <v>0</v>
      </c>
      <c r="AN20" s="79">
        <v>49.1567627428539</v>
      </c>
      <c r="AO20" s="79">
        <v>8.6131800263507792</v>
      </c>
      <c r="AP20" s="79">
        <v>0</v>
      </c>
      <c r="AQ20" s="79">
        <v>21.4288827875958</v>
      </c>
      <c r="AR20" s="79">
        <v>3.2756311713134401</v>
      </c>
      <c r="AS20" s="79">
        <v>0.853466181176604</v>
      </c>
      <c r="AT20" s="79">
        <v>0</v>
      </c>
      <c r="AU20" s="79">
        <v>34.170429306706197</v>
      </c>
      <c r="AV20" s="79">
        <v>0</v>
      </c>
      <c r="AW20" s="79">
        <v>0</v>
      </c>
      <c r="AX20" s="79">
        <v>166.582443249194</v>
      </c>
      <c r="AY20" s="79">
        <v>0</v>
      </c>
      <c r="AZ20" s="79">
        <v>0</v>
      </c>
      <c r="BA20" s="79">
        <v>23.121768786027701</v>
      </c>
      <c r="BB20" s="79">
        <v>0.799352296908027</v>
      </c>
      <c r="BC20" s="79">
        <v>6.5908313251906403</v>
      </c>
      <c r="BD20" s="79">
        <v>0.369211151341793</v>
      </c>
    </row>
    <row r="21" spans="1:56" ht="11.25" customHeight="1" x14ac:dyDescent="0.25">
      <c r="A21" s="119"/>
      <c r="B21" s="119"/>
      <c r="C21" s="119"/>
      <c r="D21" s="81" t="s">
        <v>29</v>
      </c>
      <c r="E21" s="81" t="s">
        <v>25</v>
      </c>
      <c r="F21" s="81" t="s">
        <v>25</v>
      </c>
      <c r="G21" s="21" t="s">
        <v>86</v>
      </c>
      <c r="H21" s="21" t="s">
        <v>80</v>
      </c>
      <c r="I21" s="21">
        <f>'MERCADO TUSD'!$U$18</f>
        <v>4179.51</v>
      </c>
      <c r="J21" s="17"/>
      <c r="L21" s="79">
        <f>('TUSD BE'!$L$21+'TUSD BF'!$L$21+'TUSD CVA'!$L$21)*(1 - 0.65)</f>
        <v>0</v>
      </c>
      <c r="M21" s="79">
        <f>('TUSD BE'!$M$21+'TUSD BF'!$M$21+'TUSD CVA'!$M$21)*(1 - 0.65)</f>
        <v>0.25927483606833485</v>
      </c>
      <c r="N21" s="79">
        <f ca="1">('TUSD BE'!$N$21+'TUSD BF'!$N$21+'TUSD CVA'!$N$21)*(1 - 0.65)</f>
        <v>1.1237834572079639</v>
      </c>
      <c r="O21" s="79">
        <f>('TUSD BE'!$O$21+'TUSD BF'!$O$21+'TUSD CVA'!$O$21)*(1 - 0.65)</f>
        <v>0</v>
      </c>
      <c r="P21" s="79">
        <v>0</v>
      </c>
      <c r="Q21" s="79">
        <f>('TUSD BE'!$Q$21+'TUSD BF'!$Q$21+'TUSD CVA'!$Q$21)*(1 - 0.65)</f>
        <v>0</v>
      </c>
      <c r="R21" s="79">
        <v>0</v>
      </c>
      <c r="S21" s="79">
        <f>('TUSD BE'!$S$21+'TUSD BF'!$S$21+'TUSD CVA'!$S$21)*(1 - 0.65)</f>
        <v>0</v>
      </c>
      <c r="T21" s="79">
        <f>('TUSD BE'!$U$21+'TUSD BF'!$U$21+'TUSD CVA'!$U$21)*(1 - 0.65)</f>
        <v>9.8579569499059456</v>
      </c>
      <c r="U21" s="79">
        <f>('TUSD BE'!$V$21+'TUSD BF'!$V$21+'TUSD CVA'!$V$21)*(1 - 0.65)</f>
        <v>1.2992143178437989</v>
      </c>
      <c r="V21" s="79">
        <f>('TUSD BE'!$W$21+'TUSD BF'!$W$21+'TUSD CVA'!$W$21)*(1 - 0.65)</f>
        <v>0.39578172472535961</v>
      </c>
      <c r="W21" s="79">
        <f>('TUSD BE'!$X$21+'TUSD BF'!$X$21+'TUSD CVA'!$X$21)*(1 - 0.65)</f>
        <v>0</v>
      </c>
      <c r="X21" s="79">
        <f>('TUSD BE'!$Y$21+'TUSD BF'!$Y$21+'TUSD CVA'!$Y$21)*(1 - 0.65)</f>
        <v>14.525094762424827</v>
      </c>
      <c r="Y21" s="79">
        <f>('TUSD BE'!$Z$21+'TUSD BF'!$Z$21+'TUSD CVA'!$Z$21)*(1 - 0.65)</f>
        <v>0</v>
      </c>
      <c r="Z21" s="79">
        <f>('TUSD BE'!$AA$21+'TUSD BF'!$AA$21+'TUSD CVA'!$AA$21)*(1 - 0.65)</f>
        <v>0</v>
      </c>
      <c r="AA21" s="79">
        <f>('TUSD BE'!$AC$21+'TUSD BF'!$AC$21+'TUSD CVA'!$AC$21)*(1 - 0.65)</f>
        <v>63.684889453151705</v>
      </c>
      <c r="AB21" s="79">
        <f ca="1">('TUSD BE'!$AE$21+'TUSD BF'!$AE$21+'TUSD CVA'!$AE$21)*(1 - 0.65)</f>
        <v>-3.0104688119923164</v>
      </c>
      <c r="AC21" s="79">
        <f ca="1">('TUSD BE'!$AF$21+'TUSD BF'!$AF$21+'TUSD CVA'!$AF$21)*(1 - 0.65)</f>
        <v>0</v>
      </c>
      <c r="AD21" s="79">
        <f>('TUSD BE'!$AH$21+'TUSD BF'!$AH$21+'TUSD CVA'!$AH$21)*(1 - 0.65)</f>
        <v>10.946770045307103</v>
      </c>
      <c r="AE21" s="79">
        <f>('TUSD BE'!$AI$21+'TUSD BF'!$AI$21+'TUSD CVA'!$AI$21)*(1 - 0.65)</f>
        <v>0.38610246363486156</v>
      </c>
      <c r="AF21" s="79">
        <f ca="1">('TUSD BE'!$AJ$21+'TUSD BF'!$AJ$21+'TUSD CVA'!$AJ$21)*(1 - 0.65)</f>
        <v>1.4688475478964702</v>
      </c>
      <c r="AG21" s="79">
        <f ca="1">('TUSD BE'!$AK$21+'TUSD BF'!$AK$21+'TUSD CVA'!$AK$21)*(1 - 0.65)</f>
        <v>0.175957647929051</v>
      </c>
      <c r="AI21" s="79">
        <v>0</v>
      </c>
      <c r="AJ21" s="79">
        <v>0.21468640077138901</v>
      </c>
      <c r="AK21" s="79">
        <v>1.0339256307407401</v>
      </c>
      <c r="AL21" s="79">
        <v>0</v>
      </c>
      <c r="AM21" s="79">
        <v>0</v>
      </c>
      <c r="AN21" s="79">
        <v>0</v>
      </c>
      <c r="AO21" s="79">
        <v>0</v>
      </c>
      <c r="AP21" s="79">
        <v>0</v>
      </c>
      <c r="AQ21" s="79">
        <v>7.5001089756585202</v>
      </c>
      <c r="AR21" s="79">
        <v>1.1464709099596999</v>
      </c>
      <c r="AS21" s="79">
        <v>0.29871316341181098</v>
      </c>
      <c r="AT21" s="79">
        <v>0</v>
      </c>
      <c r="AU21" s="79">
        <v>11.959650257347199</v>
      </c>
      <c r="AV21" s="79">
        <v>0</v>
      </c>
      <c r="AW21" s="79">
        <v>0</v>
      </c>
      <c r="AX21" s="79">
        <v>58.303855137218001</v>
      </c>
      <c r="AY21" s="79">
        <v>0</v>
      </c>
      <c r="AZ21" s="79">
        <v>0</v>
      </c>
      <c r="BA21" s="79">
        <v>8.0926190751097007</v>
      </c>
      <c r="BB21" s="79">
        <v>0.27977330391780902</v>
      </c>
      <c r="BC21" s="79">
        <v>2.3067909638167201</v>
      </c>
      <c r="BD21" s="79">
        <v>0.12922390296962799</v>
      </c>
    </row>
    <row r="22" spans="1:56" ht="11.25" customHeight="1" x14ac:dyDescent="0.25">
      <c r="A22" s="119"/>
      <c r="B22" s="119"/>
      <c r="C22" s="119"/>
      <c r="D22" s="81" t="s">
        <v>30</v>
      </c>
      <c r="E22" s="81" t="s">
        <v>25</v>
      </c>
      <c r="F22" s="81" t="s">
        <v>25</v>
      </c>
      <c r="G22" s="21" t="s">
        <v>86</v>
      </c>
      <c r="H22" s="21" t="s">
        <v>80</v>
      </c>
      <c r="I22" s="21">
        <f>'MERCADO TUSD'!$U$19</f>
        <v>8380.1260000000002</v>
      </c>
      <c r="J22" s="17"/>
      <c r="L22" s="79">
        <f>('TUSD BE'!$L$22+'TUSD BF'!$L$22+'TUSD CVA'!$L$22)*(1 - 0.4)</f>
        <v>0</v>
      </c>
      <c r="M22" s="79">
        <f>('TUSD BE'!$M$22+'TUSD BF'!$M$22+'TUSD CVA'!$M$22)*(1 - 0.4)</f>
        <v>0.44447114754571693</v>
      </c>
      <c r="N22" s="79">
        <f ca="1">('TUSD BE'!$N$22+'TUSD BF'!$N$22+'TUSD CVA'!$N$22)*(1 - 0.4)</f>
        <v>1.9264859266422238</v>
      </c>
      <c r="O22" s="79">
        <f>('TUSD BE'!$O$22+'TUSD BF'!$O$22+'TUSD CVA'!$O$22)*(1 - 0.4)</f>
        <v>0</v>
      </c>
      <c r="P22" s="79">
        <v>0</v>
      </c>
      <c r="Q22" s="79">
        <f>('TUSD BE'!$Q$22+'TUSD BF'!$Q$22+'TUSD CVA'!$Q$22)*(1 - 0.4)</f>
        <v>0</v>
      </c>
      <c r="R22" s="79">
        <v>0</v>
      </c>
      <c r="S22" s="79">
        <f>('TUSD BE'!$S$22+'TUSD BF'!$S$22+'TUSD CVA'!$S$22)*(1 - 0.4)</f>
        <v>0</v>
      </c>
      <c r="T22" s="79">
        <f>('TUSD BE'!$U$22+'TUSD BF'!$U$22+'TUSD CVA'!$U$22)*(1 - 0.4)</f>
        <v>16.899354771267337</v>
      </c>
      <c r="U22" s="79">
        <f>('TUSD BE'!$V$22+'TUSD BF'!$V$22+'TUSD CVA'!$V$22)*(1 - 0.4)</f>
        <v>2.2272245448750838</v>
      </c>
      <c r="V22" s="79">
        <f>('TUSD BE'!$W$22+'TUSD BF'!$W$22+'TUSD CVA'!$W$22)*(1 - 0.4)</f>
        <v>0.67848295667204506</v>
      </c>
      <c r="W22" s="79">
        <f>('TUSD BE'!$X$22+'TUSD BF'!$X$22+'TUSD CVA'!$X$22)*(1 - 0.4)</f>
        <v>0</v>
      </c>
      <c r="X22" s="79">
        <f>('TUSD BE'!$Y$22+'TUSD BF'!$Y$22+'TUSD CVA'!$Y$22)*(1 - 0.4)</f>
        <v>24.900162449871132</v>
      </c>
      <c r="Y22" s="79">
        <f>('TUSD BE'!$Z$22+'TUSD BF'!$Z$22+'TUSD CVA'!$Z$22)*(1 - 0.4)</f>
        <v>0</v>
      </c>
      <c r="Z22" s="79">
        <f>('TUSD BE'!$AA$22+'TUSD BF'!$AA$22+'TUSD CVA'!$AA$22)*(1 - 0.4)</f>
        <v>0</v>
      </c>
      <c r="AA22" s="79">
        <f>('TUSD BE'!$AC$22+'TUSD BF'!$AC$22+'TUSD CVA'!$AC$22)*(1 - 0.4)</f>
        <v>109.17409620540293</v>
      </c>
      <c r="AB22" s="79">
        <f ca="1">('TUSD BE'!$AE$22+'TUSD BF'!$AE$22+'TUSD CVA'!$AE$22)*(1 - 0.4)</f>
        <v>-5.1608036777011135</v>
      </c>
      <c r="AC22" s="79">
        <f ca="1">('TUSD BE'!$AF$22+'TUSD BF'!$AF$22+'TUSD CVA'!$AF$22)*(1 - 0.4)</f>
        <v>0</v>
      </c>
      <c r="AD22" s="79">
        <f>('TUSD BE'!$AH$22+'TUSD BF'!$AH$22+'TUSD CVA'!$AH$22)*(1 - 0.4)</f>
        <v>18.765891506240749</v>
      </c>
      <c r="AE22" s="79">
        <f>('TUSD BE'!$AI$22+'TUSD BF'!$AI$22+'TUSD CVA'!$AI$22)*(1 - 0.4)</f>
        <v>0.66188993765976267</v>
      </c>
      <c r="AF22" s="79">
        <f ca="1">('TUSD BE'!$AJ$22+'TUSD BF'!$AJ$22+'TUSD CVA'!$AJ$22)*(1 - 0.4)</f>
        <v>2.5180243678225205</v>
      </c>
      <c r="AG22" s="79">
        <f ca="1">('TUSD BE'!$AK$22+'TUSD BF'!$AK$22+'TUSD CVA'!$AK$22)*(1 - 0.4)</f>
        <v>0.30164168216408743</v>
      </c>
      <c r="AI22" s="79">
        <v>0</v>
      </c>
      <c r="AJ22" s="79">
        <v>0.36803382989381001</v>
      </c>
      <c r="AK22" s="79">
        <v>1.7724439384127</v>
      </c>
      <c r="AL22" s="79">
        <v>0</v>
      </c>
      <c r="AM22" s="79">
        <v>0</v>
      </c>
      <c r="AN22" s="79">
        <v>0</v>
      </c>
      <c r="AO22" s="79">
        <v>0</v>
      </c>
      <c r="AP22" s="79">
        <v>0</v>
      </c>
      <c r="AQ22" s="79">
        <v>12.857329672557499</v>
      </c>
      <c r="AR22" s="79">
        <v>1.96537870278806</v>
      </c>
      <c r="AS22" s="79">
        <v>0.51207970870596198</v>
      </c>
      <c r="AT22" s="79">
        <v>0</v>
      </c>
      <c r="AU22" s="79">
        <v>20.502257584023699</v>
      </c>
      <c r="AV22" s="79">
        <v>0</v>
      </c>
      <c r="AW22" s="79">
        <v>0</v>
      </c>
      <c r="AX22" s="79">
        <v>99.949465949516707</v>
      </c>
      <c r="AY22" s="79">
        <v>0</v>
      </c>
      <c r="AZ22" s="79">
        <v>0</v>
      </c>
      <c r="BA22" s="79">
        <v>13.873061271616599</v>
      </c>
      <c r="BB22" s="79">
        <v>0.47961137814481603</v>
      </c>
      <c r="BC22" s="79">
        <v>3.95449879511439</v>
      </c>
      <c r="BD22" s="79">
        <v>0.221526690805076</v>
      </c>
    </row>
    <row r="23" spans="1:56" ht="11.25" customHeight="1" x14ac:dyDescent="0.25">
      <c r="A23" s="119"/>
      <c r="B23" s="119"/>
      <c r="C23" s="119"/>
      <c r="D23" s="81" t="s">
        <v>31</v>
      </c>
      <c r="E23" s="81" t="s">
        <v>25</v>
      </c>
      <c r="F23" s="81" t="s">
        <v>25</v>
      </c>
      <c r="G23" s="21" t="s">
        <v>86</v>
      </c>
      <c r="H23" s="21" t="s">
        <v>80</v>
      </c>
      <c r="I23" s="21">
        <f>'MERCADO TUSD'!$U$20</f>
        <v>6567.2470000000003</v>
      </c>
      <c r="J23" s="17"/>
      <c r="L23" s="79">
        <f>('TUSD BE'!$L$23+'TUSD BF'!$L$23+'TUSD CVA'!$L$23)*(1 - 0.1)</f>
        <v>0</v>
      </c>
      <c r="M23" s="79">
        <f>('TUSD BE'!$M$23+'TUSD BF'!$M$23+'TUSD CVA'!$M$23)*(1 - 0.1)</f>
        <v>0.66670672131857545</v>
      </c>
      <c r="N23" s="79">
        <f ca="1">('TUSD BE'!$N$23+'TUSD BF'!$N$23+'TUSD CVA'!$N$23)*(1 - 0.1)</f>
        <v>2.8897288899633358</v>
      </c>
      <c r="O23" s="79">
        <f>('TUSD BE'!$O$23+'TUSD BF'!$O$23+'TUSD CVA'!$O$23)*(1 - 0.1)</f>
        <v>0</v>
      </c>
      <c r="P23" s="79">
        <v>0</v>
      </c>
      <c r="Q23" s="79">
        <f>('TUSD BE'!$Q$23+'TUSD BF'!$Q$23+'TUSD CVA'!$Q$23)*(1 - 0.1)</f>
        <v>0</v>
      </c>
      <c r="R23" s="79">
        <v>0</v>
      </c>
      <c r="S23" s="79">
        <f>('TUSD BE'!$S$23+'TUSD BF'!$S$23+'TUSD CVA'!$S$23)*(1 - 0.1)</f>
        <v>0</v>
      </c>
      <c r="T23" s="79">
        <f>('TUSD BE'!$U$23+'TUSD BF'!$U$23+'TUSD CVA'!$U$23)*(1 - 0.1)</f>
        <v>25.349032156901007</v>
      </c>
      <c r="U23" s="79">
        <f>('TUSD BE'!$V$23+'TUSD BF'!$V$23+'TUSD CVA'!$V$23)*(1 - 0.1)</f>
        <v>3.3408368173126259</v>
      </c>
      <c r="V23" s="79">
        <f>('TUSD BE'!$W$23+'TUSD BF'!$W$23+'TUSD CVA'!$W$23)*(1 - 0.1)</f>
        <v>1.0177244350080676</v>
      </c>
      <c r="W23" s="79">
        <f>('TUSD BE'!$X$23+'TUSD BF'!$X$23+'TUSD CVA'!$X$23)*(1 - 0.1)</f>
        <v>0</v>
      </c>
      <c r="X23" s="79">
        <f>('TUSD BE'!$Y$23+'TUSD BF'!$Y$23+'TUSD CVA'!$Y$23)*(1 - 0.1)</f>
        <v>37.350243674806698</v>
      </c>
      <c r="Y23" s="79">
        <f>('TUSD BE'!$Z$23+'TUSD BF'!$Z$23+'TUSD CVA'!$Z$23)*(1 - 0.1)</f>
        <v>0</v>
      </c>
      <c r="Z23" s="79">
        <f>('TUSD BE'!$AA$23+'TUSD BF'!$AA$23+'TUSD CVA'!$AA$23)*(1 - 0.1)</f>
        <v>0</v>
      </c>
      <c r="AA23" s="79">
        <f>('TUSD BE'!$AC$23+'TUSD BF'!$AC$23+'TUSD CVA'!$AC$23)*(1 - 0.1)</f>
        <v>163.76114430810441</v>
      </c>
      <c r="AB23" s="79">
        <f ca="1">('TUSD BE'!$AE$23+'TUSD BF'!$AE$23+'TUSD CVA'!$AE$23)*(1 - 0.1)</f>
        <v>-7.7412055165516716</v>
      </c>
      <c r="AC23" s="79">
        <f ca="1">('TUSD BE'!$AF$23+'TUSD BF'!$AF$23+'TUSD CVA'!$AF$23)*(1 - 0.1)</f>
        <v>0</v>
      </c>
      <c r="AD23" s="79">
        <f>('TUSD BE'!$AH$23+'TUSD BF'!$AH$23+'TUSD CVA'!$AH$23)*(1 - 0.1)</f>
        <v>28.148837259361123</v>
      </c>
      <c r="AE23" s="79">
        <f>('TUSD BE'!$AI$23+'TUSD BF'!$AI$23+'TUSD CVA'!$AI$23)*(1 - 0.1)</f>
        <v>0.99283490648964401</v>
      </c>
      <c r="AF23" s="79">
        <f ca="1">('TUSD BE'!$AJ$23+'TUSD BF'!$AJ$23+'TUSD CVA'!$AJ$23)*(1 - 0.1)</f>
        <v>3.7770365517337812</v>
      </c>
      <c r="AG23" s="79">
        <f ca="1">('TUSD BE'!$AK$23+'TUSD BF'!$AK$23+'TUSD CVA'!$AK$23)*(1 - 0.1)</f>
        <v>0.45246252324613118</v>
      </c>
      <c r="AI23" s="79">
        <v>0</v>
      </c>
      <c r="AJ23" s="79">
        <v>0.55205074484071404</v>
      </c>
      <c r="AK23" s="79">
        <v>2.6586659076190502</v>
      </c>
      <c r="AL23" s="79">
        <v>0</v>
      </c>
      <c r="AM23" s="79">
        <v>0</v>
      </c>
      <c r="AN23" s="79">
        <v>0</v>
      </c>
      <c r="AO23" s="79">
        <v>0</v>
      </c>
      <c r="AP23" s="79">
        <v>0</v>
      </c>
      <c r="AQ23" s="79">
        <v>19.2859945088362</v>
      </c>
      <c r="AR23" s="79">
        <v>2.9480680541820901</v>
      </c>
      <c r="AS23" s="79">
        <v>0.76811956305894402</v>
      </c>
      <c r="AT23" s="79">
        <v>0</v>
      </c>
      <c r="AU23" s="79">
        <v>30.7533863760356</v>
      </c>
      <c r="AV23" s="79">
        <v>0</v>
      </c>
      <c r="AW23" s="79">
        <v>0</v>
      </c>
      <c r="AX23" s="79">
        <v>149.924198924275</v>
      </c>
      <c r="AY23" s="79">
        <v>0</v>
      </c>
      <c r="AZ23" s="79">
        <v>0</v>
      </c>
      <c r="BA23" s="79">
        <v>20.809591907424998</v>
      </c>
      <c r="BB23" s="79">
        <v>0.71941706721722398</v>
      </c>
      <c r="BC23" s="79">
        <v>5.9317481926715798</v>
      </c>
      <c r="BD23" s="79">
        <v>0.33229003620761399</v>
      </c>
    </row>
    <row r="24" spans="1:56" ht="11.25" customHeight="1" x14ac:dyDescent="0.25">
      <c r="A24" s="119"/>
      <c r="B24" s="119"/>
      <c r="C24" s="119"/>
      <c r="D24" s="81" t="s">
        <v>32</v>
      </c>
      <c r="E24" s="81" t="s">
        <v>25</v>
      </c>
      <c r="F24" s="81" t="s">
        <v>25</v>
      </c>
      <c r="G24" s="21" t="s">
        <v>86</v>
      </c>
      <c r="H24" s="21" t="s">
        <v>80</v>
      </c>
      <c r="I24" s="21">
        <f>'MERCADO TUSD'!$U$21</f>
        <v>1878.684</v>
      </c>
      <c r="J24" s="17"/>
      <c r="L24" s="79">
        <f>('TUSD BE'!$L$24+'TUSD BF'!$L$24+'TUSD CVA'!$L$24)*1</f>
        <v>0</v>
      </c>
      <c r="M24" s="79">
        <f>('TUSD BE'!$M$24+'TUSD BF'!$M$24+'TUSD CVA'!$M$24)*1</f>
        <v>0.74078524590952821</v>
      </c>
      <c r="N24" s="79">
        <f ca="1">('TUSD BE'!$N$24+'TUSD BF'!$N$24+'TUSD CVA'!$N$24)*1</f>
        <v>3.2108098777370397</v>
      </c>
      <c r="O24" s="79">
        <f>('TUSD BE'!$O$24+'TUSD BF'!$O$24+'TUSD CVA'!$O$24)*1</f>
        <v>0</v>
      </c>
      <c r="P24" s="79">
        <v>0</v>
      </c>
      <c r="Q24" s="79">
        <f>('TUSD BE'!$Q$24+'TUSD BF'!$Q$24+'TUSD CVA'!$Q$24)*1</f>
        <v>0</v>
      </c>
      <c r="R24" s="79">
        <v>0</v>
      </c>
      <c r="S24" s="79">
        <f>('TUSD BE'!$S$24+'TUSD BF'!$S$24+'TUSD CVA'!$S$24)*1</f>
        <v>0</v>
      </c>
      <c r="T24" s="79">
        <f>('TUSD BE'!$U$24+'TUSD BF'!$U$24+'TUSD CVA'!$U$24)*1</f>
        <v>28.165591285445561</v>
      </c>
      <c r="U24" s="79">
        <f>('TUSD BE'!$V$24+'TUSD BF'!$V$24+'TUSD CVA'!$V$24)*1</f>
        <v>3.71204090812514</v>
      </c>
      <c r="V24" s="79">
        <f>('TUSD BE'!$W$24+'TUSD BF'!$W$24+'TUSD CVA'!$W$24)*1</f>
        <v>1.1308049277867418</v>
      </c>
      <c r="W24" s="79">
        <f>('TUSD BE'!$X$24+'TUSD BF'!$X$24+'TUSD CVA'!$X$24)*1</f>
        <v>0</v>
      </c>
      <c r="X24" s="79">
        <f>('TUSD BE'!$Y$24+'TUSD BF'!$Y$24+'TUSD CVA'!$Y$24)*1</f>
        <v>41.500270749785223</v>
      </c>
      <c r="Y24" s="79">
        <f>('TUSD BE'!$Z$24+'TUSD BF'!$Z$24+'TUSD CVA'!$Z$24)*1</f>
        <v>0</v>
      </c>
      <c r="Z24" s="79">
        <f>('TUSD BE'!$AA$24+'TUSD BF'!$AA$24+'TUSD CVA'!$AA$24)*1</f>
        <v>0</v>
      </c>
      <c r="AA24" s="79">
        <f>('TUSD BE'!$AC$24+'TUSD BF'!$AC$24+'TUSD CVA'!$AC$24)*1</f>
        <v>181.95682700900488</v>
      </c>
      <c r="AB24" s="79">
        <f ca="1">('TUSD BE'!$AE$24+'TUSD BF'!$AE$24+'TUSD CVA'!$AE$24)*1</f>
        <v>-8.60133946283519</v>
      </c>
      <c r="AC24" s="79">
        <f ca="1">('TUSD BE'!$AF$24+'TUSD BF'!$AF$24+'TUSD CVA'!$AF$24)*1</f>
        <v>0</v>
      </c>
      <c r="AD24" s="79">
        <f>('TUSD BE'!$AH$24+'TUSD BF'!$AH$24+'TUSD CVA'!$AH$24)*1</f>
        <v>31.27648584373458</v>
      </c>
      <c r="AE24" s="79">
        <f>('TUSD BE'!$AI$24+'TUSD BF'!$AI$24+'TUSD CVA'!$AI$24)*1</f>
        <v>1.1031498960996045</v>
      </c>
      <c r="AF24" s="79">
        <f ca="1">('TUSD BE'!$AJ$24+'TUSD BF'!$AJ$24+'TUSD CVA'!$AJ$24)*1</f>
        <v>4.1967072797042011</v>
      </c>
      <c r="AG24" s="79">
        <f ca="1">('TUSD BE'!$AK$24+'TUSD BF'!$AK$24+'TUSD CVA'!$AK$24)*1</f>
        <v>0.50273613694014574</v>
      </c>
      <c r="AI24" s="79">
        <v>0</v>
      </c>
      <c r="AJ24" s="79">
        <v>0.61338971648968299</v>
      </c>
      <c r="AK24" s="79">
        <v>2.9540732306878401</v>
      </c>
      <c r="AL24" s="79">
        <v>0</v>
      </c>
      <c r="AM24" s="79">
        <v>0</v>
      </c>
      <c r="AN24" s="79">
        <v>0</v>
      </c>
      <c r="AO24" s="79">
        <v>0</v>
      </c>
      <c r="AP24" s="79">
        <v>0</v>
      </c>
      <c r="AQ24" s="79">
        <v>21.4288827875958</v>
      </c>
      <c r="AR24" s="79">
        <v>3.2756311713134401</v>
      </c>
      <c r="AS24" s="79">
        <v>0.853466181176604</v>
      </c>
      <c r="AT24" s="79">
        <v>0</v>
      </c>
      <c r="AU24" s="79">
        <v>34.170429306706197</v>
      </c>
      <c r="AV24" s="79">
        <v>0</v>
      </c>
      <c r="AW24" s="79">
        <v>0</v>
      </c>
      <c r="AX24" s="79">
        <v>166.582443249194</v>
      </c>
      <c r="AY24" s="79">
        <v>0</v>
      </c>
      <c r="AZ24" s="79">
        <v>0</v>
      </c>
      <c r="BA24" s="79">
        <v>23.121768786027701</v>
      </c>
      <c r="BB24" s="79">
        <v>0.799352296908027</v>
      </c>
      <c r="BC24" s="79">
        <v>6.5908313251906403</v>
      </c>
      <c r="BD24" s="79">
        <v>0.369211151341793</v>
      </c>
    </row>
    <row r="25" spans="1:56" ht="11.25" customHeight="1" x14ac:dyDescent="0.25">
      <c r="A25" s="119"/>
      <c r="B25" s="119" t="s">
        <v>94</v>
      </c>
      <c r="C25" s="119" t="s">
        <v>24</v>
      </c>
      <c r="D25" s="81" t="s">
        <v>24</v>
      </c>
      <c r="E25" s="81" t="s">
        <v>25</v>
      </c>
      <c r="F25" s="81" t="s">
        <v>25</v>
      </c>
      <c r="G25" s="21" t="s">
        <v>86</v>
      </c>
      <c r="H25" s="21" t="s">
        <v>80</v>
      </c>
      <c r="I25" s="21">
        <f>'MERCADO TUSD'!$U$22</f>
        <v>0</v>
      </c>
      <c r="J25" s="17"/>
      <c r="L25" s="79">
        <f>('TUSD BE'!$L$25+'TUSD BF'!$L$25+'TUSD CVA'!$L$25)*1</f>
        <v>7.1692357894316459</v>
      </c>
      <c r="M25" s="79">
        <f>('TUSD BE'!$M$25+'TUSD BF'!$M$25+'TUSD CVA'!$M$25)*1</f>
        <v>0.74078524590952821</v>
      </c>
      <c r="N25" s="79">
        <f ca="1">('TUSD BE'!$N$25+'TUSD BF'!$N$25+'TUSD CVA'!$N$25)*1</f>
        <v>3.2114136405010396</v>
      </c>
      <c r="O25" s="79">
        <f>('TUSD BE'!$O$25+'TUSD BF'!$O$25+'TUSD CVA'!$O$25)*1</f>
        <v>0</v>
      </c>
      <c r="P25" s="79">
        <f>('TUSD BE'!$P$25+'TUSD BF'!$P$25+'TUSD CVA'!$P$25)*1</f>
        <v>0</v>
      </c>
      <c r="Q25" s="79">
        <f>('TUSD BE'!$Q$25+'TUSD BF'!$Q$25+'TUSD CVA'!$Q$25)*1</f>
        <v>121.97641248589352</v>
      </c>
      <c r="R25" s="79">
        <f>('TUSD BE'!$R$25+'TUSD BF'!$R$25+'TUSD CVA'!$R$25)*1</f>
        <v>20.175502292736393</v>
      </c>
      <c r="S25" s="79">
        <f>('TUSD BE'!$S$25+'TUSD BF'!$S$25+'TUSD CVA'!$S$25)*1</f>
        <v>0</v>
      </c>
      <c r="T25" s="79">
        <f>('TUSD BE'!$U$25+'TUSD BF'!$U$25+'TUSD CVA'!$U$25)*1</f>
        <v>28.165591285445561</v>
      </c>
      <c r="U25" s="79">
        <f>('TUSD BE'!$V$25+'TUSD BF'!$V$25+'TUSD CVA'!$V$25)*1</f>
        <v>3.71204090812514</v>
      </c>
      <c r="V25" s="79">
        <f>('TUSD BE'!$W$25+'TUSD BF'!$W$25+'TUSD CVA'!$W$25)*1</f>
        <v>1.1308049277867418</v>
      </c>
      <c r="W25" s="79">
        <f>('TUSD BE'!$X$25+'TUSD BF'!$X$25+'TUSD CVA'!$X$25)*1</f>
        <v>0</v>
      </c>
      <c r="X25" s="79">
        <f>('TUSD BE'!$Y$25+'TUSD BF'!$Y$25+'TUSD CVA'!$Y$25)*1</f>
        <v>41.500270749785223</v>
      </c>
      <c r="Y25" s="79">
        <f>('TUSD BE'!$Z$25+'TUSD BF'!$Z$25+'TUSD CVA'!$Z$25)*1</f>
        <v>0</v>
      </c>
      <c r="Z25" s="79">
        <f>('TUSD BE'!$AA$25+'TUSD BF'!$AA$25+'TUSD CVA'!$AA$25)*1</f>
        <v>0</v>
      </c>
      <c r="AA25" s="79">
        <f>('TUSD BE'!$AC$25+'TUSD BF'!$AC$25+'TUSD CVA'!$AC$25)*1</f>
        <v>181.95682700900488</v>
      </c>
      <c r="AB25" s="79">
        <f ca="1">('TUSD BE'!$AE$25+'TUSD BF'!$AE$25+'TUSD CVA'!$AE$25)*1</f>
        <v>-12.014854239068573</v>
      </c>
      <c r="AC25" s="79">
        <f ca="1">('TUSD BE'!$AF$25+'TUSD BF'!$AF$25+'TUSD CVA'!$AF$25)*1</f>
        <v>0</v>
      </c>
      <c r="AD25" s="79">
        <f>('TUSD BE'!$AH$25+'TUSD BF'!$AH$25+'TUSD CVA'!$AH$25)*1</f>
        <v>31.27648584373458</v>
      </c>
      <c r="AE25" s="79">
        <f>('TUSD BE'!$AI$25+'TUSD BF'!$AI$25+'TUSD CVA'!$AI$25)*1</f>
        <v>1.1031498960996045</v>
      </c>
      <c r="AF25" s="79">
        <f ca="1">('TUSD BE'!$AJ$25+'TUSD BF'!$AJ$25+'TUSD CVA'!$AJ$25)*1</f>
        <v>4.1967072797042011</v>
      </c>
      <c r="AG25" s="79">
        <f ca="1">('TUSD BE'!$AK$25+'TUSD BF'!$AK$25+'TUSD CVA'!$AK$25)*1</f>
        <v>0.50273613694014574</v>
      </c>
      <c r="AI25" s="79">
        <v>6.3487529458746002</v>
      </c>
      <c r="AJ25" s="79">
        <v>0.61338971648968299</v>
      </c>
      <c r="AK25" s="79">
        <v>2.9546283544106999</v>
      </c>
      <c r="AL25" s="79">
        <v>0</v>
      </c>
      <c r="AM25" s="79">
        <v>0</v>
      </c>
      <c r="AN25" s="79">
        <v>49.1567627428539</v>
      </c>
      <c r="AO25" s="79">
        <v>8.6131800263507792</v>
      </c>
      <c r="AP25" s="79">
        <v>0</v>
      </c>
      <c r="AQ25" s="79">
        <v>21.4288827875958</v>
      </c>
      <c r="AR25" s="79">
        <v>3.2756311713134401</v>
      </c>
      <c r="AS25" s="79">
        <v>0.853466181176604</v>
      </c>
      <c r="AT25" s="79">
        <v>0</v>
      </c>
      <c r="AU25" s="79">
        <v>34.170429306706197</v>
      </c>
      <c r="AV25" s="79">
        <v>0</v>
      </c>
      <c r="AW25" s="79">
        <v>0</v>
      </c>
      <c r="AX25" s="79">
        <v>166.582443249194</v>
      </c>
      <c r="AY25" s="79">
        <v>0</v>
      </c>
      <c r="AZ25" s="79">
        <v>0</v>
      </c>
      <c r="BA25" s="79">
        <v>23.121768786027701</v>
      </c>
      <c r="BB25" s="79">
        <v>0.799352296908027</v>
      </c>
      <c r="BC25" s="79">
        <v>6.5908313251906403</v>
      </c>
      <c r="BD25" s="79">
        <v>0.369211151341793</v>
      </c>
    </row>
    <row r="26" spans="1:56" ht="11.25" customHeight="1" x14ac:dyDescent="0.25">
      <c r="A26" s="119"/>
      <c r="B26" s="119"/>
      <c r="C26" s="119"/>
      <c r="D26" s="81" t="s">
        <v>29</v>
      </c>
      <c r="E26" s="81" t="s">
        <v>25</v>
      </c>
      <c r="F26" s="81" t="s">
        <v>25</v>
      </c>
      <c r="G26" s="21" t="s">
        <v>86</v>
      </c>
      <c r="H26" s="21" t="s">
        <v>80</v>
      </c>
      <c r="I26" s="21">
        <f>'MERCADO TUSD'!$U$23</f>
        <v>0</v>
      </c>
      <c r="J26" s="17"/>
      <c r="L26" s="79">
        <f>('TUSD BE'!$L$26+'TUSD BF'!$L$26+'TUSD CVA'!$L$26)*(1 - 0.65)</f>
        <v>0</v>
      </c>
      <c r="M26" s="79">
        <f>('TUSD BE'!$M$26+'TUSD BF'!$M$26+'TUSD CVA'!$M$26)*(1 - 0.65)</f>
        <v>0.25927483606833485</v>
      </c>
      <c r="N26" s="79">
        <f ca="1">('TUSD BE'!$N$26+'TUSD BF'!$N$26+'TUSD CVA'!$N$26)*(1 - 0.65)</f>
        <v>1.1237834572079639</v>
      </c>
      <c r="O26" s="79">
        <f>('TUSD BE'!$O$26+'TUSD BF'!$O$26+'TUSD CVA'!$O$26)*(1 - 0.65)</f>
        <v>0</v>
      </c>
      <c r="P26" s="79">
        <v>0</v>
      </c>
      <c r="Q26" s="79">
        <f>('TUSD BE'!$Q$26+'TUSD BF'!$Q$26+'TUSD CVA'!$Q$26)*(1 - 0.65)</f>
        <v>0</v>
      </c>
      <c r="R26" s="79">
        <v>0</v>
      </c>
      <c r="S26" s="79">
        <f>('TUSD BE'!$S$26+'TUSD BF'!$S$26+'TUSD CVA'!$S$26)*(1 - 0.65)</f>
        <v>0</v>
      </c>
      <c r="T26" s="79">
        <f>('TUSD BE'!$U$26+'TUSD BF'!$U$26+'TUSD CVA'!$U$26)*(1 - 0.65)</f>
        <v>9.8579569499059456</v>
      </c>
      <c r="U26" s="79">
        <f>('TUSD BE'!$V$26+'TUSD BF'!$V$26+'TUSD CVA'!$V$26)*(1 - 0.65)</f>
        <v>1.2992143178437989</v>
      </c>
      <c r="V26" s="79">
        <f>('TUSD BE'!$W$26+'TUSD BF'!$W$26+'TUSD CVA'!$W$26)*(1 - 0.65)</f>
        <v>0.39578172472535961</v>
      </c>
      <c r="W26" s="79">
        <f>('TUSD BE'!$X$26+'TUSD BF'!$X$26+'TUSD CVA'!$X$26)*(1 - 0.65)</f>
        <v>0</v>
      </c>
      <c r="X26" s="79">
        <f>('TUSD BE'!$Y$26+'TUSD BF'!$Y$26+'TUSD CVA'!$Y$26)*(1 - 0.65)</f>
        <v>14.525094762424827</v>
      </c>
      <c r="Y26" s="79">
        <f>('TUSD BE'!$Z$26+'TUSD BF'!$Z$26+'TUSD CVA'!$Z$26)*(1 - 0.65)</f>
        <v>0</v>
      </c>
      <c r="Z26" s="79">
        <f>('TUSD BE'!$AA$26+'TUSD BF'!$AA$26+'TUSD CVA'!$AA$26)*(1 - 0.65)</f>
        <v>0</v>
      </c>
      <c r="AA26" s="79">
        <f>('TUSD BE'!$AC$26+'TUSD BF'!$AC$26+'TUSD CVA'!$AC$26)*(1 - 0.65)</f>
        <v>63.684889453151705</v>
      </c>
      <c r="AB26" s="79">
        <f ca="1">('TUSD BE'!$AE$26+'TUSD BF'!$AE$26+'TUSD CVA'!$AE$26)*(1 - 0.65)</f>
        <v>-3.0104688119923164</v>
      </c>
      <c r="AC26" s="79">
        <f ca="1">('TUSD BE'!$AF$26+'TUSD BF'!$AF$26+'TUSD CVA'!$AF$26)*(1 - 0.65)</f>
        <v>0</v>
      </c>
      <c r="AD26" s="79">
        <f>('TUSD BE'!$AH$26+'TUSD BF'!$AH$26+'TUSD CVA'!$AH$26)*(1 - 0.65)</f>
        <v>10.946770045307103</v>
      </c>
      <c r="AE26" s="79">
        <f>('TUSD BE'!$AI$26+'TUSD BF'!$AI$26+'TUSD CVA'!$AI$26)*(1 - 0.65)</f>
        <v>0.38610246363486156</v>
      </c>
      <c r="AF26" s="79">
        <f ca="1">('TUSD BE'!$AJ$26+'TUSD BF'!$AJ$26+'TUSD CVA'!$AJ$26)*(1 - 0.65)</f>
        <v>1.4688475478964702</v>
      </c>
      <c r="AG26" s="79">
        <f ca="1">('TUSD BE'!$AK$26+'TUSD BF'!$AK$26+'TUSD CVA'!$AK$26)*(1 - 0.65)</f>
        <v>0.175957647929051</v>
      </c>
      <c r="AI26" s="79">
        <v>0</v>
      </c>
      <c r="AJ26" s="79">
        <v>0.21468640077138901</v>
      </c>
      <c r="AK26" s="79">
        <v>1.0339256307407401</v>
      </c>
      <c r="AL26" s="79">
        <v>0</v>
      </c>
      <c r="AM26" s="79">
        <v>0</v>
      </c>
      <c r="AN26" s="79">
        <v>0</v>
      </c>
      <c r="AO26" s="79">
        <v>0</v>
      </c>
      <c r="AP26" s="79">
        <v>0</v>
      </c>
      <c r="AQ26" s="79">
        <v>7.5001089756585202</v>
      </c>
      <c r="AR26" s="79">
        <v>1.1464709099596999</v>
      </c>
      <c r="AS26" s="79">
        <v>0.29871316341181098</v>
      </c>
      <c r="AT26" s="79">
        <v>0</v>
      </c>
      <c r="AU26" s="79">
        <v>11.959650257347199</v>
      </c>
      <c r="AV26" s="79">
        <v>0</v>
      </c>
      <c r="AW26" s="79">
        <v>0</v>
      </c>
      <c r="AX26" s="79">
        <v>58.303855137218001</v>
      </c>
      <c r="AY26" s="79">
        <v>0</v>
      </c>
      <c r="AZ26" s="79">
        <v>0</v>
      </c>
      <c r="BA26" s="79">
        <v>8.0926190751097007</v>
      </c>
      <c r="BB26" s="79">
        <v>0.27977330391780902</v>
      </c>
      <c r="BC26" s="79">
        <v>2.3067909638167201</v>
      </c>
      <c r="BD26" s="79">
        <v>0.12922390296962799</v>
      </c>
    </row>
    <row r="27" spans="1:56" ht="11.25" customHeight="1" x14ac:dyDescent="0.25">
      <c r="A27" s="119"/>
      <c r="B27" s="119"/>
      <c r="C27" s="119"/>
      <c r="D27" s="81" t="s">
        <v>30</v>
      </c>
      <c r="E27" s="81" t="s">
        <v>25</v>
      </c>
      <c r="F27" s="81" t="s">
        <v>25</v>
      </c>
      <c r="G27" s="21" t="s">
        <v>86</v>
      </c>
      <c r="H27" s="21" t="s">
        <v>80</v>
      </c>
      <c r="I27" s="21">
        <f>'MERCADO TUSD'!$U$24</f>
        <v>0</v>
      </c>
      <c r="J27" s="17"/>
      <c r="L27" s="79">
        <f>('TUSD BE'!$L$27+'TUSD BF'!$L$27+'TUSD CVA'!$L$27)*(1 - 0.4)</f>
        <v>0</v>
      </c>
      <c r="M27" s="79">
        <f>('TUSD BE'!$M$27+'TUSD BF'!$M$27+'TUSD CVA'!$M$27)*(1 - 0.4)</f>
        <v>0.44447114754571693</v>
      </c>
      <c r="N27" s="79">
        <f ca="1">('TUSD BE'!$N$27+'TUSD BF'!$N$27+'TUSD CVA'!$N$27)*(1 - 0.4)</f>
        <v>1.9264859266422238</v>
      </c>
      <c r="O27" s="79">
        <f>('TUSD BE'!$O$27+'TUSD BF'!$O$27+'TUSD CVA'!$O$27)*(1 - 0.4)</f>
        <v>0</v>
      </c>
      <c r="P27" s="79">
        <v>0</v>
      </c>
      <c r="Q27" s="79">
        <f>('TUSD BE'!$Q$27+'TUSD BF'!$Q$27+'TUSD CVA'!$Q$27)*(1 - 0.4)</f>
        <v>0</v>
      </c>
      <c r="R27" s="79">
        <v>0</v>
      </c>
      <c r="S27" s="79">
        <f>('TUSD BE'!$S$27+'TUSD BF'!$S$27+'TUSD CVA'!$S$27)*(1 - 0.4)</f>
        <v>0</v>
      </c>
      <c r="T27" s="79">
        <f>('TUSD BE'!$U$27+'TUSD BF'!$U$27+'TUSD CVA'!$U$27)*(1 - 0.4)</f>
        <v>16.899354771267337</v>
      </c>
      <c r="U27" s="79">
        <f>('TUSD BE'!$V$27+'TUSD BF'!$V$27+'TUSD CVA'!$V$27)*(1 - 0.4)</f>
        <v>2.2272245448750838</v>
      </c>
      <c r="V27" s="79">
        <f>('TUSD BE'!$W$27+'TUSD BF'!$W$27+'TUSD CVA'!$W$27)*(1 - 0.4)</f>
        <v>0.67848295667204506</v>
      </c>
      <c r="W27" s="79">
        <f>('TUSD BE'!$X$27+'TUSD BF'!$X$27+'TUSD CVA'!$X$27)*(1 - 0.4)</f>
        <v>0</v>
      </c>
      <c r="X27" s="79">
        <f>('TUSD BE'!$Y$27+'TUSD BF'!$Y$27+'TUSD CVA'!$Y$27)*(1 - 0.4)</f>
        <v>24.900162449871132</v>
      </c>
      <c r="Y27" s="79">
        <f>('TUSD BE'!$Z$27+'TUSD BF'!$Z$27+'TUSD CVA'!$Z$27)*(1 - 0.4)</f>
        <v>0</v>
      </c>
      <c r="Z27" s="79">
        <f>('TUSD BE'!$AA$27+'TUSD BF'!$AA$27+'TUSD CVA'!$AA$27)*(1 - 0.4)</f>
        <v>0</v>
      </c>
      <c r="AA27" s="79">
        <f>('TUSD BE'!$AC$27+'TUSD BF'!$AC$27+'TUSD CVA'!$AC$27)*(1 - 0.4)</f>
        <v>109.17409620540293</v>
      </c>
      <c r="AB27" s="79">
        <f ca="1">('TUSD BE'!$AE$27+'TUSD BF'!$AE$27+'TUSD CVA'!$AE$27)*(1 - 0.4)</f>
        <v>-5.1608036777011135</v>
      </c>
      <c r="AC27" s="79">
        <f ca="1">('TUSD BE'!$AF$27+'TUSD BF'!$AF$27+'TUSD CVA'!$AF$27)*(1 - 0.4)</f>
        <v>0</v>
      </c>
      <c r="AD27" s="79">
        <f>('TUSD BE'!$AH$27+'TUSD BF'!$AH$27+'TUSD CVA'!$AH$27)*(1 - 0.4)</f>
        <v>18.765891506240749</v>
      </c>
      <c r="AE27" s="79">
        <f>('TUSD BE'!$AI$27+'TUSD BF'!$AI$27+'TUSD CVA'!$AI$27)*(1 - 0.4)</f>
        <v>0.66188993765976267</v>
      </c>
      <c r="AF27" s="79">
        <f ca="1">('TUSD BE'!$AJ$27+'TUSD BF'!$AJ$27+'TUSD CVA'!$AJ$27)*(1 - 0.4)</f>
        <v>2.5180243678225205</v>
      </c>
      <c r="AG27" s="79">
        <f ca="1">('TUSD BE'!$AK$27+'TUSD BF'!$AK$27+'TUSD CVA'!$AK$27)*(1 - 0.4)</f>
        <v>0.30164168216408743</v>
      </c>
      <c r="AI27" s="79">
        <v>0</v>
      </c>
      <c r="AJ27" s="79">
        <v>0.36803382989381001</v>
      </c>
      <c r="AK27" s="79">
        <v>1.7724439384127</v>
      </c>
      <c r="AL27" s="79">
        <v>0</v>
      </c>
      <c r="AM27" s="79">
        <v>0</v>
      </c>
      <c r="AN27" s="79">
        <v>0</v>
      </c>
      <c r="AO27" s="79">
        <v>0</v>
      </c>
      <c r="AP27" s="79">
        <v>0</v>
      </c>
      <c r="AQ27" s="79">
        <v>12.857329672557499</v>
      </c>
      <c r="AR27" s="79">
        <v>1.96537870278806</v>
      </c>
      <c r="AS27" s="79">
        <v>0.51207970870596198</v>
      </c>
      <c r="AT27" s="79">
        <v>0</v>
      </c>
      <c r="AU27" s="79">
        <v>20.502257584023699</v>
      </c>
      <c r="AV27" s="79">
        <v>0</v>
      </c>
      <c r="AW27" s="79">
        <v>0</v>
      </c>
      <c r="AX27" s="79">
        <v>99.949465949516707</v>
      </c>
      <c r="AY27" s="79">
        <v>0</v>
      </c>
      <c r="AZ27" s="79">
        <v>0</v>
      </c>
      <c r="BA27" s="79">
        <v>13.873061271616599</v>
      </c>
      <c r="BB27" s="79">
        <v>0.47961137814481603</v>
      </c>
      <c r="BC27" s="79">
        <v>3.95449879511439</v>
      </c>
      <c r="BD27" s="79">
        <v>0.221526690805076</v>
      </c>
    </row>
    <row r="28" spans="1:56" ht="11.25" customHeight="1" x14ac:dyDescent="0.25">
      <c r="A28" s="119"/>
      <c r="B28" s="119"/>
      <c r="C28" s="119"/>
      <c r="D28" s="81" t="s">
        <v>31</v>
      </c>
      <c r="E28" s="81" t="s">
        <v>25</v>
      </c>
      <c r="F28" s="81" t="s">
        <v>25</v>
      </c>
      <c r="G28" s="21" t="s">
        <v>86</v>
      </c>
      <c r="H28" s="21" t="s">
        <v>80</v>
      </c>
      <c r="I28" s="21">
        <f>'MERCADO TUSD'!$U$25</f>
        <v>0</v>
      </c>
      <c r="J28" s="17"/>
      <c r="L28" s="79">
        <f>('TUSD BE'!$L$28+'TUSD BF'!$L$28+'TUSD CVA'!$L$28)*(1 - 0.1)</f>
        <v>0</v>
      </c>
      <c r="M28" s="79">
        <f>('TUSD BE'!$M$28+'TUSD BF'!$M$28+'TUSD CVA'!$M$28)*(1 - 0.1)</f>
        <v>0.66670672131857545</v>
      </c>
      <c r="N28" s="79">
        <f ca="1">('TUSD BE'!$N$28+'TUSD BF'!$N$28+'TUSD CVA'!$N$28)*(1 - 0.1)</f>
        <v>2.8897288899633358</v>
      </c>
      <c r="O28" s="79">
        <f>('TUSD BE'!$O$28+'TUSD BF'!$O$28+'TUSD CVA'!$O$28)*(1 - 0.1)</f>
        <v>0</v>
      </c>
      <c r="P28" s="79">
        <v>0</v>
      </c>
      <c r="Q28" s="79">
        <f>('TUSD BE'!$Q$28+'TUSD BF'!$Q$28+'TUSD CVA'!$Q$28)*(1 - 0.1)</f>
        <v>0</v>
      </c>
      <c r="R28" s="79">
        <v>0</v>
      </c>
      <c r="S28" s="79">
        <f>('TUSD BE'!$S$28+'TUSD BF'!$S$28+'TUSD CVA'!$S$28)*(1 - 0.1)</f>
        <v>0</v>
      </c>
      <c r="T28" s="79">
        <f>('TUSD BE'!$U$28+'TUSD BF'!$U$28+'TUSD CVA'!$U$28)*(1 - 0.1)</f>
        <v>25.349032156901007</v>
      </c>
      <c r="U28" s="79">
        <f>('TUSD BE'!$V$28+'TUSD BF'!$V$28+'TUSD CVA'!$V$28)*(1 - 0.1)</f>
        <v>3.3408368173126259</v>
      </c>
      <c r="V28" s="79">
        <f>('TUSD BE'!$W$28+'TUSD BF'!$W$28+'TUSD CVA'!$W$28)*(1 - 0.1)</f>
        <v>1.0177244350080676</v>
      </c>
      <c r="W28" s="79">
        <f>('TUSD BE'!$X$28+'TUSD BF'!$X$28+'TUSD CVA'!$X$28)*(1 - 0.1)</f>
        <v>0</v>
      </c>
      <c r="X28" s="79">
        <f>('TUSD BE'!$Y$28+'TUSD BF'!$Y$28+'TUSD CVA'!$Y$28)*(1 - 0.1)</f>
        <v>37.350243674806698</v>
      </c>
      <c r="Y28" s="79">
        <f>('TUSD BE'!$Z$28+'TUSD BF'!$Z$28+'TUSD CVA'!$Z$28)*(1 - 0.1)</f>
        <v>0</v>
      </c>
      <c r="Z28" s="79">
        <f>('TUSD BE'!$AA$28+'TUSD BF'!$AA$28+'TUSD CVA'!$AA$28)*(1 - 0.1)</f>
        <v>0</v>
      </c>
      <c r="AA28" s="79">
        <f>('TUSD BE'!$AC$28+'TUSD BF'!$AC$28+'TUSD CVA'!$AC$28)*(1 - 0.1)</f>
        <v>163.76114430810441</v>
      </c>
      <c r="AB28" s="79">
        <f ca="1">('TUSD BE'!$AE$28+'TUSD BF'!$AE$28+'TUSD CVA'!$AE$28)*(1 - 0.1)</f>
        <v>-7.7412055165516716</v>
      </c>
      <c r="AC28" s="79">
        <f ca="1">('TUSD BE'!$AF$28+'TUSD BF'!$AF$28+'TUSD CVA'!$AF$28)*(1 - 0.1)</f>
        <v>0</v>
      </c>
      <c r="AD28" s="79">
        <f>('TUSD BE'!$AH$28+'TUSD BF'!$AH$28+'TUSD CVA'!$AH$28)*(1 - 0.1)</f>
        <v>28.148837259361123</v>
      </c>
      <c r="AE28" s="79">
        <f>('TUSD BE'!$AI$28+'TUSD BF'!$AI$28+'TUSD CVA'!$AI$28)*(1 - 0.1)</f>
        <v>0.99283490648964401</v>
      </c>
      <c r="AF28" s="79">
        <f ca="1">('TUSD BE'!$AJ$28+'TUSD BF'!$AJ$28+'TUSD CVA'!$AJ$28)*(1 - 0.1)</f>
        <v>3.7770365517337812</v>
      </c>
      <c r="AG28" s="79">
        <f ca="1">('TUSD BE'!$AK$28+'TUSD BF'!$AK$28+'TUSD CVA'!$AK$28)*(1 - 0.1)</f>
        <v>0.45246252324613118</v>
      </c>
      <c r="AI28" s="79">
        <v>0</v>
      </c>
      <c r="AJ28" s="79">
        <v>0.55205074484071404</v>
      </c>
      <c r="AK28" s="79">
        <v>2.6586659076190502</v>
      </c>
      <c r="AL28" s="79">
        <v>0</v>
      </c>
      <c r="AM28" s="79">
        <v>0</v>
      </c>
      <c r="AN28" s="79">
        <v>0</v>
      </c>
      <c r="AO28" s="79">
        <v>0</v>
      </c>
      <c r="AP28" s="79">
        <v>0</v>
      </c>
      <c r="AQ28" s="79">
        <v>19.2859945088362</v>
      </c>
      <c r="AR28" s="79">
        <v>2.9480680541820901</v>
      </c>
      <c r="AS28" s="79">
        <v>0.76811956305894402</v>
      </c>
      <c r="AT28" s="79">
        <v>0</v>
      </c>
      <c r="AU28" s="79">
        <v>30.7533863760356</v>
      </c>
      <c r="AV28" s="79">
        <v>0</v>
      </c>
      <c r="AW28" s="79">
        <v>0</v>
      </c>
      <c r="AX28" s="79">
        <v>149.924198924275</v>
      </c>
      <c r="AY28" s="79">
        <v>0</v>
      </c>
      <c r="AZ28" s="79">
        <v>0</v>
      </c>
      <c r="BA28" s="79">
        <v>20.809591907424998</v>
      </c>
      <c r="BB28" s="79">
        <v>0.71941706721722398</v>
      </c>
      <c r="BC28" s="79">
        <v>5.9317481926715798</v>
      </c>
      <c r="BD28" s="79">
        <v>0.33229003620761399</v>
      </c>
    </row>
    <row r="29" spans="1:56" ht="11.25" customHeight="1" x14ac:dyDescent="0.25">
      <c r="A29" s="119"/>
      <c r="B29" s="119"/>
      <c r="C29" s="119"/>
      <c r="D29" s="81" t="s">
        <v>32</v>
      </c>
      <c r="E29" s="81" t="s">
        <v>25</v>
      </c>
      <c r="F29" s="81" t="s">
        <v>25</v>
      </c>
      <c r="G29" s="21" t="s">
        <v>86</v>
      </c>
      <c r="H29" s="21" t="s">
        <v>80</v>
      </c>
      <c r="I29" s="21">
        <f>'MERCADO TUSD'!$U$26</f>
        <v>0</v>
      </c>
      <c r="J29" s="17"/>
      <c r="L29" s="79">
        <f>('TUSD BE'!$L$29+'TUSD BF'!$L$29+'TUSD CVA'!$L$29)*1</f>
        <v>0</v>
      </c>
      <c r="M29" s="79">
        <f>('TUSD BE'!$M$29+'TUSD BF'!$M$29+'TUSD CVA'!$M$29)*1</f>
        <v>0.74078524590952821</v>
      </c>
      <c r="N29" s="79">
        <f ca="1">('TUSD BE'!$N$29+'TUSD BF'!$N$29+'TUSD CVA'!$N$29)*1</f>
        <v>3.2108098777370397</v>
      </c>
      <c r="O29" s="79">
        <f>('TUSD BE'!$O$29+'TUSD BF'!$O$29+'TUSD CVA'!$O$29)*1</f>
        <v>0</v>
      </c>
      <c r="P29" s="79">
        <v>0</v>
      </c>
      <c r="Q29" s="79">
        <f>('TUSD BE'!$Q$29+'TUSD BF'!$Q$29+'TUSD CVA'!$Q$29)*1</f>
        <v>0</v>
      </c>
      <c r="R29" s="79">
        <v>0</v>
      </c>
      <c r="S29" s="79">
        <f>('TUSD BE'!$S$29+'TUSD BF'!$S$29+'TUSD CVA'!$S$29)*1</f>
        <v>0</v>
      </c>
      <c r="T29" s="79">
        <f>('TUSD BE'!$U$29+'TUSD BF'!$U$29+'TUSD CVA'!$U$29)*1</f>
        <v>28.165591285445561</v>
      </c>
      <c r="U29" s="79">
        <f>('TUSD BE'!$V$29+'TUSD BF'!$V$29+'TUSD CVA'!$V$29)*1</f>
        <v>3.71204090812514</v>
      </c>
      <c r="V29" s="79">
        <f>('TUSD BE'!$W$29+'TUSD BF'!$W$29+'TUSD CVA'!$W$29)*1</f>
        <v>1.1308049277867418</v>
      </c>
      <c r="W29" s="79">
        <f>('TUSD BE'!$X$29+'TUSD BF'!$X$29+'TUSD CVA'!$X$29)*1</f>
        <v>0</v>
      </c>
      <c r="X29" s="79">
        <f>('TUSD BE'!$Y$29+'TUSD BF'!$Y$29+'TUSD CVA'!$Y$29)*1</f>
        <v>41.500270749785223</v>
      </c>
      <c r="Y29" s="79">
        <f>('TUSD BE'!$Z$29+'TUSD BF'!$Z$29+'TUSD CVA'!$Z$29)*1</f>
        <v>0</v>
      </c>
      <c r="Z29" s="79">
        <f>('TUSD BE'!$AA$29+'TUSD BF'!$AA$29+'TUSD CVA'!$AA$29)*1</f>
        <v>0</v>
      </c>
      <c r="AA29" s="79">
        <f>('TUSD BE'!$AC$29+'TUSD BF'!$AC$29+'TUSD CVA'!$AC$29)*1</f>
        <v>181.95682700900488</v>
      </c>
      <c r="AB29" s="79">
        <f ca="1">('TUSD BE'!$AE$29+'TUSD BF'!$AE$29+'TUSD CVA'!$AE$29)*1</f>
        <v>-8.60133946283519</v>
      </c>
      <c r="AC29" s="79">
        <f ca="1">('TUSD BE'!$AF$29+'TUSD BF'!$AF$29+'TUSD CVA'!$AF$29)*1</f>
        <v>0</v>
      </c>
      <c r="AD29" s="79">
        <f>('TUSD BE'!$AH$29+'TUSD BF'!$AH$29+'TUSD CVA'!$AH$29)*1</f>
        <v>31.27648584373458</v>
      </c>
      <c r="AE29" s="79">
        <f>('TUSD BE'!$AI$29+'TUSD BF'!$AI$29+'TUSD CVA'!$AI$29)*1</f>
        <v>1.1031498960996045</v>
      </c>
      <c r="AF29" s="79">
        <f ca="1">('TUSD BE'!$AJ$29+'TUSD BF'!$AJ$29+'TUSD CVA'!$AJ$29)*1</f>
        <v>4.1967072797042011</v>
      </c>
      <c r="AG29" s="79">
        <f ca="1">('TUSD BE'!$AK$29+'TUSD BF'!$AK$29+'TUSD CVA'!$AK$29)*1</f>
        <v>0.50273613694014574</v>
      </c>
      <c r="AI29" s="79">
        <v>0</v>
      </c>
      <c r="AJ29" s="79">
        <v>0.61338971648968299</v>
      </c>
      <c r="AK29" s="79">
        <v>2.9540732306878401</v>
      </c>
      <c r="AL29" s="79">
        <v>0</v>
      </c>
      <c r="AM29" s="79">
        <v>0</v>
      </c>
      <c r="AN29" s="79">
        <v>0</v>
      </c>
      <c r="AO29" s="79">
        <v>0</v>
      </c>
      <c r="AP29" s="79">
        <v>0</v>
      </c>
      <c r="AQ29" s="79">
        <v>21.4288827875958</v>
      </c>
      <c r="AR29" s="79">
        <v>3.2756311713134401</v>
      </c>
      <c r="AS29" s="79">
        <v>0.853466181176604</v>
      </c>
      <c r="AT29" s="79">
        <v>0</v>
      </c>
      <c r="AU29" s="79">
        <v>34.170429306706197</v>
      </c>
      <c r="AV29" s="79">
        <v>0</v>
      </c>
      <c r="AW29" s="79">
        <v>0</v>
      </c>
      <c r="AX29" s="79">
        <v>166.582443249194</v>
      </c>
      <c r="AY29" s="79">
        <v>0</v>
      </c>
      <c r="AZ29" s="79">
        <v>0</v>
      </c>
      <c r="BA29" s="79">
        <v>23.121768786027701</v>
      </c>
      <c r="BB29" s="79">
        <v>0.799352296908027</v>
      </c>
      <c r="BC29" s="79">
        <v>6.5908313251906403</v>
      </c>
      <c r="BD29" s="79">
        <v>0.369211151341793</v>
      </c>
    </row>
    <row r="30" spans="1:56" ht="11.25" customHeight="1" x14ac:dyDescent="0.25">
      <c r="A30" s="119" t="s">
        <v>43</v>
      </c>
      <c r="B30" s="119" t="s">
        <v>33</v>
      </c>
      <c r="C30" s="119" t="s">
        <v>44</v>
      </c>
      <c r="D30" s="119" t="s">
        <v>25</v>
      </c>
      <c r="E30" s="119" t="s">
        <v>25</v>
      </c>
      <c r="F30" s="119" t="s">
        <v>25</v>
      </c>
      <c r="G30" s="21" t="s">
        <v>81</v>
      </c>
      <c r="H30" s="21" t="s">
        <v>80</v>
      </c>
      <c r="I30" s="21">
        <f>'MERCADO TUSD'!$U$27</f>
        <v>0.27200000000000002</v>
      </c>
      <c r="J30" s="17"/>
      <c r="L30" s="79">
        <f>('TUSD BE'!$L$30+'TUSD BF'!$L$30+'TUSD CVA'!$L$30)*(1 - CUSTOS!$M$38)</f>
        <v>6.7390816420657469</v>
      </c>
      <c r="M30" s="79">
        <f>('TUSD BE'!$M$30+'TUSD BF'!$M$30+'TUSD CVA'!$M$30)*(1 - CUSTOS!$M$38)</f>
        <v>0.69633813115495646</v>
      </c>
      <c r="N30" s="79">
        <f ca="1">('TUSD BE'!$N$30+'TUSD BF'!$N$30+'TUSD CVA'!$N$30)*(1 - CUSTOS!$M$38)</f>
        <v>3.3452438673302094</v>
      </c>
      <c r="O30" s="79">
        <f>('TUSD BE'!$O$30+'TUSD BF'!$O$30+'TUSD CVA'!$O$30)*(1 - CUSTOS!$M$38)</f>
        <v>0</v>
      </c>
      <c r="P30" s="79">
        <f>('TUSD BE'!$P$30+'TUSD BF'!$P$30+'TUSD CVA'!$P$30)*(1 - CUSTOS!$M$38)</f>
        <v>0</v>
      </c>
      <c r="Q30" s="79">
        <f>('TUSD BE'!$Q$30+'TUSD BF'!$Q$30+'TUSD CVA'!$Q$30)*(1 - CUSTOS!$M$38)</f>
        <v>114.6578277367399</v>
      </c>
      <c r="R30" s="79">
        <f>('TUSD BE'!$R$30+'TUSD BF'!$R$30+'TUSD CVA'!$R$30)*(1 - CUSTOS!$M$38)</f>
        <v>18.964972155172209</v>
      </c>
      <c r="S30" s="79">
        <f>('TUSD BE'!$S$30+'TUSD BF'!$S$30+'TUSD CVA'!$S$30)*(1 - CUSTOS!$M$38)</f>
        <v>0</v>
      </c>
      <c r="T30" s="79">
        <f>('TUSD BE'!$U$30+'TUSD BF'!$U$30+'TUSD CVA'!$U$30)*(1 - CUSTOS!$M$38)</f>
        <v>93.988590776530089</v>
      </c>
      <c r="U30" s="79">
        <f>('TUSD BE'!$V$30+'TUSD BF'!$V$30+'TUSD CVA'!$V$30)*(1 - CUSTOS!$M$38)</f>
        <v>12.386948829377211</v>
      </c>
      <c r="V30" s="79">
        <f>('TUSD BE'!$W$30+'TUSD BF'!$W$30+'TUSD CVA'!$W$30)*(1 - CUSTOS!$M$38)</f>
        <v>3.7734960440243568</v>
      </c>
      <c r="W30" s="79">
        <f>('TUSD BE'!$X$30+'TUSD BF'!$X$30+'TUSD CVA'!$X$30)*(1 - CUSTOS!$M$38)</f>
        <v>0</v>
      </c>
      <c r="X30" s="79">
        <f>('TUSD BE'!$Y$30+'TUSD BF'!$Y$30+'TUSD CVA'!$Y$30)*(1 - CUSTOS!$M$38)</f>
        <v>138.48629228834312</v>
      </c>
      <c r="Y30" s="79">
        <f>('TUSD BE'!$Z$30+'TUSD BF'!$Z$30+'TUSD CVA'!$Z$30)*(1 - CUSTOS!$M$38)</f>
        <v>0</v>
      </c>
      <c r="Z30" s="79">
        <f>('TUSD BE'!$AA$30+'TUSD BF'!$AA$30+'TUSD CVA'!$AA$30)*(1 - CUSTOS!$M$38)</f>
        <v>0</v>
      </c>
      <c r="AA30" s="79">
        <f>('TUSD BE'!$AC$30+'TUSD BF'!$AC$30+'TUSD CVA'!$AC$30)*(1 - CUSTOS!$M$38)</f>
        <v>607.190014338629</v>
      </c>
      <c r="AB30" s="79">
        <f ca="1">('TUSD BE'!$AE$30+'TUSD BF'!$AE$30+'TUSD CVA'!$AE$30)*(1 - CUSTOS!$M$38)</f>
        <v>-29.168608086911423</v>
      </c>
      <c r="AC30" s="79">
        <f ca="1">('TUSD BE'!$AF$30+'TUSD BF'!$AF$30+'TUSD CVA'!$AF$30)*(1 - CUSTOS!$M$38)</f>
        <v>0</v>
      </c>
      <c r="AD30" s="79">
        <f>('TUSD BE'!$AH$30+'TUSD BF'!$AH$30+'TUSD CVA'!$AH$30)*(1 - CUSTOS!$M$38)</f>
        <v>29.399896693110502</v>
      </c>
      <c r="AE30" s="79">
        <f>('TUSD BE'!$AI$30+'TUSD BF'!$AI$30+'TUSD CVA'!$AI$30)*(1 - CUSTOS!$M$38)</f>
        <v>1.0369609023336281</v>
      </c>
      <c r="AF30" s="79">
        <f ca="1">('TUSD BE'!$AJ$30+'TUSD BF'!$AJ$30+'TUSD CVA'!$AJ$30)*(1 - CUSTOS!$M$38)</f>
        <v>3.9449048429219489</v>
      </c>
      <c r="AG30" s="79">
        <f ca="1">('TUSD BE'!$AK$30+'TUSD BF'!$AK$30+'TUSD CVA'!$AK$30)*(1 - CUSTOS!$M$38)</f>
        <v>0.47257196872373697</v>
      </c>
      <c r="AI30" s="79">
        <v>5.5869025923696496</v>
      </c>
      <c r="AJ30" s="79">
        <v>0.53978295051092096</v>
      </c>
      <c r="AK30" s="79">
        <v>2.8811215853835401</v>
      </c>
      <c r="AL30" s="79">
        <v>0</v>
      </c>
      <c r="AM30" s="79">
        <v>0</v>
      </c>
      <c r="AN30" s="79">
        <v>43.2579512137115</v>
      </c>
      <c r="AO30" s="79">
        <v>7.5795984231886804</v>
      </c>
      <c r="AP30" s="79">
        <v>0</v>
      </c>
      <c r="AQ30" s="79">
        <v>66.943838843458806</v>
      </c>
      <c r="AR30" s="79">
        <v>10.2329629963674</v>
      </c>
      <c r="AS30" s="79">
        <v>2.66622834999571</v>
      </c>
      <c r="AT30" s="79">
        <v>0</v>
      </c>
      <c r="AU30" s="79">
        <v>106.748335435855</v>
      </c>
      <c r="AV30" s="79">
        <v>0</v>
      </c>
      <c r="AW30" s="79">
        <v>0</v>
      </c>
      <c r="AX30" s="79">
        <v>520.40362351257795</v>
      </c>
      <c r="AY30" s="79">
        <v>0</v>
      </c>
      <c r="AZ30" s="79">
        <v>0</v>
      </c>
      <c r="BA30" s="79">
        <v>20.3471565317044</v>
      </c>
      <c r="BB30" s="79">
        <v>0.70343002127906296</v>
      </c>
      <c r="BC30" s="79">
        <v>5.7999315661677704</v>
      </c>
      <c r="BD30" s="79">
        <v>0.32490581318077799</v>
      </c>
    </row>
    <row r="31" spans="1:56" ht="11.25" customHeight="1" x14ac:dyDescent="0.25">
      <c r="A31" s="119"/>
      <c r="B31" s="119"/>
      <c r="C31" s="119"/>
      <c r="D31" s="119"/>
      <c r="E31" s="119"/>
      <c r="F31" s="119"/>
      <c r="G31" s="21" t="s">
        <v>91</v>
      </c>
      <c r="H31" s="21" t="s">
        <v>80</v>
      </c>
      <c r="I31" s="21">
        <f>'MERCADO TUSD'!$U$28</f>
        <v>0.20100000000000001</v>
      </c>
      <c r="J31" s="17"/>
      <c r="L31" s="79">
        <f>('TUSD BE'!$L$31+'TUSD BF'!$L$31+'TUSD CVA'!$L$31)*(1 - CUSTOS!$M$38)</f>
        <v>6.7390816420657469</v>
      </c>
      <c r="M31" s="79">
        <f>('TUSD BE'!$M$31+'TUSD BF'!$M$31+'TUSD CVA'!$M$31)*(1 - CUSTOS!$M$38)</f>
        <v>0.69633813115495646</v>
      </c>
      <c r="N31" s="79">
        <f ca="1">('TUSD BE'!$N$31+'TUSD BF'!$N$31+'TUSD CVA'!$N$31)*(1 - CUSTOS!$M$38)</f>
        <v>3.1634197690816865</v>
      </c>
      <c r="O31" s="79">
        <f>('TUSD BE'!$O$31+'TUSD BF'!$O$31+'TUSD CVA'!$O$31)*(1 - CUSTOS!$M$38)</f>
        <v>0</v>
      </c>
      <c r="P31" s="79">
        <f>('TUSD BE'!$P$31+'TUSD BF'!$P$31+'TUSD CVA'!$P$31)*(1 - CUSTOS!$M$38)</f>
        <v>0</v>
      </c>
      <c r="Q31" s="79">
        <f>('TUSD BE'!$Q$31+'TUSD BF'!$Q$31+'TUSD CVA'!$Q$31)*(1 - CUSTOS!$M$38)</f>
        <v>114.6578277367399</v>
      </c>
      <c r="R31" s="79">
        <f>('TUSD BE'!$R$31+'TUSD BF'!$R$31+'TUSD CVA'!$R$31)*(1 - CUSTOS!$M$38)</f>
        <v>18.964972155172209</v>
      </c>
      <c r="S31" s="79">
        <f>('TUSD BE'!$S$31+'TUSD BF'!$S$31+'TUSD CVA'!$S$31)*(1 - CUSTOS!$M$38)</f>
        <v>0</v>
      </c>
      <c r="T31" s="79">
        <f>('TUSD BE'!$U$31+'TUSD BF'!$U$31+'TUSD CVA'!$U$31)*(1 - CUSTOS!$M$38)</f>
        <v>56.393129151921549</v>
      </c>
      <c r="U31" s="79">
        <f>('TUSD BE'!$V$31+'TUSD BF'!$V$31+'TUSD CVA'!$V$31)*(1 - CUSTOS!$M$38)</f>
        <v>7.4321921986761312</v>
      </c>
      <c r="V31" s="79">
        <f>('TUSD BE'!$W$31+'TUSD BF'!$W$31+'TUSD CVA'!$W$31)*(1 - CUSTOS!$M$38)</f>
        <v>2.2640748650306284</v>
      </c>
      <c r="W31" s="79">
        <f>('TUSD BE'!$X$31+'TUSD BF'!$X$31+'TUSD CVA'!$X$31)*(1 - CUSTOS!$M$38)</f>
        <v>0</v>
      </c>
      <c r="X31" s="79">
        <f>('TUSD BE'!$Y$31+'TUSD BF'!$Y$31+'TUSD CVA'!$Y$31)*(1 - CUSTOS!$M$38)</f>
        <v>83.091730891529821</v>
      </c>
      <c r="Y31" s="79">
        <f>('TUSD BE'!$Z$31+'TUSD BF'!$Z$31+'TUSD CVA'!$Z$31)*(1 - CUSTOS!$M$38)</f>
        <v>0</v>
      </c>
      <c r="Z31" s="79">
        <f>('TUSD BE'!$AA$31+'TUSD BF'!$AA$31+'TUSD CVA'!$AA$31)*(1 - CUSTOS!$M$38)</f>
        <v>0</v>
      </c>
      <c r="AA31" s="79">
        <f>('TUSD BE'!$AC$31+'TUSD BF'!$AC$31+'TUSD CVA'!$AC$31)*(1 - CUSTOS!$M$38)</f>
        <v>364.31402925557234</v>
      </c>
      <c r="AB31" s="79">
        <f ca="1">('TUSD BE'!$AE$31+'TUSD BF'!$AE$31+'TUSD CVA'!$AE$31)*(1 - CUSTOS!$M$38)</f>
        <v>-19.214882121721431</v>
      </c>
      <c r="AC31" s="79">
        <f ca="1">('TUSD BE'!$AF$31+'TUSD BF'!$AF$31+'TUSD CVA'!$AF$31)*(1 - CUSTOS!$M$38)</f>
        <v>0</v>
      </c>
      <c r="AD31" s="79">
        <f>('TUSD BE'!$AH$31+'TUSD BF'!$AH$31+'TUSD CVA'!$AH$31)*(1 - CUSTOS!$M$38)</f>
        <v>29.399896693110502</v>
      </c>
      <c r="AE31" s="79">
        <f>('TUSD BE'!$AI$31+'TUSD BF'!$AI$31+'TUSD CVA'!$AI$31)*(1 - CUSTOS!$M$38)</f>
        <v>1.0369609023336281</v>
      </c>
      <c r="AF31" s="79">
        <f ca="1">('TUSD BE'!$AJ$31+'TUSD BF'!$AJ$31+'TUSD CVA'!$AJ$31)*(1 - CUSTOS!$M$38)</f>
        <v>3.9449048429219489</v>
      </c>
      <c r="AG31" s="79">
        <f ca="1">('TUSD BE'!$AK$31+'TUSD BF'!$AK$31+'TUSD CVA'!$AK$31)*(1 - CUSTOS!$M$38)</f>
        <v>0.47257196872373697</v>
      </c>
      <c r="AI31" s="79">
        <v>5.5869025923696496</v>
      </c>
      <c r="AJ31" s="79">
        <v>0.53978295051092096</v>
      </c>
      <c r="AK31" s="79">
        <v>2.72461604270653</v>
      </c>
      <c r="AL31" s="79">
        <v>0</v>
      </c>
      <c r="AM31" s="79">
        <v>0</v>
      </c>
      <c r="AN31" s="79">
        <v>43.2579512137115</v>
      </c>
      <c r="AO31" s="79">
        <v>7.5795984231886804</v>
      </c>
      <c r="AP31" s="79">
        <v>0</v>
      </c>
      <c r="AQ31" s="79">
        <v>40.166285276056001</v>
      </c>
      <c r="AR31" s="79">
        <v>6.1397967165710101</v>
      </c>
      <c r="AS31" s="79">
        <v>1.5997209275511901</v>
      </c>
      <c r="AT31" s="79">
        <v>0</v>
      </c>
      <c r="AU31" s="79">
        <v>64.048966974195395</v>
      </c>
      <c r="AV31" s="79">
        <v>0</v>
      </c>
      <c r="AW31" s="79">
        <v>0</v>
      </c>
      <c r="AX31" s="79">
        <v>312.24219180807</v>
      </c>
      <c r="AY31" s="79">
        <v>0</v>
      </c>
      <c r="AZ31" s="79">
        <v>0</v>
      </c>
      <c r="BA31" s="79">
        <v>20.3471565317044</v>
      </c>
      <c r="BB31" s="79">
        <v>0.70343002127906296</v>
      </c>
      <c r="BC31" s="79">
        <v>5.7999315661677704</v>
      </c>
      <c r="BD31" s="79">
        <v>0.32490581318077799</v>
      </c>
    </row>
    <row r="32" spans="1:56" ht="11.25" customHeight="1" x14ac:dyDescent="0.25">
      <c r="A32" s="119"/>
      <c r="B32" s="119"/>
      <c r="C32" s="119"/>
      <c r="D32" s="119"/>
      <c r="E32" s="119"/>
      <c r="F32" s="119"/>
      <c r="G32" s="21" t="s">
        <v>82</v>
      </c>
      <c r="H32" s="21" t="s">
        <v>80</v>
      </c>
      <c r="I32" s="21">
        <f>'MERCADO TUSD'!$U$29</f>
        <v>5.4039999999999999</v>
      </c>
      <c r="J32" s="17"/>
      <c r="L32" s="79">
        <f>('TUSD BE'!$L$32+'TUSD BF'!$L$32+'TUSD CVA'!$L$32)*(1 - CUSTOS!$M$38)</f>
        <v>6.7390816420657469</v>
      </c>
      <c r="M32" s="79">
        <f>('TUSD BE'!$M$32+'TUSD BF'!$M$32+'TUSD CVA'!$M$32)*(1 - CUSTOS!$M$38)</f>
        <v>0.69633813115495646</v>
      </c>
      <c r="N32" s="79">
        <f ca="1">('TUSD BE'!$N$32+'TUSD BF'!$N$32+'TUSD CVA'!$N$32)*(1 - CUSTOS!$M$38)</f>
        <v>2.9815957275868632</v>
      </c>
      <c r="O32" s="79">
        <f>('TUSD BE'!$O$32+'TUSD BF'!$O$32+'TUSD CVA'!$O$32)*(1 - CUSTOS!$M$38)</f>
        <v>0</v>
      </c>
      <c r="P32" s="79">
        <f>('TUSD BE'!$P$32+'TUSD BF'!$P$32+'TUSD CVA'!$P$32)*(1 - CUSTOS!$M$38)</f>
        <v>0</v>
      </c>
      <c r="Q32" s="79">
        <f>('TUSD BE'!$Q$32+'TUSD BF'!$Q$32+'TUSD CVA'!$Q$32)*(1 - CUSTOS!$M$38)</f>
        <v>114.6578277367399</v>
      </c>
      <c r="R32" s="79">
        <f>('TUSD BE'!$R$32+'TUSD BF'!$R$32+'TUSD CVA'!$R$32)*(1 - CUSTOS!$M$38)</f>
        <v>18.964972155172209</v>
      </c>
      <c r="S32" s="79">
        <f>('TUSD BE'!$S$32+'TUSD BF'!$S$32+'TUSD CVA'!$S$32)*(1 - CUSTOS!$M$38)</f>
        <v>0</v>
      </c>
      <c r="T32" s="79">
        <f>('TUSD BE'!$U$32+'TUSD BF'!$U$32+'TUSD CVA'!$U$32)*(1 - CUSTOS!$M$38)</f>
        <v>18.797667527313003</v>
      </c>
      <c r="U32" s="79">
        <f>('TUSD BE'!$V$32+'TUSD BF'!$V$32+'TUSD CVA'!$V$32)*(1 - CUSTOS!$M$38)</f>
        <v>2.4774355679750535</v>
      </c>
      <c r="V32" s="79">
        <f>('TUSD BE'!$W$32+'TUSD BF'!$W$32+'TUSD CVA'!$W$32)*(1 - CUSTOS!$M$38)</f>
        <v>0.75465368603690053</v>
      </c>
      <c r="W32" s="79">
        <f>('TUSD BE'!$X$32+'TUSD BF'!$X$32+'TUSD CVA'!$X$32)*(1 - CUSTOS!$M$38)</f>
        <v>0</v>
      </c>
      <c r="X32" s="79">
        <f>('TUSD BE'!$Y$32+'TUSD BF'!$Y$32+'TUSD CVA'!$Y$32)*(1 - CUSTOS!$M$38)</f>
        <v>27.697280698406658</v>
      </c>
      <c r="Y32" s="79">
        <f>('TUSD BE'!$Z$32+'TUSD BF'!$Z$32+'TUSD CVA'!$Z$32)*(1 - CUSTOS!$M$38)</f>
        <v>0</v>
      </c>
      <c r="Z32" s="79">
        <f>('TUSD BE'!$AA$32+'TUSD BF'!$AA$32+'TUSD CVA'!$AA$32)*(1 - CUSTOS!$M$38)</f>
        <v>0</v>
      </c>
      <c r="AA32" s="79">
        <f>('TUSD BE'!$AC$32+'TUSD BF'!$AC$32+'TUSD CVA'!$AC$32)*(1 - CUSTOS!$M$38)</f>
        <v>121.43804417251565</v>
      </c>
      <c r="AB32" s="79">
        <f ca="1">('TUSD BE'!$AE$32+'TUSD BF'!$AE$32+'TUSD CVA'!$AE$32)*(1 - CUSTOS!$M$38)</f>
        <v>-9.261159385702765</v>
      </c>
      <c r="AC32" s="79">
        <f ca="1">('TUSD BE'!$AF$32+'TUSD BF'!$AF$32+'TUSD CVA'!$AF$32)*(1 - CUSTOS!$M$38)</f>
        <v>0</v>
      </c>
      <c r="AD32" s="79">
        <f>('TUSD BE'!$AH$32+'TUSD BF'!$AH$32+'TUSD CVA'!$AH$32)*(1 - CUSTOS!$M$38)</f>
        <v>29.399896693110502</v>
      </c>
      <c r="AE32" s="79">
        <f>('TUSD BE'!$AI$32+'TUSD BF'!$AI$32+'TUSD CVA'!$AI$32)*(1 - CUSTOS!$M$38)</f>
        <v>1.0369609023336281</v>
      </c>
      <c r="AF32" s="79">
        <f ca="1">('TUSD BE'!$AJ$32+'TUSD BF'!$AJ$32+'TUSD CVA'!$AJ$32)*(1 - CUSTOS!$M$38)</f>
        <v>3.9449048429219489</v>
      </c>
      <c r="AG32" s="79">
        <f ca="1">('TUSD BE'!$AK$32+'TUSD BF'!$AK$32+'TUSD CVA'!$AK$32)*(1 - CUSTOS!$M$38)</f>
        <v>0.47257196872373697</v>
      </c>
      <c r="AI32" s="79">
        <v>5.5869025923696496</v>
      </c>
      <c r="AJ32" s="79">
        <v>0.53978295051092096</v>
      </c>
      <c r="AK32" s="79">
        <v>2.5681105488804099</v>
      </c>
      <c r="AL32" s="79">
        <v>0</v>
      </c>
      <c r="AM32" s="79">
        <v>0</v>
      </c>
      <c r="AN32" s="79">
        <v>43.2579512137115</v>
      </c>
      <c r="AO32" s="79">
        <v>7.5795984231886804</v>
      </c>
      <c r="AP32" s="79">
        <v>0</v>
      </c>
      <c r="AQ32" s="79">
        <v>13.3887317086532</v>
      </c>
      <c r="AR32" s="79">
        <v>2.04663043677462</v>
      </c>
      <c r="AS32" s="79">
        <v>0.53321350510666099</v>
      </c>
      <c r="AT32" s="79">
        <v>0</v>
      </c>
      <c r="AU32" s="79">
        <v>21.34968423083</v>
      </c>
      <c r="AV32" s="79">
        <v>0</v>
      </c>
      <c r="AW32" s="79">
        <v>0</v>
      </c>
      <c r="AX32" s="79">
        <v>104.08076010356299</v>
      </c>
      <c r="AY32" s="79">
        <v>0</v>
      </c>
      <c r="AZ32" s="79">
        <v>0</v>
      </c>
      <c r="BA32" s="79">
        <v>20.3471565317044</v>
      </c>
      <c r="BB32" s="79">
        <v>0.70343002127906296</v>
      </c>
      <c r="BC32" s="79">
        <v>5.7999315661677704</v>
      </c>
      <c r="BD32" s="79">
        <v>0.32490581318077799</v>
      </c>
    </row>
    <row r="33" spans="1:56" ht="11.25" customHeight="1" x14ac:dyDescent="0.25">
      <c r="A33" s="119"/>
      <c r="B33" s="81" t="s">
        <v>23</v>
      </c>
      <c r="C33" s="81" t="s">
        <v>44</v>
      </c>
      <c r="D33" s="81" t="s">
        <v>25</v>
      </c>
      <c r="E33" s="81" t="s">
        <v>25</v>
      </c>
      <c r="F33" s="81" t="s">
        <v>25</v>
      </c>
      <c r="G33" s="21" t="s">
        <v>86</v>
      </c>
      <c r="H33" s="21" t="s">
        <v>80</v>
      </c>
      <c r="I33" s="21">
        <f>'MERCADO TUSD'!$U$30</f>
        <v>183438.26899999997</v>
      </c>
      <c r="J33" s="17"/>
      <c r="L33" s="79">
        <f>('TUSD BE'!$L$33+'TUSD BF'!$L$33+'TUSD CVA'!$L$33)*(1 - CUSTOS!$M$38)</f>
        <v>6.7390816420657469</v>
      </c>
      <c r="M33" s="79">
        <f>('TUSD BE'!$M$33+'TUSD BF'!$M$33+'TUSD CVA'!$M$33)*(1 - CUSTOS!$M$38)</f>
        <v>0.69633813115495646</v>
      </c>
      <c r="N33" s="79">
        <f ca="1">('TUSD BE'!$N$33+'TUSD BF'!$N$33+'TUSD CVA'!$N$33)*(1 - CUSTOS!$M$38)</f>
        <v>3.0187288220709769</v>
      </c>
      <c r="O33" s="79">
        <f>('TUSD BE'!$O$33+'TUSD BF'!$O$33+'TUSD CVA'!$O$33)*(1 - CUSTOS!$M$38)</f>
        <v>0</v>
      </c>
      <c r="P33" s="79">
        <f>('TUSD BE'!$P$33+'TUSD BF'!$P$33+'TUSD CVA'!$P$33)*(1 - CUSTOS!$M$38)</f>
        <v>0</v>
      </c>
      <c r="Q33" s="79">
        <f>('TUSD BE'!$Q$33+'TUSD BF'!$Q$33+'TUSD CVA'!$Q$33)*(1 - CUSTOS!$M$38)</f>
        <v>114.6578277367399</v>
      </c>
      <c r="R33" s="79">
        <f>('TUSD BE'!$R$33+'TUSD BF'!$R$33+'TUSD CVA'!$R$33)*(1 - CUSTOS!$M$38)</f>
        <v>18.964972155172209</v>
      </c>
      <c r="S33" s="79">
        <f>('TUSD BE'!$S$33+'TUSD BF'!$S$33+'TUSD CVA'!$S$33)*(1 - CUSTOS!$M$38)</f>
        <v>0</v>
      </c>
      <c r="T33" s="79">
        <f>('TUSD BE'!$U$33+'TUSD BF'!$U$33+'TUSD CVA'!$U$33)*(1 - CUSTOS!$M$38)</f>
        <v>26.475655808318827</v>
      </c>
      <c r="U33" s="79">
        <f>('TUSD BE'!$V$33+'TUSD BF'!$V$33+'TUSD CVA'!$V$33)*(1 - CUSTOS!$M$38)</f>
        <v>3.4893184536376314</v>
      </c>
      <c r="V33" s="79">
        <f>('TUSD BE'!$W$33+'TUSD BF'!$W$33+'TUSD CVA'!$W$33)*(1 - CUSTOS!$M$38)</f>
        <v>1.0629566321195372</v>
      </c>
      <c r="W33" s="79">
        <f>('TUSD BE'!$X$33+'TUSD BF'!$X$33+'TUSD CVA'!$X$33)*(1 - CUSTOS!$M$38)</f>
        <v>0</v>
      </c>
      <c r="X33" s="79">
        <f>('TUSD BE'!$Y$33+'TUSD BF'!$Y$33+'TUSD CVA'!$Y$33)*(1 - CUSTOS!$M$38)</f>
        <v>39.010254504798105</v>
      </c>
      <c r="Y33" s="79">
        <f>('TUSD BE'!$Z$33+'TUSD BF'!$Z$33+'TUSD CVA'!$Z$33)*(1 - CUSTOS!$M$38)</f>
        <v>0</v>
      </c>
      <c r="Z33" s="79">
        <f>('TUSD BE'!$AA$33+'TUSD BF'!$AA$33+'TUSD CVA'!$AA$33)*(1 - CUSTOS!$M$38)</f>
        <v>0</v>
      </c>
      <c r="AA33" s="79">
        <f>('TUSD BE'!$AC$33+'TUSD BF'!$AC$33+'TUSD CVA'!$AC$33)*(1 - CUSTOS!$M$38)</f>
        <v>171.03941738846459</v>
      </c>
      <c r="AB33" s="79">
        <f ca="1">('TUSD BE'!$AE$33+'TUSD BF'!$AE$33+'TUSD CVA'!$AE$33)*(1 - CUSTOS!$M$38)</f>
        <v>-11.293962984724457</v>
      </c>
      <c r="AC33" s="79">
        <f ca="1">('TUSD BE'!$AF$33+'TUSD BF'!$AF$33+'TUSD CVA'!$AF$33)*(1 - CUSTOS!$M$38)</f>
        <v>0</v>
      </c>
      <c r="AD33" s="79">
        <f>('TUSD BE'!$AH$33+'TUSD BF'!$AH$33+'TUSD CVA'!$AH$33)*(1 - CUSTOS!$M$38)</f>
        <v>29.399896693110502</v>
      </c>
      <c r="AE33" s="79">
        <f>('TUSD BE'!$AI$33+'TUSD BF'!$AI$33+'TUSD CVA'!$AI$33)*(1 - CUSTOS!$M$38)</f>
        <v>1.0369609023336281</v>
      </c>
      <c r="AF33" s="79">
        <f ca="1">('TUSD BE'!$AJ$33+'TUSD BF'!$AJ$33+'TUSD CVA'!$AJ$33)*(1 - CUSTOS!$M$38)</f>
        <v>3.9449048429219489</v>
      </c>
      <c r="AG33" s="79">
        <f ca="1">('TUSD BE'!$AK$33+'TUSD BF'!$AK$33+'TUSD CVA'!$AK$33)*(1 - CUSTOS!$M$38)</f>
        <v>0.47257196872373697</v>
      </c>
      <c r="AI33" s="79">
        <v>5.5869025923696496</v>
      </c>
      <c r="AJ33" s="79">
        <v>0.53978295051092096</v>
      </c>
      <c r="AK33" s="79">
        <v>2.6000729518814101</v>
      </c>
      <c r="AL33" s="79">
        <v>0</v>
      </c>
      <c r="AM33" s="79">
        <v>0</v>
      </c>
      <c r="AN33" s="79">
        <v>43.2579512137115</v>
      </c>
      <c r="AO33" s="79">
        <v>7.5795984231886804</v>
      </c>
      <c r="AP33" s="79">
        <v>0</v>
      </c>
      <c r="AQ33" s="79">
        <v>18.857416853084299</v>
      </c>
      <c r="AR33" s="79">
        <v>2.8825554307558301</v>
      </c>
      <c r="AS33" s="79">
        <v>0.75105023943541105</v>
      </c>
      <c r="AT33" s="79">
        <v>0</v>
      </c>
      <c r="AU33" s="79">
        <v>30.0699777899015</v>
      </c>
      <c r="AV33" s="79">
        <v>0</v>
      </c>
      <c r="AW33" s="79">
        <v>0</v>
      </c>
      <c r="AX33" s="79">
        <v>146.592550059291</v>
      </c>
      <c r="AY33" s="79">
        <v>0</v>
      </c>
      <c r="AZ33" s="79">
        <v>0</v>
      </c>
      <c r="BA33" s="79">
        <v>20.3471565317044</v>
      </c>
      <c r="BB33" s="79">
        <v>0.70343002127906296</v>
      </c>
      <c r="BC33" s="79">
        <v>5.7999315661677704</v>
      </c>
      <c r="BD33" s="79">
        <v>0.32490581318077799</v>
      </c>
    </row>
    <row r="34" spans="1:56" ht="11.25" customHeight="1" x14ac:dyDescent="0.25">
      <c r="A34" s="119"/>
      <c r="B34" s="119" t="s">
        <v>33</v>
      </c>
      <c r="C34" s="119" t="s">
        <v>44</v>
      </c>
      <c r="D34" s="119" t="s">
        <v>95</v>
      </c>
      <c r="E34" s="119" t="s">
        <v>25</v>
      </c>
      <c r="F34" s="119" t="s">
        <v>25</v>
      </c>
      <c r="G34" s="21" t="s">
        <v>81</v>
      </c>
      <c r="H34" s="21" t="s">
        <v>80</v>
      </c>
      <c r="I34" s="21">
        <f>'MERCADO TUSD'!$U$31</f>
        <v>0</v>
      </c>
      <c r="J34" s="17"/>
      <c r="L34" s="79">
        <f>('TUSD BE'!$L$34+'TUSD BF'!$L$34+'TUSD CVA'!$L$34)*(1 - CUSTOS!$M$39)</f>
        <v>6.7390816420657469</v>
      </c>
      <c r="M34" s="79">
        <f>('TUSD BE'!$M$34+'TUSD BF'!$M$34+'TUSD CVA'!$M$34)*(1 - CUSTOS!$M$39)</f>
        <v>0.69633813115495646</v>
      </c>
      <c r="N34" s="79">
        <f ca="1">('TUSD BE'!$N$34+'TUSD BF'!$N$34+'TUSD CVA'!$N$34)*(1 - CUSTOS!$M$39)</f>
        <v>3.3452438673302094</v>
      </c>
      <c r="O34" s="79">
        <f>('TUSD BE'!$O$34+'TUSD BF'!$O$34+'TUSD CVA'!$O$34)*(1 - CUSTOS!$M$39)</f>
        <v>0</v>
      </c>
      <c r="P34" s="79">
        <f>('TUSD BE'!$P$34+'TUSD BF'!$P$34+'TUSD CVA'!$P$34)*(1 - CUSTOS!$M$39)</f>
        <v>0</v>
      </c>
      <c r="Q34" s="79">
        <f>('TUSD BE'!$Q$34+'TUSD BF'!$Q$34+'TUSD CVA'!$Q$34)*(1 - CUSTOS!$M$39)</f>
        <v>114.6578277367399</v>
      </c>
      <c r="R34" s="79">
        <f>('TUSD BE'!$R$34+'TUSD BF'!$R$34+'TUSD CVA'!$R$34)*(1 - CUSTOS!$M$39)</f>
        <v>18.964972155172209</v>
      </c>
      <c r="S34" s="79">
        <f>('TUSD BE'!$S$34+'TUSD BF'!$S$34+'TUSD CVA'!$S$34)*(1 - CUSTOS!$M$39)</f>
        <v>0</v>
      </c>
      <c r="T34" s="79">
        <f>('TUSD BE'!$U$34+'TUSD BF'!$U$34+'TUSD CVA'!$U$34)*(1 - CUSTOS!$M$39)</f>
        <v>93.988590776530089</v>
      </c>
      <c r="U34" s="79">
        <f>('TUSD BE'!$V$34+'TUSD BF'!$V$34+'TUSD CVA'!$V$34)*(1 - CUSTOS!$M$39)</f>
        <v>12.386948829377211</v>
      </c>
      <c r="V34" s="79">
        <f>('TUSD BE'!$W$34+'TUSD BF'!$W$34+'TUSD CVA'!$W$34)*(1 - CUSTOS!$M$39)</f>
        <v>3.7734960440243568</v>
      </c>
      <c r="W34" s="79">
        <f>('TUSD BE'!$X$34+'TUSD BF'!$X$34+'TUSD CVA'!$X$34)*(1 - CUSTOS!$M$39)</f>
        <v>0</v>
      </c>
      <c r="X34" s="79">
        <f>('TUSD BE'!$Y$34+'TUSD BF'!$Y$34+'TUSD CVA'!$Y$34)*(1 - CUSTOS!$M$39)</f>
        <v>138.48629228834312</v>
      </c>
      <c r="Y34" s="79">
        <f>('TUSD BE'!$Z$34+'TUSD BF'!$Z$34+'TUSD CVA'!$Z$34)*(1 - CUSTOS!$M$39)</f>
        <v>0</v>
      </c>
      <c r="Z34" s="79">
        <f>('TUSD BE'!$AA$34+'TUSD BF'!$AA$34+'TUSD CVA'!$AA$34)*(1 - CUSTOS!$M$39)</f>
        <v>0</v>
      </c>
      <c r="AA34" s="79">
        <f>('TUSD BE'!$AC$34+'TUSD BF'!$AC$34+'TUSD CVA'!$AC$34)*(1 - CUSTOS!$M$39)</f>
        <v>607.190014338629</v>
      </c>
      <c r="AB34" s="79">
        <f ca="1">('TUSD BE'!$AE$34+'TUSD BF'!$AE$34+'TUSD CVA'!$AE$34)*(1 - CUSTOS!$M$39)</f>
        <v>-29.168608086911423</v>
      </c>
      <c r="AC34" s="79">
        <f ca="1">('TUSD BE'!$AF$34+'TUSD BF'!$AF$34+'TUSD CVA'!$AF$34)*(1 - CUSTOS!$M$39)</f>
        <v>0</v>
      </c>
      <c r="AD34" s="79">
        <f>('TUSD BE'!$AH$34+'TUSD BF'!$AH$34+'TUSD CVA'!$AH$34)*(1 - CUSTOS!$M$39)</f>
        <v>29.399896693110502</v>
      </c>
      <c r="AE34" s="79">
        <f>('TUSD BE'!$AI$34+'TUSD BF'!$AI$34+'TUSD CVA'!$AI$34)*(1 - CUSTOS!$M$39)</f>
        <v>1.0369609023336281</v>
      </c>
      <c r="AF34" s="79">
        <f ca="1">('TUSD BE'!$AJ$34+'TUSD BF'!$AJ$34+'TUSD CVA'!$AJ$34)*(1 - CUSTOS!$M$39)</f>
        <v>3.9449048429219489</v>
      </c>
      <c r="AG34" s="79">
        <f ca="1">('TUSD BE'!$AK$34+'TUSD BF'!$AK$34+'TUSD CVA'!$AK$34)*(1 - CUSTOS!$M$39)</f>
        <v>0.47257196872373697</v>
      </c>
      <c r="AI34" s="79">
        <v>5.5869025923696496</v>
      </c>
      <c r="AJ34" s="79">
        <v>0.53978295051092096</v>
      </c>
      <c r="AK34" s="79">
        <v>2.8811215853835401</v>
      </c>
      <c r="AL34" s="79">
        <v>0</v>
      </c>
      <c r="AM34" s="79">
        <v>0</v>
      </c>
      <c r="AN34" s="79">
        <v>43.2579512137115</v>
      </c>
      <c r="AO34" s="79">
        <v>7.5795984231886804</v>
      </c>
      <c r="AP34" s="79">
        <v>0</v>
      </c>
      <c r="AQ34" s="79">
        <v>66.943838843458806</v>
      </c>
      <c r="AR34" s="79">
        <v>10.2329629963674</v>
      </c>
      <c r="AS34" s="79">
        <v>2.66622834999571</v>
      </c>
      <c r="AT34" s="79">
        <v>0</v>
      </c>
      <c r="AU34" s="79">
        <v>106.748335435855</v>
      </c>
      <c r="AV34" s="79">
        <v>0</v>
      </c>
      <c r="AW34" s="79">
        <v>0</v>
      </c>
      <c r="AX34" s="79">
        <v>520.40362351257795</v>
      </c>
      <c r="AY34" s="79">
        <v>0</v>
      </c>
      <c r="AZ34" s="79">
        <v>0</v>
      </c>
      <c r="BA34" s="79">
        <v>20.3471565317044</v>
      </c>
      <c r="BB34" s="79">
        <v>0.70343002127906296</v>
      </c>
      <c r="BC34" s="79">
        <v>5.7999315661677704</v>
      </c>
      <c r="BD34" s="79">
        <v>0.32490581318077799</v>
      </c>
    </row>
    <row r="35" spans="1:56" ht="11.25" customHeight="1" x14ac:dyDescent="0.25">
      <c r="A35" s="119"/>
      <c r="B35" s="119"/>
      <c r="C35" s="119"/>
      <c r="D35" s="119"/>
      <c r="E35" s="119"/>
      <c r="F35" s="119"/>
      <c r="G35" s="21" t="s">
        <v>91</v>
      </c>
      <c r="H35" s="21" t="s">
        <v>80</v>
      </c>
      <c r="I35" s="21">
        <f>'MERCADO TUSD'!$U$32</f>
        <v>0</v>
      </c>
      <c r="J35" s="17"/>
      <c r="L35" s="79">
        <f>('TUSD BE'!$L$35+'TUSD BF'!$L$35+'TUSD CVA'!$L$35)*(1 - CUSTOS!$M$39)</f>
        <v>6.7390816420657469</v>
      </c>
      <c r="M35" s="79">
        <f>('TUSD BE'!$M$35+'TUSD BF'!$M$35+'TUSD CVA'!$M$35)*(1 - CUSTOS!$M$39)</f>
        <v>0.69633813115495646</v>
      </c>
      <c r="N35" s="79">
        <f ca="1">('TUSD BE'!$N$35+'TUSD BF'!$N$35+'TUSD CVA'!$N$35)*(1 - CUSTOS!$M$39)</f>
        <v>3.1634197690816865</v>
      </c>
      <c r="O35" s="79">
        <f>('TUSD BE'!$O$35+'TUSD BF'!$O$35+'TUSD CVA'!$O$35)*(1 - CUSTOS!$M$39)</f>
        <v>0</v>
      </c>
      <c r="P35" s="79">
        <f>('TUSD BE'!$P$35+'TUSD BF'!$P$35+'TUSD CVA'!$P$35)*(1 - CUSTOS!$M$39)</f>
        <v>0</v>
      </c>
      <c r="Q35" s="79">
        <f>('TUSD BE'!$Q$35+'TUSD BF'!$Q$35+'TUSD CVA'!$Q$35)*(1 - CUSTOS!$M$39)</f>
        <v>114.6578277367399</v>
      </c>
      <c r="R35" s="79">
        <f>('TUSD BE'!$R$35+'TUSD BF'!$R$35+'TUSD CVA'!$R$35)*(1 - CUSTOS!$M$39)</f>
        <v>18.964972155172209</v>
      </c>
      <c r="S35" s="79">
        <f>('TUSD BE'!$S$35+'TUSD BF'!$S$35+'TUSD CVA'!$S$35)*(1 - CUSTOS!$M$39)</f>
        <v>0</v>
      </c>
      <c r="T35" s="79">
        <f>('TUSD BE'!$U$35+'TUSD BF'!$U$35+'TUSD CVA'!$U$35)*(1 - CUSTOS!$M$39)</f>
        <v>56.393129151921549</v>
      </c>
      <c r="U35" s="79">
        <f>('TUSD BE'!$V$35+'TUSD BF'!$V$35+'TUSD CVA'!$V$35)*(1 - CUSTOS!$M$39)</f>
        <v>7.4321921986761312</v>
      </c>
      <c r="V35" s="79">
        <f>('TUSD BE'!$W$35+'TUSD BF'!$W$35+'TUSD CVA'!$W$35)*(1 - CUSTOS!$M$39)</f>
        <v>2.2640748650306284</v>
      </c>
      <c r="W35" s="79">
        <f>('TUSD BE'!$X$35+'TUSD BF'!$X$35+'TUSD CVA'!$X$35)*(1 - CUSTOS!$M$39)</f>
        <v>0</v>
      </c>
      <c r="X35" s="79">
        <f>('TUSD BE'!$Y$35+'TUSD BF'!$Y$35+'TUSD CVA'!$Y$35)*(1 - CUSTOS!$M$39)</f>
        <v>83.091730891529821</v>
      </c>
      <c r="Y35" s="79">
        <f>('TUSD BE'!$Z$35+'TUSD BF'!$Z$35+'TUSD CVA'!$Z$35)*(1 - CUSTOS!$M$39)</f>
        <v>0</v>
      </c>
      <c r="Z35" s="79">
        <f>('TUSD BE'!$AA$35+'TUSD BF'!$AA$35+'TUSD CVA'!$AA$35)*(1 - CUSTOS!$M$39)</f>
        <v>0</v>
      </c>
      <c r="AA35" s="79">
        <f>('TUSD BE'!$AC$35+'TUSD BF'!$AC$35+'TUSD CVA'!$AC$35)*(1 - CUSTOS!$M$39)</f>
        <v>364.31402925557234</v>
      </c>
      <c r="AB35" s="79">
        <f ca="1">('TUSD BE'!$AE$35+'TUSD BF'!$AE$35+'TUSD CVA'!$AE$35)*(1 - CUSTOS!$M$39)</f>
        <v>-19.214882121721431</v>
      </c>
      <c r="AC35" s="79">
        <f ca="1">('TUSD BE'!$AF$35+'TUSD BF'!$AF$35+'TUSD CVA'!$AF$35)*(1 - CUSTOS!$M$39)</f>
        <v>0</v>
      </c>
      <c r="AD35" s="79">
        <f>('TUSD BE'!$AH$35+'TUSD BF'!$AH$35+'TUSD CVA'!$AH$35)*(1 - CUSTOS!$M$39)</f>
        <v>29.399896693110502</v>
      </c>
      <c r="AE35" s="79">
        <f>('TUSD BE'!$AI$35+'TUSD BF'!$AI$35+'TUSD CVA'!$AI$35)*(1 - CUSTOS!$M$39)</f>
        <v>1.0369609023336281</v>
      </c>
      <c r="AF35" s="79">
        <f ca="1">('TUSD BE'!$AJ$35+'TUSD BF'!$AJ$35+'TUSD CVA'!$AJ$35)*(1 - CUSTOS!$M$39)</f>
        <v>3.9449048429219489</v>
      </c>
      <c r="AG35" s="79">
        <f ca="1">('TUSD BE'!$AK$35+'TUSD BF'!$AK$35+'TUSD CVA'!$AK$35)*(1 - CUSTOS!$M$39)</f>
        <v>0.47257196872373697</v>
      </c>
      <c r="AI35" s="79">
        <v>5.5869025923696496</v>
      </c>
      <c r="AJ35" s="79">
        <v>0.53978295051092096</v>
      </c>
      <c r="AK35" s="79">
        <v>2.72461604270653</v>
      </c>
      <c r="AL35" s="79">
        <v>0</v>
      </c>
      <c r="AM35" s="79">
        <v>0</v>
      </c>
      <c r="AN35" s="79">
        <v>43.2579512137115</v>
      </c>
      <c r="AO35" s="79">
        <v>7.5795984231886804</v>
      </c>
      <c r="AP35" s="79">
        <v>0</v>
      </c>
      <c r="AQ35" s="79">
        <v>40.166285276056001</v>
      </c>
      <c r="AR35" s="79">
        <v>6.1397967165710101</v>
      </c>
      <c r="AS35" s="79">
        <v>1.5997209275511901</v>
      </c>
      <c r="AT35" s="79">
        <v>0</v>
      </c>
      <c r="AU35" s="79">
        <v>64.048966974195395</v>
      </c>
      <c r="AV35" s="79">
        <v>0</v>
      </c>
      <c r="AW35" s="79">
        <v>0</v>
      </c>
      <c r="AX35" s="79">
        <v>312.24219180807</v>
      </c>
      <c r="AY35" s="79">
        <v>0</v>
      </c>
      <c r="AZ35" s="79">
        <v>0</v>
      </c>
      <c r="BA35" s="79">
        <v>20.3471565317044</v>
      </c>
      <c r="BB35" s="79">
        <v>0.70343002127906296</v>
      </c>
      <c r="BC35" s="79">
        <v>5.7999315661677704</v>
      </c>
      <c r="BD35" s="79">
        <v>0.32490581318077799</v>
      </c>
    </row>
    <row r="36" spans="1:56" ht="11.25" customHeight="1" x14ac:dyDescent="0.25">
      <c r="A36" s="119"/>
      <c r="B36" s="119"/>
      <c r="C36" s="119"/>
      <c r="D36" s="119"/>
      <c r="E36" s="119"/>
      <c r="F36" s="119"/>
      <c r="G36" s="21" t="s">
        <v>82</v>
      </c>
      <c r="H36" s="21" t="s">
        <v>80</v>
      </c>
      <c r="I36" s="21">
        <f>'MERCADO TUSD'!$U$33</f>
        <v>0</v>
      </c>
      <c r="J36" s="17"/>
      <c r="L36" s="79">
        <f>('TUSD BE'!$L$36+'TUSD BF'!$L$36+'TUSD CVA'!$L$36)*(1 - CUSTOS!$M$39)</f>
        <v>6.7390816420657469</v>
      </c>
      <c r="M36" s="79">
        <f>('TUSD BE'!$M$36+'TUSD BF'!$M$36+'TUSD CVA'!$M$36)*(1 - CUSTOS!$M$39)</f>
        <v>0.69633813115495646</v>
      </c>
      <c r="N36" s="79">
        <f ca="1">('TUSD BE'!$N$36+'TUSD BF'!$N$36+'TUSD CVA'!$N$36)*(1 - CUSTOS!$M$39)</f>
        <v>2.9815957275868632</v>
      </c>
      <c r="O36" s="79">
        <f>('TUSD BE'!$O$36+'TUSD BF'!$O$36+'TUSD CVA'!$O$36)*(1 - CUSTOS!$M$39)</f>
        <v>0</v>
      </c>
      <c r="P36" s="79">
        <f>('TUSD BE'!$P$36+'TUSD BF'!$P$36+'TUSD CVA'!$P$36)*(1 - CUSTOS!$M$39)</f>
        <v>0</v>
      </c>
      <c r="Q36" s="79">
        <f>('TUSD BE'!$Q$36+'TUSD BF'!$Q$36+'TUSD CVA'!$Q$36)*(1 - CUSTOS!$M$39)</f>
        <v>114.6578277367399</v>
      </c>
      <c r="R36" s="79">
        <f>('TUSD BE'!$R$36+'TUSD BF'!$R$36+'TUSD CVA'!$R$36)*(1 - CUSTOS!$M$39)</f>
        <v>18.964972155172209</v>
      </c>
      <c r="S36" s="79">
        <f>('TUSD BE'!$S$36+'TUSD BF'!$S$36+'TUSD CVA'!$S$36)*(1 - CUSTOS!$M$39)</f>
        <v>0</v>
      </c>
      <c r="T36" s="79">
        <f>('TUSD BE'!$U$36+'TUSD BF'!$U$36+'TUSD CVA'!$U$36)*(1 - CUSTOS!$M$39)</f>
        <v>18.797667527313003</v>
      </c>
      <c r="U36" s="79">
        <f>('TUSD BE'!$V$36+'TUSD BF'!$V$36+'TUSD CVA'!$V$36)*(1 - CUSTOS!$M$39)</f>
        <v>2.4774355679750535</v>
      </c>
      <c r="V36" s="79">
        <f>('TUSD BE'!$W$36+'TUSD BF'!$W$36+'TUSD CVA'!$W$36)*(1 - CUSTOS!$M$39)</f>
        <v>0.75465368603690053</v>
      </c>
      <c r="W36" s="79">
        <f>('TUSD BE'!$X$36+'TUSD BF'!$X$36+'TUSD CVA'!$X$36)*(1 - CUSTOS!$M$39)</f>
        <v>0</v>
      </c>
      <c r="X36" s="79">
        <f>('TUSD BE'!$Y$36+'TUSD BF'!$Y$36+'TUSD CVA'!$Y$36)*(1 - CUSTOS!$M$39)</f>
        <v>27.697280698406658</v>
      </c>
      <c r="Y36" s="79">
        <f>('TUSD BE'!$Z$36+'TUSD BF'!$Z$36+'TUSD CVA'!$Z$36)*(1 - CUSTOS!$M$39)</f>
        <v>0</v>
      </c>
      <c r="Z36" s="79">
        <f>('TUSD BE'!$AA$36+'TUSD BF'!$AA$36+'TUSD CVA'!$AA$36)*(1 - CUSTOS!$M$39)</f>
        <v>0</v>
      </c>
      <c r="AA36" s="79">
        <f>('TUSD BE'!$AC$36+'TUSD BF'!$AC$36+'TUSD CVA'!$AC$36)*(1 - CUSTOS!$M$39)</f>
        <v>121.43804417251565</v>
      </c>
      <c r="AB36" s="79">
        <f ca="1">('TUSD BE'!$AE$36+'TUSD BF'!$AE$36+'TUSD CVA'!$AE$36)*(1 - CUSTOS!$M$39)</f>
        <v>-9.261159385702765</v>
      </c>
      <c r="AC36" s="79">
        <f ca="1">('TUSD BE'!$AF$36+'TUSD BF'!$AF$36+'TUSD CVA'!$AF$36)*(1 - CUSTOS!$M$39)</f>
        <v>0</v>
      </c>
      <c r="AD36" s="79">
        <f>('TUSD BE'!$AH$36+'TUSD BF'!$AH$36+'TUSD CVA'!$AH$36)*(1 - CUSTOS!$M$39)</f>
        <v>29.399896693110502</v>
      </c>
      <c r="AE36" s="79">
        <f>('TUSD BE'!$AI$36+'TUSD BF'!$AI$36+'TUSD CVA'!$AI$36)*(1 - CUSTOS!$M$39)</f>
        <v>1.0369609023336281</v>
      </c>
      <c r="AF36" s="79">
        <f ca="1">('TUSD BE'!$AJ$36+'TUSD BF'!$AJ$36+'TUSD CVA'!$AJ$36)*(1 - CUSTOS!$M$39)</f>
        <v>3.9449048429219489</v>
      </c>
      <c r="AG36" s="79">
        <f ca="1">('TUSD BE'!$AK$36+'TUSD BF'!$AK$36+'TUSD CVA'!$AK$36)*(1 - CUSTOS!$M$39)</f>
        <v>0.47257196872373697</v>
      </c>
      <c r="AI36" s="79">
        <v>5.5869025923696496</v>
      </c>
      <c r="AJ36" s="79">
        <v>0.53978295051092096</v>
      </c>
      <c r="AK36" s="79">
        <v>2.5681105488804099</v>
      </c>
      <c r="AL36" s="79">
        <v>0</v>
      </c>
      <c r="AM36" s="79">
        <v>0</v>
      </c>
      <c r="AN36" s="79">
        <v>43.2579512137115</v>
      </c>
      <c r="AO36" s="79">
        <v>7.5795984231886804</v>
      </c>
      <c r="AP36" s="79">
        <v>0</v>
      </c>
      <c r="AQ36" s="79">
        <v>13.3887317086532</v>
      </c>
      <c r="AR36" s="79">
        <v>2.04663043677462</v>
      </c>
      <c r="AS36" s="79">
        <v>0.53321350510666099</v>
      </c>
      <c r="AT36" s="79">
        <v>0</v>
      </c>
      <c r="AU36" s="79">
        <v>21.34968423083</v>
      </c>
      <c r="AV36" s="79">
        <v>0</v>
      </c>
      <c r="AW36" s="79">
        <v>0</v>
      </c>
      <c r="AX36" s="79">
        <v>104.08076010356299</v>
      </c>
      <c r="AY36" s="79">
        <v>0</v>
      </c>
      <c r="AZ36" s="79">
        <v>0</v>
      </c>
      <c r="BA36" s="79">
        <v>20.3471565317044</v>
      </c>
      <c r="BB36" s="79">
        <v>0.70343002127906296</v>
      </c>
      <c r="BC36" s="79">
        <v>5.7999315661677704</v>
      </c>
      <c r="BD36" s="79">
        <v>0.32490581318077799</v>
      </c>
    </row>
    <row r="37" spans="1:56" ht="11.25" customHeight="1" x14ac:dyDescent="0.25">
      <c r="A37" s="119"/>
      <c r="B37" s="81" t="s">
        <v>23</v>
      </c>
      <c r="C37" s="81" t="s">
        <v>44</v>
      </c>
      <c r="D37" s="81" t="s">
        <v>95</v>
      </c>
      <c r="E37" s="81" t="s">
        <v>25</v>
      </c>
      <c r="F37" s="81" t="s">
        <v>25</v>
      </c>
      <c r="G37" s="21" t="s">
        <v>86</v>
      </c>
      <c r="H37" s="21" t="s">
        <v>80</v>
      </c>
      <c r="I37" s="21">
        <f>'MERCADO TUSD'!$U$34</f>
        <v>0</v>
      </c>
      <c r="J37" s="17"/>
      <c r="L37" s="79">
        <f>('TUSD BE'!$L$37+'TUSD BF'!$L$37+'TUSD CVA'!$L$37)*(1 - CUSTOS!$M$39)</f>
        <v>6.7390816420657469</v>
      </c>
      <c r="M37" s="79">
        <f>('TUSD BE'!$M$37+'TUSD BF'!$M$37+'TUSD CVA'!$M$37)*(1 - CUSTOS!$M$39)</f>
        <v>0.69633813115495646</v>
      </c>
      <c r="N37" s="79">
        <f ca="1">('TUSD BE'!$N$37+'TUSD BF'!$N$37+'TUSD CVA'!$N$37)*(1 - CUSTOS!$M$39)</f>
        <v>3.0187288220709769</v>
      </c>
      <c r="O37" s="79">
        <f>('TUSD BE'!$O$37+'TUSD BF'!$O$37+'TUSD CVA'!$O$37)*(1 - CUSTOS!$M$39)</f>
        <v>0</v>
      </c>
      <c r="P37" s="79">
        <f>('TUSD BE'!$P$37+'TUSD BF'!$P$37+'TUSD CVA'!$P$37)*(1 - CUSTOS!$M$39)</f>
        <v>0</v>
      </c>
      <c r="Q37" s="79">
        <f>('TUSD BE'!$Q$37+'TUSD BF'!$Q$37+'TUSD CVA'!$Q$37)*(1 - CUSTOS!$M$39)</f>
        <v>114.6578277367399</v>
      </c>
      <c r="R37" s="79">
        <f>('TUSD BE'!$R$37+'TUSD BF'!$R$37+'TUSD CVA'!$R$37)*(1 - CUSTOS!$M$39)</f>
        <v>18.964972155172209</v>
      </c>
      <c r="S37" s="79">
        <f>('TUSD BE'!$S$37+'TUSD BF'!$S$37+'TUSD CVA'!$S$37)*(1 - CUSTOS!$M$39)</f>
        <v>0</v>
      </c>
      <c r="T37" s="79">
        <f>('TUSD BE'!$U$37+'TUSD BF'!$U$37+'TUSD CVA'!$U$37)*(1 - CUSTOS!$M$39)</f>
        <v>26.475655808318827</v>
      </c>
      <c r="U37" s="79">
        <f>('TUSD BE'!$V$37+'TUSD BF'!$V$37+'TUSD CVA'!$V$37)*(1 - CUSTOS!$M$39)</f>
        <v>3.4893184536376314</v>
      </c>
      <c r="V37" s="79">
        <f>('TUSD BE'!$W$37+'TUSD BF'!$W$37+'TUSD CVA'!$W$37)*(1 - CUSTOS!$M$39)</f>
        <v>1.0629566321195372</v>
      </c>
      <c r="W37" s="79">
        <f>('TUSD BE'!$X$37+'TUSD BF'!$X$37+'TUSD CVA'!$X$37)*(1 - CUSTOS!$M$39)</f>
        <v>0</v>
      </c>
      <c r="X37" s="79">
        <f>('TUSD BE'!$Y$37+'TUSD BF'!$Y$37+'TUSD CVA'!$Y$37)*(1 - CUSTOS!$M$39)</f>
        <v>39.010254504798105</v>
      </c>
      <c r="Y37" s="79">
        <f>('TUSD BE'!$Z$37+'TUSD BF'!$Z$37+'TUSD CVA'!$Z$37)*(1 - CUSTOS!$M$39)</f>
        <v>0</v>
      </c>
      <c r="Z37" s="79">
        <f>('TUSD BE'!$AA$37+'TUSD BF'!$AA$37+'TUSD CVA'!$AA$37)*(1 - CUSTOS!$M$39)</f>
        <v>0</v>
      </c>
      <c r="AA37" s="79">
        <f>('TUSD BE'!$AC$37+'TUSD BF'!$AC$37+'TUSD CVA'!$AC$37)*(1 - CUSTOS!$M$39)</f>
        <v>171.03941738846459</v>
      </c>
      <c r="AB37" s="79">
        <f ca="1">('TUSD BE'!$AE$37+'TUSD BF'!$AE$37+'TUSD CVA'!$AE$37)*(1 - CUSTOS!$M$39)</f>
        <v>-11.293962984724457</v>
      </c>
      <c r="AC37" s="79">
        <f ca="1">('TUSD BE'!$AF$37+'TUSD BF'!$AF$37+'TUSD CVA'!$AF$37)*(1 - CUSTOS!$M$39)</f>
        <v>0</v>
      </c>
      <c r="AD37" s="79">
        <f>('TUSD BE'!$AH$37+'TUSD BF'!$AH$37+'TUSD CVA'!$AH$37)*(1 - CUSTOS!$M$39)</f>
        <v>29.399896693110502</v>
      </c>
      <c r="AE37" s="79">
        <f>('TUSD BE'!$AI$37+'TUSD BF'!$AI$37+'TUSD CVA'!$AI$37)*(1 - CUSTOS!$M$39)</f>
        <v>1.0369609023336281</v>
      </c>
      <c r="AF37" s="79">
        <f ca="1">('TUSD BE'!$AJ$37+'TUSD BF'!$AJ$37+'TUSD CVA'!$AJ$37)*(1 - CUSTOS!$M$39)</f>
        <v>3.9449048429219489</v>
      </c>
      <c r="AG37" s="79">
        <f ca="1">('TUSD BE'!$AK$37+'TUSD BF'!$AK$37+'TUSD CVA'!$AK$37)*(1 - CUSTOS!$M$39)</f>
        <v>0.47257196872373697</v>
      </c>
      <c r="AI37" s="79">
        <v>5.5869025923696496</v>
      </c>
      <c r="AJ37" s="79">
        <v>0.53978295051092096</v>
      </c>
      <c r="AK37" s="79">
        <v>2.6000729518814101</v>
      </c>
      <c r="AL37" s="79">
        <v>0</v>
      </c>
      <c r="AM37" s="79">
        <v>0</v>
      </c>
      <c r="AN37" s="79">
        <v>43.2579512137115</v>
      </c>
      <c r="AO37" s="79">
        <v>7.5795984231886804</v>
      </c>
      <c r="AP37" s="79">
        <v>0</v>
      </c>
      <c r="AQ37" s="79">
        <v>18.857416853084299</v>
      </c>
      <c r="AR37" s="79">
        <v>2.8825554307558301</v>
      </c>
      <c r="AS37" s="79">
        <v>0.75105023943541105</v>
      </c>
      <c r="AT37" s="79">
        <v>0</v>
      </c>
      <c r="AU37" s="79">
        <v>30.0699777899015</v>
      </c>
      <c r="AV37" s="79">
        <v>0</v>
      </c>
      <c r="AW37" s="79">
        <v>0</v>
      </c>
      <c r="AX37" s="79">
        <v>146.592550059291</v>
      </c>
      <c r="AY37" s="79">
        <v>0</v>
      </c>
      <c r="AZ37" s="79">
        <v>0</v>
      </c>
      <c r="BA37" s="79">
        <v>20.3471565317044</v>
      </c>
      <c r="BB37" s="79">
        <v>0.70343002127906296</v>
      </c>
      <c r="BC37" s="79">
        <v>5.7999315661677704</v>
      </c>
      <c r="BD37" s="79">
        <v>0.32490581318077799</v>
      </c>
    </row>
    <row r="38" spans="1:56" ht="11.25" customHeight="1" x14ac:dyDescent="0.25">
      <c r="A38" s="119"/>
      <c r="B38" s="119" t="s">
        <v>33</v>
      </c>
      <c r="C38" s="119" t="s">
        <v>44</v>
      </c>
      <c r="D38" s="119" t="s">
        <v>55</v>
      </c>
      <c r="E38" s="119" t="s">
        <v>25</v>
      </c>
      <c r="F38" s="119" t="s">
        <v>25</v>
      </c>
      <c r="G38" s="21" t="s">
        <v>81</v>
      </c>
      <c r="H38" s="21" t="s">
        <v>80</v>
      </c>
      <c r="I38" s="21">
        <f>'MERCADO TUSD'!$U$35</f>
        <v>0</v>
      </c>
      <c r="J38" s="17"/>
      <c r="L38" s="79">
        <f>('TUSD BE'!$L$38+'TUSD BF'!$L$38+'TUSD CVA'!$L$38)*(1 - CUSTOS!$M$40)</f>
        <v>6.5956969262771148</v>
      </c>
      <c r="M38" s="79">
        <f>('TUSD BE'!$M$38+'TUSD BF'!$M$38+'TUSD CVA'!$M$38)*(1 - CUSTOS!$M$40)</f>
        <v>0.68152242623676595</v>
      </c>
      <c r="N38" s="79">
        <f ca="1">('TUSD BE'!$N$38+'TUSD BF'!$N$38+'TUSD CVA'!$N$38)*(1 - CUSTOS!$M$40)</f>
        <v>3.2740684658976522</v>
      </c>
      <c r="O38" s="79">
        <f>('TUSD BE'!$O$38+'TUSD BF'!$O$38+'TUSD CVA'!$O$38)*(1 - CUSTOS!$M$40)</f>
        <v>0</v>
      </c>
      <c r="P38" s="79">
        <f>('TUSD BE'!$P$38+'TUSD BF'!$P$38+'TUSD CVA'!$P$38)*(1 - CUSTOS!$M$40)</f>
        <v>0</v>
      </c>
      <c r="Q38" s="79">
        <f>('TUSD BE'!$Q$38+'TUSD BF'!$Q$38+'TUSD CVA'!$Q$38)*(1 - CUSTOS!$M$40)</f>
        <v>112.21829948702204</v>
      </c>
      <c r="R38" s="79">
        <f>('TUSD BE'!$R$38+'TUSD BF'!$R$38+'TUSD CVA'!$R$38)*(1 - CUSTOS!$M$40)</f>
        <v>18.561462109317482</v>
      </c>
      <c r="S38" s="79">
        <f>('TUSD BE'!$S$38+'TUSD BF'!$S$38+'TUSD CVA'!$S$38)*(1 - CUSTOS!$M$40)</f>
        <v>0</v>
      </c>
      <c r="T38" s="79">
        <f>('TUSD BE'!$U$38+'TUSD BF'!$U$38+'TUSD CVA'!$U$38)*(1 - CUSTOS!$M$40)</f>
        <v>91.988833525965632</v>
      </c>
      <c r="U38" s="79">
        <f>('TUSD BE'!$V$38+'TUSD BF'!$V$38+'TUSD CVA'!$V$38)*(1 - CUSTOS!$M$40)</f>
        <v>12.123396726624504</v>
      </c>
      <c r="V38" s="79">
        <f>('TUSD BE'!$W$38+'TUSD BF'!$W$38+'TUSD CVA'!$W$38)*(1 - CUSTOS!$M$40)</f>
        <v>3.6932088941514984</v>
      </c>
      <c r="W38" s="79">
        <f>('TUSD BE'!$X$38+'TUSD BF'!$X$38+'TUSD CVA'!$X$38)*(1 - CUSTOS!$M$40)</f>
        <v>0</v>
      </c>
      <c r="X38" s="79">
        <f>('TUSD BE'!$Y$38+'TUSD BF'!$Y$38+'TUSD CVA'!$Y$38)*(1 - CUSTOS!$M$40)</f>
        <v>135.53977543114436</v>
      </c>
      <c r="Y38" s="79">
        <f>('TUSD BE'!$Z$38+'TUSD BF'!$Z$38+'TUSD CVA'!$Z$38)*(1 - CUSTOS!$M$40)</f>
        <v>0</v>
      </c>
      <c r="Z38" s="79">
        <f>('TUSD BE'!$AA$38+'TUSD BF'!$AA$38+'TUSD CVA'!$AA$38)*(1 - CUSTOS!$M$40)</f>
        <v>0</v>
      </c>
      <c r="AA38" s="79">
        <f>('TUSD BE'!$AC$38+'TUSD BF'!$AC$38+'TUSD CVA'!$AC$38)*(1 - CUSTOS!$M$40)</f>
        <v>594.27107786333909</v>
      </c>
      <c r="AB38" s="79">
        <f ca="1">('TUSD BE'!$AE$38+'TUSD BF'!$AE$38+'TUSD CVA'!$AE$38)*(1 - CUSTOS!$M$40)</f>
        <v>-28.547999404211183</v>
      </c>
      <c r="AC38" s="79">
        <f ca="1">('TUSD BE'!$AF$38+'TUSD BF'!$AF$38+'TUSD CVA'!$AF$38)*(1 - CUSTOS!$M$40)</f>
        <v>0</v>
      </c>
      <c r="AD38" s="79">
        <f>('TUSD BE'!$AH$38+'TUSD BF'!$AH$38+'TUSD CVA'!$AH$38)*(1 - CUSTOS!$M$40)</f>
        <v>28.774366976235815</v>
      </c>
      <c r="AE38" s="79">
        <f>('TUSD BE'!$AI$38+'TUSD BF'!$AI$38+'TUSD CVA'!$AI$38)*(1 - CUSTOS!$M$40)</f>
        <v>1.0148979044116362</v>
      </c>
      <c r="AF38" s="79">
        <f ca="1">('TUSD BE'!$AJ$38+'TUSD BF'!$AJ$38+'TUSD CVA'!$AJ$38)*(1 - CUSTOS!$M$40)</f>
        <v>3.8609706973278652</v>
      </c>
      <c r="AG38" s="79">
        <f ca="1">('TUSD BE'!$AK$38+'TUSD BF'!$AK$38+'TUSD CVA'!$AK$38)*(1 - CUSTOS!$M$40)</f>
        <v>0.4625172459849341</v>
      </c>
      <c r="AI38" s="79">
        <v>5.3329524745346699</v>
      </c>
      <c r="AJ38" s="79">
        <v>0.51524736185133302</v>
      </c>
      <c r="AK38" s="79">
        <v>2.7501615133206498</v>
      </c>
      <c r="AL38" s="79">
        <v>0</v>
      </c>
      <c r="AM38" s="79">
        <v>0</v>
      </c>
      <c r="AN38" s="79">
        <v>41.291680703997301</v>
      </c>
      <c r="AO38" s="79">
        <v>7.2350712221346498</v>
      </c>
      <c r="AP38" s="79">
        <v>0</v>
      </c>
      <c r="AQ38" s="79">
        <v>63.900937077846997</v>
      </c>
      <c r="AR38" s="79">
        <v>9.7678283147143397</v>
      </c>
      <c r="AS38" s="79">
        <v>2.5450361522686298</v>
      </c>
      <c r="AT38" s="79">
        <v>0</v>
      </c>
      <c r="AU38" s="79">
        <v>101.896138370589</v>
      </c>
      <c r="AV38" s="79">
        <v>0</v>
      </c>
      <c r="AW38" s="79">
        <v>0</v>
      </c>
      <c r="AX38" s="79">
        <v>496.748913352915</v>
      </c>
      <c r="AY38" s="79">
        <v>0</v>
      </c>
      <c r="AZ38" s="79">
        <v>0</v>
      </c>
      <c r="BA38" s="79">
        <v>19.422285780263302</v>
      </c>
      <c r="BB38" s="79">
        <v>0.67145592940274201</v>
      </c>
      <c r="BC38" s="79">
        <v>5.53629831316014</v>
      </c>
      <c r="BD38" s="79">
        <v>0.31013736712710599</v>
      </c>
    </row>
    <row r="39" spans="1:56" ht="11.25" customHeight="1" x14ac:dyDescent="0.25">
      <c r="A39" s="119"/>
      <c r="B39" s="119"/>
      <c r="C39" s="119"/>
      <c r="D39" s="119"/>
      <c r="E39" s="119"/>
      <c r="F39" s="119"/>
      <c r="G39" s="21" t="s">
        <v>91</v>
      </c>
      <c r="H39" s="21" t="s">
        <v>80</v>
      </c>
      <c r="I39" s="21">
        <f>'MERCADO TUSD'!$U$36</f>
        <v>0</v>
      </c>
      <c r="J39" s="17"/>
      <c r="L39" s="79">
        <f>('TUSD BE'!$L$39+'TUSD BF'!$L$39+'TUSD CVA'!$L$39)*(1 - CUSTOS!$M$40)</f>
        <v>6.5956969262771148</v>
      </c>
      <c r="M39" s="79">
        <f>('TUSD BE'!$M$39+'TUSD BF'!$M$39+'TUSD CVA'!$M$39)*(1 - CUSTOS!$M$40)</f>
        <v>0.68152242623676595</v>
      </c>
      <c r="N39" s="79">
        <f ca="1">('TUSD BE'!$N$39+'TUSD BF'!$N$39+'TUSD CVA'!$N$39)*(1 - CUSTOS!$M$40)</f>
        <v>3.0961129654842043</v>
      </c>
      <c r="O39" s="79">
        <f>('TUSD BE'!$O$39+'TUSD BF'!$O$39+'TUSD CVA'!$O$39)*(1 - CUSTOS!$M$40)</f>
        <v>0</v>
      </c>
      <c r="P39" s="79">
        <f>('TUSD BE'!$P$39+'TUSD BF'!$P$39+'TUSD CVA'!$P$39)*(1 - CUSTOS!$M$40)</f>
        <v>0</v>
      </c>
      <c r="Q39" s="79">
        <f>('TUSD BE'!$Q$39+'TUSD BF'!$Q$39+'TUSD CVA'!$Q$39)*(1 - CUSTOS!$M$40)</f>
        <v>112.21829948702204</v>
      </c>
      <c r="R39" s="79">
        <f>('TUSD BE'!$R$39+'TUSD BF'!$R$39+'TUSD CVA'!$R$39)*(1 - CUSTOS!$M$40)</f>
        <v>18.561462109317482</v>
      </c>
      <c r="S39" s="79">
        <f>('TUSD BE'!$S$39+'TUSD BF'!$S$39+'TUSD CVA'!$S$39)*(1 - CUSTOS!$M$40)</f>
        <v>0</v>
      </c>
      <c r="T39" s="79">
        <f>('TUSD BE'!$U$39+'TUSD BF'!$U$39+'TUSD CVA'!$U$39)*(1 - CUSTOS!$M$40)</f>
        <v>55.193275340178545</v>
      </c>
      <c r="U39" s="79">
        <f>('TUSD BE'!$V$39+'TUSD BF'!$V$39+'TUSD CVA'!$V$39)*(1 - CUSTOS!$M$40)</f>
        <v>7.2740604497681289</v>
      </c>
      <c r="V39" s="79">
        <f>('TUSD BE'!$W$39+'TUSD BF'!$W$39+'TUSD CVA'!$W$39)*(1 - CUSTOS!$M$40)</f>
        <v>2.2159030593916791</v>
      </c>
      <c r="W39" s="79">
        <f>('TUSD BE'!$X$39+'TUSD BF'!$X$39+'TUSD CVA'!$X$39)*(1 - CUSTOS!$M$40)</f>
        <v>0</v>
      </c>
      <c r="X39" s="79">
        <f>('TUSD BE'!$Y$39+'TUSD BF'!$Y$39+'TUSD CVA'!$Y$39)*(1 - CUSTOS!$M$40)</f>
        <v>81.323821723624931</v>
      </c>
      <c r="Y39" s="79">
        <f>('TUSD BE'!$Z$39+'TUSD BF'!$Z$39+'TUSD CVA'!$Z$39)*(1 - CUSTOS!$M$40)</f>
        <v>0</v>
      </c>
      <c r="Z39" s="79">
        <f>('TUSD BE'!$AA$39+'TUSD BF'!$AA$39+'TUSD CVA'!$AA$39)*(1 - CUSTOS!$M$40)</f>
        <v>0</v>
      </c>
      <c r="AA39" s="79">
        <f>('TUSD BE'!$AC$39+'TUSD BF'!$AC$39+'TUSD CVA'!$AC$39)*(1 - CUSTOS!$M$40)</f>
        <v>356.56266693098576</v>
      </c>
      <c r="AB39" s="79">
        <f ca="1">('TUSD BE'!$AE$39+'TUSD BF'!$AE$39+'TUSD CVA'!$AE$39)*(1 - CUSTOS!$M$40)</f>
        <v>-18.806054842535868</v>
      </c>
      <c r="AC39" s="79">
        <f ca="1">('TUSD BE'!$AF$39+'TUSD BF'!$AF$39+'TUSD CVA'!$AF$39)*(1 - CUSTOS!$M$40)</f>
        <v>0</v>
      </c>
      <c r="AD39" s="79">
        <f>('TUSD BE'!$AH$39+'TUSD BF'!$AH$39+'TUSD CVA'!$AH$39)*(1 - CUSTOS!$M$40)</f>
        <v>28.774366976235815</v>
      </c>
      <c r="AE39" s="79">
        <f>('TUSD BE'!$AI$39+'TUSD BF'!$AI$39+'TUSD CVA'!$AI$39)*(1 - CUSTOS!$M$40)</f>
        <v>1.0148979044116362</v>
      </c>
      <c r="AF39" s="79">
        <f ca="1">('TUSD BE'!$AJ$39+'TUSD BF'!$AJ$39+'TUSD CVA'!$AJ$39)*(1 - CUSTOS!$M$40)</f>
        <v>3.8609706973278652</v>
      </c>
      <c r="AG39" s="79">
        <f ca="1">('TUSD BE'!$AK$39+'TUSD BF'!$AK$39+'TUSD CVA'!$AK$39)*(1 - CUSTOS!$M$40)</f>
        <v>0.4625172459849341</v>
      </c>
      <c r="AI39" s="79">
        <v>5.3329524745346699</v>
      </c>
      <c r="AJ39" s="79">
        <v>0.51524736185133302</v>
      </c>
      <c r="AK39" s="79">
        <v>2.60076985894715</v>
      </c>
      <c r="AL39" s="79">
        <v>0</v>
      </c>
      <c r="AM39" s="79">
        <v>0</v>
      </c>
      <c r="AN39" s="79">
        <v>41.291680703997301</v>
      </c>
      <c r="AO39" s="79">
        <v>7.2350712221346498</v>
      </c>
      <c r="AP39" s="79">
        <v>0</v>
      </c>
      <c r="AQ39" s="79">
        <v>38.340545036235298</v>
      </c>
      <c r="AR39" s="79">
        <v>5.8607150476359697</v>
      </c>
      <c r="AS39" s="79">
        <v>1.5270063399352201</v>
      </c>
      <c r="AT39" s="79">
        <v>0</v>
      </c>
      <c r="AU39" s="79">
        <v>61.137650293550102</v>
      </c>
      <c r="AV39" s="79">
        <v>0</v>
      </c>
      <c r="AW39" s="79">
        <v>0</v>
      </c>
      <c r="AX39" s="79">
        <v>298.04936490770302</v>
      </c>
      <c r="AY39" s="79">
        <v>0</v>
      </c>
      <c r="AZ39" s="79">
        <v>0</v>
      </c>
      <c r="BA39" s="79">
        <v>19.422285780263302</v>
      </c>
      <c r="BB39" s="79">
        <v>0.67145592940274201</v>
      </c>
      <c r="BC39" s="79">
        <v>5.53629831316014</v>
      </c>
      <c r="BD39" s="79">
        <v>0.31013736712710599</v>
      </c>
    </row>
    <row r="40" spans="1:56" ht="11.25" customHeight="1" x14ac:dyDescent="0.25">
      <c r="A40" s="119"/>
      <c r="B40" s="119"/>
      <c r="C40" s="119"/>
      <c r="D40" s="119"/>
      <c r="E40" s="119"/>
      <c r="F40" s="119"/>
      <c r="G40" s="21" t="s">
        <v>82</v>
      </c>
      <c r="H40" s="21" t="s">
        <v>80</v>
      </c>
      <c r="I40" s="21">
        <f>'MERCADO TUSD'!$U$37</f>
        <v>0</v>
      </c>
      <c r="J40" s="17"/>
      <c r="L40" s="79">
        <f>('TUSD BE'!$L$40+'TUSD BF'!$L$40+'TUSD CVA'!$L$40)*(1 - CUSTOS!$M$40)</f>
        <v>6.5956969262771148</v>
      </c>
      <c r="M40" s="79">
        <f>('TUSD BE'!$M$40+'TUSD BF'!$M$40+'TUSD CVA'!$M$40)*(1 - CUSTOS!$M$40)</f>
        <v>0.68152242623676595</v>
      </c>
      <c r="N40" s="79">
        <f ca="1">('TUSD BE'!$N$40+'TUSD BF'!$N$40+'TUSD CVA'!$N$40)*(1 - CUSTOS!$M$40)</f>
        <v>2.9181575206169303</v>
      </c>
      <c r="O40" s="79">
        <f>('TUSD BE'!$O$40+'TUSD BF'!$O$40+'TUSD CVA'!$O$40)*(1 - CUSTOS!$M$40)</f>
        <v>0</v>
      </c>
      <c r="P40" s="79">
        <f>('TUSD BE'!$P$40+'TUSD BF'!$P$40+'TUSD CVA'!$P$40)*(1 - CUSTOS!$M$40)</f>
        <v>0</v>
      </c>
      <c r="Q40" s="79">
        <f>('TUSD BE'!$Q$40+'TUSD BF'!$Q$40+'TUSD CVA'!$Q$40)*(1 - CUSTOS!$M$40)</f>
        <v>112.21829948702204</v>
      </c>
      <c r="R40" s="79">
        <f>('TUSD BE'!$R$40+'TUSD BF'!$R$40+'TUSD CVA'!$R$40)*(1 - CUSTOS!$M$40)</f>
        <v>18.561462109317482</v>
      </c>
      <c r="S40" s="79">
        <f>('TUSD BE'!$S$40+'TUSD BF'!$S$40+'TUSD CVA'!$S$40)*(1 - CUSTOS!$M$40)</f>
        <v>0</v>
      </c>
      <c r="T40" s="79">
        <f>('TUSD BE'!$U$40+'TUSD BF'!$U$40+'TUSD CVA'!$U$40)*(1 - CUSTOS!$M$40)</f>
        <v>18.397717154391451</v>
      </c>
      <c r="U40" s="79">
        <f>('TUSD BE'!$V$40+'TUSD BF'!$V$40+'TUSD CVA'!$V$40)*(1 - CUSTOS!$M$40)</f>
        <v>2.4247241729117546</v>
      </c>
      <c r="V40" s="79">
        <f>('TUSD BE'!$W$40+'TUSD BF'!$W$40+'TUSD CVA'!$W$40)*(1 - CUSTOS!$M$40)</f>
        <v>0.73859722463186017</v>
      </c>
      <c r="W40" s="79">
        <f>('TUSD BE'!$X$40+'TUSD BF'!$X$40+'TUSD CVA'!$X$40)*(1 - CUSTOS!$M$40)</f>
        <v>0</v>
      </c>
      <c r="X40" s="79">
        <f>('TUSD BE'!$Y$40+'TUSD BF'!$Y$40+'TUSD CVA'!$Y$40)*(1 - CUSTOS!$M$40)</f>
        <v>27.107976853759709</v>
      </c>
      <c r="Y40" s="79">
        <f>('TUSD BE'!$Z$40+'TUSD BF'!$Z$40+'TUSD CVA'!$Z$40)*(1 - CUSTOS!$M$40)</f>
        <v>0</v>
      </c>
      <c r="Z40" s="79">
        <f>('TUSD BE'!$AA$40+'TUSD BF'!$AA$40+'TUSD CVA'!$AA$40)*(1 - CUSTOS!$M$40)</f>
        <v>0</v>
      </c>
      <c r="AA40" s="79">
        <f>('TUSD BE'!$AC$40+'TUSD BF'!$AC$40+'TUSD CVA'!$AC$40)*(1 - CUSTOS!$M$40)</f>
        <v>118.85425599863235</v>
      </c>
      <c r="AB40" s="79">
        <f ca="1">('TUSD BE'!$AE$40+'TUSD BF'!$AE$40+'TUSD CVA'!$AE$40)*(1 - CUSTOS!$M$40)</f>
        <v>-9.0641134413261124</v>
      </c>
      <c r="AC40" s="79">
        <f ca="1">('TUSD BE'!$AF$40+'TUSD BF'!$AF$40+'TUSD CVA'!$AF$40)*(1 - CUSTOS!$M$40)</f>
        <v>0</v>
      </c>
      <c r="AD40" s="79">
        <f>('TUSD BE'!$AH$40+'TUSD BF'!$AH$40+'TUSD CVA'!$AH$40)*(1 - CUSTOS!$M$40)</f>
        <v>28.774366976235815</v>
      </c>
      <c r="AE40" s="79">
        <f>('TUSD BE'!$AI$40+'TUSD BF'!$AI$40+'TUSD CVA'!$AI$40)*(1 - CUSTOS!$M$40)</f>
        <v>1.0148979044116362</v>
      </c>
      <c r="AF40" s="79">
        <f ca="1">('TUSD BE'!$AJ$40+'TUSD BF'!$AJ$40+'TUSD CVA'!$AJ$40)*(1 - CUSTOS!$M$40)</f>
        <v>3.8609706973278652</v>
      </c>
      <c r="AG40" s="79">
        <f ca="1">('TUSD BE'!$AK$40+'TUSD BF'!$AK$40+'TUSD CVA'!$AK$40)*(1 - CUSTOS!$M$40)</f>
        <v>0.4625172459849341</v>
      </c>
      <c r="AI40" s="79">
        <v>5.3329524745346699</v>
      </c>
      <c r="AJ40" s="79">
        <v>0.51524736185133302</v>
      </c>
      <c r="AK40" s="79">
        <v>2.4513782512040301</v>
      </c>
      <c r="AL40" s="79">
        <v>0</v>
      </c>
      <c r="AM40" s="79">
        <v>0</v>
      </c>
      <c r="AN40" s="79">
        <v>41.291680703997301</v>
      </c>
      <c r="AO40" s="79">
        <v>7.2350712221346498</v>
      </c>
      <c r="AP40" s="79">
        <v>0</v>
      </c>
      <c r="AQ40" s="79">
        <v>12.780152994623499</v>
      </c>
      <c r="AR40" s="79">
        <v>1.95360178055759</v>
      </c>
      <c r="AS40" s="79">
        <v>0.508976527601813</v>
      </c>
      <c r="AT40" s="79">
        <v>0</v>
      </c>
      <c r="AU40" s="79">
        <v>20.379244038519602</v>
      </c>
      <c r="AV40" s="79">
        <v>0</v>
      </c>
      <c r="AW40" s="79">
        <v>0</v>
      </c>
      <c r="AX40" s="79">
        <v>99.349816462491603</v>
      </c>
      <c r="AY40" s="79">
        <v>0</v>
      </c>
      <c r="AZ40" s="79">
        <v>0</v>
      </c>
      <c r="BA40" s="79">
        <v>19.422285780263302</v>
      </c>
      <c r="BB40" s="79">
        <v>0.67145592940274201</v>
      </c>
      <c r="BC40" s="79">
        <v>5.53629831316014</v>
      </c>
      <c r="BD40" s="79">
        <v>0.31013736712710599</v>
      </c>
    </row>
    <row r="41" spans="1:56" ht="11.25" customHeight="1" x14ac:dyDescent="0.25">
      <c r="A41" s="119"/>
      <c r="B41" s="81" t="s">
        <v>23</v>
      </c>
      <c r="C41" s="81" t="s">
        <v>44</v>
      </c>
      <c r="D41" s="81" t="s">
        <v>55</v>
      </c>
      <c r="E41" s="81" t="s">
        <v>25</v>
      </c>
      <c r="F41" s="81" t="s">
        <v>25</v>
      </c>
      <c r="G41" s="21" t="s">
        <v>86</v>
      </c>
      <c r="H41" s="21" t="s">
        <v>80</v>
      </c>
      <c r="I41" s="21">
        <f>'MERCADO TUSD'!$U$38</f>
        <v>29.929000000000002</v>
      </c>
      <c r="J41" s="17"/>
      <c r="L41" s="79">
        <f>('TUSD BE'!$L$41+'TUSD BF'!$L$41+'TUSD CVA'!$L$41)*(1 - CUSTOS!$M$40)</f>
        <v>6.5956969262771148</v>
      </c>
      <c r="M41" s="79">
        <f>('TUSD BE'!$M$41+'TUSD BF'!$M$41+'TUSD CVA'!$M$41)*(1 - CUSTOS!$M$40)</f>
        <v>0.68152242623676595</v>
      </c>
      <c r="N41" s="79">
        <f ca="1">('TUSD BE'!$N$41+'TUSD BF'!$N$41+'TUSD CVA'!$N$41)*(1 - CUSTOS!$M$40)</f>
        <v>2.9545005492609566</v>
      </c>
      <c r="O41" s="79">
        <f>('TUSD BE'!$O$41+'TUSD BF'!$O$41+'TUSD CVA'!$O$41)*(1 - CUSTOS!$M$40)</f>
        <v>0</v>
      </c>
      <c r="P41" s="79">
        <f>('TUSD BE'!$P$41+'TUSD BF'!$P$41+'TUSD CVA'!$P$41)*(1 - CUSTOS!$M$40)</f>
        <v>0</v>
      </c>
      <c r="Q41" s="79">
        <f>('TUSD BE'!$Q$41+'TUSD BF'!$Q$41+'TUSD CVA'!$Q$41)*(1 - CUSTOS!$M$40)</f>
        <v>112.21829948702204</v>
      </c>
      <c r="R41" s="79">
        <f>('TUSD BE'!$R$41+'TUSD BF'!$R$41+'TUSD CVA'!$R$41)*(1 - CUSTOS!$M$40)</f>
        <v>18.561462109317482</v>
      </c>
      <c r="S41" s="79">
        <f>('TUSD BE'!$S$41+'TUSD BF'!$S$41+'TUSD CVA'!$S$41)*(1 - CUSTOS!$M$40)</f>
        <v>0</v>
      </c>
      <c r="T41" s="79">
        <f>('TUSD BE'!$U$41+'TUSD BF'!$U$41+'TUSD CVA'!$U$41)*(1 - CUSTOS!$M$40)</f>
        <v>25.912343982609919</v>
      </c>
      <c r="U41" s="79">
        <f>('TUSD BE'!$V$41+'TUSD BF'!$V$41+'TUSD CVA'!$V$41)*(1 - CUSTOS!$M$40)</f>
        <v>3.4150776354751291</v>
      </c>
      <c r="V41" s="79">
        <f>('TUSD BE'!$W$41+'TUSD BF'!$W$41+'TUSD CVA'!$W$41)*(1 - CUSTOS!$M$40)</f>
        <v>1.0403405335638025</v>
      </c>
      <c r="W41" s="79">
        <f>('TUSD BE'!$X$41+'TUSD BF'!$X$41+'TUSD CVA'!$X$41)*(1 - CUSTOS!$M$40)</f>
        <v>0</v>
      </c>
      <c r="X41" s="79">
        <f>('TUSD BE'!$Y$41+'TUSD BF'!$Y$41+'TUSD CVA'!$Y$41)*(1 - CUSTOS!$M$40)</f>
        <v>38.180249089802409</v>
      </c>
      <c r="Y41" s="79">
        <f>('TUSD BE'!$Z$41+'TUSD BF'!$Z$41+'TUSD CVA'!$Z$41)*(1 - CUSTOS!$M$40)</f>
        <v>0</v>
      </c>
      <c r="Z41" s="79">
        <f>('TUSD BE'!$AA$41+'TUSD BF'!$AA$41+'TUSD CVA'!$AA$41)*(1 - CUSTOS!$M$40)</f>
        <v>0</v>
      </c>
      <c r="AA41" s="79">
        <f>('TUSD BE'!$AC$41+'TUSD BF'!$AC$41+'TUSD CVA'!$AC$41)*(1 - CUSTOS!$M$40)</f>
        <v>167.4002808482845</v>
      </c>
      <c r="AB41" s="79">
        <f ca="1">('TUSD BE'!$AE$41+'TUSD BF'!$AE$41+'TUSD CVA'!$AE$41)*(1 - CUSTOS!$M$40)</f>
        <v>-11.053665899943088</v>
      </c>
      <c r="AC41" s="79">
        <f ca="1">('TUSD BE'!$AF$41+'TUSD BF'!$AF$41+'TUSD CVA'!$AF$41)*(1 - CUSTOS!$M$40)</f>
        <v>0</v>
      </c>
      <c r="AD41" s="79">
        <f>('TUSD BE'!$AH$41+'TUSD BF'!$AH$41+'TUSD CVA'!$AH$41)*(1 - CUSTOS!$M$40)</f>
        <v>28.774366976235815</v>
      </c>
      <c r="AE41" s="79">
        <f>('TUSD BE'!$AI$41+'TUSD BF'!$AI$41+'TUSD CVA'!$AI$41)*(1 - CUSTOS!$M$40)</f>
        <v>1.0148979044116362</v>
      </c>
      <c r="AF41" s="79">
        <f ca="1">('TUSD BE'!$AJ$41+'TUSD BF'!$AJ$41+'TUSD CVA'!$AJ$41)*(1 - CUSTOS!$M$40)</f>
        <v>3.8609706973278652</v>
      </c>
      <c r="AG41" s="79">
        <f ca="1">('TUSD BE'!$AK$41+'TUSD BF'!$AK$41+'TUSD CVA'!$AK$41)*(1 - CUSTOS!$M$40)</f>
        <v>0.4625172459849341</v>
      </c>
      <c r="AI41" s="79">
        <v>5.3329524745346699</v>
      </c>
      <c r="AJ41" s="79">
        <v>0.51524736185133302</v>
      </c>
      <c r="AK41" s="79">
        <v>2.4818878177049801</v>
      </c>
      <c r="AL41" s="79">
        <v>0</v>
      </c>
      <c r="AM41" s="79">
        <v>0</v>
      </c>
      <c r="AN41" s="79">
        <v>41.291680703997301</v>
      </c>
      <c r="AO41" s="79">
        <v>7.2350712221346498</v>
      </c>
      <c r="AP41" s="79">
        <v>0</v>
      </c>
      <c r="AQ41" s="79">
        <v>18.0002615415804</v>
      </c>
      <c r="AR41" s="79">
        <v>2.7515301839032902</v>
      </c>
      <c r="AS41" s="79">
        <v>0.71691159218834699</v>
      </c>
      <c r="AT41" s="79">
        <v>0</v>
      </c>
      <c r="AU41" s="79">
        <v>28.703160617633198</v>
      </c>
      <c r="AV41" s="79">
        <v>0</v>
      </c>
      <c r="AW41" s="79">
        <v>0</v>
      </c>
      <c r="AX41" s="79">
        <v>139.92925232932299</v>
      </c>
      <c r="AY41" s="79">
        <v>0</v>
      </c>
      <c r="AZ41" s="79">
        <v>0</v>
      </c>
      <c r="BA41" s="79">
        <v>19.422285780263302</v>
      </c>
      <c r="BB41" s="79">
        <v>0.67145592940274201</v>
      </c>
      <c r="BC41" s="79">
        <v>5.53629831316014</v>
      </c>
      <c r="BD41" s="79">
        <v>0.31013736712710599</v>
      </c>
    </row>
    <row r="42" spans="1:56" ht="11.25" customHeight="1" x14ac:dyDescent="0.25">
      <c r="A42" s="119"/>
      <c r="B42" s="119" t="s">
        <v>94</v>
      </c>
      <c r="C42" s="119" t="s">
        <v>44</v>
      </c>
      <c r="D42" s="81" t="s">
        <v>25</v>
      </c>
      <c r="E42" s="81" t="s">
        <v>25</v>
      </c>
      <c r="F42" s="81" t="s">
        <v>25</v>
      </c>
      <c r="G42" s="21" t="s">
        <v>86</v>
      </c>
      <c r="H42" s="21" t="s">
        <v>80</v>
      </c>
      <c r="I42" s="21">
        <f>'MERCADO TUSD'!$U$39</f>
        <v>0</v>
      </c>
      <c r="J42" s="17"/>
      <c r="L42" s="79">
        <f>('TUSD BE'!$L$42+'TUSD BF'!$L$42+'TUSD CVA'!$L$42)*(1 - CUSTOS!$M$38)</f>
        <v>6.7390816420657469</v>
      </c>
      <c r="M42" s="79">
        <f>('TUSD BE'!$M$42+'TUSD BF'!$M$42+'TUSD CVA'!$M$42)*(1 - CUSTOS!$M$38)</f>
        <v>0.69633813115495646</v>
      </c>
      <c r="N42" s="79">
        <f ca="1">('TUSD BE'!$N$42+'TUSD BF'!$N$42+'TUSD CVA'!$N$42)*(1 - CUSTOS!$M$38)</f>
        <v>3.0187288220709769</v>
      </c>
      <c r="O42" s="79">
        <f>('TUSD BE'!$O$42+'TUSD BF'!$O$42+'TUSD CVA'!$O$42)*(1 - CUSTOS!$M$38)</f>
        <v>0</v>
      </c>
      <c r="P42" s="79">
        <f>('TUSD BE'!$P$42+'TUSD BF'!$P$42+'TUSD CVA'!$P$42)*(1 - CUSTOS!$M$38)</f>
        <v>0</v>
      </c>
      <c r="Q42" s="79">
        <f>('TUSD BE'!$Q$42+'TUSD BF'!$Q$42+'TUSD CVA'!$Q$42)*(1 - CUSTOS!$M$38)</f>
        <v>114.6578277367399</v>
      </c>
      <c r="R42" s="79">
        <f>('TUSD BE'!$R$42+'TUSD BF'!$R$42+'TUSD CVA'!$R$42)*(1 - CUSTOS!$M$38)</f>
        <v>18.964972155172209</v>
      </c>
      <c r="S42" s="79">
        <f>('TUSD BE'!$S$42+'TUSD BF'!$S$42+'TUSD CVA'!$S$42)*(1 - CUSTOS!$M$38)</f>
        <v>0</v>
      </c>
      <c r="T42" s="79">
        <f>('TUSD BE'!$U$42+'TUSD BF'!$U$42+'TUSD CVA'!$U$42)*(1 - CUSTOS!$M$38)</f>
        <v>26.475655808318827</v>
      </c>
      <c r="U42" s="79">
        <f>('TUSD BE'!$V$42+'TUSD BF'!$V$42+'TUSD CVA'!$V$42)*(1 - CUSTOS!$M$38)</f>
        <v>3.4893184536376314</v>
      </c>
      <c r="V42" s="79">
        <f>('TUSD BE'!$W$42+'TUSD BF'!$W$42+'TUSD CVA'!$W$42)*(1 - CUSTOS!$M$38)</f>
        <v>1.0629566321195372</v>
      </c>
      <c r="W42" s="79">
        <f>('TUSD BE'!$X$42+'TUSD BF'!$X$42+'TUSD CVA'!$X$42)*(1 - CUSTOS!$M$38)</f>
        <v>0</v>
      </c>
      <c r="X42" s="79">
        <f>('TUSD BE'!$Y$42+'TUSD BF'!$Y$42+'TUSD CVA'!$Y$42)*(1 - CUSTOS!$M$38)</f>
        <v>39.010254504798105</v>
      </c>
      <c r="Y42" s="79">
        <f>('TUSD BE'!$Z$42+'TUSD BF'!$Z$42+'TUSD CVA'!$Z$42)*(1 - CUSTOS!$M$38)</f>
        <v>0</v>
      </c>
      <c r="Z42" s="79">
        <f>('TUSD BE'!$AA$42+'TUSD BF'!$AA$42+'TUSD CVA'!$AA$42)*(1 - CUSTOS!$M$38)</f>
        <v>0</v>
      </c>
      <c r="AA42" s="79">
        <f>('TUSD BE'!$AC$42+'TUSD BF'!$AC$42+'TUSD CVA'!$AC$42)*(1 - CUSTOS!$M$38)</f>
        <v>171.03941738846459</v>
      </c>
      <c r="AB42" s="79">
        <f ca="1">('TUSD BE'!$AE$42+'TUSD BF'!$AE$42+'TUSD CVA'!$AE$42)*(1 - CUSTOS!$M$38)</f>
        <v>-11.293962984724457</v>
      </c>
      <c r="AC42" s="79">
        <f ca="1">('TUSD BE'!$AF$42+'TUSD BF'!$AF$42+'TUSD CVA'!$AF$42)*(1 - CUSTOS!$M$38)</f>
        <v>0</v>
      </c>
      <c r="AD42" s="79">
        <f>('TUSD BE'!$AH$42+'TUSD BF'!$AH$42+'TUSD CVA'!$AH$42)*(1 - CUSTOS!$M$38)</f>
        <v>29.399896693110502</v>
      </c>
      <c r="AE42" s="79">
        <f>('TUSD BE'!$AI$42+'TUSD BF'!$AI$42+'TUSD CVA'!$AI$42)*(1 - CUSTOS!$M$38)</f>
        <v>1.0369609023336281</v>
      </c>
      <c r="AF42" s="79">
        <f ca="1">('TUSD BE'!$AJ$42+'TUSD BF'!$AJ$42+'TUSD CVA'!$AJ$42)*(1 - CUSTOS!$M$38)</f>
        <v>3.9449048429219489</v>
      </c>
      <c r="AG42" s="79">
        <f ca="1">('TUSD BE'!$AK$42+'TUSD BF'!$AK$42+'TUSD CVA'!$AK$42)*(1 - CUSTOS!$M$38)</f>
        <v>0.47257196872373697</v>
      </c>
      <c r="AI42" s="79">
        <v>5.5869025923696496</v>
      </c>
      <c r="AJ42" s="79">
        <v>0.53978295051092096</v>
      </c>
      <c r="AK42" s="79">
        <v>2.6000729518814101</v>
      </c>
      <c r="AL42" s="79">
        <v>0</v>
      </c>
      <c r="AM42" s="79">
        <v>0</v>
      </c>
      <c r="AN42" s="79">
        <v>43.2579512137115</v>
      </c>
      <c r="AO42" s="79">
        <v>7.5795984231886804</v>
      </c>
      <c r="AP42" s="79">
        <v>0</v>
      </c>
      <c r="AQ42" s="79">
        <v>18.857416853084299</v>
      </c>
      <c r="AR42" s="79">
        <v>2.8825554307558301</v>
      </c>
      <c r="AS42" s="79">
        <v>0.75105023943541105</v>
      </c>
      <c r="AT42" s="79">
        <v>0</v>
      </c>
      <c r="AU42" s="79">
        <v>30.0699777899015</v>
      </c>
      <c r="AV42" s="79">
        <v>0</v>
      </c>
      <c r="AW42" s="79">
        <v>0</v>
      </c>
      <c r="AX42" s="79">
        <v>146.592550059291</v>
      </c>
      <c r="AY42" s="79">
        <v>0</v>
      </c>
      <c r="AZ42" s="79">
        <v>0</v>
      </c>
      <c r="BA42" s="79">
        <v>20.3471565317044</v>
      </c>
      <c r="BB42" s="79">
        <v>0.70343002127906296</v>
      </c>
      <c r="BC42" s="79">
        <v>5.7999315661677704</v>
      </c>
      <c r="BD42" s="79">
        <v>0.32490581318077799</v>
      </c>
    </row>
    <row r="43" spans="1:56" ht="11.25" customHeight="1" x14ac:dyDescent="0.25">
      <c r="A43" s="119"/>
      <c r="B43" s="119"/>
      <c r="C43" s="119"/>
      <c r="D43" s="81" t="s">
        <v>95</v>
      </c>
      <c r="E43" s="81" t="s">
        <v>25</v>
      </c>
      <c r="F43" s="81" t="s">
        <v>25</v>
      </c>
      <c r="G43" s="21" t="s">
        <v>86</v>
      </c>
      <c r="H43" s="21" t="s">
        <v>80</v>
      </c>
      <c r="I43" s="21">
        <f>'MERCADO TUSD'!$U$40</f>
        <v>0</v>
      </c>
      <c r="J43" s="17"/>
      <c r="L43" s="79">
        <f>('TUSD BE'!$L$43+'TUSD BF'!$L$43+'TUSD CVA'!$L$43)*(1 - CUSTOS!$M$39)</f>
        <v>6.7390816420657469</v>
      </c>
      <c r="M43" s="79">
        <f>('TUSD BE'!$M$43+'TUSD BF'!$M$43+'TUSD CVA'!$M$43)*(1 - CUSTOS!$M$39)</f>
        <v>0.69633813115495646</v>
      </c>
      <c r="N43" s="79">
        <f ca="1">('TUSD BE'!$N$43+'TUSD BF'!$N$43+'TUSD CVA'!$N$43)*(1 - CUSTOS!$M$39)</f>
        <v>3.0187288220709769</v>
      </c>
      <c r="O43" s="79">
        <f>('TUSD BE'!$O$43+'TUSD BF'!$O$43+'TUSD CVA'!$O$43)*(1 - CUSTOS!$M$39)</f>
        <v>0</v>
      </c>
      <c r="P43" s="79">
        <f>('TUSD BE'!$P$43+'TUSD BF'!$P$43+'TUSD CVA'!$P$43)*(1 - CUSTOS!$M$39)</f>
        <v>0</v>
      </c>
      <c r="Q43" s="79">
        <f>('TUSD BE'!$Q$43+'TUSD BF'!$Q$43+'TUSD CVA'!$Q$43)*(1 - CUSTOS!$M$39)</f>
        <v>114.6578277367399</v>
      </c>
      <c r="R43" s="79">
        <f>('TUSD BE'!$R$43+'TUSD BF'!$R$43+'TUSD CVA'!$R$43)*(1 - CUSTOS!$M$39)</f>
        <v>18.964972155172209</v>
      </c>
      <c r="S43" s="79">
        <f>('TUSD BE'!$S$43+'TUSD BF'!$S$43+'TUSD CVA'!$S$43)*(1 - CUSTOS!$M$39)</f>
        <v>0</v>
      </c>
      <c r="T43" s="79">
        <f>('TUSD BE'!$U$43+'TUSD BF'!$U$43+'TUSD CVA'!$U$43)*(1 - CUSTOS!$M$39)</f>
        <v>26.475655808318827</v>
      </c>
      <c r="U43" s="79">
        <f>('TUSD BE'!$V$43+'TUSD BF'!$V$43+'TUSD CVA'!$V$43)*(1 - CUSTOS!$M$39)</f>
        <v>3.4893184536376314</v>
      </c>
      <c r="V43" s="79">
        <f>('TUSD BE'!$W$43+'TUSD BF'!$W$43+'TUSD CVA'!$W$43)*(1 - CUSTOS!$M$39)</f>
        <v>1.0629566321195372</v>
      </c>
      <c r="W43" s="79">
        <f>('TUSD BE'!$X$43+'TUSD BF'!$X$43+'TUSD CVA'!$X$43)*(1 - CUSTOS!$M$39)</f>
        <v>0</v>
      </c>
      <c r="X43" s="79">
        <f>('TUSD BE'!$Y$43+'TUSD BF'!$Y$43+'TUSD CVA'!$Y$43)*(1 - CUSTOS!$M$39)</f>
        <v>39.010254504798105</v>
      </c>
      <c r="Y43" s="79">
        <f>('TUSD BE'!$Z$43+'TUSD BF'!$Z$43+'TUSD CVA'!$Z$43)*(1 - CUSTOS!$M$39)</f>
        <v>0</v>
      </c>
      <c r="Z43" s="79">
        <f>('TUSD BE'!$AA$43+'TUSD BF'!$AA$43+'TUSD CVA'!$AA$43)*(1 - CUSTOS!$M$39)</f>
        <v>0</v>
      </c>
      <c r="AA43" s="79">
        <f>('TUSD BE'!$AC$43+'TUSD BF'!$AC$43+'TUSD CVA'!$AC$43)*(1 - CUSTOS!$M$39)</f>
        <v>171.03941738846459</v>
      </c>
      <c r="AB43" s="79">
        <f ca="1">('TUSD BE'!$AE$43+'TUSD BF'!$AE$43+'TUSD CVA'!$AE$43)*(1 - CUSTOS!$M$39)</f>
        <v>-11.293962984724457</v>
      </c>
      <c r="AC43" s="79">
        <f ca="1">('TUSD BE'!$AF$43+'TUSD BF'!$AF$43+'TUSD CVA'!$AF$43)*(1 - CUSTOS!$M$39)</f>
        <v>0</v>
      </c>
      <c r="AD43" s="79">
        <f>('TUSD BE'!$AH$43+'TUSD BF'!$AH$43+'TUSD CVA'!$AH$43)*(1 - CUSTOS!$M$39)</f>
        <v>29.399896693110502</v>
      </c>
      <c r="AE43" s="79">
        <f>('TUSD BE'!$AI$43+'TUSD BF'!$AI$43+'TUSD CVA'!$AI$43)*(1 - CUSTOS!$M$39)</f>
        <v>1.0369609023336281</v>
      </c>
      <c r="AF43" s="79">
        <f ca="1">('TUSD BE'!$AJ$43+'TUSD BF'!$AJ$43+'TUSD CVA'!$AJ$43)*(1 - CUSTOS!$M$39)</f>
        <v>3.9449048429219489</v>
      </c>
      <c r="AG43" s="79">
        <f ca="1">('TUSD BE'!$AK$43+'TUSD BF'!$AK$43+'TUSD CVA'!$AK$43)*(1 - CUSTOS!$M$39)</f>
        <v>0.47257196872373697</v>
      </c>
      <c r="AI43" s="79">
        <v>5.5869025923696496</v>
      </c>
      <c r="AJ43" s="79">
        <v>0.53978295051092096</v>
      </c>
      <c r="AK43" s="79">
        <v>2.6000729518814101</v>
      </c>
      <c r="AL43" s="79">
        <v>0</v>
      </c>
      <c r="AM43" s="79">
        <v>0</v>
      </c>
      <c r="AN43" s="79">
        <v>43.2579512137115</v>
      </c>
      <c r="AO43" s="79">
        <v>7.5795984231886804</v>
      </c>
      <c r="AP43" s="79">
        <v>0</v>
      </c>
      <c r="AQ43" s="79">
        <v>18.857416853084299</v>
      </c>
      <c r="AR43" s="79">
        <v>2.8825554307558301</v>
      </c>
      <c r="AS43" s="79">
        <v>0.75105023943541105</v>
      </c>
      <c r="AT43" s="79">
        <v>0</v>
      </c>
      <c r="AU43" s="79">
        <v>30.0699777899015</v>
      </c>
      <c r="AV43" s="79">
        <v>0</v>
      </c>
      <c r="AW43" s="79">
        <v>0</v>
      </c>
      <c r="AX43" s="79">
        <v>146.592550059291</v>
      </c>
      <c r="AY43" s="79">
        <v>0</v>
      </c>
      <c r="AZ43" s="79">
        <v>0</v>
      </c>
      <c r="BA43" s="79">
        <v>20.3471565317044</v>
      </c>
      <c r="BB43" s="79">
        <v>0.70343002127906296</v>
      </c>
      <c r="BC43" s="79">
        <v>5.7999315661677704</v>
      </c>
      <c r="BD43" s="79">
        <v>0.32490581318077799</v>
      </c>
    </row>
    <row r="44" spans="1:56" ht="11.25" customHeight="1" x14ac:dyDescent="0.25">
      <c r="A44" s="119"/>
      <c r="B44" s="119"/>
      <c r="C44" s="119"/>
      <c r="D44" s="81" t="s">
        <v>55</v>
      </c>
      <c r="E44" s="81" t="s">
        <v>25</v>
      </c>
      <c r="F44" s="81" t="s">
        <v>25</v>
      </c>
      <c r="G44" s="21" t="s">
        <v>86</v>
      </c>
      <c r="H44" s="21" t="s">
        <v>80</v>
      </c>
      <c r="I44" s="21">
        <f>'MERCADO TUSD'!$U$41</f>
        <v>0</v>
      </c>
      <c r="J44" s="17"/>
      <c r="L44" s="79">
        <f>('TUSD BE'!$L$44+'TUSD BF'!$L$44+'TUSD CVA'!$L$44)*(1 - CUSTOS!$M$40)</f>
        <v>6.5956969262771148</v>
      </c>
      <c r="M44" s="79">
        <f>('TUSD BE'!$M$44+'TUSD BF'!$M$44+'TUSD CVA'!$M$44)*(1 - CUSTOS!$M$40)</f>
        <v>0.68152242623676595</v>
      </c>
      <c r="N44" s="79">
        <f ca="1">('TUSD BE'!$N$44+'TUSD BF'!$N$44+'TUSD CVA'!$N$44)*(1 - CUSTOS!$M$40)</f>
        <v>2.9545005492609566</v>
      </c>
      <c r="O44" s="79">
        <f>('TUSD BE'!$O$44+'TUSD BF'!$O$44+'TUSD CVA'!$O$44)*(1 - CUSTOS!$M$40)</f>
        <v>0</v>
      </c>
      <c r="P44" s="79">
        <f>('TUSD BE'!$P$44+'TUSD BF'!$P$44+'TUSD CVA'!$P$44)*(1 - CUSTOS!$M$40)</f>
        <v>0</v>
      </c>
      <c r="Q44" s="79">
        <f>('TUSD BE'!$Q$44+'TUSD BF'!$Q$44+'TUSD CVA'!$Q$44)*(1 - CUSTOS!$M$40)</f>
        <v>112.21829948702204</v>
      </c>
      <c r="R44" s="79">
        <f>('TUSD BE'!$R$44+'TUSD BF'!$R$44+'TUSD CVA'!$R$44)*(1 - CUSTOS!$M$40)</f>
        <v>18.561462109317482</v>
      </c>
      <c r="S44" s="79">
        <f>('TUSD BE'!$S$44+'TUSD BF'!$S$44+'TUSD CVA'!$S$44)*(1 - CUSTOS!$M$40)</f>
        <v>0</v>
      </c>
      <c r="T44" s="79">
        <f>('TUSD BE'!$U$44+'TUSD BF'!$U$44+'TUSD CVA'!$U$44)*(1 - CUSTOS!$M$40)</f>
        <v>25.912343982609919</v>
      </c>
      <c r="U44" s="79">
        <f>('TUSD BE'!$V$44+'TUSD BF'!$V$44+'TUSD CVA'!$V$44)*(1 - CUSTOS!$M$40)</f>
        <v>3.4150776354751291</v>
      </c>
      <c r="V44" s="79">
        <f>('TUSD BE'!$W$44+'TUSD BF'!$W$44+'TUSD CVA'!$W$44)*(1 - CUSTOS!$M$40)</f>
        <v>1.0403405335638025</v>
      </c>
      <c r="W44" s="79">
        <f>('TUSD BE'!$X$44+'TUSD BF'!$X$44+'TUSD CVA'!$X$44)*(1 - CUSTOS!$M$40)</f>
        <v>0</v>
      </c>
      <c r="X44" s="79">
        <f>('TUSD BE'!$Y$44+'TUSD BF'!$Y$44+'TUSD CVA'!$Y$44)*(1 - CUSTOS!$M$40)</f>
        <v>38.180249089802409</v>
      </c>
      <c r="Y44" s="79">
        <f>('TUSD BE'!$Z$44+'TUSD BF'!$Z$44+'TUSD CVA'!$Z$44)*(1 - CUSTOS!$M$40)</f>
        <v>0</v>
      </c>
      <c r="Z44" s="79">
        <f>('TUSD BE'!$AA$44+'TUSD BF'!$AA$44+'TUSD CVA'!$AA$44)*(1 - CUSTOS!$M$40)</f>
        <v>0</v>
      </c>
      <c r="AA44" s="79">
        <f>('TUSD BE'!$AC$44+'TUSD BF'!$AC$44+'TUSD CVA'!$AC$44)*(1 - CUSTOS!$M$40)</f>
        <v>167.4002808482845</v>
      </c>
      <c r="AB44" s="79">
        <f ca="1">('TUSD BE'!$AE$44+'TUSD BF'!$AE$44+'TUSD CVA'!$AE$44)*(1 - CUSTOS!$M$40)</f>
        <v>-11.053665899943088</v>
      </c>
      <c r="AC44" s="79">
        <f ca="1">('TUSD BE'!$AF$44+'TUSD BF'!$AF$44+'TUSD CVA'!$AF$44)*(1 - CUSTOS!$M$40)</f>
        <v>0</v>
      </c>
      <c r="AD44" s="79">
        <f>('TUSD BE'!$AH$44+'TUSD BF'!$AH$44+'TUSD CVA'!$AH$44)*(1 - CUSTOS!$M$40)</f>
        <v>28.774366976235815</v>
      </c>
      <c r="AE44" s="79">
        <f>('TUSD BE'!$AI$44+'TUSD BF'!$AI$44+'TUSD CVA'!$AI$44)*(1 - CUSTOS!$M$40)</f>
        <v>1.0148979044116362</v>
      </c>
      <c r="AF44" s="79">
        <f ca="1">('TUSD BE'!$AJ$44+'TUSD BF'!$AJ$44+'TUSD CVA'!$AJ$44)*(1 - CUSTOS!$M$40)</f>
        <v>3.8609706973278652</v>
      </c>
      <c r="AG44" s="79">
        <f ca="1">('TUSD BE'!$AK$44+'TUSD BF'!$AK$44+'TUSD CVA'!$AK$44)*(1 - CUSTOS!$M$40)</f>
        <v>0.4625172459849341</v>
      </c>
      <c r="AI44" s="79">
        <v>5.3329524745346699</v>
      </c>
      <c r="AJ44" s="79">
        <v>0.51524736185133302</v>
      </c>
      <c r="AK44" s="79">
        <v>2.4818878177049801</v>
      </c>
      <c r="AL44" s="79">
        <v>0</v>
      </c>
      <c r="AM44" s="79">
        <v>0</v>
      </c>
      <c r="AN44" s="79">
        <v>41.291680703997301</v>
      </c>
      <c r="AO44" s="79">
        <v>7.2350712221346498</v>
      </c>
      <c r="AP44" s="79">
        <v>0</v>
      </c>
      <c r="AQ44" s="79">
        <v>18.0002615415804</v>
      </c>
      <c r="AR44" s="79">
        <v>2.7515301839032902</v>
      </c>
      <c r="AS44" s="79">
        <v>0.71691159218834699</v>
      </c>
      <c r="AT44" s="79">
        <v>0</v>
      </c>
      <c r="AU44" s="79">
        <v>28.703160617633198</v>
      </c>
      <c r="AV44" s="79">
        <v>0</v>
      </c>
      <c r="AW44" s="79">
        <v>0</v>
      </c>
      <c r="AX44" s="79">
        <v>139.92925232932299</v>
      </c>
      <c r="AY44" s="79">
        <v>0</v>
      </c>
      <c r="AZ44" s="79">
        <v>0</v>
      </c>
      <c r="BA44" s="79">
        <v>19.422285780263302</v>
      </c>
      <c r="BB44" s="79">
        <v>0.67145592940274201</v>
      </c>
      <c r="BC44" s="79">
        <v>5.53629831316014</v>
      </c>
      <c r="BD44" s="79">
        <v>0.31013736712710599</v>
      </c>
    </row>
    <row r="45" spans="1:56" ht="11.25" customHeight="1" x14ac:dyDescent="0.25">
      <c r="A45" s="119" t="s">
        <v>37</v>
      </c>
      <c r="B45" s="119" t="s">
        <v>33</v>
      </c>
      <c r="C45" s="119" t="s">
        <v>25</v>
      </c>
      <c r="D45" s="119" t="s">
        <v>25</v>
      </c>
      <c r="E45" s="119" t="s">
        <v>25</v>
      </c>
      <c r="F45" s="119" t="s">
        <v>25</v>
      </c>
      <c r="G45" s="21" t="s">
        <v>81</v>
      </c>
      <c r="H45" s="21" t="s">
        <v>80</v>
      </c>
      <c r="I45" s="21">
        <f>'MERCADO TUSD'!$U$42</f>
        <v>57.161000000000001</v>
      </c>
      <c r="J45" s="17"/>
      <c r="L45" s="79">
        <f>('TUSD BE'!$L$45+'TUSD BF'!$L$45+'TUSD CVA'!$L$45)*1</f>
        <v>7.1692357894316459</v>
      </c>
      <c r="M45" s="79">
        <f>('TUSD BE'!$M$45+'TUSD BF'!$M$45+'TUSD CVA'!$M$45)*1</f>
        <v>0.74078524590952821</v>
      </c>
      <c r="N45" s="79">
        <f ca="1">('TUSD BE'!$N$45+'TUSD BF'!$N$45+'TUSD CVA'!$N$45)*1</f>
        <v>3.5587700716278827</v>
      </c>
      <c r="O45" s="79">
        <f>('TUSD BE'!$O$45+'TUSD BF'!$O$45+'TUSD CVA'!$O$45)*1</f>
        <v>0</v>
      </c>
      <c r="P45" s="79">
        <f>('TUSD BE'!$P$45+'TUSD BF'!$P$45+'TUSD CVA'!$P$45)*1</f>
        <v>0</v>
      </c>
      <c r="Q45" s="79">
        <f>('TUSD BE'!$Q$45+'TUSD BF'!$Q$45+'TUSD CVA'!$Q$45)*1</f>
        <v>121.97641248589352</v>
      </c>
      <c r="R45" s="79">
        <f>('TUSD BE'!$R$45+'TUSD BF'!$R$45+'TUSD CVA'!$R$45)*1</f>
        <v>20.175502292736393</v>
      </c>
      <c r="S45" s="79">
        <f>('TUSD BE'!$S$45+'TUSD BF'!$S$45+'TUSD CVA'!$S$45)*1</f>
        <v>0</v>
      </c>
      <c r="T45" s="79">
        <f>('TUSD BE'!$U$45+'TUSD BF'!$U$45+'TUSD CVA'!$U$45)*1</f>
        <v>99.987862528223502</v>
      </c>
      <c r="U45" s="79">
        <f>('TUSD BE'!$V$45+'TUSD BF'!$V$45+'TUSD CVA'!$V$45)*1</f>
        <v>13.17760513763533</v>
      </c>
      <c r="V45" s="79">
        <f>('TUSD BE'!$W$45+'TUSD BF'!$W$45+'TUSD CVA'!$W$45)*1</f>
        <v>4.0143574936429332</v>
      </c>
      <c r="W45" s="79">
        <f>('TUSD BE'!$X$45+'TUSD BF'!$X$45+'TUSD CVA'!$X$45)*1</f>
        <v>0</v>
      </c>
      <c r="X45" s="79">
        <f>('TUSD BE'!$Y$45+'TUSD BF'!$Y$45+'TUSD CVA'!$Y$45)*1</f>
        <v>147.32584285993951</v>
      </c>
      <c r="Y45" s="79">
        <f>('TUSD BE'!$Z$45+'TUSD BF'!$Z$45+'TUSD CVA'!$Z$45)*1</f>
        <v>0</v>
      </c>
      <c r="Z45" s="79">
        <f>('TUSD BE'!$AA$45+'TUSD BF'!$AA$45+'TUSD CVA'!$AA$45)*1</f>
        <v>0</v>
      </c>
      <c r="AA45" s="79">
        <f>('TUSD BE'!$AC$45+'TUSD BF'!$AC$45+'TUSD CVA'!$AC$45)*1</f>
        <v>645.94682376449896</v>
      </c>
      <c r="AB45" s="79">
        <f ca="1">('TUSD BE'!$AE$45+'TUSD BF'!$AE$45+'TUSD CVA'!$AE$45)*1</f>
        <v>-31.030434135012154</v>
      </c>
      <c r="AC45" s="79">
        <f ca="1">('TUSD BE'!$AF$45+'TUSD BF'!$AF$45+'TUSD CVA'!$AF$45)*1</f>
        <v>0</v>
      </c>
      <c r="AD45" s="79">
        <f>('TUSD BE'!$AH$45+'TUSD BF'!$AH$45+'TUSD CVA'!$AH$45)*1</f>
        <v>31.27648584373458</v>
      </c>
      <c r="AE45" s="79">
        <f>('TUSD BE'!$AI$45+'TUSD BF'!$AI$45+'TUSD CVA'!$AI$45)*1</f>
        <v>1.1031498960996045</v>
      </c>
      <c r="AF45" s="79">
        <f ca="1">('TUSD BE'!$AJ$45+'TUSD BF'!$AJ$45+'TUSD CVA'!$AJ$45)*1</f>
        <v>4.1967072797042011</v>
      </c>
      <c r="AG45" s="79">
        <f ca="1">('TUSD BE'!$AK$45+'TUSD BF'!$AK$45+'TUSD CVA'!$AK$45)*1</f>
        <v>0.50273613694014574</v>
      </c>
      <c r="AI45" s="79">
        <v>6.3487529458746002</v>
      </c>
      <c r="AJ45" s="79">
        <v>0.61338971648968299</v>
      </c>
      <c r="AK45" s="79">
        <v>3.2740018015722101</v>
      </c>
      <c r="AL45" s="79">
        <v>0</v>
      </c>
      <c r="AM45" s="79">
        <v>0</v>
      </c>
      <c r="AN45" s="79">
        <v>49.1567627428539</v>
      </c>
      <c r="AO45" s="79">
        <v>8.6131800263507792</v>
      </c>
      <c r="AP45" s="79">
        <v>0</v>
      </c>
      <c r="AQ45" s="79">
        <v>76.072544140294099</v>
      </c>
      <c r="AR45" s="79">
        <v>11.6283670413266</v>
      </c>
      <c r="AS45" s="79">
        <v>3.02980494317694</v>
      </c>
      <c r="AT45" s="79">
        <v>0</v>
      </c>
      <c r="AU45" s="79">
        <v>121.304926631654</v>
      </c>
      <c r="AV45" s="79">
        <v>0</v>
      </c>
      <c r="AW45" s="79">
        <v>0</v>
      </c>
      <c r="AX45" s="79">
        <v>591.36775399156602</v>
      </c>
      <c r="AY45" s="79">
        <v>0</v>
      </c>
      <c r="AZ45" s="79">
        <v>0</v>
      </c>
      <c r="BA45" s="79">
        <v>23.121768786027701</v>
      </c>
      <c r="BB45" s="79">
        <v>0.799352296908027</v>
      </c>
      <c r="BC45" s="79">
        <v>6.5908313251906403</v>
      </c>
      <c r="BD45" s="79">
        <v>0.369211151341793</v>
      </c>
    </row>
    <row r="46" spans="1:56" ht="11.25" customHeight="1" x14ac:dyDescent="0.25">
      <c r="A46" s="119"/>
      <c r="B46" s="119"/>
      <c r="C46" s="119"/>
      <c r="D46" s="119"/>
      <c r="E46" s="119"/>
      <c r="F46" s="119"/>
      <c r="G46" s="21" t="s">
        <v>91</v>
      </c>
      <c r="H46" s="21" t="s">
        <v>80</v>
      </c>
      <c r="I46" s="21">
        <f>'MERCADO TUSD'!$U$43</f>
        <v>51.646000000000001</v>
      </c>
      <c r="J46" s="17"/>
      <c r="L46" s="79">
        <f>('TUSD BE'!$L$46+'TUSD BF'!$L$46+'TUSD CVA'!$L$46)*1</f>
        <v>7.1692357894316459</v>
      </c>
      <c r="M46" s="79">
        <f>('TUSD BE'!$M$46+'TUSD BF'!$M$46+'TUSD CVA'!$M$46)*1</f>
        <v>0.74078524590952821</v>
      </c>
      <c r="N46" s="79">
        <f ca="1">('TUSD BE'!$N$46+'TUSD BF'!$N$46+'TUSD CVA'!$N$46)*1</f>
        <v>3.3653401798741349</v>
      </c>
      <c r="O46" s="79">
        <f>('TUSD BE'!$O$46+'TUSD BF'!$O$46+'TUSD CVA'!$O$46)*1</f>
        <v>0</v>
      </c>
      <c r="P46" s="79">
        <f>('TUSD BE'!$P$46+'TUSD BF'!$P$46+'TUSD CVA'!$P$46)*1</f>
        <v>0</v>
      </c>
      <c r="Q46" s="79">
        <f>('TUSD BE'!$Q$46+'TUSD BF'!$Q$46+'TUSD CVA'!$Q$46)*1</f>
        <v>121.97641248589352</v>
      </c>
      <c r="R46" s="79">
        <f>('TUSD BE'!$R$46+'TUSD BF'!$R$46+'TUSD CVA'!$R$46)*1</f>
        <v>20.175502292736393</v>
      </c>
      <c r="S46" s="79">
        <f>('TUSD BE'!$S$46+'TUSD BF'!$S$46+'TUSD CVA'!$S$46)*1</f>
        <v>0</v>
      </c>
      <c r="T46" s="79">
        <f>('TUSD BE'!$U$46+'TUSD BF'!$U$46+'TUSD CVA'!$U$46)*1</f>
        <v>59.992690587150591</v>
      </c>
      <c r="U46" s="79">
        <f>('TUSD BE'!$V$46+'TUSD BF'!$V$46+'TUSD CVA'!$V$46)*1</f>
        <v>7.9065874454001399</v>
      </c>
      <c r="V46" s="79">
        <f>('TUSD BE'!$W$46+'TUSD BF'!$W$46+'TUSD CVA'!$W$46)*1</f>
        <v>2.4085902819474772</v>
      </c>
      <c r="W46" s="79">
        <f>('TUSD BE'!$X$46+'TUSD BF'!$X$46+'TUSD CVA'!$X$46)*1</f>
        <v>0</v>
      </c>
      <c r="X46" s="79">
        <f>('TUSD BE'!$Y$46+'TUSD BF'!$Y$46+'TUSD CVA'!$Y$46)*1</f>
        <v>88.395458395244489</v>
      </c>
      <c r="Y46" s="79">
        <f>('TUSD BE'!$Z$46+'TUSD BF'!$Z$46+'TUSD CVA'!$Z$46)*1</f>
        <v>0</v>
      </c>
      <c r="Z46" s="79">
        <f>('TUSD BE'!$AA$46+'TUSD BF'!$AA$46+'TUSD CVA'!$AA$46)*1</f>
        <v>0</v>
      </c>
      <c r="AA46" s="79">
        <f>('TUSD BE'!$AC$46+'TUSD BF'!$AC$46+'TUSD CVA'!$AC$46)*1</f>
        <v>387.5681162293323</v>
      </c>
      <c r="AB46" s="79">
        <f ca="1">('TUSD BE'!$AE$46+'TUSD BF'!$AE$46+'TUSD CVA'!$AE$46)*1</f>
        <v>-20.441363959278117</v>
      </c>
      <c r="AC46" s="79">
        <f ca="1">('TUSD BE'!$AF$46+'TUSD BF'!$AF$46+'TUSD CVA'!$AF$46)*1</f>
        <v>0</v>
      </c>
      <c r="AD46" s="79">
        <f>('TUSD BE'!$AH$46+'TUSD BF'!$AH$46+'TUSD CVA'!$AH$46)*1</f>
        <v>31.27648584373458</v>
      </c>
      <c r="AE46" s="79">
        <f>('TUSD BE'!$AI$46+'TUSD BF'!$AI$46+'TUSD CVA'!$AI$46)*1</f>
        <v>1.1031498960996045</v>
      </c>
      <c r="AF46" s="79">
        <f ca="1">('TUSD BE'!$AJ$46+'TUSD BF'!$AJ$46+'TUSD CVA'!$AJ$46)*1</f>
        <v>4.1967072797042011</v>
      </c>
      <c r="AG46" s="79">
        <f ca="1">('TUSD BE'!$AK$46+'TUSD BF'!$AK$46+'TUSD CVA'!$AK$46)*1</f>
        <v>0.50273613694014574</v>
      </c>
      <c r="AI46" s="79">
        <v>6.3487529458746002</v>
      </c>
      <c r="AJ46" s="79">
        <v>0.61338971648968299</v>
      </c>
      <c r="AK46" s="79">
        <v>3.0961545939846999</v>
      </c>
      <c r="AL46" s="79">
        <v>0</v>
      </c>
      <c r="AM46" s="79">
        <v>0</v>
      </c>
      <c r="AN46" s="79">
        <v>49.1567627428539</v>
      </c>
      <c r="AO46" s="79">
        <v>8.6131800263507792</v>
      </c>
      <c r="AP46" s="79">
        <v>0</v>
      </c>
      <c r="AQ46" s="79">
        <v>45.643505995518197</v>
      </c>
      <c r="AR46" s="79">
        <v>6.9770417233761499</v>
      </c>
      <c r="AS46" s="79">
        <v>1.8178646903990701</v>
      </c>
      <c r="AT46" s="79">
        <v>0</v>
      </c>
      <c r="AU46" s="79">
        <v>72.782917016131094</v>
      </c>
      <c r="AV46" s="79">
        <v>0</v>
      </c>
      <c r="AW46" s="79">
        <v>0</v>
      </c>
      <c r="AX46" s="79">
        <v>354.820672509171</v>
      </c>
      <c r="AY46" s="79">
        <v>0</v>
      </c>
      <c r="AZ46" s="79">
        <v>0</v>
      </c>
      <c r="BA46" s="79">
        <v>23.121768786027701</v>
      </c>
      <c r="BB46" s="79">
        <v>0.799352296908027</v>
      </c>
      <c r="BC46" s="79">
        <v>6.5908313251906403</v>
      </c>
      <c r="BD46" s="79">
        <v>0.369211151341793</v>
      </c>
    </row>
    <row r="47" spans="1:56" ht="11.25" customHeight="1" x14ac:dyDescent="0.25">
      <c r="A47" s="119"/>
      <c r="B47" s="119"/>
      <c r="C47" s="119"/>
      <c r="D47" s="119"/>
      <c r="E47" s="119"/>
      <c r="F47" s="119"/>
      <c r="G47" s="21" t="s">
        <v>82</v>
      </c>
      <c r="H47" s="21" t="s">
        <v>80</v>
      </c>
      <c r="I47" s="21">
        <f>'MERCADO TUSD'!$U$44</f>
        <v>982.72000000000014</v>
      </c>
      <c r="J47" s="17"/>
      <c r="L47" s="79">
        <f>('TUSD BE'!$L$47+'TUSD BF'!$L$47+'TUSD CVA'!$L$47)*1</f>
        <v>7.1692357894316459</v>
      </c>
      <c r="M47" s="79">
        <f>('TUSD BE'!$M$47+'TUSD BF'!$M$47+'TUSD CVA'!$M$47)*1</f>
        <v>0.74078524590952821</v>
      </c>
      <c r="N47" s="79">
        <f ca="1">('TUSD BE'!$N$47+'TUSD BF'!$N$47+'TUSD CVA'!$N$47)*1</f>
        <v>3.1719103484966631</v>
      </c>
      <c r="O47" s="79">
        <f>('TUSD BE'!$O$47+'TUSD BF'!$O$47+'TUSD CVA'!$O$47)*1</f>
        <v>0</v>
      </c>
      <c r="P47" s="79">
        <f>('TUSD BE'!$P$47+'TUSD BF'!$P$47+'TUSD CVA'!$P$47)*1</f>
        <v>0</v>
      </c>
      <c r="Q47" s="79">
        <f>('TUSD BE'!$Q$47+'TUSD BF'!$Q$47+'TUSD CVA'!$Q$47)*1</f>
        <v>121.97641248589352</v>
      </c>
      <c r="R47" s="79">
        <f>('TUSD BE'!$R$47+'TUSD BF'!$R$47+'TUSD CVA'!$R$47)*1</f>
        <v>20.175502292736393</v>
      </c>
      <c r="S47" s="79">
        <f>('TUSD BE'!$S$47+'TUSD BF'!$S$47+'TUSD CVA'!$S$47)*1</f>
        <v>0</v>
      </c>
      <c r="T47" s="79">
        <f>('TUSD BE'!$U$47+'TUSD BF'!$U$47+'TUSD CVA'!$U$47)*1</f>
        <v>19.997518646077662</v>
      </c>
      <c r="U47" s="79">
        <f>('TUSD BE'!$V$47+'TUSD BF'!$V$47+'TUSD CVA'!$V$47)*1</f>
        <v>2.6355697531649507</v>
      </c>
      <c r="V47" s="79">
        <f>('TUSD BE'!$W$47+'TUSD BF'!$W$47+'TUSD CVA'!$W$47)*1</f>
        <v>0.80282307025202193</v>
      </c>
      <c r="W47" s="79">
        <f>('TUSD BE'!$X$47+'TUSD BF'!$X$47+'TUSD CVA'!$X$47)*1</f>
        <v>0</v>
      </c>
      <c r="X47" s="79">
        <f>('TUSD BE'!$Y$47+'TUSD BF'!$Y$47+'TUSD CVA'!$Y$47)*1</f>
        <v>29.465192232347508</v>
      </c>
      <c r="Y47" s="79">
        <f>('TUSD BE'!$Z$47+'TUSD BF'!$Z$47+'TUSD CVA'!$Z$47)*1</f>
        <v>0</v>
      </c>
      <c r="Z47" s="79">
        <f>('TUSD BE'!$AA$47+'TUSD BF'!$AA$47+'TUSD CVA'!$AA$47)*1</f>
        <v>0</v>
      </c>
      <c r="AA47" s="79">
        <f>('TUSD BE'!$AC$47+'TUSD BF'!$AC$47+'TUSD CVA'!$AC$47)*1</f>
        <v>129.18940869416559</v>
      </c>
      <c r="AB47" s="79">
        <f ca="1">('TUSD BE'!$AE$47+'TUSD BF'!$AE$47+'TUSD CVA'!$AE$47)*1</f>
        <v>-9.8522972188327298</v>
      </c>
      <c r="AC47" s="79">
        <f ca="1">('TUSD BE'!$AF$47+'TUSD BF'!$AF$47+'TUSD CVA'!$AF$47)*1</f>
        <v>0</v>
      </c>
      <c r="AD47" s="79">
        <f>('TUSD BE'!$AH$47+'TUSD BF'!$AH$47+'TUSD CVA'!$AH$47)*1</f>
        <v>31.27648584373458</v>
      </c>
      <c r="AE47" s="79">
        <f>('TUSD BE'!$AI$47+'TUSD BF'!$AI$47+'TUSD CVA'!$AI$47)*1</f>
        <v>1.1031498960996045</v>
      </c>
      <c r="AF47" s="79">
        <f ca="1">('TUSD BE'!$AJ$47+'TUSD BF'!$AJ$47+'TUSD CVA'!$AJ$47)*1</f>
        <v>4.1967072797042011</v>
      </c>
      <c r="AG47" s="79">
        <f ca="1">('TUSD BE'!$AK$47+'TUSD BF'!$AK$47+'TUSD CVA'!$AK$47)*1</f>
        <v>0.50273613694014574</v>
      </c>
      <c r="AI47" s="79">
        <v>6.3487529458746002</v>
      </c>
      <c r="AJ47" s="79">
        <v>0.61338971648968299</v>
      </c>
      <c r="AK47" s="79">
        <v>2.91830744190956</v>
      </c>
      <c r="AL47" s="79">
        <v>0</v>
      </c>
      <c r="AM47" s="79">
        <v>0</v>
      </c>
      <c r="AN47" s="79">
        <v>49.1567627428539</v>
      </c>
      <c r="AO47" s="79">
        <v>8.6131800263507792</v>
      </c>
      <c r="AP47" s="79">
        <v>0</v>
      </c>
      <c r="AQ47" s="79">
        <v>15.214467850742301</v>
      </c>
      <c r="AR47" s="79">
        <v>2.3257164054257098</v>
      </c>
      <c r="AS47" s="79">
        <v>0.60592443762120596</v>
      </c>
      <c r="AT47" s="79">
        <v>0</v>
      </c>
      <c r="AU47" s="79">
        <v>24.261004807761399</v>
      </c>
      <c r="AV47" s="79">
        <v>0</v>
      </c>
      <c r="AW47" s="79">
        <v>0</v>
      </c>
      <c r="AX47" s="79">
        <v>118.273591026776</v>
      </c>
      <c r="AY47" s="79">
        <v>0</v>
      </c>
      <c r="AZ47" s="79">
        <v>0</v>
      </c>
      <c r="BA47" s="79">
        <v>23.121768786027701</v>
      </c>
      <c r="BB47" s="79">
        <v>0.799352296908027</v>
      </c>
      <c r="BC47" s="79">
        <v>6.5908313251906403</v>
      </c>
      <c r="BD47" s="79">
        <v>0.369211151341793</v>
      </c>
    </row>
    <row r="48" spans="1:56" ht="11.25" customHeight="1" x14ac:dyDescent="0.25">
      <c r="A48" s="119"/>
      <c r="B48" s="81" t="s">
        <v>23</v>
      </c>
      <c r="C48" s="81" t="s">
        <v>25</v>
      </c>
      <c r="D48" s="81" t="s">
        <v>25</v>
      </c>
      <c r="E48" s="81" t="s">
        <v>25</v>
      </c>
      <c r="F48" s="81" t="s">
        <v>25</v>
      </c>
      <c r="G48" s="21" t="s">
        <v>86</v>
      </c>
      <c r="H48" s="21" t="s">
        <v>80</v>
      </c>
      <c r="I48" s="21">
        <f>'MERCADO TUSD'!$U$45</f>
        <v>86690.115999999995</v>
      </c>
      <c r="J48" s="17"/>
      <c r="L48" s="79">
        <f>('TUSD BE'!$L$48+'TUSD BF'!$L$48+'TUSD CVA'!$L$48)*1</f>
        <v>7.1692357894316459</v>
      </c>
      <c r="M48" s="79">
        <f>('TUSD BE'!$M$48+'TUSD BF'!$M$48+'TUSD CVA'!$M$48)*1</f>
        <v>0.74078524590952821</v>
      </c>
      <c r="N48" s="79">
        <f ca="1">('TUSD BE'!$N$48+'TUSD BF'!$N$48+'TUSD CVA'!$N$48)*1</f>
        <v>3.2114136405010396</v>
      </c>
      <c r="O48" s="79">
        <f>('TUSD BE'!$O$48+'TUSD BF'!$O$48+'TUSD CVA'!$O$48)*1</f>
        <v>0</v>
      </c>
      <c r="P48" s="79">
        <f>('TUSD BE'!$P$48+'TUSD BF'!$P$48+'TUSD CVA'!$P$48)*1</f>
        <v>0</v>
      </c>
      <c r="Q48" s="79">
        <f>('TUSD BE'!$Q$48+'TUSD BF'!$Q$48+'TUSD CVA'!$Q$48)*1</f>
        <v>121.97641248589352</v>
      </c>
      <c r="R48" s="79">
        <f>('TUSD BE'!$R$48+'TUSD BF'!$R$48+'TUSD CVA'!$R$48)*1</f>
        <v>20.175502292736393</v>
      </c>
      <c r="S48" s="79">
        <f>('TUSD BE'!$S$48+'TUSD BF'!$S$48+'TUSD CVA'!$S$48)*1</f>
        <v>0</v>
      </c>
      <c r="T48" s="79">
        <f>('TUSD BE'!$U$48+'TUSD BF'!$U$48+'TUSD CVA'!$U$48)*1</f>
        <v>28.165591285445561</v>
      </c>
      <c r="U48" s="79">
        <f>('TUSD BE'!$V$48+'TUSD BF'!$V$48+'TUSD CVA'!$V$48)*1</f>
        <v>3.71204090812514</v>
      </c>
      <c r="V48" s="79">
        <f>('TUSD BE'!$W$48+'TUSD BF'!$W$48+'TUSD CVA'!$W$48)*1</f>
        <v>1.1308049277867418</v>
      </c>
      <c r="W48" s="79">
        <f>('TUSD BE'!$X$48+'TUSD BF'!$X$48+'TUSD CVA'!$X$48)*1</f>
        <v>0</v>
      </c>
      <c r="X48" s="79">
        <f>('TUSD BE'!$Y$48+'TUSD BF'!$Y$48+'TUSD CVA'!$Y$48)*1</f>
        <v>41.500270749785223</v>
      </c>
      <c r="Y48" s="79">
        <f>('TUSD BE'!$Z$48+'TUSD BF'!$Z$48+'TUSD CVA'!$Z$48)*1</f>
        <v>0</v>
      </c>
      <c r="Z48" s="79">
        <f>('TUSD BE'!$AA$48+'TUSD BF'!$AA$48+'TUSD CVA'!$AA$48)*1</f>
        <v>0</v>
      </c>
      <c r="AA48" s="79">
        <f>('TUSD BE'!$AC$48+'TUSD BF'!$AC$48+'TUSD CVA'!$AC$48)*1</f>
        <v>181.95682700900488</v>
      </c>
      <c r="AB48" s="79">
        <f ca="1">('TUSD BE'!$AE$48+'TUSD BF'!$AE$48+'TUSD CVA'!$AE$48)*1</f>
        <v>-12.014854239068573</v>
      </c>
      <c r="AC48" s="79">
        <f ca="1">('TUSD BE'!$AF$48+'TUSD BF'!$AF$48+'TUSD CVA'!$AF$48)*1</f>
        <v>0</v>
      </c>
      <c r="AD48" s="79">
        <f>('TUSD BE'!$AH$48+'TUSD BF'!$AH$48+'TUSD CVA'!$AH$48)*1</f>
        <v>31.27648584373458</v>
      </c>
      <c r="AE48" s="79">
        <f>('TUSD BE'!$AI$48+'TUSD BF'!$AI$48+'TUSD CVA'!$AI$48)*1</f>
        <v>1.1031498960996045</v>
      </c>
      <c r="AF48" s="79">
        <f ca="1">('TUSD BE'!$AJ$48+'TUSD BF'!$AJ$48+'TUSD CVA'!$AJ$48)*1</f>
        <v>4.1967072797042011</v>
      </c>
      <c r="AG48" s="79">
        <f ca="1">('TUSD BE'!$AK$48+'TUSD BF'!$AK$48+'TUSD CVA'!$AK$48)*1</f>
        <v>0.50273613694014574</v>
      </c>
      <c r="AI48" s="79">
        <v>6.3487529458746002</v>
      </c>
      <c r="AJ48" s="79">
        <v>0.61338971648968299</v>
      </c>
      <c r="AK48" s="79">
        <v>2.9546283544106999</v>
      </c>
      <c r="AL48" s="79">
        <v>0</v>
      </c>
      <c r="AM48" s="79">
        <v>0</v>
      </c>
      <c r="AN48" s="79">
        <v>49.1567627428539</v>
      </c>
      <c r="AO48" s="79">
        <v>8.6131800263507792</v>
      </c>
      <c r="AP48" s="79">
        <v>0</v>
      </c>
      <c r="AQ48" s="79">
        <v>21.4288827875958</v>
      </c>
      <c r="AR48" s="79">
        <v>3.2756311713134401</v>
      </c>
      <c r="AS48" s="79">
        <v>0.853466181176604</v>
      </c>
      <c r="AT48" s="79">
        <v>0</v>
      </c>
      <c r="AU48" s="79">
        <v>34.170429306706197</v>
      </c>
      <c r="AV48" s="79">
        <v>0</v>
      </c>
      <c r="AW48" s="79">
        <v>0</v>
      </c>
      <c r="AX48" s="79">
        <v>166.582443249194</v>
      </c>
      <c r="AY48" s="79">
        <v>0</v>
      </c>
      <c r="AZ48" s="79">
        <v>0</v>
      </c>
      <c r="BA48" s="79">
        <v>23.121768786027701</v>
      </c>
      <c r="BB48" s="79">
        <v>0.799352296908027</v>
      </c>
      <c r="BC48" s="79">
        <v>6.5908313251906403</v>
      </c>
      <c r="BD48" s="79">
        <v>0.369211151341793</v>
      </c>
    </row>
    <row r="49" spans="1:56" ht="11.25" customHeight="1" x14ac:dyDescent="0.25">
      <c r="A49" s="119"/>
      <c r="B49" s="81" t="s">
        <v>94</v>
      </c>
      <c r="C49" s="81" t="s">
        <v>25</v>
      </c>
      <c r="D49" s="81" t="s">
        <v>25</v>
      </c>
      <c r="E49" s="81" t="s">
        <v>25</v>
      </c>
      <c r="F49" s="81" t="s">
        <v>25</v>
      </c>
      <c r="G49" s="21" t="s">
        <v>86</v>
      </c>
      <c r="H49" s="21" t="s">
        <v>80</v>
      </c>
      <c r="I49" s="21">
        <f>'MERCADO TUSD'!$U$46</f>
        <v>0</v>
      </c>
      <c r="J49" s="17"/>
      <c r="L49" s="79">
        <f>('TUSD BE'!$L$49+'TUSD BF'!$L$49+'TUSD CVA'!$L$49)*1</f>
        <v>7.1692357894316459</v>
      </c>
      <c r="M49" s="79">
        <f>('TUSD BE'!$M$49+'TUSD BF'!$M$49+'TUSD CVA'!$M$49)*1</f>
        <v>0.74078524590952821</v>
      </c>
      <c r="N49" s="79">
        <f ca="1">('TUSD BE'!$N$49+'TUSD BF'!$N$49+'TUSD CVA'!$N$49)*1</f>
        <v>3.2114136405010396</v>
      </c>
      <c r="O49" s="79">
        <f>('TUSD BE'!$O$49+'TUSD BF'!$O$49+'TUSD CVA'!$O$49)*1</f>
        <v>0</v>
      </c>
      <c r="P49" s="79">
        <f>('TUSD BE'!$P$49+'TUSD BF'!$P$49+'TUSD CVA'!$P$49)*1</f>
        <v>0</v>
      </c>
      <c r="Q49" s="79">
        <f>('TUSD BE'!$Q$49+'TUSD BF'!$Q$49+'TUSD CVA'!$Q$49)*1</f>
        <v>121.97641248589352</v>
      </c>
      <c r="R49" s="79">
        <f>('TUSD BE'!$R$49+'TUSD BF'!$R$49+'TUSD CVA'!$R$49)*1</f>
        <v>20.175502292736393</v>
      </c>
      <c r="S49" s="79">
        <f>('TUSD BE'!$S$49+'TUSD BF'!$S$49+'TUSD CVA'!$S$49)*1</f>
        <v>0</v>
      </c>
      <c r="T49" s="79">
        <f>('TUSD BE'!$U$49+'TUSD BF'!$U$49+'TUSD CVA'!$U$49)*1</f>
        <v>28.165591285445561</v>
      </c>
      <c r="U49" s="79">
        <f>('TUSD BE'!$V$49+'TUSD BF'!$V$49+'TUSD CVA'!$V$49)*1</f>
        <v>3.71204090812514</v>
      </c>
      <c r="V49" s="79">
        <f>('TUSD BE'!$W$49+'TUSD BF'!$W$49+'TUSD CVA'!$W$49)*1</f>
        <v>1.1308049277867418</v>
      </c>
      <c r="W49" s="79">
        <f>('TUSD BE'!$X$49+'TUSD BF'!$X$49+'TUSD CVA'!$X$49)*1</f>
        <v>0</v>
      </c>
      <c r="X49" s="79">
        <f>('TUSD BE'!$Y$49+'TUSD BF'!$Y$49+'TUSD CVA'!$Y$49)*1</f>
        <v>41.500270749785223</v>
      </c>
      <c r="Y49" s="79">
        <f>('TUSD BE'!$Z$49+'TUSD BF'!$Z$49+'TUSD CVA'!$Z$49)*1</f>
        <v>0</v>
      </c>
      <c r="Z49" s="79">
        <f>('TUSD BE'!$AA$49+'TUSD BF'!$AA$49+'TUSD CVA'!$AA$49)*1</f>
        <v>0</v>
      </c>
      <c r="AA49" s="79">
        <f>('TUSD BE'!$AC$49+'TUSD BF'!$AC$49+'TUSD CVA'!$AC$49)*1</f>
        <v>181.95682700900488</v>
      </c>
      <c r="AB49" s="79">
        <f ca="1">('TUSD BE'!$AE$49+'TUSD BF'!$AE$49+'TUSD CVA'!$AE$49)*1</f>
        <v>-12.014854239068573</v>
      </c>
      <c r="AC49" s="79">
        <f ca="1">('TUSD BE'!$AF$49+'TUSD BF'!$AF$49+'TUSD CVA'!$AF$49)*1</f>
        <v>0</v>
      </c>
      <c r="AD49" s="79">
        <f>('TUSD BE'!$AH$49+'TUSD BF'!$AH$49+'TUSD CVA'!$AH$49)*1</f>
        <v>31.27648584373458</v>
      </c>
      <c r="AE49" s="79">
        <f>('TUSD BE'!$AI$49+'TUSD BF'!$AI$49+'TUSD CVA'!$AI$49)*1</f>
        <v>1.1031498960996045</v>
      </c>
      <c r="AF49" s="79">
        <f ca="1">('TUSD BE'!$AJ$49+'TUSD BF'!$AJ$49+'TUSD CVA'!$AJ$49)*1</f>
        <v>4.1967072797042011</v>
      </c>
      <c r="AG49" s="79">
        <f ca="1">('TUSD BE'!$AK$49+'TUSD BF'!$AK$49+'TUSD CVA'!$AK$49)*1</f>
        <v>0.50273613694014574</v>
      </c>
      <c r="AI49" s="79">
        <v>6.3487529458746002</v>
      </c>
      <c r="AJ49" s="79">
        <v>0.61338971648968299</v>
      </c>
      <c r="AK49" s="79">
        <v>2.9546283544106999</v>
      </c>
      <c r="AL49" s="79">
        <v>0</v>
      </c>
      <c r="AM49" s="79">
        <v>0</v>
      </c>
      <c r="AN49" s="79">
        <v>49.1567627428539</v>
      </c>
      <c r="AO49" s="79">
        <v>8.6131800263507792</v>
      </c>
      <c r="AP49" s="79">
        <v>0</v>
      </c>
      <c r="AQ49" s="79">
        <v>21.4288827875958</v>
      </c>
      <c r="AR49" s="79">
        <v>3.2756311713134401</v>
      </c>
      <c r="AS49" s="79">
        <v>0.853466181176604</v>
      </c>
      <c r="AT49" s="79">
        <v>0</v>
      </c>
      <c r="AU49" s="79">
        <v>34.170429306706197</v>
      </c>
      <c r="AV49" s="79">
        <v>0</v>
      </c>
      <c r="AW49" s="79">
        <v>0</v>
      </c>
      <c r="AX49" s="79">
        <v>166.582443249194</v>
      </c>
      <c r="AY49" s="79">
        <v>0</v>
      </c>
      <c r="AZ49" s="79">
        <v>0</v>
      </c>
      <c r="BA49" s="79">
        <v>23.121768786027701</v>
      </c>
      <c r="BB49" s="79">
        <v>0.799352296908027</v>
      </c>
      <c r="BC49" s="79">
        <v>6.5908313251906403</v>
      </c>
      <c r="BD49" s="79">
        <v>0.369211151341793</v>
      </c>
    </row>
    <row r="50" spans="1:56" ht="11.25" customHeight="1" x14ac:dyDescent="0.25">
      <c r="A50" s="119" t="s">
        <v>46</v>
      </c>
      <c r="B50" s="119" t="s">
        <v>23</v>
      </c>
      <c r="C50" s="119" t="s">
        <v>47</v>
      </c>
      <c r="D50" s="81" t="s">
        <v>48</v>
      </c>
      <c r="E50" s="81" t="s">
        <v>25</v>
      </c>
      <c r="F50" s="81" t="s">
        <v>25</v>
      </c>
      <c r="G50" s="21" t="s">
        <v>86</v>
      </c>
      <c r="H50" s="21" t="s">
        <v>80</v>
      </c>
      <c r="I50" s="21">
        <f>'MERCADO TUSD'!$U$47</f>
        <v>18976.334999999999</v>
      </c>
      <c r="J50" s="17"/>
      <c r="L50" s="79">
        <f>('TUSD BE'!$L$50+'TUSD BF'!$L$50+'TUSD CVA'!$L$50)*1</f>
        <v>3.9430796841874058</v>
      </c>
      <c r="M50" s="79">
        <f>('TUSD BE'!$M$50+'TUSD BF'!$M$50+'TUSD CVA'!$M$50)*1</f>
        <v>0.40743188525024054</v>
      </c>
      <c r="N50" s="79">
        <f ca="1">('TUSD BE'!$N$50+'TUSD BF'!$N$50+'TUSD CVA'!$N$50)*1</f>
        <v>1.7662775022755721</v>
      </c>
      <c r="O50" s="79">
        <f>('TUSD BE'!$O$50+'TUSD BF'!$O$50+'TUSD CVA'!$O$50)*1</f>
        <v>0</v>
      </c>
      <c r="P50" s="79">
        <f>('TUSD BE'!$P$50+'TUSD BF'!$P$50+'TUSD CVA'!$P$50)*1</f>
        <v>0</v>
      </c>
      <c r="Q50" s="79">
        <f>('TUSD BE'!$Q$50+'TUSD BF'!$Q$50+'TUSD CVA'!$Q$50)*1</f>
        <v>67.087026867241448</v>
      </c>
      <c r="R50" s="79">
        <f>('TUSD BE'!$R$50+'TUSD BF'!$R$50+'TUSD CVA'!$R$50)*1</f>
        <v>11.096526261005017</v>
      </c>
      <c r="S50" s="79">
        <f>('TUSD BE'!$S$50+'TUSD BF'!$S$50+'TUSD CVA'!$S$50)*1</f>
        <v>0</v>
      </c>
      <c r="T50" s="79">
        <f>('TUSD BE'!$U$50+'TUSD BF'!$U$50+'TUSD CVA'!$U$50)*1</f>
        <v>15.491075206995061</v>
      </c>
      <c r="U50" s="79">
        <f>('TUSD BE'!$V$50+'TUSD BF'!$V$50+'TUSD CVA'!$V$50)*1</f>
        <v>2.0416224994688275</v>
      </c>
      <c r="V50" s="79">
        <f>('TUSD BE'!$W$50+'TUSD BF'!$W$50+'TUSD CVA'!$W$50)*1</f>
        <v>0.62194271028270798</v>
      </c>
      <c r="W50" s="79">
        <f>('TUSD BE'!$X$50+'TUSD BF'!$X$50+'TUSD CVA'!$X$50)*1</f>
        <v>0</v>
      </c>
      <c r="X50" s="79">
        <f>('TUSD BE'!$Y$50+'TUSD BF'!$Y$50+'TUSD CVA'!$Y$50)*1</f>
        <v>22.825148912381874</v>
      </c>
      <c r="Y50" s="79">
        <f>('TUSD BE'!$Z$50+'TUSD BF'!$Z$50+'TUSD CVA'!$Z$50)*1</f>
        <v>0</v>
      </c>
      <c r="Z50" s="79">
        <f>('TUSD BE'!$AA$50+'TUSD BF'!$AA$50+'TUSD CVA'!$AA$50)*1</f>
        <v>0</v>
      </c>
      <c r="AA50" s="79">
        <f>('TUSD BE'!$AC$50+'TUSD BF'!$AC$50+'TUSD CVA'!$AC$50)*1</f>
        <v>100.07625485495269</v>
      </c>
      <c r="AB50" s="79">
        <f ca="1">('TUSD BE'!$AE$50+'TUSD BF'!$AE$50+'TUSD CVA'!$AE$50)*1</f>
        <v>-6.6081698314877153</v>
      </c>
      <c r="AC50" s="79">
        <f ca="1">('TUSD BE'!$AF$50+'TUSD BF'!$AF$50+'TUSD CVA'!$AF$50)*1</f>
        <v>0</v>
      </c>
      <c r="AD50" s="79">
        <f>('TUSD BE'!$AH$50+'TUSD BF'!$AH$50+'TUSD CVA'!$AH$50)*1</f>
        <v>17.202067214054019</v>
      </c>
      <c r="AE50" s="79">
        <f>('TUSD BE'!$AI$50+'TUSD BF'!$AI$50+'TUSD CVA'!$AI$50)*1</f>
        <v>0.60673244285478256</v>
      </c>
      <c r="AF50" s="79">
        <f ca="1">('TUSD BE'!$AJ$50+'TUSD BF'!$AJ$50+'TUSD CVA'!$AJ$50)*1</f>
        <v>2.3081890038373105</v>
      </c>
      <c r="AG50" s="79">
        <f ca="1">('TUSD BE'!$AK$50+'TUSD BF'!$AK$50+'TUSD CVA'!$AK$50)*1</f>
        <v>0.27650487531708018</v>
      </c>
      <c r="AI50" s="79">
        <v>3.4918141202310302</v>
      </c>
      <c r="AJ50" s="79">
        <v>0.33736434406932603</v>
      </c>
      <c r="AK50" s="79">
        <v>1.62504559492588</v>
      </c>
      <c r="AL50" s="79">
        <v>0</v>
      </c>
      <c r="AM50" s="79">
        <v>0</v>
      </c>
      <c r="AN50" s="79">
        <v>27.036219508569701</v>
      </c>
      <c r="AO50" s="79">
        <v>4.7372490144929298</v>
      </c>
      <c r="AP50" s="79">
        <v>0</v>
      </c>
      <c r="AQ50" s="79">
        <v>11.7858855331777</v>
      </c>
      <c r="AR50" s="79">
        <v>1.8015971442223899</v>
      </c>
      <c r="AS50" s="79">
        <v>0.46940639964713199</v>
      </c>
      <c r="AT50" s="79">
        <v>0</v>
      </c>
      <c r="AU50" s="79">
        <v>18.7937361186884</v>
      </c>
      <c r="AV50" s="79">
        <v>0</v>
      </c>
      <c r="AW50" s="79">
        <v>0</v>
      </c>
      <c r="AX50" s="79">
        <v>91.620343787056896</v>
      </c>
      <c r="AY50" s="79">
        <v>0</v>
      </c>
      <c r="AZ50" s="79">
        <v>0</v>
      </c>
      <c r="BA50" s="79">
        <v>12.7169728323153</v>
      </c>
      <c r="BB50" s="79">
        <v>0.43964376329941501</v>
      </c>
      <c r="BC50" s="79">
        <v>3.6249572288548499</v>
      </c>
      <c r="BD50" s="79">
        <v>0.203066133237986</v>
      </c>
    </row>
    <row r="51" spans="1:56" ht="11.25" customHeight="1" x14ac:dyDescent="0.25">
      <c r="A51" s="119"/>
      <c r="B51" s="119"/>
      <c r="C51" s="119"/>
      <c r="D51" s="21" t="s">
        <v>96</v>
      </c>
      <c r="E51" s="21" t="s">
        <v>25</v>
      </c>
      <c r="F51" s="21" t="s">
        <v>25</v>
      </c>
      <c r="G51" s="21" t="s">
        <v>86</v>
      </c>
      <c r="H51" s="21" t="s">
        <v>80</v>
      </c>
      <c r="I51" s="21">
        <f>'MERCADO TUSD'!$U$48</f>
        <v>0</v>
      </c>
      <c r="J51" s="17"/>
      <c r="L51" s="79">
        <f>('TUSD BE'!$L$51+'TUSD BF'!$L$51+'TUSD CVA'!$L$51)*1</f>
        <v>4.301541473658987</v>
      </c>
      <c r="M51" s="79">
        <f>('TUSD BE'!$M$51+'TUSD BF'!$M$51+'TUSD CVA'!$M$51)*1</f>
        <v>0.44447114754571693</v>
      </c>
      <c r="N51" s="79">
        <f ca="1">('TUSD BE'!$N$51+'TUSD BF'!$N$51+'TUSD CVA'!$N$51)*1</f>
        <v>1.9268481843006238</v>
      </c>
      <c r="O51" s="79">
        <f>('TUSD BE'!$O$51+'TUSD BF'!$O$51+'TUSD CVA'!$O$51)*1</f>
        <v>0</v>
      </c>
      <c r="P51" s="79">
        <f>('TUSD BE'!$P$51+'TUSD BF'!$P$51+'TUSD CVA'!$P$51)*1</f>
        <v>0</v>
      </c>
      <c r="Q51" s="79">
        <f>('TUSD BE'!$Q$51+'TUSD BF'!$Q$51+'TUSD CVA'!$Q$51)*1</f>
        <v>73.185847491536109</v>
      </c>
      <c r="R51" s="79">
        <f>('TUSD BE'!$R$51+'TUSD BF'!$R$51+'TUSD CVA'!$R$51)*1</f>
        <v>12.105301375641833</v>
      </c>
      <c r="S51" s="79">
        <f>('TUSD BE'!$S$51+'TUSD BF'!$S$51+'TUSD CVA'!$S$51)*1</f>
        <v>0</v>
      </c>
      <c r="T51" s="79">
        <f>('TUSD BE'!$U$51+'TUSD BF'!$U$51+'TUSD CVA'!$U$51)*1</f>
        <v>16.899354771267337</v>
      </c>
      <c r="U51" s="79">
        <f>('TUSD BE'!$V$51+'TUSD BF'!$V$51+'TUSD CVA'!$V$51)*1</f>
        <v>2.2272245448750838</v>
      </c>
      <c r="V51" s="79">
        <f>('TUSD BE'!$W$51+'TUSD BF'!$W$51+'TUSD CVA'!$W$51)*1</f>
        <v>0.67848295667204495</v>
      </c>
      <c r="W51" s="79">
        <f>('TUSD BE'!$X$51+'TUSD BF'!$X$51+'TUSD CVA'!$X$51)*1</f>
        <v>0</v>
      </c>
      <c r="X51" s="79">
        <f>('TUSD BE'!$Y$51+'TUSD BF'!$Y$51+'TUSD CVA'!$Y$51)*1</f>
        <v>24.900162449871132</v>
      </c>
      <c r="Y51" s="79">
        <f>('TUSD BE'!$Z$51+'TUSD BF'!$Z$51+'TUSD CVA'!$Z$51)*1</f>
        <v>0</v>
      </c>
      <c r="Z51" s="79">
        <f>('TUSD BE'!$AA$51+'TUSD BF'!$AA$51+'TUSD CVA'!$AA$51)*1</f>
        <v>0</v>
      </c>
      <c r="AA51" s="79">
        <f>('TUSD BE'!$AC$51+'TUSD BF'!$AC$51+'TUSD CVA'!$AC$51)*1</f>
        <v>109.17409620540292</v>
      </c>
      <c r="AB51" s="79">
        <f ca="1">('TUSD BE'!$AE$51+'TUSD BF'!$AE$51+'TUSD CVA'!$AE$51)*1</f>
        <v>-7.2089125434411434</v>
      </c>
      <c r="AC51" s="79">
        <f ca="1">('TUSD BE'!$AF$51+'TUSD BF'!$AF$51+'TUSD CVA'!$AF$51)*1</f>
        <v>0</v>
      </c>
      <c r="AD51" s="79">
        <f>('TUSD BE'!$AH$51+'TUSD BF'!$AH$51+'TUSD CVA'!$AH$51)*1</f>
        <v>18.765891506240745</v>
      </c>
      <c r="AE51" s="79">
        <f>('TUSD BE'!$AI$51+'TUSD BF'!$AI$51+'TUSD CVA'!$AI$51)*1</f>
        <v>0.66188993765976267</v>
      </c>
      <c r="AF51" s="79">
        <f ca="1">('TUSD BE'!$AJ$51+'TUSD BF'!$AJ$51+'TUSD CVA'!$AJ$51)*1</f>
        <v>2.5180243678225209</v>
      </c>
      <c r="AG51" s="79">
        <f ca="1">('TUSD BE'!$AK$51+'TUSD BF'!$AK$51+'TUSD CVA'!$AK$51)*1</f>
        <v>0.30164168216408749</v>
      </c>
      <c r="AI51" s="79">
        <v>3.8092517675247599</v>
      </c>
      <c r="AJ51" s="79">
        <v>0.36803382989381001</v>
      </c>
      <c r="AK51" s="79">
        <v>1.77277701264642</v>
      </c>
      <c r="AL51" s="79">
        <v>0</v>
      </c>
      <c r="AM51" s="79">
        <v>0</v>
      </c>
      <c r="AN51" s="79">
        <v>29.494057645712399</v>
      </c>
      <c r="AO51" s="79">
        <v>5.16790801581047</v>
      </c>
      <c r="AP51" s="79">
        <v>0</v>
      </c>
      <c r="AQ51" s="79">
        <v>12.857329672557499</v>
      </c>
      <c r="AR51" s="79">
        <v>1.96537870278806</v>
      </c>
      <c r="AS51" s="79">
        <v>0.51207970870596198</v>
      </c>
      <c r="AT51" s="79">
        <v>0</v>
      </c>
      <c r="AU51" s="79">
        <v>20.502257584023699</v>
      </c>
      <c r="AV51" s="79">
        <v>0</v>
      </c>
      <c r="AW51" s="79">
        <v>0</v>
      </c>
      <c r="AX51" s="79">
        <v>99.949465949516707</v>
      </c>
      <c r="AY51" s="79">
        <v>0</v>
      </c>
      <c r="AZ51" s="79">
        <v>0</v>
      </c>
      <c r="BA51" s="79">
        <v>13.873061271616599</v>
      </c>
      <c r="BB51" s="79">
        <v>0.47961137814481603</v>
      </c>
      <c r="BC51" s="79">
        <v>3.95449879511439</v>
      </c>
      <c r="BD51" s="79">
        <v>0.221526690805076</v>
      </c>
    </row>
    <row r="53" spans="1:56" ht="11.25" customHeight="1" x14ac:dyDescent="0.25">
      <c r="L53" s="121" t="s">
        <v>945</v>
      </c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I53" s="121" t="s">
        <v>946</v>
      </c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21"/>
      <c r="BD53" s="121"/>
    </row>
    <row r="54" spans="1:56" ht="11.25" customHeight="1" x14ac:dyDescent="0.25">
      <c r="L54" s="121" t="s">
        <v>644</v>
      </c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I54" s="121" t="s">
        <v>644</v>
      </c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</row>
    <row r="55" spans="1:56" ht="11.25" customHeight="1" x14ac:dyDescent="0.25">
      <c r="L55" s="121" t="s">
        <v>645</v>
      </c>
      <c r="M55" s="121"/>
      <c r="N55" s="121"/>
      <c r="O55" s="121"/>
      <c r="P55" s="121"/>
      <c r="Q55" s="121"/>
      <c r="R55" s="121"/>
      <c r="S55" s="121"/>
      <c r="T55" s="121" t="s">
        <v>654</v>
      </c>
      <c r="U55" s="121"/>
      <c r="V55" s="121"/>
      <c r="W55" s="121"/>
      <c r="X55" s="121"/>
      <c r="Y55" s="121"/>
      <c r="Z55" s="121"/>
      <c r="AA55" s="80" t="s">
        <v>662</v>
      </c>
      <c r="AB55" s="121" t="s">
        <v>664</v>
      </c>
      <c r="AC55" s="121"/>
      <c r="AD55" s="121" t="s">
        <v>667</v>
      </c>
      <c r="AE55" s="121"/>
      <c r="AF55" s="121"/>
      <c r="AG55" s="121"/>
      <c r="AI55" s="121" t="s">
        <v>645</v>
      </c>
      <c r="AJ55" s="121"/>
      <c r="AK55" s="121"/>
      <c r="AL55" s="121"/>
      <c r="AM55" s="121"/>
      <c r="AN55" s="121"/>
      <c r="AO55" s="121"/>
      <c r="AP55" s="121"/>
      <c r="AQ55" s="121" t="s">
        <v>654</v>
      </c>
      <c r="AR55" s="121"/>
      <c r="AS55" s="121"/>
      <c r="AT55" s="121"/>
      <c r="AU55" s="121"/>
      <c r="AV55" s="121"/>
      <c r="AW55" s="121"/>
      <c r="AX55" s="80" t="s">
        <v>662</v>
      </c>
      <c r="AY55" s="121" t="s">
        <v>664</v>
      </c>
      <c r="AZ55" s="121"/>
      <c r="BA55" s="121" t="s">
        <v>667</v>
      </c>
      <c r="BB55" s="121"/>
      <c r="BC55" s="121"/>
      <c r="BD55" s="121"/>
    </row>
    <row r="56" spans="1:56" ht="11.25" customHeight="1" x14ac:dyDescent="0.25">
      <c r="L56" s="80" t="s">
        <v>730</v>
      </c>
      <c r="M56" s="80" t="s">
        <v>646</v>
      </c>
      <c r="N56" s="80" t="s">
        <v>647</v>
      </c>
      <c r="O56" s="80" t="s">
        <v>648</v>
      </c>
      <c r="P56" s="80" t="s">
        <v>649</v>
      </c>
      <c r="Q56" s="80" t="s">
        <v>650</v>
      </c>
      <c r="R56" s="80" t="s">
        <v>651</v>
      </c>
      <c r="S56" s="80" t="s">
        <v>652</v>
      </c>
      <c r="T56" s="80" t="s">
        <v>655</v>
      </c>
      <c r="U56" s="80" t="s">
        <v>656</v>
      </c>
      <c r="V56" s="80" t="s">
        <v>657</v>
      </c>
      <c r="W56" s="80" t="s">
        <v>658</v>
      </c>
      <c r="X56" s="80" t="s">
        <v>659</v>
      </c>
      <c r="Y56" s="80" t="s">
        <v>660</v>
      </c>
      <c r="Z56" s="80" t="s">
        <v>661</v>
      </c>
      <c r="AA56" s="80" t="s">
        <v>663</v>
      </c>
      <c r="AB56" s="80" t="s">
        <v>665</v>
      </c>
      <c r="AC56" s="80" t="s">
        <v>666</v>
      </c>
      <c r="AD56" s="80" t="s">
        <v>668</v>
      </c>
      <c r="AE56" s="80" t="s">
        <v>669</v>
      </c>
      <c r="AF56" s="80" t="s">
        <v>670</v>
      </c>
      <c r="AG56" s="80" t="s">
        <v>671</v>
      </c>
      <c r="AI56" s="80" t="s">
        <v>730</v>
      </c>
      <c r="AJ56" s="80" t="s">
        <v>646</v>
      </c>
      <c r="AK56" s="80" t="s">
        <v>647</v>
      </c>
      <c r="AL56" s="80" t="s">
        <v>648</v>
      </c>
      <c r="AM56" s="80" t="s">
        <v>649</v>
      </c>
      <c r="AN56" s="80" t="s">
        <v>650</v>
      </c>
      <c r="AO56" s="80" t="s">
        <v>651</v>
      </c>
      <c r="AP56" s="80" t="s">
        <v>652</v>
      </c>
      <c r="AQ56" s="80" t="s">
        <v>655</v>
      </c>
      <c r="AR56" s="80" t="s">
        <v>656</v>
      </c>
      <c r="AS56" s="80" t="s">
        <v>657</v>
      </c>
      <c r="AT56" s="80" t="s">
        <v>658</v>
      </c>
      <c r="AU56" s="80" t="s">
        <v>659</v>
      </c>
      <c r="AV56" s="80" t="s">
        <v>660</v>
      </c>
      <c r="AW56" s="80" t="s">
        <v>661</v>
      </c>
      <c r="AX56" s="80" t="s">
        <v>663</v>
      </c>
      <c r="AY56" s="80" t="s">
        <v>665</v>
      </c>
      <c r="AZ56" s="80" t="s">
        <v>666</v>
      </c>
      <c r="BA56" s="80" t="s">
        <v>668</v>
      </c>
      <c r="BB56" s="80" t="s">
        <v>669</v>
      </c>
      <c r="BC56" s="80" t="s">
        <v>670</v>
      </c>
      <c r="BD56" s="80" t="s">
        <v>671</v>
      </c>
    </row>
    <row r="57" spans="1:56" ht="11.25" customHeight="1" x14ac:dyDescent="0.25">
      <c r="A57" s="9" t="s">
        <v>39</v>
      </c>
      <c r="B57" s="9" t="s">
        <v>947</v>
      </c>
      <c r="C57" s="9" t="s">
        <v>948</v>
      </c>
      <c r="D57" s="9" t="s">
        <v>949</v>
      </c>
      <c r="E57" s="9" t="s">
        <v>950</v>
      </c>
      <c r="F57" s="9" t="s">
        <v>951</v>
      </c>
      <c r="G57" s="9" t="s">
        <v>952</v>
      </c>
      <c r="L57" s="79">
        <f>$I$5*$L$5</f>
        <v>0</v>
      </c>
      <c r="M57" s="79">
        <f>$I$5*$M$5</f>
        <v>0</v>
      </c>
      <c r="N57" s="79">
        <f ca="1">$I$5*$N$5</f>
        <v>0</v>
      </c>
      <c r="O57" s="79">
        <f>$I$5*$O$5</f>
        <v>0</v>
      </c>
      <c r="P57" s="79">
        <f>$I$5*$P$5</f>
        <v>0</v>
      </c>
      <c r="Q57" s="79">
        <f>$I$5*$Q$5</f>
        <v>0</v>
      </c>
      <c r="R57" s="79">
        <f>$I$5*$R$5</f>
        <v>0</v>
      </c>
      <c r="S57" s="79">
        <f>$I$5*$S$5</f>
        <v>0</v>
      </c>
      <c r="T57" s="79">
        <f>$I$5*$T$5</f>
        <v>410660.67704395147</v>
      </c>
      <c r="U57" s="79">
        <f>$I$5*$U$5</f>
        <v>52558.468430658002</v>
      </c>
      <c r="V57" s="79">
        <f>$I$5*$V$5</f>
        <v>16289.001026317321</v>
      </c>
      <c r="W57" s="79">
        <f>$I$5*$W$5</f>
        <v>0</v>
      </c>
      <c r="X57" s="79">
        <f>$I$5*$X$5</f>
        <v>839297.2031742204</v>
      </c>
      <c r="Y57" s="79">
        <f>$I$5*$Y$5</f>
        <v>0</v>
      </c>
      <c r="Z57" s="79">
        <f>$I$5*$Z$5</f>
        <v>0</v>
      </c>
      <c r="AA57" s="79">
        <f>$I$5*$AA$5</f>
        <v>2421085.9778297059</v>
      </c>
      <c r="AB57" s="79">
        <f ca="1">$I$5*$AB$5</f>
        <v>-108576.10969021539</v>
      </c>
      <c r="AC57" s="79">
        <f ca="1">$I$5*$AC$5</f>
        <v>0</v>
      </c>
      <c r="AD57" s="79">
        <f>$I$5*$AD$5</f>
        <v>0</v>
      </c>
      <c r="AE57" s="79">
        <f>$I$5*$AE$5</f>
        <v>0</v>
      </c>
      <c r="AF57" s="79">
        <f ca="1">$I$5*$AF$5</f>
        <v>0</v>
      </c>
      <c r="AG57" s="79">
        <f ca="1">$I$5*$AG$5</f>
        <v>0</v>
      </c>
      <c r="AI57" s="79">
        <f>$I$5*$AI$5</f>
        <v>0</v>
      </c>
      <c r="AJ57" s="79">
        <f>$I$5*$AJ$5</f>
        <v>0</v>
      </c>
      <c r="AK57" s="79">
        <f>$I$5*$AK$5</f>
        <v>0</v>
      </c>
      <c r="AL57" s="79">
        <f>$I$5*$AL$5</f>
        <v>0</v>
      </c>
      <c r="AM57" s="79">
        <f>$I$5*$AM$5</f>
        <v>0</v>
      </c>
      <c r="AN57" s="79">
        <f>$I$5*$AN$5</f>
        <v>0</v>
      </c>
      <c r="AO57" s="79">
        <f>$I$5*$AO$5</f>
        <v>0</v>
      </c>
      <c r="AP57" s="79">
        <f>$I$5*$AP$5</f>
        <v>0</v>
      </c>
      <c r="AQ57" s="79">
        <f>$I$5*$AQ$5</f>
        <v>312437.94687871175</v>
      </c>
      <c r="AR57" s="79">
        <f>$I$5*$AR$5</f>
        <v>46379.380445705116</v>
      </c>
      <c r="AS57" s="79">
        <f>$I$5*$AS$5</f>
        <v>12293.99621411501</v>
      </c>
      <c r="AT57" s="79">
        <f>$I$5*$AT$5</f>
        <v>0</v>
      </c>
      <c r="AU57" s="79">
        <f>$I$5*$AU$5</f>
        <v>691059.24443949014</v>
      </c>
      <c r="AV57" s="79">
        <f>$I$5*$AV$5</f>
        <v>0</v>
      </c>
      <c r="AW57" s="79">
        <f>$I$5*$AW$5</f>
        <v>0</v>
      </c>
      <c r="AX57" s="79">
        <f>$I$5*$AX$5</f>
        <v>2216517.09437249</v>
      </c>
      <c r="AY57" s="79">
        <f>$I$5*$AY$5</f>
        <v>0</v>
      </c>
      <c r="AZ57" s="79">
        <f>$I$5*$AZ$5</f>
        <v>0</v>
      </c>
      <c r="BA57" s="79">
        <f>$I$5*$BA$5</f>
        <v>0</v>
      </c>
      <c r="BB57" s="79">
        <f>$I$5*$BB$5</f>
        <v>0</v>
      </c>
      <c r="BC57" s="79">
        <f>$I$5*$BC$5</f>
        <v>0</v>
      </c>
      <c r="BD57" s="79">
        <f>$I$5*$BD$5</f>
        <v>0</v>
      </c>
    </row>
    <row r="58" spans="1:56" ht="11.25" customHeight="1" x14ac:dyDescent="0.25">
      <c r="A58" s="9" t="s">
        <v>39</v>
      </c>
      <c r="B58" s="9" t="s">
        <v>947</v>
      </c>
      <c r="C58" s="9" t="s">
        <v>948</v>
      </c>
      <c r="D58" s="9" t="s">
        <v>949</v>
      </c>
      <c r="E58" s="9" t="s">
        <v>950</v>
      </c>
      <c r="F58" s="9" t="s">
        <v>951</v>
      </c>
      <c r="G58" s="9" t="s">
        <v>953</v>
      </c>
      <c r="L58" s="79">
        <f>$I$6*$L$6</f>
        <v>0</v>
      </c>
      <c r="M58" s="79">
        <f>$I$6*$M$6</f>
        <v>0</v>
      </c>
      <c r="N58" s="79">
        <f ca="1">$I$6*$N$6</f>
        <v>0</v>
      </c>
      <c r="O58" s="79">
        <f>$I$6*$O$6</f>
        <v>0</v>
      </c>
      <c r="P58" s="79">
        <f>$I$6*$P$6</f>
        <v>0</v>
      </c>
      <c r="Q58" s="79">
        <f>$I$6*$Q$6</f>
        <v>0</v>
      </c>
      <c r="R58" s="79">
        <f>$I$6*$R$6</f>
        <v>0</v>
      </c>
      <c r="S58" s="79">
        <f>$I$6*$S$6</f>
        <v>0</v>
      </c>
      <c r="T58" s="79">
        <f>$I$6*$T$6</f>
        <v>165730.90816528254</v>
      </c>
      <c r="U58" s="79">
        <f>$I$6*$U$6</f>
        <v>22351.342385798995</v>
      </c>
      <c r="V58" s="79">
        <f>$I$6*$V$6</f>
        <v>6721.0244434904444</v>
      </c>
      <c r="W58" s="79">
        <f>$I$6*$W$6</f>
        <v>0</v>
      </c>
      <c r="X58" s="79">
        <f>$I$6*$X$6</f>
        <v>237339.88752757641</v>
      </c>
      <c r="Y58" s="79">
        <f>$I$6*$Y$6</f>
        <v>0</v>
      </c>
      <c r="Z58" s="79">
        <f>$I$6*$Z$6</f>
        <v>0</v>
      </c>
      <c r="AA58" s="79">
        <f>$I$6*$AA$6</f>
        <v>926654.27453615691</v>
      </c>
      <c r="AB58" s="79">
        <f ca="1">$I$6*$AB$6</f>
        <v>-39422.711623366391</v>
      </c>
      <c r="AC58" s="79">
        <f ca="1">$I$6*$AC$6</f>
        <v>0</v>
      </c>
      <c r="AD58" s="79">
        <f>$I$6*$AD$6</f>
        <v>0</v>
      </c>
      <c r="AE58" s="79">
        <f>$I$6*$AE$6</f>
        <v>0</v>
      </c>
      <c r="AF58" s="79">
        <f ca="1">$I$6*$AF$6</f>
        <v>0</v>
      </c>
      <c r="AG58" s="79">
        <f ca="1">$I$6*$AG$6</f>
        <v>0</v>
      </c>
      <c r="AI58" s="79">
        <f>$I$6*$AI$6</f>
        <v>0</v>
      </c>
      <c r="AJ58" s="79">
        <f>$I$6*$AJ$6</f>
        <v>0</v>
      </c>
      <c r="AK58" s="79">
        <f>$I$6*$AK$6</f>
        <v>0</v>
      </c>
      <c r="AL58" s="79">
        <f>$I$6*$AL$6</f>
        <v>0</v>
      </c>
      <c r="AM58" s="79">
        <f>$I$6*$AM$6</f>
        <v>0</v>
      </c>
      <c r="AN58" s="79">
        <f>$I$6*$AN$6</f>
        <v>0</v>
      </c>
      <c r="AO58" s="79">
        <f>$I$6*$AO$6</f>
        <v>0</v>
      </c>
      <c r="AP58" s="79">
        <f>$I$6*$AP$6</f>
        <v>0</v>
      </c>
      <c r="AQ58" s="79">
        <f>$I$6*$AQ$6</f>
        <v>126091.02253041681</v>
      </c>
      <c r="AR58" s="79">
        <f>$I$6*$AR$6</f>
        <v>19723.584855804118</v>
      </c>
      <c r="AS58" s="79">
        <f>$I$6*$AS$6</f>
        <v>5072.6406689856403</v>
      </c>
      <c r="AT58" s="79">
        <f>$I$6*$AT$6</f>
        <v>0</v>
      </c>
      <c r="AU58" s="79">
        <f>$I$6*$AU$6</f>
        <v>195420.55273132466</v>
      </c>
      <c r="AV58" s="79">
        <f>$I$6*$AV$6</f>
        <v>0</v>
      </c>
      <c r="AW58" s="79">
        <f>$I$6*$AW$6</f>
        <v>0</v>
      </c>
      <c r="AX58" s="79">
        <f>$I$6*$AX$6</f>
        <v>848356.91870963923</v>
      </c>
      <c r="AY58" s="79">
        <f>$I$6*$AY$6</f>
        <v>0</v>
      </c>
      <c r="AZ58" s="79">
        <f>$I$6*$AZ$6</f>
        <v>0</v>
      </c>
      <c r="BA58" s="79">
        <f>$I$6*$BA$6</f>
        <v>0</v>
      </c>
      <c r="BB58" s="79">
        <f>$I$6*$BB$6</f>
        <v>0</v>
      </c>
      <c r="BC58" s="79">
        <f>$I$6*$BC$6</f>
        <v>0</v>
      </c>
      <c r="BD58" s="79">
        <f>$I$6*$BD$6</f>
        <v>0</v>
      </c>
    </row>
    <row r="59" spans="1:56" ht="11.25" customHeight="1" x14ac:dyDescent="0.25">
      <c r="A59" s="9" t="s">
        <v>39</v>
      </c>
      <c r="B59" s="9" t="s">
        <v>947</v>
      </c>
      <c r="C59" s="9" t="s">
        <v>948</v>
      </c>
      <c r="D59" s="9" t="s">
        <v>949</v>
      </c>
      <c r="E59" s="9" t="s">
        <v>950</v>
      </c>
      <c r="F59" s="9" t="s">
        <v>951</v>
      </c>
      <c r="G59" s="9" t="s">
        <v>954</v>
      </c>
      <c r="L59" s="79">
        <f>$I$7*$L$7</f>
        <v>182085.32682566156</v>
      </c>
      <c r="M59" s="79">
        <f>$I$7*$M$7</f>
        <v>14714.177570558175</v>
      </c>
      <c r="N59" s="79">
        <f ca="1">$I$7*$N$7</f>
        <v>49518.578418190773</v>
      </c>
      <c r="O59" s="79">
        <f>$I$7*$O$7</f>
        <v>0</v>
      </c>
      <c r="P59" s="79">
        <f>$I$7*$P$7</f>
        <v>0</v>
      </c>
      <c r="Q59" s="79">
        <f>$I$7*$Q$7</f>
        <v>3097975.2354157646</v>
      </c>
      <c r="R59" s="79">
        <f>$I$7*$R$7</f>
        <v>610024.32854443206</v>
      </c>
      <c r="S59" s="79">
        <f>$I$7*$S$7</f>
        <v>0</v>
      </c>
      <c r="T59" s="79">
        <f>$I$7*$T$7</f>
        <v>0</v>
      </c>
      <c r="U59" s="79">
        <f>$I$7*$U$7</f>
        <v>0</v>
      </c>
      <c r="V59" s="79">
        <f>$I$7*$V$7</f>
        <v>0</v>
      </c>
      <c r="W59" s="79">
        <f>$I$7*$W$7</f>
        <v>0</v>
      </c>
      <c r="X59" s="79">
        <f>$I$7*$X$7</f>
        <v>0</v>
      </c>
      <c r="Y59" s="79">
        <f>$I$7*$Y$7</f>
        <v>0</v>
      </c>
      <c r="Z59" s="79">
        <f>$I$7*$Z$7</f>
        <v>0</v>
      </c>
      <c r="AA59" s="79">
        <f>$I$7*$AA$7</f>
        <v>0</v>
      </c>
      <c r="AB59" s="79">
        <f ca="1">$I$7*$AB$7</f>
        <v>-108211.57053161661</v>
      </c>
      <c r="AC59" s="79">
        <f ca="1">$I$7*$AC$7</f>
        <v>0</v>
      </c>
      <c r="AD59" s="79">
        <f>$I$7*$AD$7</f>
        <v>503113.89457425568</v>
      </c>
      <c r="AE59" s="79">
        <f>$I$7*$AE$7</f>
        <v>17745.281336874974</v>
      </c>
      <c r="AF59" s="79">
        <f ca="1">$I$7*$AF$7</f>
        <v>96245.390892317504</v>
      </c>
      <c r="AG59" s="79">
        <f ca="1">$I$7*$AG$7</f>
        <v>11529.523693372394</v>
      </c>
      <c r="AI59" s="79">
        <f>$I$7*$AI$7</f>
        <v>167005.38683676216</v>
      </c>
      <c r="AJ59" s="79">
        <f>$I$7*$AJ$7</f>
        <v>12176.194907497811</v>
      </c>
      <c r="AK59" s="79">
        <f>$I$7*$AK$7</f>
        <v>45571.634182301081</v>
      </c>
      <c r="AL59" s="79">
        <f>$I$7*$AL$7</f>
        <v>0</v>
      </c>
      <c r="AM59" s="79">
        <f>$I$7*$AM$7</f>
        <v>0</v>
      </c>
      <c r="AN59" s="79">
        <f>$I$7*$AN$7</f>
        <v>1293079.7981118055</v>
      </c>
      <c r="AO59" s="79">
        <f>$I$7*$AO$7</f>
        <v>260427.18966647924</v>
      </c>
      <c r="AP59" s="79">
        <f>$I$7*$AP$7</f>
        <v>0</v>
      </c>
      <c r="AQ59" s="79">
        <f>$I$7*$AQ$7</f>
        <v>0</v>
      </c>
      <c r="AR59" s="79">
        <f>$I$7*$AR$7</f>
        <v>0</v>
      </c>
      <c r="AS59" s="79">
        <f>$I$7*$AS$7</f>
        <v>0</v>
      </c>
      <c r="AT59" s="79">
        <f>$I$7*$AT$7</f>
        <v>0</v>
      </c>
      <c r="AU59" s="79">
        <f>$I$7*$AU$7</f>
        <v>0</v>
      </c>
      <c r="AV59" s="79">
        <f>$I$7*$AV$7</f>
        <v>0</v>
      </c>
      <c r="AW59" s="79">
        <f>$I$7*$AW$7</f>
        <v>0</v>
      </c>
      <c r="AX59" s="79">
        <f>$I$7*$AX$7</f>
        <v>0</v>
      </c>
      <c r="AY59" s="79">
        <f>$I$7*$AY$7</f>
        <v>0</v>
      </c>
      <c r="AZ59" s="79">
        <f>$I$7*$AZ$7</f>
        <v>0</v>
      </c>
      <c r="BA59" s="79">
        <f>$I$7*$BA$7</f>
        <v>371937.02647748793</v>
      </c>
      <c r="BB59" s="79">
        <f>$I$7*$BB$7</f>
        <v>12858.389821784824</v>
      </c>
      <c r="BC59" s="79">
        <f>$I$7*$BC$7</f>
        <v>149081.87443807707</v>
      </c>
      <c r="BD59" s="79">
        <f>$I$7*$BD$7</f>
        <v>8351.4033040259856</v>
      </c>
    </row>
    <row r="60" spans="1:56" ht="11.25" customHeight="1" x14ac:dyDescent="0.25">
      <c r="A60" s="9" t="s">
        <v>39</v>
      </c>
      <c r="B60" s="9" t="s">
        <v>947</v>
      </c>
      <c r="C60" s="9" t="s">
        <v>948</v>
      </c>
      <c r="D60" s="9" t="s">
        <v>949</v>
      </c>
      <c r="E60" s="9" t="s">
        <v>955</v>
      </c>
      <c r="F60" s="9" t="s">
        <v>956</v>
      </c>
      <c r="G60" s="9" t="s">
        <v>957</v>
      </c>
      <c r="L60" s="79">
        <f>$I$8*$L$8</f>
        <v>0</v>
      </c>
      <c r="M60" s="79">
        <f>$I$8*$M$8</f>
        <v>0</v>
      </c>
      <c r="N60" s="79">
        <f ca="1">$I$8*$N$8</f>
        <v>0</v>
      </c>
      <c r="O60" s="79">
        <f>$I$8*$O$8</f>
        <v>0</v>
      </c>
      <c r="P60" s="79">
        <f>$I$8*$P$8</f>
        <v>0</v>
      </c>
      <c r="Q60" s="79">
        <f>$I$8*$Q$8</f>
        <v>0</v>
      </c>
      <c r="R60" s="79">
        <f>$I$8*$R$8</f>
        <v>0</v>
      </c>
      <c r="S60" s="79">
        <f>$I$8*$S$8</f>
        <v>0</v>
      </c>
      <c r="T60" s="79">
        <f>$I$8*$T$8</f>
        <v>0</v>
      </c>
      <c r="U60" s="79">
        <f>$I$8*$U$8</f>
        <v>0</v>
      </c>
      <c r="V60" s="79">
        <f>$I$8*$V$8</f>
        <v>0</v>
      </c>
      <c r="W60" s="79">
        <f>$I$8*$W$8</f>
        <v>0</v>
      </c>
      <c r="X60" s="79">
        <f>$I$8*$X$8</f>
        <v>0</v>
      </c>
      <c r="Y60" s="79">
        <f>$I$8*$Y$8</f>
        <v>0</v>
      </c>
      <c r="Z60" s="79">
        <f>$I$8*$Z$8</f>
        <v>0</v>
      </c>
      <c r="AA60" s="79">
        <f>$I$8*$AA$8</f>
        <v>0</v>
      </c>
      <c r="AB60" s="79">
        <f ca="1">$I$8*$AB$8</f>
        <v>0</v>
      </c>
      <c r="AC60" s="79">
        <f ca="1">$I$8*$AC$8</f>
        <v>0</v>
      </c>
      <c r="AD60" s="79">
        <f>$I$8*$AD$8</f>
        <v>0</v>
      </c>
      <c r="AE60" s="79">
        <f>$I$8*$AE$8</f>
        <v>0</v>
      </c>
      <c r="AF60" s="79">
        <f ca="1">$I$8*$AF$8</f>
        <v>0</v>
      </c>
      <c r="AG60" s="79">
        <f ca="1">$I$8*$AG$8</f>
        <v>0</v>
      </c>
      <c r="AI60" s="79">
        <f>$I$8*$AI$8</f>
        <v>0</v>
      </c>
      <c r="AJ60" s="79">
        <f>$I$8*$AJ$8</f>
        <v>0</v>
      </c>
      <c r="AK60" s="79">
        <f>$I$8*$AK$8</f>
        <v>0</v>
      </c>
      <c r="AL60" s="79">
        <f>$I$8*$AL$8</f>
        <v>0</v>
      </c>
      <c r="AM60" s="79">
        <f>$I$8*$AM$8</f>
        <v>0</v>
      </c>
      <c r="AN60" s="79">
        <f>$I$8*$AN$8</f>
        <v>0</v>
      </c>
      <c r="AO60" s="79">
        <f>$I$8*$AO$8</f>
        <v>0</v>
      </c>
      <c r="AP60" s="79">
        <f>$I$8*$AP$8</f>
        <v>0</v>
      </c>
      <c r="AQ60" s="79">
        <f>$I$8*$AQ$8</f>
        <v>0</v>
      </c>
      <c r="AR60" s="79">
        <f>$I$8*$AR$8</f>
        <v>0</v>
      </c>
      <c r="AS60" s="79">
        <f>$I$8*$AS$8</f>
        <v>0</v>
      </c>
      <c r="AT60" s="79">
        <f>$I$8*$AT$8</f>
        <v>0</v>
      </c>
      <c r="AU60" s="79">
        <f>$I$8*$AU$8</f>
        <v>0</v>
      </c>
      <c r="AV60" s="79">
        <f>$I$8*$AV$8</f>
        <v>0</v>
      </c>
      <c r="AW60" s="79">
        <f>$I$8*$AW$8</f>
        <v>0</v>
      </c>
      <c r="AX60" s="79">
        <f>$I$8*$AX$8</f>
        <v>0</v>
      </c>
      <c r="AY60" s="79">
        <f>$I$8*$AY$8</f>
        <v>0</v>
      </c>
      <c r="AZ60" s="79">
        <f>$I$8*$AZ$8</f>
        <v>0</v>
      </c>
      <c r="BA60" s="79">
        <f>$I$8*$BA$8</f>
        <v>0</v>
      </c>
      <c r="BB60" s="79">
        <f>$I$8*$BB$8</f>
        <v>0</v>
      </c>
      <c r="BC60" s="79">
        <f>$I$8*$BC$8</f>
        <v>0</v>
      </c>
      <c r="BD60" s="79">
        <f>$I$8*$BD$8</f>
        <v>0</v>
      </c>
    </row>
    <row r="61" spans="1:56" ht="11.25" customHeight="1" x14ac:dyDescent="0.25">
      <c r="A61" s="9" t="s">
        <v>39</v>
      </c>
      <c r="B61" s="9" t="s">
        <v>958</v>
      </c>
      <c r="C61" s="9" t="s">
        <v>959</v>
      </c>
      <c r="D61" s="9" t="s">
        <v>960</v>
      </c>
      <c r="E61" s="9" t="s">
        <v>961</v>
      </c>
      <c r="F61" s="9" t="s">
        <v>962</v>
      </c>
      <c r="G61" s="9" t="s">
        <v>963</v>
      </c>
      <c r="L61" s="79">
        <f>$I$9*$L$9</f>
        <v>0</v>
      </c>
      <c r="M61" s="79">
        <f>$I$9*$M$9</f>
        <v>722.27651625746955</v>
      </c>
      <c r="N61" s="79">
        <f ca="1">$I$9*$N$9</f>
        <v>114.19564088194598</v>
      </c>
      <c r="O61" s="79">
        <f>$I$9*$O$9</f>
        <v>0</v>
      </c>
      <c r="P61" s="79">
        <f>$I$9*$P$9</f>
        <v>0</v>
      </c>
      <c r="Q61" s="79">
        <f>$I$9*$Q$9</f>
        <v>0</v>
      </c>
      <c r="R61" s="79">
        <f>$I$9*$R$9</f>
        <v>0</v>
      </c>
      <c r="S61" s="79">
        <f>$I$9*$S$9</f>
        <v>0</v>
      </c>
      <c r="T61" s="79">
        <f>$I$9*$T$9</f>
        <v>0</v>
      </c>
      <c r="U61" s="79">
        <f>$I$9*$U$9</f>
        <v>0</v>
      </c>
      <c r="V61" s="79">
        <f>$I$9*$V$9</f>
        <v>0</v>
      </c>
      <c r="W61" s="79">
        <f>$I$9*$W$9</f>
        <v>0</v>
      </c>
      <c r="X61" s="79">
        <f>$I$9*$X$9</f>
        <v>0</v>
      </c>
      <c r="Y61" s="79">
        <f>$I$9*$Y$9</f>
        <v>0</v>
      </c>
      <c r="Z61" s="79">
        <f>$I$9*$Z$9</f>
        <v>0</v>
      </c>
      <c r="AA61" s="79">
        <f>$I$9*$AA$9</f>
        <v>195432.04628766843</v>
      </c>
      <c r="AB61" s="79">
        <f ca="1">$I$9*$AB$9</f>
        <v>-5794.4391450985895</v>
      </c>
      <c r="AC61" s="79">
        <f ca="1">$I$9*$AC$9</f>
        <v>0</v>
      </c>
      <c r="AD61" s="79">
        <f>$I$9*$AD$9</f>
        <v>129.92051634104192</v>
      </c>
      <c r="AE61" s="79">
        <f>$I$9*$AE$9</f>
        <v>0</v>
      </c>
      <c r="AF61" s="79">
        <f ca="1">$I$9*$AF$9</f>
        <v>0</v>
      </c>
      <c r="AG61" s="79">
        <f ca="1">$I$9*$AG$9</f>
        <v>0</v>
      </c>
      <c r="AI61" s="79">
        <f>$I$9*$AI$9</f>
        <v>0</v>
      </c>
      <c r="AJ61" s="79">
        <f>$I$9*$AJ$9</f>
        <v>636.8540158464516</v>
      </c>
      <c r="AK61" s="79">
        <f>$I$9*$AK$9</f>
        <v>104.99605653181979</v>
      </c>
      <c r="AL61" s="79">
        <f>$I$9*$AL$9</f>
        <v>0</v>
      </c>
      <c r="AM61" s="79">
        <f>$I$9*$AM$9</f>
        <v>0</v>
      </c>
      <c r="AN61" s="79">
        <f>$I$9*$AN$9</f>
        <v>0</v>
      </c>
      <c r="AO61" s="79">
        <f>$I$9*$AO$9</f>
        <v>0</v>
      </c>
      <c r="AP61" s="79">
        <f>$I$9*$AP$9</f>
        <v>0</v>
      </c>
      <c r="AQ61" s="79">
        <f>$I$9*$AQ$9</f>
        <v>0</v>
      </c>
      <c r="AR61" s="79">
        <f>$I$9*$AR$9</f>
        <v>0</v>
      </c>
      <c r="AS61" s="79">
        <f>$I$9*$AS$9</f>
        <v>0</v>
      </c>
      <c r="AT61" s="79">
        <f>$I$9*$AT$9</f>
        <v>0</v>
      </c>
      <c r="AU61" s="79">
        <f>$I$9*$AU$9</f>
        <v>0</v>
      </c>
      <c r="AV61" s="79">
        <f>$I$9*$AV$9</f>
        <v>0</v>
      </c>
      <c r="AW61" s="79">
        <f>$I$9*$AW$9</f>
        <v>0</v>
      </c>
      <c r="AX61" s="79">
        <f>$I$9*$AX$9</f>
        <v>178919.07819528136</v>
      </c>
      <c r="AY61" s="79">
        <f>$I$9*$AY$9</f>
        <v>0</v>
      </c>
      <c r="AZ61" s="79">
        <f>$I$9*$AZ$9</f>
        <v>0</v>
      </c>
      <c r="BA61" s="79">
        <f>$I$9*$BA$9</f>
        <v>96.046344669526832</v>
      </c>
      <c r="BB61" s="79">
        <f>$I$9*$BB$9</f>
        <v>0</v>
      </c>
      <c r="BC61" s="79">
        <f>$I$9*$BC$9</f>
        <v>0</v>
      </c>
      <c r="BD61" s="79">
        <f>$I$9*$BD$9</f>
        <v>0</v>
      </c>
    </row>
    <row r="62" spans="1:56" ht="11.25" customHeight="1" x14ac:dyDescent="0.25">
      <c r="A62" s="9" t="s">
        <v>39</v>
      </c>
      <c r="B62" s="9" t="s">
        <v>964</v>
      </c>
      <c r="C62" s="9" t="s">
        <v>965</v>
      </c>
      <c r="D62" s="9" t="s">
        <v>966</v>
      </c>
      <c r="E62" s="9" t="s">
        <v>967</v>
      </c>
      <c r="F62" s="9" t="s">
        <v>968</v>
      </c>
      <c r="G62" s="9" t="s">
        <v>969</v>
      </c>
      <c r="L62" s="79">
        <f>$I$10*$L$10</f>
        <v>0</v>
      </c>
      <c r="M62" s="79">
        <f>$I$10*$M$10</f>
        <v>0</v>
      </c>
      <c r="N62" s="79">
        <f ca="1">$I$10*$N$10</f>
        <v>0</v>
      </c>
      <c r="O62" s="79">
        <f>$I$10*$O$10</f>
        <v>0</v>
      </c>
      <c r="P62" s="79">
        <f>$I$10*$P$10</f>
        <v>0</v>
      </c>
      <c r="Q62" s="79">
        <f>$I$10*$Q$10</f>
        <v>0</v>
      </c>
      <c r="R62" s="79">
        <f>$I$10*$R$10</f>
        <v>0</v>
      </c>
      <c r="S62" s="79">
        <f>$I$10*$S$10</f>
        <v>0</v>
      </c>
      <c r="T62" s="79">
        <f>$I$10*$T$10</f>
        <v>1244201.4559512441</v>
      </c>
      <c r="U62" s="79">
        <f>$I$10*$U$10</f>
        <v>167799.55559732724</v>
      </c>
      <c r="V62" s="79">
        <f>$I$10*$V$10</f>
        <v>50457.144600541418</v>
      </c>
      <c r="W62" s="79">
        <f>$I$10*$W$10</f>
        <v>0</v>
      </c>
      <c r="X62" s="79">
        <f>$I$10*$X$10</f>
        <v>1781795.7850240907</v>
      </c>
      <c r="Y62" s="79">
        <f>$I$10*$Y$10</f>
        <v>0</v>
      </c>
      <c r="Z62" s="79">
        <f>$I$10*$Z$10</f>
        <v>0</v>
      </c>
      <c r="AA62" s="79">
        <f>$I$10*$AA$10</f>
        <v>6956726.4809259651</v>
      </c>
      <c r="AB62" s="79">
        <f ca="1">$I$10*$AB$10</f>
        <v>-295960.45627422375</v>
      </c>
      <c r="AC62" s="79">
        <f ca="1">$I$10*$AC$10</f>
        <v>0</v>
      </c>
      <c r="AD62" s="79">
        <f>$I$10*$AD$10</f>
        <v>0</v>
      </c>
      <c r="AE62" s="79">
        <f>$I$10*$AE$10</f>
        <v>0</v>
      </c>
      <c r="AF62" s="79">
        <f ca="1">$I$10*$AF$10</f>
        <v>0</v>
      </c>
      <c r="AG62" s="79">
        <f ca="1">$I$10*$AG$10</f>
        <v>0</v>
      </c>
      <c r="AI62" s="79">
        <f>$I$10*$AI$10</f>
        <v>0</v>
      </c>
      <c r="AJ62" s="79">
        <f>$I$10*$AJ$10</f>
        <v>0</v>
      </c>
      <c r="AK62" s="79">
        <f>$I$10*$AK$10</f>
        <v>0</v>
      </c>
      <c r="AL62" s="79">
        <f>$I$10*$AL$10</f>
        <v>0</v>
      </c>
      <c r="AM62" s="79">
        <f>$I$10*$AM$10</f>
        <v>0</v>
      </c>
      <c r="AN62" s="79">
        <f>$I$10*$AN$10</f>
        <v>0</v>
      </c>
      <c r="AO62" s="79">
        <f>$I$10*$AO$10</f>
        <v>0</v>
      </c>
      <c r="AP62" s="79">
        <f>$I$10*$AP$10</f>
        <v>0</v>
      </c>
      <c r="AQ62" s="79">
        <f>$I$10*$AQ$10</f>
        <v>946610.59636665671</v>
      </c>
      <c r="AR62" s="79">
        <f>$I$10*$AR$10</f>
        <v>148072.03596383886</v>
      </c>
      <c r="AS62" s="79">
        <f>$I$10*$AS$10</f>
        <v>38082.13552764168</v>
      </c>
      <c r="AT62" s="79">
        <f>$I$10*$AT$10</f>
        <v>0</v>
      </c>
      <c r="AU62" s="79">
        <f>$I$10*$AU$10</f>
        <v>1467092.2818369297</v>
      </c>
      <c r="AV62" s="79">
        <f>$I$10*$AV$10</f>
        <v>0</v>
      </c>
      <c r="AW62" s="79">
        <f>$I$10*$AW$10</f>
        <v>0</v>
      </c>
      <c r="AX62" s="79">
        <f>$I$10*$AX$10</f>
        <v>6368920.1073596552</v>
      </c>
      <c r="AY62" s="79">
        <f>$I$10*$AY$10</f>
        <v>0</v>
      </c>
      <c r="AZ62" s="79">
        <f>$I$10*$AZ$10</f>
        <v>0</v>
      </c>
      <c r="BA62" s="79">
        <f>$I$10*$BA$10</f>
        <v>0</v>
      </c>
      <c r="BB62" s="79">
        <f>$I$10*$BB$10</f>
        <v>0</v>
      </c>
      <c r="BC62" s="79">
        <f>$I$10*$BC$10</f>
        <v>0</v>
      </c>
      <c r="BD62" s="79">
        <f>$I$10*$BD$10</f>
        <v>0</v>
      </c>
    </row>
    <row r="63" spans="1:56" ht="11.25" customHeight="1" x14ac:dyDescent="0.25">
      <c r="A63" s="9" t="s">
        <v>39</v>
      </c>
      <c r="B63" s="9" t="s">
        <v>964</v>
      </c>
      <c r="C63" s="9" t="s">
        <v>965</v>
      </c>
      <c r="D63" s="9" t="s">
        <v>966</v>
      </c>
      <c r="E63" s="9" t="s">
        <v>967</v>
      </c>
      <c r="F63" s="9" t="s">
        <v>968</v>
      </c>
      <c r="G63" s="9" t="s">
        <v>970</v>
      </c>
      <c r="L63" s="79">
        <f>$I$11*$L$11</f>
        <v>42977.697100332247</v>
      </c>
      <c r="M63" s="79">
        <f>$I$11*$M$11</f>
        <v>3472.9952035807278</v>
      </c>
      <c r="N63" s="79">
        <f ca="1">$I$11*$N$11</f>
        <v>17063.284040586677</v>
      </c>
      <c r="O63" s="79">
        <f>$I$11*$O$11</f>
        <v>0</v>
      </c>
      <c r="P63" s="79">
        <f>$I$11*$P$11</f>
        <v>0</v>
      </c>
      <c r="Q63" s="79">
        <f>$I$11*$Q$11</f>
        <v>731216.75213021645</v>
      </c>
      <c r="R63" s="79">
        <f>$I$11*$R$11</f>
        <v>143984.36860932881</v>
      </c>
      <c r="S63" s="79">
        <f>$I$11*$S$11</f>
        <v>0</v>
      </c>
      <c r="T63" s="79">
        <f>$I$11*$T$11</f>
        <v>1116401.3928642382</v>
      </c>
      <c r="U63" s="79">
        <f>$I$11*$U$11</f>
        <v>142893.04390123984</v>
      </c>
      <c r="V63" s="79">
        <f>$I$11*$V$11</f>
        <v>44276.657617259574</v>
      </c>
      <c r="W63" s="79">
        <f>$I$11*$W$11</f>
        <v>0</v>
      </c>
      <c r="X63" s="79">
        <f>$I$11*$X$11</f>
        <v>2281658.3235801035</v>
      </c>
      <c r="Y63" s="79">
        <f>$I$11*$Y$11</f>
        <v>0</v>
      </c>
      <c r="Z63" s="79">
        <f>$I$11*$Z$11</f>
        <v>0</v>
      </c>
      <c r="AA63" s="79">
        <f>$I$11*$AA$11</f>
        <v>6581823.755943208</v>
      </c>
      <c r="AB63" s="79">
        <f ca="1">$I$11*$AB$11</f>
        <v>-320868.55874486093</v>
      </c>
      <c r="AC63" s="79">
        <f ca="1">$I$11*$AC$11</f>
        <v>0</v>
      </c>
      <c r="AD63" s="79">
        <f>$I$11*$AD$11</f>
        <v>118750.24168577616</v>
      </c>
      <c r="AE63" s="79">
        <f>$I$11*$AE$11</f>
        <v>4188.428247085475</v>
      </c>
      <c r="AF63" s="79">
        <f ca="1">$I$11*$AF$11</f>
        <v>22716.851100437751</v>
      </c>
      <c r="AG63" s="79">
        <f ca="1">$I$11*$AG$11</f>
        <v>2721.3196452633069</v>
      </c>
      <c r="AI63" s="79">
        <f>$I$11*$AI$11</f>
        <v>39418.370797479554</v>
      </c>
      <c r="AJ63" s="79">
        <f>$I$11*$AJ$11</f>
        <v>2873.9537978811964</v>
      </c>
      <c r="AK63" s="79">
        <f>$I$11*$AK$11</f>
        <v>15698.644240964262</v>
      </c>
      <c r="AL63" s="79">
        <f>$I$11*$AL$11</f>
        <v>0</v>
      </c>
      <c r="AM63" s="79">
        <f>$I$11*$AM$11</f>
        <v>0</v>
      </c>
      <c r="AN63" s="79">
        <f>$I$11*$AN$11</f>
        <v>305206.31650356506</v>
      </c>
      <c r="AO63" s="79">
        <f>$I$11*$AO$11</f>
        <v>61468.76889697482</v>
      </c>
      <c r="AP63" s="79">
        <f>$I$11*$AP$11</f>
        <v>0</v>
      </c>
      <c r="AQ63" s="79">
        <f>$I$11*$AQ$11</f>
        <v>849378.03538882325</v>
      </c>
      <c r="AR63" s="79">
        <f>$I$11*$AR$11</f>
        <v>126093.68278841782</v>
      </c>
      <c r="AS63" s="79">
        <f>$I$11*$AS$11</f>
        <v>33417.461282051547</v>
      </c>
      <c r="AT63" s="79">
        <f>$I$11*$AT$11</f>
        <v>0</v>
      </c>
      <c r="AU63" s="79">
        <f>$I$11*$AU$11</f>
        <v>1878668.3325037127</v>
      </c>
      <c r="AV63" s="79">
        <f>$I$11*$AV$11</f>
        <v>0</v>
      </c>
      <c r="AW63" s="79">
        <f>$I$11*$AW$11</f>
        <v>0</v>
      </c>
      <c r="AX63" s="79">
        <f>$I$11*$AX$11</f>
        <v>6025694.6679244312</v>
      </c>
      <c r="AY63" s="79">
        <f>$I$11*$AY$11</f>
        <v>0</v>
      </c>
      <c r="AZ63" s="79">
        <f>$I$11*$AZ$11</f>
        <v>0</v>
      </c>
      <c r="BA63" s="79">
        <f>$I$11*$BA$11</f>
        <v>87788.495333578627</v>
      </c>
      <c r="BB63" s="79">
        <f>$I$11*$BB$11</f>
        <v>3034.9726284522403</v>
      </c>
      <c r="BC63" s="79">
        <f>$I$11*$BC$11</f>
        <v>35187.874577527269</v>
      </c>
      <c r="BD63" s="79">
        <f>$I$11*$BD$11</f>
        <v>1971.186189575815</v>
      </c>
    </row>
    <row r="64" spans="1:56" ht="11.25" customHeight="1" x14ac:dyDescent="0.25">
      <c r="A64" s="9" t="s">
        <v>39</v>
      </c>
      <c r="B64" s="9" t="s">
        <v>964</v>
      </c>
      <c r="C64" s="9" t="s">
        <v>965</v>
      </c>
      <c r="D64" s="9" t="s">
        <v>966</v>
      </c>
      <c r="E64" s="9" t="s">
        <v>967</v>
      </c>
      <c r="F64" s="9" t="s">
        <v>968</v>
      </c>
      <c r="G64" s="9" t="s">
        <v>971</v>
      </c>
      <c r="L64" s="79">
        <f>$I$12*$L$12</f>
        <v>625836.66141503747</v>
      </c>
      <c r="M64" s="79">
        <f>$I$12*$M$12</f>
        <v>50573.387360547953</v>
      </c>
      <c r="N64" s="79">
        <f ca="1">$I$12*$N$12</f>
        <v>170197.90850545184</v>
      </c>
      <c r="O64" s="79">
        <f>$I$12*$O$12</f>
        <v>0</v>
      </c>
      <c r="P64" s="79">
        <f>$I$12*$P$12</f>
        <v>0</v>
      </c>
      <c r="Q64" s="79">
        <f>$I$12*$Q$12</f>
        <v>10647900.697322005</v>
      </c>
      <c r="R64" s="79">
        <f>$I$12*$R$12</f>
        <v>2096685.0861284945</v>
      </c>
      <c r="S64" s="79">
        <f>$I$12*$S$12</f>
        <v>0</v>
      </c>
      <c r="T64" s="79">
        <f>$I$12*$T$12</f>
        <v>0</v>
      </c>
      <c r="U64" s="79">
        <f>$I$12*$U$12</f>
        <v>0</v>
      </c>
      <c r="V64" s="79">
        <f>$I$12*$V$12</f>
        <v>0</v>
      </c>
      <c r="W64" s="79">
        <f>$I$12*$W$12</f>
        <v>0</v>
      </c>
      <c r="X64" s="79">
        <f>$I$12*$X$12</f>
        <v>0</v>
      </c>
      <c r="Y64" s="79">
        <f>$I$12*$Y$12</f>
        <v>0</v>
      </c>
      <c r="Z64" s="79">
        <f>$I$12*$Z$12</f>
        <v>0</v>
      </c>
      <c r="AA64" s="79">
        <f>$I$12*$AA$12</f>
        <v>0</v>
      </c>
      <c r="AB64" s="79">
        <f ca="1">$I$12*$AB$12</f>
        <v>-371928.75015583361</v>
      </c>
      <c r="AC64" s="79">
        <f ca="1">$I$12*$AC$12</f>
        <v>0</v>
      </c>
      <c r="AD64" s="79">
        <f>$I$12*$AD$12</f>
        <v>1729228.4094552016</v>
      </c>
      <c r="AE64" s="79">
        <f>$I$12*$AE$12</f>
        <v>60991.447368922592</v>
      </c>
      <c r="AF64" s="79">
        <f ca="1">$I$12*$AF$12</f>
        <v>330800.37344417354</v>
      </c>
      <c r="AG64" s="79">
        <f ca="1">$I$12*$AG$12</f>
        <v>39627.567700028674</v>
      </c>
      <c r="AI64" s="79">
        <f>$I$12*$AI$12</f>
        <v>574006.12975430698</v>
      </c>
      <c r="AJ64" s="79">
        <f>$I$12*$AJ$12</f>
        <v>41850.210022377651</v>
      </c>
      <c r="AK64" s="79">
        <f>$I$12*$AK$12</f>
        <v>156632.05755829901</v>
      </c>
      <c r="AL64" s="79">
        <f>$I$12*$AL$12</f>
        <v>0</v>
      </c>
      <c r="AM64" s="79">
        <f>$I$12*$AM$12</f>
        <v>0</v>
      </c>
      <c r="AN64" s="79">
        <f>$I$12*$AN$12</f>
        <v>4444381.9713619733</v>
      </c>
      <c r="AO64" s="79">
        <f>$I$12*$AO$12</f>
        <v>895101.68536875432</v>
      </c>
      <c r="AP64" s="79">
        <f>$I$12*$AP$12</f>
        <v>0</v>
      </c>
      <c r="AQ64" s="79">
        <f>$I$12*$AQ$12</f>
        <v>0</v>
      </c>
      <c r="AR64" s="79">
        <f>$I$12*$AR$12</f>
        <v>0</v>
      </c>
      <c r="AS64" s="79">
        <f>$I$12*$AS$12</f>
        <v>0</v>
      </c>
      <c r="AT64" s="79">
        <f>$I$12*$AT$12</f>
        <v>0</v>
      </c>
      <c r="AU64" s="79">
        <f>$I$12*$AU$12</f>
        <v>0</v>
      </c>
      <c r="AV64" s="79">
        <f>$I$12*$AV$12</f>
        <v>0</v>
      </c>
      <c r="AW64" s="79">
        <f>$I$12*$AW$12</f>
        <v>0</v>
      </c>
      <c r="AX64" s="79">
        <f>$I$12*$AX$12</f>
        <v>0</v>
      </c>
      <c r="AY64" s="79">
        <f>$I$12*$AY$12</f>
        <v>0</v>
      </c>
      <c r="AZ64" s="79">
        <f>$I$12*$AZ$12</f>
        <v>0</v>
      </c>
      <c r="BA64" s="79">
        <f>$I$12*$BA$12</f>
        <v>1278366.746872338</v>
      </c>
      <c r="BB64" s="79">
        <f>$I$12*$BB$12</f>
        <v>44194.949134719631</v>
      </c>
      <c r="BC64" s="79">
        <f>$I$12*$BC$12</f>
        <v>512402.09303165512</v>
      </c>
      <c r="BD64" s="79">
        <f>$I$12*$BD$12</f>
        <v>28704.203974252039</v>
      </c>
    </row>
    <row r="65" spans="1:56" ht="11.25" customHeight="1" x14ac:dyDescent="0.25">
      <c r="A65" s="9" t="s">
        <v>39</v>
      </c>
      <c r="B65" s="9" t="s">
        <v>964</v>
      </c>
      <c r="C65" s="9" t="s">
        <v>965</v>
      </c>
      <c r="D65" s="9" t="s">
        <v>966</v>
      </c>
      <c r="E65" s="9" t="s">
        <v>972</v>
      </c>
      <c r="F65" s="9" t="s">
        <v>973</v>
      </c>
      <c r="G65" s="9" t="s">
        <v>974</v>
      </c>
      <c r="L65" s="79">
        <f>$I$13*$L$13</f>
        <v>0</v>
      </c>
      <c r="M65" s="79">
        <f>$I$13*$M$13</f>
        <v>0</v>
      </c>
      <c r="N65" s="79">
        <f ca="1">$I$13*$N$13</f>
        <v>0</v>
      </c>
      <c r="O65" s="79">
        <f>$I$13*$O$13</f>
        <v>0</v>
      </c>
      <c r="P65" s="79">
        <f>$I$13*$P$13</f>
        <v>0</v>
      </c>
      <c r="Q65" s="79">
        <f>$I$13*$Q$13</f>
        <v>0</v>
      </c>
      <c r="R65" s="79">
        <f>$I$13*$R$13</f>
        <v>0</v>
      </c>
      <c r="S65" s="79">
        <f>$I$13*$S$13</f>
        <v>0</v>
      </c>
      <c r="T65" s="79">
        <f>$I$13*$T$13</f>
        <v>0</v>
      </c>
      <c r="U65" s="79">
        <f>$I$13*$U$13</f>
        <v>0</v>
      </c>
      <c r="V65" s="79">
        <f>$I$13*$V$13</f>
        <v>0</v>
      </c>
      <c r="W65" s="79">
        <f>$I$13*$W$13</f>
        <v>0</v>
      </c>
      <c r="X65" s="79">
        <f>$I$13*$X$13</f>
        <v>0</v>
      </c>
      <c r="Y65" s="79">
        <f>$I$13*$Y$13</f>
        <v>0</v>
      </c>
      <c r="Z65" s="79">
        <f>$I$13*$Z$13</f>
        <v>0</v>
      </c>
      <c r="AA65" s="79">
        <f>$I$13*$AA$13</f>
        <v>0</v>
      </c>
      <c r="AB65" s="79">
        <f ca="1">$I$13*$AB$13</f>
        <v>0</v>
      </c>
      <c r="AC65" s="79">
        <f ca="1">$I$13*$AC$13</f>
        <v>0</v>
      </c>
      <c r="AD65" s="79">
        <f>$I$13*$AD$13</f>
        <v>0</v>
      </c>
      <c r="AE65" s="79">
        <f>$I$13*$AE$13</f>
        <v>0</v>
      </c>
      <c r="AF65" s="79">
        <f ca="1">$I$13*$AF$13</f>
        <v>0</v>
      </c>
      <c r="AG65" s="79">
        <f ca="1">$I$13*$AG$13</f>
        <v>0</v>
      </c>
      <c r="AI65" s="79">
        <f>$I$13*$AI$13</f>
        <v>0</v>
      </c>
      <c r="AJ65" s="79">
        <f>$I$13*$AJ$13</f>
        <v>0</v>
      </c>
      <c r="AK65" s="79">
        <f>$I$13*$AK$13</f>
        <v>0</v>
      </c>
      <c r="AL65" s="79">
        <f>$I$13*$AL$13</f>
        <v>0</v>
      </c>
      <c r="AM65" s="79">
        <f>$I$13*$AM$13</f>
        <v>0</v>
      </c>
      <c r="AN65" s="79">
        <f>$I$13*$AN$13</f>
        <v>0</v>
      </c>
      <c r="AO65" s="79">
        <f>$I$13*$AO$13</f>
        <v>0</v>
      </c>
      <c r="AP65" s="79">
        <f>$I$13*$AP$13</f>
        <v>0</v>
      </c>
      <c r="AQ65" s="79">
        <f>$I$13*$AQ$13</f>
        <v>0</v>
      </c>
      <c r="AR65" s="79">
        <f>$I$13*$AR$13</f>
        <v>0</v>
      </c>
      <c r="AS65" s="79">
        <f>$I$13*$AS$13</f>
        <v>0</v>
      </c>
      <c r="AT65" s="79">
        <f>$I$13*$AT$13</f>
        <v>0</v>
      </c>
      <c r="AU65" s="79">
        <f>$I$13*$AU$13</f>
        <v>0</v>
      </c>
      <c r="AV65" s="79">
        <f>$I$13*$AV$13</f>
        <v>0</v>
      </c>
      <c r="AW65" s="79">
        <f>$I$13*$AW$13</f>
        <v>0</v>
      </c>
      <c r="AX65" s="79">
        <f>$I$13*$AX$13</f>
        <v>0</v>
      </c>
      <c r="AY65" s="79">
        <f>$I$13*$AY$13</f>
        <v>0</v>
      </c>
      <c r="AZ65" s="79">
        <f>$I$13*$AZ$13</f>
        <v>0</v>
      </c>
      <c r="BA65" s="79">
        <f>$I$13*$BA$13</f>
        <v>0</v>
      </c>
      <c r="BB65" s="79">
        <f>$I$13*$BB$13</f>
        <v>0</v>
      </c>
      <c r="BC65" s="79">
        <f>$I$13*$BC$13</f>
        <v>0</v>
      </c>
      <c r="BD65" s="79">
        <f>$I$13*$BD$13</f>
        <v>0</v>
      </c>
    </row>
    <row r="66" spans="1:56" ht="11.25" customHeight="1" x14ac:dyDescent="0.25">
      <c r="A66" s="9" t="s">
        <v>39</v>
      </c>
      <c r="B66" s="9" t="s">
        <v>964</v>
      </c>
      <c r="C66" s="9" t="s">
        <v>965</v>
      </c>
      <c r="D66" s="9" t="s">
        <v>966</v>
      </c>
      <c r="E66" s="9" t="s">
        <v>972</v>
      </c>
      <c r="F66" s="9" t="s">
        <v>973</v>
      </c>
      <c r="G66" s="9" t="s">
        <v>975</v>
      </c>
      <c r="L66" s="79">
        <f>$I$14*$L$14</f>
        <v>0</v>
      </c>
      <c r="M66" s="79">
        <f>$I$14*$M$14</f>
        <v>0</v>
      </c>
      <c r="N66" s="79">
        <f ca="1">$I$14*$N$14</f>
        <v>0</v>
      </c>
      <c r="O66" s="79">
        <f>$I$14*$O$14</f>
        <v>0</v>
      </c>
      <c r="P66" s="79">
        <f>$I$14*$P$14</f>
        <v>0</v>
      </c>
      <c r="Q66" s="79">
        <f>$I$14*$Q$14</f>
        <v>0</v>
      </c>
      <c r="R66" s="79">
        <f>$I$14*$R$14</f>
        <v>0</v>
      </c>
      <c r="S66" s="79">
        <f>$I$14*$S$14</f>
        <v>0</v>
      </c>
      <c r="T66" s="79">
        <f>$I$14*$T$14</f>
        <v>0</v>
      </c>
      <c r="U66" s="79">
        <f>$I$14*$U$14</f>
        <v>0</v>
      </c>
      <c r="V66" s="79">
        <f>$I$14*$V$14</f>
        <v>0</v>
      </c>
      <c r="W66" s="79">
        <f>$I$14*$W$14</f>
        <v>0</v>
      </c>
      <c r="X66" s="79">
        <f>$I$14*$X$14</f>
        <v>0</v>
      </c>
      <c r="Y66" s="79">
        <f>$I$14*$Y$14</f>
        <v>0</v>
      </c>
      <c r="Z66" s="79">
        <f>$I$14*$Z$14</f>
        <v>0</v>
      </c>
      <c r="AA66" s="79">
        <f>$I$14*$AA$14</f>
        <v>0</v>
      </c>
      <c r="AB66" s="79">
        <f ca="1">$I$14*$AB$14</f>
        <v>0</v>
      </c>
      <c r="AC66" s="79">
        <f ca="1">$I$14*$AC$14</f>
        <v>0</v>
      </c>
      <c r="AD66" s="79">
        <f>$I$14*$AD$14</f>
        <v>0</v>
      </c>
      <c r="AE66" s="79">
        <f>$I$14*$AE$14</f>
        <v>0</v>
      </c>
      <c r="AF66" s="79">
        <f ca="1">$I$14*$AF$14</f>
        <v>0</v>
      </c>
      <c r="AG66" s="79">
        <f ca="1">$I$14*$AG$14</f>
        <v>0</v>
      </c>
      <c r="AI66" s="79">
        <f>$I$14*$AI$14</f>
        <v>0</v>
      </c>
      <c r="AJ66" s="79">
        <f>$I$14*$AJ$14</f>
        <v>0</v>
      </c>
      <c r="AK66" s="79">
        <f>$I$14*$AK$14</f>
        <v>0</v>
      </c>
      <c r="AL66" s="79">
        <f>$I$14*$AL$14</f>
        <v>0</v>
      </c>
      <c r="AM66" s="79">
        <f>$I$14*$AM$14</f>
        <v>0</v>
      </c>
      <c r="AN66" s="79">
        <f>$I$14*$AN$14</f>
        <v>0</v>
      </c>
      <c r="AO66" s="79">
        <f>$I$14*$AO$14</f>
        <v>0</v>
      </c>
      <c r="AP66" s="79">
        <f>$I$14*$AP$14</f>
        <v>0</v>
      </c>
      <c r="AQ66" s="79">
        <f>$I$14*$AQ$14</f>
        <v>0</v>
      </c>
      <c r="AR66" s="79">
        <f>$I$14*$AR$14</f>
        <v>0</v>
      </c>
      <c r="AS66" s="79">
        <f>$I$14*$AS$14</f>
        <v>0</v>
      </c>
      <c r="AT66" s="79">
        <f>$I$14*$AT$14</f>
        <v>0</v>
      </c>
      <c r="AU66" s="79">
        <f>$I$14*$AU$14</f>
        <v>0</v>
      </c>
      <c r="AV66" s="79">
        <f>$I$14*$AV$14</f>
        <v>0</v>
      </c>
      <c r="AW66" s="79">
        <f>$I$14*$AW$14</f>
        <v>0</v>
      </c>
      <c r="AX66" s="79">
        <f>$I$14*$AX$14</f>
        <v>0</v>
      </c>
      <c r="AY66" s="79">
        <f>$I$14*$AY$14</f>
        <v>0</v>
      </c>
      <c r="AZ66" s="79">
        <f>$I$14*$AZ$14</f>
        <v>0</v>
      </c>
      <c r="BA66" s="79">
        <f>$I$14*$BA$14</f>
        <v>0</v>
      </c>
      <c r="BB66" s="79">
        <f>$I$14*$BB$14</f>
        <v>0</v>
      </c>
      <c r="BC66" s="79">
        <f>$I$14*$BC$14</f>
        <v>0</v>
      </c>
      <c r="BD66" s="79">
        <f>$I$14*$BD$14</f>
        <v>0</v>
      </c>
    </row>
    <row r="67" spans="1:56" ht="11.25" customHeight="1" x14ac:dyDescent="0.25">
      <c r="A67" s="9" t="s">
        <v>88</v>
      </c>
      <c r="B67" s="9" t="s">
        <v>976</v>
      </c>
      <c r="C67" s="9" t="s">
        <v>977</v>
      </c>
      <c r="D67" s="9" t="s">
        <v>978</v>
      </c>
      <c r="E67" s="9" t="s">
        <v>979</v>
      </c>
      <c r="F67" s="9" t="s">
        <v>980</v>
      </c>
      <c r="G67" s="9" t="s">
        <v>981</v>
      </c>
      <c r="L67" s="79">
        <f>$I$15*$L$15</f>
        <v>0</v>
      </c>
      <c r="M67" s="79">
        <f>$I$15*$M$15</f>
        <v>6.4896096269788006E-11</v>
      </c>
      <c r="N67" s="79">
        <f ca="1">$I$15*$N$15</f>
        <v>9.5998279476005966E-12</v>
      </c>
      <c r="O67" s="79">
        <f>$I$15*$O$15</f>
        <v>0</v>
      </c>
      <c r="P67" s="79">
        <f>$I$15*$P$15</f>
        <v>0</v>
      </c>
      <c r="Q67" s="79">
        <f>$I$15*$Q$15</f>
        <v>0</v>
      </c>
      <c r="R67" s="79">
        <f>$I$15*$R$15</f>
        <v>0</v>
      </c>
      <c r="S67" s="79">
        <f>$I$15*$S$15</f>
        <v>0</v>
      </c>
      <c r="T67" s="79">
        <f>$I$15*$T$15</f>
        <v>0</v>
      </c>
      <c r="U67" s="79">
        <f>$I$15*$U$15</f>
        <v>0</v>
      </c>
      <c r="V67" s="79">
        <f>$I$15*$V$15</f>
        <v>0</v>
      </c>
      <c r="W67" s="79">
        <f>$I$15*$W$15</f>
        <v>0</v>
      </c>
      <c r="X67" s="79">
        <f>$I$15*$X$15</f>
        <v>0</v>
      </c>
      <c r="Y67" s="79">
        <f>$I$15*$Y$15</f>
        <v>0</v>
      </c>
      <c r="Z67" s="79">
        <f>$I$15*$Z$15</f>
        <v>0</v>
      </c>
      <c r="AA67" s="79">
        <f>$I$15*$AA$15</f>
        <v>1.7447978121862251E-8</v>
      </c>
      <c r="AB67" s="79">
        <f ca="1">$I$15*$AB$15</f>
        <v>-5.1699371505740912E-10</v>
      </c>
      <c r="AC67" s="79">
        <f ca="1">$I$15*$AC$15</f>
        <v>0</v>
      </c>
      <c r="AD67" s="79">
        <f>$I$15*$AD$15</f>
        <v>0</v>
      </c>
      <c r="AE67" s="79">
        <f>$I$15*$AE$15</f>
        <v>0</v>
      </c>
      <c r="AF67" s="79">
        <f ca="1">$I$15*$AF$15</f>
        <v>0</v>
      </c>
      <c r="AG67" s="79">
        <f ca="1">$I$15*$AG$15</f>
        <v>0</v>
      </c>
      <c r="AI67" s="79">
        <f>$I$15*$AI$15</f>
        <v>0</v>
      </c>
      <c r="AJ67" s="79">
        <f>$I$15*$AJ$15</f>
        <v>5.72209376767827E-11</v>
      </c>
      <c r="AK67" s="79">
        <f>$I$15*$AK$15</f>
        <v>8.8264671934720906E-12</v>
      </c>
      <c r="AL67" s="79">
        <f>$I$15*$AL$15</f>
        <v>0</v>
      </c>
      <c r="AM67" s="79">
        <f>$I$15*$AM$15</f>
        <v>0</v>
      </c>
      <c r="AN67" s="79">
        <f>$I$15*$AN$15</f>
        <v>0</v>
      </c>
      <c r="AO67" s="79">
        <f>$I$15*$AO$15</f>
        <v>0</v>
      </c>
      <c r="AP67" s="79">
        <f>$I$15*$AP$15</f>
        <v>0</v>
      </c>
      <c r="AQ67" s="79">
        <f>$I$15*$AQ$15</f>
        <v>0</v>
      </c>
      <c r="AR67" s="79">
        <f>$I$15*$AR$15</f>
        <v>0</v>
      </c>
      <c r="AS67" s="79">
        <f>$I$15*$AS$15</f>
        <v>0</v>
      </c>
      <c r="AT67" s="79">
        <f>$I$15*$AT$15</f>
        <v>0</v>
      </c>
      <c r="AU67" s="79">
        <f>$I$15*$AU$15</f>
        <v>0</v>
      </c>
      <c r="AV67" s="79">
        <f>$I$15*$AV$15</f>
        <v>0</v>
      </c>
      <c r="AW67" s="79">
        <f>$I$15*$AW$15</f>
        <v>0</v>
      </c>
      <c r="AX67" s="79">
        <f>$I$15*$AX$15</f>
        <v>1.59737168045608E-8</v>
      </c>
      <c r="AY67" s="79">
        <f>$I$15*$AY$15</f>
        <v>0</v>
      </c>
      <c r="AZ67" s="79">
        <f>$I$15*$AZ$15</f>
        <v>0</v>
      </c>
      <c r="BA67" s="79">
        <f>$I$15*$BA$15</f>
        <v>0</v>
      </c>
      <c r="BB67" s="79">
        <f>$I$15*$BB$15</f>
        <v>0</v>
      </c>
      <c r="BC67" s="79">
        <f>$I$15*$BC$15</f>
        <v>0</v>
      </c>
      <c r="BD67" s="79">
        <f>$I$15*$BD$15</f>
        <v>0</v>
      </c>
    </row>
    <row r="68" spans="1:56" ht="11.25" customHeight="1" x14ac:dyDescent="0.25">
      <c r="A68" s="9" t="s">
        <v>88</v>
      </c>
      <c r="B68" s="9" t="s">
        <v>976</v>
      </c>
      <c r="C68" s="9" t="s">
        <v>977</v>
      </c>
      <c r="D68" s="9" t="s">
        <v>978</v>
      </c>
      <c r="E68" s="9" t="s">
        <v>982</v>
      </c>
      <c r="F68" s="9" t="s">
        <v>983</v>
      </c>
      <c r="G68" s="9" t="s">
        <v>984</v>
      </c>
      <c r="L68" s="79">
        <f>$I$16*$L$16</f>
        <v>0</v>
      </c>
      <c r="M68" s="79">
        <f>$I$16*$M$16</f>
        <v>6.4896096269788006E-11</v>
      </c>
      <c r="N68" s="79">
        <f ca="1">$I$16*$N$16</f>
        <v>9.5998279476005966E-12</v>
      </c>
      <c r="O68" s="79">
        <f>$I$16*$O$16</f>
        <v>0</v>
      </c>
      <c r="P68" s="79">
        <f>$I$16*$P$16</f>
        <v>0</v>
      </c>
      <c r="Q68" s="79">
        <f>$I$16*$Q$16</f>
        <v>0</v>
      </c>
      <c r="R68" s="79">
        <f>$I$16*$R$16</f>
        <v>0</v>
      </c>
      <c r="S68" s="79">
        <f>$I$16*$S$16</f>
        <v>0</v>
      </c>
      <c r="T68" s="79">
        <f>$I$16*$T$16</f>
        <v>0</v>
      </c>
      <c r="U68" s="79">
        <f>$I$16*$U$16</f>
        <v>0</v>
      </c>
      <c r="V68" s="79">
        <f>$I$16*$V$16</f>
        <v>0</v>
      </c>
      <c r="W68" s="79">
        <f>$I$16*$W$16</f>
        <v>0</v>
      </c>
      <c r="X68" s="79">
        <f>$I$16*$X$16</f>
        <v>0</v>
      </c>
      <c r="Y68" s="79">
        <f>$I$16*$Y$16</f>
        <v>0</v>
      </c>
      <c r="Z68" s="79">
        <f>$I$16*$Z$16</f>
        <v>0</v>
      </c>
      <c r="AA68" s="79">
        <f>$I$16*$AA$16</f>
        <v>1.5666709059052982E-7</v>
      </c>
      <c r="AB68" s="79">
        <f ca="1">$I$16*$AB$16</f>
        <v>-4.6245915150792343E-9</v>
      </c>
      <c r="AC68" s="79">
        <f ca="1">$I$16*$AC$16</f>
        <v>0</v>
      </c>
      <c r="AD68" s="79">
        <f>$I$16*$AD$16</f>
        <v>0</v>
      </c>
      <c r="AE68" s="79">
        <f>$I$16*$AE$16</f>
        <v>0</v>
      </c>
      <c r="AF68" s="79">
        <f ca="1">$I$16*$AF$16</f>
        <v>0</v>
      </c>
      <c r="AG68" s="79">
        <f ca="1">$I$16*$AG$16</f>
        <v>0</v>
      </c>
      <c r="AI68" s="79">
        <f>$I$16*$AI$16</f>
        <v>0</v>
      </c>
      <c r="AJ68" s="79">
        <f>$I$16*$AJ$16</f>
        <v>5.72209376767827E-11</v>
      </c>
      <c r="AK68" s="79">
        <f>$I$16*$AK$16</f>
        <v>8.8264671934720906E-12</v>
      </c>
      <c r="AL68" s="79">
        <f>$I$16*$AL$16</f>
        <v>0</v>
      </c>
      <c r="AM68" s="79">
        <f>$I$16*$AM$16</f>
        <v>0</v>
      </c>
      <c r="AN68" s="79">
        <f>$I$16*$AN$16</f>
        <v>0</v>
      </c>
      <c r="AO68" s="79">
        <f>$I$16*$AO$16</f>
        <v>0</v>
      </c>
      <c r="AP68" s="79">
        <f>$I$16*$AP$16</f>
        <v>0</v>
      </c>
      <c r="AQ68" s="79">
        <f>$I$16*$AQ$16</f>
        <v>0</v>
      </c>
      <c r="AR68" s="79">
        <f>$I$16*$AR$16</f>
        <v>0</v>
      </c>
      <c r="AS68" s="79">
        <f>$I$16*$AS$16</f>
        <v>0</v>
      </c>
      <c r="AT68" s="79">
        <f>$I$16*$AT$16</f>
        <v>0</v>
      </c>
      <c r="AU68" s="79">
        <f>$I$16*$AU$16</f>
        <v>0</v>
      </c>
      <c r="AV68" s="79">
        <f>$I$16*$AV$16</f>
        <v>0</v>
      </c>
      <c r="AW68" s="79">
        <f>$I$16*$AW$16</f>
        <v>0</v>
      </c>
      <c r="AX68" s="79">
        <f>$I$16*$AX$16</f>
        <v>1.43429555001098E-7</v>
      </c>
      <c r="AY68" s="79">
        <f>$I$16*$AY$16</f>
        <v>0</v>
      </c>
      <c r="AZ68" s="79">
        <f>$I$16*$AZ$16</f>
        <v>0</v>
      </c>
      <c r="BA68" s="79">
        <f>$I$16*$BA$16</f>
        <v>0</v>
      </c>
      <c r="BB68" s="79">
        <f>$I$16*$BB$16</f>
        <v>0</v>
      </c>
      <c r="BC68" s="79">
        <f>$I$16*$BC$16</f>
        <v>0</v>
      </c>
      <c r="BD68" s="79">
        <f>$I$16*$BD$16</f>
        <v>0</v>
      </c>
    </row>
    <row r="69" spans="1:56" ht="11.25" customHeight="1" x14ac:dyDescent="0.25">
      <c r="A69" s="9" t="s">
        <v>22</v>
      </c>
      <c r="B69" s="9" t="s">
        <v>985</v>
      </c>
      <c r="C69" s="9" t="s">
        <v>986</v>
      </c>
      <c r="D69" s="9" t="s">
        <v>987</v>
      </c>
      <c r="E69" s="9" t="s">
        <v>988</v>
      </c>
      <c r="F69" s="9" t="s">
        <v>989</v>
      </c>
      <c r="G69" s="9" t="s">
        <v>990</v>
      </c>
      <c r="L69" s="79">
        <f>$I$17*$L$17</f>
        <v>126.23590378031246</v>
      </c>
      <c r="M69" s="79">
        <f>$I$17*$M$17</f>
        <v>13.043746609974976</v>
      </c>
      <c r="N69" s="79">
        <f ca="1">$I$17*$N$17</f>
        <v>61.703411128178551</v>
      </c>
      <c r="O69" s="79">
        <f>$I$17*$O$17</f>
        <v>0</v>
      </c>
      <c r="P69" s="79">
        <f>$I$17*$P$17</f>
        <v>0</v>
      </c>
      <c r="Q69" s="79">
        <f>$I$17*$Q$17</f>
        <v>2147.7606710516134</v>
      </c>
      <c r="R69" s="79">
        <f>$I$17*$R$17</f>
        <v>355.25024437050251</v>
      </c>
      <c r="S69" s="79">
        <f>$I$17*$S$17</f>
        <v>0</v>
      </c>
      <c r="T69" s="79">
        <f>$I$17*$T$17</f>
        <v>1562.2108650349376</v>
      </c>
      <c r="U69" s="79">
        <f>$I$17*$U$17</f>
        <v>205.88705371989187</v>
      </c>
      <c r="V69" s="79">
        <f>$I$17*$V$17</f>
        <v>62.720321480677192</v>
      </c>
      <c r="W69" s="79">
        <f>$I$17*$W$17</f>
        <v>0</v>
      </c>
      <c r="X69" s="79">
        <f>$I$17*$X$17</f>
        <v>2301.8187341329281</v>
      </c>
      <c r="Y69" s="79">
        <f>$I$17*$Y$17</f>
        <v>0</v>
      </c>
      <c r="Z69" s="79">
        <f>$I$17*$Z$17</f>
        <v>0</v>
      </c>
      <c r="AA69" s="79">
        <f>$I$17*$AA$17</f>
        <v>10092.272575137666</v>
      </c>
      <c r="AB69" s="79">
        <f ca="1">$I$17*$AB$17</f>
        <v>-493.86209642104143</v>
      </c>
      <c r="AC69" s="79">
        <f ca="1">$I$17*$AC$17</f>
        <v>0</v>
      </c>
      <c r="AD69" s="79">
        <f>$I$17*$AD$17</f>
        <v>550.71636273647857</v>
      </c>
      <c r="AE69" s="79">
        <f>$I$17*$AE$17</f>
        <v>19.424263370521839</v>
      </c>
      <c r="AF69" s="79">
        <f ca="1">$I$17*$AF$17</f>
        <v>73.895621781031593</v>
      </c>
      <c r="AG69" s="79">
        <f ca="1">$I$17*$AG$17</f>
        <v>8.8521778992420881</v>
      </c>
      <c r="AI69" s="79">
        <f>$I$17*$AI$17</f>
        <v>111.78884187095998</v>
      </c>
      <c r="AJ69" s="79">
        <f>$I$17*$AJ$17</f>
        <v>10.80056612795034</v>
      </c>
      <c r="AK69" s="79">
        <f>$I$17*$AK$17</f>
        <v>56.766501544915251</v>
      </c>
      <c r="AL69" s="79">
        <f>$I$17*$AL$17</f>
        <v>0</v>
      </c>
      <c r="AM69" s="79">
        <f>$I$17*$AM$17</f>
        <v>0</v>
      </c>
      <c r="AN69" s="79">
        <f>$I$17*$AN$17</f>
        <v>865.55227837617167</v>
      </c>
      <c r="AO69" s="79">
        <f>$I$17*$AO$17</f>
        <v>151.66087390398457</v>
      </c>
      <c r="AP69" s="79">
        <f>$I$17*$AP$17</f>
        <v>0</v>
      </c>
      <c r="AQ69" s="79">
        <f>$I$17*$AQ$17</f>
        <v>1188.5578107369979</v>
      </c>
      <c r="AR69" s="79">
        <f>$I$17*$AR$17</f>
        <v>181.68173994488373</v>
      </c>
      <c r="AS69" s="79">
        <f>$I$17*$AS$17</f>
        <v>47.337672432196541</v>
      </c>
      <c r="AT69" s="79">
        <f>$I$17*$AT$17</f>
        <v>0</v>
      </c>
      <c r="AU69" s="79">
        <f>$I$17*$AU$17</f>
        <v>1895.2679804371619</v>
      </c>
      <c r="AV69" s="79">
        <f>$I$17*$AV$17</f>
        <v>0</v>
      </c>
      <c r="AW69" s="79">
        <f>$I$17*$AW$17</f>
        <v>0</v>
      </c>
      <c r="AX69" s="79">
        <f>$I$17*$AX$17</f>
        <v>9239.529239647989</v>
      </c>
      <c r="AY69" s="79">
        <f>$I$17*$AY$17</f>
        <v>0</v>
      </c>
      <c r="AZ69" s="79">
        <f>$I$17*$AZ$17</f>
        <v>0</v>
      </c>
      <c r="BA69" s="79">
        <f>$I$17*$BA$17</f>
        <v>407.12810478437586</v>
      </c>
      <c r="BB69" s="79">
        <f>$I$17*$BB$17</f>
        <v>14.074995243956543</v>
      </c>
      <c r="BC69" s="79">
        <f>$I$17*$BC$17</f>
        <v>116.05135797395683</v>
      </c>
      <c r="BD69" s="79">
        <f>$I$17*$BD$17</f>
        <v>6.5010699528262927</v>
      </c>
    </row>
    <row r="70" spans="1:56" ht="11.25" customHeight="1" x14ac:dyDescent="0.25">
      <c r="A70" s="9" t="s">
        <v>22</v>
      </c>
      <c r="B70" s="9" t="s">
        <v>985</v>
      </c>
      <c r="C70" s="9" t="s">
        <v>986</v>
      </c>
      <c r="D70" s="9" t="s">
        <v>987</v>
      </c>
      <c r="E70" s="9" t="s">
        <v>988</v>
      </c>
      <c r="F70" s="9" t="s">
        <v>989</v>
      </c>
      <c r="G70" s="9" t="s">
        <v>991</v>
      </c>
      <c r="L70" s="79">
        <f>$I$18*$L$18</f>
        <v>52.650867637586003</v>
      </c>
      <c r="M70" s="79">
        <f>$I$18*$M$18</f>
        <v>5.4403268459595751</v>
      </c>
      <c r="N70" s="79">
        <f ca="1">$I$18*$N$18</f>
        <v>24.474964665509592</v>
      </c>
      <c r="O70" s="79">
        <f>$I$18*$O$18</f>
        <v>0</v>
      </c>
      <c r="P70" s="79">
        <f>$I$18*$P$18</f>
        <v>0</v>
      </c>
      <c r="Q70" s="79">
        <f>$I$18*$Q$18</f>
        <v>895.7947732964019</v>
      </c>
      <c r="R70" s="79">
        <f>$I$18*$R$18</f>
        <v>148.16888883785606</v>
      </c>
      <c r="S70" s="79">
        <f>$I$18*$S$18</f>
        <v>0</v>
      </c>
      <c r="T70" s="79">
        <f>$I$18*$T$18</f>
        <v>390.94249821469668</v>
      </c>
      <c r="U70" s="79">
        <f>$I$18*$U$18</f>
        <v>51.522853966692026</v>
      </c>
      <c r="V70" s="79">
        <f>$I$18*$V$18</f>
        <v>15.695219838370582</v>
      </c>
      <c r="W70" s="79">
        <f>$I$18*$W$18</f>
        <v>0</v>
      </c>
      <c r="X70" s="79">
        <f>$I$18*$X$18</f>
        <v>576.02952924193414</v>
      </c>
      <c r="Y70" s="79">
        <f>$I$18*$Y$18</f>
        <v>0</v>
      </c>
      <c r="Z70" s="79">
        <f>$I$18*$Z$18</f>
        <v>0</v>
      </c>
      <c r="AA70" s="79">
        <f>$I$18*$AA$18</f>
        <v>2525.5899042477745</v>
      </c>
      <c r="AB70" s="79">
        <f ca="1">$I$18*$AB$18</f>
        <v>-136.97776084415003</v>
      </c>
      <c r="AC70" s="79">
        <f ca="1">$I$18*$AC$18</f>
        <v>0</v>
      </c>
      <c r="AD70" s="79">
        <f>$I$18*$AD$18</f>
        <v>229.69451203638673</v>
      </c>
      <c r="AE70" s="79">
        <f>$I$18*$AE$18</f>
        <v>8.101532836955494</v>
      </c>
      <c r="AF70" s="79">
        <f ca="1">$I$18*$AF$18</f>
        <v>30.820618262147651</v>
      </c>
      <c r="AG70" s="79">
        <f ca="1">$I$18*$AG$18</f>
        <v>3.6920941896884298</v>
      </c>
      <c r="AI70" s="79">
        <f>$I$18*$AI$18</f>
        <v>46.625241634503062</v>
      </c>
      <c r="AJ70" s="79">
        <f>$I$18*$AJ$18</f>
        <v>4.5047340779002312</v>
      </c>
      <c r="AK70" s="79">
        <f>$I$18*$AK$18</f>
        <v>22.517407629753716</v>
      </c>
      <c r="AL70" s="79">
        <f>$I$18*$AL$18</f>
        <v>0</v>
      </c>
      <c r="AM70" s="79">
        <f>$I$18*$AM$18</f>
        <v>0</v>
      </c>
      <c r="AN70" s="79">
        <f>$I$18*$AN$18</f>
        <v>361.00726558351903</v>
      </c>
      <c r="AO70" s="79">
        <f>$I$18*$AO$18</f>
        <v>63.255194113520119</v>
      </c>
      <c r="AP70" s="79">
        <f>$I$18*$AP$18</f>
        <v>0</v>
      </c>
      <c r="AQ70" s="79">
        <f>$I$18*$AQ$18</f>
        <v>297.43600572879171</v>
      </c>
      <c r="AR70" s="79">
        <f>$I$18*$AR$18</f>
        <v>45.465519013789169</v>
      </c>
      <c r="AS70" s="79">
        <f>$I$18*$AS$18</f>
        <v>11.845844503348031</v>
      </c>
      <c r="AT70" s="79">
        <f>$I$18*$AT$18</f>
        <v>0</v>
      </c>
      <c r="AU70" s="79">
        <f>$I$18*$AU$18</f>
        <v>474.29031068763862</v>
      </c>
      <c r="AV70" s="79">
        <f>$I$18*$AV$18</f>
        <v>0</v>
      </c>
      <c r="AW70" s="79">
        <f>$I$18*$AW$18</f>
        <v>0</v>
      </c>
      <c r="AX70" s="79">
        <f>$I$18*$AX$18</f>
        <v>2312.1909950335234</v>
      </c>
      <c r="AY70" s="79">
        <f>$I$18*$AY$18</f>
        <v>0</v>
      </c>
      <c r="AZ70" s="79">
        <f>$I$18*$AZ$18</f>
        <v>0</v>
      </c>
      <c r="BA70" s="79">
        <f>$I$18*$BA$18</f>
        <v>169.80626996458741</v>
      </c>
      <c r="BB70" s="79">
        <f>$I$18*$BB$18</f>
        <v>5.8704432684925498</v>
      </c>
      <c r="BC70" s="79">
        <f>$I$18*$BC$18</f>
        <v>48.403065252200058</v>
      </c>
      <c r="BD70" s="79">
        <f>$I$18*$BD$18</f>
        <v>2.7114866954541275</v>
      </c>
    </row>
    <row r="71" spans="1:56" ht="11.25" customHeight="1" x14ac:dyDescent="0.25">
      <c r="A71" s="9" t="s">
        <v>22</v>
      </c>
      <c r="B71" s="9" t="s">
        <v>985</v>
      </c>
      <c r="C71" s="9" t="s">
        <v>986</v>
      </c>
      <c r="D71" s="9" t="s">
        <v>987</v>
      </c>
      <c r="E71" s="9" t="s">
        <v>988</v>
      </c>
      <c r="F71" s="9" t="s">
        <v>989</v>
      </c>
      <c r="G71" s="9" t="s">
        <v>992</v>
      </c>
      <c r="L71" s="79">
        <f>$I$19*$L$19</f>
        <v>861.613095645474</v>
      </c>
      <c r="M71" s="79">
        <f>$I$19*$M$19</f>
        <v>89.029052423898904</v>
      </c>
      <c r="N71" s="79">
        <f ca="1">$I$19*$N$19</f>
        <v>379.89684672813735</v>
      </c>
      <c r="O71" s="79">
        <f>$I$19*$O$19</f>
        <v>0</v>
      </c>
      <c r="P71" s="79">
        <f>$I$19*$P$19</f>
        <v>0</v>
      </c>
      <c r="Q71" s="79">
        <f>$I$19*$Q$19</f>
        <v>14659.369205379653</v>
      </c>
      <c r="R71" s="79">
        <f>$I$19*$R$19</f>
        <v>2424.7322165456449</v>
      </c>
      <c r="S71" s="79">
        <f>$I$19*$S$19</f>
        <v>0</v>
      </c>
      <c r="T71" s="79">
        <f>$I$19*$T$19</f>
        <v>2132.5459023438034</v>
      </c>
      <c r="U71" s="79">
        <f>$I$19*$U$19</f>
        <v>281.05606166340147</v>
      </c>
      <c r="V71" s="79">
        <f>$I$19*$V$19</f>
        <v>85.615600518112444</v>
      </c>
      <c r="W71" s="79">
        <f>$I$19*$W$19</f>
        <v>0</v>
      </c>
      <c r="X71" s="79">
        <f>$I$19*$X$19</f>
        <v>3142.1788897279334</v>
      </c>
      <c r="Y71" s="79">
        <f>$I$19*$Y$19</f>
        <v>0</v>
      </c>
      <c r="Z71" s="79">
        <f>$I$19*$Z$19</f>
        <v>0</v>
      </c>
      <c r="AA71" s="79">
        <f>$I$19*$AA$19</f>
        <v>13776.795066906254</v>
      </c>
      <c r="AB71" s="79">
        <f ca="1">$I$19*$AB$19</f>
        <v>-1112.3719100045414</v>
      </c>
      <c r="AC71" s="79">
        <f ca="1">$I$19*$AC$19</f>
        <v>0</v>
      </c>
      <c r="AD71" s="79">
        <f>$I$19*$AD$19</f>
        <v>3758.8706216717087</v>
      </c>
      <c r="AE71" s="79">
        <f>$I$19*$AE$19</f>
        <v>132.57876081304266</v>
      </c>
      <c r="AF71" s="79">
        <f ca="1">$I$19*$AF$19</f>
        <v>504.36867428941025</v>
      </c>
      <c r="AG71" s="79">
        <f ca="1">$I$19*$AG$19</f>
        <v>60.419834409740588</v>
      </c>
      <c r="AI71" s="79">
        <f>$I$19*$AI$19</f>
        <v>763.0058265411011</v>
      </c>
      <c r="AJ71" s="79">
        <f>$I$19*$AJ$19</f>
        <v>73.718402907163068</v>
      </c>
      <c r="AK71" s="79">
        <f>$I$19*$AK$19</f>
        <v>349.52385006403307</v>
      </c>
      <c r="AL71" s="79">
        <f>$I$19*$AL$19</f>
        <v>0</v>
      </c>
      <c r="AM71" s="79">
        <f>$I$19*$AM$19</f>
        <v>0</v>
      </c>
      <c r="AN71" s="79">
        <f>$I$19*$AN$19</f>
        <v>5907.7580599616667</v>
      </c>
      <c r="AO71" s="79">
        <f>$I$19*$AO$19</f>
        <v>1035.1492019268892</v>
      </c>
      <c r="AP71" s="79">
        <f>$I$19*$AP$19</f>
        <v>0</v>
      </c>
      <c r="AQ71" s="79">
        <f>$I$19*$AQ$19</f>
        <v>1622.4788507851106</v>
      </c>
      <c r="AR71" s="79">
        <f>$I$19*$AR$19</f>
        <v>248.01342960851747</v>
      </c>
      <c r="AS71" s="79">
        <f>$I$19*$AS$19</f>
        <v>64.617705342291686</v>
      </c>
      <c r="AT71" s="79">
        <f>$I$19*$AT$19</f>
        <v>0</v>
      </c>
      <c r="AU71" s="79">
        <f>$I$19*$AU$19</f>
        <v>2587.2024370112949</v>
      </c>
      <c r="AV71" s="79">
        <f>$I$19*$AV$19</f>
        <v>0</v>
      </c>
      <c r="AW71" s="79">
        <f>$I$19*$AW$19</f>
        <v>0</v>
      </c>
      <c r="AX71" s="79">
        <f>$I$19*$AX$19</f>
        <v>12612.729184792328</v>
      </c>
      <c r="AY71" s="79">
        <f>$I$19*$AY$19</f>
        <v>0</v>
      </c>
      <c r="AZ71" s="79">
        <f>$I$19*$AZ$19</f>
        <v>0</v>
      </c>
      <c r="BA71" s="79">
        <f>$I$19*$BA$19</f>
        <v>2778.8204162423808</v>
      </c>
      <c r="BB71" s="79">
        <f>$I$19*$BB$19</f>
        <v>96.067757747000485</v>
      </c>
      <c r="BC71" s="79">
        <f>$I$19*$BC$19</f>
        <v>792.09929032406149</v>
      </c>
      <c r="BD71" s="79">
        <f>$I$19*$BD$19</f>
        <v>44.372534590559361</v>
      </c>
    </row>
    <row r="72" spans="1:56" ht="11.25" customHeight="1" x14ac:dyDescent="0.25">
      <c r="A72" s="9" t="s">
        <v>22</v>
      </c>
      <c r="B72" s="9" t="s">
        <v>993</v>
      </c>
      <c r="C72" s="9" t="s">
        <v>994</v>
      </c>
      <c r="D72" s="9" t="s">
        <v>995</v>
      </c>
      <c r="E72" s="9" t="s">
        <v>996</v>
      </c>
      <c r="F72" s="9" t="s">
        <v>997</v>
      </c>
      <c r="G72" s="9" t="s">
        <v>998</v>
      </c>
      <c r="L72" s="79">
        <f>$I$20*$L$20</f>
        <v>897106.18256076705</v>
      </c>
      <c r="M72" s="79">
        <f>$I$20*$M$20</f>
        <v>92696.494239300271</v>
      </c>
      <c r="N72" s="79">
        <f ca="1">$I$20*$N$20</f>
        <v>401853.01701199287</v>
      </c>
      <c r="O72" s="79">
        <f>$I$20*$O$20</f>
        <v>0</v>
      </c>
      <c r="P72" s="79">
        <f>$I$20*$P$20</f>
        <v>0</v>
      </c>
      <c r="Q72" s="79">
        <f>$I$20*$Q$20</f>
        <v>15263243.807517782</v>
      </c>
      <c r="R72" s="79">
        <f>$I$20*$R$20</f>
        <v>2524616.0643459079</v>
      </c>
      <c r="S72" s="79">
        <f>$I$20*$S$20</f>
        <v>0</v>
      </c>
      <c r="T72" s="79">
        <f>$I$20*$T$20</f>
        <v>3524437.864758247</v>
      </c>
      <c r="U72" s="79">
        <f>$I$20*$U$20</f>
        <v>464497.88323415525</v>
      </c>
      <c r="V72" s="79">
        <f>$I$20*$V$20</f>
        <v>141500.72919670149</v>
      </c>
      <c r="W72" s="79">
        <f>$I$20*$W$20</f>
        <v>0</v>
      </c>
      <c r="X72" s="79">
        <f>$I$20*$X$20</f>
        <v>5193042.9631649163</v>
      </c>
      <c r="Y72" s="79">
        <f>$I$20*$Y$20</f>
        <v>0</v>
      </c>
      <c r="Z72" s="79">
        <f>$I$20*$Z$20</f>
        <v>0</v>
      </c>
      <c r="AA72" s="79">
        <f>$I$20*$AA$20</f>
        <v>22768757.962954231</v>
      </c>
      <c r="AB72" s="79">
        <f ca="1">$I$20*$AB$20</f>
        <v>-1503451.7397689538</v>
      </c>
      <c r="AC72" s="79">
        <f ca="1">$I$20*$AC$20</f>
        <v>0</v>
      </c>
      <c r="AD72" s="79">
        <f>$I$20*$AD$20</f>
        <v>3913712.6526860925</v>
      </c>
      <c r="AE72" s="79">
        <f>$I$20*$AE$20</f>
        <v>138040.1790580079</v>
      </c>
      <c r="AF72" s="79">
        <f ca="1">$I$20*$AF$20</f>
        <v>525145.51865769865</v>
      </c>
      <c r="AG72" s="79">
        <f ca="1">$I$20*$AG$20</f>
        <v>62908.754836960892</v>
      </c>
      <c r="AI72" s="79">
        <f>$I$20*$AI$20</f>
        <v>794436.90883913694</v>
      </c>
      <c r="AJ72" s="79">
        <f>$I$20*$AJ$20</f>
        <v>76755.141432684672</v>
      </c>
      <c r="AK72" s="79">
        <f>$I$20*$AK$20</f>
        <v>369720.76826075721</v>
      </c>
      <c r="AL72" s="79">
        <f>$I$20*$AL$20</f>
        <v>0</v>
      </c>
      <c r="AM72" s="79">
        <f>$I$20*$AM$20</f>
        <v>0</v>
      </c>
      <c r="AN72" s="79">
        <f>$I$20*$AN$20</f>
        <v>6151120.8539540889</v>
      </c>
      <c r="AO72" s="79">
        <f>$I$20*$AO$20</f>
        <v>1077790.8943291656</v>
      </c>
      <c r="AP72" s="79">
        <f>$I$20*$AP$20</f>
        <v>0</v>
      </c>
      <c r="AQ72" s="79">
        <f>$I$20*$AQ$20</f>
        <v>2681455.0112106455</v>
      </c>
      <c r="AR72" s="79">
        <f>$I$20*$AR$20</f>
        <v>409888.73317654076</v>
      </c>
      <c r="AS72" s="79">
        <f>$I$20*$AS$20</f>
        <v>106796.56942916052</v>
      </c>
      <c r="AT72" s="79">
        <f>$I$20*$AT$20</f>
        <v>0</v>
      </c>
      <c r="AU72" s="79">
        <f>$I$20*$AU$20</f>
        <v>4275839.7536583105</v>
      </c>
      <c r="AV72" s="79">
        <f>$I$20*$AV$20</f>
        <v>0</v>
      </c>
      <c r="AW72" s="79">
        <f>$I$20*$AW$20</f>
        <v>0</v>
      </c>
      <c r="AX72" s="79">
        <f>$I$20*$AX$20</f>
        <v>20844919.058908138</v>
      </c>
      <c r="AY72" s="79">
        <f>$I$20*$AY$20</f>
        <v>0</v>
      </c>
      <c r="AZ72" s="79">
        <f>$I$20*$AZ$20</f>
        <v>0</v>
      </c>
      <c r="BA72" s="79">
        <f>$I$20*$BA$20</f>
        <v>2893290.4899380393</v>
      </c>
      <c r="BB72" s="79">
        <f>$I$20*$BB$20</f>
        <v>100025.15033156563</v>
      </c>
      <c r="BC72" s="79">
        <f>$I$20*$BC$20</f>
        <v>824728.84191641782</v>
      </c>
      <c r="BD72" s="79">
        <f>$I$20*$BD$20</f>
        <v>46200.406328853598</v>
      </c>
    </row>
    <row r="73" spans="1:56" ht="11.25" customHeight="1" x14ac:dyDescent="0.25">
      <c r="A73" s="9" t="s">
        <v>22</v>
      </c>
      <c r="B73" s="9" t="s">
        <v>993</v>
      </c>
      <c r="C73" s="9" t="s">
        <v>994</v>
      </c>
      <c r="D73" s="9" t="s">
        <v>999</v>
      </c>
      <c r="E73" s="9" t="s">
        <v>1000</v>
      </c>
      <c r="F73" s="9" t="s">
        <v>1001</v>
      </c>
      <c r="G73" s="9" t="s">
        <v>1002</v>
      </c>
      <c r="L73" s="79">
        <f>$I$21*$L$21</f>
        <v>0</v>
      </c>
      <c r="M73" s="79">
        <f>$I$21*$M$21</f>
        <v>1083.6417700959662</v>
      </c>
      <c r="N73" s="79">
        <f ca="1">$I$21*$N$21</f>
        <v>4696.8641972352571</v>
      </c>
      <c r="O73" s="79">
        <f>$I$21*$O$21</f>
        <v>0</v>
      </c>
      <c r="P73" s="79">
        <f>$I$21*$P$21</f>
        <v>0</v>
      </c>
      <c r="Q73" s="79">
        <f>$I$21*$Q$21</f>
        <v>0</v>
      </c>
      <c r="R73" s="79">
        <f>$I$21*$R$21</f>
        <v>0</v>
      </c>
      <c r="S73" s="79">
        <f>$I$21*$S$21</f>
        <v>0</v>
      </c>
      <c r="T73" s="79">
        <f>$I$21*$T$21</f>
        <v>41201.429651701401</v>
      </c>
      <c r="U73" s="79">
        <f>$I$21*$U$21</f>
        <v>5430.0792335713368</v>
      </c>
      <c r="V73" s="79">
        <f>$I$21*$V$21</f>
        <v>1654.1736763068877</v>
      </c>
      <c r="W73" s="79">
        <f>$I$21*$W$21</f>
        <v>0</v>
      </c>
      <c r="X73" s="79">
        <f>$I$21*$X$21</f>
        <v>60707.77881050219</v>
      </c>
      <c r="Y73" s="79">
        <f>$I$21*$Y$21</f>
        <v>0</v>
      </c>
      <c r="Z73" s="79">
        <f>$I$21*$Z$21</f>
        <v>0</v>
      </c>
      <c r="AA73" s="79">
        <f>$I$21*$AA$21</f>
        <v>266171.6323183421</v>
      </c>
      <c r="AB73" s="79">
        <f ca="1">$I$21*$AB$21</f>
        <v>-12582.284504410007</v>
      </c>
      <c r="AC73" s="79">
        <f ca="1">$I$21*$AC$21</f>
        <v>0</v>
      </c>
      <c r="AD73" s="79">
        <f>$I$21*$AD$21</f>
        <v>45752.134872061491</v>
      </c>
      <c r="AE73" s="79">
        <f>$I$21*$AE$21</f>
        <v>1613.7191077865402</v>
      </c>
      <c r="AF73" s="79">
        <f ca="1">$I$21*$AF$21</f>
        <v>6139.0630149087765</v>
      </c>
      <c r="AG73" s="79">
        <f ca="1">$I$21*$AG$21</f>
        <v>735.41674909594792</v>
      </c>
      <c r="AI73" s="79">
        <f>$I$21*$AI$21</f>
        <v>0</v>
      </c>
      <c r="AJ73" s="79">
        <f>$I$21*$AJ$21</f>
        <v>897.28395888802811</v>
      </c>
      <c r="AK73" s="79">
        <f>$I$21*$AK$21</f>
        <v>4321.3025129372309</v>
      </c>
      <c r="AL73" s="79">
        <f>$I$21*$AL$21</f>
        <v>0</v>
      </c>
      <c r="AM73" s="79">
        <f>$I$21*$AM$21</f>
        <v>0</v>
      </c>
      <c r="AN73" s="79">
        <f>$I$21*$AN$21</f>
        <v>0</v>
      </c>
      <c r="AO73" s="79">
        <f>$I$21*$AO$21</f>
        <v>0</v>
      </c>
      <c r="AP73" s="79">
        <f>$I$21*$AP$21</f>
        <v>0</v>
      </c>
      <c r="AQ73" s="79">
        <f>$I$21*$AQ$21</f>
        <v>31346.780464854543</v>
      </c>
      <c r="AR73" s="79">
        <f>$I$21*$AR$21</f>
        <v>4791.6866328856659</v>
      </c>
      <c r="AS73" s="79">
        <f>$I$21*$AS$21</f>
        <v>1248.4746536112982</v>
      </c>
      <c r="AT73" s="79">
        <f>$I$21*$AT$21</f>
        <v>0</v>
      </c>
      <c r="AU73" s="79">
        <f>$I$21*$AU$21</f>
        <v>49985.477847085196</v>
      </c>
      <c r="AV73" s="79">
        <f>$I$21*$AV$21</f>
        <v>0</v>
      </c>
      <c r="AW73" s="79">
        <f>$I$21*$AW$21</f>
        <v>0</v>
      </c>
      <c r="AX73" s="79">
        <f>$I$21*$AX$21</f>
        <v>243681.54558455403</v>
      </c>
      <c r="AY73" s="79">
        <f>$I$21*$AY$21</f>
        <v>0</v>
      </c>
      <c r="AZ73" s="79">
        <f>$I$21*$AZ$21</f>
        <v>0</v>
      </c>
      <c r="BA73" s="79">
        <f>$I$21*$BA$21</f>
        <v>33823.182350611743</v>
      </c>
      <c r="BB73" s="79">
        <f>$I$21*$BB$21</f>
        <v>1169.315321457522</v>
      </c>
      <c r="BC73" s="79">
        <f>$I$21*$BC$21</f>
        <v>9641.2559011816211</v>
      </c>
      <c r="BD73" s="79">
        <f>$I$21*$BD$21</f>
        <v>540.09259470058987</v>
      </c>
    </row>
    <row r="74" spans="1:56" ht="11.25" customHeight="1" x14ac:dyDescent="0.25">
      <c r="A74" s="9" t="s">
        <v>22</v>
      </c>
      <c r="B74" s="9" t="s">
        <v>993</v>
      </c>
      <c r="C74" s="9" t="s">
        <v>994</v>
      </c>
      <c r="D74" s="9" t="s">
        <v>1003</v>
      </c>
      <c r="E74" s="9" t="s">
        <v>1004</v>
      </c>
      <c r="F74" s="9" t="s">
        <v>1005</v>
      </c>
      <c r="G74" s="9" t="s">
        <v>1006</v>
      </c>
      <c r="L74" s="79">
        <f>$I$22*$L$22</f>
        <v>0</v>
      </c>
      <c r="M74" s="79">
        <f>$I$22*$M$22</f>
        <v>3724.7242197976989</v>
      </c>
      <c r="N74" s="79">
        <f ca="1">$I$22*$N$22</f>
        <v>16144.194802488593</v>
      </c>
      <c r="O74" s="79">
        <f>$I$22*$O$22</f>
        <v>0</v>
      </c>
      <c r="P74" s="79">
        <f>$I$22*$P$22</f>
        <v>0</v>
      </c>
      <c r="Q74" s="79">
        <f>$I$22*$Q$22</f>
        <v>0</v>
      </c>
      <c r="R74" s="79">
        <f>$I$22*$R$22</f>
        <v>0</v>
      </c>
      <c r="S74" s="79">
        <f>$I$22*$S$22</f>
        <v>0</v>
      </c>
      <c r="T74" s="79">
        <f>$I$22*$T$22</f>
        <v>141618.72230192146</v>
      </c>
      <c r="U74" s="79">
        <f>$I$22*$U$22</f>
        <v>18664.422316345856</v>
      </c>
      <c r="V74" s="79">
        <f>$I$22*$V$22</f>
        <v>5685.7726657642788</v>
      </c>
      <c r="W74" s="79">
        <f>$I$22*$W$22</f>
        <v>0</v>
      </c>
      <c r="X74" s="79">
        <f>$I$22*$X$22</f>
        <v>208666.49875038877</v>
      </c>
      <c r="Y74" s="79">
        <f>$I$22*$Y$22</f>
        <v>0</v>
      </c>
      <c r="Z74" s="79">
        <f>$I$22*$Z$22</f>
        <v>0</v>
      </c>
      <c r="AA74" s="79">
        <f>$I$22*$AA$22</f>
        <v>914892.68213739851</v>
      </c>
      <c r="AB74" s="79">
        <f ca="1">$I$22*$AB$22</f>
        <v>-43248.185080398725</v>
      </c>
      <c r="AC74" s="79">
        <f ca="1">$I$22*$AC$22</f>
        <v>0</v>
      </c>
      <c r="AD74" s="79">
        <f>$I$22*$AD$22</f>
        <v>157260.53532462727</v>
      </c>
      <c r="AE74" s="79">
        <f>$I$22*$AE$22</f>
        <v>5546.7210757209568</v>
      </c>
      <c r="AF74" s="79">
        <f ca="1">$I$22*$AF$22</f>
        <v>21101.361473423069</v>
      </c>
      <c r="AG74" s="79">
        <f ca="1">$I$22*$AG$22</f>
        <v>2527.7953033870053</v>
      </c>
      <c r="AI74" s="79">
        <f>$I$22*$AI$22</f>
        <v>0</v>
      </c>
      <c r="AJ74" s="79">
        <f>$I$22*$AJ$22</f>
        <v>3084.1698667726946</v>
      </c>
      <c r="AK74" s="79">
        <f>$I$22*$AK$22</f>
        <v>14853.303531834667</v>
      </c>
      <c r="AL74" s="79">
        <f>$I$22*$AL$22</f>
        <v>0</v>
      </c>
      <c r="AM74" s="79">
        <f>$I$22*$AM$22</f>
        <v>0</v>
      </c>
      <c r="AN74" s="79">
        <f>$I$22*$AN$22</f>
        <v>0</v>
      </c>
      <c r="AO74" s="79">
        <f>$I$22*$AO$22</f>
        <v>0</v>
      </c>
      <c r="AP74" s="79">
        <f>$I$22*$AP$22</f>
        <v>0</v>
      </c>
      <c r="AQ74" s="79">
        <f>$I$22*$AQ$22</f>
        <v>107746.04267957059</v>
      </c>
      <c r="AR74" s="79">
        <f>$I$22*$AR$22</f>
        <v>16470.121167080495</v>
      </c>
      <c r="AS74" s="79">
        <f>$I$22*$AS$22</f>
        <v>4291.2924809992583</v>
      </c>
      <c r="AT74" s="79">
        <f>$I$22*$AT$22</f>
        <v>0</v>
      </c>
      <c r="AU74" s="79">
        <f>$I$22*$AU$22</f>
        <v>171811.50183857419</v>
      </c>
      <c r="AV74" s="79">
        <f>$I$22*$AV$22</f>
        <v>0</v>
      </c>
      <c r="AW74" s="79">
        <f>$I$22*$AW$22</f>
        <v>0</v>
      </c>
      <c r="AX74" s="79">
        <f>$I$22*$AX$22</f>
        <v>837589.11828965961</v>
      </c>
      <c r="AY74" s="79">
        <f>$I$22*$AY$22</f>
        <v>0</v>
      </c>
      <c r="AZ74" s="79">
        <f>$I$22*$AZ$22</f>
        <v>0</v>
      </c>
      <c r="BA74" s="79">
        <f>$I$22*$BA$22</f>
        <v>116258.00146186733</v>
      </c>
      <c r="BB74" s="79">
        <f>$I$22*$BB$22</f>
        <v>4019.2037798872047</v>
      </c>
      <c r="BC74" s="79">
        <f>$I$22*$BC$22</f>
        <v>33139.198169906776</v>
      </c>
      <c r="BD74" s="79">
        <f>$I$22*$BD$22</f>
        <v>1856.4215813095784</v>
      </c>
    </row>
    <row r="75" spans="1:56" ht="11.25" customHeight="1" x14ac:dyDescent="0.25">
      <c r="A75" s="9" t="s">
        <v>22</v>
      </c>
      <c r="B75" s="9" t="s">
        <v>993</v>
      </c>
      <c r="C75" s="9" t="s">
        <v>994</v>
      </c>
      <c r="D75" s="9" t="s">
        <v>1007</v>
      </c>
      <c r="E75" s="9" t="s">
        <v>1008</v>
      </c>
      <c r="F75" s="9" t="s">
        <v>1009</v>
      </c>
      <c r="G75" s="9" t="s">
        <v>1010</v>
      </c>
      <c r="L75" s="79">
        <f>$I$23*$L$23</f>
        <v>0</v>
      </c>
      <c r="M75" s="79">
        <f>$I$23*$M$23</f>
        <v>4378.427715459251</v>
      </c>
      <c r="N75" s="79">
        <f ca="1">$I$23*$N$23</f>
        <v>18977.563383425048</v>
      </c>
      <c r="O75" s="79">
        <f>$I$23*$O$23</f>
        <v>0</v>
      </c>
      <c r="P75" s="79">
        <f>$I$23*$P$23</f>
        <v>0</v>
      </c>
      <c r="Q75" s="79">
        <f>$I$23*$Q$23</f>
        <v>0</v>
      </c>
      <c r="R75" s="79">
        <f>$I$23*$R$23</f>
        <v>0</v>
      </c>
      <c r="S75" s="79">
        <f>$I$23*$S$23</f>
        <v>0</v>
      </c>
      <c r="T75" s="79">
        <f>$I$23*$T$23</f>
        <v>166473.35538531168</v>
      </c>
      <c r="U75" s="79">
        <f>$I$23*$U$23</f>
        <v>21940.100565985893</v>
      </c>
      <c r="V75" s="79">
        <f>$I$23*$V$23</f>
        <v>6683.6477426334277</v>
      </c>
      <c r="W75" s="79">
        <f>$I$23*$W$23</f>
        <v>0</v>
      </c>
      <c r="X75" s="79">
        <f>$I$23*$X$23</f>
        <v>245288.27572264327</v>
      </c>
      <c r="Y75" s="79">
        <f>$I$23*$Y$23</f>
        <v>0</v>
      </c>
      <c r="Z75" s="79">
        <f>$I$23*$Z$23</f>
        <v>0</v>
      </c>
      <c r="AA75" s="79">
        <f>$I$23*$AA$23</f>
        <v>1075459.8836739657</v>
      </c>
      <c r="AB75" s="79">
        <f ca="1">$I$23*$AB$23</f>
        <v>-50838.408704957415</v>
      </c>
      <c r="AC75" s="79">
        <f ca="1">$I$23*$AC$23</f>
        <v>0</v>
      </c>
      <c r="AD75" s="79">
        <f>$I$23*$AD$23</f>
        <v>184860.36704502755</v>
      </c>
      <c r="AE75" s="79">
        <f>$I$23*$AE$23</f>
        <v>6520.1920611393953</v>
      </c>
      <c r="AF75" s="79">
        <f ca="1">$I$23*$AF$23</f>
        <v>24804.731963264021</v>
      </c>
      <c r="AG75" s="79">
        <f ca="1">$I$23*$AG$23</f>
        <v>2971.4331484005852</v>
      </c>
      <c r="AI75" s="79">
        <f>$I$23*$AI$23</f>
        <v>0</v>
      </c>
      <c r="AJ75" s="79">
        <f>$I$23*$AJ$23</f>
        <v>3625.4535979029447</v>
      </c>
      <c r="AK75" s="79">
        <f>$I$23*$AK$23</f>
        <v>17460.115705813485</v>
      </c>
      <c r="AL75" s="79">
        <f>$I$23*$AL$23</f>
        <v>0</v>
      </c>
      <c r="AM75" s="79">
        <f>$I$23*$AM$23</f>
        <v>0</v>
      </c>
      <c r="AN75" s="79">
        <f>$I$23*$AN$23</f>
        <v>0</v>
      </c>
      <c r="AO75" s="79">
        <f>$I$23*$AO$23</f>
        <v>0</v>
      </c>
      <c r="AP75" s="79">
        <f>$I$23*$AP$23</f>
        <v>0</v>
      </c>
      <c r="AQ75" s="79">
        <f>$I$23*$AQ$23</f>
        <v>126655.88958017102</v>
      </c>
      <c r="AR75" s="79">
        <f>$I$23*$AR$23</f>
        <v>19360.691084623169</v>
      </c>
      <c r="AS75" s="79">
        <f>$I$23*$AS$23</f>
        <v>5044.4308961401612</v>
      </c>
      <c r="AT75" s="79">
        <f>$I$23*$AT$23</f>
        <v>0</v>
      </c>
      <c r="AU75" s="79">
        <f>$I$23*$AU$23</f>
        <v>201965.08441786066</v>
      </c>
      <c r="AV75" s="79">
        <f>$I$23*$AV$23</f>
        <v>0</v>
      </c>
      <c r="AW75" s="79">
        <f>$I$23*$AW$23</f>
        <v>0</v>
      </c>
      <c r="AX75" s="79">
        <f>$I$23*$AX$23</f>
        <v>984589.24561284832</v>
      </c>
      <c r="AY75" s="79">
        <f>$I$23*$AY$23</f>
        <v>0</v>
      </c>
      <c r="AZ75" s="79">
        <f>$I$23*$AZ$23</f>
        <v>0</v>
      </c>
      <c r="BA75" s="79">
        <f>$I$23*$BA$23</f>
        <v>136661.73002526112</v>
      </c>
      <c r="BB75" s="79">
        <f>$I$23*$BB$23</f>
        <v>4724.5895764311126</v>
      </c>
      <c r="BC75" s="79">
        <f>$I$23*$BC$23</f>
        <v>38955.25552307786</v>
      </c>
      <c r="BD75" s="79">
        <f>$I$23*$BD$23</f>
        <v>2182.2307434143445</v>
      </c>
    </row>
    <row r="76" spans="1:56" ht="11.25" customHeight="1" x14ac:dyDescent="0.25">
      <c r="A76" s="9" t="s">
        <v>22</v>
      </c>
      <c r="B76" s="9" t="s">
        <v>993</v>
      </c>
      <c r="C76" s="9" t="s">
        <v>994</v>
      </c>
      <c r="D76" s="9" t="s">
        <v>1011</v>
      </c>
      <c r="E76" s="9" t="s">
        <v>1012</v>
      </c>
      <c r="F76" s="9" t="s">
        <v>1013</v>
      </c>
      <c r="G76" s="9" t="s">
        <v>1014</v>
      </c>
      <c r="L76" s="79">
        <f>$I$24*$L$24</f>
        <v>0</v>
      </c>
      <c r="M76" s="79">
        <f>$I$24*$M$24</f>
        <v>1391.701388926296</v>
      </c>
      <c r="N76" s="79">
        <f ca="1">$I$24*$N$24</f>
        <v>6032.0971443465323</v>
      </c>
      <c r="O76" s="79">
        <f>$I$24*$O$24</f>
        <v>0</v>
      </c>
      <c r="P76" s="79">
        <f>$I$24*$P$24</f>
        <v>0</v>
      </c>
      <c r="Q76" s="79">
        <f>$I$24*$Q$24</f>
        <v>0</v>
      </c>
      <c r="R76" s="79">
        <f>$I$24*$R$24</f>
        <v>0</v>
      </c>
      <c r="S76" s="79">
        <f>$I$24*$S$24</f>
        <v>0</v>
      </c>
      <c r="T76" s="79">
        <f>$I$24*$T$24</f>
        <v>52914.245698506005</v>
      </c>
      <c r="U76" s="79">
        <f>$I$24*$U$24</f>
        <v>6973.7518614401706</v>
      </c>
      <c r="V76" s="79">
        <f>$I$24*$V$24</f>
        <v>2124.4251249541071</v>
      </c>
      <c r="W76" s="79">
        <f>$I$24*$W$24</f>
        <v>0</v>
      </c>
      <c r="X76" s="79">
        <f>$I$24*$X$24</f>
        <v>77965.894653289506</v>
      </c>
      <c r="Y76" s="79">
        <f>$I$24*$Y$24</f>
        <v>0</v>
      </c>
      <c r="Z76" s="79">
        <f>$I$24*$Z$24</f>
        <v>0</v>
      </c>
      <c r="AA76" s="79">
        <f>$I$24*$AA$24</f>
        <v>341839.37959258532</v>
      </c>
      <c r="AB76" s="79">
        <f ca="1">$I$24*$AB$24</f>
        <v>-16159.198827397066</v>
      </c>
      <c r="AC76" s="79">
        <f ca="1">$I$24*$AC$24</f>
        <v>0</v>
      </c>
      <c r="AD76" s="79">
        <f>$I$24*$AD$24</f>
        <v>58758.633530850653</v>
      </c>
      <c r="AE76" s="79">
        <f>$I$24*$AE$24</f>
        <v>2072.4700594039891</v>
      </c>
      <c r="AF76" s="79">
        <f ca="1">$I$24*$AF$24</f>
        <v>7884.2868190638073</v>
      </c>
      <c r="AG76" s="79">
        <f ca="1">$I$24*$AG$24</f>
        <v>944.4823366912608</v>
      </c>
      <c r="AI76" s="79">
        <f>$I$24*$AI$24</f>
        <v>0</v>
      </c>
      <c r="AJ76" s="79">
        <f>$I$24*$AJ$24</f>
        <v>1152.3654461337035</v>
      </c>
      <c r="AK76" s="79">
        <f>$I$24*$AK$24</f>
        <v>5549.7701133215542</v>
      </c>
      <c r="AL76" s="79">
        <f>$I$24*$AL$24</f>
        <v>0</v>
      </c>
      <c r="AM76" s="79">
        <f>$I$24*$AM$24</f>
        <v>0</v>
      </c>
      <c r="AN76" s="79">
        <f>$I$24*$AN$24</f>
        <v>0</v>
      </c>
      <c r="AO76" s="79">
        <f>$I$24*$AO$24</f>
        <v>0</v>
      </c>
      <c r="AP76" s="79">
        <f>$I$24*$AP$24</f>
        <v>0</v>
      </c>
      <c r="AQ76" s="79">
        <f>$I$24*$AQ$24</f>
        <v>40258.099230931628</v>
      </c>
      <c r="AR76" s="79">
        <f>$I$24*$AR$24</f>
        <v>6153.875871447819</v>
      </c>
      <c r="AS76" s="79">
        <f>$I$24*$AS$24</f>
        <v>1603.3932591175871</v>
      </c>
      <c r="AT76" s="79">
        <f>$I$24*$AT$24</f>
        <v>0</v>
      </c>
      <c r="AU76" s="79">
        <f>$I$24*$AU$24</f>
        <v>64195.438811640022</v>
      </c>
      <c r="AV76" s="79">
        <f>$I$24*$AV$24</f>
        <v>0</v>
      </c>
      <c r="AW76" s="79">
        <f>$I$24*$AW$24</f>
        <v>0</v>
      </c>
      <c r="AX76" s="79">
        <f>$I$24*$AX$24</f>
        <v>312955.77081316878</v>
      </c>
      <c r="AY76" s="79">
        <f>$I$24*$AY$24</f>
        <v>0</v>
      </c>
      <c r="AZ76" s="79">
        <f>$I$24*$AZ$24</f>
        <v>0</v>
      </c>
      <c r="BA76" s="79">
        <f>$I$24*$BA$24</f>
        <v>43438.497070009667</v>
      </c>
      <c r="BB76" s="79">
        <f>$I$24*$BB$24</f>
        <v>1501.7303705643599</v>
      </c>
      <c r="BC76" s="79">
        <f>$I$24*$BC$24</f>
        <v>12382.089357334453</v>
      </c>
      <c r="BD76" s="79">
        <f>$I$24*$BD$24</f>
        <v>693.63108264740504</v>
      </c>
    </row>
    <row r="77" spans="1:56" ht="11.25" customHeight="1" x14ac:dyDescent="0.25">
      <c r="A77" s="9" t="s">
        <v>22</v>
      </c>
      <c r="B77" s="9" t="s">
        <v>1015</v>
      </c>
      <c r="C77" s="9" t="s">
        <v>1016</v>
      </c>
      <c r="D77" s="9" t="s">
        <v>1017</v>
      </c>
      <c r="E77" s="9" t="s">
        <v>1018</v>
      </c>
      <c r="F77" s="9" t="s">
        <v>1019</v>
      </c>
      <c r="G77" s="9" t="s">
        <v>1020</v>
      </c>
      <c r="L77" s="79">
        <f>$I$25*$L$25</f>
        <v>0</v>
      </c>
      <c r="M77" s="79">
        <f>$I$25*$M$25</f>
        <v>0</v>
      </c>
      <c r="N77" s="79">
        <f ca="1">$I$25*$N$25</f>
        <v>0</v>
      </c>
      <c r="O77" s="79">
        <f>$I$25*$O$25</f>
        <v>0</v>
      </c>
      <c r="P77" s="79">
        <f>$I$25*$P$25</f>
        <v>0</v>
      </c>
      <c r="Q77" s="79">
        <f>$I$25*$Q$25</f>
        <v>0</v>
      </c>
      <c r="R77" s="79">
        <f>$I$25*$R$25</f>
        <v>0</v>
      </c>
      <c r="S77" s="79">
        <f>$I$25*$S$25</f>
        <v>0</v>
      </c>
      <c r="T77" s="79">
        <f>$I$25*$T$25</f>
        <v>0</v>
      </c>
      <c r="U77" s="79">
        <f>$I$25*$U$25</f>
        <v>0</v>
      </c>
      <c r="V77" s="79">
        <f>$I$25*$V$25</f>
        <v>0</v>
      </c>
      <c r="W77" s="79">
        <f>$I$25*$W$25</f>
        <v>0</v>
      </c>
      <c r="X77" s="79">
        <f>$I$25*$X$25</f>
        <v>0</v>
      </c>
      <c r="Y77" s="79">
        <f>$I$25*$Y$25</f>
        <v>0</v>
      </c>
      <c r="Z77" s="79">
        <f>$I$25*$Z$25</f>
        <v>0</v>
      </c>
      <c r="AA77" s="79">
        <f>$I$25*$AA$25</f>
        <v>0</v>
      </c>
      <c r="AB77" s="79">
        <f ca="1">$I$25*$AB$25</f>
        <v>0</v>
      </c>
      <c r="AC77" s="79">
        <f ca="1">$I$25*$AC$25</f>
        <v>0</v>
      </c>
      <c r="AD77" s="79">
        <f>$I$25*$AD$25</f>
        <v>0</v>
      </c>
      <c r="AE77" s="79">
        <f>$I$25*$AE$25</f>
        <v>0</v>
      </c>
      <c r="AF77" s="79">
        <f ca="1">$I$25*$AF$25</f>
        <v>0</v>
      </c>
      <c r="AG77" s="79">
        <f ca="1">$I$25*$AG$25</f>
        <v>0</v>
      </c>
      <c r="AI77" s="79">
        <f>$I$25*$AI$25</f>
        <v>0</v>
      </c>
      <c r="AJ77" s="79">
        <f>$I$25*$AJ$25</f>
        <v>0</v>
      </c>
      <c r="AK77" s="79">
        <f>$I$25*$AK$25</f>
        <v>0</v>
      </c>
      <c r="AL77" s="79">
        <f>$I$25*$AL$25</f>
        <v>0</v>
      </c>
      <c r="AM77" s="79">
        <f>$I$25*$AM$25</f>
        <v>0</v>
      </c>
      <c r="AN77" s="79">
        <f>$I$25*$AN$25</f>
        <v>0</v>
      </c>
      <c r="AO77" s="79">
        <f>$I$25*$AO$25</f>
        <v>0</v>
      </c>
      <c r="AP77" s="79">
        <f>$I$25*$AP$25</f>
        <v>0</v>
      </c>
      <c r="AQ77" s="79">
        <f>$I$25*$AQ$25</f>
        <v>0</v>
      </c>
      <c r="AR77" s="79">
        <f>$I$25*$AR$25</f>
        <v>0</v>
      </c>
      <c r="AS77" s="79">
        <f>$I$25*$AS$25</f>
        <v>0</v>
      </c>
      <c r="AT77" s="79">
        <f>$I$25*$AT$25</f>
        <v>0</v>
      </c>
      <c r="AU77" s="79">
        <f>$I$25*$AU$25</f>
        <v>0</v>
      </c>
      <c r="AV77" s="79">
        <f>$I$25*$AV$25</f>
        <v>0</v>
      </c>
      <c r="AW77" s="79">
        <f>$I$25*$AW$25</f>
        <v>0</v>
      </c>
      <c r="AX77" s="79">
        <f>$I$25*$AX$25</f>
        <v>0</v>
      </c>
      <c r="AY77" s="79">
        <f>$I$25*$AY$25</f>
        <v>0</v>
      </c>
      <c r="AZ77" s="79">
        <f>$I$25*$AZ$25</f>
        <v>0</v>
      </c>
      <c r="BA77" s="79">
        <f>$I$25*$BA$25</f>
        <v>0</v>
      </c>
      <c r="BB77" s="79">
        <f>$I$25*$BB$25</f>
        <v>0</v>
      </c>
      <c r="BC77" s="79">
        <f>$I$25*$BC$25</f>
        <v>0</v>
      </c>
      <c r="BD77" s="79">
        <f>$I$25*$BD$25</f>
        <v>0</v>
      </c>
    </row>
    <row r="78" spans="1:56" ht="11.25" customHeight="1" x14ac:dyDescent="0.25">
      <c r="A78" s="9" t="s">
        <v>22</v>
      </c>
      <c r="B78" s="9" t="s">
        <v>1015</v>
      </c>
      <c r="C78" s="9" t="s">
        <v>1016</v>
      </c>
      <c r="D78" s="9" t="s">
        <v>1021</v>
      </c>
      <c r="E78" s="9" t="s">
        <v>1022</v>
      </c>
      <c r="F78" s="9" t="s">
        <v>1023</v>
      </c>
      <c r="G78" s="9" t="s">
        <v>1024</v>
      </c>
      <c r="L78" s="79">
        <f>$I$26*$L$26</f>
        <v>0</v>
      </c>
      <c r="M78" s="79">
        <f>$I$26*$M$26</f>
        <v>0</v>
      </c>
      <c r="N78" s="79">
        <f ca="1">$I$26*$N$26</f>
        <v>0</v>
      </c>
      <c r="O78" s="79">
        <f>$I$26*$O$26</f>
        <v>0</v>
      </c>
      <c r="P78" s="79">
        <f>$I$26*$P$26</f>
        <v>0</v>
      </c>
      <c r="Q78" s="79">
        <f>$I$26*$Q$26</f>
        <v>0</v>
      </c>
      <c r="R78" s="79">
        <f>$I$26*$R$26</f>
        <v>0</v>
      </c>
      <c r="S78" s="79">
        <f>$I$26*$S$26</f>
        <v>0</v>
      </c>
      <c r="T78" s="79">
        <f>$I$26*$T$26</f>
        <v>0</v>
      </c>
      <c r="U78" s="79">
        <f>$I$26*$U$26</f>
        <v>0</v>
      </c>
      <c r="V78" s="79">
        <f>$I$26*$V$26</f>
        <v>0</v>
      </c>
      <c r="W78" s="79">
        <f>$I$26*$W$26</f>
        <v>0</v>
      </c>
      <c r="X78" s="79">
        <f>$I$26*$X$26</f>
        <v>0</v>
      </c>
      <c r="Y78" s="79">
        <f>$I$26*$Y$26</f>
        <v>0</v>
      </c>
      <c r="Z78" s="79">
        <f>$I$26*$Z$26</f>
        <v>0</v>
      </c>
      <c r="AA78" s="79">
        <f>$I$26*$AA$26</f>
        <v>0</v>
      </c>
      <c r="AB78" s="79">
        <f ca="1">$I$26*$AB$26</f>
        <v>0</v>
      </c>
      <c r="AC78" s="79">
        <f ca="1">$I$26*$AC$26</f>
        <v>0</v>
      </c>
      <c r="AD78" s="79">
        <f>$I$26*$AD$26</f>
        <v>0</v>
      </c>
      <c r="AE78" s="79">
        <f>$I$26*$AE$26</f>
        <v>0</v>
      </c>
      <c r="AF78" s="79">
        <f ca="1">$I$26*$AF$26</f>
        <v>0</v>
      </c>
      <c r="AG78" s="79">
        <f ca="1">$I$26*$AG$26</f>
        <v>0</v>
      </c>
      <c r="AI78" s="79">
        <f>$I$26*$AI$26</f>
        <v>0</v>
      </c>
      <c r="AJ78" s="79">
        <f>$I$26*$AJ$26</f>
        <v>0</v>
      </c>
      <c r="AK78" s="79">
        <f>$I$26*$AK$26</f>
        <v>0</v>
      </c>
      <c r="AL78" s="79">
        <f>$I$26*$AL$26</f>
        <v>0</v>
      </c>
      <c r="AM78" s="79">
        <f>$I$26*$AM$26</f>
        <v>0</v>
      </c>
      <c r="AN78" s="79">
        <f>$I$26*$AN$26</f>
        <v>0</v>
      </c>
      <c r="AO78" s="79">
        <f>$I$26*$AO$26</f>
        <v>0</v>
      </c>
      <c r="AP78" s="79">
        <f>$I$26*$AP$26</f>
        <v>0</v>
      </c>
      <c r="AQ78" s="79">
        <f>$I$26*$AQ$26</f>
        <v>0</v>
      </c>
      <c r="AR78" s="79">
        <f>$I$26*$AR$26</f>
        <v>0</v>
      </c>
      <c r="AS78" s="79">
        <f>$I$26*$AS$26</f>
        <v>0</v>
      </c>
      <c r="AT78" s="79">
        <f>$I$26*$AT$26</f>
        <v>0</v>
      </c>
      <c r="AU78" s="79">
        <f>$I$26*$AU$26</f>
        <v>0</v>
      </c>
      <c r="AV78" s="79">
        <f>$I$26*$AV$26</f>
        <v>0</v>
      </c>
      <c r="AW78" s="79">
        <f>$I$26*$AW$26</f>
        <v>0</v>
      </c>
      <c r="AX78" s="79">
        <f>$I$26*$AX$26</f>
        <v>0</v>
      </c>
      <c r="AY78" s="79">
        <f>$I$26*$AY$26</f>
        <v>0</v>
      </c>
      <c r="AZ78" s="79">
        <f>$I$26*$AZ$26</f>
        <v>0</v>
      </c>
      <c r="BA78" s="79">
        <f>$I$26*$BA$26</f>
        <v>0</v>
      </c>
      <c r="BB78" s="79">
        <f>$I$26*$BB$26</f>
        <v>0</v>
      </c>
      <c r="BC78" s="79">
        <f>$I$26*$BC$26</f>
        <v>0</v>
      </c>
      <c r="BD78" s="79">
        <f>$I$26*$BD$26</f>
        <v>0</v>
      </c>
    </row>
    <row r="79" spans="1:56" ht="11.25" customHeight="1" x14ac:dyDescent="0.25">
      <c r="A79" s="9" t="s">
        <v>22</v>
      </c>
      <c r="B79" s="9" t="s">
        <v>1015</v>
      </c>
      <c r="C79" s="9" t="s">
        <v>1016</v>
      </c>
      <c r="D79" s="9" t="s">
        <v>1025</v>
      </c>
      <c r="E79" s="9" t="s">
        <v>1026</v>
      </c>
      <c r="F79" s="9" t="s">
        <v>1027</v>
      </c>
      <c r="G79" s="9" t="s">
        <v>1028</v>
      </c>
      <c r="L79" s="79">
        <f>$I$27*$L$27</f>
        <v>0</v>
      </c>
      <c r="M79" s="79">
        <f>$I$27*$M$27</f>
        <v>0</v>
      </c>
      <c r="N79" s="79">
        <f ca="1">$I$27*$N$27</f>
        <v>0</v>
      </c>
      <c r="O79" s="79">
        <f>$I$27*$O$27</f>
        <v>0</v>
      </c>
      <c r="P79" s="79">
        <f>$I$27*$P$27</f>
        <v>0</v>
      </c>
      <c r="Q79" s="79">
        <f>$I$27*$Q$27</f>
        <v>0</v>
      </c>
      <c r="R79" s="79">
        <f>$I$27*$R$27</f>
        <v>0</v>
      </c>
      <c r="S79" s="79">
        <f>$I$27*$S$27</f>
        <v>0</v>
      </c>
      <c r="T79" s="79">
        <f>$I$27*$T$27</f>
        <v>0</v>
      </c>
      <c r="U79" s="79">
        <f>$I$27*$U$27</f>
        <v>0</v>
      </c>
      <c r="V79" s="79">
        <f>$I$27*$V$27</f>
        <v>0</v>
      </c>
      <c r="W79" s="79">
        <f>$I$27*$W$27</f>
        <v>0</v>
      </c>
      <c r="X79" s="79">
        <f>$I$27*$X$27</f>
        <v>0</v>
      </c>
      <c r="Y79" s="79">
        <f>$I$27*$Y$27</f>
        <v>0</v>
      </c>
      <c r="Z79" s="79">
        <f>$I$27*$Z$27</f>
        <v>0</v>
      </c>
      <c r="AA79" s="79">
        <f>$I$27*$AA$27</f>
        <v>0</v>
      </c>
      <c r="AB79" s="79">
        <f ca="1">$I$27*$AB$27</f>
        <v>0</v>
      </c>
      <c r="AC79" s="79">
        <f ca="1">$I$27*$AC$27</f>
        <v>0</v>
      </c>
      <c r="AD79" s="79">
        <f>$I$27*$AD$27</f>
        <v>0</v>
      </c>
      <c r="AE79" s="79">
        <f>$I$27*$AE$27</f>
        <v>0</v>
      </c>
      <c r="AF79" s="79">
        <f ca="1">$I$27*$AF$27</f>
        <v>0</v>
      </c>
      <c r="AG79" s="79">
        <f ca="1">$I$27*$AG$27</f>
        <v>0</v>
      </c>
      <c r="AI79" s="79">
        <f>$I$27*$AI$27</f>
        <v>0</v>
      </c>
      <c r="AJ79" s="79">
        <f>$I$27*$AJ$27</f>
        <v>0</v>
      </c>
      <c r="AK79" s="79">
        <f>$I$27*$AK$27</f>
        <v>0</v>
      </c>
      <c r="AL79" s="79">
        <f>$I$27*$AL$27</f>
        <v>0</v>
      </c>
      <c r="AM79" s="79">
        <f>$I$27*$AM$27</f>
        <v>0</v>
      </c>
      <c r="AN79" s="79">
        <f>$I$27*$AN$27</f>
        <v>0</v>
      </c>
      <c r="AO79" s="79">
        <f>$I$27*$AO$27</f>
        <v>0</v>
      </c>
      <c r="AP79" s="79">
        <f>$I$27*$AP$27</f>
        <v>0</v>
      </c>
      <c r="AQ79" s="79">
        <f>$I$27*$AQ$27</f>
        <v>0</v>
      </c>
      <c r="AR79" s="79">
        <f>$I$27*$AR$27</f>
        <v>0</v>
      </c>
      <c r="AS79" s="79">
        <f>$I$27*$AS$27</f>
        <v>0</v>
      </c>
      <c r="AT79" s="79">
        <f>$I$27*$AT$27</f>
        <v>0</v>
      </c>
      <c r="AU79" s="79">
        <f>$I$27*$AU$27</f>
        <v>0</v>
      </c>
      <c r="AV79" s="79">
        <f>$I$27*$AV$27</f>
        <v>0</v>
      </c>
      <c r="AW79" s="79">
        <f>$I$27*$AW$27</f>
        <v>0</v>
      </c>
      <c r="AX79" s="79">
        <f>$I$27*$AX$27</f>
        <v>0</v>
      </c>
      <c r="AY79" s="79">
        <f>$I$27*$AY$27</f>
        <v>0</v>
      </c>
      <c r="AZ79" s="79">
        <f>$I$27*$AZ$27</f>
        <v>0</v>
      </c>
      <c r="BA79" s="79">
        <f>$I$27*$BA$27</f>
        <v>0</v>
      </c>
      <c r="BB79" s="79">
        <f>$I$27*$BB$27</f>
        <v>0</v>
      </c>
      <c r="BC79" s="79">
        <f>$I$27*$BC$27</f>
        <v>0</v>
      </c>
      <c r="BD79" s="79">
        <f>$I$27*$BD$27</f>
        <v>0</v>
      </c>
    </row>
    <row r="80" spans="1:56" ht="11.25" customHeight="1" x14ac:dyDescent="0.25">
      <c r="A80" s="9" t="s">
        <v>22</v>
      </c>
      <c r="B80" s="9" t="s">
        <v>1015</v>
      </c>
      <c r="C80" s="9" t="s">
        <v>1016</v>
      </c>
      <c r="D80" s="9" t="s">
        <v>1029</v>
      </c>
      <c r="E80" s="9" t="s">
        <v>1030</v>
      </c>
      <c r="F80" s="9" t="s">
        <v>1031</v>
      </c>
      <c r="G80" s="9" t="s">
        <v>1032</v>
      </c>
      <c r="L80" s="79">
        <f>$I$28*$L$28</f>
        <v>0</v>
      </c>
      <c r="M80" s="79">
        <f>$I$28*$M$28</f>
        <v>0</v>
      </c>
      <c r="N80" s="79">
        <f ca="1">$I$28*$N$28</f>
        <v>0</v>
      </c>
      <c r="O80" s="79">
        <f>$I$28*$O$28</f>
        <v>0</v>
      </c>
      <c r="P80" s="79">
        <f>$I$28*$P$28</f>
        <v>0</v>
      </c>
      <c r="Q80" s="79">
        <f>$I$28*$Q$28</f>
        <v>0</v>
      </c>
      <c r="R80" s="79">
        <f>$I$28*$R$28</f>
        <v>0</v>
      </c>
      <c r="S80" s="79">
        <f>$I$28*$S$28</f>
        <v>0</v>
      </c>
      <c r="T80" s="79">
        <f>$I$28*$T$28</f>
        <v>0</v>
      </c>
      <c r="U80" s="79">
        <f>$I$28*$U$28</f>
        <v>0</v>
      </c>
      <c r="V80" s="79">
        <f>$I$28*$V$28</f>
        <v>0</v>
      </c>
      <c r="W80" s="79">
        <f>$I$28*$W$28</f>
        <v>0</v>
      </c>
      <c r="X80" s="79">
        <f>$I$28*$X$28</f>
        <v>0</v>
      </c>
      <c r="Y80" s="79">
        <f>$I$28*$Y$28</f>
        <v>0</v>
      </c>
      <c r="Z80" s="79">
        <f>$I$28*$Z$28</f>
        <v>0</v>
      </c>
      <c r="AA80" s="79">
        <f>$I$28*$AA$28</f>
        <v>0</v>
      </c>
      <c r="AB80" s="79">
        <f ca="1">$I$28*$AB$28</f>
        <v>0</v>
      </c>
      <c r="AC80" s="79">
        <f ca="1">$I$28*$AC$28</f>
        <v>0</v>
      </c>
      <c r="AD80" s="79">
        <f>$I$28*$AD$28</f>
        <v>0</v>
      </c>
      <c r="AE80" s="79">
        <f>$I$28*$AE$28</f>
        <v>0</v>
      </c>
      <c r="AF80" s="79">
        <f ca="1">$I$28*$AF$28</f>
        <v>0</v>
      </c>
      <c r="AG80" s="79">
        <f ca="1">$I$28*$AG$28</f>
        <v>0</v>
      </c>
      <c r="AI80" s="79">
        <f>$I$28*$AI$28</f>
        <v>0</v>
      </c>
      <c r="AJ80" s="79">
        <f>$I$28*$AJ$28</f>
        <v>0</v>
      </c>
      <c r="AK80" s="79">
        <f>$I$28*$AK$28</f>
        <v>0</v>
      </c>
      <c r="AL80" s="79">
        <f>$I$28*$AL$28</f>
        <v>0</v>
      </c>
      <c r="AM80" s="79">
        <f>$I$28*$AM$28</f>
        <v>0</v>
      </c>
      <c r="AN80" s="79">
        <f>$I$28*$AN$28</f>
        <v>0</v>
      </c>
      <c r="AO80" s="79">
        <f>$I$28*$AO$28</f>
        <v>0</v>
      </c>
      <c r="AP80" s="79">
        <f>$I$28*$AP$28</f>
        <v>0</v>
      </c>
      <c r="AQ80" s="79">
        <f>$I$28*$AQ$28</f>
        <v>0</v>
      </c>
      <c r="AR80" s="79">
        <f>$I$28*$AR$28</f>
        <v>0</v>
      </c>
      <c r="AS80" s="79">
        <f>$I$28*$AS$28</f>
        <v>0</v>
      </c>
      <c r="AT80" s="79">
        <f>$I$28*$AT$28</f>
        <v>0</v>
      </c>
      <c r="AU80" s="79">
        <f>$I$28*$AU$28</f>
        <v>0</v>
      </c>
      <c r="AV80" s="79">
        <f>$I$28*$AV$28</f>
        <v>0</v>
      </c>
      <c r="AW80" s="79">
        <f>$I$28*$AW$28</f>
        <v>0</v>
      </c>
      <c r="AX80" s="79">
        <f>$I$28*$AX$28</f>
        <v>0</v>
      </c>
      <c r="AY80" s="79">
        <f>$I$28*$AY$28</f>
        <v>0</v>
      </c>
      <c r="AZ80" s="79">
        <f>$I$28*$AZ$28</f>
        <v>0</v>
      </c>
      <c r="BA80" s="79">
        <f>$I$28*$BA$28</f>
        <v>0</v>
      </c>
      <c r="BB80" s="79">
        <f>$I$28*$BB$28</f>
        <v>0</v>
      </c>
      <c r="BC80" s="79">
        <f>$I$28*$BC$28</f>
        <v>0</v>
      </c>
      <c r="BD80" s="79">
        <f>$I$28*$BD$28</f>
        <v>0</v>
      </c>
    </row>
    <row r="81" spans="1:56" ht="11.25" customHeight="1" x14ac:dyDescent="0.25">
      <c r="A81" s="9" t="s">
        <v>22</v>
      </c>
      <c r="B81" s="9" t="s">
        <v>1015</v>
      </c>
      <c r="C81" s="9" t="s">
        <v>1016</v>
      </c>
      <c r="D81" s="9" t="s">
        <v>1033</v>
      </c>
      <c r="E81" s="9" t="s">
        <v>1034</v>
      </c>
      <c r="F81" s="9" t="s">
        <v>1035</v>
      </c>
      <c r="G81" s="9" t="s">
        <v>1036</v>
      </c>
      <c r="L81" s="79">
        <f>$I$29*$L$29</f>
        <v>0</v>
      </c>
      <c r="M81" s="79">
        <f>$I$29*$M$29</f>
        <v>0</v>
      </c>
      <c r="N81" s="79">
        <f ca="1">$I$29*$N$29</f>
        <v>0</v>
      </c>
      <c r="O81" s="79">
        <f>$I$29*$O$29</f>
        <v>0</v>
      </c>
      <c r="P81" s="79">
        <f>$I$29*$P$29</f>
        <v>0</v>
      </c>
      <c r="Q81" s="79">
        <f>$I$29*$Q$29</f>
        <v>0</v>
      </c>
      <c r="R81" s="79">
        <f>$I$29*$R$29</f>
        <v>0</v>
      </c>
      <c r="S81" s="79">
        <f>$I$29*$S$29</f>
        <v>0</v>
      </c>
      <c r="T81" s="79">
        <f>$I$29*$T$29</f>
        <v>0</v>
      </c>
      <c r="U81" s="79">
        <f>$I$29*$U$29</f>
        <v>0</v>
      </c>
      <c r="V81" s="79">
        <f>$I$29*$V$29</f>
        <v>0</v>
      </c>
      <c r="W81" s="79">
        <f>$I$29*$W$29</f>
        <v>0</v>
      </c>
      <c r="X81" s="79">
        <f>$I$29*$X$29</f>
        <v>0</v>
      </c>
      <c r="Y81" s="79">
        <f>$I$29*$Y$29</f>
        <v>0</v>
      </c>
      <c r="Z81" s="79">
        <f>$I$29*$Z$29</f>
        <v>0</v>
      </c>
      <c r="AA81" s="79">
        <f>$I$29*$AA$29</f>
        <v>0</v>
      </c>
      <c r="AB81" s="79">
        <f ca="1">$I$29*$AB$29</f>
        <v>0</v>
      </c>
      <c r="AC81" s="79">
        <f ca="1">$I$29*$AC$29</f>
        <v>0</v>
      </c>
      <c r="AD81" s="79">
        <f>$I$29*$AD$29</f>
        <v>0</v>
      </c>
      <c r="AE81" s="79">
        <f>$I$29*$AE$29</f>
        <v>0</v>
      </c>
      <c r="AF81" s="79">
        <f ca="1">$I$29*$AF$29</f>
        <v>0</v>
      </c>
      <c r="AG81" s="79">
        <f ca="1">$I$29*$AG$29</f>
        <v>0</v>
      </c>
      <c r="AI81" s="79">
        <f>$I$29*$AI$29</f>
        <v>0</v>
      </c>
      <c r="AJ81" s="79">
        <f>$I$29*$AJ$29</f>
        <v>0</v>
      </c>
      <c r="AK81" s="79">
        <f>$I$29*$AK$29</f>
        <v>0</v>
      </c>
      <c r="AL81" s="79">
        <f>$I$29*$AL$29</f>
        <v>0</v>
      </c>
      <c r="AM81" s="79">
        <f>$I$29*$AM$29</f>
        <v>0</v>
      </c>
      <c r="AN81" s="79">
        <f>$I$29*$AN$29</f>
        <v>0</v>
      </c>
      <c r="AO81" s="79">
        <f>$I$29*$AO$29</f>
        <v>0</v>
      </c>
      <c r="AP81" s="79">
        <f>$I$29*$AP$29</f>
        <v>0</v>
      </c>
      <c r="AQ81" s="79">
        <f>$I$29*$AQ$29</f>
        <v>0</v>
      </c>
      <c r="AR81" s="79">
        <f>$I$29*$AR$29</f>
        <v>0</v>
      </c>
      <c r="AS81" s="79">
        <f>$I$29*$AS$29</f>
        <v>0</v>
      </c>
      <c r="AT81" s="79">
        <f>$I$29*$AT$29</f>
        <v>0</v>
      </c>
      <c r="AU81" s="79">
        <f>$I$29*$AU$29</f>
        <v>0</v>
      </c>
      <c r="AV81" s="79">
        <f>$I$29*$AV$29</f>
        <v>0</v>
      </c>
      <c r="AW81" s="79">
        <f>$I$29*$AW$29</f>
        <v>0</v>
      </c>
      <c r="AX81" s="79">
        <f>$I$29*$AX$29</f>
        <v>0</v>
      </c>
      <c r="AY81" s="79">
        <f>$I$29*$AY$29</f>
        <v>0</v>
      </c>
      <c r="AZ81" s="79">
        <f>$I$29*$AZ$29</f>
        <v>0</v>
      </c>
      <c r="BA81" s="79">
        <f>$I$29*$BA$29</f>
        <v>0</v>
      </c>
      <c r="BB81" s="79">
        <f>$I$29*$BB$29</f>
        <v>0</v>
      </c>
      <c r="BC81" s="79">
        <f>$I$29*$BC$29</f>
        <v>0</v>
      </c>
      <c r="BD81" s="79">
        <f>$I$29*$BD$29</f>
        <v>0</v>
      </c>
    </row>
    <row r="82" spans="1:56" ht="11.25" customHeight="1" x14ac:dyDescent="0.25">
      <c r="A82" s="9" t="s">
        <v>43</v>
      </c>
      <c r="B82" s="9" t="s">
        <v>1037</v>
      </c>
      <c r="C82" s="9" t="s">
        <v>1038</v>
      </c>
      <c r="D82" s="9" t="s">
        <v>1039</v>
      </c>
      <c r="E82" s="9" t="s">
        <v>1040</v>
      </c>
      <c r="F82" s="9" t="s">
        <v>1041</v>
      </c>
      <c r="G82" s="9" t="s">
        <v>1042</v>
      </c>
      <c r="L82" s="79">
        <f>$I$30*$L$30</f>
        <v>1.8330302066418833</v>
      </c>
      <c r="M82" s="79">
        <f>$I$30*$M$30</f>
        <v>0.18940397167414816</v>
      </c>
      <c r="N82" s="79">
        <f ca="1">$I$30*$N$30</f>
        <v>0.90990633191381698</v>
      </c>
      <c r="O82" s="79">
        <f>$I$30*$O$30</f>
        <v>0</v>
      </c>
      <c r="P82" s="79">
        <f>$I$30*$P$30</f>
        <v>0</v>
      </c>
      <c r="Q82" s="79">
        <f>$I$30*$Q$30</f>
        <v>31.186929144393257</v>
      </c>
      <c r="R82" s="79">
        <f>$I$30*$R$30</f>
        <v>5.1584724262068411</v>
      </c>
      <c r="S82" s="79">
        <f>$I$30*$S$30</f>
        <v>0</v>
      </c>
      <c r="T82" s="79">
        <f>$I$30*$T$30</f>
        <v>25.564896691216187</v>
      </c>
      <c r="U82" s="79">
        <f>$I$30*$U$30</f>
        <v>3.3692500815906015</v>
      </c>
      <c r="V82" s="79">
        <f>$I$30*$V$30</f>
        <v>1.0263909239746252</v>
      </c>
      <c r="W82" s="79">
        <f>$I$30*$W$30</f>
        <v>0</v>
      </c>
      <c r="X82" s="79">
        <f>$I$30*$X$30</f>
        <v>37.668271502429334</v>
      </c>
      <c r="Y82" s="79">
        <f>$I$30*$Y$30</f>
        <v>0</v>
      </c>
      <c r="Z82" s="79">
        <f>$I$30*$Z$30</f>
        <v>0</v>
      </c>
      <c r="AA82" s="79">
        <f>$I$30*$AA$30</f>
        <v>165.15568390010711</v>
      </c>
      <c r="AB82" s="79">
        <f ca="1">$I$30*$AB$30</f>
        <v>-7.9338613996399072</v>
      </c>
      <c r="AC82" s="79">
        <f ca="1">$I$30*$AC$30</f>
        <v>0</v>
      </c>
      <c r="AD82" s="79">
        <f>$I$30*$AD$30</f>
        <v>7.9967719005260571</v>
      </c>
      <c r="AE82" s="79">
        <f>$I$30*$AE$30</f>
        <v>0.28205336543474685</v>
      </c>
      <c r="AF82" s="79">
        <f ca="1">$I$30*$AF$30</f>
        <v>1.0730141172747703</v>
      </c>
      <c r="AG82" s="79">
        <f ca="1">$I$30*$AG$30</f>
        <v>0.12853957549285647</v>
      </c>
      <c r="AI82" s="79">
        <f>$I$30*$AI$30</f>
        <v>1.5196375051245448</v>
      </c>
      <c r="AJ82" s="79">
        <f>$I$30*$AJ$30</f>
        <v>0.14682096253897051</v>
      </c>
      <c r="AK82" s="79">
        <f>$I$30*$AK$30</f>
        <v>0.78366507122432294</v>
      </c>
      <c r="AL82" s="79">
        <f>$I$30*$AL$30</f>
        <v>0</v>
      </c>
      <c r="AM82" s="79">
        <f>$I$30*$AM$30</f>
        <v>0</v>
      </c>
      <c r="AN82" s="79">
        <f>$I$30*$AN$30</f>
        <v>11.76616273012953</v>
      </c>
      <c r="AO82" s="79">
        <f>$I$30*$AO$30</f>
        <v>2.0616507711073213</v>
      </c>
      <c r="AP82" s="79">
        <f>$I$30*$AP$30</f>
        <v>0</v>
      </c>
      <c r="AQ82" s="79">
        <f>$I$30*$AQ$30</f>
        <v>18.208724165420797</v>
      </c>
      <c r="AR82" s="79">
        <f>$I$30*$AR$30</f>
        <v>2.7833659350119331</v>
      </c>
      <c r="AS82" s="79">
        <f>$I$30*$AS$30</f>
        <v>0.72521411119883317</v>
      </c>
      <c r="AT82" s="79">
        <f>$I$30*$AT$30</f>
        <v>0</v>
      </c>
      <c r="AU82" s="79">
        <f>$I$30*$AU$30</f>
        <v>29.03554723855256</v>
      </c>
      <c r="AV82" s="79">
        <f>$I$30*$AV$30</f>
        <v>0</v>
      </c>
      <c r="AW82" s="79">
        <f>$I$30*$AW$30</f>
        <v>0</v>
      </c>
      <c r="AX82" s="79">
        <f>$I$30*$AX$30</f>
        <v>141.54978559542121</v>
      </c>
      <c r="AY82" s="79">
        <f>$I$30*$AY$30</f>
        <v>0</v>
      </c>
      <c r="AZ82" s="79">
        <f>$I$30*$AZ$30</f>
        <v>0</v>
      </c>
      <c r="BA82" s="79">
        <f>$I$30*$BA$30</f>
        <v>5.5344265766235967</v>
      </c>
      <c r="BB82" s="79">
        <f>$I$30*$BB$30</f>
        <v>0.19133296578790515</v>
      </c>
      <c r="BC82" s="79">
        <f>$I$30*$BC$30</f>
        <v>1.5775813859976338</v>
      </c>
      <c r="BD82" s="79">
        <f>$I$30*$BD$30</f>
        <v>8.8374381185171616E-2</v>
      </c>
    </row>
    <row r="83" spans="1:56" ht="11.25" customHeight="1" x14ac:dyDescent="0.25">
      <c r="A83" s="9" t="s">
        <v>43</v>
      </c>
      <c r="B83" s="9" t="s">
        <v>1037</v>
      </c>
      <c r="C83" s="9" t="s">
        <v>1038</v>
      </c>
      <c r="D83" s="9" t="s">
        <v>1039</v>
      </c>
      <c r="E83" s="9" t="s">
        <v>1040</v>
      </c>
      <c r="F83" s="9" t="s">
        <v>1041</v>
      </c>
      <c r="G83" s="9" t="s">
        <v>1043</v>
      </c>
      <c r="L83" s="79">
        <f>$I$31*$L$31</f>
        <v>1.3545554100552153</v>
      </c>
      <c r="M83" s="79">
        <f>$I$31*$M$31</f>
        <v>0.13996396436214625</v>
      </c>
      <c r="N83" s="79">
        <f ca="1">$I$31*$N$31</f>
        <v>0.63584737358541898</v>
      </c>
      <c r="O83" s="79">
        <f>$I$31*$O$31</f>
        <v>0</v>
      </c>
      <c r="P83" s="79">
        <f>$I$31*$P$31</f>
        <v>0</v>
      </c>
      <c r="Q83" s="79">
        <f>$I$31*$Q$31</f>
        <v>23.046223375084722</v>
      </c>
      <c r="R83" s="79">
        <f>$I$31*$R$31</f>
        <v>3.811959403189614</v>
      </c>
      <c r="S83" s="79">
        <f>$I$31*$S$31</f>
        <v>0</v>
      </c>
      <c r="T83" s="79">
        <f>$I$31*$T$31</f>
        <v>11.335018959536232</v>
      </c>
      <c r="U83" s="79">
        <f>$I$31*$U$31</f>
        <v>1.4938706319339026</v>
      </c>
      <c r="V83" s="79">
        <f>$I$31*$V$31</f>
        <v>0.45507904787115633</v>
      </c>
      <c r="W83" s="79">
        <f>$I$31*$W$31</f>
        <v>0</v>
      </c>
      <c r="X83" s="79">
        <f>$I$31*$X$31</f>
        <v>16.701437909197494</v>
      </c>
      <c r="Y83" s="79">
        <f>$I$31*$Y$31</f>
        <v>0</v>
      </c>
      <c r="Z83" s="79">
        <f>$I$31*$Z$31</f>
        <v>0</v>
      </c>
      <c r="AA83" s="79">
        <f>$I$31*$AA$31</f>
        <v>73.22711988037004</v>
      </c>
      <c r="AB83" s="79">
        <f ca="1">$I$31*$AB$31</f>
        <v>-3.8621913064660078</v>
      </c>
      <c r="AC83" s="79">
        <f ca="1">$I$31*$AC$31</f>
        <v>0</v>
      </c>
      <c r="AD83" s="79">
        <f>$I$31*$AD$31</f>
        <v>5.9093792353152113</v>
      </c>
      <c r="AE83" s="79">
        <f>$I$31*$AE$31</f>
        <v>0.20842914136905927</v>
      </c>
      <c r="AF83" s="79">
        <f ca="1">$I$31*$AF$31</f>
        <v>0.7929258734273118</v>
      </c>
      <c r="AG83" s="79">
        <f ca="1">$I$31*$AG$31</f>
        <v>9.4986965713471136E-2</v>
      </c>
      <c r="AI83" s="79">
        <f>$I$31*$AI$31</f>
        <v>1.1229674210662997</v>
      </c>
      <c r="AJ83" s="79">
        <f>$I$31*$AJ$31</f>
        <v>0.10849637305269512</v>
      </c>
      <c r="AK83" s="79">
        <f>$I$31*$AK$31</f>
        <v>0.54764782458401262</v>
      </c>
      <c r="AL83" s="79">
        <f>$I$31*$AL$31</f>
        <v>0</v>
      </c>
      <c r="AM83" s="79">
        <f>$I$31*$AM$31</f>
        <v>0</v>
      </c>
      <c r="AN83" s="79">
        <f>$I$31*$AN$31</f>
        <v>8.6948481939560125</v>
      </c>
      <c r="AO83" s="79">
        <f>$I$31*$AO$31</f>
        <v>1.5234992830609249</v>
      </c>
      <c r="AP83" s="79">
        <f>$I$31*$AP$31</f>
        <v>0</v>
      </c>
      <c r="AQ83" s="79">
        <f>$I$31*$AQ$31</f>
        <v>8.0734233404872562</v>
      </c>
      <c r="AR83" s="79">
        <f>$I$31*$AR$31</f>
        <v>1.234099140030773</v>
      </c>
      <c r="AS83" s="79">
        <f>$I$31*$AS$31</f>
        <v>0.32154390643778924</v>
      </c>
      <c r="AT83" s="79">
        <f>$I$31*$AT$31</f>
        <v>0</v>
      </c>
      <c r="AU83" s="79">
        <f>$I$31*$AU$31</f>
        <v>12.873842361813274</v>
      </c>
      <c r="AV83" s="79">
        <f>$I$31*$AV$31</f>
        <v>0</v>
      </c>
      <c r="AW83" s="79">
        <f>$I$31*$AW$31</f>
        <v>0</v>
      </c>
      <c r="AX83" s="79">
        <f>$I$31*$AX$31</f>
        <v>62.760680553422077</v>
      </c>
      <c r="AY83" s="79">
        <f>$I$31*$AY$31</f>
        <v>0</v>
      </c>
      <c r="AZ83" s="79">
        <f>$I$31*$AZ$31</f>
        <v>0</v>
      </c>
      <c r="BA83" s="79">
        <f>$I$31*$BA$31</f>
        <v>4.0897784628725846</v>
      </c>
      <c r="BB83" s="79">
        <f>$I$31*$BB$31</f>
        <v>0.14138943427709166</v>
      </c>
      <c r="BC83" s="79">
        <f>$I$31*$BC$31</f>
        <v>1.1657862447997218</v>
      </c>
      <c r="BD83" s="79">
        <f>$I$31*$BD$31</f>
        <v>6.5306068449336382E-2</v>
      </c>
    </row>
    <row r="84" spans="1:56" ht="11.25" customHeight="1" x14ac:dyDescent="0.25">
      <c r="A84" s="9" t="s">
        <v>43</v>
      </c>
      <c r="B84" s="9" t="s">
        <v>1037</v>
      </c>
      <c r="C84" s="9" t="s">
        <v>1038</v>
      </c>
      <c r="D84" s="9" t="s">
        <v>1039</v>
      </c>
      <c r="E84" s="9" t="s">
        <v>1040</v>
      </c>
      <c r="F84" s="9" t="s">
        <v>1041</v>
      </c>
      <c r="G84" s="9" t="s">
        <v>1044</v>
      </c>
      <c r="L84" s="79">
        <f>$I$32*$L$32</f>
        <v>36.417997193723295</v>
      </c>
      <c r="M84" s="79">
        <f>$I$32*$M$32</f>
        <v>3.7630112607613846</v>
      </c>
      <c r="N84" s="79">
        <f ca="1">$I$32*$N$32</f>
        <v>16.11254331187941</v>
      </c>
      <c r="O84" s="79">
        <f>$I$32*$O$32</f>
        <v>0</v>
      </c>
      <c r="P84" s="79">
        <f>$I$32*$P$32</f>
        <v>0</v>
      </c>
      <c r="Q84" s="79">
        <f>$I$32*$Q$32</f>
        <v>619.61090108934241</v>
      </c>
      <c r="R84" s="79">
        <f>$I$32*$R$32</f>
        <v>102.48670952655061</v>
      </c>
      <c r="S84" s="79">
        <f>$I$32*$S$32</f>
        <v>0</v>
      </c>
      <c r="T84" s="79">
        <f>$I$32*$T$32</f>
        <v>101.58259531759947</v>
      </c>
      <c r="U84" s="79">
        <f>$I$32*$U$32</f>
        <v>13.38806180933719</v>
      </c>
      <c r="V84" s="79">
        <f>$I$32*$V$32</f>
        <v>4.0781485193434106</v>
      </c>
      <c r="W84" s="79">
        <f>$I$32*$W$32</f>
        <v>0</v>
      </c>
      <c r="X84" s="79">
        <f>$I$32*$X$32</f>
        <v>149.67610489418956</v>
      </c>
      <c r="Y84" s="79">
        <f>$I$32*$Y$32</f>
        <v>0</v>
      </c>
      <c r="Z84" s="79">
        <f>$I$32*$Z$32</f>
        <v>0</v>
      </c>
      <c r="AA84" s="79">
        <f>$I$32*$AA$32</f>
        <v>656.25119070827452</v>
      </c>
      <c r="AB84" s="79">
        <f ca="1">$I$32*$AB$32</f>
        <v>-50.047305320337742</v>
      </c>
      <c r="AC84" s="79">
        <f ca="1">$I$32*$AC$32</f>
        <v>0</v>
      </c>
      <c r="AD84" s="79">
        <f>$I$32*$AD$32</f>
        <v>158.87704172956916</v>
      </c>
      <c r="AE84" s="79">
        <f>$I$32*$AE$32</f>
        <v>5.6037367162109266</v>
      </c>
      <c r="AF84" s="79">
        <f ca="1">$I$32*$AF$32</f>
        <v>21.318265771150212</v>
      </c>
      <c r="AG84" s="79">
        <f ca="1">$I$32*$AG$32</f>
        <v>2.5537789189830744</v>
      </c>
      <c r="AI84" s="79">
        <f>$I$32*$AI$32</f>
        <v>30.191621609165587</v>
      </c>
      <c r="AJ84" s="79">
        <f>$I$32*$AJ$32</f>
        <v>2.9169870645610168</v>
      </c>
      <c r="AK84" s="79">
        <f>$I$32*$AK$32</f>
        <v>13.878069406149734</v>
      </c>
      <c r="AL84" s="79">
        <f>$I$32*$AL$32</f>
        <v>0</v>
      </c>
      <c r="AM84" s="79">
        <f>$I$32*$AM$32</f>
        <v>0</v>
      </c>
      <c r="AN84" s="79">
        <f>$I$32*$AN$32</f>
        <v>233.76596835889694</v>
      </c>
      <c r="AO84" s="79">
        <f>$I$32*$AO$32</f>
        <v>40.960149878911629</v>
      </c>
      <c r="AP84" s="79">
        <f>$I$32*$AP$32</f>
        <v>0</v>
      </c>
      <c r="AQ84" s="79">
        <f>$I$32*$AQ$32</f>
        <v>72.352706153561897</v>
      </c>
      <c r="AR84" s="79">
        <f>$I$32*$AR$32</f>
        <v>11.059990880330046</v>
      </c>
      <c r="AS84" s="79">
        <f>$I$32*$AS$32</f>
        <v>2.8814857815963961</v>
      </c>
      <c r="AT84" s="79">
        <f>$I$32*$AT$32</f>
        <v>0</v>
      </c>
      <c r="AU84" s="79">
        <f>$I$32*$AU$32</f>
        <v>115.37369358340533</v>
      </c>
      <c r="AV84" s="79">
        <f>$I$32*$AV$32</f>
        <v>0</v>
      </c>
      <c r="AW84" s="79">
        <f>$I$32*$AW$32</f>
        <v>0</v>
      </c>
      <c r="AX84" s="79">
        <f>$I$32*$AX$32</f>
        <v>562.45242759965436</v>
      </c>
      <c r="AY84" s="79">
        <f>$I$32*$AY$32</f>
        <v>0</v>
      </c>
      <c r="AZ84" s="79">
        <f>$I$32*$AZ$32</f>
        <v>0</v>
      </c>
      <c r="BA84" s="79">
        <f>$I$32*$BA$32</f>
        <v>109.95603389733057</v>
      </c>
      <c r="BB84" s="79">
        <f>$I$32*$BB$32</f>
        <v>3.8013358349920563</v>
      </c>
      <c r="BC84" s="79">
        <f>$I$32*$BC$32</f>
        <v>31.34283018357063</v>
      </c>
      <c r="BD84" s="79">
        <f>$I$32*$BD$32</f>
        <v>1.7557910144289242</v>
      </c>
    </row>
    <row r="85" spans="1:56" ht="11.25" customHeight="1" x14ac:dyDescent="0.25">
      <c r="A85" s="9" t="s">
        <v>43</v>
      </c>
      <c r="B85" s="9" t="s">
        <v>1045</v>
      </c>
      <c r="C85" s="9" t="s">
        <v>1046</v>
      </c>
      <c r="D85" s="9" t="s">
        <v>1047</v>
      </c>
      <c r="E85" s="9" t="s">
        <v>1048</v>
      </c>
      <c r="F85" s="9" t="s">
        <v>1049</v>
      </c>
      <c r="G85" s="9" t="s">
        <v>1050</v>
      </c>
      <c r="L85" s="79">
        <f>$I$33*$L$33</f>
        <v>1236205.4710702179</v>
      </c>
      <c r="M85" s="79">
        <f>$I$33*$M$33</f>
        <v>127735.06141776017</v>
      </c>
      <c r="N85" s="79">
        <f ca="1">$I$33*$N$33</f>
        <v>553750.38970110891</v>
      </c>
      <c r="O85" s="79">
        <f>$I$33*$O$33</f>
        <v>0</v>
      </c>
      <c r="P85" s="79">
        <f>$I$33*$P$33</f>
        <v>0</v>
      </c>
      <c r="Q85" s="79">
        <f>$I$33*$Q$33</f>
        <v>21032633.447327752</v>
      </c>
      <c r="R85" s="79">
        <f>$I$33*$R$33</f>
        <v>3478901.6637779889</v>
      </c>
      <c r="S85" s="79">
        <f>$I$33*$S$33</f>
        <v>0</v>
      </c>
      <c r="T85" s="79">
        <f>$I$33*$T$33</f>
        <v>4856648.4721178003</v>
      </c>
      <c r="U85" s="79">
        <f>$I$33*$U$33</f>
        <v>640074.5371250438</v>
      </c>
      <c r="V85" s="79">
        <f>$I$33*$V$33</f>
        <v>194986.92461807767</v>
      </c>
      <c r="W85" s="79">
        <f>$I$33*$W$33</f>
        <v>0</v>
      </c>
      <c r="X85" s="79">
        <f>$I$33*$X$33</f>
        <v>7155973.5596096152</v>
      </c>
      <c r="Y85" s="79">
        <f>$I$33*$Y$33</f>
        <v>0</v>
      </c>
      <c r="Z85" s="79">
        <f>$I$33*$Z$33</f>
        <v>0</v>
      </c>
      <c r="AA85" s="79">
        <f>$I$33*$AA$33</f>
        <v>31375174.656508438</v>
      </c>
      <c r="AB85" s="79">
        <f ca="1">$I$33*$AB$33</f>
        <v>-2071745.0200679274</v>
      </c>
      <c r="AC85" s="79">
        <f ca="1">$I$33*$AC$33</f>
        <v>0</v>
      </c>
      <c r="AD85" s="79">
        <f>$I$33*$AD$33</f>
        <v>5393066.1581630139</v>
      </c>
      <c r="AE85" s="79">
        <f>$I$33*$AE$33</f>
        <v>190218.31294475877</v>
      </c>
      <c r="AF85" s="79">
        <f ca="1">$I$33*$AF$33</f>
        <v>723646.51575531904</v>
      </c>
      <c r="AG85" s="79">
        <f ca="1">$I$33*$AG$33</f>
        <v>86687.78392060443</v>
      </c>
      <c r="AI85" s="79">
        <f>$I$33*$AI$33</f>
        <v>1024851.740615901</v>
      </c>
      <c r="AJ85" s="79">
        <f>$I$33*$AJ$33</f>
        <v>99016.850077435985</v>
      </c>
      <c r="AK85" s="79">
        <f>$I$33*$AK$33</f>
        <v>476952.8815668461</v>
      </c>
      <c r="AL85" s="79">
        <f>$I$33*$AL$33</f>
        <v>0</v>
      </c>
      <c r="AM85" s="79">
        <f>$I$33*$AM$33</f>
        <v>0</v>
      </c>
      <c r="AN85" s="79">
        <f>$I$33*$AN$33</f>
        <v>7935163.6911296854</v>
      </c>
      <c r="AO85" s="79">
        <f>$I$33*$AO$33</f>
        <v>1390388.4144648607</v>
      </c>
      <c r="AP85" s="79">
        <f>$I$33*$AP$33</f>
        <v>0</v>
      </c>
      <c r="AQ85" s="79">
        <f>$I$33*$AQ$33</f>
        <v>3459171.9053412108</v>
      </c>
      <c r="AR85" s="79">
        <f>$I$33*$AR$33</f>
        <v>528770.9785143988</v>
      </c>
      <c r="AS85" s="79">
        <f>$I$33*$AS$33</f>
        <v>137771.35585406731</v>
      </c>
      <c r="AT85" s="79">
        <f>$I$33*$AT$33</f>
        <v>0</v>
      </c>
      <c r="AU85" s="79">
        <f>$I$33*$AU$33</f>
        <v>5515984.6746479757</v>
      </c>
      <c r="AV85" s="79">
        <f>$I$33*$AV$33</f>
        <v>0</v>
      </c>
      <c r="AW85" s="79">
        <f>$I$33*$AW$33</f>
        <v>0</v>
      </c>
      <c r="AX85" s="79">
        <f>$I$33*$AX$33</f>
        <v>26890683.631172184</v>
      </c>
      <c r="AY85" s="79">
        <f>$I$33*$AY$33</f>
        <v>0</v>
      </c>
      <c r="AZ85" s="79">
        <f>$I$33*$AZ$33</f>
        <v>0</v>
      </c>
      <c r="BA85" s="79">
        <f>$I$33*$BA$33</f>
        <v>3732447.173247898</v>
      </c>
      <c r="BB85" s="79">
        <f>$I$33*$BB$33</f>
        <v>129035.98546606445</v>
      </c>
      <c r="BC85" s="79">
        <f>$I$33*$BC$33</f>
        <v>1063929.4068162746</v>
      </c>
      <c r="BD85" s="79">
        <f>$I$33*$BD$33</f>
        <v>59600.159957919292</v>
      </c>
    </row>
    <row r="86" spans="1:56" ht="11.25" customHeight="1" x14ac:dyDescent="0.25">
      <c r="A86" s="9" t="s">
        <v>43</v>
      </c>
      <c r="B86" s="9" t="s">
        <v>1037</v>
      </c>
      <c r="C86" s="9" t="s">
        <v>1038</v>
      </c>
      <c r="D86" s="9" t="s">
        <v>1051</v>
      </c>
      <c r="E86" s="9" t="s">
        <v>1052</v>
      </c>
      <c r="F86" s="9" t="s">
        <v>1053</v>
      </c>
      <c r="G86" s="9" t="s">
        <v>1054</v>
      </c>
      <c r="L86" s="79">
        <f>$I$34*$L$34</f>
        <v>0</v>
      </c>
      <c r="M86" s="79">
        <f>$I$34*$M$34</f>
        <v>0</v>
      </c>
      <c r="N86" s="79">
        <f ca="1">$I$34*$N$34</f>
        <v>0</v>
      </c>
      <c r="O86" s="79">
        <f>$I$34*$O$34</f>
        <v>0</v>
      </c>
      <c r="P86" s="79">
        <f>$I$34*$P$34</f>
        <v>0</v>
      </c>
      <c r="Q86" s="79">
        <f>$I$34*$Q$34</f>
        <v>0</v>
      </c>
      <c r="R86" s="79">
        <f>$I$34*$R$34</f>
        <v>0</v>
      </c>
      <c r="S86" s="79">
        <f>$I$34*$S$34</f>
        <v>0</v>
      </c>
      <c r="T86" s="79">
        <f>$I$34*$T$34</f>
        <v>0</v>
      </c>
      <c r="U86" s="79">
        <f>$I$34*$U$34</f>
        <v>0</v>
      </c>
      <c r="V86" s="79">
        <f>$I$34*$V$34</f>
        <v>0</v>
      </c>
      <c r="W86" s="79">
        <f>$I$34*$W$34</f>
        <v>0</v>
      </c>
      <c r="X86" s="79">
        <f>$I$34*$X$34</f>
        <v>0</v>
      </c>
      <c r="Y86" s="79">
        <f>$I$34*$Y$34</f>
        <v>0</v>
      </c>
      <c r="Z86" s="79">
        <f>$I$34*$Z$34</f>
        <v>0</v>
      </c>
      <c r="AA86" s="79">
        <f>$I$34*$AA$34</f>
        <v>0</v>
      </c>
      <c r="AB86" s="79">
        <f ca="1">$I$34*$AB$34</f>
        <v>0</v>
      </c>
      <c r="AC86" s="79">
        <f ca="1">$I$34*$AC$34</f>
        <v>0</v>
      </c>
      <c r="AD86" s="79">
        <f>$I$34*$AD$34</f>
        <v>0</v>
      </c>
      <c r="AE86" s="79">
        <f>$I$34*$AE$34</f>
        <v>0</v>
      </c>
      <c r="AF86" s="79">
        <f ca="1">$I$34*$AF$34</f>
        <v>0</v>
      </c>
      <c r="AG86" s="79">
        <f ca="1">$I$34*$AG$34</f>
        <v>0</v>
      </c>
      <c r="AI86" s="79">
        <f>$I$34*$AI$34</f>
        <v>0</v>
      </c>
      <c r="AJ86" s="79">
        <f>$I$34*$AJ$34</f>
        <v>0</v>
      </c>
      <c r="AK86" s="79">
        <f>$I$34*$AK$34</f>
        <v>0</v>
      </c>
      <c r="AL86" s="79">
        <f>$I$34*$AL$34</f>
        <v>0</v>
      </c>
      <c r="AM86" s="79">
        <f>$I$34*$AM$34</f>
        <v>0</v>
      </c>
      <c r="AN86" s="79">
        <f>$I$34*$AN$34</f>
        <v>0</v>
      </c>
      <c r="AO86" s="79">
        <f>$I$34*$AO$34</f>
        <v>0</v>
      </c>
      <c r="AP86" s="79">
        <f>$I$34*$AP$34</f>
        <v>0</v>
      </c>
      <c r="AQ86" s="79">
        <f>$I$34*$AQ$34</f>
        <v>0</v>
      </c>
      <c r="AR86" s="79">
        <f>$I$34*$AR$34</f>
        <v>0</v>
      </c>
      <c r="AS86" s="79">
        <f>$I$34*$AS$34</f>
        <v>0</v>
      </c>
      <c r="AT86" s="79">
        <f>$I$34*$AT$34</f>
        <v>0</v>
      </c>
      <c r="AU86" s="79">
        <f>$I$34*$AU$34</f>
        <v>0</v>
      </c>
      <c r="AV86" s="79">
        <f>$I$34*$AV$34</f>
        <v>0</v>
      </c>
      <c r="AW86" s="79">
        <f>$I$34*$AW$34</f>
        <v>0</v>
      </c>
      <c r="AX86" s="79">
        <f>$I$34*$AX$34</f>
        <v>0</v>
      </c>
      <c r="AY86" s="79">
        <f>$I$34*$AY$34</f>
        <v>0</v>
      </c>
      <c r="AZ86" s="79">
        <f>$I$34*$AZ$34</f>
        <v>0</v>
      </c>
      <c r="BA86" s="79">
        <f>$I$34*$BA$34</f>
        <v>0</v>
      </c>
      <c r="BB86" s="79">
        <f>$I$34*$BB$34</f>
        <v>0</v>
      </c>
      <c r="BC86" s="79">
        <f>$I$34*$BC$34</f>
        <v>0</v>
      </c>
      <c r="BD86" s="79">
        <f>$I$34*$BD$34</f>
        <v>0</v>
      </c>
    </row>
    <row r="87" spans="1:56" ht="11.25" customHeight="1" x14ac:dyDescent="0.25">
      <c r="A87" s="9" t="s">
        <v>43</v>
      </c>
      <c r="B87" s="9" t="s">
        <v>1037</v>
      </c>
      <c r="C87" s="9" t="s">
        <v>1038</v>
      </c>
      <c r="D87" s="9" t="s">
        <v>1051</v>
      </c>
      <c r="E87" s="9" t="s">
        <v>1052</v>
      </c>
      <c r="F87" s="9" t="s">
        <v>1053</v>
      </c>
      <c r="G87" s="9" t="s">
        <v>1055</v>
      </c>
      <c r="L87" s="79">
        <f>$I$35*$L$35</f>
        <v>0</v>
      </c>
      <c r="M87" s="79">
        <f>$I$35*$M$35</f>
        <v>0</v>
      </c>
      <c r="N87" s="79">
        <f ca="1">$I$35*$N$35</f>
        <v>0</v>
      </c>
      <c r="O87" s="79">
        <f>$I$35*$O$35</f>
        <v>0</v>
      </c>
      <c r="P87" s="79">
        <f>$I$35*$P$35</f>
        <v>0</v>
      </c>
      <c r="Q87" s="79">
        <f>$I$35*$Q$35</f>
        <v>0</v>
      </c>
      <c r="R87" s="79">
        <f>$I$35*$R$35</f>
        <v>0</v>
      </c>
      <c r="S87" s="79">
        <f>$I$35*$S$35</f>
        <v>0</v>
      </c>
      <c r="T87" s="79">
        <f>$I$35*$T$35</f>
        <v>0</v>
      </c>
      <c r="U87" s="79">
        <f>$I$35*$U$35</f>
        <v>0</v>
      </c>
      <c r="V87" s="79">
        <f>$I$35*$V$35</f>
        <v>0</v>
      </c>
      <c r="W87" s="79">
        <f>$I$35*$W$35</f>
        <v>0</v>
      </c>
      <c r="X87" s="79">
        <f>$I$35*$X$35</f>
        <v>0</v>
      </c>
      <c r="Y87" s="79">
        <f>$I$35*$Y$35</f>
        <v>0</v>
      </c>
      <c r="Z87" s="79">
        <f>$I$35*$Z$35</f>
        <v>0</v>
      </c>
      <c r="AA87" s="79">
        <f>$I$35*$AA$35</f>
        <v>0</v>
      </c>
      <c r="AB87" s="79">
        <f ca="1">$I$35*$AB$35</f>
        <v>0</v>
      </c>
      <c r="AC87" s="79">
        <f ca="1">$I$35*$AC$35</f>
        <v>0</v>
      </c>
      <c r="AD87" s="79">
        <f>$I$35*$AD$35</f>
        <v>0</v>
      </c>
      <c r="AE87" s="79">
        <f>$I$35*$AE$35</f>
        <v>0</v>
      </c>
      <c r="AF87" s="79">
        <f ca="1">$I$35*$AF$35</f>
        <v>0</v>
      </c>
      <c r="AG87" s="79">
        <f ca="1">$I$35*$AG$35</f>
        <v>0</v>
      </c>
      <c r="AI87" s="79">
        <f>$I$35*$AI$35</f>
        <v>0</v>
      </c>
      <c r="AJ87" s="79">
        <f>$I$35*$AJ$35</f>
        <v>0</v>
      </c>
      <c r="AK87" s="79">
        <f>$I$35*$AK$35</f>
        <v>0</v>
      </c>
      <c r="AL87" s="79">
        <f>$I$35*$AL$35</f>
        <v>0</v>
      </c>
      <c r="AM87" s="79">
        <f>$I$35*$AM$35</f>
        <v>0</v>
      </c>
      <c r="AN87" s="79">
        <f>$I$35*$AN$35</f>
        <v>0</v>
      </c>
      <c r="AO87" s="79">
        <f>$I$35*$AO$35</f>
        <v>0</v>
      </c>
      <c r="AP87" s="79">
        <f>$I$35*$AP$35</f>
        <v>0</v>
      </c>
      <c r="AQ87" s="79">
        <f>$I$35*$AQ$35</f>
        <v>0</v>
      </c>
      <c r="AR87" s="79">
        <f>$I$35*$AR$35</f>
        <v>0</v>
      </c>
      <c r="AS87" s="79">
        <f>$I$35*$AS$35</f>
        <v>0</v>
      </c>
      <c r="AT87" s="79">
        <f>$I$35*$AT$35</f>
        <v>0</v>
      </c>
      <c r="AU87" s="79">
        <f>$I$35*$AU$35</f>
        <v>0</v>
      </c>
      <c r="AV87" s="79">
        <f>$I$35*$AV$35</f>
        <v>0</v>
      </c>
      <c r="AW87" s="79">
        <f>$I$35*$AW$35</f>
        <v>0</v>
      </c>
      <c r="AX87" s="79">
        <f>$I$35*$AX$35</f>
        <v>0</v>
      </c>
      <c r="AY87" s="79">
        <f>$I$35*$AY$35</f>
        <v>0</v>
      </c>
      <c r="AZ87" s="79">
        <f>$I$35*$AZ$35</f>
        <v>0</v>
      </c>
      <c r="BA87" s="79">
        <f>$I$35*$BA$35</f>
        <v>0</v>
      </c>
      <c r="BB87" s="79">
        <f>$I$35*$BB$35</f>
        <v>0</v>
      </c>
      <c r="BC87" s="79">
        <f>$I$35*$BC$35</f>
        <v>0</v>
      </c>
      <c r="BD87" s="79">
        <f>$I$35*$BD$35</f>
        <v>0</v>
      </c>
    </row>
    <row r="88" spans="1:56" ht="11.25" customHeight="1" x14ac:dyDescent="0.25">
      <c r="A88" s="9" t="s">
        <v>43</v>
      </c>
      <c r="B88" s="9" t="s">
        <v>1037</v>
      </c>
      <c r="C88" s="9" t="s">
        <v>1038</v>
      </c>
      <c r="D88" s="9" t="s">
        <v>1051</v>
      </c>
      <c r="E88" s="9" t="s">
        <v>1052</v>
      </c>
      <c r="F88" s="9" t="s">
        <v>1053</v>
      </c>
      <c r="G88" s="9" t="s">
        <v>1056</v>
      </c>
      <c r="L88" s="79">
        <f>$I$36*$L$36</f>
        <v>0</v>
      </c>
      <c r="M88" s="79">
        <f>$I$36*$M$36</f>
        <v>0</v>
      </c>
      <c r="N88" s="79">
        <f ca="1">$I$36*$N$36</f>
        <v>0</v>
      </c>
      <c r="O88" s="79">
        <f>$I$36*$O$36</f>
        <v>0</v>
      </c>
      <c r="P88" s="79">
        <f>$I$36*$P$36</f>
        <v>0</v>
      </c>
      <c r="Q88" s="79">
        <f>$I$36*$Q$36</f>
        <v>0</v>
      </c>
      <c r="R88" s="79">
        <f>$I$36*$R$36</f>
        <v>0</v>
      </c>
      <c r="S88" s="79">
        <f>$I$36*$S$36</f>
        <v>0</v>
      </c>
      <c r="T88" s="79">
        <f>$I$36*$T$36</f>
        <v>0</v>
      </c>
      <c r="U88" s="79">
        <f>$I$36*$U$36</f>
        <v>0</v>
      </c>
      <c r="V88" s="79">
        <f>$I$36*$V$36</f>
        <v>0</v>
      </c>
      <c r="W88" s="79">
        <f>$I$36*$W$36</f>
        <v>0</v>
      </c>
      <c r="X88" s="79">
        <f>$I$36*$X$36</f>
        <v>0</v>
      </c>
      <c r="Y88" s="79">
        <f>$I$36*$Y$36</f>
        <v>0</v>
      </c>
      <c r="Z88" s="79">
        <f>$I$36*$Z$36</f>
        <v>0</v>
      </c>
      <c r="AA88" s="79">
        <f>$I$36*$AA$36</f>
        <v>0</v>
      </c>
      <c r="AB88" s="79">
        <f ca="1">$I$36*$AB$36</f>
        <v>0</v>
      </c>
      <c r="AC88" s="79">
        <f ca="1">$I$36*$AC$36</f>
        <v>0</v>
      </c>
      <c r="AD88" s="79">
        <f>$I$36*$AD$36</f>
        <v>0</v>
      </c>
      <c r="AE88" s="79">
        <f>$I$36*$AE$36</f>
        <v>0</v>
      </c>
      <c r="AF88" s="79">
        <f ca="1">$I$36*$AF$36</f>
        <v>0</v>
      </c>
      <c r="AG88" s="79">
        <f ca="1">$I$36*$AG$36</f>
        <v>0</v>
      </c>
      <c r="AI88" s="79">
        <f>$I$36*$AI$36</f>
        <v>0</v>
      </c>
      <c r="AJ88" s="79">
        <f>$I$36*$AJ$36</f>
        <v>0</v>
      </c>
      <c r="AK88" s="79">
        <f>$I$36*$AK$36</f>
        <v>0</v>
      </c>
      <c r="AL88" s="79">
        <f>$I$36*$AL$36</f>
        <v>0</v>
      </c>
      <c r="AM88" s="79">
        <f>$I$36*$AM$36</f>
        <v>0</v>
      </c>
      <c r="AN88" s="79">
        <f>$I$36*$AN$36</f>
        <v>0</v>
      </c>
      <c r="AO88" s="79">
        <f>$I$36*$AO$36</f>
        <v>0</v>
      </c>
      <c r="AP88" s="79">
        <f>$I$36*$AP$36</f>
        <v>0</v>
      </c>
      <c r="AQ88" s="79">
        <f>$I$36*$AQ$36</f>
        <v>0</v>
      </c>
      <c r="AR88" s="79">
        <f>$I$36*$AR$36</f>
        <v>0</v>
      </c>
      <c r="AS88" s="79">
        <f>$I$36*$AS$36</f>
        <v>0</v>
      </c>
      <c r="AT88" s="79">
        <f>$I$36*$AT$36</f>
        <v>0</v>
      </c>
      <c r="AU88" s="79">
        <f>$I$36*$AU$36</f>
        <v>0</v>
      </c>
      <c r="AV88" s="79">
        <f>$I$36*$AV$36</f>
        <v>0</v>
      </c>
      <c r="AW88" s="79">
        <f>$I$36*$AW$36</f>
        <v>0</v>
      </c>
      <c r="AX88" s="79">
        <f>$I$36*$AX$36</f>
        <v>0</v>
      </c>
      <c r="AY88" s="79">
        <f>$I$36*$AY$36</f>
        <v>0</v>
      </c>
      <c r="AZ88" s="79">
        <f>$I$36*$AZ$36</f>
        <v>0</v>
      </c>
      <c r="BA88" s="79">
        <f>$I$36*$BA$36</f>
        <v>0</v>
      </c>
      <c r="BB88" s="79">
        <f>$I$36*$BB$36</f>
        <v>0</v>
      </c>
      <c r="BC88" s="79">
        <f>$I$36*$BC$36</f>
        <v>0</v>
      </c>
      <c r="BD88" s="79">
        <f>$I$36*$BD$36</f>
        <v>0</v>
      </c>
    </row>
    <row r="89" spans="1:56" ht="11.25" customHeight="1" x14ac:dyDescent="0.25">
      <c r="A89" s="9" t="s">
        <v>43</v>
      </c>
      <c r="B89" s="9" t="s">
        <v>1045</v>
      </c>
      <c r="C89" s="9" t="s">
        <v>1046</v>
      </c>
      <c r="D89" s="9" t="s">
        <v>1057</v>
      </c>
      <c r="E89" s="9" t="s">
        <v>1058</v>
      </c>
      <c r="F89" s="9" t="s">
        <v>1059</v>
      </c>
      <c r="G89" s="9" t="s">
        <v>1060</v>
      </c>
      <c r="L89" s="79">
        <f>$I$37*$L$37</f>
        <v>0</v>
      </c>
      <c r="M89" s="79">
        <f>$I$37*$M$37</f>
        <v>0</v>
      </c>
      <c r="N89" s="79">
        <f ca="1">$I$37*$N$37</f>
        <v>0</v>
      </c>
      <c r="O89" s="79">
        <f>$I$37*$O$37</f>
        <v>0</v>
      </c>
      <c r="P89" s="79">
        <f>$I$37*$P$37</f>
        <v>0</v>
      </c>
      <c r="Q89" s="79">
        <f>$I$37*$Q$37</f>
        <v>0</v>
      </c>
      <c r="R89" s="79">
        <f>$I$37*$R$37</f>
        <v>0</v>
      </c>
      <c r="S89" s="79">
        <f>$I$37*$S$37</f>
        <v>0</v>
      </c>
      <c r="T89" s="79">
        <f>$I$37*$T$37</f>
        <v>0</v>
      </c>
      <c r="U89" s="79">
        <f>$I$37*$U$37</f>
        <v>0</v>
      </c>
      <c r="V89" s="79">
        <f>$I$37*$V$37</f>
        <v>0</v>
      </c>
      <c r="W89" s="79">
        <f>$I$37*$W$37</f>
        <v>0</v>
      </c>
      <c r="X89" s="79">
        <f>$I$37*$X$37</f>
        <v>0</v>
      </c>
      <c r="Y89" s="79">
        <f>$I$37*$Y$37</f>
        <v>0</v>
      </c>
      <c r="Z89" s="79">
        <f>$I$37*$Z$37</f>
        <v>0</v>
      </c>
      <c r="AA89" s="79">
        <f>$I$37*$AA$37</f>
        <v>0</v>
      </c>
      <c r="AB89" s="79">
        <f ca="1">$I$37*$AB$37</f>
        <v>0</v>
      </c>
      <c r="AC89" s="79">
        <f ca="1">$I$37*$AC$37</f>
        <v>0</v>
      </c>
      <c r="AD89" s="79">
        <f>$I$37*$AD$37</f>
        <v>0</v>
      </c>
      <c r="AE89" s="79">
        <f>$I$37*$AE$37</f>
        <v>0</v>
      </c>
      <c r="AF89" s="79">
        <f ca="1">$I$37*$AF$37</f>
        <v>0</v>
      </c>
      <c r="AG89" s="79">
        <f ca="1">$I$37*$AG$37</f>
        <v>0</v>
      </c>
      <c r="AI89" s="79">
        <f>$I$37*$AI$37</f>
        <v>0</v>
      </c>
      <c r="AJ89" s="79">
        <f>$I$37*$AJ$37</f>
        <v>0</v>
      </c>
      <c r="AK89" s="79">
        <f>$I$37*$AK$37</f>
        <v>0</v>
      </c>
      <c r="AL89" s="79">
        <f>$I$37*$AL$37</f>
        <v>0</v>
      </c>
      <c r="AM89" s="79">
        <f>$I$37*$AM$37</f>
        <v>0</v>
      </c>
      <c r="AN89" s="79">
        <f>$I$37*$AN$37</f>
        <v>0</v>
      </c>
      <c r="AO89" s="79">
        <f>$I$37*$AO$37</f>
        <v>0</v>
      </c>
      <c r="AP89" s="79">
        <f>$I$37*$AP$37</f>
        <v>0</v>
      </c>
      <c r="AQ89" s="79">
        <f>$I$37*$AQ$37</f>
        <v>0</v>
      </c>
      <c r="AR89" s="79">
        <f>$I$37*$AR$37</f>
        <v>0</v>
      </c>
      <c r="AS89" s="79">
        <f>$I$37*$AS$37</f>
        <v>0</v>
      </c>
      <c r="AT89" s="79">
        <f>$I$37*$AT$37</f>
        <v>0</v>
      </c>
      <c r="AU89" s="79">
        <f>$I$37*$AU$37</f>
        <v>0</v>
      </c>
      <c r="AV89" s="79">
        <f>$I$37*$AV$37</f>
        <v>0</v>
      </c>
      <c r="AW89" s="79">
        <f>$I$37*$AW$37</f>
        <v>0</v>
      </c>
      <c r="AX89" s="79">
        <f>$I$37*$AX$37</f>
        <v>0</v>
      </c>
      <c r="AY89" s="79">
        <f>$I$37*$AY$37</f>
        <v>0</v>
      </c>
      <c r="AZ89" s="79">
        <f>$I$37*$AZ$37</f>
        <v>0</v>
      </c>
      <c r="BA89" s="79">
        <f>$I$37*$BA$37</f>
        <v>0</v>
      </c>
      <c r="BB89" s="79">
        <f>$I$37*$BB$37</f>
        <v>0</v>
      </c>
      <c r="BC89" s="79">
        <f>$I$37*$BC$37</f>
        <v>0</v>
      </c>
      <c r="BD89" s="79">
        <f>$I$37*$BD$37</f>
        <v>0</v>
      </c>
    </row>
    <row r="90" spans="1:56" ht="11.25" customHeight="1" x14ac:dyDescent="0.25">
      <c r="A90" s="9" t="s">
        <v>43</v>
      </c>
      <c r="B90" s="9" t="s">
        <v>1037</v>
      </c>
      <c r="C90" s="9" t="s">
        <v>1038</v>
      </c>
      <c r="D90" s="9" t="s">
        <v>1061</v>
      </c>
      <c r="E90" s="9" t="s">
        <v>1062</v>
      </c>
      <c r="F90" s="9" t="s">
        <v>1063</v>
      </c>
      <c r="G90" s="9" t="s">
        <v>1064</v>
      </c>
      <c r="L90" s="79">
        <f>$I$38*$L$38</f>
        <v>0</v>
      </c>
      <c r="M90" s="79">
        <f>$I$38*$M$38</f>
        <v>0</v>
      </c>
      <c r="N90" s="79">
        <f ca="1">$I$38*$N$38</f>
        <v>0</v>
      </c>
      <c r="O90" s="79">
        <f>$I$38*$O$38</f>
        <v>0</v>
      </c>
      <c r="P90" s="79">
        <f>$I$38*$P$38</f>
        <v>0</v>
      </c>
      <c r="Q90" s="79">
        <f>$I$38*$Q$38</f>
        <v>0</v>
      </c>
      <c r="R90" s="79">
        <f>$I$38*$R$38</f>
        <v>0</v>
      </c>
      <c r="S90" s="79">
        <f>$I$38*$S$38</f>
        <v>0</v>
      </c>
      <c r="T90" s="79">
        <f>$I$38*$T$38</f>
        <v>0</v>
      </c>
      <c r="U90" s="79">
        <f>$I$38*$U$38</f>
        <v>0</v>
      </c>
      <c r="V90" s="79">
        <f>$I$38*$V$38</f>
        <v>0</v>
      </c>
      <c r="W90" s="79">
        <f>$I$38*$W$38</f>
        <v>0</v>
      </c>
      <c r="X90" s="79">
        <f>$I$38*$X$38</f>
        <v>0</v>
      </c>
      <c r="Y90" s="79">
        <f>$I$38*$Y$38</f>
        <v>0</v>
      </c>
      <c r="Z90" s="79">
        <f>$I$38*$Z$38</f>
        <v>0</v>
      </c>
      <c r="AA90" s="79">
        <f>$I$38*$AA$38</f>
        <v>0</v>
      </c>
      <c r="AB90" s="79">
        <f ca="1">$I$38*$AB$38</f>
        <v>0</v>
      </c>
      <c r="AC90" s="79">
        <f ca="1">$I$38*$AC$38</f>
        <v>0</v>
      </c>
      <c r="AD90" s="79">
        <f>$I$38*$AD$38</f>
        <v>0</v>
      </c>
      <c r="AE90" s="79">
        <f>$I$38*$AE$38</f>
        <v>0</v>
      </c>
      <c r="AF90" s="79">
        <f ca="1">$I$38*$AF$38</f>
        <v>0</v>
      </c>
      <c r="AG90" s="79">
        <f ca="1">$I$38*$AG$38</f>
        <v>0</v>
      </c>
      <c r="AI90" s="79">
        <f>$I$38*$AI$38</f>
        <v>0</v>
      </c>
      <c r="AJ90" s="79">
        <f>$I$38*$AJ$38</f>
        <v>0</v>
      </c>
      <c r="AK90" s="79">
        <f>$I$38*$AK$38</f>
        <v>0</v>
      </c>
      <c r="AL90" s="79">
        <f>$I$38*$AL$38</f>
        <v>0</v>
      </c>
      <c r="AM90" s="79">
        <f>$I$38*$AM$38</f>
        <v>0</v>
      </c>
      <c r="AN90" s="79">
        <f>$I$38*$AN$38</f>
        <v>0</v>
      </c>
      <c r="AO90" s="79">
        <f>$I$38*$AO$38</f>
        <v>0</v>
      </c>
      <c r="AP90" s="79">
        <f>$I$38*$AP$38</f>
        <v>0</v>
      </c>
      <c r="AQ90" s="79">
        <f>$I$38*$AQ$38</f>
        <v>0</v>
      </c>
      <c r="AR90" s="79">
        <f>$I$38*$AR$38</f>
        <v>0</v>
      </c>
      <c r="AS90" s="79">
        <f>$I$38*$AS$38</f>
        <v>0</v>
      </c>
      <c r="AT90" s="79">
        <f>$I$38*$AT$38</f>
        <v>0</v>
      </c>
      <c r="AU90" s="79">
        <f>$I$38*$AU$38</f>
        <v>0</v>
      </c>
      <c r="AV90" s="79">
        <f>$I$38*$AV$38</f>
        <v>0</v>
      </c>
      <c r="AW90" s="79">
        <f>$I$38*$AW$38</f>
        <v>0</v>
      </c>
      <c r="AX90" s="79">
        <f>$I$38*$AX$38</f>
        <v>0</v>
      </c>
      <c r="AY90" s="79">
        <f>$I$38*$AY$38</f>
        <v>0</v>
      </c>
      <c r="AZ90" s="79">
        <f>$I$38*$AZ$38</f>
        <v>0</v>
      </c>
      <c r="BA90" s="79">
        <f>$I$38*$BA$38</f>
        <v>0</v>
      </c>
      <c r="BB90" s="79">
        <f>$I$38*$BB$38</f>
        <v>0</v>
      </c>
      <c r="BC90" s="79">
        <f>$I$38*$BC$38</f>
        <v>0</v>
      </c>
      <c r="BD90" s="79">
        <f>$I$38*$BD$38</f>
        <v>0</v>
      </c>
    </row>
    <row r="91" spans="1:56" ht="11.25" customHeight="1" x14ac:dyDescent="0.25">
      <c r="A91" s="9" t="s">
        <v>43</v>
      </c>
      <c r="B91" s="9" t="s">
        <v>1037</v>
      </c>
      <c r="C91" s="9" t="s">
        <v>1038</v>
      </c>
      <c r="D91" s="9" t="s">
        <v>1061</v>
      </c>
      <c r="E91" s="9" t="s">
        <v>1062</v>
      </c>
      <c r="F91" s="9" t="s">
        <v>1063</v>
      </c>
      <c r="G91" s="9" t="s">
        <v>1065</v>
      </c>
      <c r="L91" s="79">
        <f>$I$39*$L$39</f>
        <v>0</v>
      </c>
      <c r="M91" s="79">
        <f>$I$39*$M$39</f>
        <v>0</v>
      </c>
      <c r="N91" s="79">
        <f ca="1">$I$39*$N$39</f>
        <v>0</v>
      </c>
      <c r="O91" s="79">
        <f>$I$39*$O$39</f>
        <v>0</v>
      </c>
      <c r="P91" s="79">
        <f>$I$39*$P$39</f>
        <v>0</v>
      </c>
      <c r="Q91" s="79">
        <f>$I$39*$Q$39</f>
        <v>0</v>
      </c>
      <c r="R91" s="79">
        <f>$I$39*$R$39</f>
        <v>0</v>
      </c>
      <c r="S91" s="79">
        <f>$I$39*$S$39</f>
        <v>0</v>
      </c>
      <c r="T91" s="79">
        <f>$I$39*$T$39</f>
        <v>0</v>
      </c>
      <c r="U91" s="79">
        <f>$I$39*$U$39</f>
        <v>0</v>
      </c>
      <c r="V91" s="79">
        <f>$I$39*$V$39</f>
        <v>0</v>
      </c>
      <c r="W91" s="79">
        <f>$I$39*$W$39</f>
        <v>0</v>
      </c>
      <c r="X91" s="79">
        <f>$I$39*$X$39</f>
        <v>0</v>
      </c>
      <c r="Y91" s="79">
        <f>$I$39*$Y$39</f>
        <v>0</v>
      </c>
      <c r="Z91" s="79">
        <f>$I$39*$Z$39</f>
        <v>0</v>
      </c>
      <c r="AA91" s="79">
        <f>$I$39*$AA$39</f>
        <v>0</v>
      </c>
      <c r="AB91" s="79">
        <f ca="1">$I$39*$AB$39</f>
        <v>0</v>
      </c>
      <c r="AC91" s="79">
        <f ca="1">$I$39*$AC$39</f>
        <v>0</v>
      </c>
      <c r="AD91" s="79">
        <f>$I$39*$AD$39</f>
        <v>0</v>
      </c>
      <c r="AE91" s="79">
        <f>$I$39*$AE$39</f>
        <v>0</v>
      </c>
      <c r="AF91" s="79">
        <f ca="1">$I$39*$AF$39</f>
        <v>0</v>
      </c>
      <c r="AG91" s="79">
        <f ca="1">$I$39*$AG$39</f>
        <v>0</v>
      </c>
      <c r="AI91" s="79">
        <f>$I$39*$AI$39</f>
        <v>0</v>
      </c>
      <c r="AJ91" s="79">
        <f>$I$39*$AJ$39</f>
        <v>0</v>
      </c>
      <c r="AK91" s="79">
        <f>$I$39*$AK$39</f>
        <v>0</v>
      </c>
      <c r="AL91" s="79">
        <f>$I$39*$AL$39</f>
        <v>0</v>
      </c>
      <c r="AM91" s="79">
        <f>$I$39*$AM$39</f>
        <v>0</v>
      </c>
      <c r="AN91" s="79">
        <f>$I$39*$AN$39</f>
        <v>0</v>
      </c>
      <c r="AO91" s="79">
        <f>$I$39*$AO$39</f>
        <v>0</v>
      </c>
      <c r="AP91" s="79">
        <f>$I$39*$AP$39</f>
        <v>0</v>
      </c>
      <c r="AQ91" s="79">
        <f>$I$39*$AQ$39</f>
        <v>0</v>
      </c>
      <c r="AR91" s="79">
        <f>$I$39*$AR$39</f>
        <v>0</v>
      </c>
      <c r="AS91" s="79">
        <f>$I$39*$AS$39</f>
        <v>0</v>
      </c>
      <c r="AT91" s="79">
        <f>$I$39*$AT$39</f>
        <v>0</v>
      </c>
      <c r="AU91" s="79">
        <f>$I$39*$AU$39</f>
        <v>0</v>
      </c>
      <c r="AV91" s="79">
        <f>$I$39*$AV$39</f>
        <v>0</v>
      </c>
      <c r="AW91" s="79">
        <f>$I$39*$AW$39</f>
        <v>0</v>
      </c>
      <c r="AX91" s="79">
        <f>$I$39*$AX$39</f>
        <v>0</v>
      </c>
      <c r="AY91" s="79">
        <f>$I$39*$AY$39</f>
        <v>0</v>
      </c>
      <c r="AZ91" s="79">
        <f>$I$39*$AZ$39</f>
        <v>0</v>
      </c>
      <c r="BA91" s="79">
        <f>$I$39*$BA$39</f>
        <v>0</v>
      </c>
      <c r="BB91" s="79">
        <f>$I$39*$BB$39</f>
        <v>0</v>
      </c>
      <c r="BC91" s="79">
        <f>$I$39*$BC$39</f>
        <v>0</v>
      </c>
      <c r="BD91" s="79">
        <f>$I$39*$BD$39</f>
        <v>0</v>
      </c>
    </row>
    <row r="92" spans="1:56" ht="11.25" customHeight="1" x14ac:dyDescent="0.25">
      <c r="A92" s="9" t="s">
        <v>43</v>
      </c>
      <c r="B92" s="9" t="s">
        <v>1037</v>
      </c>
      <c r="C92" s="9" t="s">
        <v>1038</v>
      </c>
      <c r="D92" s="9" t="s">
        <v>1061</v>
      </c>
      <c r="E92" s="9" t="s">
        <v>1062</v>
      </c>
      <c r="F92" s="9" t="s">
        <v>1063</v>
      </c>
      <c r="G92" s="9" t="s">
        <v>1066</v>
      </c>
      <c r="L92" s="79">
        <f>$I$40*$L$40</f>
        <v>0</v>
      </c>
      <c r="M92" s="79">
        <f>$I$40*$M$40</f>
        <v>0</v>
      </c>
      <c r="N92" s="79">
        <f ca="1">$I$40*$N$40</f>
        <v>0</v>
      </c>
      <c r="O92" s="79">
        <f>$I$40*$O$40</f>
        <v>0</v>
      </c>
      <c r="P92" s="79">
        <f>$I$40*$P$40</f>
        <v>0</v>
      </c>
      <c r="Q92" s="79">
        <f>$I$40*$Q$40</f>
        <v>0</v>
      </c>
      <c r="R92" s="79">
        <f>$I$40*$R$40</f>
        <v>0</v>
      </c>
      <c r="S92" s="79">
        <f>$I$40*$S$40</f>
        <v>0</v>
      </c>
      <c r="T92" s="79">
        <f>$I$40*$T$40</f>
        <v>0</v>
      </c>
      <c r="U92" s="79">
        <f>$I$40*$U$40</f>
        <v>0</v>
      </c>
      <c r="V92" s="79">
        <f>$I$40*$V$40</f>
        <v>0</v>
      </c>
      <c r="W92" s="79">
        <f>$I$40*$W$40</f>
        <v>0</v>
      </c>
      <c r="X92" s="79">
        <f>$I$40*$X$40</f>
        <v>0</v>
      </c>
      <c r="Y92" s="79">
        <f>$I$40*$Y$40</f>
        <v>0</v>
      </c>
      <c r="Z92" s="79">
        <f>$I$40*$Z$40</f>
        <v>0</v>
      </c>
      <c r="AA92" s="79">
        <f>$I$40*$AA$40</f>
        <v>0</v>
      </c>
      <c r="AB92" s="79">
        <f ca="1">$I$40*$AB$40</f>
        <v>0</v>
      </c>
      <c r="AC92" s="79">
        <f ca="1">$I$40*$AC$40</f>
        <v>0</v>
      </c>
      <c r="AD92" s="79">
        <f>$I$40*$AD$40</f>
        <v>0</v>
      </c>
      <c r="AE92" s="79">
        <f>$I$40*$AE$40</f>
        <v>0</v>
      </c>
      <c r="AF92" s="79">
        <f ca="1">$I$40*$AF$40</f>
        <v>0</v>
      </c>
      <c r="AG92" s="79">
        <f ca="1">$I$40*$AG$40</f>
        <v>0</v>
      </c>
      <c r="AI92" s="79">
        <f>$I$40*$AI$40</f>
        <v>0</v>
      </c>
      <c r="AJ92" s="79">
        <f>$I$40*$AJ$40</f>
        <v>0</v>
      </c>
      <c r="AK92" s="79">
        <f>$I$40*$AK$40</f>
        <v>0</v>
      </c>
      <c r="AL92" s="79">
        <f>$I$40*$AL$40</f>
        <v>0</v>
      </c>
      <c r="AM92" s="79">
        <f>$I$40*$AM$40</f>
        <v>0</v>
      </c>
      <c r="AN92" s="79">
        <f>$I$40*$AN$40</f>
        <v>0</v>
      </c>
      <c r="AO92" s="79">
        <f>$I$40*$AO$40</f>
        <v>0</v>
      </c>
      <c r="AP92" s="79">
        <f>$I$40*$AP$40</f>
        <v>0</v>
      </c>
      <c r="AQ92" s="79">
        <f>$I$40*$AQ$40</f>
        <v>0</v>
      </c>
      <c r="AR92" s="79">
        <f>$I$40*$AR$40</f>
        <v>0</v>
      </c>
      <c r="AS92" s="79">
        <f>$I$40*$AS$40</f>
        <v>0</v>
      </c>
      <c r="AT92" s="79">
        <f>$I$40*$AT$40</f>
        <v>0</v>
      </c>
      <c r="AU92" s="79">
        <f>$I$40*$AU$40</f>
        <v>0</v>
      </c>
      <c r="AV92" s="79">
        <f>$I$40*$AV$40</f>
        <v>0</v>
      </c>
      <c r="AW92" s="79">
        <f>$I$40*$AW$40</f>
        <v>0</v>
      </c>
      <c r="AX92" s="79">
        <f>$I$40*$AX$40</f>
        <v>0</v>
      </c>
      <c r="AY92" s="79">
        <f>$I$40*$AY$40</f>
        <v>0</v>
      </c>
      <c r="AZ92" s="79">
        <f>$I$40*$AZ$40</f>
        <v>0</v>
      </c>
      <c r="BA92" s="79">
        <f>$I$40*$BA$40</f>
        <v>0</v>
      </c>
      <c r="BB92" s="79">
        <f>$I$40*$BB$40</f>
        <v>0</v>
      </c>
      <c r="BC92" s="79">
        <f>$I$40*$BC$40</f>
        <v>0</v>
      </c>
      <c r="BD92" s="79">
        <f>$I$40*$BD$40</f>
        <v>0</v>
      </c>
    </row>
    <row r="93" spans="1:56" ht="11.25" customHeight="1" x14ac:dyDescent="0.25">
      <c r="A93" s="9" t="s">
        <v>43</v>
      </c>
      <c r="B93" s="9" t="s">
        <v>1045</v>
      </c>
      <c r="C93" s="9" t="s">
        <v>1046</v>
      </c>
      <c r="D93" s="9" t="s">
        <v>1067</v>
      </c>
      <c r="E93" s="9" t="s">
        <v>1068</v>
      </c>
      <c r="F93" s="9" t="s">
        <v>1069</v>
      </c>
      <c r="G93" s="9" t="s">
        <v>1070</v>
      </c>
      <c r="L93" s="79">
        <f>$I$41*$L$41</f>
        <v>197.40261330654778</v>
      </c>
      <c r="M93" s="79">
        <f>$I$41*$M$41</f>
        <v>20.39728469484017</v>
      </c>
      <c r="N93" s="79">
        <f ca="1">$I$41*$N$41</f>
        <v>88.425246938831179</v>
      </c>
      <c r="O93" s="79">
        <f>$I$41*$O$41</f>
        <v>0</v>
      </c>
      <c r="P93" s="79">
        <f>$I$41*$P$41</f>
        <v>0</v>
      </c>
      <c r="Q93" s="79">
        <f>$I$41*$Q$41</f>
        <v>3358.5814853470829</v>
      </c>
      <c r="R93" s="79">
        <f>$I$41*$R$41</f>
        <v>555.52599946976295</v>
      </c>
      <c r="S93" s="79">
        <f>$I$41*$S$41</f>
        <v>0</v>
      </c>
      <c r="T93" s="79">
        <f>$I$41*$T$41</f>
        <v>775.53054305553235</v>
      </c>
      <c r="U93" s="79">
        <f>$I$41*$U$41</f>
        <v>102.20985855213515</v>
      </c>
      <c r="V93" s="79">
        <f>$I$41*$V$41</f>
        <v>31.136351829031046</v>
      </c>
      <c r="W93" s="79">
        <f>$I$41*$W$41</f>
        <v>0</v>
      </c>
      <c r="X93" s="79">
        <f>$I$41*$X$41</f>
        <v>1142.6966750086963</v>
      </c>
      <c r="Y93" s="79">
        <f>$I$41*$Y$41</f>
        <v>0</v>
      </c>
      <c r="Z93" s="79">
        <f>$I$41*$Z$41</f>
        <v>0</v>
      </c>
      <c r="AA93" s="79">
        <f>$I$41*$AA$41</f>
        <v>5010.123005508307</v>
      </c>
      <c r="AB93" s="79">
        <f ca="1">$I$41*$AB$41</f>
        <v>-330.82516671939669</v>
      </c>
      <c r="AC93" s="79">
        <f ca="1">$I$41*$AC$41</f>
        <v>0</v>
      </c>
      <c r="AD93" s="79">
        <f>$I$41*$AD$41</f>
        <v>861.18802923176179</v>
      </c>
      <c r="AE93" s="79">
        <f>$I$41*$AE$41</f>
        <v>30.374879381135862</v>
      </c>
      <c r="AF93" s="79">
        <f ca="1">$I$41*$AF$41</f>
        <v>115.55499200032568</v>
      </c>
      <c r="AG93" s="79">
        <f ca="1">$I$41*$AG$41</f>
        <v>13.842678655083093</v>
      </c>
      <c r="AI93" s="79">
        <f>$I$41*$AI$41</f>
        <v>159.60993461034815</v>
      </c>
      <c r="AJ93" s="79">
        <f>$I$41*$AJ$41</f>
        <v>15.420838292848547</v>
      </c>
      <c r="AK93" s="79">
        <f>$I$41*$AK$41</f>
        <v>74.280420496092361</v>
      </c>
      <c r="AL93" s="79">
        <f>$I$41*$AL$41</f>
        <v>0</v>
      </c>
      <c r="AM93" s="79">
        <f>$I$41*$AM$41</f>
        <v>0</v>
      </c>
      <c r="AN93" s="79">
        <f>$I$41*$AN$41</f>
        <v>1235.8187117899354</v>
      </c>
      <c r="AO93" s="79">
        <f>$I$41*$AO$41</f>
        <v>216.53844660726796</v>
      </c>
      <c r="AP93" s="79">
        <f>$I$41*$AP$41</f>
        <v>0</v>
      </c>
      <c r="AQ93" s="79">
        <f>$I$41*$AQ$41</f>
        <v>538.72982767795986</v>
      </c>
      <c r="AR93" s="79">
        <f>$I$41*$AR$41</f>
        <v>82.350546874041584</v>
      </c>
      <c r="AS93" s="79">
        <f>$I$41*$AS$41</f>
        <v>21.456447042605038</v>
      </c>
      <c r="AT93" s="79">
        <f>$I$41*$AT$41</f>
        <v>0</v>
      </c>
      <c r="AU93" s="79">
        <f>$I$41*$AU$41</f>
        <v>859.05689412514403</v>
      </c>
      <c r="AV93" s="79">
        <f>$I$41*$AV$41</f>
        <v>0</v>
      </c>
      <c r="AW93" s="79">
        <f>$I$41*$AW$41</f>
        <v>0</v>
      </c>
      <c r="AX93" s="79">
        <f>$I$41*$AX$41</f>
        <v>4187.9425929643085</v>
      </c>
      <c r="AY93" s="79">
        <f>$I$41*$AY$41</f>
        <v>0</v>
      </c>
      <c r="AZ93" s="79">
        <f>$I$41*$AZ$41</f>
        <v>0</v>
      </c>
      <c r="BA93" s="79">
        <f>$I$41*$BA$41</f>
        <v>581.28959111750044</v>
      </c>
      <c r="BB93" s="79">
        <f>$I$41*$BB$41</f>
        <v>20.096004511094666</v>
      </c>
      <c r="BC93" s="79">
        <f>$I$41*$BC$41</f>
        <v>165.69587221456985</v>
      </c>
      <c r="BD93" s="79">
        <f>$I$41*$BD$41</f>
        <v>9.2821012607471562</v>
      </c>
    </row>
    <row r="94" spans="1:56" ht="11.25" customHeight="1" x14ac:dyDescent="0.25">
      <c r="A94" s="9" t="s">
        <v>43</v>
      </c>
      <c r="B94" s="9" t="s">
        <v>1071</v>
      </c>
      <c r="C94" s="9" t="s">
        <v>1072</v>
      </c>
      <c r="D94" s="9" t="s">
        <v>1073</v>
      </c>
      <c r="E94" s="9" t="s">
        <v>1074</v>
      </c>
      <c r="F94" s="9" t="s">
        <v>1075</v>
      </c>
      <c r="G94" s="9" t="s">
        <v>1076</v>
      </c>
      <c r="L94" s="79">
        <f>$I$42*$L$42</f>
        <v>0</v>
      </c>
      <c r="M94" s="79">
        <f>$I$42*$M$42</f>
        <v>0</v>
      </c>
      <c r="N94" s="79">
        <f ca="1">$I$42*$N$42</f>
        <v>0</v>
      </c>
      <c r="O94" s="79">
        <f>$I$42*$O$42</f>
        <v>0</v>
      </c>
      <c r="P94" s="79">
        <f>$I$42*$P$42</f>
        <v>0</v>
      </c>
      <c r="Q94" s="79">
        <f>$I$42*$Q$42</f>
        <v>0</v>
      </c>
      <c r="R94" s="79">
        <f>$I$42*$R$42</f>
        <v>0</v>
      </c>
      <c r="S94" s="79">
        <f>$I$42*$S$42</f>
        <v>0</v>
      </c>
      <c r="T94" s="79">
        <f>$I$42*$T$42</f>
        <v>0</v>
      </c>
      <c r="U94" s="79">
        <f>$I$42*$U$42</f>
        <v>0</v>
      </c>
      <c r="V94" s="79">
        <f>$I$42*$V$42</f>
        <v>0</v>
      </c>
      <c r="W94" s="79">
        <f>$I$42*$W$42</f>
        <v>0</v>
      </c>
      <c r="X94" s="79">
        <f>$I$42*$X$42</f>
        <v>0</v>
      </c>
      <c r="Y94" s="79">
        <f>$I$42*$Y$42</f>
        <v>0</v>
      </c>
      <c r="Z94" s="79">
        <f>$I$42*$Z$42</f>
        <v>0</v>
      </c>
      <c r="AA94" s="79">
        <f>$I$42*$AA$42</f>
        <v>0</v>
      </c>
      <c r="AB94" s="79">
        <f ca="1">$I$42*$AB$42</f>
        <v>0</v>
      </c>
      <c r="AC94" s="79">
        <f ca="1">$I$42*$AC$42</f>
        <v>0</v>
      </c>
      <c r="AD94" s="79">
        <f>$I$42*$AD$42</f>
        <v>0</v>
      </c>
      <c r="AE94" s="79">
        <f>$I$42*$AE$42</f>
        <v>0</v>
      </c>
      <c r="AF94" s="79">
        <f ca="1">$I$42*$AF$42</f>
        <v>0</v>
      </c>
      <c r="AG94" s="79">
        <f ca="1">$I$42*$AG$42</f>
        <v>0</v>
      </c>
      <c r="AI94" s="79">
        <f>$I$42*$AI$42</f>
        <v>0</v>
      </c>
      <c r="AJ94" s="79">
        <f>$I$42*$AJ$42</f>
        <v>0</v>
      </c>
      <c r="AK94" s="79">
        <f>$I$42*$AK$42</f>
        <v>0</v>
      </c>
      <c r="AL94" s="79">
        <f>$I$42*$AL$42</f>
        <v>0</v>
      </c>
      <c r="AM94" s="79">
        <f>$I$42*$AM$42</f>
        <v>0</v>
      </c>
      <c r="AN94" s="79">
        <f>$I$42*$AN$42</f>
        <v>0</v>
      </c>
      <c r="AO94" s="79">
        <f>$I$42*$AO$42</f>
        <v>0</v>
      </c>
      <c r="AP94" s="79">
        <f>$I$42*$AP$42</f>
        <v>0</v>
      </c>
      <c r="AQ94" s="79">
        <f>$I$42*$AQ$42</f>
        <v>0</v>
      </c>
      <c r="AR94" s="79">
        <f>$I$42*$AR$42</f>
        <v>0</v>
      </c>
      <c r="AS94" s="79">
        <f>$I$42*$AS$42</f>
        <v>0</v>
      </c>
      <c r="AT94" s="79">
        <f>$I$42*$AT$42</f>
        <v>0</v>
      </c>
      <c r="AU94" s="79">
        <f>$I$42*$AU$42</f>
        <v>0</v>
      </c>
      <c r="AV94" s="79">
        <f>$I$42*$AV$42</f>
        <v>0</v>
      </c>
      <c r="AW94" s="79">
        <f>$I$42*$AW$42</f>
        <v>0</v>
      </c>
      <c r="AX94" s="79">
        <f>$I$42*$AX$42</f>
        <v>0</v>
      </c>
      <c r="AY94" s="79">
        <f>$I$42*$AY$42</f>
        <v>0</v>
      </c>
      <c r="AZ94" s="79">
        <f>$I$42*$AZ$42</f>
        <v>0</v>
      </c>
      <c r="BA94" s="79">
        <f>$I$42*$BA$42</f>
        <v>0</v>
      </c>
      <c r="BB94" s="79">
        <f>$I$42*$BB$42</f>
        <v>0</v>
      </c>
      <c r="BC94" s="79">
        <f>$I$42*$BC$42</f>
        <v>0</v>
      </c>
      <c r="BD94" s="79">
        <f>$I$42*$BD$42</f>
        <v>0</v>
      </c>
    </row>
    <row r="95" spans="1:56" ht="11.25" customHeight="1" x14ac:dyDescent="0.25">
      <c r="A95" s="9" t="s">
        <v>43</v>
      </c>
      <c r="B95" s="9" t="s">
        <v>1071</v>
      </c>
      <c r="C95" s="9" t="s">
        <v>1072</v>
      </c>
      <c r="D95" s="9" t="s">
        <v>1077</v>
      </c>
      <c r="E95" s="9" t="s">
        <v>1078</v>
      </c>
      <c r="F95" s="9" t="s">
        <v>1079</v>
      </c>
      <c r="G95" s="9" t="s">
        <v>1080</v>
      </c>
      <c r="L95" s="79">
        <f>$I$43*$L$43</f>
        <v>0</v>
      </c>
      <c r="M95" s="79">
        <f>$I$43*$M$43</f>
        <v>0</v>
      </c>
      <c r="N95" s="79">
        <f ca="1">$I$43*$N$43</f>
        <v>0</v>
      </c>
      <c r="O95" s="79">
        <f>$I$43*$O$43</f>
        <v>0</v>
      </c>
      <c r="P95" s="79">
        <f>$I$43*$P$43</f>
        <v>0</v>
      </c>
      <c r="Q95" s="79">
        <f>$I$43*$Q$43</f>
        <v>0</v>
      </c>
      <c r="R95" s="79">
        <f>$I$43*$R$43</f>
        <v>0</v>
      </c>
      <c r="S95" s="79">
        <f>$I$43*$S$43</f>
        <v>0</v>
      </c>
      <c r="T95" s="79">
        <f>$I$43*$T$43</f>
        <v>0</v>
      </c>
      <c r="U95" s="79">
        <f>$I$43*$U$43</f>
        <v>0</v>
      </c>
      <c r="V95" s="79">
        <f>$I$43*$V$43</f>
        <v>0</v>
      </c>
      <c r="W95" s="79">
        <f>$I$43*$W$43</f>
        <v>0</v>
      </c>
      <c r="X95" s="79">
        <f>$I$43*$X$43</f>
        <v>0</v>
      </c>
      <c r="Y95" s="79">
        <f>$I$43*$Y$43</f>
        <v>0</v>
      </c>
      <c r="Z95" s="79">
        <f>$I$43*$Z$43</f>
        <v>0</v>
      </c>
      <c r="AA95" s="79">
        <f>$I$43*$AA$43</f>
        <v>0</v>
      </c>
      <c r="AB95" s="79">
        <f ca="1">$I$43*$AB$43</f>
        <v>0</v>
      </c>
      <c r="AC95" s="79">
        <f ca="1">$I$43*$AC$43</f>
        <v>0</v>
      </c>
      <c r="AD95" s="79">
        <f>$I$43*$AD$43</f>
        <v>0</v>
      </c>
      <c r="AE95" s="79">
        <f>$I$43*$AE$43</f>
        <v>0</v>
      </c>
      <c r="AF95" s="79">
        <f ca="1">$I$43*$AF$43</f>
        <v>0</v>
      </c>
      <c r="AG95" s="79">
        <f ca="1">$I$43*$AG$43</f>
        <v>0</v>
      </c>
      <c r="AI95" s="79">
        <f>$I$43*$AI$43</f>
        <v>0</v>
      </c>
      <c r="AJ95" s="79">
        <f>$I$43*$AJ$43</f>
        <v>0</v>
      </c>
      <c r="AK95" s="79">
        <f>$I$43*$AK$43</f>
        <v>0</v>
      </c>
      <c r="AL95" s="79">
        <f>$I$43*$AL$43</f>
        <v>0</v>
      </c>
      <c r="AM95" s="79">
        <f>$I$43*$AM$43</f>
        <v>0</v>
      </c>
      <c r="AN95" s="79">
        <f>$I$43*$AN$43</f>
        <v>0</v>
      </c>
      <c r="AO95" s="79">
        <f>$I$43*$AO$43</f>
        <v>0</v>
      </c>
      <c r="AP95" s="79">
        <f>$I$43*$AP$43</f>
        <v>0</v>
      </c>
      <c r="AQ95" s="79">
        <f>$I$43*$AQ$43</f>
        <v>0</v>
      </c>
      <c r="AR95" s="79">
        <f>$I$43*$AR$43</f>
        <v>0</v>
      </c>
      <c r="AS95" s="79">
        <f>$I$43*$AS$43</f>
        <v>0</v>
      </c>
      <c r="AT95" s="79">
        <f>$I$43*$AT$43</f>
        <v>0</v>
      </c>
      <c r="AU95" s="79">
        <f>$I$43*$AU$43</f>
        <v>0</v>
      </c>
      <c r="AV95" s="79">
        <f>$I$43*$AV$43</f>
        <v>0</v>
      </c>
      <c r="AW95" s="79">
        <f>$I$43*$AW$43</f>
        <v>0</v>
      </c>
      <c r="AX95" s="79">
        <f>$I$43*$AX$43</f>
        <v>0</v>
      </c>
      <c r="AY95" s="79">
        <f>$I$43*$AY$43</f>
        <v>0</v>
      </c>
      <c r="AZ95" s="79">
        <f>$I$43*$AZ$43</f>
        <v>0</v>
      </c>
      <c r="BA95" s="79">
        <f>$I$43*$BA$43</f>
        <v>0</v>
      </c>
      <c r="BB95" s="79">
        <f>$I$43*$BB$43</f>
        <v>0</v>
      </c>
      <c r="BC95" s="79">
        <f>$I$43*$BC$43</f>
        <v>0</v>
      </c>
      <c r="BD95" s="79">
        <f>$I$43*$BD$43</f>
        <v>0</v>
      </c>
    </row>
    <row r="96" spans="1:56" ht="11.25" customHeight="1" x14ac:dyDescent="0.25">
      <c r="A96" s="9" t="s">
        <v>43</v>
      </c>
      <c r="B96" s="9" t="s">
        <v>1071</v>
      </c>
      <c r="C96" s="9" t="s">
        <v>1072</v>
      </c>
      <c r="D96" s="9" t="s">
        <v>1081</v>
      </c>
      <c r="E96" s="9" t="s">
        <v>1082</v>
      </c>
      <c r="F96" s="9" t="s">
        <v>1083</v>
      </c>
      <c r="G96" s="9" t="s">
        <v>1084</v>
      </c>
      <c r="L96" s="79">
        <f>$I$44*$L$44</f>
        <v>0</v>
      </c>
      <c r="M96" s="79">
        <f>$I$44*$M$44</f>
        <v>0</v>
      </c>
      <c r="N96" s="79">
        <f ca="1">$I$44*$N$44</f>
        <v>0</v>
      </c>
      <c r="O96" s="79">
        <f>$I$44*$O$44</f>
        <v>0</v>
      </c>
      <c r="P96" s="79">
        <f>$I$44*$P$44</f>
        <v>0</v>
      </c>
      <c r="Q96" s="79">
        <f>$I$44*$Q$44</f>
        <v>0</v>
      </c>
      <c r="R96" s="79">
        <f>$I$44*$R$44</f>
        <v>0</v>
      </c>
      <c r="S96" s="79">
        <f>$I$44*$S$44</f>
        <v>0</v>
      </c>
      <c r="T96" s="79">
        <f>$I$44*$T$44</f>
        <v>0</v>
      </c>
      <c r="U96" s="79">
        <f>$I$44*$U$44</f>
        <v>0</v>
      </c>
      <c r="V96" s="79">
        <f>$I$44*$V$44</f>
        <v>0</v>
      </c>
      <c r="W96" s="79">
        <f>$I$44*$W$44</f>
        <v>0</v>
      </c>
      <c r="X96" s="79">
        <f>$I$44*$X$44</f>
        <v>0</v>
      </c>
      <c r="Y96" s="79">
        <f>$I$44*$Y$44</f>
        <v>0</v>
      </c>
      <c r="Z96" s="79">
        <f>$I$44*$Z$44</f>
        <v>0</v>
      </c>
      <c r="AA96" s="79">
        <f>$I$44*$AA$44</f>
        <v>0</v>
      </c>
      <c r="AB96" s="79">
        <f ca="1">$I$44*$AB$44</f>
        <v>0</v>
      </c>
      <c r="AC96" s="79">
        <f ca="1">$I$44*$AC$44</f>
        <v>0</v>
      </c>
      <c r="AD96" s="79">
        <f>$I$44*$AD$44</f>
        <v>0</v>
      </c>
      <c r="AE96" s="79">
        <f>$I$44*$AE$44</f>
        <v>0</v>
      </c>
      <c r="AF96" s="79">
        <f ca="1">$I$44*$AF$44</f>
        <v>0</v>
      </c>
      <c r="AG96" s="79">
        <f ca="1">$I$44*$AG$44</f>
        <v>0</v>
      </c>
      <c r="AI96" s="79">
        <f>$I$44*$AI$44</f>
        <v>0</v>
      </c>
      <c r="AJ96" s="79">
        <f>$I$44*$AJ$44</f>
        <v>0</v>
      </c>
      <c r="AK96" s="79">
        <f>$I$44*$AK$44</f>
        <v>0</v>
      </c>
      <c r="AL96" s="79">
        <f>$I$44*$AL$44</f>
        <v>0</v>
      </c>
      <c r="AM96" s="79">
        <f>$I$44*$AM$44</f>
        <v>0</v>
      </c>
      <c r="AN96" s="79">
        <f>$I$44*$AN$44</f>
        <v>0</v>
      </c>
      <c r="AO96" s="79">
        <f>$I$44*$AO$44</f>
        <v>0</v>
      </c>
      <c r="AP96" s="79">
        <f>$I$44*$AP$44</f>
        <v>0</v>
      </c>
      <c r="AQ96" s="79">
        <f>$I$44*$AQ$44</f>
        <v>0</v>
      </c>
      <c r="AR96" s="79">
        <f>$I$44*$AR$44</f>
        <v>0</v>
      </c>
      <c r="AS96" s="79">
        <f>$I$44*$AS$44</f>
        <v>0</v>
      </c>
      <c r="AT96" s="79">
        <f>$I$44*$AT$44</f>
        <v>0</v>
      </c>
      <c r="AU96" s="79">
        <f>$I$44*$AU$44</f>
        <v>0</v>
      </c>
      <c r="AV96" s="79">
        <f>$I$44*$AV$44</f>
        <v>0</v>
      </c>
      <c r="AW96" s="79">
        <f>$I$44*$AW$44</f>
        <v>0</v>
      </c>
      <c r="AX96" s="79">
        <f>$I$44*$AX$44</f>
        <v>0</v>
      </c>
      <c r="AY96" s="79">
        <f>$I$44*$AY$44</f>
        <v>0</v>
      </c>
      <c r="AZ96" s="79">
        <f>$I$44*$AZ$44</f>
        <v>0</v>
      </c>
      <c r="BA96" s="79">
        <f>$I$44*$BA$44</f>
        <v>0</v>
      </c>
      <c r="BB96" s="79">
        <f>$I$44*$BB$44</f>
        <v>0</v>
      </c>
      <c r="BC96" s="79">
        <f>$I$44*$BC$44</f>
        <v>0</v>
      </c>
      <c r="BD96" s="79">
        <f>$I$44*$BD$44</f>
        <v>0</v>
      </c>
    </row>
    <row r="97" spans="1:56" ht="11.25" customHeight="1" x14ac:dyDescent="0.25">
      <c r="A97" s="9" t="s">
        <v>37</v>
      </c>
      <c r="B97" s="9" t="s">
        <v>1085</v>
      </c>
      <c r="C97" s="9" t="s">
        <v>1086</v>
      </c>
      <c r="D97" s="9" t="s">
        <v>1087</v>
      </c>
      <c r="E97" s="9" t="s">
        <v>1088</v>
      </c>
      <c r="F97" s="9" t="s">
        <v>1089</v>
      </c>
      <c r="G97" s="9" t="s">
        <v>1090</v>
      </c>
      <c r="L97" s="79">
        <f>$I$45*$L$45</f>
        <v>409.80068695970232</v>
      </c>
      <c r="M97" s="79">
        <f>$I$45*$M$45</f>
        <v>42.344025441434546</v>
      </c>
      <c r="N97" s="79">
        <f ca="1">$I$45*$N$45</f>
        <v>203.42285606432142</v>
      </c>
      <c r="O97" s="79">
        <f>$I$45*$O$45</f>
        <v>0</v>
      </c>
      <c r="P97" s="79">
        <f>$I$45*$P$45</f>
        <v>0</v>
      </c>
      <c r="Q97" s="79">
        <f>$I$45*$Q$45</f>
        <v>6972.2937141061593</v>
      </c>
      <c r="R97" s="79">
        <f>$I$45*$R$45</f>
        <v>1153.2518865551051</v>
      </c>
      <c r="S97" s="79">
        <f>$I$45*$S$45</f>
        <v>0</v>
      </c>
      <c r="T97" s="79">
        <f>$I$45*$T$45</f>
        <v>5715.4062099757839</v>
      </c>
      <c r="U97" s="79">
        <f>$I$45*$U$45</f>
        <v>753.2450872723731</v>
      </c>
      <c r="V97" s="79">
        <f>$I$45*$V$45</f>
        <v>229.46468869412371</v>
      </c>
      <c r="W97" s="79">
        <f>$I$45*$W$45</f>
        <v>0</v>
      </c>
      <c r="X97" s="79">
        <f>$I$45*$X$45</f>
        <v>8421.2925037170025</v>
      </c>
      <c r="Y97" s="79">
        <f>$I$45*$Y$45</f>
        <v>0</v>
      </c>
      <c r="Z97" s="79">
        <f>$I$45*$Z$45</f>
        <v>0</v>
      </c>
      <c r="AA97" s="79">
        <f>$I$45*$AA$45</f>
        <v>36922.966393202529</v>
      </c>
      <c r="AB97" s="79">
        <f ca="1">$I$45*$AB$45</f>
        <v>-1773.7306455914297</v>
      </c>
      <c r="AC97" s="79">
        <f ca="1">$I$45*$AC$45</f>
        <v>0</v>
      </c>
      <c r="AD97" s="79">
        <f>$I$45*$AD$45</f>
        <v>1787.7952073137124</v>
      </c>
      <c r="AE97" s="79">
        <f>$I$45*$AE$45</f>
        <v>63.057151210949492</v>
      </c>
      <c r="AF97" s="79">
        <f ca="1">$I$45*$AF$45</f>
        <v>239.88798481517185</v>
      </c>
      <c r="AG97" s="79">
        <f ca="1">$I$45*$AG$45</f>
        <v>28.73690032363567</v>
      </c>
      <c r="AI97" s="79">
        <f>$I$45*$AI$45</f>
        <v>362.90106713913804</v>
      </c>
      <c r="AJ97" s="79">
        <f>$I$45*$AJ$45</f>
        <v>35.06196958426677</v>
      </c>
      <c r="AK97" s="79">
        <f>$I$45*$AK$45</f>
        <v>187.1452169796691</v>
      </c>
      <c r="AL97" s="79">
        <f>$I$45*$AL$45</f>
        <v>0</v>
      </c>
      <c r="AM97" s="79">
        <f>$I$45*$AM$45</f>
        <v>0</v>
      </c>
      <c r="AN97" s="79">
        <f>$I$45*$AN$45</f>
        <v>2809.8497151442716</v>
      </c>
      <c r="AO97" s="79">
        <f>$I$45*$AO$45</f>
        <v>492.33798348623691</v>
      </c>
      <c r="AP97" s="79">
        <f>$I$45*$AP$45</f>
        <v>0</v>
      </c>
      <c r="AQ97" s="79">
        <f>$I$45*$AQ$45</f>
        <v>4348.3826956033508</v>
      </c>
      <c r="AR97" s="79">
        <f>$I$45*$AR$45</f>
        <v>664.68908844926978</v>
      </c>
      <c r="AS97" s="79">
        <f>$I$45*$AS$45</f>
        <v>173.18668035693707</v>
      </c>
      <c r="AT97" s="79">
        <f>$I$45*$AT$45</f>
        <v>0</v>
      </c>
      <c r="AU97" s="79">
        <f>$I$45*$AU$45</f>
        <v>6933.9109111919743</v>
      </c>
      <c r="AV97" s="79">
        <f>$I$45*$AV$45</f>
        <v>0</v>
      </c>
      <c r="AW97" s="79">
        <f>$I$45*$AW$45</f>
        <v>0</v>
      </c>
      <c r="AX97" s="79">
        <f>$I$45*$AX$45</f>
        <v>33803.172185911906</v>
      </c>
      <c r="AY97" s="79">
        <f>$I$45*$AY$45</f>
        <v>0</v>
      </c>
      <c r="AZ97" s="79">
        <f>$I$45*$AZ$45</f>
        <v>0</v>
      </c>
      <c r="BA97" s="79">
        <f>$I$45*$BA$45</f>
        <v>1321.6634255781294</v>
      </c>
      <c r="BB97" s="79">
        <f>$I$45*$BB$45</f>
        <v>45.691776643559734</v>
      </c>
      <c r="BC97" s="79">
        <f>$I$45*$BC$45</f>
        <v>376.73850937922219</v>
      </c>
      <c r="BD97" s="79">
        <f>$I$45*$BD$45</f>
        <v>21.10447862184823</v>
      </c>
    </row>
    <row r="98" spans="1:56" ht="11.25" customHeight="1" x14ac:dyDescent="0.25">
      <c r="A98" s="9" t="s">
        <v>37</v>
      </c>
      <c r="B98" s="9" t="s">
        <v>1085</v>
      </c>
      <c r="C98" s="9" t="s">
        <v>1086</v>
      </c>
      <c r="D98" s="9" t="s">
        <v>1087</v>
      </c>
      <c r="E98" s="9" t="s">
        <v>1088</v>
      </c>
      <c r="F98" s="9" t="s">
        <v>1089</v>
      </c>
      <c r="G98" s="9" t="s">
        <v>1091</v>
      </c>
      <c r="L98" s="79">
        <f>$I$46*$L$46</f>
        <v>370.26235158098677</v>
      </c>
      <c r="M98" s="79">
        <f>$I$46*$M$46</f>
        <v>38.258594810243494</v>
      </c>
      <c r="N98" s="79">
        <f ca="1">$I$46*$N$46</f>
        <v>173.80635892977958</v>
      </c>
      <c r="O98" s="79">
        <f>$I$46*$O$46</f>
        <v>0</v>
      </c>
      <c r="P98" s="79">
        <f>$I$46*$P$46</f>
        <v>0</v>
      </c>
      <c r="Q98" s="79">
        <f>$I$46*$Q$46</f>
        <v>6299.5937992464569</v>
      </c>
      <c r="R98" s="79">
        <f>$I$46*$R$46</f>
        <v>1041.9839914106637</v>
      </c>
      <c r="S98" s="79">
        <f>$I$46*$S$46</f>
        <v>0</v>
      </c>
      <c r="T98" s="79">
        <f>$I$46*$T$46</f>
        <v>3098.3824980639793</v>
      </c>
      <c r="U98" s="79">
        <f>$I$46*$U$46</f>
        <v>408.34361520513562</v>
      </c>
      <c r="V98" s="79">
        <f>$I$46*$V$46</f>
        <v>124.39405370145941</v>
      </c>
      <c r="W98" s="79">
        <f>$I$46*$W$46</f>
        <v>0</v>
      </c>
      <c r="X98" s="79">
        <f>$I$46*$X$46</f>
        <v>4565.2718442807973</v>
      </c>
      <c r="Y98" s="79">
        <f>$I$46*$Y$46</f>
        <v>0</v>
      </c>
      <c r="Z98" s="79">
        <f>$I$46*$Z$46</f>
        <v>0</v>
      </c>
      <c r="AA98" s="79">
        <f>$I$46*$AA$46</f>
        <v>20016.342930780098</v>
      </c>
      <c r="AB98" s="79">
        <f ca="1">$I$46*$AB$46</f>
        <v>-1055.7146830408776</v>
      </c>
      <c r="AC98" s="79">
        <f ca="1">$I$46*$AC$46</f>
        <v>0</v>
      </c>
      <c r="AD98" s="79">
        <f>$I$46*$AD$46</f>
        <v>1615.3053878855162</v>
      </c>
      <c r="AE98" s="79">
        <f>$I$46*$AE$46</f>
        <v>56.973279533960174</v>
      </c>
      <c r="AF98" s="79">
        <f ca="1">$I$46*$AF$46</f>
        <v>216.74314416760316</v>
      </c>
      <c r="AG98" s="79">
        <f ca="1">$I$46*$AG$46</f>
        <v>25.964310528410767</v>
      </c>
      <c r="AI98" s="79">
        <f>$I$46*$AI$46</f>
        <v>327.88769464263959</v>
      </c>
      <c r="AJ98" s="79">
        <f>$I$46*$AJ$46</f>
        <v>31.679125297826168</v>
      </c>
      <c r="AK98" s="79">
        <f>$I$46*$AK$46</f>
        <v>159.9040001609338</v>
      </c>
      <c r="AL98" s="79">
        <f>$I$46*$AL$46</f>
        <v>0</v>
      </c>
      <c r="AM98" s="79">
        <f>$I$46*$AM$46</f>
        <v>0</v>
      </c>
      <c r="AN98" s="79">
        <f>$I$46*$AN$46</f>
        <v>2538.7501686174323</v>
      </c>
      <c r="AO98" s="79">
        <f>$I$46*$AO$46</f>
        <v>444.83629564091234</v>
      </c>
      <c r="AP98" s="79">
        <f>$I$46*$AP$46</f>
        <v>0</v>
      </c>
      <c r="AQ98" s="79">
        <f>$I$46*$AQ$46</f>
        <v>2357.3045106445329</v>
      </c>
      <c r="AR98" s="79">
        <f>$I$46*$AR$46</f>
        <v>360.33629684548464</v>
      </c>
      <c r="AS98" s="79">
        <f>$I$46*$AS$46</f>
        <v>93.885439800350369</v>
      </c>
      <c r="AT98" s="79">
        <f>$I$46*$AT$46</f>
        <v>0</v>
      </c>
      <c r="AU98" s="79">
        <f>$I$46*$AU$46</f>
        <v>3758.9465322151063</v>
      </c>
      <c r="AV98" s="79">
        <f>$I$46*$AV$46</f>
        <v>0</v>
      </c>
      <c r="AW98" s="79">
        <f>$I$46*$AW$46</f>
        <v>0</v>
      </c>
      <c r="AX98" s="79">
        <f>$I$46*$AX$46</f>
        <v>18325.068452408646</v>
      </c>
      <c r="AY98" s="79">
        <f>$I$46*$AY$46</f>
        <v>0</v>
      </c>
      <c r="AZ98" s="79">
        <f>$I$46*$AZ$46</f>
        <v>0</v>
      </c>
      <c r="BA98" s="79">
        <f>$I$46*$BA$46</f>
        <v>1194.1468707231866</v>
      </c>
      <c r="BB98" s="79">
        <f>$I$46*$BB$46</f>
        <v>41.28334872611196</v>
      </c>
      <c r="BC98" s="79">
        <f>$I$46*$BC$46</f>
        <v>340.39007462079582</v>
      </c>
      <c r="BD98" s="79">
        <f>$I$46*$BD$46</f>
        <v>19.068279122198241</v>
      </c>
    </row>
    <row r="99" spans="1:56" ht="11.25" customHeight="1" x14ac:dyDescent="0.25">
      <c r="A99" s="9" t="s">
        <v>37</v>
      </c>
      <c r="B99" s="9" t="s">
        <v>1085</v>
      </c>
      <c r="C99" s="9" t="s">
        <v>1086</v>
      </c>
      <c r="D99" s="9" t="s">
        <v>1087</v>
      </c>
      <c r="E99" s="9" t="s">
        <v>1088</v>
      </c>
      <c r="F99" s="9" t="s">
        <v>1089</v>
      </c>
      <c r="G99" s="9" t="s">
        <v>1092</v>
      </c>
      <c r="L99" s="79">
        <f>$I$47*$L$47</f>
        <v>7045.3513949902681</v>
      </c>
      <c r="M99" s="79">
        <f>$I$47*$M$47</f>
        <v>727.98447686021166</v>
      </c>
      <c r="N99" s="79">
        <f ca="1">$I$47*$N$47</f>
        <v>3117.0997376746413</v>
      </c>
      <c r="O99" s="79">
        <f>$I$47*$O$47</f>
        <v>0</v>
      </c>
      <c r="P99" s="79">
        <f>$I$47*$P$47</f>
        <v>0</v>
      </c>
      <c r="Q99" s="79">
        <f>$I$47*$Q$47</f>
        <v>119868.6600781373</v>
      </c>
      <c r="R99" s="79">
        <f>$I$47*$R$47</f>
        <v>19826.869613117909</v>
      </c>
      <c r="S99" s="79">
        <f>$I$47*$S$47</f>
        <v>0</v>
      </c>
      <c r="T99" s="79">
        <f>$I$47*$T$47</f>
        <v>19651.961523873444</v>
      </c>
      <c r="U99" s="79">
        <f>$I$47*$U$47</f>
        <v>2590.0271078302608</v>
      </c>
      <c r="V99" s="79">
        <f>$I$47*$V$47</f>
        <v>788.95028759806712</v>
      </c>
      <c r="W99" s="79">
        <f>$I$47*$W$47</f>
        <v>0</v>
      </c>
      <c r="X99" s="79">
        <f>$I$47*$X$47</f>
        <v>28956.033710572548</v>
      </c>
      <c r="Y99" s="79">
        <f>$I$47*$Y$47</f>
        <v>0</v>
      </c>
      <c r="Z99" s="79">
        <f>$I$47*$Z$47</f>
        <v>0</v>
      </c>
      <c r="AA99" s="79">
        <f>$I$47*$AA$47</f>
        <v>126957.01571193043</v>
      </c>
      <c r="AB99" s="79">
        <f ca="1">$I$47*$AB$47</f>
        <v>-9682.0495228913023</v>
      </c>
      <c r="AC99" s="79">
        <f ca="1">$I$47*$AC$47</f>
        <v>0</v>
      </c>
      <c r="AD99" s="79">
        <f>$I$47*$AD$47</f>
        <v>30736.028168354849</v>
      </c>
      <c r="AE99" s="79">
        <f>$I$47*$AE$47</f>
        <v>1084.0874658950033</v>
      </c>
      <c r="AF99" s="79">
        <f ca="1">$I$47*$AF$47</f>
        <v>4124.1881779109135</v>
      </c>
      <c r="AG99" s="79">
        <f ca="1">$I$47*$AG$47</f>
        <v>494.0488564938201</v>
      </c>
      <c r="AI99" s="79">
        <f>$I$47*$AI$47</f>
        <v>6239.046494969888</v>
      </c>
      <c r="AJ99" s="79">
        <f>$I$47*$AJ$47</f>
        <v>602.79034218874131</v>
      </c>
      <c r="AK99" s="79">
        <f>$I$47*$AK$47</f>
        <v>2867.8790893133632</v>
      </c>
      <c r="AL99" s="79">
        <f>$I$47*$AL$47</f>
        <v>0</v>
      </c>
      <c r="AM99" s="79">
        <f>$I$47*$AM$47</f>
        <v>0</v>
      </c>
      <c r="AN99" s="79">
        <f>$I$47*$AN$47</f>
        <v>48307.333882657389</v>
      </c>
      <c r="AO99" s="79">
        <f>$I$47*$AO$47</f>
        <v>8464.3442754954394</v>
      </c>
      <c r="AP99" s="79">
        <f>$I$47*$AP$47</f>
        <v>0</v>
      </c>
      <c r="AQ99" s="79">
        <f>$I$47*$AQ$47</f>
        <v>14951.561846281476</v>
      </c>
      <c r="AR99" s="79">
        <f>$I$47*$AR$47</f>
        <v>2285.5280259399537</v>
      </c>
      <c r="AS99" s="79">
        <f>$I$47*$AS$47</f>
        <v>595.4540633391116</v>
      </c>
      <c r="AT99" s="79">
        <f>$I$47*$AT$47</f>
        <v>0</v>
      </c>
      <c r="AU99" s="79">
        <f>$I$47*$AU$47</f>
        <v>23841.774644683286</v>
      </c>
      <c r="AV99" s="79">
        <f>$I$47*$AV$47</f>
        <v>0</v>
      </c>
      <c r="AW99" s="79">
        <f>$I$47*$AW$47</f>
        <v>0</v>
      </c>
      <c r="AX99" s="79">
        <f>$I$47*$AX$47</f>
        <v>116229.82337383334</v>
      </c>
      <c r="AY99" s="79">
        <f>$I$47*$AY$47</f>
        <v>0</v>
      </c>
      <c r="AZ99" s="79">
        <f>$I$47*$AZ$47</f>
        <v>0</v>
      </c>
      <c r="BA99" s="79">
        <f>$I$47*$BA$47</f>
        <v>22722.224621405145</v>
      </c>
      <c r="BB99" s="79">
        <f>$I$47*$BB$47</f>
        <v>785.53948921745643</v>
      </c>
      <c r="BC99" s="79">
        <f>$I$47*$BC$47</f>
        <v>6476.9417598913469</v>
      </c>
      <c r="BD99" s="79">
        <f>$I$47*$BD$47</f>
        <v>362.83118264660686</v>
      </c>
    </row>
    <row r="100" spans="1:56" ht="11.25" customHeight="1" x14ac:dyDescent="0.25">
      <c r="A100" s="9" t="s">
        <v>37</v>
      </c>
      <c r="B100" s="9" t="s">
        <v>1093</v>
      </c>
      <c r="C100" s="9" t="s">
        <v>1094</v>
      </c>
      <c r="D100" s="9" t="s">
        <v>1095</v>
      </c>
      <c r="E100" s="9" t="s">
        <v>1096</v>
      </c>
      <c r="F100" s="9" t="s">
        <v>1097</v>
      </c>
      <c r="G100" s="9" t="s">
        <v>1098</v>
      </c>
      <c r="L100" s="79">
        <f>$I$48*$L$48</f>
        <v>621501.88221718092</v>
      </c>
      <c r="M100" s="79">
        <f>$I$48*$M$48</f>
        <v>64218.758898985521</v>
      </c>
      <c r="N100" s="79">
        <f ca="1">$I$48*$N$48</f>
        <v>278397.82101901743</v>
      </c>
      <c r="O100" s="79">
        <f>$I$48*$O$48</f>
        <v>0</v>
      </c>
      <c r="P100" s="79">
        <f>$I$48*$P$48</f>
        <v>0</v>
      </c>
      <c r="Q100" s="79">
        <f>$I$48*$Q$48</f>
        <v>10574149.347665956</v>
      </c>
      <c r="R100" s="79">
        <f>$I$48*$R$48</f>
        <v>1749016.6341155837</v>
      </c>
      <c r="S100" s="79">
        <f>$I$48*$S$48</f>
        <v>0</v>
      </c>
      <c r="T100" s="79">
        <f>$I$48*$T$48</f>
        <v>2441678.3757438646</v>
      </c>
      <c r="U100" s="79">
        <f>$I$48*$U$48</f>
        <v>321797.25692211371</v>
      </c>
      <c r="V100" s="79">
        <f>$I$48*$V$48</f>
        <v>98029.610363204265</v>
      </c>
      <c r="W100" s="79">
        <f>$I$48*$W$48</f>
        <v>0</v>
      </c>
      <c r="X100" s="79">
        <f>$I$48*$X$48</f>
        <v>3597663.2853302876</v>
      </c>
      <c r="Y100" s="79">
        <f>$I$48*$Y$48</f>
        <v>0</v>
      </c>
      <c r="Z100" s="79">
        <f>$I$48*$Z$48</f>
        <v>0</v>
      </c>
      <c r="AA100" s="79">
        <f>$I$48*$AA$48</f>
        <v>15773858.440402566</v>
      </c>
      <c r="AB100" s="79">
        <f ca="1">$I$48*$AB$48</f>
        <v>-1041569.1077079462</v>
      </c>
      <c r="AC100" s="79">
        <f ca="1">$I$48*$AC$48</f>
        <v>0</v>
      </c>
      <c r="AD100" s="79">
        <f>$I$48*$AD$48</f>
        <v>2711362.1858657086</v>
      </c>
      <c r="AE100" s="79">
        <f>$I$48*$AE$48</f>
        <v>95632.192458262653</v>
      </c>
      <c r="AF100" s="79">
        <f ca="1">$I$48*$AF$48</f>
        <v>363813.04089560162</v>
      </c>
      <c r="AG100" s="79">
        <f ca="1">$I$48*$AG$48</f>
        <v>43582.254028733114</v>
      </c>
      <c r="AI100" s="79">
        <f>$I$48*$AI$48</f>
        <v>550374.12933321076</v>
      </c>
      <c r="AJ100" s="79">
        <f>$I$48*$AJ$48</f>
        <v>53174.825675697728</v>
      </c>
      <c r="AK100" s="79">
        <f>$I$48*$AK$48</f>
        <v>256137.07478075268</v>
      </c>
      <c r="AL100" s="79">
        <f>$I$48*$AL$48</f>
        <v>0</v>
      </c>
      <c r="AM100" s="79">
        <f>$I$48*$AM$48</f>
        <v>0</v>
      </c>
      <c r="AN100" s="79">
        <f>$I$48*$AN$48</f>
        <v>4261405.4643624825</v>
      </c>
      <c r="AO100" s="79">
        <f>$I$48*$AO$48</f>
        <v>746677.5756132321</v>
      </c>
      <c r="AP100" s="79">
        <f>$I$48*$AP$48</f>
        <v>0</v>
      </c>
      <c r="AQ100" s="79">
        <f>$I$48*$AQ$48</f>
        <v>1857672.3346070831</v>
      </c>
      <c r="AR100" s="79">
        <f>$I$48*$AR$48</f>
        <v>283964.84621437796</v>
      </c>
      <c r="AS100" s="79">
        <f>$I$48*$AS$48</f>
        <v>73987.082248276813</v>
      </c>
      <c r="AT100" s="79">
        <f>$I$48*$AT$48</f>
        <v>0</v>
      </c>
      <c r="AU100" s="79">
        <f>$I$48*$AU$48</f>
        <v>2962238.4803681597</v>
      </c>
      <c r="AV100" s="79">
        <f>$I$48*$AV$48</f>
        <v>0</v>
      </c>
      <c r="AW100" s="79">
        <f>$I$48*$AW$48</f>
        <v>0</v>
      </c>
      <c r="AX100" s="79">
        <f>$I$48*$AX$48</f>
        <v>14441051.328836044</v>
      </c>
      <c r="AY100" s="79">
        <f>$I$48*$AY$48</f>
        <v>0</v>
      </c>
      <c r="AZ100" s="79">
        <f>$I$48*$AZ$48</f>
        <v>0</v>
      </c>
      <c r="BA100" s="79">
        <f>$I$48*$BA$48</f>
        <v>2004428.8181859204</v>
      </c>
      <c r="BB100" s="79">
        <f>$I$48*$BB$48</f>
        <v>69295.943343823295</v>
      </c>
      <c r="BC100" s="79">
        <f>$I$48*$BC$48</f>
        <v>571359.93211721024</v>
      </c>
      <c r="BD100" s="79">
        <f>$I$48*$BD$48</f>
        <v>32006.957538313589</v>
      </c>
    </row>
    <row r="101" spans="1:56" ht="11.25" customHeight="1" x14ac:dyDescent="0.25">
      <c r="A101" s="9" t="s">
        <v>37</v>
      </c>
      <c r="B101" s="9" t="s">
        <v>1099</v>
      </c>
      <c r="C101" s="9" t="s">
        <v>1100</v>
      </c>
      <c r="D101" s="9" t="s">
        <v>1101</v>
      </c>
      <c r="E101" s="9" t="s">
        <v>1102</v>
      </c>
      <c r="F101" s="9" t="s">
        <v>1103</v>
      </c>
      <c r="G101" s="9" t="s">
        <v>1104</v>
      </c>
      <c r="L101" s="79">
        <f>$I$49*$L$49</f>
        <v>0</v>
      </c>
      <c r="M101" s="79">
        <f>$I$49*$M$49</f>
        <v>0</v>
      </c>
      <c r="N101" s="79">
        <f ca="1">$I$49*$N$49</f>
        <v>0</v>
      </c>
      <c r="O101" s="79">
        <f>$I$49*$O$49</f>
        <v>0</v>
      </c>
      <c r="P101" s="79">
        <f>$I$49*$P$49</f>
        <v>0</v>
      </c>
      <c r="Q101" s="79">
        <f>$I$49*$Q$49</f>
        <v>0</v>
      </c>
      <c r="R101" s="79">
        <f>$I$49*$R$49</f>
        <v>0</v>
      </c>
      <c r="S101" s="79">
        <f>$I$49*$S$49</f>
        <v>0</v>
      </c>
      <c r="T101" s="79">
        <f>$I$49*$T$49</f>
        <v>0</v>
      </c>
      <c r="U101" s="79">
        <f>$I$49*$U$49</f>
        <v>0</v>
      </c>
      <c r="V101" s="79">
        <f>$I$49*$V$49</f>
        <v>0</v>
      </c>
      <c r="W101" s="79">
        <f>$I$49*$W$49</f>
        <v>0</v>
      </c>
      <c r="X101" s="79">
        <f>$I$49*$X$49</f>
        <v>0</v>
      </c>
      <c r="Y101" s="79">
        <f>$I$49*$Y$49</f>
        <v>0</v>
      </c>
      <c r="Z101" s="79">
        <f>$I$49*$Z$49</f>
        <v>0</v>
      </c>
      <c r="AA101" s="79">
        <f>$I$49*$AA$49</f>
        <v>0</v>
      </c>
      <c r="AB101" s="79">
        <f ca="1">$I$49*$AB$49</f>
        <v>0</v>
      </c>
      <c r="AC101" s="79">
        <f ca="1">$I$49*$AC$49</f>
        <v>0</v>
      </c>
      <c r="AD101" s="79">
        <f>$I$49*$AD$49</f>
        <v>0</v>
      </c>
      <c r="AE101" s="79">
        <f>$I$49*$AE$49</f>
        <v>0</v>
      </c>
      <c r="AF101" s="79">
        <f ca="1">$I$49*$AF$49</f>
        <v>0</v>
      </c>
      <c r="AG101" s="79">
        <f ca="1">$I$49*$AG$49</f>
        <v>0</v>
      </c>
      <c r="AI101" s="79">
        <f>$I$49*$AI$49</f>
        <v>0</v>
      </c>
      <c r="AJ101" s="79">
        <f>$I$49*$AJ$49</f>
        <v>0</v>
      </c>
      <c r="AK101" s="79">
        <f>$I$49*$AK$49</f>
        <v>0</v>
      </c>
      <c r="AL101" s="79">
        <f>$I$49*$AL$49</f>
        <v>0</v>
      </c>
      <c r="AM101" s="79">
        <f>$I$49*$AM$49</f>
        <v>0</v>
      </c>
      <c r="AN101" s="79">
        <f>$I$49*$AN$49</f>
        <v>0</v>
      </c>
      <c r="AO101" s="79">
        <f>$I$49*$AO$49</f>
        <v>0</v>
      </c>
      <c r="AP101" s="79">
        <f>$I$49*$AP$49</f>
        <v>0</v>
      </c>
      <c r="AQ101" s="79">
        <f>$I$49*$AQ$49</f>
        <v>0</v>
      </c>
      <c r="AR101" s="79">
        <f>$I$49*$AR$49</f>
        <v>0</v>
      </c>
      <c r="AS101" s="79">
        <f>$I$49*$AS$49</f>
        <v>0</v>
      </c>
      <c r="AT101" s="79">
        <f>$I$49*$AT$49</f>
        <v>0</v>
      </c>
      <c r="AU101" s="79">
        <f>$I$49*$AU$49</f>
        <v>0</v>
      </c>
      <c r="AV101" s="79">
        <f>$I$49*$AV$49</f>
        <v>0</v>
      </c>
      <c r="AW101" s="79">
        <f>$I$49*$AW$49</f>
        <v>0</v>
      </c>
      <c r="AX101" s="79">
        <f>$I$49*$AX$49</f>
        <v>0</v>
      </c>
      <c r="AY101" s="79">
        <f>$I$49*$AY$49</f>
        <v>0</v>
      </c>
      <c r="AZ101" s="79">
        <f>$I$49*$AZ$49</f>
        <v>0</v>
      </c>
      <c r="BA101" s="79">
        <f>$I$49*$BA$49</f>
        <v>0</v>
      </c>
      <c r="BB101" s="79">
        <f>$I$49*$BB$49</f>
        <v>0</v>
      </c>
      <c r="BC101" s="79">
        <f>$I$49*$BC$49</f>
        <v>0</v>
      </c>
      <c r="BD101" s="79">
        <f>$I$49*$BD$49</f>
        <v>0</v>
      </c>
    </row>
    <row r="102" spans="1:56" ht="11.25" customHeight="1" x14ac:dyDescent="0.25">
      <c r="A102" s="9" t="s">
        <v>46</v>
      </c>
      <c r="B102" s="9" t="s">
        <v>1105</v>
      </c>
      <c r="C102" s="9" t="s">
        <v>1106</v>
      </c>
      <c r="D102" s="9" t="s">
        <v>1107</v>
      </c>
      <c r="E102" s="9" t="s">
        <v>1108</v>
      </c>
      <c r="F102" s="9" t="s">
        <v>1109</v>
      </c>
      <c r="G102" s="9" t="s">
        <v>1110</v>
      </c>
      <c r="L102" s="79">
        <f>$I$50*$L$50</f>
        <v>74825.201018834414</v>
      </c>
      <c r="M102" s="79">
        <f>$I$50*$M$50</f>
        <v>7731.563944190123</v>
      </c>
      <c r="N102" s="79">
        <f ca="1">$I$50*$N$50</f>
        <v>33517.473586144515</v>
      </c>
      <c r="O102" s="79">
        <f>$I$50*$O$50</f>
        <v>0</v>
      </c>
      <c r="P102" s="79">
        <f>$I$50*$P$50</f>
        <v>0</v>
      </c>
      <c r="Q102" s="79">
        <f>$I$50*$Q$50</f>
        <v>1273065.8959867742</v>
      </c>
      <c r="R102" s="79">
        <f>$I$50*$R$50</f>
        <v>210571.39966512864</v>
      </c>
      <c r="S102" s="79">
        <f>$I$50*$S$50</f>
        <v>0</v>
      </c>
      <c r="T102" s="79">
        <f>$I$50*$T$50</f>
        <v>293963.83263813262</v>
      </c>
      <c r="U102" s="79">
        <f>$I$50*$U$50</f>
        <v>38742.512493457791</v>
      </c>
      <c r="V102" s="79">
        <f>$I$50*$V$50</f>
        <v>11802.193221132611</v>
      </c>
      <c r="W102" s="79">
        <f>$I$50*$W$50</f>
        <v>0</v>
      </c>
      <c r="X102" s="79">
        <f>$I$50*$X$50</f>
        <v>433137.67218624405</v>
      </c>
      <c r="Y102" s="79">
        <f>$I$50*$Y$50</f>
        <v>0</v>
      </c>
      <c r="Z102" s="79">
        <f>$I$50*$Z$50</f>
        <v>0</v>
      </c>
      <c r="AA102" s="79">
        <f>$I$50*$AA$50</f>
        <v>1899080.5376729586</v>
      </c>
      <c r="AB102" s="79">
        <f ca="1">$I$50*$AB$50</f>
        <v>-125398.84445920443</v>
      </c>
      <c r="AC102" s="79">
        <f ca="1">$I$50*$AC$50</f>
        <v>0</v>
      </c>
      <c r="AD102" s="79">
        <f>$I$50*$AD$50</f>
        <v>326432.19014640577</v>
      </c>
      <c r="AE102" s="79">
        <f>$I$50*$AE$50</f>
        <v>11513.55809098071</v>
      </c>
      <c r="AF102" s="79">
        <f ca="1">$I$50*$AF$50</f>
        <v>43800.967780133091</v>
      </c>
      <c r="AG102" s="79">
        <f ca="1">$I$50*$AG$50</f>
        <v>5247.0491431501441</v>
      </c>
      <c r="AI102" s="79">
        <f>$I$50*$AI$50</f>
        <v>66261.834503234306</v>
      </c>
      <c r="AJ102" s="79">
        <f>$I$50*$AJ$50</f>
        <v>6401.9388101147933</v>
      </c>
      <c r="AK102" s="79">
        <f>$I$50*$AK$50</f>
        <v>30837.409599587798</v>
      </c>
      <c r="AL102" s="79">
        <f>$I$50*$AL$50</f>
        <v>0</v>
      </c>
      <c r="AM102" s="79">
        <f>$I$50*$AM$50</f>
        <v>0</v>
      </c>
      <c r="AN102" s="79">
        <f>$I$50*$AN$50</f>
        <v>513048.35852815397</v>
      </c>
      <c r="AO102" s="79">
        <f>$I$50*$AO$50</f>
        <v>89895.624277437688</v>
      </c>
      <c r="AP102" s="79">
        <f>$I$50*$AP$50</f>
        <v>0</v>
      </c>
      <c r="AQ102" s="79">
        <f>$I$50*$AQ$50</f>
        <v>223652.91214923363</v>
      </c>
      <c r="AR102" s="79">
        <f>$I$50*$AR$50</f>
        <v>34187.710943807382</v>
      </c>
      <c r="AS102" s="79">
        <f>$I$50*$AS$50</f>
        <v>8907.6130908478572</v>
      </c>
      <c r="AT102" s="79">
        <f>$I$50*$AT$50</f>
        <v>0</v>
      </c>
      <c r="AU102" s="79">
        <f>$I$50*$AU$50</f>
        <v>356636.23248983081</v>
      </c>
      <c r="AV102" s="79">
        <f>$I$50*$AV$50</f>
        <v>0</v>
      </c>
      <c r="AW102" s="79">
        <f>$I$50*$AW$50</f>
        <v>0</v>
      </c>
      <c r="AX102" s="79">
        <f>$I$50*$AX$50</f>
        <v>1738618.3365183603</v>
      </c>
      <c r="AY102" s="79">
        <f>$I$50*$AY$50</f>
        <v>0</v>
      </c>
      <c r="AZ102" s="79">
        <f>$I$50*$AZ$50</f>
        <v>0</v>
      </c>
      <c r="BA102" s="79">
        <f>$I$50*$BA$50</f>
        <v>241321.53665191395</v>
      </c>
      <c r="BB102" s="79">
        <f>$I$50*$BB$50</f>
        <v>8342.8273330304037</v>
      </c>
      <c r="BC102" s="79">
        <f>$I$50*$BC$50</f>
        <v>68788.402735421289</v>
      </c>
      <c r="BD102" s="79">
        <f>$I$50*$BD$50</f>
        <v>3853.4509714786568</v>
      </c>
    </row>
    <row r="103" spans="1:56" ht="11.25" customHeight="1" x14ac:dyDescent="0.25">
      <c r="A103" s="9" t="s">
        <v>46</v>
      </c>
      <c r="B103" s="9" t="s">
        <v>1105</v>
      </c>
      <c r="C103" s="9" t="s">
        <v>1106</v>
      </c>
      <c r="D103" s="9" t="s">
        <v>1111</v>
      </c>
      <c r="E103" s="9" t="s">
        <v>1112</v>
      </c>
      <c r="F103" s="9" t="s">
        <v>1113</v>
      </c>
      <c r="G103" s="9" t="s">
        <v>1114</v>
      </c>
      <c r="L103" s="79">
        <f>$I$51*$L$51</f>
        <v>0</v>
      </c>
      <c r="M103" s="79">
        <f>$I$51*$M$51</f>
        <v>0</v>
      </c>
      <c r="N103" s="79">
        <f ca="1">$I$51*$N$51</f>
        <v>0</v>
      </c>
      <c r="O103" s="79">
        <f>$I$51*$O$51</f>
        <v>0</v>
      </c>
      <c r="P103" s="79">
        <f>$I$51*$P$51</f>
        <v>0</v>
      </c>
      <c r="Q103" s="79">
        <f>$I$51*$Q$51</f>
        <v>0</v>
      </c>
      <c r="R103" s="79">
        <f>$I$51*$R$51</f>
        <v>0</v>
      </c>
      <c r="S103" s="79">
        <f>$I$51*$S$51</f>
        <v>0</v>
      </c>
      <c r="T103" s="79">
        <f>$I$51*$T$51</f>
        <v>0</v>
      </c>
      <c r="U103" s="79">
        <f>$I$51*$U$51</f>
        <v>0</v>
      </c>
      <c r="V103" s="79">
        <f>$I$51*$V$51</f>
        <v>0</v>
      </c>
      <c r="W103" s="79">
        <f>$I$51*$W$51</f>
        <v>0</v>
      </c>
      <c r="X103" s="79">
        <f>$I$51*$X$51</f>
        <v>0</v>
      </c>
      <c r="Y103" s="79">
        <f>$I$51*$Y$51</f>
        <v>0</v>
      </c>
      <c r="Z103" s="79">
        <f>$I$51*$Z$51</f>
        <v>0</v>
      </c>
      <c r="AA103" s="79">
        <f>$I$51*$AA$51</f>
        <v>0</v>
      </c>
      <c r="AB103" s="79">
        <f ca="1">$I$51*$AB$51</f>
        <v>0</v>
      </c>
      <c r="AC103" s="79">
        <f ca="1">$I$51*$AC$51</f>
        <v>0</v>
      </c>
      <c r="AD103" s="79">
        <f>$I$51*$AD$51</f>
        <v>0</v>
      </c>
      <c r="AE103" s="79">
        <f>$I$51*$AE$51</f>
        <v>0</v>
      </c>
      <c r="AF103" s="79">
        <f ca="1">$I$51*$AF$51</f>
        <v>0</v>
      </c>
      <c r="AG103" s="79">
        <f ca="1">$I$51*$AG$51</f>
        <v>0</v>
      </c>
      <c r="AI103" s="79">
        <f>$I$51*$AI$51</f>
        <v>0</v>
      </c>
      <c r="AJ103" s="79">
        <f>$I$51*$AJ$51</f>
        <v>0</v>
      </c>
      <c r="AK103" s="79">
        <f>$I$51*$AK$51</f>
        <v>0</v>
      </c>
      <c r="AL103" s="79">
        <f>$I$51*$AL$51</f>
        <v>0</v>
      </c>
      <c r="AM103" s="79">
        <f>$I$51*$AM$51</f>
        <v>0</v>
      </c>
      <c r="AN103" s="79">
        <f>$I$51*$AN$51</f>
        <v>0</v>
      </c>
      <c r="AO103" s="79">
        <f>$I$51*$AO$51</f>
        <v>0</v>
      </c>
      <c r="AP103" s="79">
        <f>$I$51*$AP$51</f>
        <v>0</v>
      </c>
      <c r="AQ103" s="79">
        <f>$I$51*$AQ$51</f>
        <v>0</v>
      </c>
      <c r="AR103" s="79">
        <f>$I$51*$AR$51</f>
        <v>0</v>
      </c>
      <c r="AS103" s="79">
        <f>$I$51*$AS$51</f>
        <v>0</v>
      </c>
      <c r="AT103" s="79">
        <f>$I$51*$AT$51</f>
        <v>0</v>
      </c>
      <c r="AU103" s="79">
        <f>$I$51*$AU$51</f>
        <v>0</v>
      </c>
      <c r="AV103" s="79">
        <f>$I$51*$AV$51</f>
        <v>0</v>
      </c>
      <c r="AW103" s="79">
        <f>$I$51*$AW$51</f>
        <v>0</v>
      </c>
      <c r="AX103" s="79">
        <f>$I$51*$AX$51</f>
        <v>0</v>
      </c>
      <c r="AY103" s="79">
        <f>$I$51*$AY$51</f>
        <v>0</v>
      </c>
      <c r="AZ103" s="79">
        <f>$I$51*$AZ$51</f>
        <v>0</v>
      </c>
      <c r="BA103" s="79">
        <f>$I$51*$BA$51</f>
        <v>0</v>
      </c>
      <c r="BB103" s="79">
        <f>$I$51*$BB$51</f>
        <v>0</v>
      </c>
      <c r="BC103" s="79">
        <f>$I$51*$BC$51</f>
        <v>0</v>
      </c>
      <c r="BD103" s="79">
        <f>$I$51*$BD$51</f>
        <v>0</v>
      </c>
    </row>
  </sheetData>
  <mergeCells count="88"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  <mergeCell ref="E45:E47"/>
    <mergeCell ref="F45:F47"/>
    <mergeCell ref="A50:A51"/>
    <mergeCell ref="B50:B51"/>
    <mergeCell ref="C50:C51"/>
    <mergeCell ref="D45:D47"/>
    <mergeCell ref="AI1:BD1"/>
    <mergeCell ref="AI2:BD2"/>
    <mergeCell ref="AI3:AP3"/>
    <mergeCell ref="AQ3:AW3"/>
    <mergeCell ref="AY3:AZ3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F5:F7"/>
    <mergeCell ref="B10:B14"/>
    <mergeCell ref="G1:G4"/>
    <mergeCell ref="H1:H4"/>
    <mergeCell ref="I1:I4"/>
    <mergeCell ref="F1:F4"/>
    <mergeCell ref="F10:F12"/>
    <mergeCell ref="F13:F1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DA69C-DA55-4A0E-A71D-72F297076D8B}">
  <dimension ref="A1:AH83"/>
  <sheetViews>
    <sheetView showGridLines="0" topLeftCell="M16" workbookViewId="0">
      <selection activeCell="V42" sqref="V42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6" style="9" bestFit="1" customWidth="1"/>
    <col min="15" max="15" width="11.140625" style="9" bestFit="1" customWidth="1"/>
    <col min="16" max="16" width="10.5703125" style="9" bestFit="1" customWidth="1"/>
    <col min="17" max="17" width="15" style="9" bestFit="1" customWidth="1"/>
    <col min="18" max="18" width="10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8.7109375" style="9" bestFit="1" customWidth="1"/>
    <col min="25" max="25" width="10" style="9" bestFit="1" customWidth="1"/>
    <col min="26" max="26" width="6" style="9" bestFit="1" customWidth="1"/>
    <col min="27" max="27" width="11.140625" style="9" bestFit="1" customWidth="1"/>
    <col min="28" max="28" width="10.5703125" style="9" bestFit="1" customWidth="1"/>
    <col min="29" max="29" width="15" style="9" bestFit="1" customWidth="1"/>
    <col min="30" max="30" width="10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29" t="s">
        <v>70</v>
      </c>
      <c r="B1" s="129" t="s">
        <v>71</v>
      </c>
      <c r="C1" s="129" t="s">
        <v>72</v>
      </c>
      <c r="D1" s="129" t="s">
        <v>73</v>
      </c>
      <c r="E1" s="129" t="s">
        <v>74</v>
      </c>
      <c r="F1" s="129" t="s">
        <v>15</v>
      </c>
      <c r="G1" s="129" t="s">
        <v>76</v>
      </c>
      <c r="H1" s="129" t="s">
        <v>77</v>
      </c>
      <c r="I1" s="129" t="s">
        <v>745</v>
      </c>
      <c r="J1" s="108"/>
      <c r="L1" s="127" t="s">
        <v>1115</v>
      </c>
      <c r="M1" s="127"/>
      <c r="N1" s="127"/>
      <c r="O1" s="127"/>
      <c r="P1" s="127"/>
      <c r="Q1" s="127"/>
      <c r="R1" s="127"/>
      <c r="S1" s="127"/>
      <c r="T1" s="127"/>
      <c r="U1" s="127"/>
      <c r="V1" s="127"/>
      <c r="X1" s="127" t="s">
        <v>1116</v>
      </c>
      <c r="Y1" s="127"/>
      <c r="Z1" s="127"/>
      <c r="AA1" s="127"/>
      <c r="AB1" s="127"/>
      <c r="AC1" s="127"/>
      <c r="AD1" s="127"/>
      <c r="AE1" s="127"/>
      <c r="AF1" s="127"/>
      <c r="AG1" s="127"/>
      <c r="AH1" s="127"/>
    </row>
    <row r="2" spans="1:34" ht="11.25" customHeight="1" x14ac:dyDescent="0.25">
      <c r="A2" s="129"/>
      <c r="B2" s="129"/>
      <c r="C2" s="129"/>
      <c r="D2" s="129"/>
      <c r="E2" s="129"/>
      <c r="F2" s="129"/>
      <c r="G2" s="129"/>
      <c r="H2" s="129"/>
      <c r="I2" s="129"/>
      <c r="J2" s="108"/>
      <c r="L2" s="127" t="s">
        <v>672</v>
      </c>
      <c r="M2" s="127"/>
      <c r="N2" s="127"/>
      <c r="O2" s="127"/>
      <c r="P2" s="127"/>
      <c r="Q2" s="127"/>
      <c r="R2" s="127"/>
      <c r="S2" s="127"/>
      <c r="T2" s="127"/>
      <c r="U2" s="127"/>
      <c r="V2" s="127"/>
      <c r="X2" s="127" t="s">
        <v>672</v>
      </c>
      <c r="Y2" s="127"/>
      <c r="Z2" s="127"/>
      <c r="AA2" s="127"/>
      <c r="AB2" s="127"/>
      <c r="AC2" s="127"/>
      <c r="AD2" s="127"/>
      <c r="AE2" s="127"/>
      <c r="AF2" s="127"/>
      <c r="AG2" s="127"/>
      <c r="AH2" s="127"/>
    </row>
    <row r="3" spans="1:34" ht="11.25" customHeight="1" x14ac:dyDescent="0.25">
      <c r="A3" s="129"/>
      <c r="B3" s="129"/>
      <c r="C3" s="129"/>
      <c r="D3" s="129"/>
      <c r="E3" s="129"/>
      <c r="F3" s="129"/>
      <c r="G3" s="129"/>
      <c r="H3" s="129"/>
      <c r="I3" s="129"/>
      <c r="J3" s="108"/>
      <c r="L3" s="127" t="s">
        <v>645</v>
      </c>
      <c r="M3" s="127"/>
      <c r="N3" s="127"/>
      <c r="O3" s="127"/>
      <c r="P3" s="127"/>
      <c r="Q3" s="83" t="s">
        <v>676</v>
      </c>
      <c r="R3" s="127" t="s">
        <v>654</v>
      </c>
      <c r="S3" s="127"/>
      <c r="T3" s="127"/>
      <c r="U3" s="83" t="s">
        <v>664</v>
      </c>
      <c r="V3" s="83" t="s">
        <v>667</v>
      </c>
      <c r="X3" s="127" t="s">
        <v>645</v>
      </c>
      <c r="Y3" s="127"/>
      <c r="Z3" s="127"/>
      <c r="AA3" s="127"/>
      <c r="AB3" s="127"/>
      <c r="AC3" s="83" t="s">
        <v>676</v>
      </c>
      <c r="AD3" s="127" t="s">
        <v>654</v>
      </c>
      <c r="AE3" s="127"/>
      <c r="AF3" s="127"/>
      <c r="AG3" s="83" t="s">
        <v>664</v>
      </c>
      <c r="AH3" s="83" t="s">
        <v>667</v>
      </c>
    </row>
    <row r="4" spans="1:34" ht="11.25" customHeight="1" x14ac:dyDescent="0.25">
      <c r="A4" s="129"/>
      <c r="B4" s="129"/>
      <c r="C4" s="129"/>
      <c r="D4" s="129"/>
      <c r="E4" s="129"/>
      <c r="F4" s="129"/>
      <c r="G4" s="129"/>
      <c r="H4" s="129"/>
      <c r="I4" s="129"/>
      <c r="J4" s="108"/>
      <c r="L4" s="83" t="s">
        <v>647</v>
      </c>
      <c r="M4" s="83" t="s">
        <v>673</v>
      </c>
      <c r="N4" s="83" t="s">
        <v>674</v>
      </c>
      <c r="O4" s="83" t="s">
        <v>733</v>
      </c>
      <c r="P4" s="83" t="s">
        <v>675</v>
      </c>
      <c r="Q4" s="83" t="s">
        <v>677</v>
      </c>
      <c r="R4" s="83" t="s">
        <v>678</v>
      </c>
      <c r="S4" s="83" t="s">
        <v>679</v>
      </c>
      <c r="T4" s="83" t="s">
        <v>680</v>
      </c>
      <c r="U4" s="83" t="s">
        <v>665</v>
      </c>
      <c r="V4" s="83" t="s">
        <v>681</v>
      </c>
      <c r="X4" s="83" t="s">
        <v>647</v>
      </c>
      <c r="Y4" s="83" t="s">
        <v>673</v>
      </c>
      <c r="Z4" s="83" t="s">
        <v>674</v>
      </c>
      <c r="AA4" s="83" t="s">
        <v>733</v>
      </c>
      <c r="AB4" s="83" t="s">
        <v>675</v>
      </c>
      <c r="AC4" s="83" t="s">
        <v>677</v>
      </c>
      <c r="AD4" s="83" t="s">
        <v>678</v>
      </c>
      <c r="AE4" s="83" t="s">
        <v>679</v>
      </c>
      <c r="AF4" s="83" t="s">
        <v>680</v>
      </c>
      <c r="AG4" s="83" t="s">
        <v>665</v>
      </c>
      <c r="AH4" s="83" t="s">
        <v>681</v>
      </c>
    </row>
    <row r="5" spans="1:34" ht="11.25" customHeight="1" x14ac:dyDescent="0.25">
      <c r="A5" s="130" t="s">
        <v>39</v>
      </c>
      <c r="B5" s="130" t="s">
        <v>79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81</v>
      </c>
      <c r="H5" s="32" t="s">
        <v>80</v>
      </c>
      <c r="I5" s="32">
        <f>'MERCADO TE'!$U$2</f>
        <v>3135.924</v>
      </c>
      <c r="J5" s="17"/>
      <c r="L5" s="30">
        <f>('TE BE'!$L$5+'TE BF'!$L$5+'TE CVA'!$L$5)*1</f>
        <v>3.1750396112387183</v>
      </c>
      <c r="M5" s="30">
        <f>('TE BE'!$M$5+'TE BF'!$M$5+'TE CVA'!$M$5)*1</f>
        <v>34.41537793865642</v>
      </c>
      <c r="N5" s="30">
        <f>('TE BE'!$N$5+'TE BF'!$N$5+'TE CVA'!$N$5)*1</f>
        <v>0</v>
      </c>
      <c r="O5" s="30">
        <f>('TE BE'!$O$5+'TE BF'!$O$5+'TE CVA'!$O$5)*1</f>
        <v>11.46626064803395</v>
      </c>
      <c r="P5" s="30">
        <f>('TE BE'!$P$5+'TE BF'!$P$5+'TE CVA'!$P$5)*1</f>
        <v>-16.54872648187872</v>
      </c>
      <c r="Q5" s="30">
        <f>('TE BE'!$R$5+'TE BF'!$R$5+'TE CVA'!$R$5)*1</f>
        <v>444.77359544623397</v>
      </c>
      <c r="R5" s="30">
        <f>('TE BE'!$T$5+'TE BF'!$T$5+'TE CVA'!$T$5)*1</f>
        <v>8.5683681027877991</v>
      </c>
      <c r="S5" s="30">
        <f>('TE BE'!$U$5+'TE BF'!$U$5+'TE CVA'!$U$5)*1</f>
        <v>5.2941791159378306</v>
      </c>
      <c r="T5" s="30">
        <f>('TE BE'!$V$5+'TE BF'!$V$5+'TE CVA'!$V$5)*1</f>
        <v>0</v>
      </c>
      <c r="U5" s="30">
        <f>('TE BE'!$X$5+'TE BF'!$X$5+'TE CVA'!$X$5)*1</f>
        <v>-13.706871437682343</v>
      </c>
      <c r="V5" s="30">
        <f>('TE BE'!$Z$5+'TE BF'!$Z$5+'TE CVA'!$Z$5)*1</f>
        <v>8.4387534752064823</v>
      </c>
      <c r="X5" s="30">
        <v>2.9186471370859701</v>
      </c>
      <c r="Y5" s="30">
        <v>18.559716389426601</v>
      </c>
      <c r="Z5" s="30">
        <v>0</v>
      </c>
      <c r="AA5" s="30">
        <v>0</v>
      </c>
      <c r="AB5" s="30">
        <v>0</v>
      </c>
      <c r="AC5" s="30">
        <v>443.27992602459699</v>
      </c>
      <c r="AD5" s="30">
        <v>6.0849189847415097</v>
      </c>
      <c r="AE5" s="30">
        <v>4.5869202763011501</v>
      </c>
      <c r="AF5" s="30">
        <v>0</v>
      </c>
      <c r="AG5" s="30">
        <v>0</v>
      </c>
      <c r="AH5" s="30">
        <v>7.2335851425458202</v>
      </c>
    </row>
    <row r="6" spans="1:34" ht="11.25" customHeight="1" x14ac:dyDescent="0.25">
      <c r="A6" s="130"/>
      <c r="B6" s="130"/>
      <c r="C6" s="130"/>
      <c r="D6" s="130"/>
      <c r="E6" s="130"/>
      <c r="F6" s="130"/>
      <c r="G6" s="32" t="s">
        <v>82</v>
      </c>
      <c r="H6" s="32" t="s">
        <v>80</v>
      </c>
      <c r="I6" s="32">
        <f>'MERCADO TE'!$U$3</f>
        <v>56204.419000000002</v>
      </c>
      <c r="J6" s="17"/>
      <c r="L6" s="30">
        <f>('TE BE'!$L$6+'TE BF'!$L$6+'TE CVA'!$L$6)*1</f>
        <v>3.1750396112387183</v>
      </c>
      <c r="M6" s="30">
        <f>('TE BE'!$M$6+'TE BF'!$M$6+'TE CVA'!$M$6)*1</f>
        <v>34.41537793865642</v>
      </c>
      <c r="N6" s="30">
        <f>('TE BE'!$N$6+'TE BF'!$N$6+'TE CVA'!$N$6)*1</f>
        <v>0</v>
      </c>
      <c r="O6" s="30">
        <f>('TE BE'!$O$6+'TE BF'!$O$6+'TE CVA'!$O$6)*1</f>
        <v>11.46626064803395</v>
      </c>
      <c r="P6" s="30">
        <f>('TE BE'!$P$6+'TE BF'!$P$6+'TE CVA'!$P$6)*1</f>
        <v>-16.54872648187872</v>
      </c>
      <c r="Q6" s="30">
        <f>('TE BE'!$R$6+'TE BF'!$R$6+'TE CVA'!$R$6)*1</f>
        <v>258.58929967804295</v>
      </c>
      <c r="R6" s="30">
        <f>('TE BE'!$T$6+'TE BF'!$T$6+'TE CVA'!$T$6)*1</f>
        <v>8.5683681027877991</v>
      </c>
      <c r="S6" s="30">
        <f>('TE BE'!$U$6+'TE BF'!$U$6+'TE CVA'!$U$6)*1</f>
        <v>5.2941791159378306</v>
      </c>
      <c r="T6" s="30">
        <f>('TE BE'!$V$6+'TE BF'!$V$6+'TE CVA'!$V$6)*1</f>
        <v>0</v>
      </c>
      <c r="U6" s="30">
        <f>('TE BE'!$X$6+'TE BF'!$X$6+'TE CVA'!$X$6)*1</f>
        <v>-8.5282735514919317</v>
      </c>
      <c r="V6" s="30">
        <f>('TE BE'!$Z$6+'TE BF'!$Z$6+'TE CVA'!$Z$6)*1</f>
        <v>8.4387534752064823</v>
      </c>
      <c r="X6" s="30">
        <v>2.9186471370859701</v>
      </c>
      <c r="Y6" s="30">
        <v>18.559716389426601</v>
      </c>
      <c r="Z6" s="30">
        <v>0</v>
      </c>
      <c r="AA6" s="30">
        <v>0</v>
      </c>
      <c r="AB6" s="30">
        <v>0</v>
      </c>
      <c r="AC6" s="30">
        <v>257.72088722360297</v>
      </c>
      <c r="AD6" s="30">
        <v>6.0849189847415097</v>
      </c>
      <c r="AE6" s="30">
        <v>4.5869202763011501</v>
      </c>
      <c r="AF6" s="30">
        <v>0</v>
      </c>
      <c r="AG6" s="30">
        <v>0</v>
      </c>
      <c r="AH6" s="30">
        <v>7.2335851425458202</v>
      </c>
    </row>
    <row r="7" spans="1:34" ht="11.25" customHeight="1" x14ac:dyDescent="0.25">
      <c r="A7" s="130" t="s">
        <v>22</v>
      </c>
      <c r="B7" s="130" t="s">
        <v>79</v>
      </c>
      <c r="C7" s="130" t="s">
        <v>24</v>
      </c>
      <c r="D7" s="130" t="s">
        <v>24</v>
      </c>
      <c r="E7" s="130" t="s">
        <v>25</v>
      </c>
      <c r="F7" s="130" t="s">
        <v>25</v>
      </c>
      <c r="G7" s="32" t="s">
        <v>81</v>
      </c>
      <c r="H7" s="32" t="s">
        <v>80</v>
      </c>
      <c r="I7" s="32">
        <f>'MERCADO TE'!$U$4</f>
        <v>17.608000000000004</v>
      </c>
      <c r="J7" s="17"/>
      <c r="L7" s="30">
        <f>('TE BE'!$L$7+'TE BF'!$L$7+'TE CVA'!$L$7)*1</f>
        <v>3.1750396112387183</v>
      </c>
      <c r="M7" s="30">
        <f>('TE BE'!$M$7+'TE BF'!$M$7+'TE CVA'!$M$7)*1</f>
        <v>34.41537793865642</v>
      </c>
      <c r="N7" s="30">
        <f>('TE BE'!$N$7+'TE BF'!$N$7+'TE CVA'!$N$7)*1</f>
        <v>0</v>
      </c>
      <c r="O7" s="30">
        <f>('TE BE'!$O$7+'TE BF'!$O$7+'TE CVA'!$O$7)*1</f>
        <v>11.46626064803395</v>
      </c>
      <c r="P7" s="30">
        <f>('TE BE'!$P$7+'TE BF'!$P$7+'TE CVA'!$P$7)*1</f>
        <v>-16.54872648187872</v>
      </c>
      <c r="Q7" s="30">
        <f>('TE BE'!$R$7+'TE BF'!$R$7+'TE CVA'!$R$7)*1</f>
        <v>444.77359544623397</v>
      </c>
      <c r="R7" s="30">
        <f>('TE BE'!$T$7+'TE BF'!$T$7+'TE CVA'!$T$7)*1</f>
        <v>8.5683681027877991</v>
      </c>
      <c r="S7" s="30">
        <f>('TE BE'!$U$7+'TE BF'!$U$7+'TE CVA'!$U$7)*1</f>
        <v>5.2941791159378306</v>
      </c>
      <c r="T7" s="30">
        <f>('TE BE'!$V$7+'TE BF'!$V$7+'TE CVA'!$V$7)*1</f>
        <v>0</v>
      </c>
      <c r="U7" s="30">
        <f>('TE BE'!$X$7+'TE BF'!$X$7+'TE CVA'!$X$7)*1</f>
        <v>-13.706871437682343</v>
      </c>
      <c r="V7" s="30">
        <f>('TE BE'!$Z$7+'TE BF'!$Z$7+'TE CVA'!$Z$7)*1</f>
        <v>8.4387534752064823</v>
      </c>
      <c r="X7" s="30">
        <v>2.9186471370859701</v>
      </c>
      <c r="Y7" s="30">
        <v>18.559716389426601</v>
      </c>
      <c r="Z7" s="30">
        <v>0</v>
      </c>
      <c r="AA7" s="30">
        <v>0</v>
      </c>
      <c r="AB7" s="30">
        <v>0</v>
      </c>
      <c r="AC7" s="30">
        <v>443.27992602459699</v>
      </c>
      <c r="AD7" s="30">
        <v>6.0849189847415097</v>
      </c>
      <c r="AE7" s="30">
        <v>4.5869202763011501</v>
      </c>
      <c r="AF7" s="30">
        <v>0</v>
      </c>
      <c r="AG7" s="30">
        <v>0</v>
      </c>
      <c r="AH7" s="30">
        <v>7.2335851425458202</v>
      </c>
    </row>
    <row r="8" spans="1:34" ht="11.25" customHeight="1" x14ac:dyDescent="0.25">
      <c r="A8" s="130"/>
      <c r="B8" s="130"/>
      <c r="C8" s="130"/>
      <c r="D8" s="130"/>
      <c r="E8" s="130"/>
      <c r="F8" s="130"/>
      <c r="G8" s="32" t="s">
        <v>91</v>
      </c>
      <c r="H8" s="32" t="s">
        <v>80</v>
      </c>
      <c r="I8" s="32">
        <f>'MERCADO TE'!$U$5</f>
        <v>7.3439999999999994</v>
      </c>
      <c r="J8" s="17"/>
      <c r="L8" s="30">
        <f>('TE BE'!$L$8+'TE BF'!$L$8+'TE CVA'!$L$8)*1</f>
        <v>3.1750396112387183</v>
      </c>
      <c r="M8" s="30">
        <f>('TE BE'!$M$8+'TE BF'!$M$8+'TE CVA'!$M$8)*1</f>
        <v>34.41537793865642</v>
      </c>
      <c r="N8" s="30">
        <f>('TE BE'!$N$8+'TE BF'!$N$8+'TE CVA'!$N$8)*1</f>
        <v>0</v>
      </c>
      <c r="O8" s="30">
        <f>('TE BE'!$O$8+'TE BF'!$O$8+'TE CVA'!$O$8)*1</f>
        <v>11.46626064803395</v>
      </c>
      <c r="P8" s="30">
        <f>('TE BE'!$P$8+'TE BF'!$P$8+'TE CVA'!$P$8)*1</f>
        <v>-16.54872648187872</v>
      </c>
      <c r="Q8" s="30">
        <f>('TE BE'!$R$8+'TE BF'!$R$8+'TE CVA'!$R$8)*1</f>
        <v>258.58929967804295</v>
      </c>
      <c r="R8" s="30">
        <f>('TE BE'!$T$8+'TE BF'!$T$8+'TE CVA'!$T$8)*1</f>
        <v>8.5683681027877991</v>
      </c>
      <c r="S8" s="30">
        <f>('TE BE'!$U$8+'TE BF'!$U$8+'TE CVA'!$U$8)*1</f>
        <v>5.2941791159378306</v>
      </c>
      <c r="T8" s="30">
        <f>('TE BE'!$V$8+'TE BF'!$V$8+'TE CVA'!$V$8)*1</f>
        <v>0</v>
      </c>
      <c r="U8" s="30">
        <f>('TE BE'!$X$8+'TE BF'!$X$8+'TE CVA'!$X$8)*1</f>
        <v>-8.5282735514919317</v>
      </c>
      <c r="V8" s="30">
        <f>('TE BE'!$Z$8+'TE BF'!$Z$8+'TE CVA'!$Z$8)*1</f>
        <v>8.4387534752064823</v>
      </c>
      <c r="X8" s="30">
        <v>2.9186471370859701</v>
      </c>
      <c r="Y8" s="30">
        <v>18.559716389426601</v>
      </c>
      <c r="Z8" s="30">
        <v>0</v>
      </c>
      <c r="AA8" s="30">
        <v>0</v>
      </c>
      <c r="AB8" s="30">
        <v>0</v>
      </c>
      <c r="AC8" s="30">
        <v>257.72088722360297</v>
      </c>
      <c r="AD8" s="30">
        <v>6.0849189847415097</v>
      </c>
      <c r="AE8" s="30">
        <v>4.5869202763011501</v>
      </c>
      <c r="AF8" s="30">
        <v>0</v>
      </c>
      <c r="AG8" s="30">
        <v>0</v>
      </c>
      <c r="AH8" s="30">
        <v>7.2335851425458202</v>
      </c>
    </row>
    <row r="9" spans="1:34" ht="11.25" customHeight="1" x14ac:dyDescent="0.25">
      <c r="A9" s="130"/>
      <c r="B9" s="130"/>
      <c r="C9" s="130"/>
      <c r="D9" s="130"/>
      <c r="E9" s="130"/>
      <c r="F9" s="130"/>
      <c r="G9" s="32" t="s">
        <v>82</v>
      </c>
      <c r="H9" s="32" t="s">
        <v>80</v>
      </c>
      <c r="I9" s="32">
        <f>'MERCADO TE'!$U$6</f>
        <v>120.18199999999999</v>
      </c>
      <c r="J9" s="17"/>
      <c r="L9" s="30">
        <f>('TE BE'!$L$9+'TE BF'!$L$9+'TE CVA'!$L$9)*1</f>
        <v>3.1750396112387183</v>
      </c>
      <c r="M9" s="30">
        <f>('TE BE'!$M$9+'TE BF'!$M$9+'TE CVA'!$M$9)*1</f>
        <v>34.41537793865642</v>
      </c>
      <c r="N9" s="30">
        <f>('TE BE'!$N$9+'TE BF'!$N$9+'TE CVA'!$N$9)*1</f>
        <v>0</v>
      </c>
      <c r="O9" s="30">
        <f>('TE BE'!$O$9+'TE BF'!$O$9+'TE CVA'!$O$9)*1</f>
        <v>11.46626064803395</v>
      </c>
      <c r="P9" s="30">
        <f>('TE BE'!$P$9+'TE BF'!$P$9+'TE CVA'!$P$9)*1</f>
        <v>-16.54872648187872</v>
      </c>
      <c r="Q9" s="30">
        <f>('TE BE'!$R$9+'TE BF'!$R$9+'TE CVA'!$R$9)*1</f>
        <v>258.58929967804295</v>
      </c>
      <c r="R9" s="30">
        <f>('TE BE'!$T$9+'TE BF'!$T$9+'TE CVA'!$T$9)*1</f>
        <v>8.5683681027877991</v>
      </c>
      <c r="S9" s="30">
        <f>('TE BE'!$U$9+'TE BF'!$U$9+'TE CVA'!$U$9)*1</f>
        <v>5.2941791159378306</v>
      </c>
      <c r="T9" s="30">
        <f>('TE BE'!$V$9+'TE BF'!$V$9+'TE CVA'!$V$9)*1</f>
        <v>0</v>
      </c>
      <c r="U9" s="30">
        <f>('TE BE'!$X$9+'TE BF'!$X$9+'TE CVA'!$X$9)*1</f>
        <v>-8.5282735514919317</v>
      </c>
      <c r="V9" s="30">
        <f>('TE BE'!$Z$9+'TE BF'!$Z$9+'TE CVA'!$Z$9)*1</f>
        <v>8.4387534752064823</v>
      </c>
      <c r="X9" s="30">
        <v>2.9186471370859701</v>
      </c>
      <c r="Y9" s="30">
        <v>18.559716389426601</v>
      </c>
      <c r="Z9" s="30">
        <v>0</v>
      </c>
      <c r="AA9" s="30">
        <v>0</v>
      </c>
      <c r="AB9" s="30">
        <v>0</v>
      </c>
      <c r="AC9" s="30">
        <v>257.72088722360297</v>
      </c>
      <c r="AD9" s="30">
        <v>6.0849189847415097</v>
      </c>
      <c r="AE9" s="30">
        <v>4.5869202763011501</v>
      </c>
      <c r="AF9" s="30">
        <v>0</v>
      </c>
      <c r="AG9" s="30">
        <v>0</v>
      </c>
      <c r="AH9" s="30">
        <v>7.2335851425458202</v>
      </c>
    </row>
    <row r="10" spans="1:34" ht="11.25" customHeight="1" x14ac:dyDescent="0.25">
      <c r="A10" s="130"/>
      <c r="B10" s="130" t="s">
        <v>92</v>
      </c>
      <c r="C10" s="130" t="s">
        <v>24</v>
      </c>
      <c r="D10" s="82" t="s">
        <v>24</v>
      </c>
      <c r="E10" s="82" t="s">
        <v>25</v>
      </c>
      <c r="F10" s="82" t="s">
        <v>25</v>
      </c>
      <c r="G10" s="32" t="s">
        <v>86</v>
      </c>
      <c r="H10" s="32" t="s">
        <v>80</v>
      </c>
      <c r="I10" s="32">
        <f>'MERCADO TE'!$U$7</f>
        <v>125132.74900000001</v>
      </c>
      <c r="J10" s="17"/>
      <c r="L10" s="30">
        <f>('TE BE'!$L$10+'TE BF'!$L$10+'TE CVA'!$L$10)*1</f>
        <v>3.1750396112387183</v>
      </c>
      <c r="M10" s="30">
        <f>('TE BE'!$M$10+'TE BF'!$M$10+'TE CVA'!$M$10)*1</f>
        <v>34.41537793865642</v>
      </c>
      <c r="N10" s="30">
        <f>('TE BE'!$N$10+'TE BF'!$N$10+'TE CVA'!$N$10)*1</f>
        <v>0</v>
      </c>
      <c r="O10" s="30">
        <f>('TE BE'!$O$10+'TE BF'!$O$10+'TE CVA'!$O$10)*1</f>
        <v>11.46626064803395</v>
      </c>
      <c r="P10" s="30">
        <f>('TE BE'!$P$10+'TE BF'!$P$10+'TE CVA'!$P$10)*1</f>
        <v>-16.54872648187872</v>
      </c>
      <c r="Q10" s="30">
        <f>('TE BE'!$R$10+'TE BF'!$R$10+'TE CVA'!$R$10)*1</f>
        <v>274.10465765872561</v>
      </c>
      <c r="R10" s="30">
        <f>('TE BE'!$T$10+'TE BF'!$T$10+'TE CVA'!$T$10)*1</f>
        <v>8.5683681027877991</v>
      </c>
      <c r="S10" s="30">
        <f>('TE BE'!$U$10+'TE BF'!$U$10+'TE CVA'!$U$10)*1</f>
        <v>5.2941791159378306</v>
      </c>
      <c r="T10" s="30">
        <f>('TE BE'!$V$10+'TE BF'!$V$10+'TE CVA'!$V$10)*1</f>
        <v>0</v>
      </c>
      <c r="U10" s="30">
        <f>('TE BE'!$X$10+'TE BF'!$X$10+'TE CVA'!$X$10)*1</f>
        <v>-8.9598233753411325</v>
      </c>
      <c r="V10" s="30">
        <f>('TE BE'!$Z$10+'TE BF'!$Z$10+'TE CVA'!$Z$10)*1</f>
        <v>8.4387534752064823</v>
      </c>
      <c r="X10" s="30">
        <v>2.9186471370859701</v>
      </c>
      <c r="Y10" s="30">
        <v>18.559716389426601</v>
      </c>
      <c r="Z10" s="30">
        <v>0</v>
      </c>
      <c r="AA10" s="30">
        <v>0</v>
      </c>
      <c r="AB10" s="30">
        <v>0</v>
      </c>
      <c r="AC10" s="30">
        <v>273.184140457019</v>
      </c>
      <c r="AD10" s="30">
        <v>6.0849189847415097</v>
      </c>
      <c r="AE10" s="30">
        <v>4.5869202763011501</v>
      </c>
      <c r="AF10" s="30">
        <v>0</v>
      </c>
      <c r="AG10" s="30">
        <v>0</v>
      </c>
      <c r="AH10" s="30">
        <v>7.2335851425458202</v>
      </c>
    </row>
    <row r="11" spans="1:34" ht="11.25" customHeight="1" x14ac:dyDescent="0.25">
      <c r="A11" s="130"/>
      <c r="B11" s="130"/>
      <c r="C11" s="130"/>
      <c r="D11" s="82" t="s">
        <v>29</v>
      </c>
      <c r="E11" s="82" t="s">
        <v>25</v>
      </c>
      <c r="F11" s="82" t="s">
        <v>25</v>
      </c>
      <c r="G11" s="32" t="s">
        <v>86</v>
      </c>
      <c r="H11" s="32" t="s">
        <v>80</v>
      </c>
      <c r="I11" s="32">
        <f>'MERCADO TE'!$U$8</f>
        <v>4179.51</v>
      </c>
      <c r="J11" s="17"/>
      <c r="L11" s="30">
        <f>('TE BE'!$L$11+'TE BF'!$L$11+'TE CVA'!$L$11)*(1 - 0.65)</f>
        <v>1.1112638639335513</v>
      </c>
      <c r="M11" s="30">
        <f>('TE BE'!$M$11+'TE BF'!$M$11+'TE CVA'!$M$11)*(1 - 0.65)</f>
        <v>12.045382278529747</v>
      </c>
      <c r="N11" s="30">
        <f>('TE BE'!$N$11+'TE BF'!$N$11+'TE CVA'!$N$11)*(1 - 0.65)</f>
        <v>0</v>
      </c>
      <c r="O11" s="30">
        <f>('TE BE'!$O$11+'TE BF'!$O$11+'TE CVA'!$O$11)*(1 - 0.65)</f>
        <v>4.0131912268118821</v>
      </c>
      <c r="P11" s="30">
        <f>('TE BE'!$P$11+'TE BF'!$P$11+'TE CVA'!$P$11)*(1 - 0.65)</f>
        <v>-5.7920542686575516</v>
      </c>
      <c r="Q11" s="30">
        <f>('TE BE'!$R$11+'TE BF'!$R$11+'TE CVA'!$R$11)*(1 - 0.65)</f>
        <v>95.936630180553962</v>
      </c>
      <c r="R11" s="30">
        <f>('TE BE'!$T$11+'TE BF'!$T$11+'TE CVA'!$T$11)*(1 - 0.65)</f>
        <v>2.9989288359757293</v>
      </c>
      <c r="S11" s="30">
        <f>('TE BE'!$U$11+'TE BF'!$U$11+'TE CVA'!$U$11)*(1 - 0.65)</f>
        <v>1.8529626905782406</v>
      </c>
      <c r="T11" s="30">
        <f>('TE BE'!$V$11+'TE BF'!$V$11+'TE CVA'!$V$11)*(1 - 0.65)</f>
        <v>0</v>
      </c>
      <c r="U11" s="30">
        <f>('TE BE'!$X$11+'TE BF'!$X$11+'TE CVA'!$X$11)*(1 - 0.65)</f>
        <v>-3.1359381813693963</v>
      </c>
      <c r="V11" s="30">
        <f>('TE BE'!$Z$11+'TE BF'!$Z$11+'TE CVA'!$Z$11)*(1 - 0.65)</f>
        <v>2.9535637163222686</v>
      </c>
      <c r="X11" s="30">
        <v>1.02152649798009</v>
      </c>
      <c r="Y11" s="30">
        <v>6.4959007362993004</v>
      </c>
      <c r="Z11" s="30">
        <v>0</v>
      </c>
      <c r="AA11" s="30">
        <v>0</v>
      </c>
      <c r="AB11" s="30">
        <v>0</v>
      </c>
      <c r="AC11" s="30">
        <v>95.614449159956607</v>
      </c>
      <c r="AD11" s="30">
        <v>2.1297216446595302</v>
      </c>
      <c r="AE11" s="30">
        <v>1.6054220967054</v>
      </c>
      <c r="AF11" s="30">
        <v>0</v>
      </c>
      <c r="AG11" s="30">
        <v>0</v>
      </c>
      <c r="AH11" s="30">
        <v>2.5317547998910399</v>
      </c>
    </row>
    <row r="12" spans="1:34" ht="11.25" customHeight="1" x14ac:dyDescent="0.25">
      <c r="A12" s="130"/>
      <c r="B12" s="130"/>
      <c r="C12" s="130"/>
      <c r="D12" s="82" t="s">
        <v>30</v>
      </c>
      <c r="E12" s="82" t="s">
        <v>25</v>
      </c>
      <c r="F12" s="82" t="s">
        <v>25</v>
      </c>
      <c r="G12" s="32" t="s">
        <v>86</v>
      </c>
      <c r="H12" s="32" t="s">
        <v>80</v>
      </c>
      <c r="I12" s="32">
        <f>'MERCADO TE'!$U$9</f>
        <v>8380.1260000000002</v>
      </c>
      <c r="J12" s="17"/>
      <c r="L12" s="30">
        <f>('TE BE'!$L$12+'TE BF'!$L$12+'TE CVA'!$L$12)*(1 - 0.4)</f>
        <v>1.9050237667432308</v>
      </c>
      <c r="M12" s="30">
        <f>('TE BE'!$M$12+'TE BF'!$M$12+'TE CVA'!$M$12)*(1 - 0.4)</f>
        <v>20.649226763193852</v>
      </c>
      <c r="N12" s="30">
        <f>('TE BE'!$N$12+'TE BF'!$N$12+'TE CVA'!$N$12)*(1 - 0.4)</f>
        <v>0</v>
      </c>
      <c r="O12" s="30">
        <f>('TE BE'!$O$12+'TE BF'!$O$12+'TE CVA'!$O$12)*(1 - 0.4)</f>
        <v>6.8797563888203701</v>
      </c>
      <c r="P12" s="30">
        <f>('TE BE'!$P$12+'TE BF'!$P$12+'TE CVA'!$P$12)*(1 - 0.4)</f>
        <v>-9.9292358891272325</v>
      </c>
      <c r="Q12" s="30">
        <f>('TE BE'!$R$12+'TE BF'!$R$12+'TE CVA'!$R$12)*(1 - 0.4)</f>
        <v>164.46279459523535</v>
      </c>
      <c r="R12" s="30">
        <f>('TE BE'!$T$12+'TE BF'!$T$12+'TE CVA'!$T$12)*(1 - 0.4)</f>
        <v>5.1410208616726791</v>
      </c>
      <c r="S12" s="30">
        <f>('TE BE'!$U$12+'TE BF'!$U$12+'TE CVA'!$U$12)*(1 - 0.4)</f>
        <v>3.1765074695626985</v>
      </c>
      <c r="T12" s="30">
        <f>('TE BE'!$V$12+'TE BF'!$V$12+'TE CVA'!$V$12)*(1 - 0.4)</f>
        <v>0</v>
      </c>
      <c r="U12" s="30">
        <f>('TE BE'!$X$12+'TE BF'!$X$12+'TE CVA'!$X$12)*(1 - 0.4)</f>
        <v>-5.375894025204679</v>
      </c>
      <c r="V12" s="30">
        <f>('TE BE'!$Z$12+'TE BF'!$Z$12+'TE CVA'!$Z$12)*(1 - 0.4)</f>
        <v>5.0632520851238896</v>
      </c>
      <c r="X12" s="30">
        <v>1.7511882822515801</v>
      </c>
      <c r="Y12" s="30">
        <v>11.135829833655899</v>
      </c>
      <c r="Z12" s="30">
        <v>0</v>
      </c>
      <c r="AA12" s="30">
        <v>0</v>
      </c>
      <c r="AB12" s="30">
        <v>0</v>
      </c>
      <c r="AC12" s="30">
        <v>163.910484274211</v>
      </c>
      <c r="AD12" s="30">
        <v>3.6509513908449098</v>
      </c>
      <c r="AE12" s="30">
        <v>2.7521521657806902</v>
      </c>
      <c r="AF12" s="30">
        <v>0</v>
      </c>
      <c r="AG12" s="30">
        <v>0</v>
      </c>
      <c r="AH12" s="30">
        <v>4.3401510855274896</v>
      </c>
    </row>
    <row r="13" spans="1:34" ht="11.25" customHeight="1" x14ac:dyDescent="0.25">
      <c r="A13" s="130"/>
      <c r="B13" s="130"/>
      <c r="C13" s="130"/>
      <c r="D13" s="82" t="s">
        <v>31</v>
      </c>
      <c r="E13" s="82" t="s">
        <v>25</v>
      </c>
      <c r="F13" s="82" t="s">
        <v>25</v>
      </c>
      <c r="G13" s="32" t="s">
        <v>86</v>
      </c>
      <c r="H13" s="32" t="s">
        <v>80</v>
      </c>
      <c r="I13" s="32">
        <f>'MERCADO TE'!$U$10</f>
        <v>6567.2470000000003</v>
      </c>
      <c r="J13" s="17"/>
      <c r="L13" s="30">
        <f>('TE BE'!$L$13+'TE BF'!$L$13+'TE CVA'!$L$13)*(1 - 0.1)</f>
        <v>2.8575356501148463</v>
      </c>
      <c r="M13" s="30">
        <f>('TE BE'!$M$13+'TE BF'!$M$13+'TE CVA'!$M$13)*(1 - 0.1)</f>
        <v>30.973840144790778</v>
      </c>
      <c r="N13" s="30">
        <f>('TE BE'!$N$13+'TE BF'!$N$13+'TE CVA'!$N$13)*(1 - 0.1)</f>
        <v>0</v>
      </c>
      <c r="O13" s="30">
        <f>('TE BE'!$O$13+'TE BF'!$O$13+'TE CVA'!$O$13)*(1 - 0.1)</f>
        <v>10.319634583230556</v>
      </c>
      <c r="P13" s="30">
        <f>('TE BE'!$P$13+'TE BF'!$P$13+'TE CVA'!$P$13)*(1 - 0.1)</f>
        <v>-14.893853833690848</v>
      </c>
      <c r="Q13" s="30">
        <f>('TE BE'!$R$13+'TE BF'!$R$13+'TE CVA'!$R$13)*(1 - 0.1)</f>
        <v>246.69419189285307</v>
      </c>
      <c r="R13" s="30">
        <f>('TE BE'!$T$13+'TE BF'!$T$13+'TE CVA'!$T$13)*(1 - 0.1)</f>
        <v>7.7115312925090196</v>
      </c>
      <c r="S13" s="30">
        <f>('TE BE'!$U$13+'TE BF'!$U$13+'TE CVA'!$U$13)*(1 - 0.1)</f>
        <v>4.7647612043440475</v>
      </c>
      <c r="T13" s="30">
        <f>('TE BE'!$V$13+'TE BF'!$V$13+'TE CVA'!$V$13)*(1 - 0.1)</f>
        <v>0</v>
      </c>
      <c r="U13" s="30">
        <f>('TE BE'!$X$13+'TE BF'!$X$13+'TE CVA'!$X$13)*(1 - 0.1)</f>
        <v>-8.0638410378070198</v>
      </c>
      <c r="V13" s="30">
        <f>('TE BE'!$Z$13+'TE BF'!$Z$13+'TE CVA'!$Z$13)*(1 - 0.1)</f>
        <v>7.5948781276858339</v>
      </c>
      <c r="X13" s="30">
        <v>2.62678242337737</v>
      </c>
      <c r="Y13" s="30">
        <v>16.703744750483899</v>
      </c>
      <c r="Z13" s="30">
        <v>0</v>
      </c>
      <c r="AA13" s="30">
        <v>0</v>
      </c>
      <c r="AB13" s="30">
        <v>0</v>
      </c>
      <c r="AC13" s="30">
        <v>245.86572641131701</v>
      </c>
      <c r="AD13" s="30">
        <v>5.4764270862673596</v>
      </c>
      <c r="AE13" s="30">
        <v>4.1282282486710402</v>
      </c>
      <c r="AF13" s="30">
        <v>0</v>
      </c>
      <c r="AG13" s="30">
        <v>0</v>
      </c>
      <c r="AH13" s="30">
        <v>6.5102266282912398</v>
      </c>
    </row>
    <row r="14" spans="1:34" ht="11.25" customHeight="1" x14ac:dyDescent="0.25">
      <c r="A14" s="130"/>
      <c r="B14" s="130"/>
      <c r="C14" s="130"/>
      <c r="D14" s="82" t="s">
        <v>32</v>
      </c>
      <c r="E14" s="82" t="s">
        <v>25</v>
      </c>
      <c r="F14" s="82" t="s">
        <v>25</v>
      </c>
      <c r="G14" s="32" t="s">
        <v>86</v>
      </c>
      <c r="H14" s="32" t="s">
        <v>80</v>
      </c>
      <c r="I14" s="32">
        <f>'MERCADO TE'!$U$11</f>
        <v>1878.684</v>
      </c>
      <c r="J14" s="17"/>
      <c r="L14" s="30">
        <f>('TE BE'!$L$14+'TE BF'!$L$14+'TE CVA'!$L$14)*1</f>
        <v>3.1750396112387183</v>
      </c>
      <c r="M14" s="30">
        <f>('TE BE'!$M$14+'TE BF'!$M$14+'TE CVA'!$M$14)*1</f>
        <v>34.41537793865642</v>
      </c>
      <c r="N14" s="30">
        <f>('TE BE'!$N$14+'TE BF'!$N$14+'TE CVA'!$N$14)*1</f>
        <v>0</v>
      </c>
      <c r="O14" s="30">
        <f>('TE BE'!$O$14+'TE BF'!$O$14+'TE CVA'!$O$14)*1</f>
        <v>11.46626064803395</v>
      </c>
      <c r="P14" s="30">
        <f>('TE BE'!$P$14+'TE BF'!$P$14+'TE CVA'!$P$14)*1</f>
        <v>-16.54872648187872</v>
      </c>
      <c r="Q14" s="30">
        <f>('TE BE'!$R$14+'TE BF'!$R$14+'TE CVA'!$R$14)*1</f>
        <v>274.10465765872561</v>
      </c>
      <c r="R14" s="30">
        <f>('TE BE'!$T$14+'TE BF'!$T$14+'TE CVA'!$T$14)*1</f>
        <v>8.5683681027877991</v>
      </c>
      <c r="S14" s="30">
        <f>('TE BE'!$U$14+'TE BF'!$U$14+'TE CVA'!$U$14)*1</f>
        <v>5.2941791159378306</v>
      </c>
      <c r="T14" s="30">
        <f>('TE BE'!$V$14+'TE BF'!$V$14+'TE CVA'!$V$14)*1</f>
        <v>0</v>
      </c>
      <c r="U14" s="30">
        <f>('TE BE'!$X$14+'TE BF'!$X$14+'TE CVA'!$X$14)*1</f>
        <v>-8.9598233753411325</v>
      </c>
      <c r="V14" s="30">
        <f>('TE BE'!$Z$14+'TE BF'!$Z$14+'TE CVA'!$Z$14)*1</f>
        <v>8.4387534752064823</v>
      </c>
      <c r="X14" s="30">
        <v>2.9186471370859701</v>
      </c>
      <c r="Y14" s="30">
        <v>18.559716389426601</v>
      </c>
      <c r="Z14" s="30">
        <v>0</v>
      </c>
      <c r="AA14" s="30">
        <v>0</v>
      </c>
      <c r="AB14" s="30">
        <v>0</v>
      </c>
      <c r="AC14" s="30">
        <v>273.184140457019</v>
      </c>
      <c r="AD14" s="30">
        <v>6.0849189847415097</v>
      </c>
      <c r="AE14" s="30">
        <v>4.5869202763011501</v>
      </c>
      <c r="AF14" s="30">
        <v>0</v>
      </c>
      <c r="AG14" s="30">
        <v>0</v>
      </c>
      <c r="AH14" s="30">
        <v>7.2335851425458202</v>
      </c>
    </row>
    <row r="15" spans="1:34" ht="11.25" customHeight="1" x14ac:dyDescent="0.25">
      <c r="A15" s="130"/>
      <c r="B15" s="130" t="s">
        <v>93</v>
      </c>
      <c r="C15" s="130" t="s">
        <v>24</v>
      </c>
      <c r="D15" s="82" t="s">
        <v>24</v>
      </c>
      <c r="E15" s="82" t="s">
        <v>25</v>
      </c>
      <c r="F15" s="82" t="s">
        <v>25</v>
      </c>
      <c r="G15" s="32" t="s">
        <v>86</v>
      </c>
      <c r="H15" s="32" t="s">
        <v>80</v>
      </c>
      <c r="I15" s="32">
        <f>'MERCADO TE'!$U$12</f>
        <v>0</v>
      </c>
      <c r="J15" s="17"/>
      <c r="L15" s="30">
        <f>('TE BE'!$L$15+'TE BF'!$L$15+'TE CVA'!$L$15)*1</f>
        <v>3.1750396112387183</v>
      </c>
      <c r="M15" s="30">
        <f>('TE BE'!$M$15+'TE BF'!$M$15+'TE CVA'!$M$15)*1</f>
        <v>34.41537793865642</v>
      </c>
      <c r="N15" s="30">
        <f>('TE BE'!$N$15+'TE BF'!$N$15+'TE CVA'!$N$15)*1</f>
        <v>0</v>
      </c>
      <c r="O15" s="30">
        <f>('TE BE'!$O$15+'TE BF'!$O$15+'TE CVA'!$O$15)*1</f>
        <v>11.46626064803395</v>
      </c>
      <c r="P15" s="30">
        <f>('TE BE'!$P$15+'TE BF'!$P$15+'TE CVA'!$P$15)*1</f>
        <v>-16.54872648187872</v>
      </c>
      <c r="Q15" s="30">
        <f>('TE BE'!$R$15+'TE BF'!$R$15+'TE CVA'!$R$15)*1</f>
        <v>274.10465765872561</v>
      </c>
      <c r="R15" s="30">
        <f>('TE BE'!$T$15+'TE BF'!$T$15+'TE CVA'!$T$15)*1</f>
        <v>8.5683681027877991</v>
      </c>
      <c r="S15" s="30">
        <f>('TE BE'!$U$15+'TE BF'!$U$15+'TE CVA'!$U$15)*1</f>
        <v>5.2941791159378306</v>
      </c>
      <c r="T15" s="30">
        <f>('TE BE'!$V$15+'TE BF'!$V$15+'TE CVA'!$V$15)*1</f>
        <v>0</v>
      </c>
      <c r="U15" s="30">
        <f>('TE BE'!$X$15+'TE BF'!$X$15+'TE CVA'!$X$15)*1</f>
        <v>-8.9598233753411325</v>
      </c>
      <c r="V15" s="30">
        <f>('TE BE'!$Z$15+'TE BF'!$Z$15+'TE CVA'!$Z$15)*1</f>
        <v>8.4387534752064823</v>
      </c>
      <c r="X15" s="30">
        <v>2.9186471370859701</v>
      </c>
      <c r="Y15" s="30">
        <v>18.559716389426601</v>
      </c>
      <c r="Z15" s="30">
        <v>0</v>
      </c>
      <c r="AA15" s="30">
        <v>0</v>
      </c>
      <c r="AB15" s="30">
        <v>0</v>
      </c>
      <c r="AC15" s="30">
        <v>273.184140457019</v>
      </c>
      <c r="AD15" s="30">
        <v>6.0849189847415097</v>
      </c>
      <c r="AE15" s="30">
        <v>4.5869202763011501</v>
      </c>
      <c r="AF15" s="30">
        <v>0</v>
      </c>
      <c r="AG15" s="30">
        <v>0</v>
      </c>
      <c r="AH15" s="30">
        <v>7.2335851425458202</v>
      </c>
    </row>
    <row r="16" spans="1:34" ht="11.25" customHeight="1" x14ac:dyDescent="0.25">
      <c r="A16" s="130"/>
      <c r="B16" s="130"/>
      <c r="C16" s="130"/>
      <c r="D16" s="82" t="s">
        <v>29</v>
      </c>
      <c r="E16" s="82" t="s">
        <v>25</v>
      </c>
      <c r="F16" s="82" t="s">
        <v>25</v>
      </c>
      <c r="G16" s="32" t="s">
        <v>86</v>
      </c>
      <c r="H16" s="32" t="s">
        <v>80</v>
      </c>
      <c r="I16" s="32">
        <f>'MERCADO TE'!$U$13</f>
        <v>0</v>
      </c>
      <c r="J16" s="17"/>
      <c r="L16" s="30">
        <f>('TE BE'!$L$16+'TE BF'!$L$16+'TE CVA'!$L$16)*(1 - 0.65)</f>
        <v>1.1112638639335513</v>
      </c>
      <c r="M16" s="30">
        <f>('TE BE'!$M$16+'TE BF'!$M$16+'TE CVA'!$M$16)*(1 - 0.65)</f>
        <v>12.045382278529747</v>
      </c>
      <c r="N16" s="30">
        <f>('TE BE'!$N$16+'TE BF'!$N$16+'TE CVA'!$N$16)*(1 - 0.65)</f>
        <v>0</v>
      </c>
      <c r="O16" s="30">
        <f>('TE BE'!$O$16+'TE BF'!$O$16+'TE CVA'!$O$16)*(1 - 0.65)</f>
        <v>4.0131912268118821</v>
      </c>
      <c r="P16" s="30">
        <f>('TE BE'!$P$16+'TE BF'!$P$16+'TE CVA'!$P$16)*(1 - 0.65)</f>
        <v>-5.7920542686575516</v>
      </c>
      <c r="Q16" s="30">
        <f>('TE BE'!$R$16+'TE BF'!$R$16+'TE CVA'!$R$16)*(1 - 0.65)</f>
        <v>95.936630180553962</v>
      </c>
      <c r="R16" s="30">
        <f>('TE BE'!$T$16+'TE BF'!$T$16+'TE CVA'!$T$16)*(1 - 0.65)</f>
        <v>2.9989288359757293</v>
      </c>
      <c r="S16" s="30">
        <f>('TE BE'!$U$16+'TE BF'!$U$16+'TE CVA'!$U$16)*(1 - 0.65)</f>
        <v>1.8529626905782406</v>
      </c>
      <c r="T16" s="30">
        <f>('TE BE'!$V$16+'TE BF'!$V$16+'TE CVA'!$V$16)*(1 - 0.65)</f>
        <v>0</v>
      </c>
      <c r="U16" s="30">
        <f>('TE BE'!$X$16+'TE BF'!$X$16+'TE CVA'!$X$16)*(1 - 0.65)</f>
        <v>-3.1359381813693963</v>
      </c>
      <c r="V16" s="30">
        <f>('TE BE'!$Z$16+'TE BF'!$Z$16+'TE CVA'!$Z$16)*(1 - 0.65)</f>
        <v>2.9535637163222686</v>
      </c>
      <c r="X16" s="30">
        <v>1.02152649798009</v>
      </c>
      <c r="Y16" s="30">
        <v>6.4959007362993004</v>
      </c>
      <c r="Z16" s="30">
        <v>0</v>
      </c>
      <c r="AA16" s="30">
        <v>0</v>
      </c>
      <c r="AB16" s="30">
        <v>0</v>
      </c>
      <c r="AC16" s="30">
        <v>95.614449159956607</v>
      </c>
      <c r="AD16" s="30">
        <v>2.1297216446595302</v>
      </c>
      <c r="AE16" s="30">
        <v>1.6054220967054</v>
      </c>
      <c r="AF16" s="30">
        <v>0</v>
      </c>
      <c r="AG16" s="30">
        <v>0</v>
      </c>
      <c r="AH16" s="30">
        <v>2.5317547998910399</v>
      </c>
    </row>
    <row r="17" spans="1:34" ht="11.25" customHeight="1" x14ac:dyDescent="0.25">
      <c r="A17" s="130"/>
      <c r="B17" s="130"/>
      <c r="C17" s="130"/>
      <c r="D17" s="82" t="s">
        <v>30</v>
      </c>
      <c r="E17" s="82" t="s">
        <v>25</v>
      </c>
      <c r="F17" s="82" t="s">
        <v>25</v>
      </c>
      <c r="G17" s="32" t="s">
        <v>86</v>
      </c>
      <c r="H17" s="32" t="s">
        <v>80</v>
      </c>
      <c r="I17" s="32">
        <f>'MERCADO TE'!$U$14</f>
        <v>0</v>
      </c>
      <c r="J17" s="17"/>
      <c r="L17" s="30">
        <f>('TE BE'!$L$17+'TE BF'!$L$17+'TE CVA'!$L$17)*(1 - 0.4)</f>
        <v>1.9050237667432308</v>
      </c>
      <c r="M17" s="30">
        <f>('TE BE'!$M$17+'TE BF'!$M$17+'TE CVA'!$M$17)*(1 - 0.4)</f>
        <v>20.649226763193852</v>
      </c>
      <c r="N17" s="30">
        <f>('TE BE'!$N$17+'TE BF'!$N$17+'TE CVA'!$N$17)*(1 - 0.4)</f>
        <v>0</v>
      </c>
      <c r="O17" s="30">
        <f>('TE BE'!$O$17+'TE BF'!$O$17+'TE CVA'!$O$17)*(1 - 0.4)</f>
        <v>6.8797563888203701</v>
      </c>
      <c r="P17" s="30">
        <f>('TE BE'!$P$17+'TE BF'!$P$17+'TE CVA'!$P$17)*(1 - 0.4)</f>
        <v>-9.9292358891272325</v>
      </c>
      <c r="Q17" s="30">
        <f>('TE BE'!$R$17+'TE BF'!$R$17+'TE CVA'!$R$17)*(1 - 0.4)</f>
        <v>164.46279459523535</v>
      </c>
      <c r="R17" s="30">
        <f>('TE BE'!$T$17+'TE BF'!$T$17+'TE CVA'!$T$17)*(1 - 0.4)</f>
        <v>5.1410208616726791</v>
      </c>
      <c r="S17" s="30">
        <f>('TE BE'!$U$17+'TE BF'!$U$17+'TE CVA'!$U$17)*(1 - 0.4)</f>
        <v>3.1765074695626985</v>
      </c>
      <c r="T17" s="30">
        <f>('TE BE'!$V$17+'TE BF'!$V$17+'TE CVA'!$V$17)*(1 - 0.4)</f>
        <v>0</v>
      </c>
      <c r="U17" s="30">
        <f>('TE BE'!$X$17+'TE BF'!$X$17+'TE CVA'!$X$17)*(1 - 0.4)</f>
        <v>-5.375894025204679</v>
      </c>
      <c r="V17" s="30">
        <f>('TE BE'!$Z$17+'TE BF'!$Z$17+'TE CVA'!$Z$17)*(1 - 0.4)</f>
        <v>5.0632520851238896</v>
      </c>
      <c r="X17" s="30">
        <v>1.7511882822515801</v>
      </c>
      <c r="Y17" s="30">
        <v>11.135829833655899</v>
      </c>
      <c r="Z17" s="30">
        <v>0</v>
      </c>
      <c r="AA17" s="30">
        <v>0</v>
      </c>
      <c r="AB17" s="30">
        <v>0</v>
      </c>
      <c r="AC17" s="30">
        <v>163.910484274211</v>
      </c>
      <c r="AD17" s="30">
        <v>3.6509513908449098</v>
      </c>
      <c r="AE17" s="30">
        <v>2.7521521657806902</v>
      </c>
      <c r="AF17" s="30">
        <v>0</v>
      </c>
      <c r="AG17" s="30">
        <v>0</v>
      </c>
      <c r="AH17" s="30">
        <v>4.3401510855274896</v>
      </c>
    </row>
    <row r="18" spans="1:34" ht="11.25" customHeight="1" x14ac:dyDescent="0.25">
      <c r="A18" s="130"/>
      <c r="B18" s="130"/>
      <c r="C18" s="130"/>
      <c r="D18" s="82" t="s">
        <v>31</v>
      </c>
      <c r="E18" s="82" t="s">
        <v>25</v>
      </c>
      <c r="F18" s="82" t="s">
        <v>25</v>
      </c>
      <c r="G18" s="32" t="s">
        <v>86</v>
      </c>
      <c r="H18" s="32" t="s">
        <v>80</v>
      </c>
      <c r="I18" s="32">
        <f>'MERCADO TE'!$U$15</f>
        <v>0</v>
      </c>
      <c r="J18" s="17"/>
      <c r="L18" s="30">
        <f>('TE BE'!$L$18+'TE BF'!$L$18+'TE CVA'!$L$18)*(1 - 0.1)</f>
        <v>2.8575356501148463</v>
      </c>
      <c r="M18" s="30">
        <f>('TE BE'!$M$18+'TE BF'!$M$18+'TE CVA'!$M$18)*(1 - 0.1)</f>
        <v>30.973840144790778</v>
      </c>
      <c r="N18" s="30">
        <f>('TE BE'!$N$18+'TE BF'!$N$18+'TE CVA'!$N$18)*(1 - 0.1)</f>
        <v>0</v>
      </c>
      <c r="O18" s="30">
        <f>('TE BE'!$O$18+'TE BF'!$O$18+'TE CVA'!$O$18)*(1 - 0.1)</f>
        <v>10.319634583230556</v>
      </c>
      <c r="P18" s="30">
        <f>('TE BE'!$P$18+'TE BF'!$P$18+'TE CVA'!$P$18)*(1 - 0.1)</f>
        <v>-14.893853833690848</v>
      </c>
      <c r="Q18" s="30">
        <f>('TE BE'!$R$18+'TE BF'!$R$18+'TE CVA'!$R$18)*(1 - 0.1)</f>
        <v>246.69419189285307</v>
      </c>
      <c r="R18" s="30">
        <f>('TE BE'!$T$18+'TE BF'!$T$18+'TE CVA'!$T$18)*(1 - 0.1)</f>
        <v>7.7115312925090196</v>
      </c>
      <c r="S18" s="30">
        <f>('TE BE'!$U$18+'TE BF'!$U$18+'TE CVA'!$U$18)*(1 - 0.1)</f>
        <v>4.7647612043440475</v>
      </c>
      <c r="T18" s="30">
        <f>('TE BE'!$V$18+'TE BF'!$V$18+'TE CVA'!$V$18)*(1 - 0.1)</f>
        <v>0</v>
      </c>
      <c r="U18" s="30">
        <f>('TE BE'!$X$18+'TE BF'!$X$18+'TE CVA'!$X$18)*(1 - 0.1)</f>
        <v>-8.0638410378070198</v>
      </c>
      <c r="V18" s="30">
        <f>('TE BE'!$Z$18+'TE BF'!$Z$18+'TE CVA'!$Z$18)*(1 - 0.1)</f>
        <v>7.5948781276858339</v>
      </c>
      <c r="X18" s="30">
        <v>2.62678242337737</v>
      </c>
      <c r="Y18" s="30">
        <v>16.703744750483899</v>
      </c>
      <c r="Z18" s="30">
        <v>0</v>
      </c>
      <c r="AA18" s="30">
        <v>0</v>
      </c>
      <c r="AB18" s="30">
        <v>0</v>
      </c>
      <c r="AC18" s="30">
        <v>245.86572641131701</v>
      </c>
      <c r="AD18" s="30">
        <v>5.4764270862673596</v>
      </c>
      <c r="AE18" s="30">
        <v>4.1282282486710402</v>
      </c>
      <c r="AF18" s="30">
        <v>0</v>
      </c>
      <c r="AG18" s="30">
        <v>0</v>
      </c>
      <c r="AH18" s="30">
        <v>6.5102266282912398</v>
      </c>
    </row>
    <row r="19" spans="1:34" ht="11.25" customHeight="1" x14ac:dyDescent="0.25">
      <c r="A19" s="130"/>
      <c r="B19" s="130"/>
      <c r="C19" s="130"/>
      <c r="D19" s="82" t="s">
        <v>32</v>
      </c>
      <c r="E19" s="82" t="s">
        <v>25</v>
      </c>
      <c r="F19" s="82" t="s">
        <v>25</v>
      </c>
      <c r="G19" s="32" t="s">
        <v>86</v>
      </c>
      <c r="H19" s="32" t="s">
        <v>80</v>
      </c>
      <c r="I19" s="32">
        <f>'MERCADO TE'!$U$16</f>
        <v>0</v>
      </c>
      <c r="J19" s="17"/>
      <c r="L19" s="30">
        <f>('TE BE'!$L$19+'TE BF'!$L$19+'TE CVA'!$L$19)*1</f>
        <v>3.1750396112387183</v>
      </c>
      <c r="M19" s="30">
        <f>('TE BE'!$M$19+'TE BF'!$M$19+'TE CVA'!$M$19)*1</f>
        <v>34.41537793865642</v>
      </c>
      <c r="N19" s="30">
        <f>('TE BE'!$N$19+'TE BF'!$N$19+'TE CVA'!$N$19)*1</f>
        <v>0</v>
      </c>
      <c r="O19" s="30">
        <f>('TE BE'!$O$19+'TE BF'!$O$19+'TE CVA'!$O$19)*1</f>
        <v>11.46626064803395</v>
      </c>
      <c r="P19" s="30">
        <f>('TE BE'!$P$19+'TE BF'!$P$19+'TE CVA'!$P$19)*1</f>
        <v>-16.54872648187872</v>
      </c>
      <c r="Q19" s="30">
        <f>('TE BE'!$R$19+'TE BF'!$R$19+'TE CVA'!$R$19)*1</f>
        <v>274.10465765872561</v>
      </c>
      <c r="R19" s="30">
        <f>('TE BE'!$T$19+'TE BF'!$T$19+'TE CVA'!$T$19)*1</f>
        <v>8.5683681027877991</v>
      </c>
      <c r="S19" s="30">
        <f>('TE BE'!$U$19+'TE BF'!$U$19+'TE CVA'!$U$19)*1</f>
        <v>5.2941791159378306</v>
      </c>
      <c r="T19" s="30">
        <f>('TE BE'!$V$19+'TE BF'!$V$19+'TE CVA'!$V$19)*1</f>
        <v>0</v>
      </c>
      <c r="U19" s="30">
        <f>('TE BE'!$X$19+'TE BF'!$X$19+'TE CVA'!$X$19)*1</f>
        <v>-8.9598233753411325</v>
      </c>
      <c r="V19" s="30">
        <f>('TE BE'!$Z$19+'TE BF'!$Z$19+'TE CVA'!$Z$19)*1</f>
        <v>8.4387534752064823</v>
      </c>
      <c r="X19" s="30">
        <v>2.9186471370859701</v>
      </c>
      <c r="Y19" s="30">
        <v>18.559716389426601</v>
      </c>
      <c r="Z19" s="30">
        <v>0</v>
      </c>
      <c r="AA19" s="30">
        <v>0</v>
      </c>
      <c r="AB19" s="30">
        <v>0</v>
      </c>
      <c r="AC19" s="30">
        <v>273.184140457019</v>
      </c>
      <c r="AD19" s="30">
        <v>6.0849189847415097</v>
      </c>
      <c r="AE19" s="30">
        <v>4.5869202763011501</v>
      </c>
      <c r="AF19" s="30">
        <v>0</v>
      </c>
      <c r="AG19" s="30">
        <v>0</v>
      </c>
      <c r="AH19" s="30">
        <v>7.2335851425458202</v>
      </c>
    </row>
    <row r="20" spans="1:34" ht="11.25" customHeight="1" x14ac:dyDescent="0.25">
      <c r="A20" s="130" t="s">
        <v>43</v>
      </c>
      <c r="B20" s="130" t="s">
        <v>79</v>
      </c>
      <c r="C20" s="130" t="s">
        <v>44</v>
      </c>
      <c r="D20" s="130" t="s">
        <v>25</v>
      </c>
      <c r="E20" s="130" t="s">
        <v>25</v>
      </c>
      <c r="F20" s="130" t="s">
        <v>25</v>
      </c>
      <c r="G20" s="32" t="s">
        <v>81</v>
      </c>
      <c r="H20" s="32" t="s">
        <v>80</v>
      </c>
      <c r="I20" s="32">
        <f>'MERCADO TE'!$U$17</f>
        <v>0.27200000000000002</v>
      </c>
      <c r="J20" s="17"/>
      <c r="L20" s="30">
        <f>('TE BE'!$L$20+'TE BF'!$L$20+'TE CVA'!$L$20)*(1 - CUSTOS!$M$38)</f>
        <v>2.984537234564395</v>
      </c>
      <c r="M20" s="30">
        <f>('TE BE'!$M$20+'TE BF'!$M$20+'TE CVA'!$M$20)*(1 - CUSTOS!$M$38)</f>
        <v>32.350455262337036</v>
      </c>
      <c r="N20" s="30">
        <f>('TE BE'!$N$20+'TE BF'!$N$20+'TE CVA'!$N$20)*(1 - CUSTOS!$M$38)</f>
        <v>0</v>
      </c>
      <c r="O20" s="30">
        <f>('TE BE'!$O$20+'TE BF'!$O$20+'TE CVA'!$O$20)*(1 - CUSTOS!$M$38)</f>
        <v>10.778285009151913</v>
      </c>
      <c r="P20" s="30">
        <f>('TE BE'!$P$20+'TE BF'!$P$20+'TE CVA'!$P$20)*(1 - CUSTOS!$M$38)</f>
        <v>-15.555802892965996</v>
      </c>
      <c r="Q20" s="30">
        <f>('TE BE'!$R$20+'TE BF'!$R$20+'TE CVA'!$R$20)*(1 - CUSTOS!$M$38)</f>
        <v>418.08717971945993</v>
      </c>
      <c r="R20" s="30">
        <f>('TE BE'!$T$20+'TE BF'!$T$20+'TE CVA'!$T$20)*(1 - CUSTOS!$M$38)</f>
        <v>8.0542660166205309</v>
      </c>
      <c r="S20" s="30">
        <f>('TE BE'!$U$20+'TE BF'!$U$20+'TE CVA'!$U$20)*(1 - CUSTOS!$M$38)</f>
        <v>4.9765283689815609</v>
      </c>
      <c r="T20" s="30">
        <f>('TE BE'!$V$20+'TE BF'!$V$20+'TE CVA'!$V$20)*(1 - CUSTOS!$M$38)</f>
        <v>0</v>
      </c>
      <c r="U20" s="30">
        <f>('TE BE'!$X$20+'TE BF'!$X$20+'TE CVA'!$X$20)*(1 - CUSTOS!$M$38)</f>
        <v>-12.884459151421401</v>
      </c>
      <c r="V20" s="30">
        <f>('TE BE'!$Z$20+'TE BF'!$Z$20+'TE CVA'!$Z$20)*(1 - CUSTOS!$M$38)</f>
        <v>7.9324282666940933</v>
      </c>
      <c r="X20" s="30">
        <v>2.5684094806356499</v>
      </c>
      <c r="Y20" s="30">
        <v>16.332550422695402</v>
      </c>
      <c r="Z20" s="30">
        <v>0</v>
      </c>
      <c r="AA20" s="30">
        <v>0</v>
      </c>
      <c r="AB20" s="30">
        <v>0</v>
      </c>
      <c r="AC20" s="30">
        <v>390.08633490164499</v>
      </c>
      <c r="AD20" s="30">
        <v>5.35472870657253</v>
      </c>
      <c r="AE20" s="30">
        <v>4.03648984314502</v>
      </c>
      <c r="AF20" s="30">
        <v>0</v>
      </c>
      <c r="AG20" s="30">
        <v>0</v>
      </c>
      <c r="AH20" s="30">
        <v>6.3655549254403301</v>
      </c>
    </row>
    <row r="21" spans="1:34" ht="11.25" customHeight="1" x14ac:dyDescent="0.25">
      <c r="A21" s="130"/>
      <c r="B21" s="130"/>
      <c r="C21" s="130"/>
      <c r="D21" s="130"/>
      <c r="E21" s="130"/>
      <c r="F21" s="130"/>
      <c r="G21" s="32" t="s">
        <v>91</v>
      </c>
      <c r="H21" s="32" t="s">
        <v>80</v>
      </c>
      <c r="I21" s="32">
        <f>'MERCADO TE'!$U$18</f>
        <v>0.20100000000000001</v>
      </c>
      <c r="J21" s="17"/>
      <c r="L21" s="30">
        <f>('TE BE'!$L$21+'TE BF'!$L$21+'TE CVA'!$L$21)*(1 - CUSTOS!$M$38)</f>
        <v>2.984537234564395</v>
      </c>
      <c r="M21" s="30">
        <f>('TE BE'!$M$21+'TE BF'!$M$21+'TE CVA'!$M$21)*(1 - CUSTOS!$M$38)</f>
        <v>32.350455262337036</v>
      </c>
      <c r="N21" s="30">
        <f>('TE BE'!$N$21+'TE BF'!$N$21+'TE CVA'!$N$21)*(1 - CUSTOS!$M$38)</f>
        <v>0</v>
      </c>
      <c r="O21" s="30">
        <f>('TE BE'!$O$21+'TE BF'!$O$21+'TE CVA'!$O$21)*(1 - CUSTOS!$M$38)</f>
        <v>10.778285009151913</v>
      </c>
      <c r="P21" s="30">
        <f>('TE BE'!$P$21+'TE BF'!$P$21+'TE CVA'!$P$21)*(1 - CUSTOS!$M$38)</f>
        <v>-15.555802892965996</v>
      </c>
      <c r="Q21" s="30">
        <f>('TE BE'!$R$21+'TE BF'!$R$21+'TE CVA'!$R$21)*(1 - CUSTOS!$M$38)</f>
        <v>243.07394169736037</v>
      </c>
      <c r="R21" s="30">
        <f>('TE BE'!$T$21+'TE BF'!$T$21+'TE CVA'!$T$21)*(1 - CUSTOS!$M$38)</f>
        <v>8.0542660166205309</v>
      </c>
      <c r="S21" s="30">
        <f>('TE BE'!$U$21+'TE BF'!$U$21+'TE CVA'!$U$21)*(1 - CUSTOS!$M$38)</f>
        <v>4.9765283689815609</v>
      </c>
      <c r="T21" s="30">
        <f>('TE BE'!$V$21+'TE BF'!$V$21+'TE CVA'!$V$21)*(1 - CUSTOS!$M$38)</f>
        <v>0</v>
      </c>
      <c r="U21" s="30">
        <f>('TE BE'!$X$21+'TE BF'!$X$21+'TE CVA'!$X$21)*(1 - CUSTOS!$M$38)</f>
        <v>-8.0165771384024147</v>
      </c>
      <c r="V21" s="30">
        <f>('TE BE'!$Z$21+'TE BF'!$Z$21+'TE CVA'!$Z$21)*(1 - CUSTOS!$M$38)</f>
        <v>7.9324282666940933</v>
      </c>
      <c r="X21" s="30">
        <v>2.5684094806356499</v>
      </c>
      <c r="Y21" s="30">
        <v>16.332550422695402</v>
      </c>
      <c r="Z21" s="30">
        <v>0</v>
      </c>
      <c r="AA21" s="30">
        <v>0</v>
      </c>
      <c r="AB21" s="30">
        <v>0</v>
      </c>
      <c r="AC21" s="30">
        <v>226.79438075677001</v>
      </c>
      <c r="AD21" s="30">
        <v>5.35472870657253</v>
      </c>
      <c r="AE21" s="30">
        <v>4.03648984314502</v>
      </c>
      <c r="AF21" s="30">
        <v>0</v>
      </c>
      <c r="AG21" s="30">
        <v>0</v>
      </c>
      <c r="AH21" s="30">
        <v>6.3655549254403301</v>
      </c>
    </row>
    <row r="22" spans="1:34" ht="11.25" customHeight="1" x14ac:dyDescent="0.25">
      <c r="A22" s="130"/>
      <c r="B22" s="130"/>
      <c r="C22" s="130"/>
      <c r="D22" s="130"/>
      <c r="E22" s="130"/>
      <c r="F22" s="130"/>
      <c r="G22" s="32" t="s">
        <v>82</v>
      </c>
      <c r="H22" s="32" t="s">
        <v>80</v>
      </c>
      <c r="I22" s="32">
        <f>'MERCADO TE'!$U$19</f>
        <v>5.4039999999999999</v>
      </c>
      <c r="J22" s="17"/>
      <c r="L22" s="30">
        <f>('TE BE'!$L$22+'TE BF'!$L$22+'TE CVA'!$L$22)*(1 - CUSTOS!$M$38)</f>
        <v>2.984537234564395</v>
      </c>
      <c r="M22" s="30">
        <f>('TE BE'!$M$22+'TE BF'!$M$22+'TE CVA'!$M$22)*(1 - CUSTOS!$M$38)</f>
        <v>32.350455262337036</v>
      </c>
      <c r="N22" s="30">
        <f>('TE BE'!$N$22+'TE BF'!$N$22+'TE CVA'!$N$22)*(1 - CUSTOS!$M$38)</f>
        <v>0</v>
      </c>
      <c r="O22" s="30">
        <f>('TE BE'!$O$22+'TE BF'!$O$22+'TE CVA'!$O$22)*(1 - CUSTOS!$M$38)</f>
        <v>10.778285009151913</v>
      </c>
      <c r="P22" s="30">
        <f>('TE BE'!$P$22+'TE BF'!$P$22+'TE CVA'!$P$22)*(1 - CUSTOS!$M$38)</f>
        <v>-15.555802892965996</v>
      </c>
      <c r="Q22" s="30">
        <f>('TE BE'!$R$22+'TE BF'!$R$22+'TE CVA'!$R$22)*(1 - CUSTOS!$M$38)</f>
        <v>243.07394169736037</v>
      </c>
      <c r="R22" s="30">
        <f>('TE BE'!$T$22+'TE BF'!$T$22+'TE CVA'!$T$22)*(1 - CUSTOS!$M$38)</f>
        <v>8.0542660166205309</v>
      </c>
      <c r="S22" s="30">
        <f>('TE BE'!$U$22+'TE BF'!$U$22+'TE CVA'!$U$22)*(1 - CUSTOS!$M$38)</f>
        <v>4.9765283689815609</v>
      </c>
      <c r="T22" s="30">
        <f>('TE BE'!$V$22+'TE BF'!$V$22+'TE CVA'!$V$22)*(1 - CUSTOS!$M$38)</f>
        <v>0</v>
      </c>
      <c r="U22" s="30">
        <f>('TE BE'!$X$22+'TE BF'!$X$22+'TE CVA'!$X$22)*(1 - CUSTOS!$M$38)</f>
        <v>-8.0165771384024147</v>
      </c>
      <c r="V22" s="30">
        <f>('TE BE'!$Z$22+'TE BF'!$Z$22+'TE CVA'!$Z$22)*(1 - CUSTOS!$M$38)</f>
        <v>7.9324282666940933</v>
      </c>
      <c r="X22" s="30">
        <v>2.5684094806356499</v>
      </c>
      <c r="Y22" s="30">
        <v>16.332550422695402</v>
      </c>
      <c r="Z22" s="30">
        <v>0</v>
      </c>
      <c r="AA22" s="30">
        <v>0</v>
      </c>
      <c r="AB22" s="30">
        <v>0</v>
      </c>
      <c r="AC22" s="30">
        <v>226.79438075677001</v>
      </c>
      <c r="AD22" s="30">
        <v>5.35472870657253</v>
      </c>
      <c r="AE22" s="30">
        <v>4.03648984314502</v>
      </c>
      <c r="AF22" s="30">
        <v>0</v>
      </c>
      <c r="AG22" s="30">
        <v>0</v>
      </c>
      <c r="AH22" s="30">
        <v>6.3655549254403301</v>
      </c>
    </row>
    <row r="23" spans="1:34" ht="11.25" customHeight="1" x14ac:dyDescent="0.25">
      <c r="A23" s="130"/>
      <c r="B23" s="82" t="s">
        <v>92</v>
      </c>
      <c r="C23" s="82" t="s">
        <v>44</v>
      </c>
      <c r="D23" s="82" t="s">
        <v>25</v>
      </c>
      <c r="E23" s="82" t="s">
        <v>25</v>
      </c>
      <c r="F23" s="82" t="s">
        <v>25</v>
      </c>
      <c r="G23" s="32" t="s">
        <v>86</v>
      </c>
      <c r="H23" s="32" t="s">
        <v>80</v>
      </c>
      <c r="I23" s="32">
        <f>'MERCADO TE'!$U$20</f>
        <v>183438.26899999997</v>
      </c>
      <c r="J23" s="17"/>
      <c r="L23" s="30">
        <f>('TE BE'!$L$23+'TE BF'!$L$23+'TE CVA'!$L$23)*(1 - CUSTOS!$M$38)</f>
        <v>2.984537234564395</v>
      </c>
      <c r="M23" s="30">
        <f>('TE BE'!$M$23+'TE BF'!$M$23+'TE CVA'!$M$23)*(1 - CUSTOS!$M$38)</f>
        <v>32.350455262337036</v>
      </c>
      <c r="N23" s="30">
        <f>('TE BE'!$N$23+'TE BF'!$N$23+'TE CVA'!$N$23)*(1 - CUSTOS!$M$38)</f>
        <v>0</v>
      </c>
      <c r="O23" s="30">
        <f>('TE BE'!$O$23+'TE BF'!$O$23+'TE CVA'!$O$23)*(1 - CUSTOS!$M$38)</f>
        <v>10.778285009151913</v>
      </c>
      <c r="P23" s="30">
        <f>('TE BE'!$P$23+'TE BF'!$P$23+'TE CVA'!$P$23)*(1 - CUSTOS!$M$38)</f>
        <v>-15.555802892965996</v>
      </c>
      <c r="Q23" s="30">
        <f>('TE BE'!$R$23+'TE BF'!$R$23+'TE CVA'!$R$23)*(1 - CUSTOS!$M$38)</f>
        <v>257.65837819920205</v>
      </c>
      <c r="R23" s="30">
        <f>('TE BE'!$T$23+'TE BF'!$T$23+'TE CVA'!$T$23)*(1 - CUSTOS!$M$38)</f>
        <v>8.0542660166205309</v>
      </c>
      <c r="S23" s="30">
        <f>('TE BE'!$U$23+'TE BF'!$U$23+'TE CVA'!$U$23)*(1 - CUSTOS!$M$38)</f>
        <v>4.9765283689815609</v>
      </c>
      <c r="T23" s="30">
        <f>('TE BE'!$V$23+'TE BF'!$V$23+'TE CVA'!$V$23)*(1 - CUSTOS!$M$38)</f>
        <v>0</v>
      </c>
      <c r="U23" s="30">
        <f>('TE BE'!$X$23+'TE BF'!$X$23+'TE CVA'!$X$23)*(1 - CUSTOS!$M$38)</f>
        <v>-8.4222339728206634</v>
      </c>
      <c r="V23" s="30">
        <f>('TE BE'!$Z$23+'TE BF'!$Z$23+'TE CVA'!$Z$23)*(1 - CUSTOS!$M$38)</f>
        <v>7.9324282666940933</v>
      </c>
      <c r="X23" s="30">
        <v>2.5684094806356499</v>
      </c>
      <c r="Y23" s="30">
        <v>16.332550422695402</v>
      </c>
      <c r="Z23" s="30">
        <v>0</v>
      </c>
      <c r="AA23" s="30">
        <v>0</v>
      </c>
      <c r="AB23" s="30">
        <v>0</v>
      </c>
      <c r="AC23" s="30">
        <v>240.402043602177</v>
      </c>
      <c r="AD23" s="30">
        <v>5.35472870657253</v>
      </c>
      <c r="AE23" s="30">
        <v>4.03648984314502</v>
      </c>
      <c r="AF23" s="30">
        <v>0</v>
      </c>
      <c r="AG23" s="30">
        <v>0</v>
      </c>
      <c r="AH23" s="30">
        <v>6.3655549254403301</v>
      </c>
    </row>
    <row r="24" spans="1:34" ht="11.25" customHeight="1" x14ac:dyDescent="0.25">
      <c r="A24" s="130"/>
      <c r="B24" s="130" t="s">
        <v>79</v>
      </c>
      <c r="C24" s="130" t="s">
        <v>44</v>
      </c>
      <c r="D24" s="130" t="s">
        <v>95</v>
      </c>
      <c r="E24" s="130" t="s">
        <v>25</v>
      </c>
      <c r="F24" s="130" t="s">
        <v>25</v>
      </c>
      <c r="G24" s="32" t="s">
        <v>81</v>
      </c>
      <c r="H24" s="32" t="s">
        <v>80</v>
      </c>
      <c r="I24" s="32">
        <f>'MERCADO TE'!$U$21</f>
        <v>0</v>
      </c>
      <c r="J24" s="17"/>
      <c r="L24" s="30">
        <f>('TE BE'!$L$24+'TE BF'!$L$24+'TE CVA'!$L$24)*(1 - CUSTOS!$M$39)</f>
        <v>2.984537234564395</v>
      </c>
      <c r="M24" s="30">
        <f>('TE BE'!$M$24+'TE BF'!$M$24+'TE CVA'!$M$24)*(1 - CUSTOS!$M$39)</f>
        <v>32.350455262337036</v>
      </c>
      <c r="N24" s="30">
        <f>('TE BE'!$N$24+'TE BF'!$N$24+'TE CVA'!$N$24)*(1 - CUSTOS!$M$39)</f>
        <v>0</v>
      </c>
      <c r="O24" s="30">
        <f>('TE BE'!$O$24+'TE BF'!$O$24+'TE CVA'!$O$24)*(1 - CUSTOS!$M$39)</f>
        <v>10.778285009151913</v>
      </c>
      <c r="P24" s="30">
        <f>('TE BE'!$P$24+'TE BF'!$P$24+'TE CVA'!$P$24)*(1 - CUSTOS!$M$39)</f>
        <v>-15.555802892965996</v>
      </c>
      <c r="Q24" s="30">
        <f>('TE BE'!$R$24+'TE BF'!$R$24+'TE CVA'!$R$24)*(1 - CUSTOS!$M$39)</f>
        <v>418.08717971945993</v>
      </c>
      <c r="R24" s="30">
        <f>('TE BE'!$T$24+'TE BF'!$T$24+'TE CVA'!$T$24)*(1 - CUSTOS!$M$39)</f>
        <v>8.0542660166205309</v>
      </c>
      <c r="S24" s="30">
        <f>('TE BE'!$U$24+'TE BF'!$U$24+'TE CVA'!$U$24)*(1 - CUSTOS!$M$39)</f>
        <v>4.9765283689815609</v>
      </c>
      <c r="T24" s="30">
        <f>('TE BE'!$V$24+'TE BF'!$V$24+'TE CVA'!$V$24)*(1 - CUSTOS!$M$39)</f>
        <v>0</v>
      </c>
      <c r="U24" s="30">
        <f>('TE BE'!$X$24+'TE BF'!$X$24+'TE CVA'!$X$24)*(1 - CUSTOS!$M$39)</f>
        <v>-12.884459151421401</v>
      </c>
      <c r="V24" s="30">
        <f>('TE BE'!$Z$24+'TE BF'!$Z$24+'TE CVA'!$Z$24)*(1 - CUSTOS!$M$39)</f>
        <v>7.9324282666940933</v>
      </c>
      <c r="X24" s="30">
        <v>2.5684094806356499</v>
      </c>
      <c r="Y24" s="30">
        <v>16.332550422695402</v>
      </c>
      <c r="Z24" s="30">
        <v>0</v>
      </c>
      <c r="AA24" s="30">
        <v>0</v>
      </c>
      <c r="AB24" s="30">
        <v>0</v>
      </c>
      <c r="AC24" s="30">
        <v>390.08633490164499</v>
      </c>
      <c r="AD24" s="30">
        <v>5.35472870657253</v>
      </c>
      <c r="AE24" s="30">
        <v>4.03648984314502</v>
      </c>
      <c r="AF24" s="30">
        <v>0</v>
      </c>
      <c r="AG24" s="30">
        <v>0</v>
      </c>
      <c r="AH24" s="30">
        <v>6.3655549254403301</v>
      </c>
    </row>
    <row r="25" spans="1:34" ht="11.25" customHeight="1" x14ac:dyDescent="0.25">
      <c r="A25" s="130"/>
      <c r="B25" s="130"/>
      <c r="C25" s="130"/>
      <c r="D25" s="130"/>
      <c r="E25" s="130"/>
      <c r="F25" s="130"/>
      <c r="G25" s="32" t="s">
        <v>91</v>
      </c>
      <c r="H25" s="32" t="s">
        <v>80</v>
      </c>
      <c r="I25" s="32">
        <f>'MERCADO TE'!$U$22</f>
        <v>0</v>
      </c>
      <c r="J25" s="17"/>
      <c r="L25" s="30">
        <f>('TE BE'!$L$25+'TE BF'!$L$25+'TE CVA'!$L$25)*(1 - CUSTOS!$M$39)</f>
        <v>2.984537234564395</v>
      </c>
      <c r="M25" s="30">
        <f>('TE BE'!$M$25+'TE BF'!$M$25+'TE CVA'!$M$25)*(1 - CUSTOS!$M$39)</f>
        <v>32.350455262337036</v>
      </c>
      <c r="N25" s="30">
        <f>('TE BE'!$N$25+'TE BF'!$N$25+'TE CVA'!$N$25)*(1 - CUSTOS!$M$39)</f>
        <v>0</v>
      </c>
      <c r="O25" s="30">
        <f>('TE BE'!$O$25+'TE BF'!$O$25+'TE CVA'!$O$25)*(1 - CUSTOS!$M$39)</f>
        <v>10.778285009151913</v>
      </c>
      <c r="P25" s="30">
        <f>('TE BE'!$P$25+'TE BF'!$P$25+'TE CVA'!$P$25)*(1 - CUSTOS!$M$39)</f>
        <v>-15.555802892965996</v>
      </c>
      <c r="Q25" s="30">
        <f>('TE BE'!$R$25+'TE BF'!$R$25+'TE CVA'!$R$25)*(1 - CUSTOS!$M$39)</f>
        <v>243.07394169736037</v>
      </c>
      <c r="R25" s="30">
        <f>('TE BE'!$T$25+'TE BF'!$T$25+'TE CVA'!$T$25)*(1 - CUSTOS!$M$39)</f>
        <v>8.0542660166205309</v>
      </c>
      <c r="S25" s="30">
        <f>('TE BE'!$U$25+'TE BF'!$U$25+'TE CVA'!$U$25)*(1 - CUSTOS!$M$39)</f>
        <v>4.9765283689815609</v>
      </c>
      <c r="T25" s="30">
        <f>('TE BE'!$V$25+'TE BF'!$V$25+'TE CVA'!$V$25)*(1 - CUSTOS!$M$39)</f>
        <v>0</v>
      </c>
      <c r="U25" s="30">
        <f>('TE BE'!$X$25+'TE BF'!$X$25+'TE CVA'!$X$25)*(1 - CUSTOS!$M$39)</f>
        <v>-8.0165771384024147</v>
      </c>
      <c r="V25" s="30">
        <f>('TE BE'!$Z$25+'TE BF'!$Z$25+'TE CVA'!$Z$25)*(1 - CUSTOS!$M$39)</f>
        <v>7.9324282666940933</v>
      </c>
      <c r="X25" s="30">
        <v>2.5684094806356499</v>
      </c>
      <c r="Y25" s="30">
        <v>16.332550422695402</v>
      </c>
      <c r="Z25" s="30">
        <v>0</v>
      </c>
      <c r="AA25" s="30">
        <v>0</v>
      </c>
      <c r="AB25" s="30">
        <v>0</v>
      </c>
      <c r="AC25" s="30">
        <v>226.79438075677001</v>
      </c>
      <c r="AD25" s="30">
        <v>5.35472870657253</v>
      </c>
      <c r="AE25" s="30">
        <v>4.03648984314502</v>
      </c>
      <c r="AF25" s="30">
        <v>0</v>
      </c>
      <c r="AG25" s="30">
        <v>0</v>
      </c>
      <c r="AH25" s="30">
        <v>6.3655549254403301</v>
      </c>
    </row>
    <row r="26" spans="1:34" ht="11.25" customHeight="1" x14ac:dyDescent="0.25">
      <c r="A26" s="130"/>
      <c r="B26" s="130"/>
      <c r="C26" s="130"/>
      <c r="D26" s="130"/>
      <c r="E26" s="130"/>
      <c r="F26" s="130"/>
      <c r="G26" s="32" t="s">
        <v>82</v>
      </c>
      <c r="H26" s="32" t="s">
        <v>80</v>
      </c>
      <c r="I26" s="32">
        <f>'MERCADO TE'!$U$23</f>
        <v>0</v>
      </c>
      <c r="J26" s="17"/>
      <c r="L26" s="30">
        <f>('TE BE'!$L$26+'TE BF'!$L$26+'TE CVA'!$L$26)*(1 - CUSTOS!$M$39)</f>
        <v>2.984537234564395</v>
      </c>
      <c r="M26" s="30">
        <f>('TE BE'!$M$26+'TE BF'!$M$26+'TE CVA'!$M$26)*(1 - CUSTOS!$M$39)</f>
        <v>32.350455262337036</v>
      </c>
      <c r="N26" s="30">
        <f>('TE BE'!$N$26+'TE BF'!$N$26+'TE CVA'!$N$26)*(1 - CUSTOS!$M$39)</f>
        <v>0</v>
      </c>
      <c r="O26" s="30">
        <f>('TE BE'!$O$26+'TE BF'!$O$26+'TE CVA'!$O$26)*(1 - CUSTOS!$M$39)</f>
        <v>10.778285009151913</v>
      </c>
      <c r="P26" s="30">
        <f>('TE BE'!$P$26+'TE BF'!$P$26+'TE CVA'!$P$26)*(1 - CUSTOS!$M$39)</f>
        <v>-15.555802892965996</v>
      </c>
      <c r="Q26" s="30">
        <f>('TE BE'!$R$26+'TE BF'!$R$26+'TE CVA'!$R$26)*(1 - CUSTOS!$M$39)</f>
        <v>243.07394169736037</v>
      </c>
      <c r="R26" s="30">
        <f>('TE BE'!$T$26+'TE BF'!$T$26+'TE CVA'!$T$26)*(1 - CUSTOS!$M$39)</f>
        <v>8.0542660166205309</v>
      </c>
      <c r="S26" s="30">
        <f>('TE BE'!$U$26+'TE BF'!$U$26+'TE CVA'!$U$26)*(1 - CUSTOS!$M$39)</f>
        <v>4.9765283689815609</v>
      </c>
      <c r="T26" s="30">
        <f>('TE BE'!$V$26+'TE BF'!$V$26+'TE CVA'!$V$26)*(1 - CUSTOS!$M$39)</f>
        <v>0</v>
      </c>
      <c r="U26" s="30">
        <f>('TE BE'!$X$26+'TE BF'!$X$26+'TE CVA'!$X$26)*(1 - CUSTOS!$M$39)</f>
        <v>-8.0165771384024147</v>
      </c>
      <c r="V26" s="30">
        <f>('TE BE'!$Z$26+'TE BF'!$Z$26+'TE CVA'!$Z$26)*(1 - CUSTOS!$M$39)</f>
        <v>7.9324282666940933</v>
      </c>
      <c r="X26" s="30">
        <v>2.5684094806356499</v>
      </c>
      <c r="Y26" s="30">
        <v>16.332550422695402</v>
      </c>
      <c r="Z26" s="30">
        <v>0</v>
      </c>
      <c r="AA26" s="30">
        <v>0</v>
      </c>
      <c r="AB26" s="30">
        <v>0</v>
      </c>
      <c r="AC26" s="30">
        <v>226.79438075677001</v>
      </c>
      <c r="AD26" s="30">
        <v>5.35472870657253</v>
      </c>
      <c r="AE26" s="30">
        <v>4.03648984314502</v>
      </c>
      <c r="AF26" s="30">
        <v>0</v>
      </c>
      <c r="AG26" s="30">
        <v>0</v>
      </c>
      <c r="AH26" s="30">
        <v>6.3655549254403301</v>
      </c>
    </row>
    <row r="27" spans="1:34" ht="11.25" customHeight="1" x14ac:dyDescent="0.25">
      <c r="A27" s="130"/>
      <c r="B27" s="82" t="s">
        <v>92</v>
      </c>
      <c r="C27" s="82" t="s">
        <v>44</v>
      </c>
      <c r="D27" s="82" t="s">
        <v>95</v>
      </c>
      <c r="E27" s="82" t="s">
        <v>25</v>
      </c>
      <c r="F27" s="82" t="s">
        <v>25</v>
      </c>
      <c r="G27" s="32" t="s">
        <v>86</v>
      </c>
      <c r="H27" s="32" t="s">
        <v>80</v>
      </c>
      <c r="I27" s="32">
        <f>'MERCADO TE'!$U$24</f>
        <v>0</v>
      </c>
      <c r="J27" s="17"/>
      <c r="L27" s="30">
        <f>('TE BE'!$L$27+'TE BF'!$L$27+'TE CVA'!$L$27)*(1 - CUSTOS!$M$39)</f>
        <v>2.984537234564395</v>
      </c>
      <c r="M27" s="30">
        <f>('TE BE'!$M$27+'TE BF'!$M$27+'TE CVA'!$M$27)*(1 - CUSTOS!$M$39)</f>
        <v>32.350455262337036</v>
      </c>
      <c r="N27" s="30">
        <f>('TE BE'!$N$27+'TE BF'!$N$27+'TE CVA'!$N$27)*(1 - CUSTOS!$M$39)</f>
        <v>0</v>
      </c>
      <c r="O27" s="30">
        <f>('TE BE'!$O$27+'TE BF'!$O$27+'TE CVA'!$O$27)*(1 - CUSTOS!$M$39)</f>
        <v>10.778285009151913</v>
      </c>
      <c r="P27" s="30">
        <f>('TE BE'!$P$27+'TE BF'!$P$27+'TE CVA'!$P$27)*(1 - CUSTOS!$M$39)</f>
        <v>-15.555802892965996</v>
      </c>
      <c r="Q27" s="30">
        <f>('TE BE'!$R$27+'TE BF'!$R$27+'TE CVA'!$R$27)*(1 - CUSTOS!$M$39)</f>
        <v>257.65837819920205</v>
      </c>
      <c r="R27" s="30">
        <f>('TE BE'!$T$27+'TE BF'!$T$27+'TE CVA'!$T$27)*(1 - CUSTOS!$M$39)</f>
        <v>8.0542660166205309</v>
      </c>
      <c r="S27" s="30">
        <f>('TE BE'!$U$27+'TE BF'!$U$27+'TE CVA'!$U$27)*(1 - CUSTOS!$M$39)</f>
        <v>4.9765283689815609</v>
      </c>
      <c r="T27" s="30">
        <f>('TE BE'!$V$27+'TE BF'!$V$27+'TE CVA'!$V$27)*(1 - CUSTOS!$M$39)</f>
        <v>0</v>
      </c>
      <c r="U27" s="30">
        <f>('TE BE'!$X$27+'TE BF'!$X$27+'TE CVA'!$X$27)*(1 - CUSTOS!$M$39)</f>
        <v>-8.4222339728206634</v>
      </c>
      <c r="V27" s="30">
        <f>('TE BE'!$Z$27+'TE BF'!$Z$27+'TE CVA'!$Z$27)*(1 - CUSTOS!$M$39)</f>
        <v>7.9324282666940933</v>
      </c>
      <c r="X27" s="30">
        <v>2.5684094806356499</v>
      </c>
      <c r="Y27" s="30">
        <v>16.332550422695402</v>
      </c>
      <c r="Z27" s="30">
        <v>0</v>
      </c>
      <c r="AA27" s="30">
        <v>0</v>
      </c>
      <c r="AB27" s="30">
        <v>0</v>
      </c>
      <c r="AC27" s="30">
        <v>240.402043602177</v>
      </c>
      <c r="AD27" s="30">
        <v>5.35472870657253</v>
      </c>
      <c r="AE27" s="30">
        <v>4.03648984314502</v>
      </c>
      <c r="AF27" s="30">
        <v>0</v>
      </c>
      <c r="AG27" s="30">
        <v>0</v>
      </c>
      <c r="AH27" s="30">
        <v>6.3655549254403301</v>
      </c>
    </row>
    <row r="28" spans="1:34" ht="11.25" customHeight="1" x14ac:dyDescent="0.25">
      <c r="A28" s="130"/>
      <c r="B28" s="130" t="s">
        <v>79</v>
      </c>
      <c r="C28" s="130" t="s">
        <v>44</v>
      </c>
      <c r="D28" s="130" t="s">
        <v>55</v>
      </c>
      <c r="E28" s="130" t="s">
        <v>25</v>
      </c>
      <c r="F28" s="130" t="s">
        <v>25</v>
      </c>
      <c r="G28" s="32" t="s">
        <v>81</v>
      </c>
      <c r="H28" s="32" t="s">
        <v>80</v>
      </c>
      <c r="I28" s="32">
        <f>'MERCADO TE'!$U$25</f>
        <v>0</v>
      </c>
      <c r="J28" s="17"/>
      <c r="L28" s="30">
        <f>('TE BE'!$L$28+'TE BF'!$L$28+'TE CVA'!$L$28)*(1 - CUSTOS!$M$40)</f>
        <v>2.9210364423396209</v>
      </c>
      <c r="M28" s="30">
        <f>('TE BE'!$M$28+'TE BF'!$M$28+'TE CVA'!$M$28)*(1 - CUSTOS!$M$40)</f>
        <v>31.662147703563907</v>
      </c>
      <c r="N28" s="30">
        <f>('TE BE'!$N$28+'TE BF'!$N$28+'TE CVA'!$N$28)*(1 - CUSTOS!$M$40)</f>
        <v>0</v>
      </c>
      <c r="O28" s="30">
        <f>('TE BE'!$O$28+'TE BF'!$O$28+'TE CVA'!$O$28)*(1 - CUSTOS!$M$40)</f>
        <v>10.548959796191234</v>
      </c>
      <c r="P28" s="30">
        <f>('TE BE'!$P$28+'TE BF'!$P$28+'TE CVA'!$P$28)*(1 - CUSTOS!$M$40)</f>
        <v>-15.224828363328424</v>
      </c>
      <c r="Q28" s="30">
        <f>('TE BE'!$R$28+'TE BF'!$R$28+'TE CVA'!$R$28)*(1 - CUSTOS!$M$40)</f>
        <v>409.19170781053526</v>
      </c>
      <c r="R28" s="30">
        <f>('TE BE'!$T$28+'TE BF'!$T$28+'TE CVA'!$T$28)*(1 - CUSTOS!$M$40)</f>
        <v>7.8828986545647757</v>
      </c>
      <c r="S28" s="30">
        <f>('TE BE'!$U$28+'TE BF'!$U$28+'TE CVA'!$U$28)*(1 - CUSTOS!$M$40)</f>
        <v>4.8706447866628046</v>
      </c>
      <c r="T28" s="30">
        <f>('TE BE'!$V$28+'TE BF'!$V$28+'TE CVA'!$V$28)*(1 - CUSTOS!$M$40)</f>
        <v>0</v>
      </c>
      <c r="U28" s="30">
        <f>('TE BE'!$X$28+'TE BF'!$X$28+'TE CVA'!$X$28)*(1 - CUSTOS!$M$40)</f>
        <v>-12.610321722667756</v>
      </c>
      <c r="V28" s="30">
        <f>('TE BE'!$Z$28+'TE BF'!$Z$28+'TE CVA'!$Z$28)*(1 - CUSTOS!$M$40)</f>
        <v>7.7636531971899645</v>
      </c>
      <c r="X28" s="30">
        <v>2.4516635951522101</v>
      </c>
      <c r="Y28" s="30">
        <v>15.5901617671183</v>
      </c>
      <c r="Z28" s="30">
        <v>0</v>
      </c>
      <c r="AA28" s="30">
        <v>0</v>
      </c>
      <c r="AB28" s="30">
        <v>0</v>
      </c>
      <c r="AC28" s="30">
        <v>372.35513786066099</v>
      </c>
      <c r="AD28" s="30">
        <v>5.1113319471828698</v>
      </c>
      <c r="AE28" s="30">
        <v>3.8530130320929699</v>
      </c>
      <c r="AF28" s="30">
        <v>0</v>
      </c>
      <c r="AG28" s="30">
        <v>0</v>
      </c>
      <c r="AH28" s="30">
        <v>6.0762115197384903</v>
      </c>
    </row>
    <row r="29" spans="1:34" ht="11.25" customHeight="1" x14ac:dyDescent="0.25">
      <c r="A29" s="130"/>
      <c r="B29" s="130"/>
      <c r="C29" s="130"/>
      <c r="D29" s="130"/>
      <c r="E29" s="130"/>
      <c r="F29" s="130"/>
      <c r="G29" s="32" t="s">
        <v>91</v>
      </c>
      <c r="H29" s="32" t="s">
        <v>80</v>
      </c>
      <c r="I29" s="32">
        <f>'MERCADO TE'!$U$26</f>
        <v>0</v>
      </c>
      <c r="J29" s="17"/>
      <c r="L29" s="30">
        <f>('TE BE'!$L$29+'TE BF'!$L$29+'TE CVA'!$L$29)*(1 - CUSTOS!$M$40)</f>
        <v>2.9210364423396209</v>
      </c>
      <c r="M29" s="30">
        <f>('TE BE'!$M$29+'TE BF'!$M$29+'TE CVA'!$M$29)*(1 - CUSTOS!$M$40)</f>
        <v>31.662147703563907</v>
      </c>
      <c r="N29" s="30">
        <f>('TE BE'!$N$29+'TE BF'!$N$29+'TE CVA'!$N$29)*(1 - CUSTOS!$M$40)</f>
        <v>0</v>
      </c>
      <c r="O29" s="30">
        <f>('TE BE'!$O$29+'TE BF'!$O$29+'TE CVA'!$O$29)*(1 - CUSTOS!$M$40)</f>
        <v>10.548959796191234</v>
      </c>
      <c r="P29" s="30">
        <f>('TE BE'!$P$29+'TE BF'!$P$29+'TE CVA'!$P$29)*(1 - CUSTOS!$M$40)</f>
        <v>-15.224828363328424</v>
      </c>
      <c r="Q29" s="30">
        <f>('TE BE'!$R$29+'TE BF'!$R$29+'TE CVA'!$R$29)*(1 - CUSTOS!$M$40)</f>
        <v>237.90215570379954</v>
      </c>
      <c r="R29" s="30">
        <f>('TE BE'!$T$29+'TE BF'!$T$29+'TE CVA'!$T$29)*(1 - CUSTOS!$M$40)</f>
        <v>7.8828986545647757</v>
      </c>
      <c r="S29" s="30">
        <f>('TE BE'!$U$29+'TE BF'!$U$29+'TE CVA'!$U$29)*(1 - CUSTOS!$M$40)</f>
        <v>4.8706447866628046</v>
      </c>
      <c r="T29" s="30">
        <f>('TE BE'!$V$29+'TE BF'!$V$29+'TE CVA'!$V$29)*(1 - CUSTOS!$M$40)</f>
        <v>0</v>
      </c>
      <c r="U29" s="30">
        <f>('TE BE'!$X$29+'TE BF'!$X$29+'TE CVA'!$X$29)*(1 - CUSTOS!$M$40)</f>
        <v>-7.8460116673725775</v>
      </c>
      <c r="V29" s="30">
        <f>('TE BE'!$Z$29+'TE BF'!$Z$29+'TE CVA'!$Z$29)*(1 - CUSTOS!$M$40)</f>
        <v>7.7636531971899645</v>
      </c>
      <c r="X29" s="30">
        <v>2.4516635951522101</v>
      </c>
      <c r="Y29" s="30">
        <v>15.5901617671183</v>
      </c>
      <c r="Z29" s="30">
        <v>0</v>
      </c>
      <c r="AA29" s="30">
        <v>0</v>
      </c>
      <c r="AB29" s="30">
        <v>0</v>
      </c>
      <c r="AC29" s="30">
        <v>216.48554526782601</v>
      </c>
      <c r="AD29" s="30">
        <v>5.1113319471828698</v>
      </c>
      <c r="AE29" s="30">
        <v>3.8530130320929699</v>
      </c>
      <c r="AF29" s="30">
        <v>0</v>
      </c>
      <c r="AG29" s="30">
        <v>0</v>
      </c>
      <c r="AH29" s="30">
        <v>6.0762115197384903</v>
      </c>
    </row>
    <row r="30" spans="1:34" ht="11.25" customHeight="1" x14ac:dyDescent="0.25">
      <c r="A30" s="130"/>
      <c r="B30" s="130"/>
      <c r="C30" s="130"/>
      <c r="D30" s="130"/>
      <c r="E30" s="130"/>
      <c r="F30" s="130"/>
      <c r="G30" s="32" t="s">
        <v>82</v>
      </c>
      <c r="H30" s="32" t="s">
        <v>80</v>
      </c>
      <c r="I30" s="32">
        <f>'MERCADO TE'!$U$27</f>
        <v>0</v>
      </c>
      <c r="J30" s="17"/>
      <c r="L30" s="30">
        <f>('TE BE'!$L$30+'TE BF'!$L$30+'TE CVA'!$L$30)*(1 - CUSTOS!$M$40)</f>
        <v>2.9210364423396209</v>
      </c>
      <c r="M30" s="30">
        <f>('TE BE'!$M$30+'TE BF'!$M$30+'TE CVA'!$M$30)*(1 - CUSTOS!$M$40)</f>
        <v>31.662147703563907</v>
      </c>
      <c r="N30" s="30">
        <f>('TE BE'!$N$30+'TE BF'!$N$30+'TE CVA'!$N$30)*(1 - CUSTOS!$M$40)</f>
        <v>0</v>
      </c>
      <c r="O30" s="30">
        <f>('TE BE'!$O$30+'TE BF'!$O$30+'TE CVA'!$O$30)*(1 - CUSTOS!$M$40)</f>
        <v>10.548959796191234</v>
      </c>
      <c r="P30" s="30">
        <f>('TE BE'!$P$30+'TE BF'!$P$30+'TE CVA'!$P$30)*(1 - CUSTOS!$M$40)</f>
        <v>-15.224828363328424</v>
      </c>
      <c r="Q30" s="30">
        <f>('TE BE'!$R$30+'TE BF'!$R$30+'TE CVA'!$R$30)*(1 - CUSTOS!$M$40)</f>
        <v>237.90215570379954</v>
      </c>
      <c r="R30" s="30">
        <f>('TE BE'!$T$30+'TE BF'!$T$30+'TE CVA'!$T$30)*(1 - CUSTOS!$M$40)</f>
        <v>7.8828986545647757</v>
      </c>
      <c r="S30" s="30">
        <f>('TE BE'!$U$30+'TE BF'!$U$30+'TE CVA'!$U$30)*(1 - CUSTOS!$M$40)</f>
        <v>4.8706447866628046</v>
      </c>
      <c r="T30" s="30">
        <f>('TE BE'!$V$30+'TE BF'!$V$30+'TE CVA'!$V$30)*(1 - CUSTOS!$M$40)</f>
        <v>0</v>
      </c>
      <c r="U30" s="30">
        <f>('TE BE'!$X$30+'TE BF'!$X$30+'TE CVA'!$X$30)*(1 - CUSTOS!$M$40)</f>
        <v>-7.8460116673725775</v>
      </c>
      <c r="V30" s="30">
        <f>('TE BE'!$Z$30+'TE BF'!$Z$30+'TE CVA'!$Z$30)*(1 - CUSTOS!$M$40)</f>
        <v>7.7636531971899645</v>
      </c>
      <c r="X30" s="30">
        <v>2.4516635951522101</v>
      </c>
      <c r="Y30" s="30">
        <v>15.5901617671183</v>
      </c>
      <c r="Z30" s="30">
        <v>0</v>
      </c>
      <c r="AA30" s="30">
        <v>0</v>
      </c>
      <c r="AB30" s="30">
        <v>0</v>
      </c>
      <c r="AC30" s="30">
        <v>216.48554526782601</v>
      </c>
      <c r="AD30" s="30">
        <v>5.1113319471828698</v>
      </c>
      <c r="AE30" s="30">
        <v>3.8530130320929699</v>
      </c>
      <c r="AF30" s="30">
        <v>0</v>
      </c>
      <c r="AG30" s="30">
        <v>0</v>
      </c>
      <c r="AH30" s="30">
        <v>6.0762115197384903</v>
      </c>
    </row>
    <row r="31" spans="1:34" ht="11.25" customHeight="1" x14ac:dyDescent="0.25">
      <c r="A31" s="130"/>
      <c r="B31" s="82" t="s">
        <v>92</v>
      </c>
      <c r="C31" s="82" t="s">
        <v>44</v>
      </c>
      <c r="D31" s="82" t="s">
        <v>55</v>
      </c>
      <c r="E31" s="82" t="s">
        <v>25</v>
      </c>
      <c r="F31" s="82" t="s">
        <v>25</v>
      </c>
      <c r="G31" s="32" t="s">
        <v>86</v>
      </c>
      <c r="H31" s="32" t="s">
        <v>80</v>
      </c>
      <c r="I31" s="32">
        <f>'MERCADO TE'!$U$28</f>
        <v>29.929000000000002</v>
      </c>
      <c r="J31" s="17"/>
      <c r="L31" s="30">
        <f>('TE BE'!$L$31+'TE BF'!$L$31+'TE CVA'!$L$31)*(1 - CUSTOS!$M$40)</f>
        <v>2.9210364423396209</v>
      </c>
      <c r="M31" s="30">
        <f>('TE BE'!$M$31+'TE BF'!$M$31+'TE CVA'!$M$31)*(1 - CUSTOS!$M$40)</f>
        <v>31.662147703563907</v>
      </c>
      <c r="N31" s="30">
        <f>('TE BE'!$N$31+'TE BF'!$N$31+'TE CVA'!$N$31)*(1 - CUSTOS!$M$40)</f>
        <v>0</v>
      </c>
      <c r="O31" s="30">
        <f>('TE BE'!$O$31+'TE BF'!$O$31+'TE CVA'!$O$31)*(1 - CUSTOS!$M$40)</f>
        <v>10.548959796191234</v>
      </c>
      <c r="P31" s="30">
        <f>('TE BE'!$P$31+'TE BF'!$P$31+'TE CVA'!$P$31)*(1 - CUSTOS!$M$40)</f>
        <v>-15.224828363328424</v>
      </c>
      <c r="Q31" s="30">
        <f>('TE BE'!$R$31+'TE BF'!$R$31+'TE CVA'!$R$31)*(1 - CUSTOS!$M$40)</f>
        <v>252.17628504602757</v>
      </c>
      <c r="R31" s="30">
        <f>('TE BE'!$T$31+'TE BF'!$T$31+'TE CVA'!$T$31)*(1 - CUSTOS!$M$40)</f>
        <v>7.8828986545647757</v>
      </c>
      <c r="S31" s="30">
        <f>('TE BE'!$U$31+'TE BF'!$U$31+'TE CVA'!$U$31)*(1 - CUSTOS!$M$40)</f>
        <v>4.8706447866628046</v>
      </c>
      <c r="T31" s="30">
        <f>('TE BE'!$V$31+'TE BF'!$V$31+'TE CVA'!$V$31)*(1 - CUSTOS!$M$40)</f>
        <v>0</v>
      </c>
      <c r="U31" s="30">
        <f>('TE BE'!$X$31+'TE BF'!$X$31+'TE CVA'!$X$31)*(1 - CUSTOS!$M$40)</f>
        <v>-8.2430375053138416</v>
      </c>
      <c r="V31" s="30">
        <f>('TE BE'!$Z$31+'TE BF'!$Z$31+'TE CVA'!$Z$31)*(1 - CUSTOS!$M$40)</f>
        <v>7.7636531971899645</v>
      </c>
      <c r="X31" s="30">
        <v>2.4516635951522101</v>
      </c>
      <c r="Y31" s="30">
        <v>15.5901617671183</v>
      </c>
      <c r="Z31" s="30">
        <v>0</v>
      </c>
      <c r="AA31" s="30">
        <v>0</v>
      </c>
      <c r="AB31" s="30">
        <v>0</v>
      </c>
      <c r="AC31" s="30">
        <v>229.47467798389599</v>
      </c>
      <c r="AD31" s="30">
        <v>5.1113319471828698</v>
      </c>
      <c r="AE31" s="30">
        <v>3.8530130320929699</v>
      </c>
      <c r="AF31" s="30">
        <v>0</v>
      </c>
      <c r="AG31" s="30">
        <v>0</v>
      </c>
      <c r="AH31" s="30">
        <v>6.0762115197384903</v>
      </c>
    </row>
    <row r="32" spans="1:34" ht="11.25" customHeight="1" x14ac:dyDescent="0.25">
      <c r="A32" s="130"/>
      <c r="B32" s="130" t="s">
        <v>93</v>
      </c>
      <c r="C32" s="130" t="s">
        <v>44</v>
      </c>
      <c r="D32" s="82" t="s">
        <v>25</v>
      </c>
      <c r="E32" s="82" t="s">
        <v>25</v>
      </c>
      <c r="F32" s="82" t="s">
        <v>25</v>
      </c>
      <c r="G32" s="32" t="s">
        <v>86</v>
      </c>
      <c r="H32" s="32" t="s">
        <v>80</v>
      </c>
      <c r="I32" s="32">
        <f>'MERCADO TE'!$U$29</f>
        <v>0</v>
      </c>
      <c r="J32" s="17"/>
      <c r="L32" s="30">
        <f>('TE BE'!$L$32+'TE BF'!$L$32+'TE CVA'!$L$32)*(1 - CUSTOS!$M$38)</f>
        <v>2.984537234564395</v>
      </c>
      <c r="M32" s="30">
        <f>('TE BE'!$M$32+'TE BF'!$M$32+'TE CVA'!$M$32)*(1 - CUSTOS!$M$38)</f>
        <v>32.350455262337036</v>
      </c>
      <c r="N32" s="30">
        <f>('TE BE'!$N$32+'TE BF'!$N$32+'TE CVA'!$N$32)*(1 - CUSTOS!$M$38)</f>
        <v>0</v>
      </c>
      <c r="O32" s="30">
        <f>('TE BE'!$O$32+'TE BF'!$O$32+'TE CVA'!$O$32)*(1 - CUSTOS!$M$38)</f>
        <v>10.778285009151913</v>
      </c>
      <c r="P32" s="30">
        <f>('TE BE'!$P$32+'TE BF'!$P$32+'TE CVA'!$P$32)*(1 - CUSTOS!$M$38)</f>
        <v>-15.555802892965996</v>
      </c>
      <c r="Q32" s="30">
        <f>('TE BE'!$R$32+'TE BF'!$R$32+'TE CVA'!$R$32)*(1 - CUSTOS!$M$38)</f>
        <v>257.65837819920205</v>
      </c>
      <c r="R32" s="30">
        <f>('TE BE'!$T$32+'TE BF'!$T$32+'TE CVA'!$T$32)*(1 - CUSTOS!$M$38)</f>
        <v>8.0542660166205309</v>
      </c>
      <c r="S32" s="30">
        <f>('TE BE'!$U$32+'TE BF'!$U$32+'TE CVA'!$U$32)*(1 - CUSTOS!$M$38)</f>
        <v>4.9765283689815609</v>
      </c>
      <c r="T32" s="30">
        <f>('TE BE'!$V$32+'TE BF'!$V$32+'TE CVA'!$V$32)*(1 - CUSTOS!$M$38)</f>
        <v>0</v>
      </c>
      <c r="U32" s="30">
        <f>('TE BE'!$X$32+'TE BF'!$X$32+'TE CVA'!$X$32)*(1 - CUSTOS!$M$38)</f>
        <v>-8.4222339728206634</v>
      </c>
      <c r="V32" s="30">
        <f>('TE BE'!$Z$32+'TE BF'!$Z$32+'TE CVA'!$Z$32)*(1 - CUSTOS!$M$38)</f>
        <v>7.9324282666940933</v>
      </c>
      <c r="X32" s="30">
        <v>2.5684094806356499</v>
      </c>
      <c r="Y32" s="30">
        <v>16.332550422695402</v>
      </c>
      <c r="Z32" s="30">
        <v>0</v>
      </c>
      <c r="AA32" s="30">
        <v>0</v>
      </c>
      <c r="AB32" s="30">
        <v>0</v>
      </c>
      <c r="AC32" s="30">
        <v>240.402043602177</v>
      </c>
      <c r="AD32" s="30">
        <v>5.35472870657253</v>
      </c>
      <c r="AE32" s="30">
        <v>4.03648984314502</v>
      </c>
      <c r="AF32" s="30">
        <v>0</v>
      </c>
      <c r="AG32" s="30">
        <v>0</v>
      </c>
      <c r="AH32" s="30">
        <v>6.3655549254403301</v>
      </c>
    </row>
    <row r="33" spans="1:34" ht="11.25" customHeight="1" x14ac:dyDescent="0.25">
      <c r="A33" s="130"/>
      <c r="B33" s="130"/>
      <c r="C33" s="130"/>
      <c r="D33" s="82" t="s">
        <v>95</v>
      </c>
      <c r="E33" s="82" t="s">
        <v>25</v>
      </c>
      <c r="F33" s="82" t="s">
        <v>25</v>
      </c>
      <c r="G33" s="32" t="s">
        <v>86</v>
      </c>
      <c r="H33" s="32" t="s">
        <v>80</v>
      </c>
      <c r="I33" s="32">
        <f>'MERCADO TE'!$U$30</f>
        <v>0</v>
      </c>
      <c r="J33" s="17"/>
      <c r="L33" s="30">
        <f>('TE BE'!$L$33+'TE BF'!$L$33+'TE CVA'!$L$33)*(1 - CUSTOS!$M$39)</f>
        <v>2.984537234564395</v>
      </c>
      <c r="M33" s="30">
        <f>('TE BE'!$M$33+'TE BF'!$M$33+'TE CVA'!$M$33)*(1 - CUSTOS!$M$39)</f>
        <v>32.350455262337036</v>
      </c>
      <c r="N33" s="30">
        <f>('TE BE'!$N$33+'TE BF'!$N$33+'TE CVA'!$N$33)*(1 - CUSTOS!$M$39)</f>
        <v>0</v>
      </c>
      <c r="O33" s="30">
        <f>('TE BE'!$O$33+'TE BF'!$O$33+'TE CVA'!$O$33)*(1 - CUSTOS!$M$39)</f>
        <v>10.778285009151913</v>
      </c>
      <c r="P33" s="30">
        <f>('TE BE'!$P$33+'TE BF'!$P$33+'TE CVA'!$P$33)*(1 - CUSTOS!$M$39)</f>
        <v>-15.555802892965996</v>
      </c>
      <c r="Q33" s="30">
        <f>('TE BE'!$R$33+'TE BF'!$R$33+'TE CVA'!$R$33)*(1 - CUSTOS!$M$39)</f>
        <v>257.65837819920205</v>
      </c>
      <c r="R33" s="30">
        <f>('TE BE'!$T$33+'TE BF'!$T$33+'TE CVA'!$T$33)*(1 - CUSTOS!$M$39)</f>
        <v>8.0542660166205309</v>
      </c>
      <c r="S33" s="30">
        <f>('TE BE'!$U$33+'TE BF'!$U$33+'TE CVA'!$U$33)*(1 - CUSTOS!$M$39)</f>
        <v>4.9765283689815609</v>
      </c>
      <c r="T33" s="30">
        <f>('TE BE'!$V$33+'TE BF'!$V$33+'TE CVA'!$V$33)*(1 - CUSTOS!$M$39)</f>
        <v>0</v>
      </c>
      <c r="U33" s="30">
        <f>('TE BE'!$X$33+'TE BF'!$X$33+'TE CVA'!$X$33)*(1 - CUSTOS!$M$39)</f>
        <v>-8.4222339728206634</v>
      </c>
      <c r="V33" s="30">
        <f>('TE BE'!$Z$33+'TE BF'!$Z$33+'TE CVA'!$Z$33)*(1 - CUSTOS!$M$39)</f>
        <v>7.9324282666940933</v>
      </c>
      <c r="X33" s="30">
        <v>2.5684094806356499</v>
      </c>
      <c r="Y33" s="30">
        <v>16.332550422695402</v>
      </c>
      <c r="Z33" s="30">
        <v>0</v>
      </c>
      <c r="AA33" s="30">
        <v>0</v>
      </c>
      <c r="AB33" s="30">
        <v>0</v>
      </c>
      <c r="AC33" s="30">
        <v>240.402043602177</v>
      </c>
      <c r="AD33" s="30">
        <v>5.35472870657253</v>
      </c>
      <c r="AE33" s="30">
        <v>4.03648984314502</v>
      </c>
      <c r="AF33" s="30">
        <v>0</v>
      </c>
      <c r="AG33" s="30">
        <v>0</v>
      </c>
      <c r="AH33" s="30">
        <v>6.3655549254403301</v>
      </c>
    </row>
    <row r="34" spans="1:34" ht="11.25" customHeight="1" x14ac:dyDescent="0.25">
      <c r="A34" s="130"/>
      <c r="B34" s="130"/>
      <c r="C34" s="130"/>
      <c r="D34" s="82" t="s">
        <v>55</v>
      </c>
      <c r="E34" s="82" t="s">
        <v>25</v>
      </c>
      <c r="F34" s="82" t="s">
        <v>25</v>
      </c>
      <c r="G34" s="32" t="s">
        <v>86</v>
      </c>
      <c r="H34" s="32" t="s">
        <v>80</v>
      </c>
      <c r="I34" s="32">
        <f>'MERCADO TE'!$U$31</f>
        <v>0</v>
      </c>
      <c r="J34" s="17"/>
      <c r="L34" s="30">
        <f>('TE BE'!$L$34+'TE BF'!$L$34+'TE CVA'!$L$34)*(1 - CUSTOS!$M$40)</f>
        <v>2.9210364423396209</v>
      </c>
      <c r="M34" s="30">
        <f>('TE BE'!$M$34+'TE BF'!$M$34+'TE CVA'!$M$34)*(1 - CUSTOS!$M$40)</f>
        <v>31.662147703563907</v>
      </c>
      <c r="N34" s="30">
        <f>('TE BE'!$N$34+'TE BF'!$N$34+'TE CVA'!$N$34)*(1 - CUSTOS!$M$40)</f>
        <v>0</v>
      </c>
      <c r="O34" s="30">
        <f>('TE BE'!$O$34+'TE BF'!$O$34+'TE CVA'!$O$34)*(1 - CUSTOS!$M$40)</f>
        <v>10.548959796191234</v>
      </c>
      <c r="P34" s="30">
        <f>('TE BE'!$P$34+'TE BF'!$P$34+'TE CVA'!$P$34)*(1 - CUSTOS!$M$40)</f>
        <v>-15.224828363328424</v>
      </c>
      <c r="Q34" s="30">
        <f>('TE BE'!$R$34+'TE BF'!$R$34+'TE CVA'!$R$34)*(1 - CUSTOS!$M$40)</f>
        <v>252.17628504602757</v>
      </c>
      <c r="R34" s="30">
        <f>('TE BE'!$T$34+'TE BF'!$T$34+'TE CVA'!$T$34)*(1 - CUSTOS!$M$40)</f>
        <v>7.8828986545647757</v>
      </c>
      <c r="S34" s="30">
        <f>('TE BE'!$U$34+'TE BF'!$U$34+'TE CVA'!$U$34)*(1 - CUSTOS!$M$40)</f>
        <v>4.8706447866628046</v>
      </c>
      <c r="T34" s="30">
        <f>('TE BE'!$V$34+'TE BF'!$V$34+'TE CVA'!$V$34)*(1 - CUSTOS!$M$40)</f>
        <v>0</v>
      </c>
      <c r="U34" s="30">
        <f>('TE BE'!$X$34+'TE BF'!$X$34+'TE CVA'!$X$34)*(1 - CUSTOS!$M$40)</f>
        <v>-8.2430375053138416</v>
      </c>
      <c r="V34" s="30">
        <f>('TE BE'!$Z$34+'TE BF'!$Z$34+'TE CVA'!$Z$34)*(1 - CUSTOS!$M$40)</f>
        <v>7.7636531971899645</v>
      </c>
      <c r="X34" s="30">
        <v>2.4516635951522101</v>
      </c>
      <c r="Y34" s="30">
        <v>15.5901617671183</v>
      </c>
      <c r="Z34" s="30">
        <v>0</v>
      </c>
      <c r="AA34" s="30">
        <v>0</v>
      </c>
      <c r="AB34" s="30">
        <v>0</v>
      </c>
      <c r="AC34" s="30">
        <v>229.47467798389599</v>
      </c>
      <c r="AD34" s="30">
        <v>5.1113319471828698</v>
      </c>
      <c r="AE34" s="30">
        <v>3.8530130320929699</v>
      </c>
      <c r="AF34" s="30">
        <v>0</v>
      </c>
      <c r="AG34" s="30">
        <v>0</v>
      </c>
      <c r="AH34" s="30">
        <v>6.0762115197384903</v>
      </c>
    </row>
    <row r="35" spans="1:34" ht="11.25" customHeight="1" x14ac:dyDescent="0.25">
      <c r="A35" s="130" t="s">
        <v>37</v>
      </c>
      <c r="B35" s="130" t="s">
        <v>79</v>
      </c>
      <c r="C35" s="130" t="s">
        <v>25</v>
      </c>
      <c r="D35" s="130" t="s">
        <v>25</v>
      </c>
      <c r="E35" s="130" t="s">
        <v>25</v>
      </c>
      <c r="F35" s="130" t="s">
        <v>25</v>
      </c>
      <c r="G35" s="32" t="s">
        <v>81</v>
      </c>
      <c r="H35" s="32" t="s">
        <v>80</v>
      </c>
      <c r="I35" s="32">
        <f>'MERCADO TE'!$U$32</f>
        <v>57.161000000000001</v>
      </c>
      <c r="J35" s="17"/>
      <c r="L35" s="30">
        <f>('TE BE'!$L$35+'TE BF'!$L$35+'TE CVA'!$L$35)*1</f>
        <v>3.1750396112387183</v>
      </c>
      <c r="M35" s="30">
        <f>('TE BE'!$M$35+'TE BF'!$M$35+'TE CVA'!$M$35)*1</f>
        <v>34.41537793865642</v>
      </c>
      <c r="N35" s="30">
        <f>('TE BE'!$N$35+'TE BF'!$N$35+'TE CVA'!$N$35)*1</f>
        <v>0</v>
      </c>
      <c r="O35" s="30">
        <f>('TE BE'!$O$35+'TE BF'!$O$35+'TE CVA'!$O$35)*1</f>
        <v>11.46626064803395</v>
      </c>
      <c r="P35" s="30">
        <f>('TE BE'!$P$35+'TE BF'!$P$35+'TE CVA'!$P$35)*1</f>
        <v>-16.54872648187872</v>
      </c>
      <c r="Q35" s="30">
        <f>('TE BE'!$R$35+'TE BF'!$R$35+'TE CVA'!$R$35)*1</f>
        <v>444.77359544623397</v>
      </c>
      <c r="R35" s="30">
        <f>('TE BE'!$T$35+'TE BF'!$T$35+'TE CVA'!$T$35)*1</f>
        <v>8.5683681027877991</v>
      </c>
      <c r="S35" s="30">
        <f>('TE BE'!$U$35+'TE BF'!$U$35+'TE CVA'!$U$35)*1</f>
        <v>5.2941791159378306</v>
      </c>
      <c r="T35" s="30">
        <f>('TE BE'!$V$35+'TE BF'!$V$35+'TE CVA'!$V$35)*1</f>
        <v>0</v>
      </c>
      <c r="U35" s="30">
        <f>('TE BE'!$X$35+'TE BF'!$X$35+'TE CVA'!$X$35)*1</f>
        <v>-13.706871437682343</v>
      </c>
      <c r="V35" s="30">
        <f>('TE BE'!$Z$35+'TE BF'!$Z$35+'TE CVA'!$Z$35)*1</f>
        <v>8.4387534752064823</v>
      </c>
      <c r="X35" s="30">
        <v>2.9186471370859701</v>
      </c>
      <c r="Y35" s="30">
        <v>18.559716389426601</v>
      </c>
      <c r="Z35" s="30">
        <v>0</v>
      </c>
      <c r="AA35" s="30">
        <v>0</v>
      </c>
      <c r="AB35" s="30">
        <v>0</v>
      </c>
      <c r="AC35" s="30">
        <v>443.27992602459699</v>
      </c>
      <c r="AD35" s="30">
        <v>6.0849189847415097</v>
      </c>
      <c r="AE35" s="30">
        <v>4.5869202763011501</v>
      </c>
      <c r="AF35" s="30">
        <v>0</v>
      </c>
      <c r="AG35" s="30">
        <v>0</v>
      </c>
      <c r="AH35" s="30">
        <v>7.2335851425458202</v>
      </c>
    </row>
    <row r="36" spans="1:34" ht="11.25" customHeight="1" x14ac:dyDescent="0.25">
      <c r="A36" s="130"/>
      <c r="B36" s="130"/>
      <c r="C36" s="130"/>
      <c r="D36" s="130"/>
      <c r="E36" s="130"/>
      <c r="F36" s="130"/>
      <c r="G36" s="32" t="s">
        <v>91</v>
      </c>
      <c r="H36" s="32" t="s">
        <v>80</v>
      </c>
      <c r="I36" s="32">
        <f>'MERCADO TE'!$U$33</f>
        <v>51.646000000000001</v>
      </c>
      <c r="J36" s="17"/>
      <c r="L36" s="30">
        <f>('TE BE'!$L$36+'TE BF'!$L$36+'TE CVA'!$L$36)*1</f>
        <v>3.1750396112387183</v>
      </c>
      <c r="M36" s="30">
        <f>('TE BE'!$M$36+'TE BF'!$M$36+'TE CVA'!$M$36)*1</f>
        <v>34.41537793865642</v>
      </c>
      <c r="N36" s="30">
        <f>('TE BE'!$N$36+'TE BF'!$N$36+'TE CVA'!$N$36)*1</f>
        <v>0</v>
      </c>
      <c r="O36" s="30">
        <f>('TE BE'!$O$36+'TE BF'!$O$36+'TE CVA'!$O$36)*1</f>
        <v>11.46626064803395</v>
      </c>
      <c r="P36" s="30">
        <f>('TE BE'!$P$36+'TE BF'!$P$36+'TE CVA'!$P$36)*1</f>
        <v>-16.54872648187872</v>
      </c>
      <c r="Q36" s="30">
        <f>('TE BE'!$R$36+'TE BF'!$R$36+'TE CVA'!$R$36)*1</f>
        <v>258.58929967804295</v>
      </c>
      <c r="R36" s="30">
        <f>('TE BE'!$T$36+'TE BF'!$T$36+'TE CVA'!$T$36)*1</f>
        <v>8.5683681027877991</v>
      </c>
      <c r="S36" s="30">
        <f>('TE BE'!$U$36+'TE BF'!$U$36+'TE CVA'!$U$36)*1</f>
        <v>5.2941791159378306</v>
      </c>
      <c r="T36" s="30">
        <f>('TE BE'!$V$36+'TE BF'!$V$36+'TE CVA'!$V$36)*1</f>
        <v>0</v>
      </c>
      <c r="U36" s="30">
        <f>('TE BE'!$X$36+'TE BF'!$X$36+'TE CVA'!$X$36)*1</f>
        <v>-8.5282735514919317</v>
      </c>
      <c r="V36" s="30">
        <f>('TE BE'!$Z$36+'TE BF'!$Z$36+'TE CVA'!$Z$36)*1</f>
        <v>8.4387534752064823</v>
      </c>
      <c r="X36" s="30">
        <v>2.9186471370859701</v>
      </c>
      <c r="Y36" s="30">
        <v>18.559716389426601</v>
      </c>
      <c r="Z36" s="30">
        <v>0</v>
      </c>
      <c r="AA36" s="30">
        <v>0</v>
      </c>
      <c r="AB36" s="30">
        <v>0</v>
      </c>
      <c r="AC36" s="30">
        <v>257.72088722360297</v>
      </c>
      <c r="AD36" s="30">
        <v>6.0849189847415097</v>
      </c>
      <c r="AE36" s="30">
        <v>4.5869202763011501</v>
      </c>
      <c r="AF36" s="30">
        <v>0</v>
      </c>
      <c r="AG36" s="30">
        <v>0</v>
      </c>
      <c r="AH36" s="30">
        <v>7.2335851425458202</v>
      </c>
    </row>
    <row r="37" spans="1:34" ht="11.25" customHeight="1" x14ac:dyDescent="0.25">
      <c r="A37" s="130"/>
      <c r="B37" s="130"/>
      <c r="C37" s="130"/>
      <c r="D37" s="130"/>
      <c r="E37" s="130"/>
      <c r="F37" s="130"/>
      <c r="G37" s="32" t="s">
        <v>82</v>
      </c>
      <c r="H37" s="32" t="s">
        <v>80</v>
      </c>
      <c r="I37" s="32">
        <f>'MERCADO TE'!$U$34</f>
        <v>982.72000000000014</v>
      </c>
      <c r="J37" s="17"/>
      <c r="L37" s="30">
        <f>('TE BE'!$L$37+'TE BF'!$L$37+'TE CVA'!$L$37)*1</f>
        <v>3.1750396112387183</v>
      </c>
      <c r="M37" s="30">
        <f>('TE BE'!$M$37+'TE BF'!$M$37+'TE CVA'!$M$37)*1</f>
        <v>34.41537793865642</v>
      </c>
      <c r="N37" s="30">
        <f>('TE BE'!$N$37+'TE BF'!$N$37+'TE CVA'!$N$37)*1</f>
        <v>0</v>
      </c>
      <c r="O37" s="30">
        <f>('TE BE'!$O$37+'TE BF'!$O$37+'TE CVA'!$O$37)*1</f>
        <v>11.46626064803395</v>
      </c>
      <c r="P37" s="30">
        <f>('TE BE'!$P$37+'TE BF'!$P$37+'TE CVA'!$P$37)*1</f>
        <v>-16.54872648187872</v>
      </c>
      <c r="Q37" s="30">
        <f>('TE BE'!$R$37+'TE BF'!$R$37+'TE CVA'!$R$37)*1</f>
        <v>258.58929967804295</v>
      </c>
      <c r="R37" s="30">
        <f>('TE BE'!$T$37+'TE BF'!$T$37+'TE CVA'!$T$37)*1</f>
        <v>8.5683681027877991</v>
      </c>
      <c r="S37" s="30">
        <f>('TE BE'!$U$37+'TE BF'!$U$37+'TE CVA'!$U$37)*1</f>
        <v>5.2941791159378306</v>
      </c>
      <c r="T37" s="30">
        <f>('TE BE'!$V$37+'TE BF'!$V$37+'TE CVA'!$V$37)*1</f>
        <v>0</v>
      </c>
      <c r="U37" s="30">
        <f>('TE BE'!$X$37+'TE BF'!$X$37+'TE CVA'!$X$37)*1</f>
        <v>-8.5282735514919317</v>
      </c>
      <c r="V37" s="30">
        <f>('TE BE'!$Z$37+'TE BF'!$Z$37+'TE CVA'!$Z$37)*1</f>
        <v>8.4387534752064823</v>
      </c>
      <c r="X37" s="30">
        <v>2.9186471370859701</v>
      </c>
      <c r="Y37" s="30">
        <v>18.559716389426601</v>
      </c>
      <c r="Z37" s="30">
        <v>0</v>
      </c>
      <c r="AA37" s="30">
        <v>0</v>
      </c>
      <c r="AB37" s="30">
        <v>0</v>
      </c>
      <c r="AC37" s="30">
        <v>257.72088722360297</v>
      </c>
      <c r="AD37" s="30">
        <v>6.0849189847415097</v>
      </c>
      <c r="AE37" s="30">
        <v>4.5869202763011501</v>
      </c>
      <c r="AF37" s="30">
        <v>0</v>
      </c>
      <c r="AG37" s="30">
        <v>0</v>
      </c>
      <c r="AH37" s="30">
        <v>7.2335851425458202</v>
      </c>
    </row>
    <row r="38" spans="1:34" ht="11.25" customHeight="1" x14ac:dyDescent="0.25">
      <c r="A38" s="130"/>
      <c r="B38" s="82" t="s">
        <v>92</v>
      </c>
      <c r="C38" s="82" t="s">
        <v>25</v>
      </c>
      <c r="D38" s="82" t="s">
        <v>25</v>
      </c>
      <c r="E38" s="82" t="s">
        <v>25</v>
      </c>
      <c r="F38" s="82" t="s">
        <v>25</v>
      </c>
      <c r="G38" s="32" t="s">
        <v>86</v>
      </c>
      <c r="H38" s="32" t="s">
        <v>80</v>
      </c>
      <c r="I38" s="32">
        <f>'MERCADO TE'!$U$35</f>
        <v>86690.115999999995</v>
      </c>
      <c r="J38" s="17"/>
      <c r="L38" s="30">
        <f>('TE BE'!$L$38+'TE BF'!$L$38+'TE CVA'!$L$38)*1</f>
        <v>3.1750396112387183</v>
      </c>
      <c r="M38" s="30">
        <f>('TE BE'!$M$38+'TE BF'!$M$38+'TE CVA'!$M$38)*1</f>
        <v>34.41537793865642</v>
      </c>
      <c r="N38" s="30">
        <f>('TE BE'!$N$38+'TE BF'!$N$38+'TE CVA'!$N$38)*1</f>
        <v>0</v>
      </c>
      <c r="O38" s="30">
        <f>('TE BE'!$O$38+'TE BF'!$O$38+'TE CVA'!$O$38)*1</f>
        <v>11.46626064803395</v>
      </c>
      <c r="P38" s="30">
        <f>('TE BE'!$P$38+'TE BF'!$P$38+'TE CVA'!$P$38)*1</f>
        <v>-16.54872648187872</v>
      </c>
      <c r="Q38" s="30">
        <f>('TE BE'!$R$38+'TE BF'!$R$38+'TE CVA'!$R$38)*1</f>
        <v>274.10465765872561</v>
      </c>
      <c r="R38" s="30">
        <f>('TE BE'!$T$38+'TE BF'!$T$38+'TE CVA'!$T$38)*1</f>
        <v>8.5683681027877991</v>
      </c>
      <c r="S38" s="30">
        <f>('TE BE'!$U$38+'TE BF'!$U$38+'TE CVA'!$U$38)*1</f>
        <v>5.2941791159378306</v>
      </c>
      <c r="T38" s="30">
        <f>('TE BE'!$V$38+'TE BF'!$V$38+'TE CVA'!$V$38)*1</f>
        <v>0</v>
      </c>
      <c r="U38" s="30">
        <f>('TE BE'!$X$38+'TE BF'!$X$38+'TE CVA'!$X$38)*1</f>
        <v>-8.9598233753411325</v>
      </c>
      <c r="V38" s="30">
        <f>('TE BE'!$Z$38+'TE BF'!$Z$38+'TE CVA'!$Z$38)*1</f>
        <v>8.4387534752064823</v>
      </c>
      <c r="X38" s="30">
        <v>2.9186471370859701</v>
      </c>
      <c r="Y38" s="30">
        <v>18.559716389426601</v>
      </c>
      <c r="Z38" s="30">
        <v>0</v>
      </c>
      <c r="AA38" s="30">
        <v>0</v>
      </c>
      <c r="AB38" s="30">
        <v>0</v>
      </c>
      <c r="AC38" s="30">
        <v>273.184140457019</v>
      </c>
      <c r="AD38" s="30">
        <v>6.0849189847415097</v>
      </c>
      <c r="AE38" s="30">
        <v>4.5869202763011501</v>
      </c>
      <c r="AF38" s="30">
        <v>0</v>
      </c>
      <c r="AG38" s="30">
        <v>0</v>
      </c>
      <c r="AH38" s="30">
        <v>7.2335851425458202</v>
      </c>
    </row>
    <row r="39" spans="1:34" ht="11.25" customHeight="1" x14ac:dyDescent="0.25">
      <c r="A39" s="130"/>
      <c r="B39" s="82" t="s">
        <v>93</v>
      </c>
      <c r="C39" s="82" t="s">
        <v>25</v>
      </c>
      <c r="D39" s="82" t="s">
        <v>25</v>
      </c>
      <c r="E39" s="82" t="s">
        <v>25</v>
      </c>
      <c r="F39" s="82" t="s">
        <v>25</v>
      </c>
      <c r="G39" s="32" t="s">
        <v>86</v>
      </c>
      <c r="H39" s="32" t="s">
        <v>80</v>
      </c>
      <c r="I39" s="32">
        <f>'MERCADO TE'!$U$36</f>
        <v>0</v>
      </c>
      <c r="J39" s="17"/>
      <c r="L39" s="30">
        <f>('TE BE'!$L$39+'TE BF'!$L$39+'TE CVA'!$L$39)*1</f>
        <v>3.1750396112387183</v>
      </c>
      <c r="M39" s="30">
        <f>('TE BE'!$M$39+'TE BF'!$M$39+'TE CVA'!$M$39)*1</f>
        <v>34.41537793865642</v>
      </c>
      <c r="N39" s="30">
        <f>('TE BE'!$N$39+'TE BF'!$N$39+'TE CVA'!$N$39)*1</f>
        <v>0</v>
      </c>
      <c r="O39" s="30">
        <f>('TE BE'!$O$39+'TE BF'!$O$39+'TE CVA'!$O$39)*1</f>
        <v>11.46626064803395</v>
      </c>
      <c r="P39" s="30">
        <f>('TE BE'!$P$39+'TE BF'!$P$39+'TE CVA'!$P$39)*1</f>
        <v>-16.54872648187872</v>
      </c>
      <c r="Q39" s="30">
        <f>('TE BE'!$R$39+'TE BF'!$R$39+'TE CVA'!$R$39)*1</f>
        <v>274.10465765872561</v>
      </c>
      <c r="R39" s="30">
        <f>('TE BE'!$T$39+'TE BF'!$T$39+'TE CVA'!$T$39)*1</f>
        <v>8.5683681027877991</v>
      </c>
      <c r="S39" s="30">
        <f>('TE BE'!$U$39+'TE BF'!$U$39+'TE CVA'!$U$39)*1</f>
        <v>5.2941791159378306</v>
      </c>
      <c r="T39" s="30">
        <f>('TE BE'!$V$39+'TE BF'!$V$39+'TE CVA'!$V$39)*1</f>
        <v>0</v>
      </c>
      <c r="U39" s="30">
        <f>('TE BE'!$X$39+'TE BF'!$X$39+'TE CVA'!$X$39)*1</f>
        <v>-8.9598233753411325</v>
      </c>
      <c r="V39" s="30">
        <f>('TE BE'!$Z$39+'TE BF'!$Z$39+'TE CVA'!$Z$39)*1</f>
        <v>8.4387534752064823</v>
      </c>
      <c r="X39" s="30">
        <v>2.9186471370859701</v>
      </c>
      <c r="Y39" s="30">
        <v>18.559716389426601</v>
      </c>
      <c r="Z39" s="30">
        <v>0</v>
      </c>
      <c r="AA39" s="30">
        <v>0</v>
      </c>
      <c r="AB39" s="30">
        <v>0</v>
      </c>
      <c r="AC39" s="30">
        <v>273.184140457019</v>
      </c>
      <c r="AD39" s="30">
        <v>6.0849189847415097</v>
      </c>
      <c r="AE39" s="30">
        <v>4.5869202763011501</v>
      </c>
      <c r="AF39" s="30">
        <v>0</v>
      </c>
      <c r="AG39" s="30">
        <v>0</v>
      </c>
      <c r="AH39" s="30">
        <v>7.2335851425458202</v>
      </c>
    </row>
    <row r="40" spans="1:34" ht="11.25" customHeight="1" x14ac:dyDescent="0.25">
      <c r="A40" s="130" t="s">
        <v>46</v>
      </c>
      <c r="B40" s="130" t="s">
        <v>92</v>
      </c>
      <c r="C40" s="130" t="s">
        <v>47</v>
      </c>
      <c r="D40" s="82" t="s">
        <v>48</v>
      </c>
      <c r="E40" s="82" t="s">
        <v>25</v>
      </c>
      <c r="F40" s="82" t="s">
        <v>25</v>
      </c>
      <c r="G40" s="32" t="s">
        <v>86</v>
      </c>
      <c r="H40" s="32" t="s">
        <v>80</v>
      </c>
      <c r="I40" s="32">
        <f>'MERCADO TE'!$U$37</f>
        <v>18976.334999999999</v>
      </c>
      <c r="J40" s="17"/>
      <c r="L40" s="30">
        <f>('TE BE'!$L$40+'TE BF'!$L$40+'TE CVA'!$L$40)*1</f>
        <v>1.7462717861812953</v>
      </c>
      <c r="M40" s="30">
        <f>('TE BE'!$M$40+'TE BF'!$M$40+'TE CVA'!$M$40)*1</f>
        <v>18.928457866261034</v>
      </c>
      <c r="N40" s="30">
        <f>('TE BE'!$N$40+'TE BF'!$N$40+'TE CVA'!$N$40)*1</f>
        <v>0</v>
      </c>
      <c r="O40" s="30">
        <f>('TE BE'!$O$40+'TE BF'!$O$40+'TE CVA'!$O$40)*1</f>
        <v>6.306443356418673</v>
      </c>
      <c r="P40" s="30">
        <f>('TE BE'!$P$40+'TE BF'!$P$40+'TE CVA'!$P$40)*1</f>
        <v>-9.1017995650332963</v>
      </c>
      <c r="Q40" s="30">
        <f>('TE BE'!$R$40+'TE BF'!$R$40+'TE CVA'!$R$40)*1</f>
        <v>150.75756171229909</v>
      </c>
      <c r="R40" s="30">
        <f>('TE BE'!$T$40+'TE BF'!$T$40+'TE CVA'!$T$40)*1</f>
        <v>4.7126024565332898</v>
      </c>
      <c r="S40" s="30">
        <f>('TE BE'!$U$40+'TE BF'!$U$40+'TE CVA'!$U$40)*1</f>
        <v>2.9117985137658078</v>
      </c>
      <c r="T40" s="30">
        <f>('TE BE'!$V$40+'TE BF'!$V$40+'TE CVA'!$V$40)*1</f>
        <v>0</v>
      </c>
      <c r="U40" s="30">
        <f>('TE BE'!$X$40+'TE BF'!$X$40+'TE CVA'!$X$40)*1</f>
        <v>-4.9279028564376226</v>
      </c>
      <c r="V40" s="30">
        <f>('TE BE'!$Z$40+'TE BF'!$Z$40+'TE CVA'!$Z$40)*1</f>
        <v>4.6413144113635658</v>
      </c>
      <c r="X40" s="30">
        <v>1.60525592539728</v>
      </c>
      <c r="Y40" s="30">
        <v>10.2078440141846</v>
      </c>
      <c r="Z40" s="30">
        <v>0</v>
      </c>
      <c r="AA40" s="30">
        <v>0</v>
      </c>
      <c r="AB40" s="30">
        <v>0</v>
      </c>
      <c r="AC40" s="30">
        <v>150.25127725135999</v>
      </c>
      <c r="AD40" s="30">
        <v>3.3467054416078299</v>
      </c>
      <c r="AE40" s="30">
        <v>2.52280615196563</v>
      </c>
      <c r="AF40" s="30">
        <v>0</v>
      </c>
      <c r="AG40" s="30">
        <v>0</v>
      </c>
      <c r="AH40" s="30">
        <v>3.9784718284001999</v>
      </c>
    </row>
    <row r="41" spans="1:34" ht="11.25" customHeight="1" x14ac:dyDescent="0.25">
      <c r="A41" s="130"/>
      <c r="B41" s="130"/>
      <c r="C41" s="130"/>
      <c r="D41" s="32" t="s">
        <v>96</v>
      </c>
      <c r="E41" s="32" t="s">
        <v>25</v>
      </c>
      <c r="F41" s="32" t="s">
        <v>25</v>
      </c>
      <c r="G41" s="32" t="s">
        <v>86</v>
      </c>
      <c r="H41" s="32" t="s">
        <v>80</v>
      </c>
      <c r="I41" s="32">
        <f>'MERCADO TE'!$U$38</f>
        <v>0</v>
      </c>
      <c r="J41" s="17"/>
      <c r="L41" s="30">
        <f>('TE BE'!$L$41+'TE BF'!$L$41+'TE CVA'!$L$41)*1</f>
        <v>1.905023766743231</v>
      </c>
      <c r="M41" s="30">
        <f>('TE BE'!$M$41+'TE BF'!$M$41+'TE CVA'!$M$41)*1</f>
        <v>20.649226763193855</v>
      </c>
      <c r="N41" s="30">
        <f>('TE BE'!$N$41+'TE BF'!$N$41+'TE CVA'!$N$41)*1</f>
        <v>0</v>
      </c>
      <c r="O41" s="30">
        <f>('TE BE'!$O$41+'TE BF'!$O$41+'TE CVA'!$O$41)*1</f>
        <v>6.8797563888203701</v>
      </c>
      <c r="P41" s="30">
        <f>('TE BE'!$P$41+'TE BF'!$P$41+'TE CVA'!$P$41)*1</f>
        <v>-9.9292358891272325</v>
      </c>
      <c r="Q41" s="30">
        <f>('TE BE'!$R$41+'TE BF'!$R$41+'TE CVA'!$R$41)*1</f>
        <v>164.46279459523535</v>
      </c>
      <c r="R41" s="30">
        <f>('TE BE'!$T$41+'TE BF'!$T$41+'TE CVA'!$T$41)*1</f>
        <v>5.1410208616726791</v>
      </c>
      <c r="S41" s="30">
        <f>('TE BE'!$U$41+'TE BF'!$U$41+'TE CVA'!$U$41)*1</f>
        <v>3.1765074695626989</v>
      </c>
      <c r="T41" s="30">
        <f>('TE BE'!$V$41+'TE BF'!$V$41+'TE CVA'!$V$41)*1</f>
        <v>0</v>
      </c>
      <c r="U41" s="30">
        <f>('TE BE'!$X$41+'TE BF'!$X$41+'TE CVA'!$X$41)*1</f>
        <v>-5.375894025204679</v>
      </c>
      <c r="V41" s="30">
        <f>('TE BE'!$Z$41+'TE BF'!$Z$41+'TE CVA'!$Z$41)*1</f>
        <v>5.0632520851238887</v>
      </c>
      <c r="X41" s="30">
        <v>1.7511882822515801</v>
      </c>
      <c r="Y41" s="30">
        <v>11.135829833655899</v>
      </c>
      <c r="Z41" s="30">
        <v>0</v>
      </c>
      <c r="AA41" s="30">
        <v>0</v>
      </c>
      <c r="AB41" s="30">
        <v>0</v>
      </c>
      <c r="AC41" s="30">
        <v>163.910484274211</v>
      </c>
      <c r="AD41" s="30">
        <v>3.6509513908449098</v>
      </c>
      <c r="AE41" s="30">
        <v>2.7521521657806902</v>
      </c>
      <c r="AF41" s="30">
        <v>0</v>
      </c>
      <c r="AG41" s="30">
        <v>0</v>
      </c>
      <c r="AH41" s="30">
        <v>4.3401510855274896</v>
      </c>
    </row>
    <row r="43" spans="1:34" ht="11.25" customHeight="1" x14ac:dyDescent="0.25">
      <c r="L43" s="127" t="s">
        <v>1115</v>
      </c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X43" s="127" t="s">
        <v>1116</v>
      </c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</row>
    <row r="44" spans="1:34" ht="11.25" customHeight="1" x14ac:dyDescent="0.25">
      <c r="L44" s="127" t="s">
        <v>672</v>
      </c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X44" s="127" t="s">
        <v>672</v>
      </c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</row>
    <row r="45" spans="1:34" ht="11.25" customHeight="1" x14ac:dyDescent="0.25">
      <c r="L45" s="127" t="s">
        <v>645</v>
      </c>
      <c r="M45" s="127"/>
      <c r="N45" s="127"/>
      <c r="O45" s="127"/>
      <c r="P45" s="127"/>
      <c r="Q45" s="83" t="s">
        <v>676</v>
      </c>
      <c r="R45" s="127" t="s">
        <v>654</v>
      </c>
      <c r="S45" s="127"/>
      <c r="T45" s="127"/>
      <c r="U45" s="83" t="s">
        <v>664</v>
      </c>
      <c r="V45" s="83" t="s">
        <v>667</v>
      </c>
      <c r="X45" s="127" t="s">
        <v>645</v>
      </c>
      <c r="Y45" s="127"/>
      <c r="Z45" s="127"/>
      <c r="AA45" s="127"/>
      <c r="AB45" s="127"/>
      <c r="AC45" s="83" t="s">
        <v>676</v>
      </c>
      <c r="AD45" s="127" t="s">
        <v>654</v>
      </c>
      <c r="AE45" s="127"/>
      <c r="AF45" s="127"/>
      <c r="AG45" s="83" t="s">
        <v>664</v>
      </c>
      <c r="AH45" s="83" t="s">
        <v>667</v>
      </c>
    </row>
    <row r="46" spans="1:34" ht="11.25" customHeight="1" x14ac:dyDescent="0.25">
      <c r="L46" s="83" t="s">
        <v>647</v>
      </c>
      <c r="M46" s="83" t="s">
        <v>673</v>
      </c>
      <c r="N46" s="83" t="s">
        <v>674</v>
      </c>
      <c r="O46" s="83" t="s">
        <v>733</v>
      </c>
      <c r="P46" s="83" t="s">
        <v>675</v>
      </c>
      <c r="Q46" s="83" t="s">
        <v>677</v>
      </c>
      <c r="R46" s="83" t="s">
        <v>678</v>
      </c>
      <c r="S46" s="83" t="s">
        <v>679</v>
      </c>
      <c r="T46" s="83" t="s">
        <v>680</v>
      </c>
      <c r="U46" s="83" t="s">
        <v>665</v>
      </c>
      <c r="V46" s="83" t="s">
        <v>681</v>
      </c>
      <c r="X46" s="83" t="s">
        <v>647</v>
      </c>
      <c r="Y46" s="83" t="s">
        <v>673</v>
      </c>
      <c r="Z46" s="83" t="s">
        <v>674</v>
      </c>
      <c r="AA46" s="83" t="s">
        <v>733</v>
      </c>
      <c r="AB46" s="83" t="s">
        <v>675</v>
      </c>
      <c r="AC46" s="83" t="s">
        <v>677</v>
      </c>
      <c r="AD46" s="83" t="s">
        <v>678</v>
      </c>
      <c r="AE46" s="83" t="s">
        <v>679</v>
      </c>
      <c r="AF46" s="83" t="s">
        <v>680</v>
      </c>
      <c r="AG46" s="83" t="s">
        <v>665</v>
      </c>
      <c r="AH46" s="83" t="s">
        <v>681</v>
      </c>
    </row>
    <row r="47" spans="1:34" ht="11.25" customHeight="1" x14ac:dyDescent="0.25">
      <c r="A47" s="9" t="s">
        <v>39</v>
      </c>
      <c r="B47" s="9" t="s">
        <v>1117</v>
      </c>
      <c r="C47" s="9" t="s">
        <v>1118</v>
      </c>
      <c r="D47" s="9" t="s">
        <v>1119</v>
      </c>
      <c r="E47" s="9" t="s">
        <v>1120</v>
      </c>
      <c r="F47" s="9" t="s">
        <v>1121</v>
      </c>
      <c r="G47" s="9" t="s">
        <v>1122</v>
      </c>
      <c r="L47" s="30">
        <f>$I$5*$L$5</f>
        <v>9956.6829178341668</v>
      </c>
      <c r="M47" s="30">
        <f>$I$5*$M$5</f>
        <v>107924.0096469032</v>
      </c>
      <c r="N47" s="30">
        <f>$I$5*$N$5</f>
        <v>0</v>
      </c>
      <c r="O47" s="30">
        <f>$I$5*$O$5</f>
        <v>35957.321956425214</v>
      </c>
      <c r="P47" s="30">
        <f>$I$5*$P$5</f>
        <v>-51895.548543959041</v>
      </c>
      <c r="Q47" s="30">
        <f>$I$5*$Q$5</f>
        <v>1394776.1925261358</v>
      </c>
      <c r="R47" s="30">
        <f>$I$5*$R$5</f>
        <v>26869.751174366727</v>
      </c>
      <c r="S47" s="30">
        <f>$I$5*$S$5</f>
        <v>16602.143349968224</v>
      </c>
      <c r="T47" s="30">
        <f>$I$5*$T$5</f>
        <v>0</v>
      </c>
      <c r="U47" s="30">
        <f>$I$5*$U$5</f>
        <v>-42983.707106342561</v>
      </c>
      <c r="V47" s="30">
        <f>$I$5*$V$5</f>
        <v>26463.289552983413</v>
      </c>
      <c r="X47" s="30">
        <f>$I$5*$X$5</f>
        <v>9152.6556047191843</v>
      </c>
      <c r="Y47" s="30">
        <f>$I$5*$Y$5</f>
        <v>58201.860058796221</v>
      </c>
      <c r="Z47" s="30">
        <f>$I$5*$Z$5</f>
        <v>0</v>
      </c>
      <c r="AA47" s="30">
        <f>$I$5*$AA$5</f>
        <v>0</v>
      </c>
      <c r="AB47" s="30">
        <f>$I$5*$AB$5</f>
        <v>0</v>
      </c>
      <c r="AC47" s="30">
        <f>$I$5*$AC$5</f>
        <v>1390092.1587387582</v>
      </c>
      <c r="AD47" s="30">
        <f>$I$5*$AD$5</f>
        <v>19081.843482306533</v>
      </c>
      <c r="AE47" s="30">
        <f>$I$5*$AE$5</f>
        <v>14384.233380539408</v>
      </c>
      <c r="AF47" s="30">
        <f>$I$5*$AF$5</f>
        <v>0</v>
      </c>
      <c r="AG47" s="30">
        <f>$I$5*$AG$5</f>
        <v>0</v>
      </c>
      <c r="AH47" s="30">
        <f>$I$5*$AH$5</f>
        <v>22683.973254552857</v>
      </c>
    </row>
    <row r="48" spans="1:34" ht="11.25" customHeight="1" x14ac:dyDescent="0.25">
      <c r="A48" s="9" t="s">
        <v>39</v>
      </c>
      <c r="B48" s="9" t="s">
        <v>1117</v>
      </c>
      <c r="C48" s="9" t="s">
        <v>1118</v>
      </c>
      <c r="D48" s="9" t="s">
        <v>1119</v>
      </c>
      <c r="E48" s="9" t="s">
        <v>1120</v>
      </c>
      <c r="F48" s="9" t="s">
        <v>1121</v>
      </c>
      <c r="G48" s="9" t="s">
        <v>1123</v>
      </c>
      <c r="L48" s="30">
        <f>$I$6*$L$6</f>
        <v>178451.25665165804</v>
      </c>
      <c r="M48" s="30">
        <f>$I$6*$M$6</f>
        <v>1934296.3217076017</v>
      </c>
      <c r="N48" s="30">
        <f>$I$6*$N$6</f>
        <v>0</v>
      </c>
      <c r="O48" s="30">
        <f>$I$6*$O$6</f>
        <v>644454.51782531163</v>
      </c>
      <c r="P48" s="30">
        <f>$I$6*$P$6</f>
        <v>-930111.55710390757</v>
      </c>
      <c r="Q48" s="30">
        <f>$I$6*$Q$6</f>
        <v>14533861.348021291</v>
      </c>
      <c r="R48" s="30">
        <f>$I$6*$R$6</f>
        <v>481580.15099532052</v>
      </c>
      <c r="S48" s="30">
        <f>$I$6*$S$6</f>
        <v>297556.2612932194</v>
      </c>
      <c r="T48" s="30">
        <f>$I$6*$T$6</f>
        <v>0</v>
      </c>
      <c r="U48" s="30">
        <f>$I$6*$U$6</f>
        <v>-479326.66003467061</v>
      </c>
      <c r="V48" s="30">
        <f>$I$6*$V$6</f>
        <v>474295.23615821125</v>
      </c>
      <c r="X48" s="30">
        <f>$I$6*$X$6</f>
        <v>164040.86660593032</v>
      </c>
      <c r="Y48" s="30">
        <f>$I$6*$Y$6</f>
        <v>1043138.0764724999</v>
      </c>
      <c r="Z48" s="30">
        <f>$I$6*$Z$6</f>
        <v>0</v>
      </c>
      <c r="AA48" s="30">
        <f>$I$6*$AA$6</f>
        <v>0</v>
      </c>
      <c r="AB48" s="30">
        <f>$I$6*$AB$6</f>
        <v>0</v>
      </c>
      <c r="AC48" s="30">
        <f>$I$6*$AC$6</f>
        <v>14485052.730567129</v>
      </c>
      <c r="AD48" s="30">
        <f>$I$6*$AD$6</f>
        <v>341999.33619946643</v>
      </c>
      <c r="AE48" s="30">
        <f>$I$6*$AE$6</f>
        <v>257805.18912882562</v>
      </c>
      <c r="AF48" s="30">
        <f>$I$6*$AF$6</f>
        <v>0</v>
      </c>
      <c r="AG48" s="30">
        <f>$I$6*$AG$6</f>
        <v>0</v>
      </c>
      <c r="AH48" s="30">
        <f>$I$6*$AH$6</f>
        <v>406559.45022381999</v>
      </c>
    </row>
    <row r="49" spans="1:34" ht="11.25" customHeight="1" x14ac:dyDescent="0.25">
      <c r="A49" s="9" t="s">
        <v>22</v>
      </c>
      <c r="B49" s="9" t="s">
        <v>1124</v>
      </c>
      <c r="C49" s="9" t="s">
        <v>1125</v>
      </c>
      <c r="D49" s="9" t="s">
        <v>1126</v>
      </c>
      <c r="E49" s="9" t="s">
        <v>1127</v>
      </c>
      <c r="F49" s="9" t="s">
        <v>1128</v>
      </c>
      <c r="G49" s="9" t="s">
        <v>1129</v>
      </c>
      <c r="L49" s="30">
        <f>$I$7*$L$7</f>
        <v>55.906097474691364</v>
      </c>
      <c r="M49" s="30">
        <f>$I$7*$M$7</f>
        <v>605.98597474386236</v>
      </c>
      <c r="N49" s="30">
        <f>$I$7*$N$7</f>
        <v>0</v>
      </c>
      <c r="O49" s="30">
        <f>$I$7*$O$7</f>
        <v>201.89791749058185</v>
      </c>
      <c r="P49" s="30">
        <f>$I$7*$P$7</f>
        <v>-291.38997589292057</v>
      </c>
      <c r="Q49" s="30">
        <f>$I$7*$Q$7</f>
        <v>7831.5734686172891</v>
      </c>
      <c r="R49" s="30">
        <f>$I$7*$R$7</f>
        <v>150.87182555388759</v>
      </c>
      <c r="S49" s="30">
        <f>$I$7*$S$7</f>
        <v>93.219905873433348</v>
      </c>
      <c r="T49" s="30">
        <f>$I$7*$T$7</f>
        <v>0</v>
      </c>
      <c r="U49" s="30">
        <f>$I$7*$U$7</f>
        <v>-241.35059227471075</v>
      </c>
      <c r="V49" s="30">
        <f>$I$7*$V$7</f>
        <v>148.58957119143577</v>
      </c>
      <c r="X49" s="30">
        <f>$I$7*$X$7</f>
        <v>51.391538789809772</v>
      </c>
      <c r="Y49" s="30">
        <f>$I$7*$Y$7</f>
        <v>326.79948618502368</v>
      </c>
      <c r="Z49" s="30">
        <f>$I$7*$Z$7</f>
        <v>0</v>
      </c>
      <c r="AA49" s="30">
        <f>$I$7*$AA$7</f>
        <v>0</v>
      </c>
      <c r="AB49" s="30">
        <f>$I$7*$AB$7</f>
        <v>0</v>
      </c>
      <c r="AC49" s="30">
        <f>$I$7*$AC$7</f>
        <v>7805.2729374411056</v>
      </c>
      <c r="AD49" s="30">
        <f>$I$7*$AD$7</f>
        <v>107.14325348332852</v>
      </c>
      <c r="AE49" s="30">
        <f>$I$7*$AE$7</f>
        <v>80.766492225110667</v>
      </c>
      <c r="AF49" s="30">
        <f>$I$7*$AF$7</f>
        <v>0</v>
      </c>
      <c r="AG49" s="30">
        <f>$I$7*$AG$7</f>
        <v>0</v>
      </c>
      <c r="AH49" s="30">
        <f>$I$7*$AH$7</f>
        <v>127.36896718994683</v>
      </c>
    </row>
    <row r="50" spans="1:34" ht="11.25" customHeight="1" x14ac:dyDescent="0.25">
      <c r="A50" s="9" t="s">
        <v>22</v>
      </c>
      <c r="B50" s="9" t="s">
        <v>1124</v>
      </c>
      <c r="C50" s="9" t="s">
        <v>1125</v>
      </c>
      <c r="D50" s="9" t="s">
        <v>1126</v>
      </c>
      <c r="E50" s="9" t="s">
        <v>1127</v>
      </c>
      <c r="F50" s="9" t="s">
        <v>1128</v>
      </c>
      <c r="G50" s="9" t="s">
        <v>1130</v>
      </c>
      <c r="L50" s="30">
        <f>$I$8*$L$8</f>
        <v>23.317490904937145</v>
      </c>
      <c r="M50" s="30">
        <f>$I$8*$M$8</f>
        <v>252.74653558149274</v>
      </c>
      <c r="N50" s="30">
        <f>$I$8*$N$8</f>
        <v>0</v>
      </c>
      <c r="O50" s="30">
        <f>$I$8*$O$8</f>
        <v>84.208218199161323</v>
      </c>
      <c r="P50" s="30">
        <f>$I$8*$P$8</f>
        <v>-121.53384728291731</v>
      </c>
      <c r="Q50" s="30">
        <f>$I$8*$Q$8</f>
        <v>1899.0798168355473</v>
      </c>
      <c r="R50" s="30">
        <f>$I$8*$R$8</f>
        <v>62.926095346873595</v>
      </c>
      <c r="S50" s="30">
        <f>$I$8*$S$8</f>
        <v>38.880451427447426</v>
      </c>
      <c r="T50" s="30">
        <f>$I$8*$T$8</f>
        <v>0</v>
      </c>
      <c r="U50" s="30">
        <f>$I$8*$U$8</f>
        <v>-62.631640962156744</v>
      </c>
      <c r="V50" s="30">
        <f>$I$8*$V$8</f>
        <v>61.974205521916403</v>
      </c>
      <c r="X50" s="30">
        <f>$I$8*$X$8</f>
        <v>21.434544574759364</v>
      </c>
      <c r="Y50" s="30">
        <f>$I$8*$Y$8</f>
        <v>136.30255716394896</v>
      </c>
      <c r="Z50" s="30">
        <f>$I$8*$Z$8</f>
        <v>0</v>
      </c>
      <c r="AA50" s="30">
        <f>$I$8*$AA$8</f>
        <v>0</v>
      </c>
      <c r="AB50" s="30">
        <f>$I$8*$AB$8</f>
        <v>0</v>
      </c>
      <c r="AC50" s="30">
        <f>$I$8*$AC$8</f>
        <v>1892.7021957701402</v>
      </c>
      <c r="AD50" s="30">
        <f>$I$8*$AD$8</f>
        <v>44.687645023941641</v>
      </c>
      <c r="AE50" s="30">
        <f>$I$8*$AE$8</f>
        <v>33.686342509155644</v>
      </c>
      <c r="AF50" s="30">
        <f>$I$8*$AF$8</f>
        <v>0</v>
      </c>
      <c r="AG50" s="30">
        <f>$I$8*$AG$8</f>
        <v>0</v>
      </c>
      <c r="AH50" s="30">
        <f>$I$8*$AH$8</f>
        <v>53.123449286856498</v>
      </c>
    </row>
    <row r="51" spans="1:34" ht="11.25" customHeight="1" x14ac:dyDescent="0.25">
      <c r="A51" s="9" t="s">
        <v>22</v>
      </c>
      <c r="B51" s="9" t="s">
        <v>1124</v>
      </c>
      <c r="C51" s="9" t="s">
        <v>1125</v>
      </c>
      <c r="D51" s="9" t="s">
        <v>1126</v>
      </c>
      <c r="E51" s="9" t="s">
        <v>1127</v>
      </c>
      <c r="F51" s="9" t="s">
        <v>1128</v>
      </c>
      <c r="G51" s="9" t="s">
        <v>1131</v>
      </c>
      <c r="L51" s="30">
        <f>$I$9*$L$9</f>
        <v>381.5826105578916</v>
      </c>
      <c r="M51" s="30">
        <f>$I$9*$M$9</f>
        <v>4136.1089514236055</v>
      </c>
      <c r="N51" s="30">
        <f>$I$9*$N$9</f>
        <v>0</v>
      </c>
      <c r="O51" s="30">
        <f>$I$9*$O$9</f>
        <v>1378.0381372020161</v>
      </c>
      <c r="P51" s="30">
        <f>$I$9*$P$9</f>
        <v>-1988.8590460451483</v>
      </c>
      <c r="Q51" s="30">
        <f>$I$9*$Q$9</f>
        <v>31077.779213906553</v>
      </c>
      <c r="R51" s="30">
        <f>$I$9*$R$9</f>
        <v>1029.7636153292431</v>
      </c>
      <c r="S51" s="30">
        <f>$I$9*$S$9</f>
        <v>636.26503451164035</v>
      </c>
      <c r="T51" s="30">
        <f>$I$9*$T$9</f>
        <v>0</v>
      </c>
      <c r="U51" s="30">
        <f>$I$9*$U$9</f>
        <v>-1024.9449719654033</v>
      </c>
      <c r="V51" s="30">
        <f>$I$9*$V$9</f>
        <v>1014.1862701572653</v>
      </c>
      <c r="X51" s="30">
        <f>$I$9*$X$9</f>
        <v>350.76885022926604</v>
      </c>
      <c r="Y51" s="30">
        <f>$I$9*$Y$9</f>
        <v>2230.5438351140674</v>
      </c>
      <c r="Z51" s="30">
        <f>$I$9*$Z$9</f>
        <v>0</v>
      </c>
      <c r="AA51" s="30">
        <f>$I$9*$AA$9</f>
        <v>0</v>
      </c>
      <c r="AB51" s="30">
        <f>$I$9*$AB$9</f>
        <v>0</v>
      </c>
      <c r="AC51" s="30">
        <f>$I$9*$AC$9</f>
        <v>30973.41166830705</v>
      </c>
      <c r="AD51" s="30">
        <f>$I$9*$AD$9</f>
        <v>731.29773342420401</v>
      </c>
      <c r="AE51" s="30">
        <f>$I$9*$AE$9</f>
        <v>551.26525264642476</v>
      </c>
      <c r="AF51" s="30">
        <f>$I$9*$AF$9</f>
        <v>0</v>
      </c>
      <c r="AG51" s="30">
        <f>$I$9*$AG$9</f>
        <v>0</v>
      </c>
      <c r="AH51" s="30">
        <f>$I$9*$AH$9</f>
        <v>869.34672960144167</v>
      </c>
    </row>
    <row r="52" spans="1:34" ht="11.25" customHeight="1" x14ac:dyDescent="0.25">
      <c r="A52" s="9" t="s">
        <v>22</v>
      </c>
      <c r="B52" s="9" t="s">
        <v>1132</v>
      </c>
      <c r="C52" s="9" t="s">
        <v>1133</v>
      </c>
      <c r="D52" s="9" t="s">
        <v>1134</v>
      </c>
      <c r="E52" s="9" t="s">
        <v>1135</v>
      </c>
      <c r="F52" s="9" t="s">
        <v>1136</v>
      </c>
      <c r="G52" s="9" t="s">
        <v>1137</v>
      </c>
      <c r="L52" s="30">
        <f>$I$10*$L$10</f>
        <v>397301.43473819213</v>
      </c>
      <c r="M52" s="30">
        <f>$I$10*$M$10</f>
        <v>4306490.8493380314</v>
      </c>
      <c r="N52" s="30">
        <f>$I$10*$N$10</f>
        <v>0</v>
      </c>
      <c r="O52" s="30">
        <f>$I$10*$O$10</f>
        <v>1434804.7156390098</v>
      </c>
      <c r="P52" s="30">
        <f>$I$10*$P$10</f>
        <v>-2070787.6371265831</v>
      </c>
      <c r="Q52" s="30">
        <f>$I$10*$Q$10</f>
        <v>34299469.326540239</v>
      </c>
      <c r="R52" s="30">
        <f>$I$10*$R$10</f>
        <v>1072183.4551457521</v>
      </c>
      <c r="S52" s="30">
        <f>$I$10*$S$10</f>
        <v>662475.18647569057</v>
      </c>
      <c r="T52" s="30">
        <f>$I$10*$T$10</f>
        <v>0</v>
      </c>
      <c r="U52" s="30">
        <f>$I$10*$U$10</f>
        <v>-1121167.3295108948</v>
      </c>
      <c r="V52" s="30">
        <f>$I$10*$V$10</f>
        <v>1055964.4204858905</v>
      </c>
      <c r="X52" s="30">
        <f>$I$10*$X$10</f>
        <v>365218.33962454734</v>
      </c>
      <c r="Y52" s="30">
        <f>$I$10*$Y$10</f>
        <v>2322428.3324693055</v>
      </c>
      <c r="Z52" s="30">
        <f>$I$10*$Z$10</f>
        <v>0</v>
      </c>
      <c r="AA52" s="30">
        <f>$I$10*$AA$10</f>
        <v>0</v>
      </c>
      <c r="AB52" s="30">
        <f>$I$10*$AB$10</f>
        <v>0</v>
      </c>
      <c r="AC52" s="30">
        <f>$I$10*$AC$10</f>
        <v>34184282.478588909</v>
      </c>
      <c r="AD52" s="30">
        <f>$I$10*$AD$10</f>
        <v>761422.64000299422</v>
      </c>
      <c r="AE52" s="30">
        <f>$I$10*$AE$10</f>
        <v>573973.94361740246</v>
      </c>
      <c r="AF52" s="30">
        <f>$I$10*$AF$10</f>
        <v>0</v>
      </c>
      <c r="AG52" s="30">
        <f>$I$10*$AG$10</f>
        <v>0</v>
      </c>
      <c r="AH52" s="30">
        <f>$I$10*$AH$10</f>
        <v>905158.39401231543</v>
      </c>
    </row>
    <row r="53" spans="1:34" ht="11.25" customHeight="1" x14ac:dyDescent="0.25">
      <c r="A53" s="9" t="s">
        <v>22</v>
      </c>
      <c r="B53" s="9" t="s">
        <v>1132</v>
      </c>
      <c r="C53" s="9" t="s">
        <v>1133</v>
      </c>
      <c r="D53" s="9" t="s">
        <v>1138</v>
      </c>
      <c r="E53" s="9" t="s">
        <v>1139</v>
      </c>
      <c r="F53" s="9" t="s">
        <v>1140</v>
      </c>
      <c r="G53" s="9" t="s">
        <v>1141</v>
      </c>
      <c r="L53" s="30">
        <f>$I$11*$L$11</f>
        <v>4644.5384319489167</v>
      </c>
      <c r="M53" s="30">
        <f>$I$11*$M$11</f>
        <v>50343.795686937861</v>
      </c>
      <c r="N53" s="30">
        <f>$I$11*$N$11</f>
        <v>0</v>
      </c>
      <c r="O53" s="30">
        <f>$I$11*$O$11</f>
        <v>16773.172864372529</v>
      </c>
      <c r="P53" s="30">
        <f>$I$11*$P$11</f>
        <v>-24207.948736396924</v>
      </c>
      <c r="Q53" s="30">
        <f>$I$11*$Q$11</f>
        <v>400968.1052059271</v>
      </c>
      <c r="R53" s="30">
        <f>$I$11*$R$11</f>
        <v>12534.053059248921</v>
      </c>
      <c r="S53" s="30">
        <f>$I$11*$S$11</f>
        <v>7744.4760948986632</v>
      </c>
      <c r="T53" s="30">
        <f>$I$11*$T$11</f>
        <v>0</v>
      </c>
      <c r="U53" s="30">
        <f>$I$11*$U$11</f>
        <v>-13106.684988415207</v>
      </c>
      <c r="V53" s="30">
        <f>$I$11*$V$11</f>
        <v>12344.449088006086</v>
      </c>
      <c r="X53" s="30">
        <f>$I$11*$X$11</f>
        <v>4269.4802135727659</v>
      </c>
      <c r="Y53" s="30">
        <f>$I$11*$Y$11</f>
        <v>27149.682086370289</v>
      </c>
      <c r="Z53" s="30">
        <f>$I$11*$Z$11</f>
        <v>0</v>
      </c>
      <c r="AA53" s="30">
        <f>$I$11*$AA$11</f>
        <v>0</v>
      </c>
      <c r="AB53" s="30">
        <f>$I$11*$AB$11</f>
        <v>0</v>
      </c>
      <c r="AC53" s="30">
        <f>$I$11*$AC$11</f>
        <v>399621.54640853027</v>
      </c>
      <c r="AD53" s="30">
        <f>$I$11*$AD$11</f>
        <v>8901.1929110709534</v>
      </c>
      <c r="AE53" s="30">
        <f>$I$11*$AE$11</f>
        <v>6709.8777074011869</v>
      </c>
      <c r="AF53" s="30">
        <f>$I$11*$AF$11</f>
        <v>0</v>
      </c>
      <c r="AG53" s="30">
        <f>$I$11*$AG$11</f>
        <v>0</v>
      </c>
      <c r="AH53" s="30">
        <f>$I$11*$AH$11</f>
        <v>10581.4945036926</v>
      </c>
    </row>
    <row r="54" spans="1:34" ht="11.25" customHeight="1" x14ac:dyDescent="0.25">
      <c r="A54" s="9" t="s">
        <v>22</v>
      </c>
      <c r="B54" s="9" t="s">
        <v>1132</v>
      </c>
      <c r="C54" s="9" t="s">
        <v>1133</v>
      </c>
      <c r="D54" s="9" t="s">
        <v>1142</v>
      </c>
      <c r="E54" s="9" t="s">
        <v>1143</v>
      </c>
      <c r="F54" s="9" t="s">
        <v>1144</v>
      </c>
      <c r="G54" s="9" t="s">
        <v>1145</v>
      </c>
      <c r="L54" s="30">
        <f>$I$12*$L$12</f>
        <v>15964.339198302885</v>
      </c>
      <c r="M54" s="30">
        <f>$I$12*$M$12</f>
        <v>173043.12207813666</v>
      </c>
      <c r="N54" s="30">
        <f>$I$12*$N$12</f>
        <v>0</v>
      </c>
      <c r="O54" s="30">
        <f>$I$12*$O$12</f>
        <v>57653.225387619692</v>
      </c>
      <c r="P54" s="30">
        <f>$I$12*$P$12</f>
        <v>-83208.247834608235</v>
      </c>
      <c r="Q54" s="30">
        <f>$I$12*$Q$12</f>
        <v>1378218.9410201912</v>
      </c>
      <c r="R54" s="30">
        <f>$I$12*$R$12</f>
        <v>43082.402589445621</v>
      </c>
      <c r="S54" s="30">
        <f>$I$12*$S$12</f>
        <v>26619.53283487658</v>
      </c>
      <c r="T54" s="30">
        <f>$I$12*$T$12</f>
        <v>0</v>
      </c>
      <c r="U54" s="30">
        <f>$I$12*$U$12</f>
        <v>-45050.669293862389</v>
      </c>
      <c r="V54" s="30">
        <f>$I$12*$V$12</f>
        <v>42430.690443100924</v>
      </c>
      <c r="X54" s="30">
        <f>$I$12*$X$12</f>
        <v>14675.178454991805</v>
      </c>
      <c r="Y54" s="30">
        <f>$I$12*$Y$12</f>
        <v>93319.657120595482</v>
      </c>
      <c r="Z54" s="30">
        <f>$I$12*$Z$12</f>
        <v>0</v>
      </c>
      <c r="AA54" s="30">
        <f>$I$12*$AA$12</f>
        <v>0</v>
      </c>
      <c r="AB54" s="30">
        <f>$I$12*$AB$12</f>
        <v>0</v>
      </c>
      <c r="AC54" s="30">
        <f>$I$12*$AC$12</f>
        <v>1373590.5109389068</v>
      </c>
      <c r="AD54" s="30">
        <f>$I$12*$AD$12</f>
        <v>30595.432675155593</v>
      </c>
      <c r="AE54" s="30">
        <f>$I$12*$AE$12</f>
        <v>23063.381920415071</v>
      </c>
      <c r="AF54" s="30">
        <f>$I$12*$AF$12</f>
        <v>0</v>
      </c>
      <c r="AG54" s="30">
        <f>$I$12*$AG$12</f>
        <v>0</v>
      </c>
      <c r="AH54" s="30">
        <f>$I$12*$AH$12</f>
        <v>36371.012955757142</v>
      </c>
    </row>
    <row r="55" spans="1:34" ht="11.25" customHeight="1" x14ac:dyDescent="0.25">
      <c r="A55" s="9" t="s">
        <v>22</v>
      </c>
      <c r="B55" s="9" t="s">
        <v>1132</v>
      </c>
      <c r="C55" s="9" t="s">
        <v>1133</v>
      </c>
      <c r="D55" s="9" t="s">
        <v>1146</v>
      </c>
      <c r="E55" s="9" t="s">
        <v>1147</v>
      </c>
      <c r="F55" s="9" t="s">
        <v>1148</v>
      </c>
      <c r="G55" s="9" t="s">
        <v>1149</v>
      </c>
      <c r="L55" s="30">
        <f>$I$13*$L$13</f>
        <v>18766.142425609774</v>
      </c>
      <c r="M55" s="30">
        <f>$I$13*$M$13</f>
        <v>203412.8587693568</v>
      </c>
      <c r="N55" s="30">
        <f>$I$13*$N$13</f>
        <v>0</v>
      </c>
      <c r="O55" s="30">
        <f>$I$13*$O$13</f>
        <v>67771.589257817119</v>
      </c>
      <c r="P55" s="30">
        <f>$I$13*$P$13</f>
        <v>-97811.616907744727</v>
      </c>
      <c r="Q55" s="30">
        <f>$I$13*$Q$13</f>
        <v>1620101.6916257637</v>
      </c>
      <c r="R55" s="30">
        <f>$I$13*$R$13</f>
        <v>50643.530746135984</v>
      </c>
      <c r="S55" s="30">
        <f>$I$13*$S$13</f>
        <v>31291.363724944833</v>
      </c>
      <c r="T55" s="30">
        <f>$I$13*$T$13</f>
        <v>0</v>
      </c>
      <c r="U55" s="30">
        <f>$I$13*$U$13</f>
        <v>-52957.235864015041</v>
      </c>
      <c r="V55" s="30">
        <f>$I$13*$V$13</f>
        <v>49877.440599410409</v>
      </c>
      <c r="X55" s="30">
        <f>$I$13*$X$13</f>
        <v>17250.728989577765</v>
      </c>
      <c r="Y55" s="30">
        <f>$I$13*$Y$13</f>
        <v>109697.61760138113</v>
      </c>
      <c r="Z55" s="30">
        <f>$I$13*$Z$13</f>
        <v>0</v>
      </c>
      <c r="AA55" s="30">
        <f>$I$13*$AA$13</f>
        <v>0</v>
      </c>
      <c r="AB55" s="30">
        <f>$I$13*$AB$13</f>
        <v>0</v>
      </c>
      <c r="AC55" s="30">
        <f>$I$13*$AC$13</f>
        <v>1614660.9541775426</v>
      </c>
      <c r="AD55" s="30">
        <f>$I$13*$AD$13</f>
        <v>35965.049353008064</v>
      </c>
      <c r="AE55" s="30">
        <f>$I$13*$AE$13</f>
        <v>27111.094581400142</v>
      </c>
      <c r="AF55" s="30">
        <f>$I$13*$AF$13</f>
        <v>0</v>
      </c>
      <c r="AG55" s="30">
        <f>$I$13*$AG$13</f>
        <v>0</v>
      </c>
      <c r="AH55" s="30">
        <f>$I$13*$AH$13</f>
        <v>42754.26629396576</v>
      </c>
    </row>
    <row r="56" spans="1:34" ht="11.25" customHeight="1" x14ac:dyDescent="0.25">
      <c r="A56" s="9" t="s">
        <v>22</v>
      </c>
      <c r="B56" s="9" t="s">
        <v>1132</v>
      </c>
      <c r="C56" s="9" t="s">
        <v>1133</v>
      </c>
      <c r="D56" s="9" t="s">
        <v>1150</v>
      </c>
      <c r="E56" s="9" t="s">
        <v>1151</v>
      </c>
      <c r="F56" s="9" t="s">
        <v>1152</v>
      </c>
      <c r="G56" s="9" t="s">
        <v>1153</v>
      </c>
      <c r="L56" s="30">
        <f>$I$14*$L$14</f>
        <v>5964.8961170004004</v>
      </c>
      <c r="M56" s="30">
        <f>$I$14*$M$14</f>
        <v>64655.619887306799</v>
      </c>
      <c r="N56" s="30">
        <f>$I$14*$N$14</f>
        <v>0</v>
      </c>
      <c r="O56" s="30">
        <f>$I$14*$O$14</f>
        <v>21541.480419291012</v>
      </c>
      <c r="P56" s="30">
        <f>$I$14*$P$14</f>
        <v>-31089.827661881842</v>
      </c>
      <c r="Q56" s="30">
        <f>$I$14*$Q$14</f>
        <v>514956.03466892528</v>
      </c>
      <c r="R56" s="30">
        <f>$I$14*$R$14</f>
        <v>16097.256060817794</v>
      </c>
      <c r="S56" s="30">
        <f>$I$14*$S$14</f>
        <v>9946.0895982465481</v>
      </c>
      <c r="T56" s="30">
        <f>$I$14*$T$14</f>
        <v>0</v>
      </c>
      <c r="U56" s="30">
        <f>$I$14*$U$14</f>
        <v>-16832.676818079381</v>
      </c>
      <c r="V56" s="30">
        <f>$I$14*$V$14</f>
        <v>15853.751133814814</v>
      </c>
      <c r="X56" s="30">
        <f>$I$14*$X$14</f>
        <v>5483.2156780892183</v>
      </c>
      <c r="Y56" s="30">
        <f>$I$14*$Y$14</f>
        <v>34867.842225353525</v>
      </c>
      <c r="Z56" s="30">
        <f>$I$14*$Z$14</f>
        <v>0</v>
      </c>
      <c r="AA56" s="30">
        <f>$I$14*$AA$14</f>
        <v>0</v>
      </c>
      <c r="AB56" s="30">
        <f>$I$14*$AB$14</f>
        <v>0</v>
      </c>
      <c r="AC56" s="30">
        <f>$I$14*$AC$14</f>
        <v>513226.67373035429</v>
      </c>
      <c r="AD56" s="30">
        <f>$I$14*$AD$14</f>
        <v>11431.639937930118</v>
      </c>
      <c r="AE56" s="30">
        <f>$I$14*$AE$14</f>
        <v>8617.3737323625501</v>
      </c>
      <c r="AF56" s="30">
        <f>$I$14*$AF$14</f>
        <v>0</v>
      </c>
      <c r="AG56" s="30">
        <f>$I$14*$AG$14</f>
        <v>0</v>
      </c>
      <c r="AH56" s="30">
        <f>$I$14*$AH$14</f>
        <v>13589.620669938551</v>
      </c>
    </row>
    <row r="57" spans="1:34" ht="11.25" customHeight="1" x14ac:dyDescent="0.25">
      <c r="A57" s="9" t="s">
        <v>22</v>
      </c>
      <c r="B57" s="9" t="s">
        <v>1154</v>
      </c>
      <c r="C57" s="9" t="s">
        <v>1155</v>
      </c>
      <c r="D57" s="9" t="s">
        <v>1156</v>
      </c>
      <c r="E57" s="9" t="s">
        <v>1157</v>
      </c>
      <c r="F57" s="9" t="s">
        <v>1158</v>
      </c>
      <c r="G57" s="9" t="s">
        <v>1159</v>
      </c>
      <c r="L57" s="30">
        <f>$I$15*$L$15</f>
        <v>0</v>
      </c>
      <c r="M57" s="30">
        <f>$I$15*$M$15</f>
        <v>0</v>
      </c>
      <c r="N57" s="30">
        <f>$I$15*$N$15</f>
        <v>0</v>
      </c>
      <c r="O57" s="30">
        <f>$I$15*$O$15</f>
        <v>0</v>
      </c>
      <c r="P57" s="30">
        <f>$I$15*$P$15</f>
        <v>0</v>
      </c>
      <c r="Q57" s="30">
        <f>$I$15*$Q$15</f>
        <v>0</v>
      </c>
      <c r="R57" s="30">
        <f>$I$15*$R$15</f>
        <v>0</v>
      </c>
      <c r="S57" s="30">
        <f>$I$15*$S$15</f>
        <v>0</v>
      </c>
      <c r="T57" s="30">
        <f>$I$15*$T$15</f>
        <v>0</v>
      </c>
      <c r="U57" s="30">
        <f>$I$15*$U$15</f>
        <v>0</v>
      </c>
      <c r="V57" s="30">
        <f>$I$15*$V$15</f>
        <v>0</v>
      </c>
      <c r="X57" s="30">
        <f>$I$15*$X$15</f>
        <v>0</v>
      </c>
      <c r="Y57" s="30">
        <f>$I$15*$Y$15</f>
        <v>0</v>
      </c>
      <c r="Z57" s="30">
        <f>$I$15*$Z$15</f>
        <v>0</v>
      </c>
      <c r="AA57" s="30">
        <f>$I$15*$AA$15</f>
        <v>0</v>
      </c>
      <c r="AB57" s="30">
        <f>$I$15*$AB$15</f>
        <v>0</v>
      </c>
      <c r="AC57" s="30">
        <f>$I$15*$AC$15</f>
        <v>0</v>
      </c>
      <c r="AD57" s="30">
        <f>$I$15*$AD$15</f>
        <v>0</v>
      </c>
      <c r="AE57" s="30">
        <f>$I$15*$AE$15</f>
        <v>0</v>
      </c>
      <c r="AF57" s="30">
        <f>$I$15*$AF$15</f>
        <v>0</v>
      </c>
      <c r="AG57" s="30">
        <f>$I$15*$AG$15</f>
        <v>0</v>
      </c>
      <c r="AH57" s="30">
        <f>$I$15*$AH$15</f>
        <v>0</v>
      </c>
    </row>
    <row r="58" spans="1:34" ht="11.25" customHeight="1" x14ac:dyDescent="0.25">
      <c r="A58" s="9" t="s">
        <v>22</v>
      </c>
      <c r="B58" s="9" t="s">
        <v>1154</v>
      </c>
      <c r="C58" s="9" t="s">
        <v>1155</v>
      </c>
      <c r="D58" s="9" t="s">
        <v>1160</v>
      </c>
      <c r="E58" s="9" t="s">
        <v>1161</v>
      </c>
      <c r="F58" s="9" t="s">
        <v>1162</v>
      </c>
      <c r="G58" s="9" t="s">
        <v>1163</v>
      </c>
      <c r="L58" s="30">
        <f>$I$16*$L$16</f>
        <v>0</v>
      </c>
      <c r="M58" s="30">
        <f>$I$16*$M$16</f>
        <v>0</v>
      </c>
      <c r="N58" s="30">
        <f>$I$16*$N$16</f>
        <v>0</v>
      </c>
      <c r="O58" s="30">
        <f>$I$16*$O$16</f>
        <v>0</v>
      </c>
      <c r="P58" s="30">
        <f>$I$16*$P$16</f>
        <v>0</v>
      </c>
      <c r="Q58" s="30">
        <f>$I$16*$Q$16</f>
        <v>0</v>
      </c>
      <c r="R58" s="30">
        <f>$I$16*$R$16</f>
        <v>0</v>
      </c>
      <c r="S58" s="30">
        <f>$I$16*$S$16</f>
        <v>0</v>
      </c>
      <c r="T58" s="30">
        <f>$I$16*$T$16</f>
        <v>0</v>
      </c>
      <c r="U58" s="30">
        <f>$I$16*$U$16</f>
        <v>0</v>
      </c>
      <c r="V58" s="30">
        <f>$I$16*$V$16</f>
        <v>0</v>
      </c>
      <c r="X58" s="30">
        <f>$I$16*$X$16</f>
        <v>0</v>
      </c>
      <c r="Y58" s="30">
        <f>$I$16*$Y$16</f>
        <v>0</v>
      </c>
      <c r="Z58" s="30">
        <f>$I$16*$Z$16</f>
        <v>0</v>
      </c>
      <c r="AA58" s="30">
        <f>$I$16*$AA$16</f>
        <v>0</v>
      </c>
      <c r="AB58" s="30">
        <f>$I$16*$AB$16</f>
        <v>0</v>
      </c>
      <c r="AC58" s="30">
        <f>$I$16*$AC$16</f>
        <v>0</v>
      </c>
      <c r="AD58" s="30">
        <f>$I$16*$AD$16</f>
        <v>0</v>
      </c>
      <c r="AE58" s="30">
        <f>$I$16*$AE$16</f>
        <v>0</v>
      </c>
      <c r="AF58" s="30">
        <f>$I$16*$AF$16</f>
        <v>0</v>
      </c>
      <c r="AG58" s="30">
        <f>$I$16*$AG$16</f>
        <v>0</v>
      </c>
      <c r="AH58" s="30">
        <f>$I$16*$AH$16</f>
        <v>0</v>
      </c>
    </row>
    <row r="59" spans="1:34" ht="11.25" customHeight="1" x14ac:dyDescent="0.25">
      <c r="A59" s="9" t="s">
        <v>22</v>
      </c>
      <c r="B59" s="9" t="s">
        <v>1154</v>
      </c>
      <c r="C59" s="9" t="s">
        <v>1155</v>
      </c>
      <c r="D59" s="9" t="s">
        <v>1164</v>
      </c>
      <c r="E59" s="9" t="s">
        <v>1165</v>
      </c>
      <c r="F59" s="9" t="s">
        <v>1166</v>
      </c>
      <c r="G59" s="9" t="s">
        <v>1167</v>
      </c>
      <c r="L59" s="30">
        <f>$I$17*$L$17</f>
        <v>0</v>
      </c>
      <c r="M59" s="30">
        <f>$I$17*$M$17</f>
        <v>0</v>
      </c>
      <c r="N59" s="30">
        <f>$I$17*$N$17</f>
        <v>0</v>
      </c>
      <c r="O59" s="30">
        <f>$I$17*$O$17</f>
        <v>0</v>
      </c>
      <c r="P59" s="30">
        <f>$I$17*$P$17</f>
        <v>0</v>
      </c>
      <c r="Q59" s="30">
        <f>$I$17*$Q$17</f>
        <v>0</v>
      </c>
      <c r="R59" s="30">
        <f>$I$17*$R$17</f>
        <v>0</v>
      </c>
      <c r="S59" s="30">
        <f>$I$17*$S$17</f>
        <v>0</v>
      </c>
      <c r="T59" s="30">
        <f>$I$17*$T$17</f>
        <v>0</v>
      </c>
      <c r="U59" s="30">
        <f>$I$17*$U$17</f>
        <v>0</v>
      </c>
      <c r="V59" s="30">
        <f>$I$17*$V$17</f>
        <v>0</v>
      </c>
      <c r="X59" s="30">
        <f>$I$17*$X$17</f>
        <v>0</v>
      </c>
      <c r="Y59" s="30">
        <f>$I$17*$Y$17</f>
        <v>0</v>
      </c>
      <c r="Z59" s="30">
        <f>$I$17*$Z$17</f>
        <v>0</v>
      </c>
      <c r="AA59" s="30">
        <f>$I$17*$AA$17</f>
        <v>0</v>
      </c>
      <c r="AB59" s="30">
        <f>$I$17*$AB$17</f>
        <v>0</v>
      </c>
      <c r="AC59" s="30">
        <f>$I$17*$AC$17</f>
        <v>0</v>
      </c>
      <c r="AD59" s="30">
        <f>$I$17*$AD$17</f>
        <v>0</v>
      </c>
      <c r="AE59" s="30">
        <f>$I$17*$AE$17</f>
        <v>0</v>
      </c>
      <c r="AF59" s="30">
        <f>$I$17*$AF$17</f>
        <v>0</v>
      </c>
      <c r="AG59" s="30">
        <f>$I$17*$AG$17</f>
        <v>0</v>
      </c>
      <c r="AH59" s="30">
        <f>$I$17*$AH$17</f>
        <v>0</v>
      </c>
    </row>
    <row r="60" spans="1:34" ht="11.25" customHeight="1" x14ac:dyDescent="0.25">
      <c r="A60" s="9" t="s">
        <v>22</v>
      </c>
      <c r="B60" s="9" t="s">
        <v>1154</v>
      </c>
      <c r="C60" s="9" t="s">
        <v>1155</v>
      </c>
      <c r="D60" s="9" t="s">
        <v>1168</v>
      </c>
      <c r="E60" s="9" t="s">
        <v>1169</v>
      </c>
      <c r="F60" s="9" t="s">
        <v>1170</v>
      </c>
      <c r="G60" s="9" t="s">
        <v>1171</v>
      </c>
      <c r="L60" s="30">
        <f>$I$18*$L$18</f>
        <v>0</v>
      </c>
      <c r="M60" s="30">
        <f>$I$18*$M$18</f>
        <v>0</v>
      </c>
      <c r="N60" s="30">
        <f>$I$18*$N$18</f>
        <v>0</v>
      </c>
      <c r="O60" s="30">
        <f>$I$18*$O$18</f>
        <v>0</v>
      </c>
      <c r="P60" s="30">
        <f>$I$18*$P$18</f>
        <v>0</v>
      </c>
      <c r="Q60" s="30">
        <f>$I$18*$Q$18</f>
        <v>0</v>
      </c>
      <c r="R60" s="30">
        <f>$I$18*$R$18</f>
        <v>0</v>
      </c>
      <c r="S60" s="30">
        <f>$I$18*$S$18</f>
        <v>0</v>
      </c>
      <c r="T60" s="30">
        <f>$I$18*$T$18</f>
        <v>0</v>
      </c>
      <c r="U60" s="30">
        <f>$I$18*$U$18</f>
        <v>0</v>
      </c>
      <c r="V60" s="30">
        <f>$I$18*$V$18</f>
        <v>0</v>
      </c>
      <c r="X60" s="30">
        <f>$I$18*$X$18</f>
        <v>0</v>
      </c>
      <c r="Y60" s="30">
        <f>$I$18*$Y$18</f>
        <v>0</v>
      </c>
      <c r="Z60" s="30">
        <f>$I$18*$Z$18</f>
        <v>0</v>
      </c>
      <c r="AA60" s="30">
        <f>$I$18*$AA$18</f>
        <v>0</v>
      </c>
      <c r="AB60" s="30">
        <f>$I$18*$AB$18</f>
        <v>0</v>
      </c>
      <c r="AC60" s="30">
        <f>$I$18*$AC$18</f>
        <v>0</v>
      </c>
      <c r="AD60" s="30">
        <f>$I$18*$AD$18</f>
        <v>0</v>
      </c>
      <c r="AE60" s="30">
        <f>$I$18*$AE$18</f>
        <v>0</v>
      </c>
      <c r="AF60" s="30">
        <f>$I$18*$AF$18</f>
        <v>0</v>
      </c>
      <c r="AG60" s="30">
        <f>$I$18*$AG$18</f>
        <v>0</v>
      </c>
      <c r="AH60" s="30">
        <f>$I$18*$AH$18</f>
        <v>0</v>
      </c>
    </row>
    <row r="61" spans="1:34" ht="11.25" customHeight="1" x14ac:dyDescent="0.25">
      <c r="A61" s="9" t="s">
        <v>22</v>
      </c>
      <c r="B61" s="9" t="s">
        <v>1154</v>
      </c>
      <c r="C61" s="9" t="s">
        <v>1155</v>
      </c>
      <c r="D61" s="9" t="s">
        <v>1172</v>
      </c>
      <c r="E61" s="9" t="s">
        <v>1173</v>
      </c>
      <c r="F61" s="9" t="s">
        <v>1174</v>
      </c>
      <c r="G61" s="9" t="s">
        <v>1175</v>
      </c>
      <c r="L61" s="30">
        <f>$I$19*$L$19</f>
        <v>0</v>
      </c>
      <c r="M61" s="30">
        <f>$I$19*$M$19</f>
        <v>0</v>
      </c>
      <c r="N61" s="30">
        <f>$I$19*$N$19</f>
        <v>0</v>
      </c>
      <c r="O61" s="30">
        <f>$I$19*$O$19</f>
        <v>0</v>
      </c>
      <c r="P61" s="30">
        <f>$I$19*$P$19</f>
        <v>0</v>
      </c>
      <c r="Q61" s="30">
        <f>$I$19*$Q$19</f>
        <v>0</v>
      </c>
      <c r="R61" s="30">
        <f>$I$19*$R$19</f>
        <v>0</v>
      </c>
      <c r="S61" s="30">
        <f>$I$19*$S$19</f>
        <v>0</v>
      </c>
      <c r="T61" s="30">
        <f>$I$19*$T$19</f>
        <v>0</v>
      </c>
      <c r="U61" s="30">
        <f>$I$19*$U$19</f>
        <v>0</v>
      </c>
      <c r="V61" s="30">
        <f>$I$19*$V$19</f>
        <v>0</v>
      </c>
      <c r="X61" s="30">
        <f>$I$19*$X$19</f>
        <v>0</v>
      </c>
      <c r="Y61" s="30">
        <f>$I$19*$Y$19</f>
        <v>0</v>
      </c>
      <c r="Z61" s="30">
        <f>$I$19*$Z$19</f>
        <v>0</v>
      </c>
      <c r="AA61" s="30">
        <f>$I$19*$AA$19</f>
        <v>0</v>
      </c>
      <c r="AB61" s="30">
        <f>$I$19*$AB$19</f>
        <v>0</v>
      </c>
      <c r="AC61" s="30">
        <f>$I$19*$AC$19</f>
        <v>0</v>
      </c>
      <c r="AD61" s="30">
        <f>$I$19*$AD$19</f>
        <v>0</v>
      </c>
      <c r="AE61" s="30">
        <f>$I$19*$AE$19</f>
        <v>0</v>
      </c>
      <c r="AF61" s="30">
        <f>$I$19*$AF$19</f>
        <v>0</v>
      </c>
      <c r="AG61" s="30">
        <f>$I$19*$AG$19</f>
        <v>0</v>
      </c>
      <c r="AH61" s="30">
        <f>$I$19*$AH$19</f>
        <v>0</v>
      </c>
    </row>
    <row r="62" spans="1:34" ht="11.25" customHeight="1" x14ac:dyDescent="0.25">
      <c r="A62" s="9" t="s">
        <v>43</v>
      </c>
      <c r="B62" s="9" t="s">
        <v>1176</v>
      </c>
      <c r="C62" s="9" t="s">
        <v>1177</v>
      </c>
      <c r="D62" s="9" t="s">
        <v>1178</v>
      </c>
      <c r="E62" s="9" t="s">
        <v>1179</v>
      </c>
      <c r="F62" s="9" t="s">
        <v>1180</v>
      </c>
      <c r="G62" s="9" t="s">
        <v>1181</v>
      </c>
      <c r="L62" s="30">
        <f>$I$20*$L$20</f>
        <v>0.8117941278015155</v>
      </c>
      <c r="M62" s="30">
        <f>$I$20*$M$20</f>
        <v>8.7993238313556752</v>
      </c>
      <c r="N62" s="30">
        <f>$I$20*$N$20</f>
        <v>0</v>
      </c>
      <c r="O62" s="30">
        <f>$I$20*$O$20</f>
        <v>2.9316935224893208</v>
      </c>
      <c r="P62" s="30">
        <f>$I$20*$P$20</f>
        <v>-4.231178386886751</v>
      </c>
      <c r="Q62" s="30">
        <f>$I$20*$Q$20</f>
        <v>113.71971288369311</v>
      </c>
      <c r="R62" s="30">
        <f>$I$20*$R$20</f>
        <v>2.1907603565207845</v>
      </c>
      <c r="S62" s="30">
        <f>$I$20*$S$20</f>
        <v>1.3536157163629847</v>
      </c>
      <c r="T62" s="30">
        <f>$I$20*$T$20</f>
        <v>0</v>
      </c>
      <c r="U62" s="30">
        <f>$I$20*$U$20</f>
        <v>-3.5045728891866212</v>
      </c>
      <c r="V62" s="30">
        <f>$I$20*$V$20</f>
        <v>2.1576204885407937</v>
      </c>
      <c r="X62" s="30">
        <f>$I$20*$X$20</f>
        <v>0.6986073787328968</v>
      </c>
      <c r="Y62" s="30">
        <f>$I$20*$Y$20</f>
        <v>4.4424537149731496</v>
      </c>
      <c r="Z62" s="30">
        <f>$I$20*$Z$20</f>
        <v>0</v>
      </c>
      <c r="AA62" s="30">
        <f>$I$20*$AA$20</f>
        <v>0</v>
      </c>
      <c r="AB62" s="30">
        <f>$I$20*$AB$20</f>
        <v>0</v>
      </c>
      <c r="AC62" s="30">
        <f>$I$20*$AC$20</f>
        <v>106.10348309324745</v>
      </c>
      <c r="AD62" s="30">
        <f>$I$20*$AD$20</f>
        <v>1.4564862081877283</v>
      </c>
      <c r="AE62" s="30">
        <f>$I$20*$AE$20</f>
        <v>1.0979252373354456</v>
      </c>
      <c r="AF62" s="30">
        <f>$I$20*$AF$20</f>
        <v>0</v>
      </c>
      <c r="AG62" s="30">
        <f>$I$20*$AG$20</f>
        <v>0</v>
      </c>
      <c r="AH62" s="30">
        <f>$I$20*$AH$20</f>
        <v>1.7314309397197698</v>
      </c>
    </row>
    <row r="63" spans="1:34" ht="11.25" customHeight="1" x14ac:dyDescent="0.25">
      <c r="A63" s="9" t="s">
        <v>43</v>
      </c>
      <c r="B63" s="9" t="s">
        <v>1176</v>
      </c>
      <c r="C63" s="9" t="s">
        <v>1177</v>
      </c>
      <c r="D63" s="9" t="s">
        <v>1178</v>
      </c>
      <c r="E63" s="9" t="s">
        <v>1179</v>
      </c>
      <c r="F63" s="9" t="s">
        <v>1180</v>
      </c>
      <c r="G63" s="9" t="s">
        <v>1182</v>
      </c>
      <c r="L63" s="30">
        <f>$I$21*$L$21</f>
        <v>0.59989198414744338</v>
      </c>
      <c r="M63" s="30">
        <f>$I$21*$M$21</f>
        <v>6.5024415077297446</v>
      </c>
      <c r="N63" s="30">
        <f>$I$21*$N$21</f>
        <v>0</v>
      </c>
      <c r="O63" s="30">
        <f>$I$21*$O$21</f>
        <v>2.1664352868395347</v>
      </c>
      <c r="P63" s="30">
        <f>$I$21*$P$21</f>
        <v>-3.1267163814861654</v>
      </c>
      <c r="Q63" s="30">
        <f>$I$21*$Q$21</f>
        <v>48.857862281169439</v>
      </c>
      <c r="R63" s="30">
        <f>$I$21*$R$21</f>
        <v>1.6189074693407268</v>
      </c>
      <c r="S63" s="30">
        <f>$I$21*$S$21</f>
        <v>1.0002822021652937</v>
      </c>
      <c r="T63" s="30">
        <f>$I$21*$T$21</f>
        <v>0</v>
      </c>
      <c r="U63" s="30">
        <f>$I$21*$U$21</f>
        <v>-1.6113320048188855</v>
      </c>
      <c r="V63" s="30">
        <f>$I$21*$V$21</f>
        <v>1.5944180816055129</v>
      </c>
      <c r="X63" s="30">
        <f>$I$21*$X$21</f>
        <v>0.51625030560776564</v>
      </c>
      <c r="Y63" s="30">
        <f>$I$21*$Y$21</f>
        <v>3.2828426349617761</v>
      </c>
      <c r="Z63" s="30">
        <f>$I$21*$Z$21</f>
        <v>0</v>
      </c>
      <c r="AA63" s="30">
        <f>$I$21*$AA$21</f>
        <v>0</v>
      </c>
      <c r="AB63" s="30">
        <f>$I$21*$AB$21</f>
        <v>0</v>
      </c>
      <c r="AC63" s="30">
        <f>$I$21*$AC$21</f>
        <v>45.585670532110775</v>
      </c>
      <c r="AD63" s="30">
        <f>$I$21*$AD$21</f>
        <v>1.0763004700210785</v>
      </c>
      <c r="AE63" s="30">
        <f>$I$21*$AE$21</f>
        <v>0.81133445847214902</v>
      </c>
      <c r="AF63" s="30">
        <f>$I$21*$AF$21</f>
        <v>0</v>
      </c>
      <c r="AG63" s="30">
        <f>$I$21*$AG$21</f>
        <v>0</v>
      </c>
      <c r="AH63" s="30">
        <f>$I$21*$AH$21</f>
        <v>1.2794765400135064</v>
      </c>
    </row>
    <row r="64" spans="1:34" ht="11.25" customHeight="1" x14ac:dyDescent="0.25">
      <c r="A64" s="9" t="s">
        <v>43</v>
      </c>
      <c r="B64" s="9" t="s">
        <v>1176</v>
      </c>
      <c r="C64" s="9" t="s">
        <v>1177</v>
      </c>
      <c r="D64" s="9" t="s">
        <v>1178</v>
      </c>
      <c r="E64" s="9" t="s">
        <v>1179</v>
      </c>
      <c r="F64" s="9" t="s">
        <v>1180</v>
      </c>
      <c r="G64" s="9" t="s">
        <v>1183</v>
      </c>
      <c r="L64" s="30">
        <f>$I$22*$L$22</f>
        <v>16.128439215585992</v>
      </c>
      <c r="M64" s="30">
        <f>$I$22*$M$22</f>
        <v>174.82186023766934</v>
      </c>
      <c r="N64" s="30">
        <f>$I$22*$N$22</f>
        <v>0</v>
      </c>
      <c r="O64" s="30">
        <f>$I$22*$O$22</f>
        <v>58.24585218945694</v>
      </c>
      <c r="P64" s="30">
        <f>$I$22*$P$22</f>
        <v>-84.063558833588246</v>
      </c>
      <c r="Q64" s="30">
        <f>$I$22*$Q$22</f>
        <v>1313.5715809325354</v>
      </c>
      <c r="R64" s="30">
        <f>$I$22*$R$22</f>
        <v>43.52525355381735</v>
      </c>
      <c r="S64" s="30">
        <f>$I$22*$S$22</f>
        <v>26.893159305976354</v>
      </c>
      <c r="T64" s="30">
        <f>$I$22*$T$22</f>
        <v>0</v>
      </c>
      <c r="U64" s="30">
        <f>$I$22*$U$22</f>
        <v>-43.32158285592665</v>
      </c>
      <c r="V64" s="30">
        <f>$I$22*$V$22</f>
        <v>42.866842353214878</v>
      </c>
      <c r="X64" s="30">
        <f>$I$22*$X$22</f>
        <v>13.879684833355052</v>
      </c>
      <c r="Y64" s="30">
        <f>$I$22*$Y$22</f>
        <v>88.261102484245953</v>
      </c>
      <c r="Z64" s="30">
        <f>$I$22*$Z$22</f>
        <v>0</v>
      </c>
      <c r="AA64" s="30">
        <f>$I$22*$AA$22</f>
        <v>0</v>
      </c>
      <c r="AB64" s="30">
        <f>$I$22*$AB$22</f>
        <v>0</v>
      </c>
      <c r="AC64" s="30">
        <f>$I$22*$AC$22</f>
        <v>1225.596833609585</v>
      </c>
      <c r="AD64" s="30">
        <f>$I$22*$AD$22</f>
        <v>28.936953930317951</v>
      </c>
      <c r="AE64" s="30">
        <f>$I$22*$AE$22</f>
        <v>21.813191112355689</v>
      </c>
      <c r="AF64" s="30">
        <f>$I$22*$AF$22</f>
        <v>0</v>
      </c>
      <c r="AG64" s="30">
        <f>$I$22*$AG$22</f>
        <v>0</v>
      </c>
      <c r="AH64" s="30">
        <f>$I$22*$AH$22</f>
        <v>34.399458817079541</v>
      </c>
    </row>
    <row r="65" spans="1:34" ht="11.25" customHeight="1" x14ac:dyDescent="0.25">
      <c r="A65" s="9" t="s">
        <v>43</v>
      </c>
      <c r="B65" s="9" t="s">
        <v>1184</v>
      </c>
      <c r="C65" s="9" t="s">
        <v>1185</v>
      </c>
      <c r="D65" s="9" t="s">
        <v>1186</v>
      </c>
      <c r="E65" s="9" t="s">
        <v>1187</v>
      </c>
      <c r="F65" s="9" t="s">
        <v>1188</v>
      </c>
      <c r="G65" s="9" t="s">
        <v>1189</v>
      </c>
      <c r="L65" s="30">
        <f>$I$23*$L$23</f>
        <v>547478.34407453949</v>
      </c>
      <c r="M65" s="30">
        <f>$I$23*$M$23</f>
        <v>5934311.5146850459</v>
      </c>
      <c r="N65" s="30">
        <f>$I$23*$N$23</f>
        <v>0</v>
      </c>
      <c r="O65" s="30">
        <f>$I$23*$O$23</f>
        <v>1977149.9448674759</v>
      </c>
      <c r="P65" s="30">
        <f>$I$23*$P$23</f>
        <v>-2853529.555590874</v>
      </c>
      <c r="Q65" s="30">
        <f>$I$23*$Q$23</f>
        <v>47264406.890208952</v>
      </c>
      <c r="R65" s="30">
        <f>$I$23*$R$23</f>
        <v>1477460.6161543953</v>
      </c>
      <c r="S65" s="30">
        <f>$I$23*$S$23</f>
        <v>912885.74963537068</v>
      </c>
      <c r="T65" s="30">
        <f>$I$23*$T$23</f>
        <v>0</v>
      </c>
      <c r="U65" s="30">
        <f>$I$23*$U$23</f>
        <v>-1544960.0210872153</v>
      </c>
      <c r="V65" s="30">
        <f>$I$23*$V$23</f>
        <v>1455110.9102090346</v>
      </c>
      <c r="X65" s="30">
        <f>$I$23*$X$23</f>
        <v>471144.58921099256</v>
      </c>
      <c r="Y65" s="30">
        <f>$I$23*$Y$23</f>
        <v>2996014.7778944625</v>
      </c>
      <c r="Z65" s="30">
        <f>$I$23*$Z$23</f>
        <v>0</v>
      </c>
      <c r="AA65" s="30">
        <f>$I$23*$AA$23</f>
        <v>0</v>
      </c>
      <c r="AB65" s="30">
        <f>$I$23*$AB$23</f>
        <v>0</v>
      </c>
      <c r="AC65" s="30">
        <f>$I$23*$AC$23</f>
        <v>44098934.742445864</v>
      </c>
      <c r="AD65" s="30">
        <f>$I$23*$AD$23</f>
        <v>982262.16489827365</v>
      </c>
      <c r="AE65" s="30">
        <f>$I$23*$AE$23</f>
        <v>740446.70966260391</v>
      </c>
      <c r="AF65" s="30">
        <f>$I$23*$AF$23</f>
        <v>0</v>
      </c>
      <c r="AG65" s="30">
        <f>$I$23*$AG$23</f>
        <v>0</v>
      </c>
      <c r="AH65" s="30">
        <f>$I$23*$AH$23</f>
        <v>1167686.3767471979</v>
      </c>
    </row>
    <row r="66" spans="1:34" ht="11.25" customHeight="1" x14ac:dyDescent="0.25">
      <c r="A66" s="9" t="s">
        <v>43</v>
      </c>
      <c r="B66" s="9" t="s">
        <v>1176</v>
      </c>
      <c r="C66" s="9" t="s">
        <v>1177</v>
      </c>
      <c r="D66" s="9" t="s">
        <v>1190</v>
      </c>
      <c r="E66" s="9" t="s">
        <v>1191</v>
      </c>
      <c r="F66" s="9" t="s">
        <v>1192</v>
      </c>
      <c r="G66" s="9" t="s">
        <v>1193</v>
      </c>
      <c r="L66" s="30">
        <f>$I$24*$L$24</f>
        <v>0</v>
      </c>
      <c r="M66" s="30">
        <f>$I$24*$M$24</f>
        <v>0</v>
      </c>
      <c r="N66" s="30">
        <f>$I$24*$N$24</f>
        <v>0</v>
      </c>
      <c r="O66" s="30">
        <f>$I$24*$O$24</f>
        <v>0</v>
      </c>
      <c r="P66" s="30">
        <f>$I$24*$P$24</f>
        <v>0</v>
      </c>
      <c r="Q66" s="30">
        <f>$I$24*$Q$24</f>
        <v>0</v>
      </c>
      <c r="R66" s="30">
        <f>$I$24*$R$24</f>
        <v>0</v>
      </c>
      <c r="S66" s="30">
        <f>$I$24*$S$24</f>
        <v>0</v>
      </c>
      <c r="T66" s="30">
        <f>$I$24*$T$24</f>
        <v>0</v>
      </c>
      <c r="U66" s="30">
        <f>$I$24*$U$24</f>
        <v>0</v>
      </c>
      <c r="V66" s="30">
        <f>$I$24*$V$24</f>
        <v>0</v>
      </c>
      <c r="X66" s="30">
        <f>$I$24*$X$24</f>
        <v>0</v>
      </c>
      <c r="Y66" s="30">
        <f>$I$24*$Y$24</f>
        <v>0</v>
      </c>
      <c r="Z66" s="30">
        <f>$I$24*$Z$24</f>
        <v>0</v>
      </c>
      <c r="AA66" s="30">
        <f>$I$24*$AA$24</f>
        <v>0</v>
      </c>
      <c r="AB66" s="30">
        <f>$I$24*$AB$24</f>
        <v>0</v>
      </c>
      <c r="AC66" s="30">
        <f>$I$24*$AC$24</f>
        <v>0</v>
      </c>
      <c r="AD66" s="30">
        <f>$I$24*$AD$24</f>
        <v>0</v>
      </c>
      <c r="AE66" s="30">
        <f>$I$24*$AE$24</f>
        <v>0</v>
      </c>
      <c r="AF66" s="30">
        <f>$I$24*$AF$24</f>
        <v>0</v>
      </c>
      <c r="AG66" s="30">
        <f>$I$24*$AG$24</f>
        <v>0</v>
      </c>
      <c r="AH66" s="30">
        <f>$I$24*$AH$24</f>
        <v>0</v>
      </c>
    </row>
    <row r="67" spans="1:34" ht="11.25" customHeight="1" x14ac:dyDescent="0.25">
      <c r="A67" s="9" t="s">
        <v>43</v>
      </c>
      <c r="B67" s="9" t="s">
        <v>1176</v>
      </c>
      <c r="C67" s="9" t="s">
        <v>1177</v>
      </c>
      <c r="D67" s="9" t="s">
        <v>1190</v>
      </c>
      <c r="E67" s="9" t="s">
        <v>1191</v>
      </c>
      <c r="F67" s="9" t="s">
        <v>1192</v>
      </c>
      <c r="G67" s="9" t="s">
        <v>1194</v>
      </c>
      <c r="L67" s="30">
        <f>$I$25*$L$25</f>
        <v>0</v>
      </c>
      <c r="M67" s="30">
        <f>$I$25*$M$25</f>
        <v>0</v>
      </c>
      <c r="N67" s="30">
        <f>$I$25*$N$25</f>
        <v>0</v>
      </c>
      <c r="O67" s="30">
        <f>$I$25*$O$25</f>
        <v>0</v>
      </c>
      <c r="P67" s="30">
        <f>$I$25*$P$25</f>
        <v>0</v>
      </c>
      <c r="Q67" s="30">
        <f>$I$25*$Q$25</f>
        <v>0</v>
      </c>
      <c r="R67" s="30">
        <f>$I$25*$R$25</f>
        <v>0</v>
      </c>
      <c r="S67" s="30">
        <f>$I$25*$S$25</f>
        <v>0</v>
      </c>
      <c r="T67" s="30">
        <f>$I$25*$T$25</f>
        <v>0</v>
      </c>
      <c r="U67" s="30">
        <f>$I$25*$U$25</f>
        <v>0</v>
      </c>
      <c r="V67" s="30">
        <f>$I$25*$V$25</f>
        <v>0</v>
      </c>
      <c r="X67" s="30">
        <f>$I$25*$X$25</f>
        <v>0</v>
      </c>
      <c r="Y67" s="30">
        <f>$I$25*$Y$25</f>
        <v>0</v>
      </c>
      <c r="Z67" s="30">
        <f>$I$25*$Z$25</f>
        <v>0</v>
      </c>
      <c r="AA67" s="30">
        <f>$I$25*$AA$25</f>
        <v>0</v>
      </c>
      <c r="AB67" s="30">
        <f>$I$25*$AB$25</f>
        <v>0</v>
      </c>
      <c r="AC67" s="30">
        <f>$I$25*$AC$25</f>
        <v>0</v>
      </c>
      <c r="AD67" s="30">
        <f>$I$25*$AD$25</f>
        <v>0</v>
      </c>
      <c r="AE67" s="30">
        <f>$I$25*$AE$25</f>
        <v>0</v>
      </c>
      <c r="AF67" s="30">
        <f>$I$25*$AF$25</f>
        <v>0</v>
      </c>
      <c r="AG67" s="30">
        <f>$I$25*$AG$25</f>
        <v>0</v>
      </c>
      <c r="AH67" s="30">
        <f>$I$25*$AH$25</f>
        <v>0</v>
      </c>
    </row>
    <row r="68" spans="1:34" ht="11.25" customHeight="1" x14ac:dyDescent="0.25">
      <c r="A68" s="9" t="s">
        <v>43</v>
      </c>
      <c r="B68" s="9" t="s">
        <v>1176</v>
      </c>
      <c r="C68" s="9" t="s">
        <v>1177</v>
      </c>
      <c r="D68" s="9" t="s">
        <v>1190</v>
      </c>
      <c r="E68" s="9" t="s">
        <v>1191</v>
      </c>
      <c r="F68" s="9" t="s">
        <v>1192</v>
      </c>
      <c r="G68" s="9" t="s">
        <v>1195</v>
      </c>
      <c r="L68" s="30">
        <f>$I$26*$L$26</f>
        <v>0</v>
      </c>
      <c r="M68" s="30">
        <f>$I$26*$M$26</f>
        <v>0</v>
      </c>
      <c r="N68" s="30">
        <f>$I$26*$N$26</f>
        <v>0</v>
      </c>
      <c r="O68" s="30">
        <f>$I$26*$O$26</f>
        <v>0</v>
      </c>
      <c r="P68" s="30">
        <f>$I$26*$P$26</f>
        <v>0</v>
      </c>
      <c r="Q68" s="30">
        <f>$I$26*$Q$26</f>
        <v>0</v>
      </c>
      <c r="R68" s="30">
        <f>$I$26*$R$26</f>
        <v>0</v>
      </c>
      <c r="S68" s="30">
        <f>$I$26*$S$26</f>
        <v>0</v>
      </c>
      <c r="T68" s="30">
        <f>$I$26*$T$26</f>
        <v>0</v>
      </c>
      <c r="U68" s="30">
        <f>$I$26*$U$26</f>
        <v>0</v>
      </c>
      <c r="V68" s="30">
        <f>$I$26*$V$26</f>
        <v>0</v>
      </c>
      <c r="X68" s="30">
        <f>$I$26*$X$26</f>
        <v>0</v>
      </c>
      <c r="Y68" s="30">
        <f>$I$26*$Y$26</f>
        <v>0</v>
      </c>
      <c r="Z68" s="30">
        <f>$I$26*$Z$26</f>
        <v>0</v>
      </c>
      <c r="AA68" s="30">
        <f>$I$26*$AA$26</f>
        <v>0</v>
      </c>
      <c r="AB68" s="30">
        <f>$I$26*$AB$26</f>
        <v>0</v>
      </c>
      <c r="AC68" s="30">
        <f>$I$26*$AC$26</f>
        <v>0</v>
      </c>
      <c r="AD68" s="30">
        <f>$I$26*$AD$26</f>
        <v>0</v>
      </c>
      <c r="AE68" s="30">
        <f>$I$26*$AE$26</f>
        <v>0</v>
      </c>
      <c r="AF68" s="30">
        <f>$I$26*$AF$26</f>
        <v>0</v>
      </c>
      <c r="AG68" s="30">
        <f>$I$26*$AG$26</f>
        <v>0</v>
      </c>
      <c r="AH68" s="30">
        <f>$I$26*$AH$26</f>
        <v>0</v>
      </c>
    </row>
    <row r="69" spans="1:34" ht="11.25" customHeight="1" x14ac:dyDescent="0.25">
      <c r="A69" s="9" t="s">
        <v>43</v>
      </c>
      <c r="B69" s="9" t="s">
        <v>1184</v>
      </c>
      <c r="C69" s="9" t="s">
        <v>1185</v>
      </c>
      <c r="D69" s="9" t="s">
        <v>1196</v>
      </c>
      <c r="E69" s="9" t="s">
        <v>1197</v>
      </c>
      <c r="F69" s="9" t="s">
        <v>1198</v>
      </c>
      <c r="G69" s="9" t="s">
        <v>1199</v>
      </c>
      <c r="L69" s="30">
        <f>$I$27*$L$27</f>
        <v>0</v>
      </c>
      <c r="M69" s="30">
        <f>$I$27*$M$27</f>
        <v>0</v>
      </c>
      <c r="N69" s="30">
        <f>$I$27*$N$27</f>
        <v>0</v>
      </c>
      <c r="O69" s="30">
        <f>$I$27*$O$27</f>
        <v>0</v>
      </c>
      <c r="P69" s="30">
        <f>$I$27*$P$27</f>
        <v>0</v>
      </c>
      <c r="Q69" s="30">
        <f>$I$27*$Q$27</f>
        <v>0</v>
      </c>
      <c r="R69" s="30">
        <f>$I$27*$R$27</f>
        <v>0</v>
      </c>
      <c r="S69" s="30">
        <f>$I$27*$S$27</f>
        <v>0</v>
      </c>
      <c r="T69" s="30">
        <f>$I$27*$T$27</f>
        <v>0</v>
      </c>
      <c r="U69" s="30">
        <f>$I$27*$U$27</f>
        <v>0</v>
      </c>
      <c r="V69" s="30">
        <f>$I$27*$V$27</f>
        <v>0</v>
      </c>
      <c r="X69" s="30">
        <f>$I$27*$X$27</f>
        <v>0</v>
      </c>
      <c r="Y69" s="30">
        <f>$I$27*$Y$27</f>
        <v>0</v>
      </c>
      <c r="Z69" s="30">
        <f>$I$27*$Z$27</f>
        <v>0</v>
      </c>
      <c r="AA69" s="30">
        <f>$I$27*$AA$27</f>
        <v>0</v>
      </c>
      <c r="AB69" s="30">
        <f>$I$27*$AB$27</f>
        <v>0</v>
      </c>
      <c r="AC69" s="30">
        <f>$I$27*$AC$27</f>
        <v>0</v>
      </c>
      <c r="AD69" s="30">
        <f>$I$27*$AD$27</f>
        <v>0</v>
      </c>
      <c r="AE69" s="30">
        <f>$I$27*$AE$27</f>
        <v>0</v>
      </c>
      <c r="AF69" s="30">
        <f>$I$27*$AF$27</f>
        <v>0</v>
      </c>
      <c r="AG69" s="30">
        <f>$I$27*$AG$27</f>
        <v>0</v>
      </c>
      <c r="AH69" s="30">
        <f>$I$27*$AH$27</f>
        <v>0</v>
      </c>
    </row>
    <row r="70" spans="1:34" ht="11.25" customHeight="1" x14ac:dyDescent="0.25">
      <c r="A70" s="9" t="s">
        <v>43</v>
      </c>
      <c r="B70" s="9" t="s">
        <v>1176</v>
      </c>
      <c r="C70" s="9" t="s">
        <v>1177</v>
      </c>
      <c r="D70" s="9" t="s">
        <v>1200</v>
      </c>
      <c r="E70" s="9" t="s">
        <v>1201</v>
      </c>
      <c r="F70" s="9" t="s">
        <v>1202</v>
      </c>
      <c r="G70" s="9" t="s">
        <v>1203</v>
      </c>
      <c r="L70" s="30">
        <f>$I$28*$L$28</f>
        <v>0</v>
      </c>
      <c r="M70" s="30">
        <f>$I$28*$M$28</f>
        <v>0</v>
      </c>
      <c r="N70" s="30">
        <f>$I$28*$N$28</f>
        <v>0</v>
      </c>
      <c r="O70" s="30">
        <f>$I$28*$O$28</f>
        <v>0</v>
      </c>
      <c r="P70" s="30">
        <f>$I$28*$P$28</f>
        <v>0</v>
      </c>
      <c r="Q70" s="30">
        <f>$I$28*$Q$28</f>
        <v>0</v>
      </c>
      <c r="R70" s="30">
        <f>$I$28*$R$28</f>
        <v>0</v>
      </c>
      <c r="S70" s="30">
        <f>$I$28*$S$28</f>
        <v>0</v>
      </c>
      <c r="T70" s="30">
        <f>$I$28*$T$28</f>
        <v>0</v>
      </c>
      <c r="U70" s="30">
        <f>$I$28*$U$28</f>
        <v>0</v>
      </c>
      <c r="V70" s="30">
        <f>$I$28*$V$28</f>
        <v>0</v>
      </c>
      <c r="X70" s="30">
        <f>$I$28*$X$28</f>
        <v>0</v>
      </c>
      <c r="Y70" s="30">
        <f>$I$28*$Y$28</f>
        <v>0</v>
      </c>
      <c r="Z70" s="30">
        <f>$I$28*$Z$28</f>
        <v>0</v>
      </c>
      <c r="AA70" s="30">
        <f>$I$28*$AA$28</f>
        <v>0</v>
      </c>
      <c r="AB70" s="30">
        <f>$I$28*$AB$28</f>
        <v>0</v>
      </c>
      <c r="AC70" s="30">
        <f>$I$28*$AC$28</f>
        <v>0</v>
      </c>
      <c r="AD70" s="30">
        <f>$I$28*$AD$28</f>
        <v>0</v>
      </c>
      <c r="AE70" s="30">
        <f>$I$28*$AE$28</f>
        <v>0</v>
      </c>
      <c r="AF70" s="30">
        <f>$I$28*$AF$28</f>
        <v>0</v>
      </c>
      <c r="AG70" s="30">
        <f>$I$28*$AG$28</f>
        <v>0</v>
      </c>
      <c r="AH70" s="30">
        <f>$I$28*$AH$28</f>
        <v>0</v>
      </c>
    </row>
    <row r="71" spans="1:34" ht="11.25" customHeight="1" x14ac:dyDescent="0.25">
      <c r="A71" s="9" t="s">
        <v>43</v>
      </c>
      <c r="B71" s="9" t="s">
        <v>1176</v>
      </c>
      <c r="C71" s="9" t="s">
        <v>1177</v>
      </c>
      <c r="D71" s="9" t="s">
        <v>1200</v>
      </c>
      <c r="E71" s="9" t="s">
        <v>1201</v>
      </c>
      <c r="F71" s="9" t="s">
        <v>1202</v>
      </c>
      <c r="G71" s="9" t="s">
        <v>1204</v>
      </c>
      <c r="L71" s="30">
        <f>$I$29*$L$29</f>
        <v>0</v>
      </c>
      <c r="M71" s="30">
        <f>$I$29*$M$29</f>
        <v>0</v>
      </c>
      <c r="N71" s="30">
        <f>$I$29*$N$29</f>
        <v>0</v>
      </c>
      <c r="O71" s="30">
        <f>$I$29*$O$29</f>
        <v>0</v>
      </c>
      <c r="P71" s="30">
        <f>$I$29*$P$29</f>
        <v>0</v>
      </c>
      <c r="Q71" s="30">
        <f>$I$29*$Q$29</f>
        <v>0</v>
      </c>
      <c r="R71" s="30">
        <f>$I$29*$R$29</f>
        <v>0</v>
      </c>
      <c r="S71" s="30">
        <f>$I$29*$S$29</f>
        <v>0</v>
      </c>
      <c r="T71" s="30">
        <f>$I$29*$T$29</f>
        <v>0</v>
      </c>
      <c r="U71" s="30">
        <f>$I$29*$U$29</f>
        <v>0</v>
      </c>
      <c r="V71" s="30">
        <f>$I$29*$V$29</f>
        <v>0</v>
      </c>
      <c r="X71" s="30">
        <f>$I$29*$X$29</f>
        <v>0</v>
      </c>
      <c r="Y71" s="30">
        <f>$I$29*$Y$29</f>
        <v>0</v>
      </c>
      <c r="Z71" s="30">
        <f>$I$29*$Z$29</f>
        <v>0</v>
      </c>
      <c r="AA71" s="30">
        <f>$I$29*$AA$29</f>
        <v>0</v>
      </c>
      <c r="AB71" s="30">
        <f>$I$29*$AB$29</f>
        <v>0</v>
      </c>
      <c r="AC71" s="30">
        <f>$I$29*$AC$29</f>
        <v>0</v>
      </c>
      <c r="AD71" s="30">
        <f>$I$29*$AD$29</f>
        <v>0</v>
      </c>
      <c r="AE71" s="30">
        <f>$I$29*$AE$29</f>
        <v>0</v>
      </c>
      <c r="AF71" s="30">
        <f>$I$29*$AF$29</f>
        <v>0</v>
      </c>
      <c r="AG71" s="30">
        <f>$I$29*$AG$29</f>
        <v>0</v>
      </c>
      <c r="AH71" s="30">
        <f>$I$29*$AH$29</f>
        <v>0</v>
      </c>
    </row>
    <row r="72" spans="1:34" ht="11.25" customHeight="1" x14ac:dyDescent="0.25">
      <c r="A72" s="9" t="s">
        <v>43</v>
      </c>
      <c r="B72" s="9" t="s">
        <v>1176</v>
      </c>
      <c r="C72" s="9" t="s">
        <v>1177</v>
      </c>
      <c r="D72" s="9" t="s">
        <v>1200</v>
      </c>
      <c r="E72" s="9" t="s">
        <v>1201</v>
      </c>
      <c r="F72" s="9" t="s">
        <v>1202</v>
      </c>
      <c r="G72" s="9" t="s">
        <v>1205</v>
      </c>
      <c r="L72" s="30">
        <f>$I$30*$L$30</f>
        <v>0</v>
      </c>
      <c r="M72" s="30">
        <f>$I$30*$M$30</f>
        <v>0</v>
      </c>
      <c r="N72" s="30">
        <f>$I$30*$N$30</f>
        <v>0</v>
      </c>
      <c r="O72" s="30">
        <f>$I$30*$O$30</f>
        <v>0</v>
      </c>
      <c r="P72" s="30">
        <f>$I$30*$P$30</f>
        <v>0</v>
      </c>
      <c r="Q72" s="30">
        <f>$I$30*$Q$30</f>
        <v>0</v>
      </c>
      <c r="R72" s="30">
        <f>$I$30*$R$30</f>
        <v>0</v>
      </c>
      <c r="S72" s="30">
        <f>$I$30*$S$30</f>
        <v>0</v>
      </c>
      <c r="T72" s="30">
        <f>$I$30*$T$30</f>
        <v>0</v>
      </c>
      <c r="U72" s="30">
        <f>$I$30*$U$30</f>
        <v>0</v>
      </c>
      <c r="V72" s="30">
        <f>$I$30*$V$30</f>
        <v>0</v>
      </c>
      <c r="X72" s="30">
        <f>$I$30*$X$30</f>
        <v>0</v>
      </c>
      <c r="Y72" s="30">
        <f>$I$30*$Y$30</f>
        <v>0</v>
      </c>
      <c r="Z72" s="30">
        <f>$I$30*$Z$30</f>
        <v>0</v>
      </c>
      <c r="AA72" s="30">
        <f>$I$30*$AA$30</f>
        <v>0</v>
      </c>
      <c r="AB72" s="30">
        <f>$I$30*$AB$30</f>
        <v>0</v>
      </c>
      <c r="AC72" s="30">
        <f>$I$30*$AC$30</f>
        <v>0</v>
      </c>
      <c r="AD72" s="30">
        <f>$I$30*$AD$30</f>
        <v>0</v>
      </c>
      <c r="AE72" s="30">
        <f>$I$30*$AE$30</f>
        <v>0</v>
      </c>
      <c r="AF72" s="30">
        <f>$I$30*$AF$30</f>
        <v>0</v>
      </c>
      <c r="AG72" s="30">
        <f>$I$30*$AG$30</f>
        <v>0</v>
      </c>
      <c r="AH72" s="30">
        <f>$I$30*$AH$30</f>
        <v>0</v>
      </c>
    </row>
    <row r="73" spans="1:34" ht="11.25" customHeight="1" x14ac:dyDescent="0.25">
      <c r="A73" s="9" t="s">
        <v>43</v>
      </c>
      <c r="B73" s="9" t="s">
        <v>1184</v>
      </c>
      <c r="C73" s="9" t="s">
        <v>1185</v>
      </c>
      <c r="D73" s="9" t="s">
        <v>1206</v>
      </c>
      <c r="E73" s="9" t="s">
        <v>1207</v>
      </c>
      <c r="F73" s="9" t="s">
        <v>1208</v>
      </c>
      <c r="G73" s="9" t="s">
        <v>1209</v>
      </c>
      <c r="L73" s="30">
        <f>$I$31*$L$31</f>
        <v>87.423699682782527</v>
      </c>
      <c r="M73" s="30">
        <f>$I$31*$M$31</f>
        <v>947.61641861996418</v>
      </c>
      <c r="N73" s="30">
        <f>$I$31*$N$31</f>
        <v>0</v>
      </c>
      <c r="O73" s="30">
        <f>$I$31*$O$31</f>
        <v>315.71981774020747</v>
      </c>
      <c r="P73" s="30">
        <f>$I$31*$P$31</f>
        <v>-455.66388808605643</v>
      </c>
      <c r="Q73" s="30">
        <f>$I$31*$Q$31</f>
        <v>7547.3840351425597</v>
      </c>
      <c r="R73" s="30">
        <f>$I$31*$R$31</f>
        <v>235.92727383246918</v>
      </c>
      <c r="S73" s="30">
        <f>$I$31*$S$31</f>
        <v>145.77352782003109</v>
      </c>
      <c r="T73" s="30">
        <f>$I$31*$T$31</f>
        <v>0</v>
      </c>
      <c r="U73" s="30">
        <f>$I$31*$U$31</f>
        <v>-246.70586949653799</v>
      </c>
      <c r="V73" s="30">
        <f>$I$31*$V$31</f>
        <v>232.35837653869845</v>
      </c>
      <c r="X73" s="30">
        <f>$I$31*$X$31</f>
        <v>73.375839739310507</v>
      </c>
      <c r="Y73" s="30">
        <f>$I$31*$Y$31</f>
        <v>466.59795152808363</v>
      </c>
      <c r="Z73" s="30">
        <f>$I$31*$Z$31</f>
        <v>0</v>
      </c>
      <c r="AA73" s="30">
        <f>$I$31*$AA$31</f>
        <v>0</v>
      </c>
      <c r="AB73" s="30">
        <f>$I$31*$AB$31</f>
        <v>0</v>
      </c>
      <c r="AC73" s="30">
        <f>$I$31*$AC$31</f>
        <v>6867.9476373800235</v>
      </c>
      <c r="AD73" s="30">
        <f>$I$31*$AD$31</f>
        <v>152.97705384723611</v>
      </c>
      <c r="AE73" s="30">
        <f>$I$31*$AE$31</f>
        <v>115.31682703751051</v>
      </c>
      <c r="AF73" s="30">
        <f>$I$31*$AF$31</f>
        <v>0</v>
      </c>
      <c r="AG73" s="30">
        <f>$I$31*$AG$31</f>
        <v>0</v>
      </c>
      <c r="AH73" s="30">
        <f>$I$31*$AH$31</f>
        <v>181.85493457425329</v>
      </c>
    </row>
    <row r="74" spans="1:34" ht="11.25" customHeight="1" x14ac:dyDescent="0.25">
      <c r="A74" s="9" t="s">
        <v>43</v>
      </c>
      <c r="B74" s="9" t="s">
        <v>1210</v>
      </c>
      <c r="C74" s="9" t="s">
        <v>1211</v>
      </c>
      <c r="D74" s="9" t="s">
        <v>1212</v>
      </c>
      <c r="E74" s="9" t="s">
        <v>1213</v>
      </c>
      <c r="F74" s="9" t="s">
        <v>1214</v>
      </c>
      <c r="G74" s="9" t="s">
        <v>1215</v>
      </c>
      <c r="L74" s="30">
        <f>$I$32*$L$32</f>
        <v>0</v>
      </c>
      <c r="M74" s="30">
        <f>$I$32*$M$32</f>
        <v>0</v>
      </c>
      <c r="N74" s="30">
        <f>$I$32*$N$32</f>
        <v>0</v>
      </c>
      <c r="O74" s="30">
        <f>$I$32*$O$32</f>
        <v>0</v>
      </c>
      <c r="P74" s="30">
        <f>$I$32*$P$32</f>
        <v>0</v>
      </c>
      <c r="Q74" s="30">
        <f>$I$32*$Q$32</f>
        <v>0</v>
      </c>
      <c r="R74" s="30">
        <f>$I$32*$R$32</f>
        <v>0</v>
      </c>
      <c r="S74" s="30">
        <f>$I$32*$S$32</f>
        <v>0</v>
      </c>
      <c r="T74" s="30">
        <f>$I$32*$T$32</f>
        <v>0</v>
      </c>
      <c r="U74" s="30">
        <f>$I$32*$U$32</f>
        <v>0</v>
      </c>
      <c r="V74" s="30">
        <f>$I$32*$V$32</f>
        <v>0</v>
      </c>
      <c r="X74" s="30">
        <f>$I$32*$X$32</f>
        <v>0</v>
      </c>
      <c r="Y74" s="30">
        <f>$I$32*$Y$32</f>
        <v>0</v>
      </c>
      <c r="Z74" s="30">
        <f>$I$32*$Z$32</f>
        <v>0</v>
      </c>
      <c r="AA74" s="30">
        <f>$I$32*$AA$32</f>
        <v>0</v>
      </c>
      <c r="AB74" s="30">
        <f>$I$32*$AB$32</f>
        <v>0</v>
      </c>
      <c r="AC74" s="30">
        <f>$I$32*$AC$32</f>
        <v>0</v>
      </c>
      <c r="AD74" s="30">
        <f>$I$32*$AD$32</f>
        <v>0</v>
      </c>
      <c r="AE74" s="30">
        <f>$I$32*$AE$32</f>
        <v>0</v>
      </c>
      <c r="AF74" s="30">
        <f>$I$32*$AF$32</f>
        <v>0</v>
      </c>
      <c r="AG74" s="30">
        <f>$I$32*$AG$32</f>
        <v>0</v>
      </c>
      <c r="AH74" s="30">
        <f>$I$32*$AH$32</f>
        <v>0</v>
      </c>
    </row>
    <row r="75" spans="1:34" ht="11.25" customHeight="1" x14ac:dyDescent="0.25">
      <c r="A75" s="9" t="s">
        <v>43</v>
      </c>
      <c r="B75" s="9" t="s">
        <v>1210</v>
      </c>
      <c r="C75" s="9" t="s">
        <v>1211</v>
      </c>
      <c r="D75" s="9" t="s">
        <v>1216</v>
      </c>
      <c r="E75" s="9" t="s">
        <v>1217</v>
      </c>
      <c r="F75" s="9" t="s">
        <v>1218</v>
      </c>
      <c r="G75" s="9" t="s">
        <v>1219</v>
      </c>
      <c r="L75" s="30">
        <f>$I$33*$L$33</f>
        <v>0</v>
      </c>
      <c r="M75" s="30">
        <f>$I$33*$M$33</f>
        <v>0</v>
      </c>
      <c r="N75" s="30">
        <f>$I$33*$N$33</f>
        <v>0</v>
      </c>
      <c r="O75" s="30">
        <f>$I$33*$O$33</f>
        <v>0</v>
      </c>
      <c r="P75" s="30">
        <f>$I$33*$P$33</f>
        <v>0</v>
      </c>
      <c r="Q75" s="30">
        <f>$I$33*$Q$33</f>
        <v>0</v>
      </c>
      <c r="R75" s="30">
        <f>$I$33*$R$33</f>
        <v>0</v>
      </c>
      <c r="S75" s="30">
        <f>$I$33*$S$33</f>
        <v>0</v>
      </c>
      <c r="T75" s="30">
        <f>$I$33*$T$33</f>
        <v>0</v>
      </c>
      <c r="U75" s="30">
        <f>$I$33*$U$33</f>
        <v>0</v>
      </c>
      <c r="V75" s="30">
        <f>$I$33*$V$33</f>
        <v>0</v>
      </c>
      <c r="X75" s="30">
        <f>$I$33*$X$33</f>
        <v>0</v>
      </c>
      <c r="Y75" s="30">
        <f>$I$33*$Y$33</f>
        <v>0</v>
      </c>
      <c r="Z75" s="30">
        <f>$I$33*$Z$33</f>
        <v>0</v>
      </c>
      <c r="AA75" s="30">
        <f>$I$33*$AA$33</f>
        <v>0</v>
      </c>
      <c r="AB75" s="30">
        <f>$I$33*$AB$33</f>
        <v>0</v>
      </c>
      <c r="AC75" s="30">
        <f>$I$33*$AC$33</f>
        <v>0</v>
      </c>
      <c r="AD75" s="30">
        <f>$I$33*$AD$33</f>
        <v>0</v>
      </c>
      <c r="AE75" s="30">
        <f>$I$33*$AE$33</f>
        <v>0</v>
      </c>
      <c r="AF75" s="30">
        <f>$I$33*$AF$33</f>
        <v>0</v>
      </c>
      <c r="AG75" s="30">
        <f>$I$33*$AG$33</f>
        <v>0</v>
      </c>
      <c r="AH75" s="30">
        <f>$I$33*$AH$33</f>
        <v>0</v>
      </c>
    </row>
    <row r="76" spans="1:34" ht="11.25" customHeight="1" x14ac:dyDescent="0.25">
      <c r="A76" s="9" t="s">
        <v>43</v>
      </c>
      <c r="B76" s="9" t="s">
        <v>1210</v>
      </c>
      <c r="C76" s="9" t="s">
        <v>1211</v>
      </c>
      <c r="D76" s="9" t="s">
        <v>1220</v>
      </c>
      <c r="E76" s="9" t="s">
        <v>1221</v>
      </c>
      <c r="F76" s="9" t="s">
        <v>1222</v>
      </c>
      <c r="G76" s="9" t="s">
        <v>1223</v>
      </c>
      <c r="L76" s="30">
        <f>$I$34*$L$34</f>
        <v>0</v>
      </c>
      <c r="M76" s="30">
        <f>$I$34*$M$34</f>
        <v>0</v>
      </c>
      <c r="N76" s="30">
        <f>$I$34*$N$34</f>
        <v>0</v>
      </c>
      <c r="O76" s="30">
        <f>$I$34*$O$34</f>
        <v>0</v>
      </c>
      <c r="P76" s="30">
        <f>$I$34*$P$34</f>
        <v>0</v>
      </c>
      <c r="Q76" s="30">
        <f>$I$34*$Q$34</f>
        <v>0</v>
      </c>
      <c r="R76" s="30">
        <f>$I$34*$R$34</f>
        <v>0</v>
      </c>
      <c r="S76" s="30">
        <f>$I$34*$S$34</f>
        <v>0</v>
      </c>
      <c r="T76" s="30">
        <f>$I$34*$T$34</f>
        <v>0</v>
      </c>
      <c r="U76" s="30">
        <f>$I$34*$U$34</f>
        <v>0</v>
      </c>
      <c r="V76" s="30">
        <f>$I$34*$V$34</f>
        <v>0</v>
      </c>
      <c r="X76" s="30">
        <f>$I$34*$X$34</f>
        <v>0</v>
      </c>
      <c r="Y76" s="30">
        <f>$I$34*$Y$34</f>
        <v>0</v>
      </c>
      <c r="Z76" s="30">
        <f>$I$34*$Z$34</f>
        <v>0</v>
      </c>
      <c r="AA76" s="30">
        <f>$I$34*$AA$34</f>
        <v>0</v>
      </c>
      <c r="AB76" s="30">
        <f>$I$34*$AB$34</f>
        <v>0</v>
      </c>
      <c r="AC76" s="30">
        <f>$I$34*$AC$34</f>
        <v>0</v>
      </c>
      <c r="AD76" s="30">
        <f>$I$34*$AD$34</f>
        <v>0</v>
      </c>
      <c r="AE76" s="30">
        <f>$I$34*$AE$34</f>
        <v>0</v>
      </c>
      <c r="AF76" s="30">
        <f>$I$34*$AF$34</f>
        <v>0</v>
      </c>
      <c r="AG76" s="30">
        <f>$I$34*$AG$34</f>
        <v>0</v>
      </c>
      <c r="AH76" s="30">
        <f>$I$34*$AH$34</f>
        <v>0</v>
      </c>
    </row>
    <row r="77" spans="1:34" ht="11.25" customHeight="1" x14ac:dyDescent="0.25">
      <c r="A77" s="9" t="s">
        <v>37</v>
      </c>
      <c r="B77" s="9" t="s">
        <v>1224</v>
      </c>
      <c r="C77" s="9" t="s">
        <v>1225</v>
      </c>
      <c r="D77" s="9" t="s">
        <v>1226</v>
      </c>
      <c r="E77" s="9" t="s">
        <v>1227</v>
      </c>
      <c r="F77" s="9" t="s">
        <v>1228</v>
      </c>
      <c r="G77" s="9" t="s">
        <v>1229</v>
      </c>
      <c r="L77" s="30">
        <f>$I$35*$L$35</f>
        <v>181.48843921801637</v>
      </c>
      <c r="M77" s="30">
        <f>$I$35*$M$35</f>
        <v>1967.2174183515397</v>
      </c>
      <c r="N77" s="30">
        <f>$I$35*$N$35</f>
        <v>0</v>
      </c>
      <c r="O77" s="30">
        <f>$I$35*$O$35</f>
        <v>655.42292490226862</v>
      </c>
      <c r="P77" s="30">
        <f>$I$35*$P$35</f>
        <v>-945.94175443066956</v>
      </c>
      <c r="Q77" s="30">
        <f>$I$35*$Q$35</f>
        <v>25423.703489302181</v>
      </c>
      <c r="R77" s="30">
        <f>$I$35*$R$35</f>
        <v>489.77648912345342</v>
      </c>
      <c r="S77" s="30">
        <f>$I$35*$S$35</f>
        <v>302.62057244612237</v>
      </c>
      <c r="T77" s="30">
        <f>$I$35*$T$35</f>
        <v>0</v>
      </c>
      <c r="U77" s="30">
        <f>$I$35*$U$35</f>
        <v>-783.49847824936046</v>
      </c>
      <c r="V77" s="30">
        <f>$I$35*$V$35</f>
        <v>482.36758739627777</v>
      </c>
      <c r="X77" s="30">
        <f>$I$35*$X$35</f>
        <v>166.83278900297114</v>
      </c>
      <c r="Y77" s="30">
        <f>$I$35*$Y$35</f>
        <v>1060.8919485360141</v>
      </c>
      <c r="Z77" s="30">
        <f>$I$35*$Z$35</f>
        <v>0</v>
      </c>
      <c r="AA77" s="30">
        <f>$I$35*$AA$35</f>
        <v>0</v>
      </c>
      <c r="AB77" s="30">
        <f>$I$35*$AB$35</f>
        <v>0</v>
      </c>
      <c r="AC77" s="30">
        <f>$I$35*$AC$35</f>
        <v>25338.32385149199</v>
      </c>
      <c r="AD77" s="30">
        <f>$I$35*$AD$35</f>
        <v>347.82005408680942</v>
      </c>
      <c r="AE77" s="30">
        <f>$I$35*$AE$35</f>
        <v>262.19294991365007</v>
      </c>
      <c r="AF77" s="30">
        <f>$I$35*$AF$35</f>
        <v>0</v>
      </c>
      <c r="AG77" s="30">
        <f>$I$35*$AG$35</f>
        <v>0</v>
      </c>
      <c r="AH77" s="30">
        <f>$I$35*$AH$35</f>
        <v>413.47896033306165</v>
      </c>
    </row>
    <row r="78" spans="1:34" ht="11.25" customHeight="1" x14ac:dyDescent="0.25">
      <c r="A78" s="9" t="s">
        <v>37</v>
      </c>
      <c r="B78" s="9" t="s">
        <v>1224</v>
      </c>
      <c r="C78" s="9" t="s">
        <v>1225</v>
      </c>
      <c r="D78" s="9" t="s">
        <v>1226</v>
      </c>
      <c r="E78" s="9" t="s">
        <v>1227</v>
      </c>
      <c r="F78" s="9" t="s">
        <v>1228</v>
      </c>
      <c r="G78" s="9" t="s">
        <v>1230</v>
      </c>
      <c r="L78" s="30">
        <f>$I$36*$L$36</f>
        <v>163.97809576203485</v>
      </c>
      <c r="M78" s="30">
        <f>$I$36*$M$36</f>
        <v>1777.4166090198494</v>
      </c>
      <c r="N78" s="30">
        <f>$I$36*$N$36</f>
        <v>0</v>
      </c>
      <c r="O78" s="30">
        <f>$I$36*$O$36</f>
        <v>592.18649742836135</v>
      </c>
      <c r="P78" s="30">
        <f>$I$36*$P$36</f>
        <v>-854.67552788310843</v>
      </c>
      <c r="Q78" s="30">
        <f>$I$36*$Q$36</f>
        <v>13355.102971172206</v>
      </c>
      <c r="R78" s="30">
        <f>$I$36*$R$36</f>
        <v>442.52193903657866</v>
      </c>
      <c r="S78" s="30">
        <f>$I$36*$S$36</f>
        <v>273.4231746217252</v>
      </c>
      <c r="T78" s="30">
        <f>$I$36*$T$36</f>
        <v>0</v>
      </c>
      <c r="U78" s="30">
        <f>$I$36*$U$36</f>
        <v>-440.45121584035229</v>
      </c>
      <c r="V78" s="30">
        <f>$I$36*$V$36</f>
        <v>435.827861980514</v>
      </c>
      <c r="X78" s="30">
        <f>$I$36*$X$36</f>
        <v>150.73645004194202</v>
      </c>
      <c r="Y78" s="30">
        <f>$I$36*$Y$36</f>
        <v>958.53511264832628</v>
      </c>
      <c r="Z78" s="30">
        <f>$I$36*$Z$36</f>
        <v>0</v>
      </c>
      <c r="AA78" s="30">
        <f>$I$36*$AA$36</f>
        <v>0</v>
      </c>
      <c r="AB78" s="30">
        <f>$I$36*$AB$36</f>
        <v>0</v>
      </c>
      <c r="AC78" s="30">
        <f>$I$36*$AC$36</f>
        <v>13310.252941550199</v>
      </c>
      <c r="AD78" s="30">
        <f>$I$36*$AD$36</f>
        <v>314.26172588596</v>
      </c>
      <c r="AE78" s="30">
        <f>$I$36*$AE$36</f>
        <v>236.89608458984921</v>
      </c>
      <c r="AF78" s="30">
        <f>$I$36*$AF$36</f>
        <v>0</v>
      </c>
      <c r="AG78" s="30">
        <f>$I$36*$AG$36</f>
        <v>0</v>
      </c>
      <c r="AH78" s="30">
        <f>$I$36*$AH$36</f>
        <v>373.58573827192146</v>
      </c>
    </row>
    <row r="79" spans="1:34" ht="11.25" customHeight="1" x14ac:dyDescent="0.25">
      <c r="A79" s="9" t="s">
        <v>37</v>
      </c>
      <c r="B79" s="9" t="s">
        <v>1224</v>
      </c>
      <c r="C79" s="9" t="s">
        <v>1225</v>
      </c>
      <c r="D79" s="9" t="s">
        <v>1226</v>
      </c>
      <c r="E79" s="9" t="s">
        <v>1227</v>
      </c>
      <c r="F79" s="9" t="s">
        <v>1228</v>
      </c>
      <c r="G79" s="9" t="s">
        <v>1231</v>
      </c>
      <c r="L79" s="30">
        <f>$I$37*$L$37</f>
        <v>3120.1749267565137</v>
      </c>
      <c r="M79" s="30">
        <f>$I$37*$M$37</f>
        <v>33820.680207876445</v>
      </c>
      <c r="N79" s="30">
        <f>$I$37*$N$37</f>
        <v>0</v>
      </c>
      <c r="O79" s="30">
        <f>$I$37*$O$37</f>
        <v>11268.123664035926</v>
      </c>
      <c r="P79" s="30">
        <f>$I$37*$P$37</f>
        <v>-16262.764488271858</v>
      </c>
      <c r="Q79" s="30">
        <f>$I$37*$Q$37</f>
        <v>254120.87657960641</v>
      </c>
      <c r="R79" s="30">
        <f>$I$37*$R$37</f>
        <v>8420.3067019716273</v>
      </c>
      <c r="S79" s="30">
        <f>$I$37*$S$37</f>
        <v>5202.6957008144254</v>
      </c>
      <c r="T79" s="30">
        <f>$I$37*$T$37</f>
        <v>0</v>
      </c>
      <c r="U79" s="30">
        <f>$I$37*$U$37</f>
        <v>-8380.9049845221525</v>
      </c>
      <c r="V79" s="30">
        <f>$I$37*$V$37</f>
        <v>8292.931815154916</v>
      </c>
      <c r="X79" s="30">
        <f>$I$37*$X$37</f>
        <v>2868.2129145571248</v>
      </c>
      <c r="Y79" s="30">
        <f>$I$37*$Y$37</f>
        <v>18239.00449021731</v>
      </c>
      <c r="Z79" s="30">
        <f>$I$37*$Z$37</f>
        <v>0</v>
      </c>
      <c r="AA79" s="30">
        <f>$I$37*$AA$37</f>
        <v>0</v>
      </c>
      <c r="AB79" s="30">
        <f>$I$37*$AB$37</f>
        <v>0</v>
      </c>
      <c r="AC79" s="30">
        <f>$I$37*$AC$37</f>
        <v>253267.47029237915</v>
      </c>
      <c r="AD79" s="30">
        <f>$I$37*$AD$37</f>
        <v>5979.771584685177</v>
      </c>
      <c r="AE79" s="30">
        <f>$I$37*$AE$37</f>
        <v>4507.6582939266673</v>
      </c>
      <c r="AF79" s="30">
        <f>$I$37*$AF$37</f>
        <v>0</v>
      </c>
      <c r="AG79" s="30">
        <f>$I$37*$AG$37</f>
        <v>0</v>
      </c>
      <c r="AH79" s="30">
        <f>$I$37*$AH$37</f>
        <v>7108.5887912826292</v>
      </c>
    </row>
    <row r="80" spans="1:34" ht="11.25" customHeight="1" x14ac:dyDescent="0.25">
      <c r="A80" s="9" t="s">
        <v>37</v>
      </c>
      <c r="B80" s="9" t="s">
        <v>1232</v>
      </c>
      <c r="C80" s="9" t="s">
        <v>1233</v>
      </c>
      <c r="D80" s="9" t="s">
        <v>1234</v>
      </c>
      <c r="E80" s="9" t="s">
        <v>1235</v>
      </c>
      <c r="F80" s="9" t="s">
        <v>1236</v>
      </c>
      <c r="G80" s="9" t="s">
        <v>1237</v>
      </c>
      <c r="L80" s="30">
        <f>$I$38*$L$38</f>
        <v>275244.55220287939</v>
      </c>
      <c r="M80" s="30">
        <f>$I$38*$M$38</f>
        <v>2983473.1056859656</v>
      </c>
      <c r="N80" s="30">
        <f>$I$38*$N$38</f>
        <v>0</v>
      </c>
      <c r="O80" s="30">
        <f>$I$38*$O$38</f>
        <v>994011.46566429827</v>
      </c>
      <c r="P80" s="30">
        <f>$I$38*$P$38</f>
        <v>-1434611.018366338</v>
      </c>
      <c r="Q80" s="30">
        <f>$I$38*$Q$38</f>
        <v>23762164.568575211</v>
      </c>
      <c r="R80" s="30">
        <f>$I$38*$R$38</f>
        <v>742792.82476137416</v>
      </c>
      <c r="S80" s="30">
        <f>$I$38*$S$38</f>
        <v>458953.00168542797</v>
      </c>
      <c r="T80" s="30">
        <f>$I$38*$T$38</f>
        <v>0</v>
      </c>
      <c r="U80" s="30">
        <f>$I$38*$U$38</f>
        <v>-776728.12774783431</v>
      </c>
      <c r="V80" s="30">
        <f>$I$38*$V$38</f>
        <v>731556.51766105299</v>
      </c>
      <c r="X80" s="30">
        <f>$I$38*$X$38</f>
        <v>253017.85887705063</v>
      </c>
      <c r="Y80" s="30">
        <f>$I$38*$Y$38</f>
        <v>1608943.9667264931</v>
      </c>
      <c r="Z80" s="30">
        <f>$I$38*$Z$38</f>
        <v>0</v>
      </c>
      <c r="AA80" s="30">
        <f>$I$38*$AA$38</f>
        <v>0</v>
      </c>
      <c r="AB80" s="30">
        <f>$I$38*$AB$38</f>
        <v>0</v>
      </c>
      <c r="AC80" s="30">
        <f>$I$38*$AC$38</f>
        <v>23682364.825579267</v>
      </c>
      <c r="AD80" s="30">
        <f>$I$38*$AD$38</f>
        <v>527502.33263784368</v>
      </c>
      <c r="AE80" s="30">
        <f>$I$38*$AE$38</f>
        <v>397640.6508352987</v>
      </c>
      <c r="AF80" s="30">
        <f>$I$38*$AF$38</f>
        <v>0</v>
      </c>
      <c r="AG80" s="30">
        <f>$I$38*$AG$38</f>
        <v>0</v>
      </c>
      <c r="AH80" s="30">
        <f>$I$38*$AH$38</f>
        <v>627080.33510317362</v>
      </c>
    </row>
    <row r="81" spans="1:34" ht="11.25" customHeight="1" x14ac:dyDescent="0.25">
      <c r="A81" s="9" t="s">
        <v>37</v>
      </c>
      <c r="B81" s="9" t="s">
        <v>1238</v>
      </c>
      <c r="C81" s="9" t="s">
        <v>1239</v>
      </c>
      <c r="D81" s="9" t="s">
        <v>1240</v>
      </c>
      <c r="E81" s="9" t="s">
        <v>1241</v>
      </c>
      <c r="F81" s="9" t="s">
        <v>1242</v>
      </c>
      <c r="G81" s="9" t="s">
        <v>1243</v>
      </c>
      <c r="L81" s="30">
        <f>$I$39*$L$39</f>
        <v>0</v>
      </c>
      <c r="M81" s="30">
        <f>$I$39*$M$39</f>
        <v>0</v>
      </c>
      <c r="N81" s="30">
        <f>$I$39*$N$39</f>
        <v>0</v>
      </c>
      <c r="O81" s="30">
        <f>$I$39*$O$39</f>
        <v>0</v>
      </c>
      <c r="P81" s="30">
        <f>$I$39*$P$39</f>
        <v>0</v>
      </c>
      <c r="Q81" s="30">
        <f>$I$39*$Q$39</f>
        <v>0</v>
      </c>
      <c r="R81" s="30">
        <f>$I$39*$R$39</f>
        <v>0</v>
      </c>
      <c r="S81" s="30">
        <f>$I$39*$S$39</f>
        <v>0</v>
      </c>
      <c r="T81" s="30">
        <f>$I$39*$T$39</f>
        <v>0</v>
      </c>
      <c r="U81" s="30">
        <f>$I$39*$U$39</f>
        <v>0</v>
      </c>
      <c r="V81" s="30">
        <f>$I$39*$V$39</f>
        <v>0</v>
      </c>
      <c r="X81" s="30">
        <f>$I$39*$X$39</f>
        <v>0</v>
      </c>
      <c r="Y81" s="30">
        <f>$I$39*$Y$39</f>
        <v>0</v>
      </c>
      <c r="Z81" s="30">
        <f>$I$39*$Z$39</f>
        <v>0</v>
      </c>
      <c r="AA81" s="30">
        <f>$I$39*$AA$39</f>
        <v>0</v>
      </c>
      <c r="AB81" s="30">
        <f>$I$39*$AB$39</f>
        <v>0</v>
      </c>
      <c r="AC81" s="30">
        <f>$I$39*$AC$39</f>
        <v>0</v>
      </c>
      <c r="AD81" s="30">
        <f>$I$39*$AD$39</f>
        <v>0</v>
      </c>
      <c r="AE81" s="30">
        <f>$I$39*$AE$39</f>
        <v>0</v>
      </c>
      <c r="AF81" s="30">
        <f>$I$39*$AF$39</f>
        <v>0</v>
      </c>
      <c r="AG81" s="30">
        <f>$I$39*$AG$39</f>
        <v>0</v>
      </c>
      <c r="AH81" s="30">
        <f>$I$39*$AH$39</f>
        <v>0</v>
      </c>
    </row>
    <row r="82" spans="1:34" ht="11.25" customHeight="1" x14ac:dyDescent="0.25">
      <c r="A82" s="9" t="s">
        <v>46</v>
      </c>
      <c r="B82" s="9" t="s">
        <v>1244</v>
      </c>
      <c r="C82" s="9" t="s">
        <v>1245</v>
      </c>
      <c r="D82" s="9" t="s">
        <v>1246</v>
      </c>
      <c r="E82" s="9" t="s">
        <v>1247</v>
      </c>
      <c r="F82" s="9" t="s">
        <v>1248</v>
      </c>
      <c r="G82" s="9" t="s">
        <v>1249</v>
      </c>
      <c r="L82" s="30">
        <f>$I$40*$L$40</f>
        <v>33137.838415624632</v>
      </c>
      <c r="M82" s="30">
        <f>$I$40*$M$40</f>
        <v>359192.75750355457</v>
      </c>
      <c r="N82" s="30">
        <f>$I$40*$N$40</f>
        <v>0</v>
      </c>
      <c r="O82" s="30">
        <f>$I$40*$O$40</f>
        <v>119673.18178992513</v>
      </c>
      <c r="P82" s="30">
        <f>$I$40*$P$40</f>
        <v>-172718.79764892612</v>
      </c>
      <c r="Q82" s="30">
        <f>$I$40*$Q$40</f>
        <v>2860825.9948357609</v>
      </c>
      <c r="R82" s="30">
        <f>$I$40*$R$40</f>
        <v>89427.922936998642</v>
      </c>
      <c r="S82" s="30">
        <f>$I$40*$S$40</f>
        <v>55255.264049722078</v>
      </c>
      <c r="T82" s="30">
        <f>$I$40*$T$40</f>
        <v>0</v>
      </c>
      <c r="U82" s="30">
        <f>$I$40*$U$40</f>
        <v>-93513.535451217234</v>
      </c>
      <c r="V82" s="30">
        <f>$I$40*$V$40</f>
        <v>88075.137110362833</v>
      </c>
      <c r="X82" s="30">
        <f>$I$40*$X$40</f>
        <v>30461.874201073791</v>
      </c>
      <c r="Y82" s="30">
        <f>$I$40*$Y$40</f>
        <v>193707.46764091172</v>
      </c>
      <c r="Z82" s="30">
        <f>$I$40*$Z$40</f>
        <v>0</v>
      </c>
      <c r="AA82" s="30">
        <f>$I$40*$AA$40</f>
        <v>0</v>
      </c>
      <c r="AB82" s="30">
        <f>$I$40*$AB$40</f>
        <v>0</v>
      </c>
      <c r="AC82" s="30">
        <f>$I$40*$AC$40</f>
        <v>2851218.5712996861</v>
      </c>
      <c r="AD82" s="30">
        <f>$I$40*$AD$40</f>
        <v>63508.203606273113</v>
      </c>
      <c r="AE82" s="30">
        <f>$I$40*$AE$40</f>
        <v>47873.6146797607</v>
      </c>
      <c r="AF82" s="30">
        <f>$I$40*$AF$40</f>
        <v>0</v>
      </c>
      <c r="AG82" s="30">
        <f>$I$40*$AG$40</f>
        <v>0</v>
      </c>
      <c r="AH82" s="30">
        <f>$I$40*$AH$40</f>
        <v>75496.814203784699</v>
      </c>
    </row>
    <row r="83" spans="1:34" ht="11.25" customHeight="1" x14ac:dyDescent="0.25">
      <c r="A83" s="9" t="s">
        <v>46</v>
      </c>
      <c r="B83" s="9" t="s">
        <v>1244</v>
      </c>
      <c r="C83" s="9" t="s">
        <v>1245</v>
      </c>
      <c r="D83" s="9" t="s">
        <v>1250</v>
      </c>
      <c r="E83" s="9" t="s">
        <v>1251</v>
      </c>
      <c r="F83" s="9" t="s">
        <v>1252</v>
      </c>
      <c r="G83" s="9" t="s">
        <v>1253</v>
      </c>
      <c r="L83" s="30">
        <f>$I$41*$L$41</f>
        <v>0</v>
      </c>
      <c r="M83" s="30">
        <f>$I$41*$M$41</f>
        <v>0</v>
      </c>
      <c r="N83" s="30">
        <f>$I$41*$N$41</f>
        <v>0</v>
      </c>
      <c r="O83" s="30">
        <f>$I$41*$O$41</f>
        <v>0</v>
      </c>
      <c r="P83" s="30">
        <f>$I$41*$P$41</f>
        <v>0</v>
      </c>
      <c r="Q83" s="30">
        <f>$I$41*$Q$41</f>
        <v>0</v>
      </c>
      <c r="R83" s="30">
        <f>$I$41*$R$41</f>
        <v>0</v>
      </c>
      <c r="S83" s="30">
        <f>$I$41*$S$41</f>
        <v>0</v>
      </c>
      <c r="T83" s="30">
        <f>$I$41*$T$41</f>
        <v>0</v>
      </c>
      <c r="U83" s="30">
        <f>$I$41*$U$41</f>
        <v>0</v>
      </c>
      <c r="V83" s="30">
        <f>$I$41*$V$41</f>
        <v>0</v>
      </c>
      <c r="X83" s="30">
        <f>$I$41*$X$41</f>
        <v>0</v>
      </c>
      <c r="Y83" s="30">
        <f>$I$41*$Y$41</f>
        <v>0</v>
      </c>
      <c r="Z83" s="30">
        <f>$I$41*$Z$41</f>
        <v>0</v>
      </c>
      <c r="AA83" s="30">
        <f>$I$41*$AA$41</f>
        <v>0</v>
      </c>
      <c r="AB83" s="30">
        <f>$I$41*$AB$41</f>
        <v>0</v>
      </c>
      <c r="AC83" s="30">
        <f>$I$41*$AC$41</f>
        <v>0</v>
      </c>
      <c r="AD83" s="30">
        <f>$I$41*$AD$41</f>
        <v>0</v>
      </c>
      <c r="AE83" s="30">
        <f>$I$41*$AE$41</f>
        <v>0</v>
      </c>
      <c r="AF83" s="30">
        <f>$I$41*$AF$41</f>
        <v>0</v>
      </c>
      <c r="AG83" s="30">
        <f>$I$41*$AG$41</f>
        <v>0</v>
      </c>
      <c r="AH83" s="30">
        <f>$I$41*$AH$41</f>
        <v>0</v>
      </c>
    </row>
  </sheetData>
  <mergeCells count="69">
    <mergeCell ref="L43:V43"/>
    <mergeCell ref="X43:AH43"/>
    <mergeCell ref="L44:V44"/>
    <mergeCell ref="X44:AH44"/>
    <mergeCell ref="L45:P45"/>
    <mergeCell ref="R45:T45"/>
    <mergeCell ref="X45:AB45"/>
    <mergeCell ref="AD45:AF45"/>
    <mergeCell ref="E35:E37"/>
    <mergeCell ref="F35:F37"/>
    <mergeCell ref="A40:A41"/>
    <mergeCell ref="B40:B41"/>
    <mergeCell ref="C40:C41"/>
    <mergeCell ref="A35:A39"/>
    <mergeCell ref="B35:B37"/>
    <mergeCell ref="C35:C37"/>
    <mergeCell ref="D35:D37"/>
    <mergeCell ref="X1:AH1"/>
    <mergeCell ref="X2:AH2"/>
    <mergeCell ref="X3:AB3"/>
    <mergeCell ref="AD3:AF3"/>
    <mergeCell ref="B32:B34"/>
    <mergeCell ref="C32:C34"/>
    <mergeCell ref="F24:F26"/>
    <mergeCell ref="B28:B30"/>
    <mergeCell ref="C28:C30"/>
    <mergeCell ref="D28:D30"/>
    <mergeCell ref="E28:E30"/>
    <mergeCell ref="F28:F30"/>
    <mergeCell ref="F20:F22"/>
    <mergeCell ref="F7:F9"/>
    <mergeCell ref="F5:F6"/>
    <mergeCell ref="G1:G4"/>
    <mergeCell ref="A20:A34"/>
    <mergeCell ref="B20:B22"/>
    <mergeCell ref="C20:C22"/>
    <mergeCell ref="D20:D22"/>
    <mergeCell ref="E20:E22"/>
    <mergeCell ref="B24:B26"/>
    <mergeCell ref="C24:C26"/>
    <mergeCell ref="D24:D26"/>
    <mergeCell ref="E24:E26"/>
    <mergeCell ref="A7:A19"/>
    <mergeCell ref="B7:B9"/>
    <mergeCell ref="C7:C9"/>
    <mergeCell ref="D7:D9"/>
    <mergeCell ref="E7:E9"/>
    <mergeCell ref="B10:B14"/>
    <mergeCell ref="C10:C14"/>
    <mergeCell ref="B15:B19"/>
    <mergeCell ref="C15:C19"/>
    <mergeCell ref="A5:A6"/>
    <mergeCell ref="B5:B6"/>
    <mergeCell ref="C5:C6"/>
    <mergeCell ref="D5:D6"/>
    <mergeCell ref="E5:E6"/>
    <mergeCell ref="H1:H4"/>
    <mergeCell ref="I1:I4"/>
    <mergeCell ref="J1:J4"/>
    <mergeCell ref="L1:V1"/>
    <mergeCell ref="L2:V2"/>
    <mergeCell ref="L3:P3"/>
    <mergeCell ref="R3:T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95257-B7F8-4AEB-ACEB-CC750F9D5569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2.42578125" style="16" bestFit="1" customWidth="1"/>
    <col min="3" max="6" width="10.28515625" style="16" bestFit="1" customWidth="1"/>
    <col min="7" max="8" width="10.85546875" style="16" bestFit="1" customWidth="1"/>
    <col min="9" max="9" width="8" style="16" bestFit="1" customWidth="1"/>
    <col min="10" max="10" width="10.85546875" style="16" bestFit="1" customWidth="1"/>
    <col min="11" max="11" width="10" style="16" bestFit="1" customWidth="1"/>
    <col min="12" max="12" width="9.5703125" style="16" bestFit="1" customWidth="1"/>
    <col min="13" max="13" width="9.7109375" style="16" bestFit="1" customWidth="1"/>
    <col min="14" max="14" width="10.85546875" style="16" bestFit="1" customWidth="1"/>
    <col min="15" max="15" width="7.42578125" style="16" bestFit="1" customWidth="1"/>
    <col min="16" max="16" width="9.7109375" style="16" bestFit="1" customWidth="1"/>
    <col min="17" max="17" width="11" style="16" bestFit="1" customWidth="1"/>
    <col min="18" max="18" width="7.7109375" style="16" bestFit="1" customWidth="1"/>
    <col min="19" max="19" width="7.140625" style="16" bestFit="1" customWidth="1"/>
    <col min="20" max="20" width="14.5703125" style="16" bestFit="1" customWidth="1"/>
    <col min="21" max="21" width="17.7109375" style="16" bestFit="1" customWidth="1"/>
    <col min="22" max="22" width="18.42578125" style="16" bestFit="1" customWidth="1"/>
    <col min="23" max="23" width="8.7109375" style="16" bestFit="1" customWidth="1"/>
    <col min="24" max="24" width="11.7109375" style="16" bestFit="1" customWidth="1"/>
    <col min="25" max="26" width="9.140625" style="16"/>
    <col min="27" max="27" width="3" style="16" bestFit="1" customWidth="1"/>
    <col min="28" max="28" width="21.57031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70</v>
      </c>
      <c r="B1" s="16" t="s">
        <v>71</v>
      </c>
      <c r="C1" s="16" t="s">
        <v>72</v>
      </c>
      <c r="D1" s="16" t="s">
        <v>73</v>
      </c>
      <c r="E1" s="16" t="s">
        <v>74</v>
      </c>
      <c r="F1" s="16" t="s">
        <v>15</v>
      </c>
      <c r="G1" s="16" t="s">
        <v>76</v>
      </c>
      <c r="I1" s="16" t="s">
        <v>1261</v>
      </c>
      <c r="AA1" s="16" t="s">
        <v>39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39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6" t="s">
        <v>88</v>
      </c>
      <c r="AB2" s="16" t="s">
        <v>42</v>
      </c>
      <c r="AC2" s="16" t="s">
        <v>24</v>
      </c>
      <c r="AD2" s="16" t="s">
        <v>24</v>
      </c>
      <c r="AE2" s="16" t="s">
        <v>87</v>
      </c>
      <c r="AG2" s="16" t="s">
        <v>84</v>
      </c>
    </row>
    <row r="3" spans="1:33" x14ac:dyDescent="0.2">
      <c r="AA3" s="16" t="s">
        <v>22</v>
      </c>
      <c r="AB3" s="16" t="s">
        <v>59</v>
      </c>
      <c r="AC3" s="16" t="s">
        <v>44</v>
      </c>
      <c r="AD3" s="16" t="s">
        <v>29</v>
      </c>
      <c r="AE3" s="16" t="s">
        <v>89</v>
      </c>
      <c r="AG3" s="16" t="s">
        <v>85</v>
      </c>
    </row>
    <row r="4" spans="1:33" x14ac:dyDescent="0.2">
      <c r="AA4" s="16" t="s">
        <v>43</v>
      </c>
      <c r="AB4" s="16" t="s">
        <v>40</v>
      </c>
      <c r="AC4" s="16" t="s">
        <v>47</v>
      </c>
      <c r="AD4" s="16" t="s">
        <v>30</v>
      </c>
      <c r="AE4" s="16" t="s">
        <v>90</v>
      </c>
      <c r="AG4" s="16" t="s">
        <v>86</v>
      </c>
    </row>
    <row r="5" spans="1:33" x14ac:dyDescent="0.2">
      <c r="A5" s="16" t="s">
        <v>1254</v>
      </c>
      <c r="B5" s="16" t="str">
        <f>TUSD!$AI$4</f>
        <v>CDE Covid TUSD</v>
      </c>
      <c r="C5" s="16" t="str">
        <f>TUSD!$AJ$4</f>
        <v>TFSEE</v>
      </c>
      <c r="D5" s="16" t="str">
        <f>TUSD!$AK$4</f>
        <v>P&amp;D</v>
      </c>
      <c r="E5" s="16" t="str">
        <f>TUSD!$AL$4</f>
        <v>ONS</v>
      </c>
      <c r="F5" s="16" t="str">
        <f>TUSD!$AM$4</f>
        <v>CCC</v>
      </c>
      <c r="G5" s="16" t="str">
        <f>TUSD!$AN$4</f>
        <v>CDE</v>
      </c>
      <c r="H5" s="16" t="str">
        <f>TUSD!$AO$4</f>
        <v>PROINFA</v>
      </c>
      <c r="I5" s="16" t="str">
        <f>TUSD!$AP$4</f>
        <v>LIMINAR 1</v>
      </c>
      <c r="J5" s="16" t="str">
        <f>TUSD!$AQ$4</f>
        <v>TUSD RB</v>
      </c>
      <c r="K5" s="16" t="str">
        <f>TUSD!$AR$4</f>
        <v>TUSD FR</v>
      </c>
      <c r="L5" s="16" t="str">
        <f>TUSD!$AS$4</f>
        <v>CONEXAO T</v>
      </c>
      <c r="M5" s="16" t="str">
        <f>TUSD!$AT$4</f>
        <v>CONEXAO D</v>
      </c>
      <c r="N5" s="16" t="str">
        <f>TUSD!$AU$4</f>
        <v>CUSD</v>
      </c>
      <c r="O5" s="16" t="str">
        <f>TUSD!$AV$4</f>
        <v>TUSDG-T</v>
      </c>
      <c r="P5" s="16" t="str">
        <f>TUSD!$AW$4</f>
        <v>TUSDG-ONS</v>
      </c>
      <c r="Q5" s="16" t="str">
        <f>TUSD!$AX$4</f>
        <v>DISTRIBUICAO</v>
      </c>
      <c r="R5" s="16" t="str">
        <f>TUSD!$AY$4</f>
        <v>SUBSIDIO</v>
      </c>
      <c r="S5" s="16" t="str">
        <f>TUSD!$AZ$4</f>
        <v>OUTROS</v>
      </c>
      <c r="T5" s="16" t="str">
        <f>TUSD!$BA$4</f>
        <v>PERDAS TECNICAS</v>
      </c>
      <c r="U5" s="16" t="str">
        <f>TUSD!$BB$4</f>
        <v>PERDAS RB/ PERDAS D</v>
      </c>
      <c r="V5" s="16" t="str">
        <f>TUSD!$BC$4</f>
        <v>PERDAS NAO TECNICAS</v>
      </c>
      <c r="W5" s="16" t="str">
        <f>TUSD!$BD$4</f>
        <v>RI</v>
      </c>
      <c r="X5" s="16" t="s">
        <v>682</v>
      </c>
      <c r="AA5" s="16" t="s">
        <v>37</v>
      </c>
      <c r="AB5" s="16" t="s">
        <v>33</v>
      </c>
      <c r="AD5" s="16" t="s">
        <v>31</v>
      </c>
      <c r="AG5" s="16" t="s">
        <v>9</v>
      </c>
    </row>
    <row r="6" spans="1:33" x14ac:dyDescent="0.2">
      <c r="A6" s="16" t="s">
        <v>1255</v>
      </c>
      <c r="B6" s="57">
        <f>SUM(TUSD!$AI$57:'TUSD'!$AI$103)</f>
        <v>3224398.2000079756</v>
      </c>
      <c r="C6" s="57">
        <f>SUM(TUSD!$AJ$57:'TUSD'!$AJ$103)</f>
        <v>302422.3898921106</v>
      </c>
      <c r="D6" s="57">
        <f>SUM(TUSD!$AK$57:'TUSD'!$AK$103)</f>
        <v>1397573.1839784379</v>
      </c>
      <c r="E6" s="57">
        <f>SUM(TUSD!$AL$57:'TUSD'!$AL$103)</f>
        <v>0</v>
      </c>
      <c r="F6" s="57">
        <f>SUM(TUSD!$AM$57:'TUSD'!$AM$103)</f>
        <v>0</v>
      </c>
      <c r="G6" s="57">
        <f>SUM(TUSD!$AN$57:'TUSD'!$AN$103)</f>
        <v>24965686.751013167</v>
      </c>
      <c r="H6" s="57">
        <f>SUM(TUSD!$AO$57:'TUSD'!$AO$103)</f>
        <v>4532662.820188012</v>
      </c>
      <c r="I6" s="57">
        <f>SUM(TUSD!$AP$57:'TUSD'!$AP$103)</f>
        <v>0</v>
      </c>
      <c r="J6" s="57">
        <f>SUM(TUSD!$AQ$57:'TUSD'!$AQ$103)</f>
        <v>10787879.662829427</v>
      </c>
      <c r="K6" s="57">
        <f>SUM(TUSD!$AR$57:'TUSD'!$AR$103)</f>
        <v>1647740.4697615597</v>
      </c>
      <c r="L6" s="57">
        <f>SUM(TUSD!$AS$57:'TUSD'!$AS$103)</f>
        <v>429528.15770163067</v>
      </c>
      <c r="M6" s="57">
        <f>SUM(TUSD!$AT$57:'TUSD'!$AT$103)</f>
        <v>0</v>
      </c>
      <c r="N6" s="57">
        <f>SUM(TUSD!$AU$57:'TUSD'!$AU$103)</f>
        <v>17871404.78838443</v>
      </c>
      <c r="O6" s="57">
        <f>SUM(TUSD!$AV$57:'TUSD'!$AV$103)</f>
        <v>0</v>
      </c>
      <c r="P6" s="57">
        <f>SUM(TUSD!$AW$57:'TUSD'!$AW$103)</f>
        <v>0</v>
      </c>
      <c r="Q6" s="57">
        <f>SUM(TUSD!$AX$57:'TUSD'!$AX$103)</f>
        <v>82129973.121214956</v>
      </c>
      <c r="R6" s="57">
        <f>SUM(TUSD!$AY$57:'TUSD'!$AY$103)</f>
        <v>0</v>
      </c>
      <c r="S6" s="57">
        <f>SUM(TUSD!$AZ$57:'TUSD'!$AZ$103)</f>
        <v>0</v>
      </c>
      <c r="T6" s="57">
        <f>SUM(TUSD!$BA$57:'TUSD'!$BA$103)</f>
        <v>10969152.403498346</v>
      </c>
      <c r="U6" s="57">
        <f>SUM(TUSD!$BB$57:'TUSD'!$BB$103)</f>
        <v>379215.81498137343</v>
      </c>
      <c r="V6" s="57">
        <f>SUM(TUSD!$BC$57:'TUSD'!$BC$103)</f>
        <v>3327946.6307115555</v>
      </c>
      <c r="W6" s="57">
        <f>SUM(TUSD!$BD$57:'TUSD'!$BD$103)</f>
        <v>186427.92487084522</v>
      </c>
      <c r="X6" s="57">
        <f t="shared" ref="X6:X11" si="0">SUM(B6:W6)</f>
        <v>162152012.31903383</v>
      </c>
      <c r="AA6" s="16" t="s">
        <v>46</v>
      </c>
      <c r="AB6" s="16" t="s">
        <v>23</v>
      </c>
      <c r="AD6" s="16" t="s">
        <v>32</v>
      </c>
      <c r="AG6" s="16" t="s">
        <v>81</v>
      </c>
    </row>
    <row r="7" spans="1:33" x14ac:dyDescent="0.2">
      <c r="A7" s="16" t="s">
        <v>1256</v>
      </c>
      <c r="B7" s="57">
        <f>SUM(TUSD!$L$57:'TUSD'!$L$103)</f>
        <v>3689641.344704743</v>
      </c>
      <c r="C7" s="57">
        <f>SUM(TUSD!$M$57:'TUSD'!$M$103)</f>
        <v>373383.80013234314</v>
      </c>
      <c r="D7" s="57">
        <f ca="1">SUM(TUSD!$N$57:'TUSD'!$N$103)</f>
        <v>1554329.8751700171</v>
      </c>
      <c r="E7" s="57">
        <f>SUM(TUSD!$O$57:'TUSD'!$O$103)</f>
        <v>0</v>
      </c>
      <c r="F7" s="57">
        <f>SUM(TUSD!$P$57:'TUSD'!$P$103)</f>
        <v>0</v>
      </c>
      <c r="G7" s="57">
        <f>SUM(TUSD!$Q$57:'TUSD'!$Q$103)</f>
        <v>62775061.081146419</v>
      </c>
      <c r="H7" s="57">
        <f>SUM(TUSD!$R$57:'TUSD'!$R$103)</f>
        <v>10839416.78516853</v>
      </c>
      <c r="I7" s="57">
        <f>SUM(TUSD!$S$57:'TUSD'!$S$103)</f>
        <v>0</v>
      </c>
      <c r="J7" s="57">
        <f>SUM(TUSD!$T$57:'TUSD'!$T$103)</f>
        <v>14489396.194871733</v>
      </c>
      <c r="K7" s="57">
        <f>SUM(TUSD!$U$57:'TUSD'!$U$103)</f>
        <v>1908133.4968878704</v>
      </c>
      <c r="L7" s="57">
        <f>SUM(TUSD!$V$57:'TUSD'!$V$103)</f>
        <v>581554.84043853462</v>
      </c>
      <c r="M7" s="57">
        <f>SUM(TUSD!$W$57:'TUSD'!$W$103)</f>
        <v>0</v>
      </c>
      <c r="N7" s="57">
        <f>SUM(TUSD!$X$57:'TUSD'!$X$103)</f>
        <v>22161846.495234866</v>
      </c>
      <c r="O7" s="57">
        <f>SUM(TUSD!$Y$57:'TUSD'!$Y$103)</f>
        <v>0</v>
      </c>
      <c r="P7" s="57">
        <f>SUM(TUSD!$Z$57:'TUSD'!$Z$103)</f>
        <v>0</v>
      </c>
      <c r="Q7" s="57">
        <f>SUM(TUSD!$AA$57:'TUSD'!$AA$103)</f>
        <v>91713153.450365543</v>
      </c>
      <c r="R7" s="57">
        <f ca="1">SUM(TUSD!$AB$57:'TUSD'!$AB$103)</f>
        <v>-6130402.7604299551</v>
      </c>
      <c r="S7" s="57">
        <f ca="1">SUM(TUSD!$AC$57:'TUSD'!$AC$103)</f>
        <v>0</v>
      </c>
      <c r="T7" s="57">
        <f>SUM(TUSD!$AD$57:'TUSD'!$AD$103)</f>
        <v>15182139.705347456</v>
      </c>
      <c r="U7" s="57">
        <f>SUM(TUSD!$AE$57:'TUSD'!$AE$103)</f>
        <v>535483.19336120854</v>
      </c>
      <c r="V7" s="57">
        <f ca="1">SUM(TUSD!$AF$57:'TUSD'!$AF$103)</f>
        <v>2171426.7452153298</v>
      </c>
      <c r="W7" s="57">
        <f ca="1">SUM(TUSD!$AG$57:'TUSD'!$AG$103)</f>
        <v>260121.71466364758</v>
      </c>
      <c r="X7" s="57">
        <f t="shared" ca="1" si="0"/>
        <v>222104685.96227831</v>
      </c>
      <c r="AB7" s="16" t="s">
        <v>94</v>
      </c>
      <c r="AD7" s="16" t="s">
        <v>95</v>
      </c>
      <c r="AG7" s="16" t="s">
        <v>82</v>
      </c>
    </row>
    <row r="8" spans="1:33" x14ac:dyDescent="0.2">
      <c r="A8" s="16" t="s">
        <v>1259</v>
      </c>
      <c r="B8" s="57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780429.8873885487</v>
      </c>
      <c r="C8" s="57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57537.212743603108</v>
      </c>
      <c r="D8" s="57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218007.33203809618</v>
      </c>
      <c r="E8" s="57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57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57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6042668.0859773438</v>
      </c>
      <c r="H8" s="57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1216997.6439322084</v>
      </c>
      <c r="I8" s="57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57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2234517.6011646083</v>
      </c>
      <c r="K8" s="57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340268.68405376596</v>
      </c>
      <c r="L8" s="57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88866.233692793874</v>
      </c>
      <c r="M8" s="57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57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4232240.4115114575</v>
      </c>
      <c r="O8" s="57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57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57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15638407.866561495</v>
      </c>
      <c r="R8" s="57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0</v>
      </c>
      <c r="S8" s="57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57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1738188.3150280742</v>
      </c>
      <c r="U8" s="57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60088.311584956697</v>
      </c>
      <c r="V8" s="57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696671.84204725944</v>
      </c>
      <c r="W8" s="57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39026.793467853844</v>
      </c>
      <c r="X8" s="57">
        <f t="shared" si="0"/>
        <v>33383916.221192066</v>
      </c>
      <c r="AD8" s="16" t="s">
        <v>55</v>
      </c>
      <c r="AG8" s="16" t="s">
        <v>91</v>
      </c>
    </row>
    <row r="9" spans="1:33" x14ac:dyDescent="0.2">
      <c r="A9" s="16" t="s">
        <v>1260</v>
      </c>
      <c r="B9" s="57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850899.68534103129</v>
      </c>
      <c r="C9" s="57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69482.836650944329</v>
      </c>
      <c r="D9" s="57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236893.96660511123</v>
      </c>
      <c r="E9" s="57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57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57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14477092.684867986</v>
      </c>
      <c r="H9" s="57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2850693.7832822553</v>
      </c>
      <c r="I9" s="57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57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2936994.4340247167</v>
      </c>
      <c r="K9" s="57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385602.41031502408</v>
      </c>
      <c r="L9" s="57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117743.82768760875</v>
      </c>
      <c r="M9" s="57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57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5140091.1993059907</v>
      </c>
      <c r="O9" s="57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57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57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17081722.535522703</v>
      </c>
      <c r="R9" s="57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-1250762.5961652154</v>
      </c>
      <c r="S9" s="57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57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2351222.4662315743</v>
      </c>
      <c r="U9" s="57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82925.156952883044</v>
      </c>
      <c r="V9" s="57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449762.61543692881</v>
      </c>
      <c r="W9" s="57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53878.411038664373</v>
      </c>
      <c r="X9" s="57">
        <f t="shared" ca="1" si="0"/>
        <v>45834243.417098202</v>
      </c>
      <c r="AD9" s="16" t="s">
        <v>48</v>
      </c>
    </row>
    <row r="10" spans="1:33" x14ac:dyDescent="0.2">
      <c r="A10" s="16" t="s">
        <v>1257</v>
      </c>
      <c r="B10" s="57">
        <f>SUMIF(TUSD!$A$57:'TUSD'!$A$103,$A$2,TUSD!$AI$57:'TUSD'!$AI$103)</f>
        <v>780429.8873885487</v>
      </c>
      <c r="C10" s="57">
        <f>SUMIF(TUSD!$A$57:'TUSD'!$A$103,$A$2,TUSD!$AJ$57:'TUSD'!$AJ$103)</f>
        <v>57537.212743603108</v>
      </c>
      <c r="D10" s="57">
        <f>SUMIF(TUSD!$A$57:'TUSD'!$A$103,$A$2,TUSD!$AK$57:'TUSD'!$AK$103)</f>
        <v>218007.33203809618</v>
      </c>
      <c r="E10" s="57">
        <f>SUMIF(TUSD!$A$57:'TUSD'!$A$103,$A$2,TUSD!$AL$57:'TUSD'!$AL$103)</f>
        <v>0</v>
      </c>
      <c r="F10" s="57">
        <f>SUMIF(TUSD!$A$57:'TUSD'!$A$103,$A$2,TUSD!$AM$57:'TUSD'!$AM$103)</f>
        <v>0</v>
      </c>
      <c r="G10" s="57">
        <f>SUMIF(TUSD!$A$57:'TUSD'!$A$103,$A$2,TUSD!$AN$57:'TUSD'!$AN$103)</f>
        <v>6042668.0859773438</v>
      </c>
      <c r="H10" s="57">
        <f>SUMIF(TUSD!$A$57:'TUSD'!$A$103,$A$2,TUSD!$AO$57:'TUSD'!$AO$103)</f>
        <v>1216997.6439322084</v>
      </c>
      <c r="I10" s="57">
        <f>SUMIF(TUSD!$A$57:'TUSD'!$A$103,$A$2,TUSD!$AP$57:'TUSD'!$AP$103)</f>
        <v>0</v>
      </c>
      <c r="J10" s="57">
        <f>SUMIF(TUSD!$A$57:'TUSD'!$A$103,$A$2,TUSD!$AQ$57:'TUSD'!$AQ$103)</f>
        <v>2234517.6011646083</v>
      </c>
      <c r="K10" s="57">
        <f>SUMIF(TUSD!$A$57:'TUSD'!$A$103,$A$2,TUSD!$AR$57:'TUSD'!$AR$103)</f>
        <v>340268.68405376596</v>
      </c>
      <c r="L10" s="57">
        <f>SUMIF(TUSD!$A$57:'TUSD'!$A$103,$A$2,TUSD!$AS$57:'TUSD'!$AS$103)</f>
        <v>88866.233692793874</v>
      </c>
      <c r="M10" s="57">
        <f>SUMIF(TUSD!$A$57:'TUSD'!$A$103,$A$2,TUSD!$AT$57:'TUSD'!$AT$103)</f>
        <v>0</v>
      </c>
      <c r="N10" s="57">
        <f>SUMIF(TUSD!$A$57:'TUSD'!$A$103,$A$2,TUSD!$AU$57:'TUSD'!$AU$103)</f>
        <v>4232240.4115114575</v>
      </c>
      <c r="O10" s="57">
        <f>SUMIF(TUSD!$A$57:'TUSD'!$A$103,$A$2,TUSD!$AV$57:'TUSD'!$AV$103)</f>
        <v>0</v>
      </c>
      <c r="P10" s="57">
        <f>SUMIF(TUSD!$A$57:'TUSD'!$A$103,$A$2,TUSD!$AW$57:'TUSD'!$AW$103)</f>
        <v>0</v>
      </c>
      <c r="Q10" s="57">
        <f>SUMIF(TUSD!$A$57:'TUSD'!$A$103,$A$2,TUSD!$AX$57:'TUSD'!$AX$103)</f>
        <v>15638407.866561495</v>
      </c>
      <c r="R10" s="57">
        <f>SUMIF(TUSD!$A$57:'TUSD'!$A$103,$A$2,TUSD!$AY$57:'TUSD'!$AY$103)</f>
        <v>0</v>
      </c>
      <c r="S10" s="57">
        <f>SUMIF(TUSD!$A$57:'TUSD'!$A$103,$A$2,TUSD!$AZ$57:'TUSD'!$AZ$103)</f>
        <v>0</v>
      </c>
      <c r="T10" s="57">
        <f>SUMIF(TUSD!$A$57:'TUSD'!$A$103,$A$2,TUSD!$BA$57:'TUSD'!$BA$103)</f>
        <v>1738188.3150280742</v>
      </c>
      <c r="U10" s="57">
        <f>SUMIF(TUSD!$A$57:'TUSD'!$A$103,$A$2,TUSD!$BB$57:'TUSD'!$BB$103)</f>
        <v>60088.311584956697</v>
      </c>
      <c r="V10" s="57">
        <f>SUMIF(TUSD!$A$57:'TUSD'!$A$103,$A$2,TUSD!$BC$57:'TUSD'!$BC$103)</f>
        <v>696671.84204725944</v>
      </c>
      <c r="W10" s="57">
        <f>SUMIF(TUSD!$A$57:'TUSD'!$A$103,$A$2,TUSD!$BD$57:'TUSD'!$BD$103)</f>
        <v>39026.793467853844</v>
      </c>
      <c r="X10" s="57">
        <f t="shared" si="0"/>
        <v>33383916.221192066</v>
      </c>
      <c r="AD10" s="16" t="s">
        <v>96</v>
      </c>
    </row>
    <row r="11" spans="1:33" x14ac:dyDescent="0.2">
      <c r="A11" s="16" t="s">
        <v>1258</v>
      </c>
      <c r="B11" s="57">
        <f>SUMIF(TUSD!$A$57:'TUSD'!$A$103,$A$2,TUSD!$L$57:'TUSD'!$L$103)</f>
        <v>850899.68534103129</v>
      </c>
      <c r="C11" s="57">
        <f>SUMIF(TUSD!$A$57:'TUSD'!$A$103,$A$2,TUSD!$M$57:'TUSD'!$M$103)</f>
        <v>69482.836650944329</v>
      </c>
      <c r="D11" s="57">
        <f ca="1">SUMIF(TUSD!$A$57:'TUSD'!$A$103,$A$2,TUSD!$N$57:'TUSD'!$N$103)</f>
        <v>236893.96660511123</v>
      </c>
      <c r="E11" s="57">
        <f>SUMIF(TUSD!$A$57:'TUSD'!$A$103,$A$2,TUSD!$O$57:'TUSD'!$O$103)</f>
        <v>0</v>
      </c>
      <c r="F11" s="57">
        <f>SUMIF(TUSD!$A$57:'TUSD'!$A$103,$A$2,TUSD!$P$57:'TUSD'!$P$103)</f>
        <v>0</v>
      </c>
      <c r="G11" s="57">
        <f>SUMIF(TUSD!$A$57:'TUSD'!$A$103,$A$2,TUSD!$Q$57:'TUSD'!$Q$103)</f>
        <v>14477092.684867986</v>
      </c>
      <c r="H11" s="57">
        <f>SUMIF(TUSD!$A$57:'TUSD'!$A$103,$A$2,TUSD!$R$57:'TUSD'!$R$103)</f>
        <v>2850693.7832822553</v>
      </c>
      <c r="I11" s="57">
        <f>SUMIF(TUSD!$A$57:'TUSD'!$A$103,$A$2,TUSD!$S$57:'TUSD'!$S$103)</f>
        <v>0</v>
      </c>
      <c r="J11" s="57">
        <f>SUMIF(TUSD!$A$57:'TUSD'!$A$103,$A$2,TUSD!$T$57:'TUSD'!$T$103)</f>
        <v>2936994.4340247167</v>
      </c>
      <c r="K11" s="57">
        <f>SUMIF(TUSD!$A$57:'TUSD'!$A$103,$A$2,TUSD!$U$57:'TUSD'!$U$103)</f>
        <v>385602.41031502408</v>
      </c>
      <c r="L11" s="57">
        <f>SUMIF(TUSD!$A$57:'TUSD'!$A$103,$A$2,TUSD!$V$57:'TUSD'!$V$103)</f>
        <v>117743.82768760875</v>
      </c>
      <c r="M11" s="57">
        <f>SUMIF(TUSD!$A$57:'TUSD'!$A$103,$A$2,TUSD!$W$57:'TUSD'!$W$103)</f>
        <v>0</v>
      </c>
      <c r="N11" s="57">
        <f>SUMIF(TUSD!$A$57:'TUSD'!$A$103,$A$2,TUSD!$X$57:'TUSD'!$X$103)</f>
        <v>5140091.1993059907</v>
      </c>
      <c r="O11" s="57">
        <f>SUMIF(TUSD!$A$57:'TUSD'!$A$103,$A$2,TUSD!$Y$57:'TUSD'!$Y$103)</f>
        <v>0</v>
      </c>
      <c r="P11" s="57">
        <f>SUMIF(TUSD!$A$57:'TUSD'!$A$103,$A$2,TUSD!$Z$57:'TUSD'!$Z$103)</f>
        <v>0</v>
      </c>
      <c r="Q11" s="57">
        <f>SUMIF(TUSD!$A$57:'TUSD'!$A$103,$A$2,TUSD!$AA$57:'TUSD'!$AA$103)</f>
        <v>17081722.535522703</v>
      </c>
      <c r="R11" s="57">
        <f ca="1">SUMIF(TUSD!$A$57:'TUSD'!$A$103,$A$2,TUSD!$AB$57:'TUSD'!$AB$103)</f>
        <v>-1250762.5961652154</v>
      </c>
      <c r="S11" s="57">
        <f ca="1">SUMIF(TUSD!$A$57:'TUSD'!$A$103,$A$2,TUSD!$AC$57:'TUSD'!$AC$103)</f>
        <v>0</v>
      </c>
      <c r="T11" s="57">
        <f>SUMIF(TUSD!$A$57:'TUSD'!$A$103,$A$2,TUSD!$AD$57:'TUSD'!$AD$103)</f>
        <v>2351222.4662315743</v>
      </c>
      <c r="U11" s="57">
        <f>SUMIF(TUSD!$A$57:'TUSD'!$A$103,$A$2,TUSD!$AE$57:'TUSD'!$AE$103)</f>
        <v>82925.156952883044</v>
      </c>
      <c r="V11" s="57">
        <f ca="1">SUMIF(TUSD!$A$57:'TUSD'!$A$103,$A$2,TUSD!$AF$57:'TUSD'!$AF$103)</f>
        <v>449762.61543692881</v>
      </c>
      <c r="W11" s="57">
        <f ca="1">SUMIF(TUSD!$A$57:'TUSD'!$A$103,$A$2,TUSD!$AG$57:'TUSD'!$AG$103)</f>
        <v>53878.411038664373</v>
      </c>
      <c r="X11" s="57">
        <f t="shared" ca="1" si="0"/>
        <v>45834243.417098202</v>
      </c>
    </row>
    <row r="13" spans="1:33" x14ac:dyDescent="0.2">
      <c r="A13" s="16" t="s">
        <v>1262</v>
      </c>
      <c r="B13" s="84">
        <f t="shared" ref="B13:X13" si="1">IF($X$6&lt;&gt;0,(B$7-B$6)/$X$6,0)</f>
        <v>2.8691789762152458E-3</v>
      </c>
      <c r="C13" s="84">
        <f t="shared" si="1"/>
        <v>4.3762275426231572E-4</v>
      </c>
      <c r="D13" s="84">
        <f t="shared" ca="1" si="1"/>
        <v>9.6672677045265816E-4</v>
      </c>
      <c r="E13" s="84">
        <f t="shared" si="1"/>
        <v>0</v>
      </c>
      <c r="F13" s="84">
        <f t="shared" si="1"/>
        <v>0</v>
      </c>
      <c r="G13" s="84">
        <f t="shared" si="1"/>
        <v>0.2331724027929013</v>
      </c>
      <c r="H13" s="84">
        <f t="shared" si="1"/>
        <v>3.8894083858620206E-2</v>
      </c>
      <c r="I13" s="84">
        <f t="shared" si="1"/>
        <v>0</v>
      </c>
      <c r="J13" s="84">
        <f t="shared" si="1"/>
        <v>2.28274474001567E-2</v>
      </c>
      <c r="K13" s="84">
        <f t="shared" si="1"/>
        <v>1.6058575123569095E-3</v>
      </c>
      <c r="L13" s="84">
        <f t="shared" si="1"/>
        <v>9.3755655919823978E-4</v>
      </c>
      <c r="M13" s="84">
        <f t="shared" si="1"/>
        <v>0</v>
      </c>
      <c r="N13" s="84">
        <f t="shared" si="1"/>
        <v>2.6459379970006157E-2</v>
      </c>
      <c r="O13" s="84">
        <f t="shared" si="1"/>
        <v>0</v>
      </c>
      <c r="P13" s="84">
        <f t="shared" si="1"/>
        <v>0</v>
      </c>
      <c r="Q13" s="84">
        <f t="shared" si="1"/>
        <v>5.9099977805367562E-2</v>
      </c>
      <c r="R13" s="84">
        <f t="shared" ca="1" si="1"/>
        <v>-3.7806516692302262E-2</v>
      </c>
      <c r="S13" s="84">
        <f t="shared" ca="1" si="1"/>
        <v>0</v>
      </c>
      <c r="T13" s="84">
        <f t="shared" si="1"/>
        <v>2.5981714575086887E-2</v>
      </c>
      <c r="U13" s="84">
        <f t="shared" si="1"/>
        <v>9.637091525720895E-4</v>
      </c>
      <c r="V13" s="84">
        <f t="shared" ca="1" si="1"/>
        <v>-7.1323190440632624E-3</v>
      </c>
      <c r="W13" s="84">
        <f t="shared" ca="1" si="1"/>
        <v>4.5447348286871669E-4</v>
      </c>
      <c r="X13" s="84">
        <f t="shared" ca="1" si="1"/>
        <v>0.36973129587369957</v>
      </c>
    </row>
    <row r="14" spans="1:33" x14ac:dyDescent="0.2">
      <c r="A14" s="16" t="s">
        <v>1263</v>
      </c>
      <c r="B14" s="84">
        <f t="shared" ref="B14:X14" si="2">IF($X$10&lt;&gt;0,(B$9-B$8)/$X$10,0)</f>
        <v>2.1108906901626018E-3</v>
      </c>
      <c r="C14" s="84">
        <f t="shared" si="2"/>
        <v>3.5782572146997408E-4</v>
      </c>
      <c r="D14" s="84">
        <f t="shared" ca="1" si="2"/>
        <v>5.6574053331184186E-4</v>
      </c>
      <c r="E14" s="84">
        <f t="shared" si="2"/>
        <v>0</v>
      </c>
      <c r="F14" s="84">
        <f t="shared" si="2"/>
        <v>0</v>
      </c>
      <c r="G14" s="84">
        <f t="shared" si="2"/>
        <v>0.25264934596068989</v>
      </c>
      <c r="H14" s="84">
        <f t="shared" si="2"/>
        <v>4.8936623508328204E-2</v>
      </c>
      <c r="I14" s="84">
        <f t="shared" si="2"/>
        <v>0</v>
      </c>
      <c r="J14" s="84">
        <f t="shared" si="2"/>
        <v>2.1042373465284973E-2</v>
      </c>
      <c r="K14" s="84">
        <f t="shared" si="2"/>
        <v>1.3579511151684575E-3</v>
      </c>
      <c r="L14" s="84">
        <f t="shared" si="2"/>
        <v>8.6501517088290007E-4</v>
      </c>
      <c r="M14" s="84">
        <f t="shared" si="2"/>
        <v>0</v>
      </c>
      <c r="N14" s="84">
        <f t="shared" si="2"/>
        <v>2.7194256712704985E-2</v>
      </c>
      <c r="O14" s="84">
        <f t="shared" si="2"/>
        <v>0</v>
      </c>
      <c r="P14" s="84">
        <f t="shared" si="2"/>
        <v>0</v>
      </c>
      <c r="Q14" s="84">
        <f t="shared" si="2"/>
        <v>4.3233833304583781E-2</v>
      </c>
      <c r="R14" s="84">
        <f t="shared" ca="1" si="2"/>
        <v>-3.7466023694704607E-2</v>
      </c>
      <c r="S14" s="84">
        <f t="shared" ca="1" si="2"/>
        <v>0</v>
      </c>
      <c r="T14" s="84">
        <f t="shared" si="2"/>
        <v>1.8363158688205275E-2</v>
      </c>
      <c r="U14" s="84">
        <f t="shared" si="2"/>
        <v>6.840672980550301E-4</v>
      </c>
      <c r="V14" s="84">
        <f t="shared" ca="1" si="2"/>
        <v>-7.3960533861390709E-3</v>
      </c>
      <c r="W14" s="84">
        <f t="shared" ca="1" si="2"/>
        <v>4.4487343762810973E-4</v>
      </c>
      <c r="X14" s="84">
        <f t="shared" ca="1" si="2"/>
        <v>0.37294387852563221</v>
      </c>
    </row>
    <row r="15" spans="1:33" x14ac:dyDescent="0.2">
      <c r="A15" s="16" t="s">
        <v>1264</v>
      </c>
      <c r="B15" s="84">
        <f t="shared" ref="B15:X15" si="3">IF($X$8&lt;&gt;0,(B$9-B$8)/$X$8,0)</f>
        <v>2.1108906901626018E-3</v>
      </c>
      <c r="C15" s="84">
        <f t="shared" si="3"/>
        <v>3.5782572146997408E-4</v>
      </c>
      <c r="D15" s="84">
        <f t="shared" ca="1" si="3"/>
        <v>5.6574053331184186E-4</v>
      </c>
      <c r="E15" s="84">
        <f t="shared" si="3"/>
        <v>0</v>
      </c>
      <c r="F15" s="84">
        <f t="shared" si="3"/>
        <v>0</v>
      </c>
      <c r="G15" s="84">
        <f t="shared" si="3"/>
        <v>0.25264934596068989</v>
      </c>
      <c r="H15" s="84">
        <f t="shared" si="3"/>
        <v>4.8936623508328204E-2</v>
      </c>
      <c r="I15" s="84">
        <f t="shared" si="3"/>
        <v>0</v>
      </c>
      <c r="J15" s="84">
        <f t="shared" si="3"/>
        <v>2.1042373465284973E-2</v>
      </c>
      <c r="K15" s="84">
        <f t="shared" si="3"/>
        <v>1.3579511151684575E-3</v>
      </c>
      <c r="L15" s="84">
        <f t="shared" si="3"/>
        <v>8.6501517088290007E-4</v>
      </c>
      <c r="M15" s="84">
        <f t="shared" si="3"/>
        <v>0</v>
      </c>
      <c r="N15" s="84">
        <f t="shared" si="3"/>
        <v>2.7194256712704985E-2</v>
      </c>
      <c r="O15" s="84">
        <f t="shared" si="3"/>
        <v>0</v>
      </c>
      <c r="P15" s="84">
        <f t="shared" si="3"/>
        <v>0</v>
      </c>
      <c r="Q15" s="84">
        <f t="shared" si="3"/>
        <v>4.3233833304583781E-2</v>
      </c>
      <c r="R15" s="84">
        <f t="shared" ca="1" si="3"/>
        <v>-3.7466023694704607E-2</v>
      </c>
      <c r="S15" s="84">
        <f t="shared" ca="1" si="3"/>
        <v>0</v>
      </c>
      <c r="T15" s="84">
        <f t="shared" si="3"/>
        <v>1.8363158688205275E-2</v>
      </c>
      <c r="U15" s="84">
        <f t="shared" si="3"/>
        <v>6.840672980550301E-4</v>
      </c>
      <c r="V15" s="84">
        <f t="shared" ca="1" si="3"/>
        <v>-7.3960533861390709E-3</v>
      </c>
      <c r="W15" s="84">
        <f t="shared" ca="1" si="3"/>
        <v>4.4487343762810973E-4</v>
      </c>
      <c r="X15" s="84">
        <f t="shared" ca="1" si="3"/>
        <v>0.37294387852563221</v>
      </c>
    </row>
  </sheetData>
  <dataValidations count="6">
    <dataValidation type="list" allowBlank="1" showInputMessage="1" showErrorMessage="1" error="Deve-se selecionar grupo válido" sqref="A2" xr:uid="{E527FCDB-3CE7-4A02-8682-C78738896824}">
      <formula1>AA1:AA6</formula1>
    </dataValidation>
    <dataValidation type="list" allowBlank="1" showInputMessage="1" showErrorMessage="1" error="Deve-se selecionar grupo válido" sqref="B2" xr:uid="{9D6EF7BD-BFC6-4A86-AAFE-04A123C9CA8A}">
      <formula1>AB1:AB7</formula1>
    </dataValidation>
    <dataValidation type="list" allowBlank="1" showInputMessage="1" showErrorMessage="1" error="Deve-se selecionar grupo válido" sqref="C2 E2" xr:uid="{77339606-7B71-47EE-98C5-8F5757563749}">
      <formula1>AC1:AC4</formula1>
    </dataValidation>
    <dataValidation type="list" allowBlank="1" showInputMessage="1" showErrorMessage="1" error="Deve-se selecionar grupo válido" sqref="D2" xr:uid="{7FDBB3DE-405F-4262-9761-C27A1F14EC80}">
      <formula1>AD1:AD10</formula1>
    </dataValidation>
    <dataValidation type="list" allowBlank="1" showInputMessage="1" showErrorMessage="1" error="Deve-se selecionar grupo válido" sqref="F2" xr:uid="{7A18096B-82F7-4A51-B3A8-5311FA8A74A6}">
      <formula1>AF1:AF1</formula1>
    </dataValidation>
    <dataValidation type="list" allowBlank="1" showInputMessage="1" showErrorMessage="1" error="Deve-se selecionar grupo válido" sqref="G2" xr:uid="{25001CD9-5949-42AC-BF54-75BBFBA8513D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9C522-9362-487A-AD8F-E2660A01670D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0.5703125" style="16" bestFit="1" customWidth="1"/>
    <col min="3" max="3" width="10.85546875" style="16" bestFit="1" customWidth="1"/>
    <col min="4" max="5" width="10.28515625" style="16" bestFit="1" customWidth="1"/>
    <col min="6" max="6" width="10.5703125" style="16" bestFit="1" customWidth="1"/>
    <col min="7" max="7" width="14.85546875" style="16" bestFit="1" customWidth="1"/>
    <col min="8" max="9" width="10" style="16" bestFit="1" customWidth="1"/>
    <col min="10" max="10" width="6.42578125" style="16" bestFit="1" customWidth="1"/>
    <col min="11" max="11" width="7.7109375" style="16" bestFit="1" customWidth="1"/>
    <col min="12" max="12" width="10.7109375" style="16" bestFit="1" customWidth="1"/>
    <col min="13" max="13" width="11.7109375" style="16" bestFit="1" customWidth="1"/>
    <col min="14" max="26" width="9.140625" style="16"/>
    <col min="27" max="27" width="3" style="16" bestFit="1" customWidth="1"/>
    <col min="28" max="28" width="27.1406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70</v>
      </c>
      <c r="B1" s="16" t="s">
        <v>71</v>
      </c>
      <c r="C1" s="16" t="s">
        <v>72</v>
      </c>
      <c r="D1" s="16" t="s">
        <v>73</v>
      </c>
      <c r="E1" s="16" t="s">
        <v>74</v>
      </c>
      <c r="F1" s="16" t="s">
        <v>15</v>
      </c>
      <c r="G1" s="16" t="s">
        <v>76</v>
      </c>
      <c r="I1" s="16" t="s">
        <v>1261</v>
      </c>
      <c r="AA1" s="16" t="s">
        <v>39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39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6" t="s">
        <v>22</v>
      </c>
      <c r="AB2" s="16" t="s">
        <v>79</v>
      </c>
      <c r="AC2" s="16" t="s">
        <v>24</v>
      </c>
      <c r="AD2" s="16" t="s">
        <v>24</v>
      </c>
      <c r="AG2" s="16" t="s">
        <v>81</v>
      </c>
    </row>
    <row r="3" spans="1:33" x14ac:dyDescent="0.2">
      <c r="AA3" s="16" t="s">
        <v>43</v>
      </c>
      <c r="AB3" s="16" t="s">
        <v>92</v>
      </c>
      <c r="AC3" s="16" t="s">
        <v>44</v>
      </c>
      <c r="AD3" s="16" t="s">
        <v>29</v>
      </c>
      <c r="AG3" s="16" t="s">
        <v>82</v>
      </c>
    </row>
    <row r="4" spans="1:33" x14ac:dyDescent="0.2">
      <c r="AA4" s="16" t="s">
        <v>37</v>
      </c>
      <c r="AB4" s="16" t="s">
        <v>93</v>
      </c>
      <c r="AC4" s="16" t="s">
        <v>47</v>
      </c>
      <c r="AD4" s="16" t="s">
        <v>30</v>
      </c>
      <c r="AG4" s="16" t="s">
        <v>91</v>
      </c>
    </row>
    <row r="5" spans="1:33" x14ac:dyDescent="0.2">
      <c r="A5" s="16" t="s">
        <v>1254</v>
      </c>
      <c r="B5" s="16" t="str">
        <f>TE!$X$4</f>
        <v>P&amp;D</v>
      </c>
      <c r="C5" s="16" t="str">
        <f>TE!$Y$4</f>
        <v>ESS/ERR</v>
      </c>
      <c r="D5" s="16" t="str">
        <f>TE!$Z$4</f>
        <v>CFURH</v>
      </c>
      <c r="E5" s="16" t="str">
        <f>TE!$AA$4</f>
        <v>CDE Covid TE</v>
      </c>
      <c r="F5" s="16" t="str">
        <f>TE!$AB$4</f>
        <v>CDE ELET</v>
      </c>
      <c r="G5" s="16" t="str">
        <f>TE!$AC$4</f>
        <v>ENERGIA REVENDA</v>
      </c>
      <c r="H5" s="16" t="str">
        <f>TE!$AD$4</f>
        <v>ITAIPU</v>
      </c>
      <c r="I5" s="16" t="str">
        <f>TE!$AE$4</f>
        <v>TUST ITAIPU</v>
      </c>
      <c r="J5" s="16" t="str">
        <f>TE!$AF$4</f>
        <v>TUST CI</v>
      </c>
      <c r="K5" s="16" t="str">
        <f>TE!$AG$4</f>
        <v>SUBSIDIO</v>
      </c>
      <c r="L5" s="16" t="str">
        <f>TE!$AH$4</f>
        <v>PERDAS RB/C</v>
      </c>
      <c r="M5" s="16" t="s">
        <v>682</v>
      </c>
      <c r="AA5" s="16" t="s">
        <v>46</v>
      </c>
      <c r="AD5" s="16" t="s">
        <v>31</v>
      </c>
      <c r="AG5" s="16" t="s">
        <v>86</v>
      </c>
    </row>
    <row r="6" spans="1:33" x14ac:dyDescent="0.2">
      <c r="A6" s="16" t="s">
        <v>1255</v>
      </c>
      <c r="B6" s="57">
        <f>SUM(TE!$X$47:'TE'!$X$83)</f>
        <v>1338412.6349299983</v>
      </c>
      <c r="C6" s="57">
        <f>SUM(TE!$Y$47:'TE'!$Y$83)</f>
        <v>8510983.9420763962</v>
      </c>
      <c r="D6" s="57">
        <f>SUM(TE!$Z$47:'TE'!$Z$83)</f>
        <v>0</v>
      </c>
      <c r="E6" s="57">
        <f>SUM(TE!$AA$47:'TE'!$AA$83)</f>
        <v>0</v>
      </c>
      <c r="F6" s="57">
        <f>SUM(TE!$AB$47:'TE'!$AB$83)</f>
        <v>0</v>
      </c>
      <c r="G6" s="57">
        <f>SUM(TE!$AC$47:'TE'!$AC$83)</f>
        <v>124933877.8599865</v>
      </c>
      <c r="H6" s="57">
        <f>SUM(TE!$AD$47:'TE'!$AD$83)</f>
        <v>2790379.2644953672</v>
      </c>
      <c r="I6" s="57">
        <f>SUM(TE!$AE$47:'TE'!$AE$83)</f>
        <v>2103437.5739396662</v>
      </c>
      <c r="J6" s="57">
        <f>SUM(TE!$AF$47:'TE'!$AF$83)</f>
        <v>0</v>
      </c>
      <c r="K6" s="57">
        <f>SUM(TE!$AG$47:'TE'!$AG$83)</f>
        <v>0</v>
      </c>
      <c r="L6" s="57">
        <f>SUM(TE!$AH$47:'TE'!$AH$83)</f>
        <v>3317126.4959050352</v>
      </c>
      <c r="M6" s="57">
        <f t="shared" ref="M6:M11" si="0">SUM(B6:L6)</f>
        <v>142994217.77133298</v>
      </c>
      <c r="AD6" s="16" t="s">
        <v>32</v>
      </c>
    </row>
    <row r="7" spans="1:33" x14ac:dyDescent="0.2">
      <c r="A7" s="16" t="s">
        <v>1256</v>
      </c>
      <c r="B7" s="57">
        <f>SUM(TE!$L$47:'TE'!$L$83)</f>
        <v>1490941.4366592739</v>
      </c>
      <c r="C7" s="57">
        <f>SUM(TE!$M$47:'TE'!$M$83)</f>
        <v>16160841.850730035</v>
      </c>
      <c r="D7" s="57">
        <f>SUM(TE!$N$47:'TE'!$N$83)</f>
        <v>0</v>
      </c>
      <c r="E7" s="57">
        <f>SUM(TE!$O$47:'TE'!$O$83)</f>
        <v>5384349.5568295438</v>
      </c>
      <c r="F7" s="57">
        <f>SUM(TE!$P$47:'TE'!$P$83)</f>
        <v>-7770984.0055027138</v>
      </c>
      <c r="G7" s="57">
        <f>SUM(TE!$Q$47:'TE'!$Q$83)</f>
        <v>128372480.74195907</v>
      </c>
      <c r="H7" s="57">
        <f>SUM(TE!$R$47:'TE'!$R$83)</f>
        <v>4023551.3924854291</v>
      </c>
      <c r="I7" s="57">
        <f>SUM(TE!$S$47:'TE'!$S$83)</f>
        <v>2486051.1941671045</v>
      </c>
      <c r="J7" s="57">
        <f>SUM(TE!$T$47:'TE'!$T$83)</f>
        <v>0</v>
      </c>
      <c r="K7" s="57">
        <f>SUM(TE!$U$47:'TE'!$U$83)</f>
        <v>-4197855.573143607</v>
      </c>
      <c r="L7" s="57">
        <f>SUM(TE!$V$47:'TE'!$V$83)</f>
        <v>3962686.6970107323</v>
      </c>
      <c r="M7" s="57">
        <f t="shared" si="0"/>
        <v>149912063.29119489</v>
      </c>
      <c r="AD7" s="16" t="s">
        <v>95</v>
      </c>
    </row>
    <row r="8" spans="1:33" x14ac:dyDescent="0.2">
      <c r="A8" s="16" t="s">
        <v>1259</v>
      </c>
      <c r="B8" s="57">
        <f>IF($G$2&lt;&gt;"Não se aplica",SUMIF(TE!$G$47:'TE'!$G$83,$I$2,TE!$X$47:'TE'!$X$83),IF($F$2&lt;&gt;"Não se aplica",SUMIF(TE!$F$47:'TE'!$F$83,$I$2,TE!$X$47:'TE'!$X$83),IF($E$2&lt;&gt;"Não se aplica",SUMIF(TE!$E$47:'TE'!$E$83,$I$2,TE!$X$47:'TE'!$X$83),IF($D$2&lt;&gt;"Não se aplica",SUMIF(TE!$D$47:'TE'!$D$83,$I$2,TE!$X$47:'TE'!$X$83),IF($C$2&lt;&gt;"Não se aplica",SUMIF(TE!$C$47:'TE'!$C$83,$I$2,TE!$X$47:'TE'!$X$83),IF($B$2&lt;&gt;"Não se aplica",SUMIF(TE!$B$47:'TE'!$B$83,$I$2,TE!$X$47:'TE'!$X$83),SUMIF(TE!$A$47:'TE'!$A$83,$I$2,TE!$X$47:'TE'!$X$83)))))))</f>
        <v>173193.52221064951</v>
      </c>
      <c r="C8" s="57">
        <f>IF($G$2&lt;&gt;"Não se aplica",SUMIF(TE!$G$47:'TE'!$G$83,$I$2,TE!$Y$47:'TE'!$Y$83),IF($F$2&lt;&gt;"Não se aplica",SUMIF(TE!$F$47:'TE'!$F$83,$I$2,TE!$Y$47:'TE'!$Y$83),IF($E$2&lt;&gt;"Não se aplica",SUMIF(TE!$E$47:'TE'!$E$83,$I$2,TE!$Y$47:'TE'!$Y$83),IF($D$2&lt;&gt;"Não se aplica",SUMIF(TE!$D$47:'TE'!$D$83,$I$2,TE!$Y$47:'TE'!$Y$83),IF($C$2&lt;&gt;"Não se aplica",SUMIF(TE!$C$47:'TE'!$C$83,$I$2,TE!$Y$47:'TE'!$Y$83),IF($B$2&lt;&gt;"Não se aplica",SUMIF(TE!$B$47:'TE'!$B$83,$I$2,TE!$Y$47:'TE'!$Y$83),SUMIF(TE!$A$47:'TE'!$A$83,$I$2,TE!$Y$47:'TE'!$Y$83)))))))</f>
        <v>1101339.936531296</v>
      </c>
      <c r="D8" s="57">
        <f>IF($G$2&lt;&gt;"Não se aplica",SUMIF(TE!$G$47:'TE'!$G$83,$I$2,TE!$Z$47:'TE'!$Z$83),IF($F$2&lt;&gt;"Não se aplica",SUMIF(TE!$F$47:'TE'!$F$83,$I$2,TE!$Z$47:'TE'!$Z$83),IF($E$2&lt;&gt;"Não se aplica",SUMIF(TE!$E$47:'TE'!$E$83,$I$2,TE!$Z$47:'TE'!$Z$83),IF($D$2&lt;&gt;"Não se aplica",SUMIF(TE!$D$47:'TE'!$D$83,$I$2,TE!$Z$47:'TE'!$Z$83),IF($C$2&lt;&gt;"Não se aplica",SUMIF(TE!$C$47:'TE'!$C$83,$I$2,TE!$Z$47:'TE'!$Z$83),IF($B$2&lt;&gt;"Não se aplica",SUMIF(TE!$B$47:'TE'!$B$83,$I$2,TE!$Z$47:'TE'!$Z$83),SUMIF(TE!$A$47:'TE'!$A$83,$I$2,TE!$Z$47:'TE'!$Z$83)))))))</f>
        <v>0</v>
      </c>
      <c r="E8" s="57">
        <f>IF($G$2&lt;&gt;"Não se aplica",SUMIF(TE!$G$47:'TE'!$G$83,$I$2,TE!$AA$47:'TE'!$AA$83),IF($F$2&lt;&gt;"Não se aplica",SUMIF(TE!$F$47:'TE'!$F$83,$I$2,TE!$AA$47:'TE'!$AA$83),IF($E$2&lt;&gt;"Não se aplica",SUMIF(TE!$E$47:'TE'!$E$83,$I$2,TE!$AA$47:'TE'!$AA$83),IF($D$2&lt;&gt;"Não se aplica",SUMIF(TE!$D$47:'TE'!$D$83,$I$2,TE!$AA$47:'TE'!$AA$83),IF($C$2&lt;&gt;"Não se aplica",SUMIF(TE!$C$47:'TE'!$C$83,$I$2,TE!$AA$47:'TE'!$AA$83),IF($B$2&lt;&gt;"Não se aplica",SUMIF(TE!$B$47:'TE'!$B$83,$I$2,TE!$AA$47:'TE'!$AA$83),SUMIF(TE!$A$47:'TE'!$A$83,$I$2,TE!$AA$47:'TE'!$AA$83)))))))</f>
        <v>0</v>
      </c>
      <c r="F8" s="57">
        <f>IF($G$2&lt;&gt;"Não se aplica",SUMIF(TE!$G$47:'TE'!$G$83,$I$2,TE!$AB$47:'TE'!$AB$83),IF($F$2&lt;&gt;"Não se aplica",SUMIF(TE!$F$47:'TE'!$F$83,$I$2,TE!$AB$47:'TE'!$AB$83),IF($E$2&lt;&gt;"Não se aplica",SUMIF(TE!$E$47:'TE'!$E$83,$I$2,TE!$AB$47:'TE'!$AB$83),IF($D$2&lt;&gt;"Não se aplica",SUMIF(TE!$D$47:'TE'!$D$83,$I$2,TE!$AB$47:'TE'!$AB$83),IF($C$2&lt;&gt;"Não se aplica",SUMIF(TE!$C$47:'TE'!$C$83,$I$2,TE!$AB$47:'TE'!$AB$83),IF($B$2&lt;&gt;"Não se aplica",SUMIF(TE!$B$47:'TE'!$B$83,$I$2,TE!$AB$47:'TE'!$AB$83),SUMIF(TE!$A$47:'TE'!$A$83,$I$2,TE!$AB$47:'TE'!$AB$83)))))))</f>
        <v>0</v>
      </c>
      <c r="G8" s="57">
        <f>IF($G$2&lt;&gt;"Não se aplica",SUMIF(TE!$G$47:'TE'!$G$83,$I$2,TE!$AC$47:'TE'!$AC$83),IF($F$2&lt;&gt;"Não se aplica",SUMIF(TE!$F$47:'TE'!$F$83,$I$2,TE!$AC$47:'TE'!$AC$83),IF($E$2&lt;&gt;"Não se aplica",SUMIF(TE!$E$47:'TE'!$E$83,$I$2,TE!$AC$47:'TE'!$AC$83),IF($D$2&lt;&gt;"Não se aplica",SUMIF(TE!$D$47:'TE'!$D$83,$I$2,TE!$AC$47:'TE'!$AC$83),IF($C$2&lt;&gt;"Não se aplica",SUMIF(TE!$C$47:'TE'!$C$83,$I$2,TE!$AC$47:'TE'!$AC$83),IF($B$2&lt;&gt;"Não se aplica",SUMIF(TE!$B$47:'TE'!$B$83,$I$2,TE!$AC$47:'TE'!$AC$83),SUMIF(TE!$A$47:'TE'!$A$83,$I$2,TE!$AC$47:'TE'!$AC$83)))))))</f>
        <v>15875144.889305888</v>
      </c>
      <c r="H8" s="57">
        <f>IF($G$2&lt;&gt;"Não se aplica",SUMIF(TE!$G$47:'TE'!$G$83,$I$2,TE!$AD$47:'TE'!$AD$83),IF($F$2&lt;&gt;"Não se aplica",SUMIF(TE!$F$47:'TE'!$F$83,$I$2,TE!$AD$47:'TE'!$AD$83),IF($E$2&lt;&gt;"Não se aplica",SUMIF(TE!$E$47:'TE'!$E$83,$I$2,TE!$AD$47:'TE'!$AD$83),IF($D$2&lt;&gt;"Não se aplica",SUMIF(TE!$D$47:'TE'!$D$83,$I$2,TE!$AD$47:'TE'!$AD$83),IF($C$2&lt;&gt;"Não se aplica",SUMIF(TE!$C$47:'TE'!$C$83,$I$2,TE!$AD$47:'TE'!$AD$83),IF($B$2&lt;&gt;"Não se aplica",SUMIF(TE!$B$47:'TE'!$B$83,$I$2,TE!$AD$47:'TE'!$AD$83),SUMIF(TE!$A$47:'TE'!$A$83,$I$2,TE!$AD$47:'TE'!$AD$83)))))))</f>
        <v>361081.17968177295</v>
      </c>
      <c r="I8" s="57">
        <f>IF($G$2&lt;&gt;"Não se aplica",SUMIF(TE!$G$47:'TE'!$G$83,$I$2,TE!$AE$47:'TE'!$AE$83),IF($F$2&lt;&gt;"Não se aplica",SUMIF(TE!$F$47:'TE'!$F$83,$I$2,TE!$AE$47:'TE'!$AE$83),IF($E$2&lt;&gt;"Não se aplica",SUMIF(TE!$E$47:'TE'!$E$83,$I$2,TE!$AE$47:'TE'!$AE$83),IF($D$2&lt;&gt;"Não se aplica",SUMIF(TE!$D$47:'TE'!$D$83,$I$2,TE!$AE$47:'TE'!$AE$83),IF($C$2&lt;&gt;"Não se aplica",SUMIF(TE!$C$47:'TE'!$C$83,$I$2,TE!$AE$47:'TE'!$AE$83),IF($B$2&lt;&gt;"Não se aplica",SUMIF(TE!$B$47:'TE'!$B$83,$I$2,TE!$AE$47:'TE'!$AE$83),SUMIF(TE!$A$47:'TE'!$A$83,$I$2,TE!$AE$47:'TE'!$AE$83)))))))</f>
        <v>272189.42250936502</v>
      </c>
      <c r="J8" s="57">
        <f>IF($G$2&lt;&gt;"Não se aplica",SUMIF(TE!$G$47:'TE'!$G$83,$I$2,TE!$AF$47:'TE'!$AF$83),IF($F$2&lt;&gt;"Não se aplica",SUMIF(TE!$F$47:'TE'!$F$83,$I$2,TE!$AF$47:'TE'!$AF$83),IF($E$2&lt;&gt;"Não se aplica",SUMIF(TE!$E$47:'TE'!$E$83,$I$2,TE!$AF$47:'TE'!$AF$83),IF($D$2&lt;&gt;"Não se aplica",SUMIF(TE!$D$47:'TE'!$D$83,$I$2,TE!$AF$47:'TE'!$AF$83),IF($C$2&lt;&gt;"Não se aplica",SUMIF(TE!$C$47:'TE'!$C$83,$I$2,TE!$AF$47:'TE'!$AF$83),IF($B$2&lt;&gt;"Não se aplica",SUMIF(TE!$B$47:'TE'!$B$83,$I$2,TE!$AF$47:'TE'!$AF$83),SUMIF(TE!$A$47:'TE'!$A$83,$I$2,TE!$AF$47:'TE'!$AF$83)))))))</f>
        <v>0</v>
      </c>
      <c r="K8" s="57">
        <f>IF($G$2&lt;&gt;"Não se aplica",SUMIF(TE!$G$47:'TE'!$G$83,$I$2,TE!$AG$47:'TE'!$AG$83),IF($F$2&lt;&gt;"Não se aplica",SUMIF(TE!$F$47:'TE'!$F$83,$I$2,TE!$AG$47:'TE'!$AG$83),IF($E$2&lt;&gt;"Não se aplica",SUMIF(TE!$E$47:'TE'!$E$83,$I$2,TE!$AG$47:'TE'!$AG$83),IF($D$2&lt;&gt;"Não se aplica",SUMIF(TE!$D$47:'TE'!$D$83,$I$2,TE!$AG$47:'TE'!$AG$83),IF($C$2&lt;&gt;"Não se aplica",SUMIF(TE!$C$47:'TE'!$C$83,$I$2,TE!$AG$47:'TE'!$AG$83),IF($B$2&lt;&gt;"Não se aplica",SUMIF(TE!$B$47:'TE'!$B$83,$I$2,TE!$AG$47:'TE'!$AG$83),SUMIF(TE!$A$47:'TE'!$A$83,$I$2,TE!$AG$47:'TE'!$AG$83)))))))</f>
        <v>0</v>
      </c>
      <c r="L8" s="57">
        <f>IF($G$2&lt;&gt;"Não se aplica",SUMIF(TE!$G$47:'TE'!$G$83,$I$2,TE!$AH$47:'TE'!$AH$83),IF($F$2&lt;&gt;"Não se aplica",SUMIF(TE!$F$47:'TE'!$F$83,$I$2,TE!$AH$47:'TE'!$AH$83),IF($E$2&lt;&gt;"Não se aplica",SUMIF(TE!$E$47:'TE'!$E$83,$I$2,TE!$AH$47:'TE'!$AH$83),IF($D$2&lt;&gt;"Não se aplica",SUMIF(TE!$D$47:'TE'!$D$83,$I$2,TE!$AH$47:'TE'!$AH$83),IF($C$2&lt;&gt;"Não se aplica",SUMIF(TE!$C$47:'TE'!$C$83,$I$2,TE!$AH$47:'TE'!$AH$83),IF($B$2&lt;&gt;"Não se aplica",SUMIF(TE!$B$47:'TE'!$B$83,$I$2,TE!$AH$47:'TE'!$AH$83),SUMIF(TE!$A$47:'TE'!$A$83,$I$2,TE!$AH$47:'TE'!$AH$83)))))))</f>
        <v>429243.42347837286</v>
      </c>
      <c r="M8" s="57">
        <f t="shared" si="0"/>
        <v>18212192.373717345</v>
      </c>
      <c r="AD8" s="16" t="s">
        <v>55</v>
      </c>
    </row>
    <row r="9" spans="1:33" x14ac:dyDescent="0.2">
      <c r="A9" s="16" t="s">
        <v>1260</v>
      </c>
      <c r="B9" s="57">
        <f>IF($G$2&lt;&gt;"Não se aplica",SUMIF(TE!$G$47:'TE'!$G$83,$I$2,TE!$L$47:'TE'!$L$83),IF($F$2&lt;&gt;"Não se aplica",SUMIF(TE!$F$47:'TE'!$F$83,$I$2,TE!$L$47:'TE'!$L$83),IF($E$2&lt;&gt;"Não se aplica",SUMIF(TE!$E$47:'TE'!$E$83,$I$2,TE!$L$47:'TE'!$L$83),IF($D$2&lt;&gt;"Não se aplica",SUMIF(TE!$D$47:'TE'!$D$83,$I$2,TE!$L$47:'TE'!$L$83),IF($C$2&lt;&gt;"Não se aplica",SUMIF(TE!$C$47:'TE'!$C$83,$I$2,TE!$L$47:'TE'!$L$83),IF($B$2&lt;&gt;"Não se aplica",SUMIF(TE!$B$47:'TE'!$B$83,$I$2,TE!$L$47:'TE'!$L$83),SUMIF(TE!$A$47:'TE'!$A$83,$I$2,TE!$L$47:'TE'!$L$83)))))))</f>
        <v>188407.93956949221</v>
      </c>
      <c r="C9" s="57">
        <f>IF($G$2&lt;&gt;"Não se aplica",SUMIF(TE!$G$47:'TE'!$G$83,$I$2,TE!$M$47:'TE'!$M$83),IF($F$2&lt;&gt;"Não se aplica",SUMIF(TE!$F$47:'TE'!$F$83,$I$2,TE!$M$47:'TE'!$M$83),IF($E$2&lt;&gt;"Não se aplica",SUMIF(TE!$E$47:'TE'!$E$83,$I$2,TE!$M$47:'TE'!$M$83),IF($D$2&lt;&gt;"Não se aplica",SUMIF(TE!$D$47:'TE'!$D$83,$I$2,TE!$M$47:'TE'!$M$83),IF($C$2&lt;&gt;"Não se aplica",SUMIF(TE!$C$47:'TE'!$C$83,$I$2,TE!$M$47:'TE'!$M$83),IF($B$2&lt;&gt;"Não se aplica",SUMIF(TE!$B$47:'TE'!$B$83,$I$2,TE!$M$47:'TE'!$M$83),SUMIF(TE!$A$47:'TE'!$A$83,$I$2,TE!$M$47:'TE'!$M$83)))))))</f>
        <v>2042220.3313545049</v>
      </c>
      <c r="D9" s="57">
        <f>IF($G$2&lt;&gt;"Não se aplica",SUMIF(TE!$G$47:'TE'!$G$83,$I$2,TE!$N$47:'TE'!$N$83),IF($F$2&lt;&gt;"Não se aplica",SUMIF(TE!$F$47:'TE'!$F$83,$I$2,TE!$N$47:'TE'!$N$83),IF($E$2&lt;&gt;"Não se aplica",SUMIF(TE!$E$47:'TE'!$E$83,$I$2,TE!$N$47:'TE'!$N$83),IF($D$2&lt;&gt;"Não se aplica",SUMIF(TE!$D$47:'TE'!$D$83,$I$2,TE!$N$47:'TE'!$N$83),IF($C$2&lt;&gt;"Não se aplica",SUMIF(TE!$C$47:'TE'!$C$83,$I$2,TE!$N$47:'TE'!$N$83),IF($B$2&lt;&gt;"Não se aplica",SUMIF(TE!$B$47:'TE'!$B$83,$I$2,TE!$N$47:'TE'!$N$83),SUMIF(TE!$A$47:'TE'!$A$83,$I$2,TE!$N$47:'TE'!$N$83)))))))</f>
        <v>0</v>
      </c>
      <c r="E9" s="57">
        <f>IF($G$2&lt;&gt;"Não se aplica",SUMIF(TE!$G$47:'TE'!$G$83,$I$2,TE!$O$47:'TE'!$O$83),IF($F$2&lt;&gt;"Não se aplica",SUMIF(TE!$F$47:'TE'!$F$83,$I$2,TE!$O$47:'TE'!$O$83),IF($E$2&lt;&gt;"Não se aplica",SUMIF(TE!$E$47:'TE'!$E$83,$I$2,TE!$O$47:'TE'!$O$83),IF($D$2&lt;&gt;"Não se aplica",SUMIF(TE!$D$47:'TE'!$D$83,$I$2,TE!$O$47:'TE'!$O$83),IF($C$2&lt;&gt;"Não se aplica",SUMIF(TE!$C$47:'TE'!$C$83,$I$2,TE!$O$47:'TE'!$O$83),IF($B$2&lt;&gt;"Não se aplica",SUMIF(TE!$B$47:'TE'!$B$83,$I$2,TE!$O$47:'TE'!$O$83),SUMIF(TE!$A$47:'TE'!$A$83,$I$2,TE!$O$47:'TE'!$O$83)))))))</f>
        <v>680411.83978173684</v>
      </c>
      <c r="F9" s="57">
        <f>IF($G$2&lt;&gt;"Não se aplica",SUMIF(TE!$G$47:'TE'!$G$83,$I$2,TE!$P$47:'TE'!$P$83),IF($F$2&lt;&gt;"Não se aplica",SUMIF(TE!$F$47:'TE'!$F$83,$I$2,TE!$P$47:'TE'!$P$83),IF($E$2&lt;&gt;"Não se aplica",SUMIF(TE!$E$47:'TE'!$E$83,$I$2,TE!$P$47:'TE'!$P$83),IF($D$2&lt;&gt;"Não se aplica",SUMIF(TE!$D$47:'TE'!$D$83,$I$2,TE!$P$47:'TE'!$P$83),IF($C$2&lt;&gt;"Não se aplica",SUMIF(TE!$C$47:'TE'!$C$83,$I$2,TE!$P$47:'TE'!$P$83),IF($B$2&lt;&gt;"Não se aplica",SUMIF(TE!$B$47:'TE'!$B$83,$I$2,TE!$P$47:'TE'!$P$83),SUMIF(TE!$A$47:'TE'!$A$83,$I$2,TE!$P$47:'TE'!$P$83)))))))</f>
        <v>-982007.10564786661</v>
      </c>
      <c r="G9" s="57">
        <f>IF($G$2&lt;&gt;"Não se aplica",SUMIF(TE!$G$47:'TE'!$G$83,$I$2,TE!$Q$47:'TE'!$Q$83),IF($F$2&lt;&gt;"Não se aplica",SUMIF(TE!$F$47:'TE'!$F$83,$I$2,TE!$Q$47:'TE'!$Q$83),IF($E$2&lt;&gt;"Não se aplica",SUMIF(TE!$E$47:'TE'!$E$83,$I$2,TE!$Q$47:'TE'!$Q$83),IF($D$2&lt;&gt;"Não se aplica",SUMIF(TE!$D$47:'TE'!$D$83,$I$2,TE!$Q$47:'TE'!$Q$83),IF($C$2&lt;&gt;"Não se aplica",SUMIF(TE!$C$47:'TE'!$C$83,$I$2,TE!$Q$47:'TE'!$Q$83),IF($B$2&lt;&gt;"Não se aplica",SUMIF(TE!$B$47:'TE'!$B$83,$I$2,TE!$Q$47:'TE'!$Q$83),SUMIF(TE!$A$47:'TE'!$A$83,$I$2,TE!$Q$47:'TE'!$Q$83)))))))</f>
        <v>15928637.540547427</v>
      </c>
      <c r="H9" s="57">
        <f>IF($G$2&lt;&gt;"Não se aplica",SUMIF(TE!$G$47:'TE'!$G$83,$I$2,TE!$R$47:'TE'!$R$83),IF($F$2&lt;&gt;"Não se aplica",SUMIF(TE!$F$47:'TE'!$F$83,$I$2,TE!$R$47:'TE'!$R$83),IF($E$2&lt;&gt;"Não se aplica",SUMIF(TE!$E$47:'TE'!$E$83,$I$2,TE!$R$47:'TE'!$R$83),IF($D$2&lt;&gt;"Não se aplica",SUMIF(TE!$D$47:'TE'!$D$83,$I$2,TE!$R$47:'TE'!$R$83),IF($C$2&lt;&gt;"Não se aplica",SUMIF(TE!$C$47:'TE'!$C$83,$I$2,TE!$R$47:'TE'!$R$83),IF($B$2&lt;&gt;"Não se aplica",SUMIF(TE!$B$47:'TE'!$B$83,$I$2,TE!$R$47:'TE'!$R$83),SUMIF(TE!$A$47:'TE'!$A$83,$I$2,TE!$R$47:'TE'!$R$83)))))))</f>
        <v>508449.90216968727</v>
      </c>
      <c r="I9" s="57">
        <f>IF($G$2&lt;&gt;"Não se aplica",SUMIF(TE!$G$47:'TE'!$G$83,$I$2,TE!$S$47:'TE'!$S$83),IF($F$2&lt;&gt;"Não se aplica",SUMIF(TE!$F$47:'TE'!$F$83,$I$2,TE!$S$47:'TE'!$S$83),IF($E$2&lt;&gt;"Não se aplica",SUMIF(TE!$E$47:'TE'!$E$83,$I$2,TE!$S$47:'TE'!$S$83),IF($D$2&lt;&gt;"Não se aplica",SUMIF(TE!$D$47:'TE'!$D$83,$I$2,TE!$S$47:'TE'!$S$83),IF($C$2&lt;&gt;"Não se aplica",SUMIF(TE!$C$47:'TE'!$C$83,$I$2,TE!$S$47:'TE'!$S$83),IF($B$2&lt;&gt;"Não se aplica",SUMIF(TE!$B$47:'TE'!$B$83,$I$2,TE!$S$47:'TE'!$S$83),SUMIF(TE!$A$47:'TE'!$A$83,$I$2,TE!$S$47:'TE'!$S$83)))))))</f>
        <v>314158.40464318765</v>
      </c>
      <c r="J9" s="57">
        <f>IF($G$2&lt;&gt;"Não se aplica",SUMIF(TE!$G$47:'TE'!$G$83,$I$2,TE!$T$47:'TE'!$T$83),IF($F$2&lt;&gt;"Não se aplica",SUMIF(TE!$F$47:'TE'!$F$83,$I$2,TE!$T$47:'TE'!$T$83),IF($E$2&lt;&gt;"Não se aplica",SUMIF(TE!$E$47:'TE'!$E$83,$I$2,TE!$T$47:'TE'!$T$83),IF($D$2&lt;&gt;"Não se aplica",SUMIF(TE!$D$47:'TE'!$D$83,$I$2,TE!$T$47:'TE'!$T$83),IF($C$2&lt;&gt;"Não se aplica",SUMIF(TE!$C$47:'TE'!$C$83,$I$2,TE!$T$47:'TE'!$T$83),IF($B$2&lt;&gt;"Não se aplica",SUMIF(TE!$B$47:'TE'!$B$83,$I$2,TE!$T$47:'TE'!$T$83),SUMIF(TE!$A$47:'TE'!$A$83,$I$2,TE!$T$47:'TE'!$T$83)))))))</f>
        <v>0</v>
      </c>
      <c r="K9" s="57">
        <f>IF($G$2&lt;&gt;"Não se aplica",SUMIF(TE!$G$47:'TE'!$G$83,$I$2,TE!$U$47:'TE'!$U$83),IF($F$2&lt;&gt;"Não se aplica",SUMIF(TE!$F$47:'TE'!$F$83,$I$2,TE!$U$47:'TE'!$U$83),IF($E$2&lt;&gt;"Não se aplica",SUMIF(TE!$E$47:'TE'!$E$83,$I$2,TE!$U$47:'TE'!$U$83),IF($D$2&lt;&gt;"Não se aplica",SUMIF(TE!$D$47:'TE'!$D$83,$I$2,TE!$U$47:'TE'!$U$83),IF($C$2&lt;&gt;"Não se aplica",SUMIF(TE!$C$47:'TE'!$C$83,$I$2,TE!$U$47:'TE'!$U$83),IF($B$2&lt;&gt;"Não se aplica",SUMIF(TE!$B$47:'TE'!$B$83,$I$2,TE!$U$47:'TE'!$U$83),SUMIF(TE!$A$47:'TE'!$A$83,$I$2,TE!$U$47:'TE'!$U$83)))))))</f>
        <v>-522310.36714101315</v>
      </c>
      <c r="L9" s="57">
        <f>IF($G$2&lt;&gt;"Não se aplica",SUMIF(TE!$G$47:'TE'!$G$83,$I$2,TE!$V$47:'TE'!$V$83),IF($F$2&lt;&gt;"Não se aplica",SUMIF(TE!$F$47:'TE'!$F$83,$I$2,TE!$V$47:'TE'!$V$83),IF($E$2&lt;&gt;"Não se aplica",SUMIF(TE!$E$47:'TE'!$E$83,$I$2,TE!$V$47:'TE'!$V$83),IF($D$2&lt;&gt;"Não se aplica",SUMIF(TE!$D$47:'TE'!$D$83,$I$2,TE!$V$47:'TE'!$V$83),IF($C$2&lt;&gt;"Não se aplica",SUMIF(TE!$C$47:'TE'!$C$83,$I$2,TE!$V$47:'TE'!$V$83),IF($B$2&lt;&gt;"Não se aplica",SUMIF(TE!$B$47:'TE'!$B$83,$I$2,TE!$V$47:'TE'!$V$83),SUMIF(TE!$A$47:'TE'!$A$83,$I$2,TE!$V$47:'TE'!$V$83)))))))</f>
        <v>500758.52571119467</v>
      </c>
      <c r="M9" s="57">
        <f t="shared" si="0"/>
        <v>18658727.010988351</v>
      </c>
      <c r="AD9" s="16" t="s">
        <v>48</v>
      </c>
    </row>
    <row r="10" spans="1:33" x14ac:dyDescent="0.2">
      <c r="A10" s="16" t="s">
        <v>1257</v>
      </c>
      <c r="B10" s="57">
        <f>SUMIF(TE!$A$47:'TE'!$A$83,$A$2,TE!$X$47:'TE'!$X$83)</f>
        <v>173193.52221064951</v>
      </c>
      <c r="C10" s="57">
        <f>SUMIF(TE!$A$47:'TE'!$A$83,$A$2,TE!$Y$47:'TE'!$Y$83)</f>
        <v>1101339.936531296</v>
      </c>
      <c r="D10" s="57">
        <f>SUMIF(TE!$A$47:'TE'!$A$83,$A$2,TE!$Z$47:'TE'!$Z$83)</f>
        <v>0</v>
      </c>
      <c r="E10" s="57">
        <f>SUMIF(TE!$A$47:'TE'!$A$83,$A$2,TE!$AA$47:'TE'!$AA$83)</f>
        <v>0</v>
      </c>
      <c r="F10" s="57">
        <f>SUMIF(TE!$A$47:'TE'!$A$83,$A$2,TE!$AB$47:'TE'!$AB$83)</f>
        <v>0</v>
      </c>
      <c r="G10" s="57">
        <f>SUMIF(TE!$A$47:'TE'!$A$83,$A$2,TE!$AC$47:'TE'!$AC$83)</f>
        <v>15875144.889305888</v>
      </c>
      <c r="H10" s="57">
        <f>SUMIF(TE!$A$47:'TE'!$A$83,$A$2,TE!$AD$47:'TE'!$AD$83)</f>
        <v>361081.17968177295</v>
      </c>
      <c r="I10" s="57">
        <f>SUMIF(TE!$A$47:'TE'!$A$83,$A$2,TE!$AE$47:'TE'!$AE$83)</f>
        <v>272189.42250936502</v>
      </c>
      <c r="J10" s="57">
        <f>SUMIF(TE!$A$47:'TE'!$A$83,$A$2,TE!$AF$47:'TE'!$AF$83)</f>
        <v>0</v>
      </c>
      <c r="K10" s="57">
        <f>SUMIF(TE!$A$47:'TE'!$A$83,$A$2,TE!$AG$47:'TE'!$AG$83)</f>
        <v>0</v>
      </c>
      <c r="L10" s="57">
        <f>SUMIF(TE!$A$47:'TE'!$A$83,$A$2,TE!$AH$47:'TE'!$AH$83)</f>
        <v>429243.42347837286</v>
      </c>
      <c r="M10" s="57">
        <f t="shared" si="0"/>
        <v>18212192.373717345</v>
      </c>
      <c r="AD10" s="16" t="s">
        <v>96</v>
      </c>
    </row>
    <row r="11" spans="1:33" x14ac:dyDescent="0.2">
      <c r="A11" s="16" t="s">
        <v>1258</v>
      </c>
      <c r="B11" s="57">
        <f>SUMIF(TE!$A$47:'TE'!$A$83,$A$2,TE!$L$47:'TE'!$L$83)</f>
        <v>188407.93956949221</v>
      </c>
      <c r="C11" s="57">
        <f>SUMIF(TE!$A$47:'TE'!$A$83,$A$2,TE!$M$47:'TE'!$M$83)</f>
        <v>2042220.3313545049</v>
      </c>
      <c r="D11" s="57">
        <f>SUMIF(TE!$A$47:'TE'!$A$83,$A$2,TE!$N$47:'TE'!$N$83)</f>
        <v>0</v>
      </c>
      <c r="E11" s="57">
        <f>SUMIF(TE!$A$47:'TE'!$A$83,$A$2,TE!$O$47:'TE'!$O$83)</f>
        <v>680411.83978173684</v>
      </c>
      <c r="F11" s="57">
        <f>SUMIF(TE!$A$47:'TE'!$A$83,$A$2,TE!$P$47:'TE'!$P$83)</f>
        <v>-982007.10564786661</v>
      </c>
      <c r="G11" s="57">
        <f>SUMIF(TE!$A$47:'TE'!$A$83,$A$2,TE!$Q$47:'TE'!$Q$83)</f>
        <v>15928637.540547427</v>
      </c>
      <c r="H11" s="57">
        <f>SUMIF(TE!$A$47:'TE'!$A$83,$A$2,TE!$R$47:'TE'!$R$83)</f>
        <v>508449.90216968727</v>
      </c>
      <c r="I11" s="57">
        <f>SUMIF(TE!$A$47:'TE'!$A$83,$A$2,TE!$S$47:'TE'!$S$83)</f>
        <v>314158.40464318765</v>
      </c>
      <c r="J11" s="57">
        <f>SUMIF(TE!$A$47:'TE'!$A$83,$A$2,TE!$T$47:'TE'!$T$83)</f>
        <v>0</v>
      </c>
      <c r="K11" s="57">
        <f>SUMIF(TE!$A$47:'TE'!$A$83,$A$2,TE!$U$47:'TE'!$U$83)</f>
        <v>-522310.36714101315</v>
      </c>
      <c r="L11" s="57">
        <f>SUMIF(TE!$A$47:'TE'!$A$83,$A$2,TE!$V$47:'TE'!$V$83)</f>
        <v>500758.52571119467</v>
      </c>
      <c r="M11" s="57">
        <f t="shared" si="0"/>
        <v>18658727.010988351</v>
      </c>
    </row>
    <row r="13" spans="1:33" x14ac:dyDescent="0.2">
      <c r="A13" s="16" t="s">
        <v>1262</v>
      </c>
      <c r="B13" s="84">
        <f t="shared" ref="B13:M13" si="1">IF($M$6&lt;&gt;0,(B$7-B$6)/$M$6,0)</f>
        <v>1.066678108433655E-3</v>
      </c>
      <c r="C13" s="84">
        <f t="shared" si="1"/>
        <v>5.3497673037988101E-2</v>
      </c>
      <c r="D13" s="84">
        <f t="shared" si="1"/>
        <v>0</v>
      </c>
      <c r="E13" s="84">
        <f t="shared" si="1"/>
        <v>3.7654316662229265E-2</v>
      </c>
      <c r="F13" s="84">
        <f t="shared" si="1"/>
        <v>-5.4344742931700669E-2</v>
      </c>
      <c r="G13" s="84">
        <f t="shared" si="1"/>
        <v>2.4047146350150716E-2</v>
      </c>
      <c r="H13" s="84">
        <f t="shared" si="1"/>
        <v>8.623930024653656E-3</v>
      </c>
      <c r="I13" s="84">
        <f t="shared" si="1"/>
        <v>2.6757279153712993E-3</v>
      </c>
      <c r="J13" s="84">
        <f t="shared" si="1"/>
        <v>0</v>
      </c>
      <c r="K13" s="84">
        <f t="shared" si="1"/>
        <v>-2.9356820426519228E-2</v>
      </c>
      <c r="L13" s="84">
        <f t="shared" si="1"/>
        <v>4.5145895489147317E-3</v>
      </c>
      <c r="M13" s="84">
        <f t="shared" si="1"/>
        <v>4.8378498289521565E-2</v>
      </c>
    </row>
    <row r="14" spans="1:33" x14ac:dyDescent="0.2">
      <c r="A14" s="16" t="s">
        <v>1263</v>
      </c>
      <c r="B14" s="84">
        <f t="shared" ref="B14:M14" si="2">IF($M$10&lt;&gt;0,(B$9-B$8)/$M$10,0)</f>
        <v>8.3539735615790925E-4</v>
      </c>
      <c r="C14" s="84">
        <f t="shared" si="2"/>
        <v>5.1662115988903481E-2</v>
      </c>
      <c r="D14" s="84">
        <f t="shared" si="2"/>
        <v>0</v>
      </c>
      <c r="E14" s="84">
        <f t="shared" si="2"/>
        <v>3.7360237901048261E-2</v>
      </c>
      <c r="F14" s="84">
        <f t="shared" si="2"/>
        <v>-5.3920312584938186E-2</v>
      </c>
      <c r="G14" s="84">
        <f t="shared" si="2"/>
        <v>2.9371890074440556E-3</v>
      </c>
      <c r="H14" s="84">
        <f t="shared" si="2"/>
        <v>8.0917617969260697E-3</v>
      </c>
      <c r="I14" s="84">
        <f t="shared" si="2"/>
        <v>2.304444257594684E-3</v>
      </c>
      <c r="J14" s="84">
        <f t="shared" si="2"/>
        <v>0</v>
      </c>
      <c r="K14" s="84">
        <f t="shared" si="2"/>
        <v>-2.8679159346832819E-2</v>
      </c>
      <c r="L14" s="84">
        <f t="shared" si="2"/>
        <v>3.9267706361386656E-3</v>
      </c>
      <c r="M14" s="84">
        <f t="shared" si="2"/>
        <v>2.4518445012442075E-2</v>
      </c>
    </row>
    <row r="15" spans="1:33" x14ac:dyDescent="0.2">
      <c r="A15" s="16" t="s">
        <v>1264</v>
      </c>
      <c r="B15" s="84">
        <f t="shared" ref="B15:M15" si="3">IF($M$8&lt;&gt;0,(B$9-B$8)/$M$8,0)</f>
        <v>8.3539735615790925E-4</v>
      </c>
      <c r="C15" s="84">
        <f t="shared" si="3"/>
        <v>5.1662115988903481E-2</v>
      </c>
      <c r="D15" s="84">
        <f t="shared" si="3"/>
        <v>0</v>
      </c>
      <c r="E15" s="84">
        <f t="shared" si="3"/>
        <v>3.7360237901048261E-2</v>
      </c>
      <c r="F15" s="84">
        <f t="shared" si="3"/>
        <v>-5.3920312584938186E-2</v>
      </c>
      <c r="G15" s="84">
        <f t="shared" si="3"/>
        <v>2.9371890074440556E-3</v>
      </c>
      <c r="H15" s="84">
        <f t="shared" si="3"/>
        <v>8.0917617969260697E-3</v>
      </c>
      <c r="I15" s="84">
        <f t="shared" si="3"/>
        <v>2.304444257594684E-3</v>
      </c>
      <c r="J15" s="84">
        <f t="shared" si="3"/>
        <v>0</v>
      </c>
      <c r="K15" s="84">
        <f t="shared" si="3"/>
        <v>-2.8679159346832819E-2</v>
      </c>
      <c r="L15" s="84">
        <f t="shared" si="3"/>
        <v>3.9267706361386656E-3</v>
      </c>
      <c r="M15" s="84">
        <f t="shared" si="3"/>
        <v>2.4518445012442075E-2</v>
      </c>
    </row>
  </sheetData>
  <dataValidations count="4">
    <dataValidation type="list" allowBlank="1" showInputMessage="1" showErrorMessage="1" sqref="A2 G2" xr:uid="{CDAFA706-6F9C-400F-9464-41A6D7026A27}">
      <formula1>AA1:AA5</formula1>
    </dataValidation>
    <dataValidation type="list" allowBlank="1" showInputMessage="1" showErrorMessage="1" sqref="B2 C2" xr:uid="{FAA95773-5AFD-4719-B60E-DCB9EE9C5600}">
      <formula1>AB1:AB4</formula1>
    </dataValidation>
    <dataValidation type="list" allowBlank="1" showInputMessage="1" showErrorMessage="1" sqref="D2" xr:uid="{6A5D6A7D-9F13-41E7-AF77-0812A50BFDF3}">
      <formula1>AD1:AD10</formula1>
    </dataValidation>
    <dataValidation type="list" allowBlank="1" showInputMessage="1" showErrorMessage="1" sqref="E2 F2" xr:uid="{A381C402-027C-4FDD-940E-4CD3AC5ED765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26631-3754-4740-8D50-94B302F0DF89}">
  <dimension ref="B1:U15"/>
  <sheetViews>
    <sheetView showGridLines="0" topLeftCell="K1" workbookViewId="0">
      <selection activeCell="U1" sqref="U1"/>
    </sheetView>
  </sheetViews>
  <sheetFormatPr defaultRowHeight="15" x14ac:dyDescent="0.25"/>
  <sheetData>
    <row r="1" spans="2:21" x14ac:dyDescent="0.25">
      <c r="B1" s="69" t="s">
        <v>877</v>
      </c>
      <c r="C1" s="69" t="s">
        <v>878</v>
      </c>
      <c r="D1" s="69" t="s">
        <v>879</v>
      </c>
      <c r="E1" s="69" t="s">
        <v>2</v>
      </c>
      <c r="F1" s="69" t="s">
        <v>880</v>
      </c>
      <c r="G1" s="69" t="s">
        <v>787</v>
      </c>
      <c r="H1" s="69" t="s">
        <v>3</v>
      </c>
      <c r="I1" s="69" t="s">
        <v>881</v>
      </c>
      <c r="J1" s="69" t="s">
        <v>5</v>
      </c>
      <c r="K1" s="69" t="s">
        <v>1</v>
      </c>
      <c r="L1" s="69" t="s">
        <v>882</v>
      </c>
      <c r="M1" s="69" t="s">
        <v>883</v>
      </c>
      <c r="N1" s="69" t="s">
        <v>884</v>
      </c>
      <c r="O1" s="69" t="s">
        <v>885</v>
      </c>
      <c r="P1" s="69" t="s">
        <v>886</v>
      </c>
      <c r="Q1" s="69" t="s">
        <v>887</v>
      </c>
      <c r="R1" s="69" t="s">
        <v>888</v>
      </c>
      <c r="S1" s="69" t="s">
        <v>889</v>
      </c>
      <c r="T1" s="69" t="s">
        <v>890</v>
      </c>
      <c r="U1" s="69" t="s">
        <v>891</v>
      </c>
    </row>
    <row r="2" spans="2:21" x14ac:dyDescent="0.25">
      <c r="B2" s="68" t="s">
        <v>862</v>
      </c>
      <c r="C2" s="68">
        <v>7756</v>
      </c>
      <c r="D2" s="68">
        <v>381</v>
      </c>
      <c r="E2" s="68" t="s">
        <v>42</v>
      </c>
      <c r="F2" s="68">
        <v>1</v>
      </c>
      <c r="G2" s="68" t="s">
        <v>863</v>
      </c>
      <c r="H2" s="68" t="s">
        <v>49</v>
      </c>
      <c r="I2" s="68" t="s">
        <v>50</v>
      </c>
      <c r="J2" s="68" t="s">
        <v>812</v>
      </c>
      <c r="K2" s="68" t="s">
        <v>39</v>
      </c>
      <c r="L2" s="68">
        <v>0.15</v>
      </c>
      <c r="M2" s="68">
        <v>0.12</v>
      </c>
      <c r="N2" s="68">
        <v>0.09</v>
      </c>
      <c r="O2" s="68">
        <v>0.06</v>
      </c>
      <c r="P2" s="68">
        <v>0.03</v>
      </c>
      <c r="Q2" s="68">
        <v>0</v>
      </c>
      <c r="R2" s="68"/>
      <c r="S2" s="68"/>
      <c r="T2" s="68"/>
      <c r="U2" s="68">
        <v>3</v>
      </c>
    </row>
    <row r="3" spans="2:21" x14ac:dyDescent="0.25">
      <c r="B3" s="68" t="s">
        <v>864</v>
      </c>
      <c r="C3" s="68">
        <v>7757</v>
      </c>
      <c r="D3" s="68">
        <v>381</v>
      </c>
      <c r="E3" s="68" t="s">
        <v>40</v>
      </c>
      <c r="F3" s="68">
        <v>1</v>
      </c>
      <c r="G3" s="68" t="s">
        <v>863</v>
      </c>
      <c r="H3" s="68" t="s">
        <v>49</v>
      </c>
      <c r="I3" s="68" t="s">
        <v>50</v>
      </c>
      <c r="J3" s="68" t="s">
        <v>812</v>
      </c>
      <c r="K3" s="68" t="s">
        <v>39</v>
      </c>
      <c r="L3" s="68">
        <v>0.15</v>
      </c>
      <c r="M3" s="68">
        <v>0.12</v>
      </c>
      <c r="N3" s="68">
        <v>0.09</v>
      </c>
      <c r="O3" s="68">
        <v>0.06</v>
      </c>
      <c r="P3" s="68">
        <v>0.03</v>
      </c>
      <c r="Q3" s="68">
        <v>0</v>
      </c>
      <c r="R3" s="68"/>
      <c r="S3" s="68"/>
      <c r="T3" s="68"/>
      <c r="U3" s="68">
        <v>3</v>
      </c>
    </row>
    <row r="4" spans="2:21" x14ac:dyDescent="0.25">
      <c r="B4" s="68" t="s">
        <v>865</v>
      </c>
      <c r="C4" s="68">
        <v>7758</v>
      </c>
      <c r="D4" s="68">
        <v>381</v>
      </c>
      <c r="E4" s="68" t="s">
        <v>23</v>
      </c>
      <c r="F4" s="68">
        <v>1</v>
      </c>
      <c r="G4" s="68" t="s">
        <v>863</v>
      </c>
      <c r="H4" s="68" t="s">
        <v>49</v>
      </c>
      <c r="I4" s="68" t="s">
        <v>50</v>
      </c>
      <c r="J4" s="68" t="s">
        <v>812</v>
      </c>
      <c r="K4" s="68" t="s">
        <v>39</v>
      </c>
      <c r="L4" s="68">
        <v>0.15</v>
      </c>
      <c r="M4" s="68">
        <v>0.12</v>
      </c>
      <c r="N4" s="68">
        <v>0.09</v>
      </c>
      <c r="O4" s="68">
        <v>0.06</v>
      </c>
      <c r="P4" s="68">
        <v>0.03</v>
      </c>
      <c r="Q4" s="68">
        <v>0</v>
      </c>
      <c r="R4" s="68"/>
      <c r="S4" s="68"/>
      <c r="T4" s="68"/>
      <c r="U4" s="68">
        <v>3</v>
      </c>
    </row>
    <row r="5" spans="2:21" x14ac:dyDescent="0.25">
      <c r="B5" s="68" t="s">
        <v>866</v>
      </c>
      <c r="C5" s="68">
        <v>7759</v>
      </c>
      <c r="D5" s="68">
        <v>381</v>
      </c>
      <c r="E5" s="68" t="s">
        <v>23</v>
      </c>
      <c r="F5" s="68">
        <v>1</v>
      </c>
      <c r="G5" s="68" t="s">
        <v>863</v>
      </c>
      <c r="H5" s="68" t="s">
        <v>49</v>
      </c>
      <c r="I5" s="68" t="s">
        <v>50</v>
      </c>
      <c r="J5" s="68" t="s">
        <v>812</v>
      </c>
      <c r="K5" s="68" t="s">
        <v>37</v>
      </c>
      <c r="L5" s="68">
        <v>0.15</v>
      </c>
      <c r="M5" s="68">
        <v>0.12</v>
      </c>
      <c r="N5" s="68">
        <v>0.09</v>
      </c>
      <c r="O5" s="68">
        <v>0.06</v>
      </c>
      <c r="P5" s="68">
        <v>0.03</v>
      </c>
      <c r="Q5" s="68">
        <v>0</v>
      </c>
      <c r="R5" s="68"/>
      <c r="S5" s="68"/>
      <c r="T5" s="68"/>
      <c r="U5" s="68">
        <v>3</v>
      </c>
    </row>
    <row r="6" spans="2:21" x14ac:dyDescent="0.25">
      <c r="B6" s="68" t="s">
        <v>867</v>
      </c>
      <c r="C6" s="68">
        <v>7760</v>
      </c>
      <c r="D6" s="68">
        <v>381</v>
      </c>
      <c r="E6" s="68" t="s">
        <v>813</v>
      </c>
      <c r="F6" s="68">
        <v>1</v>
      </c>
      <c r="G6" s="68" t="s">
        <v>863</v>
      </c>
      <c r="H6" s="68" t="s">
        <v>49</v>
      </c>
      <c r="I6" s="68" t="s">
        <v>50</v>
      </c>
      <c r="J6" s="68" t="s">
        <v>812</v>
      </c>
      <c r="K6" s="68" t="s">
        <v>37</v>
      </c>
      <c r="L6" s="68">
        <v>0.15</v>
      </c>
      <c r="M6" s="68">
        <v>0.12</v>
      </c>
      <c r="N6" s="68">
        <v>0.09</v>
      </c>
      <c r="O6" s="68">
        <v>0.06</v>
      </c>
      <c r="P6" s="68">
        <v>0.03</v>
      </c>
      <c r="Q6" s="68">
        <v>0</v>
      </c>
      <c r="R6" s="68"/>
      <c r="S6" s="68"/>
      <c r="T6" s="68"/>
      <c r="U6" s="68">
        <v>3</v>
      </c>
    </row>
    <row r="7" spans="2:21" x14ac:dyDescent="0.25">
      <c r="B7" s="68" t="s">
        <v>868</v>
      </c>
      <c r="C7" s="68">
        <v>7761</v>
      </c>
      <c r="D7" s="68">
        <v>381</v>
      </c>
      <c r="E7" s="68" t="s">
        <v>23</v>
      </c>
      <c r="F7" s="68">
        <v>1</v>
      </c>
      <c r="G7" s="68" t="s">
        <v>863</v>
      </c>
      <c r="H7" s="68" t="s">
        <v>44</v>
      </c>
      <c r="I7" s="68" t="s">
        <v>95</v>
      </c>
      <c r="J7" s="68" t="s">
        <v>812</v>
      </c>
      <c r="K7" s="68" t="s">
        <v>43</v>
      </c>
      <c r="L7" s="68">
        <v>0.3</v>
      </c>
      <c r="M7" s="68">
        <v>0.24</v>
      </c>
      <c r="N7" s="68">
        <v>0.18</v>
      </c>
      <c r="O7" s="68">
        <v>0.12</v>
      </c>
      <c r="P7" s="68">
        <v>0.06</v>
      </c>
      <c r="Q7" s="68">
        <v>0</v>
      </c>
      <c r="R7" s="68"/>
      <c r="S7" s="68"/>
      <c r="T7" s="68"/>
      <c r="U7" s="68">
        <v>3</v>
      </c>
    </row>
    <row r="8" spans="2:21" x14ac:dyDescent="0.25">
      <c r="B8" s="68" t="s">
        <v>869</v>
      </c>
      <c r="C8" s="68">
        <v>7762</v>
      </c>
      <c r="D8" s="68">
        <v>381</v>
      </c>
      <c r="E8" s="68" t="s">
        <v>33</v>
      </c>
      <c r="F8" s="68">
        <v>1</v>
      </c>
      <c r="G8" s="68" t="s">
        <v>863</v>
      </c>
      <c r="H8" s="68" t="s">
        <v>44</v>
      </c>
      <c r="I8" s="68" t="s">
        <v>95</v>
      </c>
      <c r="J8" s="68" t="s">
        <v>812</v>
      </c>
      <c r="K8" s="68" t="s">
        <v>43</v>
      </c>
      <c r="L8" s="68">
        <v>0.3</v>
      </c>
      <c r="M8" s="68">
        <v>0.24</v>
      </c>
      <c r="N8" s="68">
        <v>0.18</v>
      </c>
      <c r="O8" s="68">
        <v>0.12</v>
      </c>
      <c r="P8" s="68">
        <v>0.06</v>
      </c>
      <c r="Q8" s="68">
        <v>0</v>
      </c>
      <c r="R8" s="68"/>
      <c r="S8" s="68"/>
      <c r="T8" s="68"/>
      <c r="U8" s="68">
        <v>3</v>
      </c>
    </row>
    <row r="9" spans="2:21" x14ac:dyDescent="0.25">
      <c r="B9" s="68" t="s">
        <v>870</v>
      </c>
      <c r="C9" s="68">
        <v>7763</v>
      </c>
      <c r="D9" s="68">
        <v>381</v>
      </c>
      <c r="E9" s="68" t="s">
        <v>42</v>
      </c>
      <c r="F9" s="68">
        <v>1</v>
      </c>
      <c r="G9" s="68" t="s">
        <v>863</v>
      </c>
      <c r="H9" s="68" t="s">
        <v>44</v>
      </c>
      <c r="I9" s="68" t="s">
        <v>25</v>
      </c>
      <c r="J9" s="68" t="s">
        <v>811</v>
      </c>
      <c r="K9" s="68" t="s">
        <v>39</v>
      </c>
      <c r="L9" s="68">
        <v>0.1</v>
      </c>
      <c r="M9" s="68">
        <v>0.08</v>
      </c>
      <c r="N9" s="68">
        <v>0.06</v>
      </c>
      <c r="O9" s="68">
        <v>0.04</v>
      </c>
      <c r="P9" s="68">
        <v>0.02</v>
      </c>
      <c r="Q9" s="68">
        <v>0</v>
      </c>
      <c r="R9" s="68"/>
      <c r="S9" s="68"/>
      <c r="T9" s="68"/>
      <c r="U9" s="68">
        <v>3</v>
      </c>
    </row>
    <row r="10" spans="2:21" x14ac:dyDescent="0.25">
      <c r="B10" s="68" t="s">
        <v>871</v>
      </c>
      <c r="C10" s="68">
        <v>7764</v>
      </c>
      <c r="D10" s="68">
        <v>381</v>
      </c>
      <c r="E10" s="68" t="s">
        <v>40</v>
      </c>
      <c r="F10" s="68">
        <v>1</v>
      </c>
      <c r="G10" s="68" t="s">
        <v>863</v>
      </c>
      <c r="H10" s="68" t="s">
        <v>44</v>
      </c>
      <c r="I10" s="68" t="s">
        <v>25</v>
      </c>
      <c r="J10" s="68" t="s">
        <v>811</v>
      </c>
      <c r="K10" s="68" t="s">
        <v>39</v>
      </c>
      <c r="L10" s="68">
        <v>0.1</v>
      </c>
      <c r="M10" s="68">
        <v>0.08</v>
      </c>
      <c r="N10" s="68">
        <v>0.06</v>
      </c>
      <c r="O10" s="68">
        <v>0.04</v>
      </c>
      <c r="P10" s="68">
        <v>0.02</v>
      </c>
      <c r="Q10" s="68">
        <v>0</v>
      </c>
      <c r="R10" s="68"/>
      <c r="S10" s="68"/>
      <c r="T10" s="68"/>
      <c r="U10" s="68">
        <v>3</v>
      </c>
    </row>
    <row r="11" spans="2:21" x14ac:dyDescent="0.25">
      <c r="B11" s="68" t="s">
        <v>872</v>
      </c>
      <c r="C11" s="68">
        <v>7765</v>
      </c>
      <c r="D11" s="68">
        <v>381</v>
      </c>
      <c r="E11" s="68" t="s">
        <v>814</v>
      </c>
      <c r="F11" s="68">
        <v>1</v>
      </c>
      <c r="G11" s="68" t="s">
        <v>863</v>
      </c>
      <c r="H11" s="68" t="s">
        <v>44</v>
      </c>
      <c r="I11" s="68" t="s">
        <v>25</v>
      </c>
      <c r="J11" s="68" t="s">
        <v>811</v>
      </c>
      <c r="K11" s="68" t="s">
        <v>39</v>
      </c>
      <c r="L11" s="68">
        <v>0.1</v>
      </c>
      <c r="M11" s="68">
        <v>0.08</v>
      </c>
      <c r="N11" s="68">
        <v>0.06</v>
      </c>
      <c r="O11" s="68">
        <v>0.04</v>
      </c>
      <c r="P11" s="68">
        <v>0.02</v>
      </c>
      <c r="Q11" s="68">
        <v>0</v>
      </c>
      <c r="R11" s="68"/>
      <c r="S11" s="68"/>
      <c r="T11" s="68"/>
      <c r="U11" s="68">
        <v>3</v>
      </c>
    </row>
    <row r="12" spans="2:21" x14ac:dyDescent="0.25">
      <c r="B12" s="68" t="s">
        <v>873</v>
      </c>
      <c r="C12" s="68">
        <v>7766</v>
      </c>
      <c r="D12" s="68">
        <v>381</v>
      </c>
      <c r="E12" s="68" t="s">
        <v>23</v>
      </c>
      <c r="F12" s="68">
        <v>1</v>
      </c>
      <c r="G12" s="68" t="s">
        <v>863</v>
      </c>
      <c r="H12" s="68" t="s">
        <v>44</v>
      </c>
      <c r="I12" s="68" t="s">
        <v>25</v>
      </c>
      <c r="J12" s="68" t="s">
        <v>44</v>
      </c>
      <c r="K12" s="68" t="s">
        <v>43</v>
      </c>
      <c r="L12" s="68">
        <v>0.3</v>
      </c>
      <c r="M12" s="68">
        <v>0.24</v>
      </c>
      <c r="N12" s="68">
        <v>0.18</v>
      </c>
      <c r="O12" s="68">
        <v>0.12</v>
      </c>
      <c r="P12" s="68">
        <v>0.06</v>
      </c>
      <c r="Q12" s="68">
        <v>0</v>
      </c>
      <c r="R12" s="68"/>
      <c r="S12" s="68"/>
      <c r="T12" s="68"/>
      <c r="U12" s="68">
        <v>3</v>
      </c>
    </row>
    <row r="13" spans="2:21" x14ac:dyDescent="0.25">
      <c r="B13" s="68" t="s">
        <v>874</v>
      </c>
      <c r="C13" s="68">
        <v>7767</v>
      </c>
      <c r="D13" s="68">
        <v>381</v>
      </c>
      <c r="E13" s="68" t="s">
        <v>813</v>
      </c>
      <c r="F13" s="68">
        <v>1</v>
      </c>
      <c r="G13" s="68" t="s">
        <v>863</v>
      </c>
      <c r="H13" s="68" t="s">
        <v>44</v>
      </c>
      <c r="I13" s="68" t="s">
        <v>25</v>
      </c>
      <c r="J13" s="68" t="s">
        <v>44</v>
      </c>
      <c r="K13" s="68" t="s">
        <v>43</v>
      </c>
      <c r="L13" s="68">
        <v>0.3</v>
      </c>
      <c r="M13" s="68">
        <v>0.24</v>
      </c>
      <c r="N13" s="68">
        <v>0.18</v>
      </c>
      <c r="O13" s="68">
        <v>0.12</v>
      </c>
      <c r="P13" s="68">
        <v>0.06</v>
      </c>
      <c r="Q13" s="68">
        <v>0</v>
      </c>
      <c r="R13" s="68"/>
      <c r="S13" s="68"/>
      <c r="T13" s="68"/>
      <c r="U13" s="68">
        <v>3</v>
      </c>
    </row>
    <row r="14" spans="2:21" x14ac:dyDescent="0.25">
      <c r="B14" s="68" t="s">
        <v>875</v>
      </c>
      <c r="C14" s="68">
        <v>7768</v>
      </c>
      <c r="D14" s="68">
        <v>381</v>
      </c>
      <c r="E14" s="68" t="s">
        <v>23</v>
      </c>
      <c r="F14" s="68">
        <v>1</v>
      </c>
      <c r="G14" s="68" t="s">
        <v>863</v>
      </c>
      <c r="H14" s="68" t="s">
        <v>44</v>
      </c>
      <c r="I14" s="68" t="s">
        <v>55</v>
      </c>
      <c r="J14" s="68" t="s">
        <v>812</v>
      </c>
      <c r="K14" s="68" t="s">
        <v>43</v>
      </c>
      <c r="L14" s="68">
        <v>0.4</v>
      </c>
      <c r="M14" s="68">
        <v>0.32</v>
      </c>
      <c r="N14" s="68">
        <v>0.24</v>
      </c>
      <c r="O14" s="68">
        <v>0.16</v>
      </c>
      <c r="P14" s="68">
        <v>0.08</v>
      </c>
      <c r="Q14" s="68">
        <v>0</v>
      </c>
      <c r="R14" s="68"/>
      <c r="S14" s="68"/>
      <c r="T14" s="68"/>
      <c r="U14" s="68">
        <v>3</v>
      </c>
    </row>
    <row r="15" spans="2:21" x14ac:dyDescent="0.25">
      <c r="B15" s="68" t="s">
        <v>876</v>
      </c>
      <c r="C15" s="68">
        <v>7769</v>
      </c>
      <c r="D15" s="68">
        <v>381</v>
      </c>
      <c r="E15" s="68" t="s">
        <v>33</v>
      </c>
      <c r="F15" s="68">
        <v>1</v>
      </c>
      <c r="G15" s="68" t="s">
        <v>863</v>
      </c>
      <c r="H15" s="68" t="s">
        <v>44</v>
      </c>
      <c r="I15" s="68" t="s">
        <v>55</v>
      </c>
      <c r="J15" s="68" t="s">
        <v>812</v>
      </c>
      <c r="K15" s="68" t="s">
        <v>43</v>
      </c>
      <c r="L15" s="68">
        <v>0.4</v>
      </c>
      <c r="M15" s="68">
        <v>0.32</v>
      </c>
      <c r="N15" s="68">
        <v>0.24</v>
      </c>
      <c r="O15" s="68">
        <v>0.16</v>
      </c>
      <c r="P15" s="68">
        <v>0.08</v>
      </c>
      <c r="Q15" s="68">
        <v>0</v>
      </c>
      <c r="R15" s="68"/>
      <c r="S15" s="68"/>
      <c r="T15" s="68"/>
      <c r="U15" s="68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E32C8-CCEB-4335-98AA-47A687FC1131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6" bestFit="1" customWidth="1"/>
    <col min="2" max="2" width="18.42578125" style="16" customWidth="1"/>
    <col min="3" max="12" width="11" style="16" customWidth="1"/>
    <col min="13" max="16384" width="9.140625" style="16"/>
  </cols>
  <sheetData>
    <row r="1" spans="1:12" ht="12" thickBot="1" x14ac:dyDescent="0.25">
      <c r="A1" s="101" t="s">
        <v>1280</v>
      </c>
      <c r="B1" s="101" t="s">
        <v>22</v>
      </c>
      <c r="C1" s="101" t="s">
        <v>1279</v>
      </c>
      <c r="D1" s="101" t="s">
        <v>1278</v>
      </c>
      <c r="E1" s="101" t="s">
        <v>37</v>
      </c>
      <c r="F1" s="101" t="s">
        <v>1277</v>
      </c>
      <c r="G1" s="101" t="s">
        <v>1276</v>
      </c>
      <c r="H1" s="101" t="s">
        <v>780</v>
      </c>
      <c r="I1" s="101" t="s">
        <v>39</v>
      </c>
      <c r="J1" s="101" t="s">
        <v>779</v>
      </c>
      <c r="K1" s="101" t="s">
        <v>778</v>
      </c>
      <c r="L1" s="101" t="s">
        <v>777</v>
      </c>
    </row>
    <row r="2" spans="1:12" x14ac:dyDescent="0.2">
      <c r="A2" s="97" t="s">
        <v>1275</v>
      </c>
      <c r="B2" s="103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542.41719544107389</v>
      </c>
      <c r="C2" s="103">
        <f t="shared" si="0"/>
        <v>509.98194456373284</v>
      </c>
      <c r="D2" s="103">
        <f t="shared" si="0"/>
        <v>499.00385965140191</v>
      </c>
      <c r="E2" s="103">
        <f t="shared" si="0"/>
        <v>542.41719544107389</v>
      </c>
      <c r="F2" s="103">
        <f t="shared" si="0"/>
        <v>298.40430807153837</v>
      </c>
      <c r="G2" s="103">
        <f t="shared" si="0"/>
        <v>325.35051649271401</v>
      </c>
      <c r="H2" s="103">
        <f t="shared" si="0"/>
        <v>0</v>
      </c>
      <c r="I2" s="103">
        <f t="shared" si="0"/>
        <v>643.88228024230614</v>
      </c>
      <c r="J2" s="103">
        <f t="shared" si="0"/>
        <v>0</v>
      </c>
      <c r="K2" s="103">
        <f t="shared" si="0"/>
        <v>0</v>
      </c>
      <c r="L2" s="103">
        <f t="shared" si="0"/>
        <v>0</v>
      </c>
    </row>
    <row r="3" spans="1:12" ht="12" thickBot="1" x14ac:dyDescent="0.25">
      <c r="A3" s="95" t="s">
        <v>1274</v>
      </c>
      <c r="B3" s="102">
        <v>10.87</v>
      </c>
      <c r="C3" s="102">
        <v>10.220000000000001</v>
      </c>
      <c r="D3" s="102">
        <v>10</v>
      </c>
      <c r="E3" s="102">
        <v>10.87</v>
      </c>
      <c r="F3" s="102">
        <v>5.98</v>
      </c>
      <c r="G3" s="102">
        <v>6.52</v>
      </c>
      <c r="H3" s="102">
        <v>0</v>
      </c>
      <c r="I3" s="102">
        <f>'TUSD BE'!$AC$6</f>
        <v>12.903352705370144</v>
      </c>
      <c r="J3" s="102">
        <v>0</v>
      </c>
      <c r="K3" s="102">
        <v>0</v>
      </c>
      <c r="L3" s="102">
        <v>0</v>
      </c>
    </row>
    <row r="5" spans="1:12" ht="12" thickBot="1" x14ac:dyDescent="0.25">
      <c r="A5" s="101" t="s">
        <v>1273</v>
      </c>
      <c r="B5" s="101" t="s">
        <v>1272</v>
      </c>
    </row>
    <row r="6" spans="1:12" x14ac:dyDescent="0.2">
      <c r="A6" s="97" t="s">
        <v>1271</v>
      </c>
      <c r="B6" s="100">
        <v>0.1063543545436658</v>
      </c>
    </row>
    <row r="7" spans="1:12" x14ac:dyDescent="0.2">
      <c r="A7" s="99" t="s">
        <v>1270</v>
      </c>
      <c r="B7" s="98">
        <v>0.34</v>
      </c>
    </row>
    <row r="8" spans="1:12" x14ac:dyDescent="0.2">
      <c r="A8" s="97" t="s">
        <v>1269</v>
      </c>
      <c r="B8" s="96">
        <v>93564390.257428706</v>
      </c>
    </row>
    <row r="9" spans="1:12" x14ac:dyDescent="0.2">
      <c r="A9" s="99" t="s">
        <v>1268</v>
      </c>
      <c r="B9" s="98">
        <v>3.7199999999999997E-2</v>
      </c>
    </row>
    <row r="10" spans="1:12" x14ac:dyDescent="0.2">
      <c r="A10" s="97" t="s">
        <v>1267</v>
      </c>
      <c r="B10" s="96">
        <v>49256892.429881498</v>
      </c>
    </row>
    <row r="11" spans="1:12" ht="12" thickBot="1" x14ac:dyDescent="0.25">
      <c r="A11" s="95" t="s">
        <v>1266</v>
      </c>
      <c r="B11" s="94">
        <f>(1+$B$6)^(1/IF($B$9&lt;&gt;0,$B$9,1))*$B$6/IF((1+$B$6)^(1/IF($B$9&lt;&gt;0,$B$9,1))-1&lt;&gt;0,(1+$B$6)^(1/IF($B$9&lt;&gt;0,$B$9,1))-1,1)</f>
        <v>0.11387908641825369</v>
      </c>
    </row>
    <row r="18" spans="2:2" x14ac:dyDescent="0.2">
      <c r="B18" s="9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71DE7-E7A8-4441-9267-AB3E02712B4C}">
  <dimension ref="B1:AT49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" bestFit="1" customWidth="1"/>
    <col min="32" max="32" width="17.7109375" bestFit="1" customWidth="1"/>
    <col min="33" max="33" width="12.5703125" bestFit="1" customWidth="1"/>
    <col min="34" max="34" width="12" bestFit="1" customWidth="1"/>
    <col min="35" max="35" width="16.5703125" bestFit="1" customWidth="1"/>
    <col min="36" max="36" width="14.5703125" bestFit="1" customWidth="1"/>
    <col min="37" max="37" width="12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47" t="s">
        <v>1320</v>
      </c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</row>
    <row r="2" spans="2:46" ht="12" customHeight="1" x14ac:dyDescent="0.25">
      <c r="L2" s="148" t="s">
        <v>645</v>
      </c>
      <c r="M2" s="148"/>
      <c r="N2" s="148"/>
      <c r="O2" s="148"/>
      <c r="P2" s="148"/>
      <c r="Q2" s="148"/>
      <c r="R2" s="148"/>
      <c r="S2" s="149"/>
      <c r="T2" s="148" t="s">
        <v>654</v>
      </c>
      <c r="U2" s="148"/>
      <c r="V2" s="148"/>
      <c r="W2" s="148"/>
      <c r="X2" s="148"/>
      <c r="Y2" s="148"/>
      <c r="Z2" s="149"/>
      <c r="AA2" s="150" t="s">
        <v>662</v>
      </c>
      <c r="AB2" s="148" t="s">
        <v>25</v>
      </c>
      <c r="AC2" s="148"/>
      <c r="AD2" s="149"/>
      <c r="AE2" s="148" t="s">
        <v>1319</v>
      </c>
      <c r="AF2" s="148"/>
      <c r="AG2" s="148"/>
      <c r="AH2" s="149"/>
      <c r="AI2" s="148" t="s">
        <v>645</v>
      </c>
      <c r="AJ2" s="148"/>
      <c r="AK2" s="148"/>
      <c r="AL2" s="148"/>
      <c r="AM2" s="149"/>
      <c r="AN2" s="150" t="s">
        <v>676</v>
      </c>
      <c r="AO2" s="148" t="s">
        <v>654</v>
      </c>
      <c r="AP2" s="148"/>
      <c r="AQ2" s="148"/>
      <c r="AR2" s="148"/>
      <c r="AS2" s="149"/>
      <c r="AT2" s="151" t="s">
        <v>1319</v>
      </c>
    </row>
    <row r="3" spans="2:46" ht="12" customHeight="1" x14ac:dyDescent="0.25">
      <c r="B3" s="138" t="s">
        <v>70</v>
      </c>
      <c r="C3" s="139" t="s">
        <v>71</v>
      </c>
      <c r="D3" s="139" t="s">
        <v>72</v>
      </c>
      <c r="E3" s="139" t="s">
        <v>73</v>
      </c>
      <c r="F3" s="139" t="s">
        <v>74</v>
      </c>
      <c r="G3" s="139" t="s">
        <v>76</v>
      </c>
      <c r="H3" s="139" t="s">
        <v>77</v>
      </c>
      <c r="I3" s="139" t="s">
        <v>922</v>
      </c>
      <c r="J3" s="139" t="s">
        <v>1281</v>
      </c>
      <c r="K3" s="139" t="s">
        <v>1282</v>
      </c>
      <c r="L3" s="139" t="s">
        <v>1283</v>
      </c>
      <c r="M3" s="139" t="s">
        <v>1284</v>
      </c>
      <c r="N3" s="139" t="s">
        <v>1285</v>
      </c>
      <c r="O3" s="139" t="s">
        <v>1286</v>
      </c>
      <c r="P3" s="139" t="s">
        <v>1287</v>
      </c>
      <c r="Q3" s="139" t="s">
        <v>1288</v>
      </c>
      <c r="R3" s="139" t="s">
        <v>1289</v>
      </c>
      <c r="S3" s="139" t="s">
        <v>1290</v>
      </c>
      <c r="T3" s="139" t="s">
        <v>1291</v>
      </c>
      <c r="U3" s="139" t="s">
        <v>1292</v>
      </c>
      <c r="V3" s="139" t="s">
        <v>1293</v>
      </c>
      <c r="W3" s="139" t="s">
        <v>1294</v>
      </c>
      <c r="X3" s="139" t="s">
        <v>1295</v>
      </c>
      <c r="Y3" s="139" t="s">
        <v>1296</v>
      </c>
      <c r="Z3" s="139" t="s">
        <v>1297</v>
      </c>
      <c r="AA3" s="139" t="s">
        <v>1298</v>
      </c>
      <c r="AB3" s="139" t="s">
        <v>1299</v>
      </c>
      <c r="AC3" s="139" t="s">
        <v>1300</v>
      </c>
      <c r="AD3" s="139" t="s">
        <v>1301</v>
      </c>
      <c r="AE3" s="139" t="s">
        <v>1302</v>
      </c>
      <c r="AF3" s="139" t="s">
        <v>1303</v>
      </c>
      <c r="AG3" s="139" t="s">
        <v>1304</v>
      </c>
      <c r="AH3" s="139" t="s">
        <v>1305</v>
      </c>
      <c r="AI3" s="139" t="s">
        <v>1306</v>
      </c>
      <c r="AJ3" s="139" t="s">
        <v>1307</v>
      </c>
      <c r="AK3" s="139" t="s">
        <v>1308</v>
      </c>
      <c r="AL3" s="139" t="s">
        <v>1309</v>
      </c>
      <c r="AM3" s="139" t="s">
        <v>1310</v>
      </c>
      <c r="AN3" s="139" t="s">
        <v>1311</v>
      </c>
      <c r="AO3" s="139" t="s">
        <v>1312</v>
      </c>
      <c r="AP3" s="139" t="s">
        <v>1313</v>
      </c>
      <c r="AQ3" s="139" t="s">
        <v>1314</v>
      </c>
      <c r="AR3" s="139" t="s">
        <v>1315</v>
      </c>
      <c r="AS3" s="139" t="s">
        <v>1316</v>
      </c>
      <c r="AT3" s="140" t="s">
        <v>1317</v>
      </c>
    </row>
    <row r="4" spans="2:46" ht="12" customHeight="1" x14ac:dyDescent="0.25">
      <c r="B4" s="141" t="s">
        <v>39</v>
      </c>
      <c r="C4" s="142" t="s">
        <v>42</v>
      </c>
      <c r="D4" s="142" t="s">
        <v>25</v>
      </c>
      <c r="E4" s="142" t="s">
        <v>25</v>
      </c>
      <c r="F4" s="142" t="s">
        <v>87</v>
      </c>
      <c r="G4" s="142" t="s">
        <v>34</v>
      </c>
      <c r="H4" s="142" t="s">
        <v>80</v>
      </c>
      <c r="I4" s="142" t="s">
        <v>25</v>
      </c>
      <c r="J4" s="142">
        <v>22.27</v>
      </c>
      <c r="K4" s="142">
        <v>0</v>
      </c>
      <c r="L4" s="142">
        <v>0</v>
      </c>
      <c r="M4" s="142">
        <v>0.48664603921432698</v>
      </c>
      <c r="N4" s="142">
        <v>1.6371377922213499</v>
      </c>
      <c r="O4" s="142">
        <v>0</v>
      </c>
      <c r="P4" s="142">
        <v>0</v>
      </c>
      <c r="Q4" s="142">
        <v>0</v>
      </c>
      <c r="R4" s="142">
        <v>0</v>
      </c>
      <c r="S4" s="142">
        <v>0</v>
      </c>
      <c r="T4" s="142">
        <v>0</v>
      </c>
      <c r="U4" s="142">
        <v>0</v>
      </c>
      <c r="V4" s="142">
        <v>0</v>
      </c>
      <c r="W4" s="142">
        <v>0</v>
      </c>
      <c r="X4" s="142">
        <v>0</v>
      </c>
      <c r="Y4" s="142">
        <v>0</v>
      </c>
      <c r="Z4" s="142">
        <v>0</v>
      </c>
      <c r="AA4" s="142">
        <v>0</v>
      </c>
      <c r="AB4" s="142">
        <v>-0.64121051385333905</v>
      </c>
      <c r="AC4" s="142">
        <v>0</v>
      </c>
      <c r="AD4" s="142">
        <v>0</v>
      </c>
      <c r="AE4" s="142">
        <v>16.639624124025602</v>
      </c>
      <c r="AF4" s="142">
        <v>0.58689456722429101</v>
      </c>
      <c r="AG4" s="142">
        <v>3.1831502675418801</v>
      </c>
      <c r="AH4" s="142">
        <v>0.38131910618192699</v>
      </c>
      <c r="AI4" s="142">
        <v>0</v>
      </c>
      <c r="AJ4" s="142">
        <v>0</v>
      </c>
      <c r="AK4" s="142">
        <v>0</v>
      </c>
      <c r="AL4" s="142">
        <v>0</v>
      </c>
      <c r="AM4" s="142">
        <v>0</v>
      </c>
      <c r="AN4" s="142">
        <v>0</v>
      </c>
      <c r="AO4" s="142">
        <v>0</v>
      </c>
      <c r="AP4" s="142">
        <v>0</v>
      </c>
      <c r="AQ4" s="142">
        <v>0</v>
      </c>
      <c r="AR4" s="142">
        <v>0</v>
      </c>
      <c r="AS4" s="142">
        <v>0</v>
      </c>
      <c r="AT4" s="143">
        <v>0</v>
      </c>
    </row>
    <row r="5" spans="2:46" ht="12" customHeight="1" x14ac:dyDescent="0.25">
      <c r="B5" s="141" t="s">
        <v>39</v>
      </c>
      <c r="C5" s="142" t="s">
        <v>42</v>
      </c>
      <c r="D5" s="142" t="s">
        <v>25</v>
      </c>
      <c r="E5" s="142" t="s">
        <v>25</v>
      </c>
      <c r="F5" s="142" t="s">
        <v>87</v>
      </c>
      <c r="G5" s="142" t="s">
        <v>34</v>
      </c>
      <c r="H5" s="142" t="s">
        <v>83</v>
      </c>
      <c r="I5" s="142" t="s">
        <v>25</v>
      </c>
      <c r="J5" s="142">
        <v>57.52</v>
      </c>
      <c r="K5" s="142">
        <v>0</v>
      </c>
      <c r="L5" s="142">
        <v>0</v>
      </c>
      <c r="M5" s="142">
        <v>0</v>
      </c>
      <c r="N5" s="142">
        <v>0</v>
      </c>
      <c r="O5" s="142">
        <v>0</v>
      </c>
      <c r="P5" s="142">
        <v>0</v>
      </c>
      <c r="Q5" s="142">
        <v>0</v>
      </c>
      <c r="R5" s="142">
        <v>0</v>
      </c>
      <c r="S5" s="142">
        <v>0</v>
      </c>
      <c r="T5" s="142">
        <v>6.5044852624368703</v>
      </c>
      <c r="U5" s="142">
        <v>0.83247752325426505</v>
      </c>
      <c r="V5" s="142">
        <v>0.258002708898667</v>
      </c>
      <c r="W5" s="142">
        <v>0</v>
      </c>
      <c r="X5" s="142">
        <v>13.293691346705</v>
      </c>
      <c r="Y5" s="142">
        <v>0</v>
      </c>
      <c r="Z5" s="142">
        <v>0</v>
      </c>
      <c r="AA5" s="142">
        <v>38.347762379499599</v>
      </c>
      <c r="AB5" s="142">
        <v>-1.7197451443765801</v>
      </c>
      <c r="AC5" s="142">
        <v>0</v>
      </c>
      <c r="AD5" s="142">
        <v>0</v>
      </c>
      <c r="AE5" s="142">
        <v>0</v>
      </c>
      <c r="AF5" s="142">
        <v>0</v>
      </c>
      <c r="AG5" s="142">
        <v>0</v>
      </c>
      <c r="AH5" s="142">
        <v>0</v>
      </c>
      <c r="AI5" s="142">
        <v>0</v>
      </c>
      <c r="AJ5" s="142">
        <v>0</v>
      </c>
      <c r="AK5" s="142">
        <v>0</v>
      </c>
      <c r="AL5" s="142">
        <v>0</v>
      </c>
      <c r="AM5" s="142">
        <v>0</v>
      </c>
      <c r="AN5" s="142">
        <v>0</v>
      </c>
      <c r="AO5" s="142">
        <v>0</v>
      </c>
      <c r="AP5" s="142">
        <v>0</v>
      </c>
      <c r="AQ5" s="142">
        <v>0</v>
      </c>
      <c r="AR5" s="142">
        <v>0</v>
      </c>
      <c r="AS5" s="142">
        <v>0</v>
      </c>
      <c r="AT5" s="143">
        <v>0</v>
      </c>
    </row>
    <row r="6" spans="2:46" ht="12" customHeight="1" x14ac:dyDescent="0.25">
      <c r="B6" s="141" t="s">
        <v>39</v>
      </c>
      <c r="C6" s="142" t="s">
        <v>42</v>
      </c>
      <c r="D6" s="142" t="s">
        <v>25</v>
      </c>
      <c r="E6" s="142" t="s">
        <v>25</v>
      </c>
      <c r="F6" s="142" t="s">
        <v>87</v>
      </c>
      <c r="G6" s="142" t="s">
        <v>35</v>
      </c>
      <c r="H6" s="142" t="s">
        <v>80</v>
      </c>
      <c r="I6" s="142" t="s">
        <v>25</v>
      </c>
      <c r="J6" s="142">
        <v>22.27</v>
      </c>
      <c r="K6" s="142">
        <v>0</v>
      </c>
      <c r="L6" s="142">
        <v>0</v>
      </c>
      <c r="M6" s="142">
        <v>0.48664603921432698</v>
      </c>
      <c r="N6" s="142">
        <v>1.6371377922213499</v>
      </c>
      <c r="O6" s="142">
        <v>0</v>
      </c>
      <c r="P6" s="142">
        <v>0</v>
      </c>
      <c r="Q6" s="142">
        <v>0</v>
      </c>
      <c r="R6" s="142">
        <v>0</v>
      </c>
      <c r="S6" s="142">
        <v>0</v>
      </c>
      <c r="T6" s="142">
        <v>0</v>
      </c>
      <c r="U6" s="142">
        <v>0</v>
      </c>
      <c r="V6" s="142">
        <v>0</v>
      </c>
      <c r="W6" s="142">
        <v>0</v>
      </c>
      <c r="X6" s="142">
        <v>0</v>
      </c>
      <c r="Y6" s="142">
        <v>0</v>
      </c>
      <c r="Z6" s="142">
        <v>0</v>
      </c>
      <c r="AA6" s="142">
        <v>0</v>
      </c>
      <c r="AB6" s="142">
        <v>-0.64121051385333905</v>
      </c>
      <c r="AC6" s="142">
        <v>0</v>
      </c>
      <c r="AD6" s="142">
        <v>0</v>
      </c>
      <c r="AE6" s="142">
        <v>16.639624124025602</v>
      </c>
      <c r="AF6" s="142">
        <v>0.58689456722429101</v>
      </c>
      <c r="AG6" s="142">
        <v>3.1831502675418801</v>
      </c>
      <c r="AH6" s="142">
        <v>0.38131910618192699</v>
      </c>
      <c r="AI6" s="142">
        <v>0</v>
      </c>
      <c r="AJ6" s="142">
        <v>0</v>
      </c>
      <c r="AK6" s="142">
        <v>0</v>
      </c>
      <c r="AL6" s="142">
        <v>0</v>
      </c>
      <c r="AM6" s="142">
        <v>0</v>
      </c>
      <c r="AN6" s="142">
        <v>0</v>
      </c>
      <c r="AO6" s="142">
        <v>0</v>
      </c>
      <c r="AP6" s="142">
        <v>0</v>
      </c>
      <c r="AQ6" s="142">
        <v>0</v>
      </c>
      <c r="AR6" s="142">
        <v>0</v>
      </c>
      <c r="AS6" s="142">
        <v>0</v>
      </c>
      <c r="AT6" s="143">
        <v>0</v>
      </c>
    </row>
    <row r="7" spans="2:46" ht="12" customHeight="1" x14ac:dyDescent="0.25">
      <c r="B7" s="141" t="s">
        <v>39</v>
      </c>
      <c r="C7" s="142" t="s">
        <v>42</v>
      </c>
      <c r="D7" s="142" t="s">
        <v>25</v>
      </c>
      <c r="E7" s="142" t="s">
        <v>25</v>
      </c>
      <c r="F7" s="142" t="s">
        <v>87</v>
      </c>
      <c r="G7" s="142" t="s">
        <v>35</v>
      </c>
      <c r="H7" s="142" t="s">
        <v>83</v>
      </c>
      <c r="I7" s="142" t="s">
        <v>25</v>
      </c>
      <c r="J7" s="142">
        <v>18.37</v>
      </c>
      <c r="K7" s="142">
        <v>0</v>
      </c>
      <c r="L7" s="142">
        <v>0</v>
      </c>
      <c r="M7" s="142">
        <v>0</v>
      </c>
      <c r="N7" s="142">
        <v>0</v>
      </c>
      <c r="O7" s="142">
        <v>0</v>
      </c>
      <c r="P7" s="142">
        <v>0</v>
      </c>
      <c r="Q7" s="142">
        <v>0</v>
      </c>
      <c r="R7" s="142">
        <v>0</v>
      </c>
      <c r="S7" s="142">
        <v>0</v>
      </c>
      <c r="T7" s="142">
        <v>2.3077477987228598</v>
      </c>
      <c r="U7" s="142">
        <v>0.31123501198634002</v>
      </c>
      <c r="V7" s="142">
        <v>9.3588030961365198E-2</v>
      </c>
      <c r="W7" s="142">
        <v>0</v>
      </c>
      <c r="X7" s="142">
        <v>3.3048790298346602</v>
      </c>
      <c r="Y7" s="142">
        <v>0</v>
      </c>
      <c r="Z7" s="142">
        <v>0</v>
      </c>
      <c r="AA7" s="142">
        <v>12.9033527053701</v>
      </c>
      <c r="AB7" s="142">
        <v>-0.54894815321821899</v>
      </c>
      <c r="AC7" s="142">
        <v>0</v>
      </c>
      <c r="AD7" s="142">
        <v>0</v>
      </c>
      <c r="AE7" s="142">
        <v>0</v>
      </c>
      <c r="AF7" s="142">
        <v>0</v>
      </c>
      <c r="AG7" s="142">
        <v>0</v>
      </c>
      <c r="AH7" s="142">
        <v>0</v>
      </c>
      <c r="AI7" s="142">
        <v>0</v>
      </c>
      <c r="AJ7" s="142">
        <v>0</v>
      </c>
      <c r="AK7" s="142">
        <v>0</v>
      </c>
      <c r="AL7" s="142">
        <v>0</v>
      </c>
      <c r="AM7" s="142">
        <v>0</v>
      </c>
      <c r="AN7" s="142">
        <v>0</v>
      </c>
      <c r="AO7" s="142">
        <v>0</v>
      </c>
      <c r="AP7" s="142">
        <v>0</v>
      </c>
      <c r="AQ7" s="142">
        <v>0</v>
      </c>
      <c r="AR7" s="142">
        <v>0</v>
      </c>
      <c r="AS7" s="142">
        <v>0</v>
      </c>
      <c r="AT7" s="143">
        <v>0</v>
      </c>
    </row>
    <row r="8" spans="2:46" ht="12" customHeight="1" x14ac:dyDescent="0.25">
      <c r="B8" s="141" t="s">
        <v>39</v>
      </c>
      <c r="C8" s="142" t="s">
        <v>42</v>
      </c>
      <c r="D8" s="142" t="s">
        <v>25</v>
      </c>
      <c r="E8" s="142" t="s">
        <v>25</v>
      </c>
      <c r="F8" s="142" t="s">
        <v>25</v>
      </c>
      <c r="G8" s="142" t="s">
        <v>34</v>
      </c>
      <c r="H8" s="142" t="s">
        <v>80</v>
      </c>
      <c r="I8" s="142" t="s">
        <v>25</v>
      </c>
      <c r="J8" s="142">
        <v>147.99</v>
      </c>
      <c r="K8" s="142">
        <v>485.88</v>
      </c>
      <c r="L8" s="142">
        <v>6.0221580631225802</v>
      </c>
      <c r="M8" s="142">
        <v>0.48664603921432698</v>
      </c>
      <c r="N8" s="142">
        <v>1.63774155498535</v>
      </c>
      <c r="O8" s="142">
        <v>0</v>
      </c>
      <c r="P8" s="142">
        <v>0</v>
      </c>
      <c r="Q8" s="142">
        <v>102.460186488151</v>
      </c>
      <c r="R8" s="142">
        <v>20.1755022927364</v>
      </c>
      <c r="S8" s="142">
        <v>0</v>
      </c>
      <c r="T8" s="142">
        <v>0</v>
      </c>
      <c r="U8" s="142">
        <v>0</v>
      </c>
      <c r="V8" s="142">
        <v>0</v>
      </c>
      <c r="W8" s="142">
        <v>0</v>
      </c>
      <c r="X8" s="142">
        <v>0</v>
      </c>
      <c r="Y8" s="142">
        <v>0</v>
      </c>
      <c r="Z8" s="142">
        <v>0</v>
      </c>
      <c r="AA8" s="142">
        <v>0</v>
      </c>
      <c r="AB8" s="142">
        <v>-3.5789110158452</v>
      </c>
      <c r="AC8" s="142">
        <v>0</v>
      </c>
      <c r="AD8" s="142">
        <v>0</v>
      </c>
      <c r="AE8" s="142">
        <v>16.639624124025602</v>
      </c>
      <c r="AF8" s="142">
        <v>0.58689456722429101</v>
      </c>
      <c r="AG8" s="142">
        <v>3.1831502675418801</v>
      </c>
      <c r="AH8" s="142">
        <v>0.38131910618192699</v>
      </c>
      <c r="AI8" s="142">
        <v>11.466260648034</v>
      </c>
      <c r="AJ8" s="142">
        <v>-16.548726481878699</v>
      </c>
      <c r="AK8" s="142">
        <v>3.17503961123872</v>
      </c>
      <c r="AL8" s="142">
        <v>34.415377938656398</v>
      </c>
      <c r="AM8" s="142">
        <v>0</v>
      </c>
      <c r="AN8" s="142">
        <v>444.77359544623403</v>
      </c>
      <c r="AO8" s="142">
        <v>8.5683681027877991</v>
      </c>
      <c r="AP8" s="142">
        <v>5.2941791159378297</v>
      </c>
      <c r="AQ8" s="142">
        <v>0</v>
      </c>
      <c r="AR8" s="142">
        <v>-13.706871437682301</v>
      </c>
      <c r="AS8" s="142">
        <v>0</v>
      </c>
      <c r="AT8" s="143">
        <v>8.4387534752064806</v>
      </c>
    </row>
    <row r="9" spans="2:46" ht="12" customHeight="1" x14ac:dyDescent="0.25">
      <c r="B9" s="141" t="s">
        <v>39</v>
      </c>
      <c r="C9" s="142" t="s">
        <v>42</v>
      </c>
      <c r="D9" s="142" t="s">
        <v>25</v>
      </c>
      <c r="E9" s="142" t="s">
        <v>25</v>
      </c>
      <c r="F9" s="142" t="s">
        <v>25</v>
      </c>
      <c r="G9" s="142" t="s">
        <v>34</v>
      </c>
      <c r="H9" s="142" t="s">
        <v>83</v>
      </c>
      <c r="I9" s="142" t="s">
        <v>25</v>
      </c>
      <c r="J9" s="142">
        <v>57.52</v>
      </c>
      <c r="K9" s="142">
        <v>0</v>
      </c>
      <c r="L9" s="142">
        <v>0</v>
      </c>
      <c r="M9" s="142">
        <v>0</v>
      </c>
      <c r="N9" s="142">
        <v>0</v>
      </c>
      <c r="O9" s="142">
        <v>0</v>
      </c>
      <c r="P9" s="142">
        <v>0</v>
      </c>
      <c r="Q9" s="142">
        <v>0</v>
      </c>
      <c r="R9" s="142">
        <v>0</v>
      </c>
      <c r="S9" s="142">
        <v>0</v>
      </c>
      <c r="T9" s="142">
        <v>6.5044852624368703</v>
      </c>
      <c r="U9" s="142">
        <v>0.83247752325426505</v>
      </c>
      <c r="V9" s="142">
        <v>0.258002708898667</v>
      </c>
      <c r="W9" s="142">
        <v>0</v>
      </c>
      <c r="X9" s="142">
        <v>13.293691346705</v>
      </c>
      <c r="Y9" s="142">
        <v>0</v>
      </c>
      <c r="Z9" s="142">
        <v>0</v>
      </c>
      <c r="AA9" s="142">
        <v>38.347762379499599</v>
      </c>
      <c r="AB9" s="142">
        <v>-1.7197451443765801</v>
      </c>
      <c r="AC9" s="142">
        <v>0</v>
      </c>
      <c r="AD9" s="142">
        <v>0</v>
      </c>
      <c r="AE9" s="142">
        <v>0</v>
      </c>
      <c r="AF9" s="142">
        <v>0</v>
      </c>
      <c r="AG9" s="142">
        <v>0</v>
      </c>
      <c r="AH9" s="142">
        <v>0</v>
      </c>
      <c r="AI9" s="142">
        <v>0</v>
      </c>
      <c r="AJ9" s="142">
        <v>0</v>
      </c>
      <c r="AK9" s="142">
        <v>0</v>
      </c>
      <c r="AL9" s="142">
        <v>0</v>
      </c>
      <c r="AM9" s="142">
        <v>0</v>
      </c>
      <c r="AN9" s="142">
        <v>0</v>
      </c>
      <c r="AO9" s="142">
        <v>0</v>
      </c>
      <c r="AP9" s="142">
        <v>0</v>
      </c>
      <c r="AQ9" s="142">
        <v>0</v>
      </c>
      <c r="AR9" s="142">
        <v>0</v>
      </c>
      <c r="AS9" s="142">
        <v>0</v>
      </c>
      <c r="AT9" s="143">
        <v>0</v>
      </c>
    </row>
    <row r="10" spans="2:46" ht="12" customHeight="1" x14ac:dyDescent="0.25">
      <c r="B10" s="141" t="s">
        <v>39</v>
      </c>
      <c r="C10" s="142" t="s">
        <v>42</v>
      </c>
      <c r="D10" s="142" t="s">
        <v>25</v>
      </c>
      <c r="E10" s="142" t="s">
        <v>25</v>
      </c>
      <c r="F10" s="142" t="s">
        <v>25</v>
      </c>
      <c r="G10" s="142" t="s">
        <v>35</v>
      </c>
      <c r="H10" s="142" t="s">
        <v>80</v>
      </c>
      <c r="I10" s="142" t="s">
        <v>25</v>
      </c>
      <c r="J10" s="142">
        <v>147.99</v>
      </c>
      <c r="K10" s="142">
        <v>304.87</v>
      </c>
      <c r="L10" s="142">
        <v>6.0221580631225802</v>
      </c>
      <c r="M10" s="142">
        <v>0.48664603921432698</v>
      </c>
      <c r="N10" s="142">
        <v>1.63774155498535</v>
      </c>
      <c r="O10" s="142">
        <v>0</v>
      </c>
      <c r="P10" s="142">
        <v>0</v>
      </c>
      <c r="Q10" s="142">
        <v>102.460186488151</v>
      </c>
      <c r="R10" s="142">
        <v>20.1755022927364</v>
      </c>
      <c r="S10" s="142">
        <v>0</v>
      </c>
      <c r="T10" s="142">
        <v>0</v>
      </c>
      <c r="U10" s="142">
        <v>0</v>
      </c>
      <c r="V10" s="142">
        <v>0</v>
      </c>
      <c r="W10" s="142">
        <v>0</v>
      </c>
      <c r="X10" s="142">
        <v>0</v>
      </c>
      <c r="Y10" s="142">
        <v>0</v>
      </c>
      <c r="Z10" s="142">
        <v>0</v>
      </c>
      <c r="AA10" s="142">
        <v>0</v>
      </c>
      <c r="AB10" s="142">
        <v>-3.5789110158452</v>
      </c>
      <c r="AC10" s="142">
        <v>0</v>
      </c>
      <c r="AD10" s="142">
        <v>0</v>
      </c>
      <c r="AE10" s="142">
        <v>16.639624124025602</v>
      </c>
      <c r="AF10" s="142">
        <v>0.58689456722429101</v>
      </c>
      <c r="AG10" s="142">
        <v>3.1831502675418801</v>
      </c>
      <c r="AH10" s="142">
        <v>0.38131910618192699</v>
      </c>
      <c r="AI10" s="142">
        <v>11.466260648034</v>
      </c>
      <c r="AJ10" s="142">
        <v>-16.548726481878699</v>
      </c>
      <c r="AK10" s="142">
        <v>3.17503961123872</v>
      </c>
      <c r="AL10" s="142">
        <v>34.415377938656398</v>
      </c>
      <c r="AM10" s="142">
        <v>0</v>
      </c>
      <c r="AN10" s="142">
        <v>258.58929967804301</v>
      </c>
      <c r="AO10" s="142">
        <v>8.5683681027877991</v>
      </c>
      <c r="AP10" s="142">
        <v>5.2941791159378297</v>
      </c>
      <c r="AQ10" s="142">
        <v>0</v>
      </c>
      <c r="AR10" s="142">
        <v>-8.5282735514919299</v>
      </c>
      <c r="AS10" s="142">
        <v>0</v>
      </c>
      <c r="AT10" s="143">
        <v>8.4387534752064806</v>
      </c>
    </row>
    <row r="11" spans="2:46" ht="12" customHeight="1" x14ac:dyDescent="0.25">
      <c r="B11" s="141" t="s">
        <v>39</v>
      </c>
      <c r="C11" s="142" t="s">
        <v>42</v>
      </c>
      <c r="D11" s="142" t="s">
        <v>25</v>
      </c>
      <c r="E11" s="142" t="s">
        <v>25</v>
      </c>
      <c r="F11" s="142" t="s">
        <v>25</v>
      </c>
      <c r="G11" s="142" t="s">
        <v>35</v>
      </c>
      <c r="H11" s="142" t="s">
        <v>83</v>
      </c>
      <c r="I11" s="142" t="s">
        <v>25</v>
      </c>
      <c r="J11" s="142">
        <v>18.37</v>
      </c>
      <c r="K11" s="142">
        <v>0</v>
      </c>
      <c r="L11" s="142">
        <v>0</v>
      </c>
      <c r="M11" s="142">
        <v>0</v>
      </c>
      <c r="N11" s="142">
        <v>0</v>
      </c>
      <c r="O11" s="142">
        <v>0</v>
      </c>
      <c r="P11" s="142">
        <v>0</v>
      </c>
      <c r="Q11" s="142">
        <v>0</v>
      </c>
      <c r="R11" s="142">
        <v>0</v>
      </c>
      <c r="S11" s="142">
        <v>0</v>
      </c>
      <c r="T11" s="142">
        <v>2.3077477987228598</v>
      </c>
      <c r="U11" s="142">
        <v>0.31123501198634002</v>
      </c>
      <c r="V11" s="142">
        <v>9.3588030961365198E-2</v>
      </c>
      <c r="W11" s="142">
        <v>0</v>
      </c>
      <c r="X11" s="142">
        <v>3.3048790298346602</v>
      </c>
      <c r="Y11" s="142">
        <v>0</v>
      </c>
      <c r="Z11" s="142">
        <v>0</v>
      </c>
      <c r="AA11" s="142">
        <v>12.9033527053701</v>
      </c>
      <c r="AB11" s="142">
        <v>-0.54894815321821899</v>
      </c>
      <c r="AC11" s="142">
        <v>0</v>
      </c>
      <c r="AD11" s="142">
        <v>0</v>
      </c>
      <c r="AE11" s="142">
        <v>0</v>
      </c>
      <c r="AF11" s="142">
        <v>0</v>
      </c>
      <c r="AG11" s="142">
        <v>0</v>
      </c>
      <c r="AH11" s="142">
        <v>0</v>
      </c>
      <c r="AI11" s="142">
        <v>0</v>
      </c>
      <c r="AJ11" s="142">
        <v>0</v>
      </c>
      <c r="AK11" s="142">
        <v>0</v>
      </c>
      <c r="AL11" s="142">
        <v>0</v>
      </c>
      <c r="AM11" s="142">
        <v>0</v>
      </c>
      <c r="AN11" s="142">
        <v>0</v>
      </c>
      <c r="AO11" s="142">
        <v>0</v>
      </c>
      <c r="AP11" s="142">
        <v>0</v>
      </c>
      <c r="AQ11" s="142">
        <v>0</v>
      </c>
      <c r="AR11" s="142">
        <v>0</v>
      </c>
      <c r="AS11" s="142">
        <v>0</v>
      </c>
      <c r="AT11" s="143">
        <v>0</v>
      </c>
    </row>
    <row r="12" spans="2:46" ht="12" customHeight="1" x14ac:dyDescent="0.25">
      <c r="B12" s="141" t="s">
        <v>39</v>
      </c>
      <c r="C12" s="142" t="s">
        <v>59</v>
      </c>
      <c r="D12" s="142" t="s">
        <v>25</v>
      </c>
      <c r="E12" s="142" t="s">
        <v>25</v>
      </c>
      <c r="F12" s="142" t="s">
        <v>25</v>
      </c>
      <c r="G12" s="142" t="s">
        <v>25</v>
      </c>
      <c r="H12" s="142" t="s">
        <v>83</v>
      </c>
      <c r="I12" s="142" t="s">
        <v>25</v>
      </c>
      <c r="J12" s="142">
        <v>11.8</v>
      </c>
      <c r="K12" s="142">
        <v>0</v>
      </c>
      <c r="L12" s="142">
        <v>0</v>
      </c>
      <c r="M12" s="142">
        <v>4.4717466335900798E-2</v>
      </c>
      <c r="N12" s="142">
        <v>7.0700619664404397E-3</v>
      </c>
      <c r="O12" s="142">
        <v>0</v>
      </c>
      <c r="P12" s="142">
        <v>0</v>
      </c>
      <c r="Q12" s="142">
        <v>0</v>
      </c>
      <c r="R12" s="142">
        <v>0</v>
      </c>
      <c r="S12" s="142">
        <v>0</v>
      </c>
      <c r="T12" s="142">
        <v>0</v>
      </c>
      <c r="U12" s="142">
        <v>0</v>
      </c>
      <c r="V12" s="142">
        <v>0</v>
      </c>
      <c r="W12" s="142">
        <v>0</v>
      </c>
      <c r="X12" s="142">
        <v>0</v>
      </c>
      <c r="Y12" s="142">
        <v>0</v>
      </c>
      <c r="Z12" s="142">
        <v>0</v>
      </c>
      <c r="AA12" s="142">
        <v>12.099557100524301</v>
      </c>
      <c r="AB12" s="142">
        <v>-0.35874437500610401</v>
      </c>
      <c r="AC12" s="142">
        <v>0</v>
      </c>
      <c r="AD12" s="142">
        <v>0</v>
      </c>
      <c r="AE12" s="142">
        <v>8.0436179012532104E-3</v>
      </c>
      <c r="AF12" s="142">
        <v>0</v>
      </c>
      <c r="AG12" s="142">
        <v>0</v>
      </c>
      <c r="AH12" s="142">
        <v>0</v>
      </c>
      <c r="AI12" s="142">
        <v>0</v>
      </c>
      <c r="AJ12" s="142">
        <v>0</v>
      </c>
      <c r="AK12" s="142">
        <v>0</v>
      </c>
      <c r="AL12" s="142">
        <v>0</v>
      </c>
      <c r="AM12" s="142">
        <v>0</v>
      </c>
      <c r="AN12" s="142">
        <v>0</v>
      </c>
      <c r="AO12" s="142">
        <v>0</v>
      </c>
      <c r="AP12" s="142">
        <v>0</v>
      </c>
      <c r="AQ12" s="142">
        <v>0</v>
      </c>
      <c r="AR12" s="142">
        <v>0</v>
      </c>
      <c r="AS12" s="142">
        <v>0</v>
      </c>
      <c r="AT12" s="143">
        <v>0</v>
      </c>
    </row>
    <row r="13" spans="2:46" ht="12" customHeight="1" x14ac:dyDescent="0.25">
      <c r="B13" s="141" t="s">
        <v>39</v>
      </c>
      <c r="C13" s="142" t="s">
        <v>40</v>
      </c>
      <c r="D13" s="142" t="s">
        <v>25</v>
      </c>
      <c r="E13" s="142" t="s">
        <v>25</v>
      </c>
      <c r="F13" s="142" t="s">
        <v>87</v>
      </c>
      <c r="G13" s="142" t="s">
        <v>34</v>
      </c>
      <c r="H13" s="142" t="s">
        <v>80</v>
      </c>
      <c r="I13" s="142" t="s">
        <v>25</v>
      </c>
      <c r="J13" s="142">
        <v>1406.28</v>
      </c>
      <c r="K13" s="142">
        <v>0</v>
      </c>
      <c r="L13" s="142">
        <v>0</v>
      </c>
      <c r="M13" s="142">
        <v>0.48664603921432698</v>
      </c>
      <c r="N13" s="142">
        <v>2.3903524889979302</v>
      </c>
      <c r="O13" s="142">
        <v>0</v>
      </c>
      <c r="P13" s="142">
        <v>0</v>
      </c>
      <c r="Q13" s="142">
        <v>0</v>
      </c>
      <c r="R13" s="142">
        <v>0</v>
      </c>
      <c r="S13" s="142">
        <v>0</v>
      </c>
      <c r="T13" s="142">
        <v>156.43336203015599</v>
      </c>
      <c r="U13" s="142">
        <v>20.02258274763</v>
      </c>
      <c r="V13" s="142">
        <v>6.2041721327091803</v>
      </c>
      <c r="W13" s="142">
        <v>0</v>
      </c>
      <c r="X13" s="142">
        <v>319.71250201147802</v>
      </c>
      <c r="Y13" s="142">
        <v>0</v>
      </c>
      <c r="Z13" s="142">
        <v>0</v>
      </c>
      <c r="AA13" s="142">
        <v>922.26400380114205</v>
      </c>
      <c r="AB13" s="142">
        <v>-42.023321344684703</v>
      </c>
      <c r="AC13" s="142">
        <v>0</v>
      </c>
      <c r="AD13" s="142">
        <v>0</v>
      </c>
      <c r="AE13" s="142">
        <v>16.639624124025602</v>
      </c>
      <c r="AF13" s="142">
        <v>0.58689456722429101</v>
      </c>
      <c r="AG13" s="142">
        <v>3.1831502675418801</v>
      </c>
      <c r="AH13" s="142">
        <v>0.38131910618192699</v>
      </c>
      <c r="AI13" s="142">
        <v>0</v>
      </c>
      <c r="AJ13" s="142">
        <v>0</v>
      </c>
      <c r="AK13" s="142">
        <v>0</v>
      </c>
      <c r="AL13" s="142">
        <v>0</v>
      </c>
      <c r="AM13" s="142">
        <v>0</v>
      </c>
      <c r="AN13" s="142">
        <v>0</v>
      </c>
      <c r="AO13" s="142">
        <v>0</v>
      </c>
      <c r="AP13" s="142">
        <v>0</v>
      </c>
      <c r="AQ13" s="142">
        <v>0</v>
      </c>
      <c r="AR13" s="142">
        <v>0</v>
      </c>
      <c r="AS13" s="142">
        <v>0</v>
      </c>
      <c r="AT13" s="143">
        <v>0</v>
      </c>
    </row>
    <row r="14" spans="2:46" ht="12" customHeight="1" x14ac:dyDescent="0.25">
      <c r="B14" s="141" t="s">
        <v>39</v>
      </c>
      <c r="C14" s="142" t="s">
        <v>40</v>
      </c>
      <c r="D14" s="142" t="s">
        <v>25</v>
      </c>
      <c r="E14" s="142" t="s">
        <v>25</v>
      </c>
      <c r="F14" s="142" t="s">
        <v>87</v>
      </c>
      <c r="G14" s="142" t="s">
        <v>25</v>
      </c>
      <c r="H14" s="142" t="s">
        <v>83</v>
      </c>
      <c r="I14" s="142" t="s">
        <v>25</v>
      </c>
      <c r="J14" s="142">
        <v>18.37</v>
      </c>
      <c r="K14" s="142">
        <v>0</v>
      </c>
      <c r="L14" s="142">
        <v>0</v>
      </c>
      <c r="M14" s="142">
        <v>0</v>
      </c>
      <c r="N14" s="142">
        <v>0</v>
      </c>
      <c r="O14" s="142">
        <v>0</v>
      </c>
      <c r="P14" s="142">
        <v>0</v>
      </c>
      <c r="Q14" s="142">
        <v>0</v>
      </c>
      <c r="R14" s="142">
        <v>0</v>
      </c>
      <c r="S14" s="142">
        <v>0</v>
      </c>
      <c r="T14" s="142">
        <v>2.3077477987228598</v>
      </c>
      <c r="U14" s="142">
        <v>0.31123501198634002</v>
      </c>
      <c r="V14" s="142">
        <v>9.3588030961365198E-2</v>
      </c>
      <c r="W14" s="142">
        <v>0</v>
      </c>
      <c r="X14" s="142">
        <v>3.3048790298346602</v>
      </c>
      <c r="Y14" s="142">
        <v>0</v>
      </c>
      <c r="Z14" s="142">
        <v>0</v>
      </c>
      <c r="AA14" s="142">
        <v>12.9033527053701</v>
      </c>
      <c r="AB14" s="142">
        <v>-0.54894815321821899</v>
      </c>
      <c r="AC14" s="142">
        <v>0</v>
      </c>
      <c r="AD14" s="142">
        <v>0</v>
      </c>
      <c r="AE14" s="142">
        <v>0</v>
      </c>
      <c r="AF14" s="142">
        <v>0</v>
      </c>
      <c r="AG14" s="142">
        <v>0</v>
      </c>
      <c r="AH14" s="142">
        <v>0</v>
      </c>
      <c r="AI14" s="142">
        <v>0</v>
      </c>
      <c r="AJ14" s="142">
        <v>0</v>
      </c>
      <c r="AK14" s="142">
        <v>0</v>
      </c>
      <c r="AL14" s="142">
        <v>0</v>
      </c>
      <c r="AM14" s="142">
        <v>0</v>
      </c>
      <c r="AN14" s="142">
        <v>0</v>
      </c>
      <c r="AO14" s="142">
        <v>0</v>
      </c>
      <c r="AP14" s="142">
        <v>0</v>
      </c>
      <c r="AQ14" s="142">
        <v>0</v>
      </c>
      <c r="AR14" s="142">
        <v>0</v>
      </c>
      <c r="AS14" s="142">
        <v>0</v>
      </c>
      <c r="AT14" s="143">
        <v>0</v>
      </c>
    </row>
    <row r="15" spans="2:46" ht="12" customHeight="1" x14ac:dyDescent="0.25">
      <c r="B15" s="141" t="s">
        <v>39</v>
      </c>
      <c r="C15" s="142" t="s">
        <v>40</v>
      </c>
      <c r="D15" s="142" t="s">
        <v>25</v>
      </c>
      <c r="E15" s="142" t="s">
        <v>25</v>
      </c>
      <c r="F15" s="142" t="s">
        <v>87</v>
      </c>
      <c r="G15" s="142" t="s">
        <v>35</v>
      </c>
      <c r="H15" s="142" t="s">
        <v>80</v>
      </c>
      <c r="I15" s="142" t="s">
        <v>25</v>
      </c>
      <c r="J15" s="142">
        <v>22.27</v>
      </c>
      <c r="K15" s="142">
        <v>0</v>
      </c>
      <c r="L15" s="142">
        <v>0</v>
      </c>
      <c r="M15" s="142">
        <v>0.48664603921432698</v>
      </c>
      <c r="N15" s="142">
        <v>1.6371377922213499</v>
      </c>
      <c r="O15" s="142">
        <v>0</v>
      </c>
      <c r="P15" s="142">
        <v>0</v>
      </c>
      <c r="Q15" s="142">
        <v>0</v>
      </c>
      <c r="R15" s="142">
        <v>0</v>
      </c>
      <c r="S15" s="142">
        <v>0</v>
      </c>
      <c r="T15" s="142">
        <v>0</v>
      </c>
      <c r="U15" s="142">
        <v>0</v>
      </c>
      <c r="V15" s="142">
        <v>0</v>
      </c>
      <c r="W15" s="142">
        <v>0</v>
      </c>
      <c r="X15" s="142">
        <v>0</v>
      </c>
      <c r="Y15" s="142">
        <v>0</v>
      </c>
      <c r="Z15" s="142">
        <v>0</v>
      </c>
      <c r="AA15" s="142">
        <v>0</v>
      </c>
      <c r="AB15" s="142">
        <v>-0.64121051385333905</v>
      </c>
      <c r="AC15" s="142">
        <v>0</v>
      </c>
      <c r="AD15" s="142">
        <v>0</v>
      </c>
      <c r="AE15" s="142">
        <v>16.639624124025602</v>
      </c>
      <c r="AF15" s="142">
        <v>0.58689456722429101</v>
      </c>
      <c r="AG15" s="142">
        <v>3.1831502675418801</v>
      </c>
      <c r="AH15" s="142">
        <v>0.38131910618192699</v>
      </c>
      <c r="AI15" s="142">
        <v>0</v>
      </c>
      <c r="AJ15" s="142">
        <v>0</v>
      </c>
      <c r="AK15" s="142">
        <v>0</v>
      </c>
      <c r="AL15" s="142">
        <v>0</v>
      </c>
      <c r="AM15" s="142">
        <v>0</v>
      </c>
      <c r="AN15" s="142">
        <v>0</v>
      </c>
      <c r="AO15" s="142">
        <v>0</v>
      </c>
      <c r="AP15" s="142">
        <v>0</v>
      </c>
      <c r="AQ15" s="142">
        <v>0</v>
      </c>
      <c r="AR15" s="142">
        <v>0</v>
      </c>
      <c r="AS15" s="142">
        <v>0</v>
      </c>
      <c r="AT15" s="143">
        <v>0</v>
      </c>
    </row>
    <row r="16" spans="2:46" ht="12" customHeight="1" x14ac:dyDescent="0.25">
      <c r="B16" s="141" t="s">
        <v>39</v>
      </c>
      <c r="C16" s="142" t="s">
        <v>40</v>
      </c>
      <c r="D16" s="142" t="s">
        <v>25</v>
      </c>
      <c r="E16" s="142" t="s">
        <v>25</v>
      </c>
      <c r="F16" s="142" t="s">
        <v>25</v>
      </c>
      <c r="G16" s="142" t="s">
        <v>34</v>
      </c>
      <c r="H16" s="142" t="s">
        <v>80</v>
      </c>
      <c r="I16" s="142" t="s">
        <v>25</v>
      </c>
      <c r="J16" s="142">
        <v>1532</v>
      </c>
      <c r="K16" s="142">
        <v>485.88</v>
      </c>
      <c r="L16" s="142">
        <v>6.0221580631225802</v>
      </c>
      <c r="M16" s="142">
        <v>0.48664603921432698</v>
      </c>
      <c r="N16" s="142">
        <v>2.3909562517619301</v>
      </c>
      <c r="O16" s="142">
        <v>0</v>
      </c>
      <c r="P16" s="142">
        <v>0</v>
      </c>
      <c r="Q16" s="142">
        <v>102.460186488151</v>
      </c>
      <c r="R16" s="142">
        <v>20.1755022927364</v>
      </c>
      <c r="S16" s="142">
        <v>0</v>
      </c>
      <c r="T16" s="142">
        <v>156.43336203015599</v>
      </c>
      <c r="U16" s="142">
        <v>20.02258274763</v>
      </c>
      <c r="V16" s="142">
        <v>6.2041721327091803</v>
      </c>
      <c r="W16" s="142">
        <v>0</v>
      </c>
      <c r="X16" s="142">
        <v>319.71250201147802</v>
      </c>
      <c r="Y16" s="142">
        <v>0</v>
      </c>
      <c r="Z16" s="142">
        <v>0</v>
      </c>
      <c r="AA16" s="142">
        <v>922.26400380114205</v>
      </c>
      <c r="AB16" s="142">
        <v>-44.961021846676601</v>
      </c>
      <c r="AC16" s="142">
        <v>0</v>
      </c>
      <c r="AD16" s="142">
        <v>0</v>
      </c>
      <c r="AE16" s="142">
        <v>16.639624124025602</v>
      </c>
      <c r="AF16" s="142">
        <v>0.58689456722429101</v>
      </c>
      <c r="AG16" s="142">
        <v>3.1831502675418801</v>
      </c>
      <c r="AH16" s="142">
        <v>0.38131910618192699</v>
      </c>
      <c r="AI16" s="142">
        <v>11.466260648034</v>
      </c>
      <c r="AJ16" s="142">
        <v>-16.548726481878699</v>
      </c>
      <c r="AK16" s="142">
        <v>3.17503961123872</v>
      </c>
      <c r="AL16" s="142">
        <v>34.415377938656398</v>
      </c>
      <c r="AM16" s="142">
        <v>0</v>
      </c>
      <c r="AN16" s="142">
        <v>444.77359544623403</v>
      </c>
      <c r="AO16" s="142">
        <v>8.5683681027877991</v>
      </c>
      <c r="AP16" s="142">
        <v>5.2941791159378297</v>
      </c>
      <c r="AQ16" s="142">
        <v>0</v>
      </c>
      <c r="AR16" s="142">
        <v>-13.706871437682301</v>
      </c>
      <c r="AS16" s="142">
        <v>0</v>
      </c>
      <c r="AT16" s="143">
        <v>8.4387534752064806</v>
      </c>
    </row>
    <row r="17" spans="2:46" ht="12" customHeight="1" x14ac:dyDescent="0.25">
      <c r="B17" s="141" t="s">
        <v>39</v>
      </c>
      <c r="C17" s="142" t="s">
        <v>40</v>
      </c>
      <c r="D17" s="142" t="s">
        <v>25</v>
      </c>
      <c r="E17" s="142" t="s">
        <v>25</v>
      </c>
      <c r="F17" s="142" t="s">
        <v>25</v>
      </c>
      <c r="G17" s="142" t="s">
        <v>25</v>
      </c>
      <c r="H17" s="142" t="s">
        <v>83</v>
      </c>
      <c r="I17" s="142" t="s">
        <v>25</v>
      </c>
      <c r="J17" s="142">
        <v>18.37</v>
      </c>
      <c r="K17" s="142">
        <v>0</v>
      </c>
      <c r="L17" s="142">
        <v>0</v>
      </c>
      <c r="M17" s="142">
        <v>0</v>
      </c>
      <c r="N17" s="142">
        <v>0</v>
      </c>
      <c r="O17" s="142">
        <v>0</v>
      </c>
      <c r="P17" s="142">
        <v>0</v>
      </c>
      <c r="Q17" s="142">
        <v>0</v>
      </c>
      <c r="R17" s="142">
        <v>0</v>
      </c>
      <c r="S17" s="142">
        <v>0</v>
      </c>
      <c r="T17" s="142">
        <v>2.3077477987228598</v>
      </c>
      <c r="U17" s="142">
        <v>0.31123501198634002</v>
      </c>
      <c r="V17" s="142">
        <v>9.3588030961365198E-2</v>
      </c>
      <c r="W17" s="142">
        <v>0</v>
      </c>
      <c r="X17" s="142">
        <v>3.3048790298346602</v>
      </c>
      <c r="Y17" s="142">
        <v>0</v>
      </c>
      <c r="Z17" s="142">
        <v>0</v>
      </c>
      <c r="AA17" s="142">
        <v>12.9033527053701</v>
      </c>
      <c r="AB17" s="142">
        <v>-0.54894815321821899</v>
      </c>
      <c r="AC17" s="142">
        <v>0</v>
      </c>
      <c r="AD17" s="142">
        <v>0</v>
      </c>
      <c r="AE17" s="142">
        <v>0</v>
      </c>
      <c r="AF17" s="142">
        <v>0</v>
      </c>
      <c r="AG17" s="142">
        <v>0</v>
      </c>
      <c r="AH17" s="142">
        <v>0</v>
      </c>
      <c r="AI17" s="142">
        <v>0</v>
      </c>
      <c r="AJ17" s="142">
        <v>0</v>
      </c>
      <c r="AK17" s="142">
        <v>0</v>
      </c>
      <c r="AL17" s="142">
        <v>0</v>
      </c>
      <c r="AM17" s="142">
        <v>0</v>
      </c>
      <c r="AN17" s="142">
        <v>0</v>
      </c>
      <c r="AO17" s="142">
        <v>0</v>
      </c>
      <c r="AP17" s="142">
        <v>0</v>
      </c>
      <c r="AQ17" s="142">
        <v>0</v>
      </c>
      <c r="AR17" s="142">
        <v>0</v>
      </c>
      <c r="AS17" s="142">
        <v>0</v>
      </c>
      <c r="AT17" s="143">
        <v>0</v>
      </c>
    </row>
    <row r="18" spans="2:46" ht="12" customHeight="1" x14ac:dyDescent="0.25">
      <c r="B18" s="141" t="s">
        <v>39</v>
      </c>
      <c r="C18" s="142" t="s">
        <v>40</v>
      </c>
      <c r="D18" s="142" t="s">
        <v>25</v>
      </c>
      <c r="E18" s="142" t="s">
        <v>25</v>
      </c>
      <c r="F18" s="142" t="s">
        <v>25</v>
      </c>
      <c r="G18" s="142" t="s">
        <v>35</v>
      </c>
      <c r="H18" s="142" t="s">
        <v>80</v>
      </c>
      <c r="I18" s="142" t="s">
        <v>25</v>
      </c>
      <c r="J18" s="142">
        <v>147.99</v>
      </c>
      <c r="K18" s="142">
        <v>304.87</v>
      </c>
      <c r="L18" s="142">
        <v>6.0221580631225802</v>
      </c>
      <c r="M18" s="142">
        <v>0.48664603921432698</v>
      </c>
      <c r="N18" s="142">
        <v>1.63774155498535</v>
      </c>
      <c r="O18" s="142">
        <v>0</v>
      </c>
      <c r="P18" s="142">
        <v>0</v>
      </c>
      <c r="Q18" s="142">
        <v>102.460186488151</v>
      </c>
      <c r="R18" s="142">
        <v>20.1755022927364</v>
      </c>
      <c r="S18" s="142">
        <v>0</v>
      </c>
      <c r="T18" s="142">
        <v>0</v>
      </c>
      <c r="U18" s="142">
        <v>0</v>
      </c>
      <c r="V18" s="142">
        <v>0</v>
      </c>
      <c r="W18" s="142">
        <v>0</v>
      </c>
      <c r="X18" s="142">
        <v>0</v>
      </c>
      <c r="Y18" s="142">
        <v>0</v>
      </c>
      <c r="Z18" s="142">
        <v>0</v>
      </c>
      <c r="AA18" s="142">
        <v>0</v>
      </c>
      <c r="AB18" s="142">
        <v>-3.5789110158452</v>
      </c>
      <c r="AC18" s="142">
        <v>0</v>
      </c>
      <c r="AD18" s="142">
        <v>0</v>
      </c>
      <c r="AE18" s="142">
        <v>16.639624124025602</v>
      </c>
      <c r="AF18" s="142">
        <v>0.58689456722429101</v>
      </c>
      <c r="AG18" s="142">
        <v>3.1831502675418801</v>
      </c>
      <c r="AH18" s="142">
        <v>0.38131910618192699</v>
      </c>
      <c r="AI18" s="142">
        <v>11.466260648034</v>
      </c>
      <c r="AJ18" s="142">
        <v>-16.548726481878699</v>
      </c>
      <c r="AK18" s="142">
        <v>3.17503961123872</v>
      </c>
      <c r="AL18" s="142">
        <v>34.415377938656398</v>
      </c>
      <c r="AM18" s="142">
        <v>0</v>
      </c>
      <c r="AN18" s="142">
        <v>258.58929967804301</v>
      </c>
      <c r="AO18" s="142">
        <v>8.5683681027877991</v>
      </c>
      <c r="AP18" s="142">
        <v>5.2941791159378297</v>
      </c>
      <c r="AQ18" s="142">
        <v>0</v>
      </c>
      <c r="AR18" s="142">
        <v>-8.5282735514919299</v>
      </c>
      <c r="AS18" s="142">
        <v>0</v>
      </c>
      <c r="AT18" s="143">
        <v>8.4387534752064806</v>
      </c>
    </row>
    <row r="19" spans="2:46" ht="12" customHeight="1" x14ac:dyDescent="0.25">
      <c r="B19" s="141" t="s">
        <v>88</v>
      </c>
      <c r="C19" s="142" t="s">
        <v>59</v>
      </c>
      <c r="D19" s="142" t="s">
        <v>25</v>
      </c>
      <c r="E19" s="142" t="s">
        <v>25</v>
      </c>
      <c r="F19" s="142" t="s">
        <v>89</v>
      </c>
      <c r="G19" s="142" t="s">
        <v>25</v>
      </c>
      <c r="H19" s="142" t="s">
        <v>83</v>
      </c>
      <c r="I19" s="142" t="s">
        <v>25</v>
      </c>
      <c r="J19" s="142">
        <v>1.7</v>
      </c>
      <c r="K19" s="142">
        <v>0</v>
      </c>
      <c r="L19" s="142">
        <v>0</v>
      </c>
      <c r="M19" s="142">
        <v>6.4896096269788E-3</v>
      </c>
      <c r="N19" s="142">
        <v>9.5998279476006002E-4</v>
      </c>
      <c r="O19" s="142">
        <v>0</v>
      </c>
      <c r="P19" s="142">
        <v>0</v>
      </c>
      <c r="Q19" s="142">
        <v>0</v>
      </c>
      <c r="R19" s="142">
        <v>0</v>
      </c>
      <c r="S19" s="142">
        <v>0</v>
      </c>
      <c r="T19" s="142">
        <v>0</v>
      </c>
      <c r="U19" s="142">
        <v>0</v>
      </c>
      <c r="V19" s="142">
        <v>0</v>
      </c>
      <c r="W19" s="142">
        <v>0</v>
      </c>
      <c r="X19" s="142">
        <v>0</v>
      </c>
      <c r="Y19" s="142">
        <v>0</v>
      </c>
      <c r="Z19" s="142">
        <v>0</v>
      </c>
      <c r="AA19" s="142">
        <v>1.74479781218623</v>
      </c>
      <c r="AB19" s="142">
        <v>-5.1699371505740901E-2</v>
      </c>
      <c r="AC19" s="142">
        <v>0</v>
      </c>
      <c r="AD19" s="142">
        <v>0</v>
      </c>
      <c r="AE19" s="142">
        <v>0</v>
      </c>
      <c r="AF19" s="142">
        <v>0</v>
      </c>
      <c r="AG19" s="142">
        <v>0</v>
      </c>
      <c r="AH19" s="142">
        <v>0</v>
      </c>
      <c r="AI19" s="142">
        <v>0</v>
      </c>
      <c r="AJ19" s="142">
        <v>0</v>
      </c>
      <c r="AK19" s="142">
        <v>0</v>
      </c>
      <c r="AL19" s="142">
        <v>0</v>
      </c>
      <c r="AM19" s="142">
        <v>0</v>
      </c>
      <c r="AN19" s="142">
        <v>0</v>
      </c>
      <c r="AO19" s="142">
        <v>0</v>
      </c>
      <c r="AP19" s="142">
        <v>0</v>
      </c>
      <c r="AQ19" s="142">
        <v>0</v>
      </c>
      <c r="AR19" s="142">
        <v>0</v>
      </c>
      <c r="AS19" s="142">
        <v>0</v>
      </c>
      <c r="AT19" s="143">
        <v>0</v>
      </c>
    </row>
    <row r="20" spans="2:46" ht="12" customHeight="1" x14ac:dyDescent="0.25">
      <c r="B20" s="141" t="s">
        <v>88</v>
      </c>
      <c r="C20" s="142" t="s">
        <v>59</v>
      </c>
      <c r="D20" s="142" t="s">
        <v>25</v>
      </c>
      <c r="E20" s="142" t="s">
        <v>25</v>
      </c>
      <c r="F20" s="142" t="s">
        <v>90</v>
      </c>
      <c r="G20" s="142" t="s">
        <v>25</v>
      </c>
      <c r="H20" s="142" t="s">
        <v>83</v>
      </c>
      <c r="I20" s="142" t="s">
        <v>25</v>
      </c>
      <c r="J20" s="142">
        <v>15.21</v>
      </c>
      <c r="K20" s="142">
        <v>0</v>
      </c>
      <c r="L20" s="142">
        <v>0</v>
      </c>
      <c r="M20" s="142">
        <v>6.4896096269788E-3</v>
      </c>
      <c r="N20" s="142">
        <v>9.5998279476006002E-4</v>
      </c>
      <c r="O20" s="142">
        <v>0</v>
      </c>
      <c r="P20" s="142">
        <v>0</v>
      </c>
      <c r="Q20" s="142">
        <v>0</v>
      </c>
      <c r="R20" s="142">
        <v>0</v>
      </c>
      <c r="S20" s="142">
        <v>0</v>
      </c>
      <c r="T20" s="142">
        <v>0</v>
      </c>
      <c r="U20" s="142">
        <v>0</v>
      </c>
      <c r="V20" s="142">
        <v>0</v>
      </c>
      <c r="W20" s="142">
        <v>0</v>
      </c>
      <c r="X20" s="142">
        <v>0</v>
      </c>
      <c r="Y20" s="142">
        <v>0</v>
      </c>
      <c r="Z20" s="142">
        <v>0</v>
      </c>
      <c r="AA20" s="142">
        <v>15.666709059053</v>
      </c>
      <c r="AB20" s="142">
        <v>-0.46245915150792299</v>
      </c>
      <c r="AC20" s="142">
        <v>0</v>
      </c>
      <c r="AD20" s="142">
        <v>0</v>
      </c>
      <c r="AE20" s="142">
        <v>0</v>
      </c>
      <c r="AF20" s="142">
        <v>0</v>
      </c>
      <c r="AG20" s="142">
        <v>0</v>
      </c>
      <c r="AH20" s="142">
        <v>0</v>
      </c>
      <c r="AI20" s="142">
        <v>0</v>
      </c>
      <c r="AJ20" s="142">
        <v>0</v>
      </c>
      <c r="AK20" s="142">
        <v>0</v>
      </c>
      <c r="AL20" s="142">
        <v>0</v>
      </c>
      <c r="AM20" s="142">
        <v>0</v>
      </c>
      <c r="AN20" s="142">
        <v>0</v>
      </c>
      <c r="AO20" s="142">
        <v>0</v>
      </c>
      <c r="AP20" s="142">
        <v>0</v>
      </c>
      <c r="AQ20" s="142">
        <v>0</v>
      </c>
      <c r="AR20" s="142">
        <v>0</v>
      </c>
      <c r="AS20" s="142">
        <v>0</v>
      </c>
      <c r="AT20" s="143">
        <v>0</v>
      </c>
    </row>
    <row r="21" spans="2:46" ht="12" customHeight="1" x14ac:dyDescent="0.25">
      <c r="B21" s="141" t="s">
        <v>22</v>
      </c>
      <c r="C21" s="142" t="s">
        <v>33</v>
      </c>
      <c r="D21" s="142" t="s">
        <v>24</v>
      </c>
      <c r="E21" s="142" t="s">
        <v>24</v>
      </c>
      <c r="F21" s="142" t="s">
        <v>25</v>
      </c>
      <c r="G21" s="142" t="s">
        <v>34</v>
      </c>
      <c r="H21" s="142" t="s">
        <v>80</v>
      </c>
      <c r="I21" s="142" t="s">
        <v>25</v>
      </c>
      <c r="J21" s="142">
        <v>970.46</v>
      </c>
      <c r="K21" s="142">
        <v>485.88</v>
      </c>
      <c r="L21" s="142">
        <v>7.1692357894316503</v>
      </c>
      <c r="M21" s="142">
        <v>0.74078524590952799</v>
      </c>
      <c r="N21" s="142">
        <v>3.5042827764753799</v>
      </c>
      <c r="O21" s="142">
        <v>0</v>
      </c>
      <c r="P21" s="142">
        <v>0</v>
      </c>
      <c r="Q21" s="142">
        <v>121.976412485894</v>
      </c>
      <c r="R21" s="142">
        <v>20.1755022927364</v>
      </c>
      <c r="S21" s="142">
        <v>0</v>
      </c>
      <c r="T21" s="142">
        <v>88.721652943828801</v>
      </c>
      <c r="U21" s="142">
        <v>11.692813137204199</v>
      </c>
      <c r="V21" s="142">
        <v>3.5620355225282401</v>
      </c>
      <c r="W21" s="142">
        <v>0</v>
      </c>
      <c r="X21" s="142">
        <v>130.72573456002499</v>
      </c>
      <c r="Y21" s="142">
        <v>0</v>
      </c>
      <c r="Z21" s="142">
        <v>0</v>
      </c>
      <c r="AA21" s="142">
        <v>573.16404901963097</v>
      </c>
      <c r="AB21" s="142">
        <v>-28.047597479613898</v>
      </c>
      <c r="AC21" s="142">
        <v>0</v>
      </c>
      <c r="AD21" s="142">
        <v>0</v>
      </c>
      <c r="AE21" s="142">
        <v>31.276485843734601</v>
      </c>
      <c r="AF21" s="142">
        <v>1.1031498960996</v>
      </c>
      <c r="AG21" s="142">
        <v>4.1967072797042002</v>
      </c>
      <c r="AH21" s="142">
        <v>0.50273613694014596</v>
      </c>
      <c r="AI21" s="142">
        <v>11.466260648034</v>
      </c>
      <c r="AJ21" s="142">
        <v>-16.548726481878699</v>
      </c>
      <c r="AK21" s="142">
        <v>3.17503961123872</v>
      </c>
      <c r="AL21" s="142">
        <v>34.415377938656398</v>
      </c>
      <c r="AM21" s="142">
        <v>0</v>
      </c>
      <c r="AN21" s="142">
        <v>444.77359544623403</v>
      </c>
      <c r="AO21" s="142">
        <v>8.5683681027877991</v>
      </c>
      <c r="AP21" s="142">
        <v>5.2941791159378297</v>
      </c>
      <c r="AQ21" s="142">
        <v>0</v>
      </c>
      <c r="AR21" s="142">
        <v>-13.706871437682301</v>
      </c>
      <c r="AS21" s="142">
        <v>0</v>
      </c>
      <c r="AT21" s="143">
        <v>8.4387534752064806</v>
      </c>
    </row>
    <row r="22" spans="2:46" ht="12" customHeight="1" x14ac:dyDescent="0.25">
      <c r="B22" s="141" t="s">
        <v>22</v>
      </c>
      <c r="C22" s="142" t="s">
        <v>33</v>
      </c>
      <c r="D22" s="142" t="s">
        <v>24</v>
      </c>
      <c r="E22" s="142" t="s">
        <v>24</v>
      </c>
      <c r="F22" s="142" t="s">
        <v>25</v>
      </c>
      <c r="G22" s="142" t="s">
        <v>36</v>
      </c>
      <c r="H22" s="142" t="s">
        <v>80</v>
      </c>
      <c r="I22" s="142" t="s">
        <v>25</v>
      </c>
      <c r="J22" s="142">
        <v>656.54</v>
      </c>
      <c r="K22" s="142">
        <v>304.87</v>
      </c>
      <c r="L22" s="142">
        <v>7.1692357894316503</v>
      </c>
      <c r="M22" s="142">
        <v>0.74078524590952799</v>
      </c>
      <c r="N22" s="142">
        <v>3.33264769410534</v>
      </c>
      <c r="O22" s="142">
        <v>0</v>
      </c>
      <c r="P22" s="142">
        <v>0</v>
      </c>
      <c r="Q22" s="142">
        <v>121.976412485894</v>
      </c>
      <c r="R22" s="142">
        <v>20.1755022927364</v>
      </c>
      <c r="S22" s="142">
        <v>0</v>
      </c>
      <c r="T22" s="142">
        <v>53.232910976946698</v>
      </c>
      <c r="U22" s="142">
        <v>7.0156391566846397</v>
      </c>
      <c r="V22" s="142">
        <v>2.1371486708020901</v>
      </c>
      <c r="W22" s="142">
        <v>0</v>
      </c>
      <c r="X22" s="142">
        <v>78.435393415296005</v>
      </c>
      <c r="Y22" s="142">
        <v>0</v>
      </c>
      <c r="Z22" s="142">
        <v>0</v>
      </c>
      <c r="AA22" s="142">
        <v>343.89840744114599</v>
      </c>
      <c r="AB22" s="142">
        <v>-18.651655888364701</v>
      </c>
      <c r="AC22" s="142">
        <v>0</v>
      </c>
      <c r="AD22" s="142">
        <v>0</v>
      </c>
      <c r="AE22" s="142">
        <v>31.276485843734601</v>
      </c>
      <c r="AF22" s="142">
        <v>1.1031498960996</v>
      </c>
      <c r="AG22" s="142">
        <v>4.1967072797042002</v>
      </c>
      <c r="AH22" s="142">
        <v>0.50273613694014596</v>
      </c>
      <c r="AI22" s="142">
        <v>11.466260648034</v>
      </c>
      <c r="AJ22" s="142">
        <v>-16.548726481878699</v>
      </c>
      <c r="AK22" s="142">
        <v>3.17503961123872</v>
      </c>
      <c r="AL22" s="142">
        <v>34.415377938656398</v>
      </c>
      <c r="AM22" s="142">
        <v>0</v>
      </c>
      <c r="AN22" s="142">
        <v>258.58929967804301</v>
      </c>
      <c r="AO22" s="142">
        <v>8.5683681027877991</v>
      </c>
      <c r="AP22" s="142">
        <v>5.2941791159378297</v>
      </c>
      <c r="AQ22" s="142">
        <v>0</v>
      </c>
      <c r="AR22" s="142">
        <v>-8.5282735514919299</v>
      </c>
      <c r="AS22" s="142">
        <v>0</v>
      </c>
      <c r="AT22" s="143">
        <v>8.4387534752064806</v>
      </c>
    </row>
    <row r="23" spans="2:46" ht="12" customHeight="1" x14ac:dyDescent="0.25">
      <c r="B23" s="141" t="s">
        <v>22</v>
      </c>
      <c r="C23" s="142" t="s">
        <v>33</v>
      </c>
      <c r="D23" s="142" t="s">
        <v>24</v>
      </c>
      <c r="E23" s="142" t="s">
        <v>24</v>
      </c>
      <c r="F23" s="142" t="s">
        <v>25</v>
      </c>
      <c r="G23" s="142" t="s">
        <v>35</v>
      </c>
      <c r="H23" s="142" t="s">
        <v>80</v>
      </c>
      <c r="I23" s="142" t="s">
        <v>25</v>
      </c>
      <c r="J23" s="142">
        <v>342.62</v>
      </c>
      <c r="K23" s="142">
        <v>304.87</v>
      </c>
      <c r="L23" s="142">
        <v>7.1692357894316503</v>
      </c>
      <c r="M23" s="142">
        <v>0.74078524590952799</v>
      </c>
      <c r="N23" s="142">
        <v>3.1610128532404</v>
      </c>
      <c r="O23" s="142">
        <v>0</v>
      </c>
      <c r="P23" s="142">
        <v>0</v>
      </c>
      <c r="Q23" s="142">
        <v>121.976412485894</v>
      </c>
      <c r="R23" s="142">
        <v>20.1755022927364</v>
      </c>
      <c r="S23" s="142">
        <v>0</v>
      </c>
      <c r="T23" s="142">
        <v>17.744303658982201</v>
      </c>
      <c r="U23" s="142">
        <v>2.33858699025979</v>
      </c>
      <c r="V23" s="142">
        <v>0.71238289026736501</v>
      </c>
      <c r="W23" s="142">
        <v>0</v>
      </c>
      <c r="X23" s="142">
        <v>26.145170572364702</v>
      </c>
      <c r="Y23" s="142">
        <v>0</v>
      </c>
      <c r="Z23" s="142">
        <v>0</v>
      </c>
      <c r="AA23" s="142">
        <v>114.63276586265999</v>
      </c>
      <c r="AB23" s="142">
        <v>-9.25572806247642</v>
      </c>
      <c r="AC23" s="142">
        <v>0</v>
      </c>
      <c r="AD23" s="142">
        <v>0</v>
      </c>
      <c r="AE23" s="142">
        <v>31.276485843734601</v>
      </c>
      <c r="AF23" s="142">
        <v>1.1031498960996</v>
      </c>
      <c r="AG23" s="142">
        <v>4.1967072797042002</v>
      </c>
      <c r="AH23" s="142">
        <v>0.50273613694014596</v>
      </c>
      <c r="AI23" s="142">
        <v>11.466260648034</v>
      </c>
      <c r="AJ23" s="142">
        <v>-16.548726481878699</v>
      </c>
      <c r="AK23" s="142">
        <v>3.17503961123872</v>
      </c>
      <c r="AL23" s="142">
        <v>34.415377938656398</v>
      </c>
      <c r="AM23" s="142">
        <v>0</v>
      </c>
      <c r="AN23" s="142">
        <v>258.58929967804301</v>
      </c>
      <c r="AO23" s="142">
        <v>8.5683681027877991</v>
      </c>
      <c r="AP23" s="142">
        <v>5.2941791159378297</v>
      </c>
      <c r="AQ23" s="142">
        <v>0</v>
      </c>
      <c r="AR23" s="142">
        <v>-8.5282735514919299</v>
      </c>
      <c r="AS23" s="142">
        <v>0</v>
      </c>
      <c r="AT23" s="143">
        <v>8.4387534752064806</v>
      </c>
    </row>
    <row r="24" spans="2:46" ht="12" customHeight="1" x14ac:dyDescent="0.25">
      <c r="B24" s="141" t="s">
        <v>22</v>
      </c>
      <c r="C24" s="142" t="s">
        <v>23</v>
      </c>
      <c r="D24" s="142" t="s">
        <v>24</v>
      </c>
      <c r="E24" s="142" t="s">
        <v>1318</v>
      </c>
      <c r="F24" s="142" t="s">
        <v>25</v>
      </c>
      <c r="G24" s="142" t="s">
        <v>25</v>
      </c>
      <c r="H24" s="142" t="s">
        <v>80</v>
      </c>
      <c r="I24" s="142" t="s">
        <v>25</v>
      </c>
      <c r="J24" s="142">
        <v>288.89</v>
      </c>
      <c r="K24" s="142">
        <v>319.95</v>
      </c>
      <c r="L24" s="142">
        <v>0</v>
      </c>
      <c r="M24" s="142">
        <v>0.74078524590952799</v>
      </c>
      <c r="N24" s="142">
        <v>3.2108098777370402</v>
      </c>
      <c r="O24" s="142">
        <v>0</v>
      </c>
      <c r="P24" s="142">
        <v>0</v>
      </c>
      <c r="Q24" s="142">
        <v>0</v>
      </c>
      <c r="R24" s="142">
        <v>0</v>
      </c>
      <c r="S24" s="142">
        <v>0</v>
      </c>
      <c r="T24" s="142">
        <v>28.165591285445601</v>
      </c>
      <c r="U24" s="142">
        <v>3.71204090812514</v>
      </c>
      <c r="V24" s="142">
        <v>1.13080492778674</v>
      </c>
      <c r="W24" s="142">
        <v>0</v>
      </c>
      <c r="X24" s="142">
        <v>41.500270749785201</v>
      </c>
      <c r="Y24" s="142">
        <v>0</v>
      </c>
      <c r="Z24" s="142">
        <v>0</v>
      </c>
      <c r="AA24" s="142">
        <v>181.956827009005</v>
      </c>
      <c r="AB24" s="142">
        <v>-8.60133946283519</v>
      </c>
      <c r="AC24" s="142">
        <v>0</v>
      </c>
      <c r="AD24" s="142">
        <v>0</v>
      </c>
      <c r="AE24" s="142">
        <v>31.276485843734601</v>
      </c>
      <c r="AF24" s="142">
        <v>1.1031498960996</v>
      </c>
      <c r="AG24" s="142">
        <v>4.1967072797042002</v>
      </c>
      <c r="AH24" s="142">
        <v>0.50273613694014596</v>
      </c>
      <c r="AI24" s="142">
        <v>11.466260648034</v>
      </c>
      <c r="AJ24" s="142">
        <v>-16.548726481878699</v>
      </c>
      <c r="AK24" s="142">
        <v>3.17503961123872</v>
      </c>
      <c r="AL24" s="142">
        <v>34.415377938656398</v>
      </c>
      <c r="AM24" s="142">
        <v>0</v>
      </c>
      <c r="AN24" s="142">
        <v>274.10465765872601</v>
      </c>
      <c r="AO24" s="142">
        <v>8.5683681027877991</v>
      </c>
      <c r="AP24" s="142">
        <v>5.2941791159378297</v>
      </c>
      <c r="AQ24" s="142">
        <v>0</v>
      </c>
      <c r="AR24" s="142">
        <v>-8.9598233753411307</v>
      </c>
      <c r="AS24" s="142">
        <v>0</v>
      </c>
      <c r="AT24" s="143">
        <v>8.4387534752064806</v>
      </c>
    </row>
    <row r="25" spans="2:46" ht="12" customHeight="1" x14ac:dyDescent="0.25">
      <c r="B25" s="141" t="s">
        <v>22</v>
      </c>
      <c r="C25" s="142" t="s">
        <v>23</v>
      </c>
      <c r="D25" s="142" t="s">
        <v>24</v>
      </c>
      <c r="E25" s="142" t="s">
        <v>24</v>
      </c>
      <c r="F25" s="142" t="s">
        <v>25</v>
      </c>
      <c r="G25" s="142" t="s">
        <v>25</v>
      </c>
      <c r="H25" s="142" t="s">
        <v>80</v>
      </c>
      <c r="I25" s="142" t="s">
        <v>25</v>
      </c>
      <c r="J25" s="142">
        <v>434.8</v>
      </c>
      <c r="K25" s="142">
        <v>319.95</v>
      </c>
      <c r="L25" s="142">
        <v>7.1692357894316503</v>
      </c>
      <c r="M25" s="142">
        <v>0.74078524590952799</v>
      </c>
      <c r="N25" s="142">
        <v>3.2114136405010401</v>
      </c>
      <c r="O25" s="142">
        <v>0</v>
      </c>
      <c r="P25" s="142">
        <v>0</v>
      </c>
      <c r="Q25" s="142">
        <v>121.976412485894</v>
      </c>
      <c r="R25" s="142">
        <v>20.1755022927364</v>
      </c>
      <c r="S25" s="142">
        <v>0</v>
      </c>
      <c r="T25" s="142">
        <v>28.165591285445601</v>
      </c>
      <c r="U25" s="142">
        <v>3.71204090812514</v>
      </c>
      <c r="V25" s="142">
        <v>1.13080492778674</v>
      </c>
      <c r="W25" s="142">
        <v>0</v>
      </c>
      <c r="X25" s="142">
        <v>41.500270749785201</v>
      </c>
      <c r="Y25" s="142">
        <v>0</v>
      </c>
      <c r="Z25" s="142">
        <v>0</v>
      </c>
      <c r="AA25" s="142">
        <v>181.956827009005</v>
      </c>
      <c r="AB25" s="142">
        <v>-12.014854239068599</v>
      </c>
      <c r="AC25" s="142">
        <v>0</v>
      </c>
      <c r="AD25" s="142">
        <v>0</v>
      </c>
      <c r="AE25" s="142">
        <v>31.276485843734601</v>
      </c>
      <c r="AF25" s="142">
        <v>1.1031498960996</v>
      </c>
      <c r="AG25" s="142">
        <v>4.1967072797042002</v>
      </c>
      <c r="AH25" s="142">
        <v>0.50273613694014596</v>
      </c>
      <c r="AI25" s="142">
        <v>11.466260648034</v>
      </c>
      <c r="AJ25" s="142">
        <v>-16.548726481878699</v>
      </c>
      <c r="AK25" s="142">
        <v>3.17503961123872</v>
      </c>
      <c r="AL25" s="142">
        <v>34.415377938656398</v>
      </c>
      <c r="AM25" s="142">
        <v>0</v>
      </c>
      <c r="AN25" s="142">
        <v>274.10465765872601</v>
      </c>
      <c r="AO25" s="142">
        <v>8.5683681027877991</v>
      </c>
      <c r="AP25" s="142">
        <v>5.2941791159378297</v>
      </c>
      <c r="AQ25" s="142">
        <v>0</v>
      </c>
      <c r="AR25" s="142">
        <v>-8.9598233753411307</v>
      </c>
      <c r="AS25" s="142">
        <v>0</v>
      </c>
      <c r="AT25" s="143">
        <v>8.4387534752064806</v>
      </c>
    </row>
    <row r="26" spans="2:46" ht="12" customHeight="1" x14ac:dyDescent="0.25">
      <c r="B26" s="141" t="s">
        <v>22</v>
      </c>
      <c r="C26" s="142" t="s">
        <v>94</v>
      </c>
      <c r="D26" s="142" t="s">
        <v>24</v>
      </c>
      <c r="E26" s="142" t="s">
        <v>1318</v>
      </c>
      <c r="F26" s="142" t="s">
        <v>25</v>
      </c>
      <c r="G26" s="142" t="s">
        <v>25</v>
      </c>
      <c r="H26" s="142" t="s">
        <v>80</v>
      </c>
      <c r="I26" s="142" t="s">
        <v>25</v>
      </c>
      <c r="J26" s="142">
        <v>288.89</v>
      </c>
      <c r="K26" s="142">
        <v>319.95</v>
      </c>
      <c r="L26" s="142">
        <v>0</v>
      </c>
      <c r="M26" s="142">
        <v>0.74078524590952799</v>
      </c>
      <c r="N26" s="142">
        <v>3.2108098777370402</v>
      </c>
      <c r="O26" s="142">
        <v>0</v>
      </c>
      <c r="P26" s="142">
        <v>0</v>
      </c>
      <c r="Q26" s="142">
        <v>0</v>
      </c>
      <c r="R26" s="142">
        <v>0</v>
      </c>
      <c r="S26" s="142">
        <v>0</v>
      </c>
      <c r="T26" s="142">
        <v>28.165591285445601</v>
      </c>
      <c r="U26" s="142">
        <v>3.71204090812514</v>
      </c>
      <c r="V26" s="142">
        <v>1.13080492778674</v>
      </c>
      <c r="W26" s="142">
        <v>0</v>
      </c>
      <c r="X26" s="142">
        <v>41.500270749785201</v>
      </c>
      <c r="Y26" s="142">
        <v>0</v>
      </c>
      <c r="Z26" s="142">
        <v>0</v>
      </c>
      <c r="AA26" s="142">
        <v>181.956827009005</v>
      </c>
      <c r="AB26" s="142">
        <v>-8.60133946283519</v>
      </c>
      <c r="AC26" s="142">
        <v>0</v>
      </c>
      <c r="AD26" s="142">
        <v>0</v>
      </c>
      <c r="AE26" s="142">
        <v>31.276485843734601</v>
      </c>
      <c r="AF26" s="142">
        <v>1.1031498960996</v>
      </c>
      <c r="AG26" s="142">
        <v>4.1967072797042002</v>
      </c>
      <c r="AH26" s="142">
        <v>0.50273613694014596</v>
      </c>
      <c r="AI26" s="142">
        <v>11.466260648034</v>
      </c>
      <c r="AJ26" s="142">
        <v>-16.548726481878699</v>
      </c>
      <c r="AK26" s="142">
        <v>3.17503961123872</v>
      </c>
      <c r="AL26" s="142">
        <v>34.415377938656398</v>
      </c>
      <c r="AM26" s="142">
        <v>0</v>
      </c>
      <c r="AN26" s="142">
        <v>274.10465765872601</v>
      </c>
      <c r="AO26" s="142">
        <v>8.5683681027877991</v>
      </c>
      <c r="AP26" s="142">
        <v>5.2941791159378297</v>
      </c>
      <c r="AQ26" s="142">
        <v>0</v>
      </c>
      <c r="AR26" s="142">
        <v>-8.9598233753411307</v>
      </c>
      <c r="AS26" s="142">
        <v>0</v>
      </c>
      <c r="AT26" s="143">
        <v>8.4387534752064806</v>
      </c>
    </row>
    <row r="27" spans="2:46" ht="12" customHeight="1" x14ac:dyDescent="0.25">
      <c r="B27" s="141" t="s">
        <v>22</v>
      </c>
      <c r="C27" s="142" t="s">
        <v>94</v>
      </c>
      <c r="D27" s="142" t="s">
        <v>24</v>
      </c>
      <c r="E27" s="142" t="s">
        <v>24</v>
      </c>
      <c r="F27" s="142" t="s">
        <v>25</v>
      </c>
      <c r="G27" s="142" t="s">
        <v>25</v>
      </c>
      <c r="H27" s="142" t="s">
        <v>80</v>
      </c>
      <c r="I27" s="142" t="s">
        <v>25</v>
      </c>
      <c r="J27" s="142">
        <v>434.8</v>
      </c>
      <c r="K27" s="142">
        <v>319.95</v>
      </c>
      <c r="L27" s="142">
        <v>7.1692357894316503</v>
      </c>
      <c r="M27" s="142">
        <v>0.74078524590952799</v>
      </c>
      <c r="N27" s="142">
        <v>3.2114136405010401</v>
      </c>
      <c r="O27" s="142">
        <v>0</v>
      </c>
      <c r="P27" s="142">
        <v>0</v>
      </c>
      <c r="Q27" s="142">
        <v>121.976412485894</v>
      </c>
      <c r="R27" s="142">
        <v>20.1755022927364</v>
      </c>
      <c r="S27" s="142">
        <v>0</v>
      </c>
      <c r="T27" s="142">
        <v>28.165591285445601</v>
      </c>
      <c r="U27" s="142">
        <v>3.71204090812514</v>
      </c>
      <c r="V27" s="142">
        <v>1.13080492778674</v>
      </c>
      <c r="W27" s="142">
        <v>0</v>
      </c>
      <c r="X27" s="142">
        <v>41.500270749785201</v>
      </c>
      <c r="Y27" s="142">
        <v>0</v>
      </c>
      <c r="Z27" s="142">
        <v>0</v>
      </c>
      <c r="AA27" s="142">
        <v>181.956827009005</v>
      </c>
      <c r="AB27" s="142">
        <v>-12.014854239068599</v>
      </c>
      <c r="AC27" s="142">
        <v>0</v>
      </c>
      <c r="AD27" s="142">
        <v>0</v>
      </c>
      <c r="AE27" s="142">
        <v>31.276485843734601</v>
      </c>
      <c r="AF27" s="142">
        <v>1.1031498960996</v>
      </c>
      <c r="AG27" s="142">
        <v>4.1967072797042002</v>
      </c>
      <c r="AH27" s="142">
        <v>0.50273613694014596</v>
      </c>
      <c r="AI27" s="142">
        <v>11.466260648034</v>
      </c>
      <c r="AJ27" s="142">
        <v>-16.548726481878699</v>
      </c>
      <c r="AK27" s="142">
        <v>3.17503961123872</v>
      </c>
      <c r="AL27" s="142">
        <v>34.415377938656398</v>
      </c>
      <c r="AM27" s="142">
        <v>0</v>
      </c>
      <c r="AN27" s="142">
        <v>274.10465765872601</v>
      </c>
      <c r="AO27" s="142">
        <v>8.5683681027877991</v>
      </c>
      <c r="AP27" s="142">
        <v>5.2941791159378297</v>
      </c>
      <c r="AQ27" s="142">
        <v>0</v>
      </c>
      <c r="AR27" s="142">
        <v>-8.9598233753411307</v>
      </c>
      <c r="AS27" s="142">
        <v>0</v>
      </c>
      <c r="AT27" s="143">
        <v>8.4387534752064806</v>
      </c>
    </row>
    <row r="28" spans="2:46" ht="12" customHeight="1" x14ac:dyDescent="0.25">
      <c r="B28" s="141" t="s">
        <v>43</v>
      </c>
      <c r="C28" s="142" t="s">
        <v>33</v>
      </c>
      <c r="D28" s="142" t="s">
        <v>44</v>
      </c>
      <c r="E28" s="142" t="s">
        <v>95</v>
      </c>
      <c r="F28" s="142" t="s">
        <v>25</v>
      </c>
      <c r="G28" s="142" t="s">
        <v>34</v>
      </c>
      <c r="H28" s="142" t="s">
        <v>80</v>
      </c>
      <c r="I28" s="142" t="s">
        <v>25</v>
      </c>
      <c r="J28" s="142">
        <v>1005.91</v>
      </c>
      <c r="K28" s="142">
        <v>456.72</v>
      </c>
      <c r="L28" s="142">
        <v>6.7390816420657504</v>
      </c>
      <c r="M28" s="142">
        <v>0.69633813115495602</v>
      </c>
      <c r="N28" s="142">
        <v>3.3452438673302098</v>
      </c>
      <c r="O28" s="142">
        <v>0</v>
      </c>
      <c r="P28" s="142">
        <v>0</v>
      </c>
      <c r="Q28" s="142">
        <v>114.65782773674</v>
      </c>
      <c r="R28" s="142">
        <v>18.964972155172202</v>
      </c>
      <c r="S28" s="142">
        <v>0</v>
      </c>
      <c r="T28" s="142">
        <v>93.988590776530103</v>
      </c>
      <c r="U28" s="142">
        <v>12.3869488293772</v>
      </c>
      <c r="V28" s="142">
        <v>3.7734960440243599</v>
      </c>
      <c r="W28" s="142">
        <v>0</v>
      </c>
      <c r="X28" s="142">
        <v>138.48629228834301</v>
      </c>
      <c r="Y28" s="142">
        <v>0</v>
      </c>
      <c r="Z28" s="142">
        <v>0</v>
      </c>
      <c r="AA28" s="142">
        <v>607.190014338629</v>
      </c>
      <c r="AB28" s="142">
        <v>-29.168608086911402</v>
      </c>
      <c r="AC28" s="142">
        <v>0</v>
      </c>
      <c r="AD28" s="142">
        <v>0</v>
      </c>
      <c r="AE28" s="142">
        <v>29.399896693110499</v>
      </c>
      <c r="AF28" s="142">
        <v>1.0369609023336299</v>
      </c>
      <c r="AG28" s="142">
        <v>3.9449048429219502</v>
      </c>
      <c r="AH28" s="142">
        <v>0.47257196872373702</v>
      </c>
      <c r="AI28" s="142">
        <v>10.778285009151899</v>
      </c>
      <c r="AJ28" s="142">
        <v>-15.555802892966</v>
      </c>
      <c r="AK28" s="142">
        <v>2.9845372345643999</v>
      </c>
      <c r="AL28" s="142">
        <v>32.350455262337</v>
      </c>
      <c r="AM28" s="142">
        <v>0</v>
      </c>
      <c r="AN28" s="142">
        <v>418.08717971945998</v>
      </c>
      <c r="AO28" s="142">
        <v>8.0542660166205309</v>
      </c>
      <c r="AP28" s="142">
        <v>4.97652836898156</v>
      </c>
      <c r="AQ28" s="142">
        <v>0</v>
      </c>
      <c r="AR28" s="142">
        <v>-12.8844591514214</v>
      </c>
      <c r="AS28" s="142">
        <v>0</v>
      </c>
      <c r="AT28" s="143">
        <v>7.9324282666940897</v>
      </c>
    </row>
    <row r="29" spans="2:46" ht="12" customHeight="1" x14ac:dyDescent="0.25">
      <c r="B29" s="141" t="s">
        <v>43</v>
      </c>
      <c r="C29" s="142" t="s">
        <v>33</v>
      </c>
      <c r="D29" s="142" t="s">
        <v>44</v>
      </c>
      <c r="E29" s="142" t="s">
        <v>95</v>
      </c>
      <c r="F29" s="142" t="s">
        <v>25</v>
      </c>
      <c r="G29" s="142" t="s">
        <v>36</v>
      </c>
      <c r="H29" s="142" t="s">
        <v>80</v>
      </c>
      <c r="I29" s="142" t="s">
        <v>25</v>
      </c>
      <c r="J29" s="142">
        <v>673.36</v>
      </c>
      <c r="K29" s="142">
        <v>286.58</v>
      </c>
      <c r="L29" s="142">
        <v>6.7390816420657504</v>
      </c>
      <c r="M29" s="142">
        <v>0.69633813115495602</v>
      </c>
      <c r="N29" s="142">
        <v>3.1634197690816901</v>
      </c>
      <c r="O29" s="142">
        <v>0</v>
      </c>
      <c r="P29" s="142">
        <v>0</v>
      </c>
      <c r="Q29" s="142">
        <v>114.65782773674</v>
      </c>
      <c r="R29" s="142">
        <v>18.964972155172202</v>
      </c>
      <c r="S29" s="142">
        <v>0</v>
      </c>
      <c r="T29" s="142">
        <v>56.393129151921499</v>
      </c>
      <c r="U29" s="142">
        <v>7.4321921986761303</v>
      </c>
      <c r="V29" s="142">
        <v>2.2640748650306302</v>
      </c>
      <c r="W29" s="142">
        <v>0</v>
      </c>
      <c r="X29" s="142">
        <v>83.091730891529807</v>
      </c>
      <c r="Y29" s="142">
        <v>0</v>
      </c>
      <c r="Z29" s="142">
        <v>0</v>
      </c>
      <c r="AA29" s="142">
        <v>364.314029255572</v>
      </c>
      <c r="AB29" s="142">
        <v>-19.214882121721399</v>
      </c>
      <c r="AC29" s="142">
        <v>0</v>
      </c>
      <c r="AD29" s="142">
        <v>0</v>
      </c>
      <c r="AE29" s="142">
        <v>29.399896693110499</v>
      </c>
      <c r="AF29" s="142">
        <v>1.0369609023336299</v>
      </c>
      <c r="AG29" s="142">
        <v>3.9449048429219502</v>
      </c>
      <c r="AH29" s="142">
        <v>0.47257196872373702</v>
      </c>
      <c r="AI29" s="142">
        <v>10.778285009151899</v>
      </c>
      <c r="AJ29" s="142">
        <v>-15.555802892966</v>
      </c>
      <c r="AK29" s="142">
        <v>2.9845372345643999</v>
      </c>
      <c r="AL29" s="142">
        <v>32.350455262337</v>
      </c>
      <c r="AM29" s="142">
        <v>0</v>
      </c>
      <c r="AN29" s="142">
        <v>243.07394169736</v>
      </c>
      <c r="AO29" s="142">
        <v>8.0542660166205309</v>
      </c>
      <c r="AP29" s="142">
        <v>4.97652836898156</v>
      </c>
      <c r="AQ29" s="142">
        <v>0</v>
      </c>
      <c r="AR29" s="142">
        <v>-8.0165771384024094</v>
      </c>
      <c r="AS29" s="142">
        <v>0</v>
      </c>
      <c r="AT29" s="143">
        <v>7.9324282666940897</v>
      </c>
    </row>
    <row r="30" spans="2:46" ht="12" customHeight="1" x14ac:dyDescent="0.25">
      <c r="B30" s="141" t="s">
        <v>43</v>
      </c>
      <c r="C30" s="142" t="s">
        <v>33</v>
      </c>
      <c r="D30" s="142" t="s">
        <v>44</v>
      </c>
      <c r="E30" s="142" t="s">
        <v>95</v>
      </c>
      <c r="F30" s="142" t="s">
        <v>25</v>
      </c>
      <c r="G30" s="142" t="s">
        <v>35</v>
      </c>
      <c r="H30" s="142" t="s">
        <v>80</v>
      </c>
      <c r="I30" s="142" t="s">
        <v>25</v>
      </c>
      <c r="J30" s="142">
        <v>340.8</v>
      </c>
      <c r="K30" s="142">
        <v>286.58</v>
      </c>
      <c r="L30" s="142">
        <v>6.7390816420657504</v>
      </c>
      <c r="M30" s="142">
        <v>0.69633813115495602</v>
      </c>
      <c r="N30" s="142">
        <v>2.9815957275868601</v>
      </c>
      <c r="O30" s="142">
        <v>0</v>
      </c>
      <c r="P30" s="142">
        <v>0</v>
      </c>
      <c r="Q30" s="142">
        <v>114.65782773674</v>
      </c>
      <c r="R30" s="142">
        <v>18.964972155172202</v>
      </c>
      <c r="S30" s="142">
        <v>0</v>
      </c>
      <c r="T30" s="142">
        <v>18.797667527312999</v>
      </c>
      <c r="U30" s="142">
        <v>2.4774355679750499</v>
      </c>
      <c r="V30" s="142">
        <v>0.75465368603690097</v>
      </c>
      <c r="W30" s="142">
        <v>0</v>
      </c>
      <c r="X30" s="142">
        <v>27.697280698406701</v>
      </c>
      <c r="Y30" s="142">
        <v>0</v>
      </c>
      <c r="Z30" s="142">
        <v>0</v>
      </c>
      <c r="AA30" s="142">
        <v>121.438044172516</v>
      </c>
      <c r="AB30" s="142">
        <v>-9.2611593857027703</v>
      </c>
      <c r="AC30" s="142">
        <v>0</v>
      </c>
      <c r="AD30" s="142">
        <v>0</v>
      </c>
      <c r="AE30" s="142">
        <v>29.399896693110499</v>
      </c>
      <c r="AF30" s="142">
        <v>1.0369609023336299</v>
      </c>
      <c r="AG30" s="142">
        <v>3.9449048429219502</v>
      </c>
      <c r="AH30" s="142">
        <v>0.47257196872373702</v>
      </c>
      <c r="AI30" s="142">
        <v>10.778285009151899</v>
      </c>
      <c r="AJ30" s="142">
        <v>-15.555802892966</v>
      </c>
      <c r="AK30" s="142">
        <v>2.9845372345643999</v>
      </c>
      <c r="AL30" s="142">
        <v>32.350455262337</v>
      </c>
      <c r="AM30" s="142">
        <v>0</v>
      </c>
      <c r="AN30" s="142">
        <v>243.07394169736</v>
      </c>
      <c r="AO30" s="142">
        <v>8.0542660166205309</v>
      </c>
      <c r="AP30" s="142">
        <v>4.97652836898156</v>
      </c>
      <c r="AQ30" s="142">
        <v>0</v>
      </c>
      <c r="AR30" s="142">
        <v>-8.0165771384024094</v>
      </c>
      <c r="AS30" s="142">
        <v>0</v>
      </c>
      <c r="AT30" s="143">
        <v>7.9324282666940897</v>
      </c>
    </row>
    <row r="31" spans="2:46" ht="12" customHeight="1" x14ac:dyDescent="0.25">
      <c r="B31" s="141" t="s">
        <v>43</v>
      </c>
      <c r="C31" s="142" t="s">
        <v>33</v>
      </c>
      <c r="D31" s="142" t="s">
        <v>44</v>
      </c>
      <c r="E31" s="142" t="s">
        <v>25</v>
      </c>
      <c r="F31" s="142" t="s">
        <v>25</v>
      </c>
      <c r="G31" s="142" t="s">
        <v>34</v>
      </c>
      <c r="H31" s="142" t="s">
        <v>80</v>
      </c>
      <c r="I31" s="142" t="s">
        <v>25</v>
      </c>
      <c r="J31" s="142">
        <v>1005.91</v>
      </c>
      <c r="K31" s="142">
        <v>456.72</v>
      </c>
      <c r="L31" s="142">
        <v>6.7390816420657504</v>
      </c>
      <c r="M31" s="142">
        <v>0.69633813115495602</v>
      </c>
      <c r="N31" s="142">
        <v>3.3452438673302098</v>
      </c>
      <c r="O31" s="142">
        <v>0</v>
      </c>
      <c r="P31" s="142">
        <v>0</v>
      </c>
      <c r="Q31" s="142">
        <v>114.65782773674</v>
      </c>
      <c r="R31" s="142">
        <v>18.964972155172202</v>
      </c>
      <c r="S31" s="142">
        <v>0</v>
      </c>
      <c r="T31" s="142">
        <v>93.988590776530103</v>
      </c>
      <c r="U31" s="142">
        <v>12.3869488293772</v>
      </c>
      <c r="V31" s="142">
        <v>3.7734960440243599</v>
      </c>
      <c r="W31" s="142">
        <v>0</v>
      </c>
      <c r="X31" s="142">
        <v>138.48629228834301</v>
      </c>
      <c r="Y31" s="142">
        <v>0</v>
      </c>
      <c r="Z31" s="142">
        <v>0</v>
      </c>
      <c r="AA31" s="142">
        <v>607.190014338629</v>
      </c>
      <c r="AB31" s="142">
        <v>-29.168608086911402</v>
      </c>
      <c r="AC31" s="142">
        <v>0</v>
      </c>
      <c r="AD31" s="142">
        <v>0</v>
      </c>
      <c r="AE31" s="142">
        <v>29.399896693110499</v>
      </c>
      <c r="AF31" s="142">
        <v>1.0369609023336299</v>
      </c>
      <c r="AG31" s="142">
        <v>3.9449048429219502</v>
      </c>
      <c r="AH31" s="142">
        <v>0.47257196872373702</v>
      </c>
      <c r="AI31" s="142">
        <v>10.778285009151899</v>
      </c>
      <c r="AJ31" s="142">
        <v>-15.555802892966</v>
      </c>
      <c r="AK31" s="142">
        <v>2.9845372345643999</v>
      </c>
      <c r="AL31" s="142">
        <v>32.350455262337</v>
      </c>
      <c r="AM31" s="142">
        <v>0</v>
      </c>
      <c r="AN31" s="142">
        <v>418.08717971945998</v>
      </c>
      <c r="AO31" s="142">
        <v>8.0542660166205309</v>
      </c>
      <c r="AP31" s="142">
        <v>4.97652836898156</v>
      </c>
      <c r="AQ31" s="142">
        <v>0</v>
      </c>
      <c r="AR31" s="142">
        <v>-12.8844591514214</v>
      </c>
      <c r="AS31" s="142">
        <v>0</v>
      </c>
      <c r="AT31" s="143">
        <v>7.9324282666940897</v>
      </c>
    </row>
    <row r="32" spans="2:46" ht="12" customHeight="1" x14ac:dyDescent="0.25">
      <c r="B32" s="141" t="s">
        <v>43</v>
      </c>
      <c r="C32" s="142" t="s">
        <v>33</v>
      </c>
      <c r="D32" s="142" t="s">
        <v>44</v>
      </c>
      <c r="E32" s="142" t="s">
        <v>25</v>
      </c>
      <c r="F32" s="142" t="s">
        <v>25</v>
      </c>
      <c r="G32" s="142" t="s">
        <v>36</v>
      </c>
      <c r="H32" s="142" t="s">
        <v>80</v>
      </c>
      <c r="I32" s="142" t="s">
        <v>25</v>
      </c>
      <c r="J32" s="142">
        <v>673.36</v>
      </c>
      <c r="K32" s="142">
        <v>286.58</v>
      </c>
      <c r="L32" s="142">
        <v>6.7390816420657504</v>
      </c>
      <c r="M32" s="142">
        <v>0.69633813115495602</v>
      </c>
      <c r="N32" s="142">
        <v>3.1634197690816901</v>
      </c>
      <c r="O32" s="142">
        <v>0</v>
      </c>
      <c r="P32" s="142">
        <v>0</v>
      </c>
      <c r="Q32" s="142">
        <v>114.65782773674</v>
      </c>
      <c r="R32" s="142">
        <v>18.964972155172202</v>
      </c>
      <c r="S32" s="142">
        <v>0</v>
      </c>
      <c r="T32" s="142">
        <v>56.393129151921499</v>
      </c>
      <c r="U32" s="142">
        <v>7.4321921986761303</v>
      </c>
      <c r="V32" s="142">
        <v>2.2640748650306302</v>
      </c>
      <c r="W32" s="142">
        <v>0</v>
      </c>
      <c r="X32" s="142">
        <v>83.091730891529807</v>
      </c>
      <c r="Y32" s="142">
        <v>0</v>
      </c>
      <c r="Z32" s="142">
        <v>0</v>
      </c>
      <c r="AA32" s="142">
        <v>364.314029255572</v>
      </c>
      <c r="AB32" s="142">
        <v>-19.214882121721399</v>
      </c>
      <c r="AC32" s="142">
        <v>0</v>
      </c>
      <c r="AD32" s="142">
        <v>0</v>
      </c>
      <c r="AE32" s="142">
        <v>29.399896693110499</v>
      </c>
      <c r="AF32" s="142">
        <v>1.0369609023336299</v>
      </c>
      <c r="AG32" s="142">
        <v>3.9449048429219502</v>
      </c>
      <c r="AH32" s="142">
        <v>0.47257196872373702</v>
      </c>
      <c r="AI32" s="142">
        <v>10.778285009151899</v>
      </c>
      <c r="AJ32" s="142">
        <v>-15.555802892966</v>
      </c>
      <c r="AK32" s="142">
        <v>2.9845372345643999</v>
      </c>
      <c r="AL32" s="142">
        <v>32.350455262337</v>
      </c>
      <c r="AM32" s="142">
        <v>0</v>
      </c>
      <c r="AN32" s="142">
        <v>243.07394169736</v>
      </c>
      <c r="AO32" s="142">
        <v>8.0542660166205309</v>
      </c>
      <c r="AP32" s="142">
        <v>4.97652836898156</v>
      </c>
      <c r="AQ32" s="142">
        <v>0</v>
      </c>
      <c r="AR32" s="142">
        <v>-8.0165771384024094</v>
      </c>
      <c r="AS32" s="142">
        <v>0</v>
      </c>
      <c r="AT32" s="143">
        <v>7.9324282666940897</v>
      </c>
    </row>
    <row r="33" spans="2:46" ht="12" customHeight="1" x14ac:dyDescent="0.25">
      <c r="B33" s="141" t="s">
        <v>43</v>
      </c>
      <c r="C33" s="142" t="s">
        <v>33</v>
      </c>
      <c r="D33" s="142" t="s">
        <v>44</v>
      </c>
      <c r="E33" s="142" t="s">
        <v>25</v>
      </c>
      <c r="F33" s="142" t="s">
        <v>25</v>
      </c>
      <c r="G33" s="142" t="s">
        <v>35</v>
      </c>
      <c r="H33" s="142" t="s">
        <v>80</v>
      </c>
      <c r="I33" s="142" t="s">
        <v>25</v>
      </c>
      <c r="J33" s="142">
        <v>340.8</v>
      </c>
      <c r="K33" s="142">
        <v>286.58</v>
      </c>
      <c r="L33" s="142">
        <v>6.7390816420657504</v>
      </c>
      <c r="M33" s="142">
        <v>0.69633813115495602</v>
      </c>
      <c r="N33" s="142">
        <v>2.9815957275868601</v>
      </c>
      <c r="O33" s="142">
        <v>0</v>
      </c>
      <c r="P33" s="142">
        <v>0</v>
      </c>
      <c r="Q33" s="142">
        <v>114.65782773674</v>
      </c>
      <c r="R33" s="142">
        <v>18.964972155172202</v>
      </c>
      <c r="S33" s="142">
        <v>0</v>
      </c>
      <c r="T33" s="142">
        <v>18.797667527312999</v>
      </c>
      <c r="U33" s="142">
        <v>2.4774355679750499</v>
      </c>
      <c r="V33" s="142">
        <v>0.75465368603690097</v>
      </c>
      <c r="W33" s="142">
        <v>0</v>
      </c>
      <c r="X33" s="142">
        <v>27.697280698406701</v>
      </c>
      <c r="Y33" s="142">
        <v>0</v>
      </c>
      <c r="Z33" s="142">
        <v>0</v>
      </c>
      <c r="AA33" s="142">
        <v>121.438044172516</v>
      </c>
      <c r="AB33" s="142">
        <v>-9.2611593857027703</v>
      </c>
      <c r="AC33" s="142">
        <v>0</v>
      </c>
      <c r="AD33" s="142">
        <v>0</v>
      </c>
      <c r="AE33" s="142">
        <v>29.399896693110499</v>
      </c>
      <c r="AF33" s="142">
        <v>1.0369609023336299</v>
      </c>
      <c r="AG33" s="142">
        <v>3.9449048429219502</v>
      </c>
      <c r="AH33" s="142">
        <v>0.47257196872373702</v>
      </c>
      <c r="AI33" s="142">
        <v>10.778285009151899</v>
      </c>
      <c r="AJ33" s="142">
        <v>-15.555802892966</v>
      </c>
      <c r="AK33" s="142">
        <v>2.9845372345643999</v>
      </c>
      <c r="AL33" s="142">
        <v>32.350455262337</v>
      </c>
      <c r="AM33" s="142">
        <v>0</v>
      </c>
      <c r="AN33" s="142">
        <v>243.07394169736</v>
      </c>
      <c r="AO33" s="142">
        <v>8.0542660166205309</v>
      </c>
      <c r="AP33" s="142">
        <v>4.97652836898156</v>
      </c>
      <c r="AQ33" s="142">
        <v>0</v>
      </c>
      <c r="AR33" s="142">
        <v>-8.0165771384024094</v>
      </c>
      <c r="AS33" s="142">
        <v>0</v>
      </c>
      <c r="AT33" s="143">
        <v>7.9324282666940897</v>
      </c>
    </row>
    <row r="34" spans="2:46" ht="12" customHeight="1" x14ac:dyDescent="0.25">
      <c r="B34" s="141" t="s">
        <v>43</v>
      </c>
      <c r="C34" s="142" t="s">
        <v>33</v>
      </c>
      <c r="D34" s="142" t="s">
        <v>44</v>
      </c>
      <c r="E34" s="142" t="s">
        <v>55</v>
      </c>
      <c r="F34" s="142" t="s">
        <v>25</v>
      </c>
      <c r="G34" s="142" t="s">
        <v>34</v>
      </c>
      <c r="H34" s="142" t="s">
        <v>80</v>
      </c>
      <c r="I34" s="142" t="s">
        <v>25</v>
      </c>
      <c r="J34" s="142">
        <v>984.51</v>
      </c>
      <c r="K34" s="142">
        <v>447.01</v>
      </c>
      <c r="L34" s="142">
        <v>6.5956969262771104</v>
      </c>
      <c r="M34" s="142">
        <v>0.68152242623676595</v>
      </c>
      <c r="N34" s="142">
        <v>3.27406846589765</v>
      </c>
      <c r="O34" s="142">
        <v>0</v>
      </c>
      <c r="P34" s="142">
        <v>0</v>
      </c>
      <c r="Q34" s="142">
        <v>112.21829948702199</v>
      </c>
      <c r="R34" s="142">
        <v>18.5614621093175</v>
      </c>
      <c r="S34" s="142">
        <v>0</v>
      </c>
      <c r="T34" s="142">
        <v>91.988833525965603</v>
      </c>
      <c r="U34" s="142">
        <v>12.123396726624501</v>
      </c>
      <c r="V34" s="142">
        <v>3.6932088941515002</v>
      </c>
      <c r="W34" s="142">
        <v>0</v>
      </c>
      <c r="X34" s="142">
        <v>135.53977543114399</v>
      </c>
      <c r="Y34" s="142">
        <v>0</v>
      </c>
      <c r="Z34" s="142">
        <v>0</v>
      </c>
      <c r="AA34" s="142">
        <v>594.27107786333897</v>
      </c>
      <c r="AB34" s="142">
        <v>-28.5479994042112</v>
      </c>
      <c r="AC34" s="142">
        <v>0</v>
      </c>
      <c r="AD34" s="142">
        <v>0</v>
      </c>
      <c r="AE34" s="142">
        <v>28.7743669762358</v>
      </c>
      <c r="AF34" s="142">
        <v>1.01489790441164</v>
      </c>
      <c r="AG34" s="142">
        <v>3.8609706973278701</v>
      </c>
      <c r="AH34" s="142">
        <v>0.46251724598493399</v>
      </c>
      <c r="AI34" s="142">
        <v>10.5489597961912</v>
      </c>
      <c r="AJ34" s="142">
        <v>-15.224828363328401</v>
      </c>
      <c r="AK34" s="142">
        <v>2.92103644233962</v>
      </c>
      <c r="AL34" s="142">
        <v>31.6621477035639</v>
      </c>
      <c r="AM34" s="142">
        <v>0</v>
      </c>
      <c r="AN34" s="142">
        <v>409.19170781053498</v>
      </c>
      <c r="AO34" s="142">
        <v>7.8828986545647801</v>
      </c>
      <c r="AP34" s="142">
        <v>4.8706447866628002</v>
      </c>
      <c r="AQ34" s="142">
        <v>0</v>
      </c>
      <c r="AR34" s="142">
        <v>-12.6103217226678</v>
      </c>
      <c r="AS34" s="142">
        <v>0</v>
      </c>
      <c r="AT34" s="143">
        <v>7.7636531971899601</v>
      </c>
    </row>
    <row r="35" spans="2:46" ht="12" customHeight="1" x14ac:dyDescent="0.25">
      <c r="B35" s="141" t="s">
        <v>43</v>
      </c>
      <c r="C35" s="142" t="s">
        <v>33</v>
      </c>
      <c r="D35" s="142" t="s">
        <v>44</v>
      </c>
      <c r="E35" s="142" t="s">
        <v>55</v>
      </c>
      <c r="F35" s="142" t="s">
        <v>25</v>
      </c>
      <c r="G35" s="142" t="s">
        <v>36</v>
      </c>
      <c r="H35" s="142" t="s">
        <v>80</v>
      </c>
      <c r="I35" s="142" t="s">
        <v>25</v>
      </c>
      <c r="J35" s="142">
        <v>659.03</v>
      </c>
      <c r="K35" s="142">
        <v>280.48</v>
      </c>
      <c r="L35" s="142">
        <v>6.5956969262771104</v>
      </c>
      <c r="M35" s="142">
        <v>0.68152242623676595</v>
      </c>
      <c r="N35" s="142">
        <v>3.0961129654841999</v>
      </c>
      <c r="O35" s="142">
        <v>0</v>
      </c>
      <c r="P35" s="142">
        <v>0</v>
      </c>
      <c r="Q35" s="142">
        <v>112.21829948702199</v>
      </c>
      <c r="R35" s="142">
        <v>18.5614621093175</v>
      </c>
      <c r="S35" s="142">
        <v>0</v>
      </c>
      <c r="T35" s="142">
        <v>55.193275340178502</v>
      </c>
      <c r="U35" s="142">
        <v>7.2740604497681298</v>
      </c>
      <c r="V35" s="142">
        <v>2.21590305939168</v>
      </c>
      <c r="W35" s="142">
        <v>0</v>
      </c>
      <c r="X35" s="142">
        <v>81.323821723624903</v>
      </c>
      <c r="Y35" s="142">
        <v>0</v>
      </c>
      <c r="Z35" s="142">
        <v>0</v>
      </c>
      <c r="AA35" s="142">
        <v>356.56266693098598</v>
      </c>
      <c r="AB35" s="142">
        <v>-18.8060548425359</v>
      </c>
      <c r="AC35" s="142">
        <v>0</v>
      </c>
      <c r="AD35" s="142">
        <v>0</v>
      </c>
      <c r="AE35" s="142">
        <v>28.7743669762358</v>
      </c>
      <c r="AF35" s="142">
        <v>1.01489790441164</v>
      </c>
      <c r="AG35" s="142">
        <v>3.8609706973278701</v>
      </c>
      <c r="AH35" s="142">
        <v>0.46251724598493399</v>
      </c>
      <c r="AI35" s="142">
        <v>10.5489597961912</v>
      </c>
      <c r="AJ35" s="142">
        <v>-15.224828363328401</v>
      </c>
      <c r="AK35" s="142">
        <v>2.92103644233962</v>
      </c>
      <c r="AL35" s="142">
        <v>31.6621477035639</v>
      </c>
      <c r="AM35" s="142">
        <v>0</v>
      </c>
      <c r="AN35" s="142">
        <v>237.90215570379999</v>
      </c>
      <c r="AO35" s="142">
        <v>7.8828986545647801</v>
      </c>
      <c r="AP35" s="142">
        <v>4.8706447866628002</v>
      </c>
      <c r="AQ35" s="142">
        <v>0</v>
      </c>
      <c r="AR35" s="142">
        <v>-7.8460116673725802</v>
      </c>
      <c r="AS35" s="142">
        <v>0</v>
      </c>
      <c r="AT35" s="143">
        <v>7.7636531971899601</v>
      </c>
    </row>
    <row r="36" spans="2:46" ht="12" customHeight="1" x14ac:dyDescent="0.25">
      <c r="B36" s="141" t="s">
        <v>43</v>
      </c>
      <c r="C36" s="142" t="s">
        <v>33</v>
      </c>
      <c r="D36" s="142" t="s">
        <v>44</v>
      </c>
      <c r="E36" s="142" t="s">
        <v>55</v>
      </c>
      <c r="F36" s="142" t="s">
        <v>25</v>
      </c>
      <c r="G36" s="142" t="s">
        <v>35</v>
      </c>
      <c r="H36" s="142" t="s">
        <v>80</v>
      </c>
      <c r="I36" s="142" t="s">
        <v>25</v>
      </c>
      <c r="J36" s="142">
        <v>333.55</v>
      </c>
      <c r="K36" s="142">
        <v>280.48</v>
      </c>
      <c r="L36" s="142">
        <v>6.5956969262771104</v>
      </c>
      <c r="M36" s="142">
        <v>0.68152242623676595</v>
      </c>
      <c r="N36" s="142">
        <v>2.9181575206169299</v>
      </c>
      <c r="O36" s="142">
        <v>0</v>
      </c>
      <c r="P36" s="142">
        <v>0</v>
      </c>
      <c r="Q36" s="142">
        <v>112.21829948702199</v>
      </c>
      <c r="R36" s="142">
        <v>18.5614621093175</v>
      </c>
      <c r="S36" s="142">
        <v>0</v>
      </c>
      <c r="T36" s="142">
        <v>18.397717154391501</v>
      </c>
      <c r="U36" s="142">
        <v>2.4247241729117501</v>
      </c>
      <c r="V36" s="142">
        <v>0.73859722463185995</v>
      </c>
      <c r="W36" s="142">
        <v>0</v>
      </c>
      <c r="X36" s="142">
        <v>27.107976853759698</v>
      </c>
      <c r="Y36" s="142">
        <v>0</v>
      </c>
      <c r="Z36" s="142">
        <v>0</v>
      </c>
      <c r="AA36" s="142">
        <v>118.854255998632</v>
      </c>
      <c r="AB36" s="142">
        <v>-9.0641134413261106</v>
      </c>
      <c r="AC36" s="142">
        <v>0</v>
      </c>
      <c r="AD36" s="142">
        <v>0</v>
      </c>
      <c r="AE36" s="142">
        <v>28.7743669762358</v>
      </c>
      <c r="AF36" s="142">
        <v>1.01489790441164</v>
      </c>
      <c r="AG36" s="142">
        <v>3.8609706973278701</v>
      </c>
      <c r="AH36" s="142">
        <v>0.46251724598493399</v>
      </c>
      <c r="AI36" s="142">
        <v>10.5489597961912</v>
      </c>
      <c r="AJ36" s="142">
        <v>-15.224828363328401</v>
      </c>
      <c r="AK36" s="142">
        <v>2.92103644233962</v>
      </c>
      <c r="AL36" s="142">
        <v>31.6621477035639</v>
      </c>
      <c r="AM36" s="142">
        <v>0</v>
      </c>
      <c r="AN36" s="142">
        <v>237.90215570379999</v>
      </c>
      <c r="AO36" s="142">
        <v>7.8828986545647801</v>
      </c>
      <c r="AP36" s="142">
        <v>4.8706447866628002</v>
      </c>
      <c r="AQ36" s="142">
        <v>0</v>
      </c>
      <c r="AR36" s="142">
        <v>-7.8460116673725802</v>
      </c>
      <c r="AS36" s="142">
        <v>0</v>
      </c>
      <c r="AT36" s="143">
        <v>7.7636531971899601</v>
      </c>
    </row>
    <row r="37" spans="2:46" ht="12" customHeight="1" x14ac:dyDescent="0.25">
      <c r="B37" s="141" t="s">
        <v>43</v>
      </c>
      <c r="C37" s="142" t="s">
        <v>23</v>
      </c>
      <c r="D37" s="142" t="s">
        <v>44</v>
      </c>
      <c r="E37" s="142" t="s">
        <v>95</v>
      </c>
      <c r="F37" s="142" t="s">
        <v>25</v>
      </c>
      <c r="G37" s="142" t="s">
        <v>25</v>
      </c>
      <c r="H37" s="142" t="s">
        <v>80</v>
      </c>
      <c r="I37" s="142" t="s">
        <v>25</v>
      </c>
      <c r="J37" s="142">
        <v>408.71</v>
      </c>
      <c r="K37" s="142">
        <v>300.76</v>
      </c>
      <c r="L37" s="142">
        <v>6.7390816420657504</v>
      </c>
      <c r="M37" s="142">
        <v>0.69633813115495602</v>
      </c>
      <c r="N37" s="142">
        <v>3.01872882207098</v>
      </c>
      <c r="O37" s="142">
        <v>0</v>
      </c>
      <c r="P37" s="142">
        <v>0</v>
      </c>
      <c r="Q37" s="142">
        <v>114.65782773674</v>
      </c>
      <c r="R37" s="142">
        <v>18.964972155172202</v>
      </c>
      <c r="S37" s="142">
        <v>0</v>
      </c>
      <c r="T37" s="142">
        <v>26.475655808318798</v>
      </c>
      <c r="U37" s="142">
        <v>3.48931845363763</v>
      </c>
      <c r="V37" s="142">
        <v>1.0629566321195401</v>
      </c>
      <c r="W37" s="142">
        <v>0</v>
      </c>
      <c r="X37" s="142">
        <v>39.010254504798098</v>
      </c>
      <c r="Y37" s="142">
        <v>0</v>
      </c>
      <c r="Z37" s="142">
        <v>0</v>
      </c>
      <c r="AA37" s="142">
        <v>171.03941738846501</v>
      </c>
      <c r="AB37" s="142">
        <v>-11.2939629847245</v>
      </c>
      <c r="AC37" s="142">
        <v>0</v>
      </c>
      <c r="AD37" s="142">
        <v>0</v>
      </c>
      <c r="AE37" s="142">
        <v>29.399896693110499</v>
      </c>
      <c r="AF37" s="142">
        <v>1.0369609023336299</v>
      </c>
      <c r="AG37" s="142">
        <v>3.9449048429219502</v>
      </c>
      <c r="AH37" s="142">
        <v>0.47257196872373702</v>
      </c>
      <c r="AI37" s="142">
        <v>10.778285009151899</v>
      </c>
      <c r="AJ37" s="142">
        <v>-15.555802892966</v>
      </c>
      <c r="AK37" s="142">
        <v>2.9845372345643999</v>
      </c>
      <c r="AL37" s="142">
        <v>32.350455262337</v>
      </c>
      <c r="AM37" s="142">
        <v>0</v>
      </c>
      <c r="AN37" s="142">
        <v>257.65837819920199</v>
      </c>
      <c r="AO37" s="142">
        <v>8.0542660166205309</v>
      </c>
      <c r="AP37" s="142">
        <v>4.97652836898156</v>
      </c>
      <c r="AQ37" s="142">
        <v>0</v>
      </c>
      <c r="AR37" s="142">
        <v>-8.4222339728206599</v>
      </c>
      <c r="AS37" s="142">
        <v>0</v>
      </c>
      <c r="AT37" s="143">
        <v>7.9324282666940897</v>
      </c>
    </row>
    <row r="38" spans="2:46" ht="12" customHeight="1" x14ac:dyDescent="0.25">
      <c r="B38" s="141" t="s">
        <v>43</v>
      </c>
      <c r="C38" s="142" t="s">
        <v>23</v>
      </c>
      <c r="D38" s="142" t="s">
        <v>44</v>
      </c>
      <c r="E38" s="142" t="s">
        <v>25</v>
      </c>
      <c r="F38" s="142" t="s">
        <v>25</v>
      </c>
      <c r="G38" s="142" t="s">
        <v>25</v>
      </c>
      <c r="H38" s="142" t="s">
        <v>80</v>
      </c>
      <c r="I38" s="142" t="s">
        <v>25</v>
      </c>
      <c r="J38" s="142">
        <v>408.71</v>
      </c>
      <c r="K38" s="142">
        <v>300.76</v>
      </c>
      <c r="L38" s="142">
        <v>6.7390816420657504</v>
      </c>
      <c r="M38" s="142">
        <v>0.69633813115495602</v>
      </c>
      <c r="N38" s="142">
        <v>3.01872882207098</v>
      </c>
      <c r="O38" s="142">
        <v>0</v>
      </c>
      <c r="P38" s="142">
        <v>0</v>
      </c>
      <c r="Q38" s="142">
        <v>114.65782773674</v>
      </c>
      <c r="R38" s="142">
        <v>18.964972155172202</v>
      </c>
      <c r="S38" s="142">
        <v>0</v>
      </c>
      <c r="T38" s="142">
        <v>26.475655808318798</v>
      </c>
      <c r="U38" s="142">
        <v>3.48931845363763</v>
      </c>
      <c r="V38" s="142">
        <v>1.0629566321195401</v>
      </c>
      <c r="W38" s="142">
        <v>0</v>
      </c>
      <c r="X38" s="142">
        <v>39.010254504798098</v>
      </c>
      <c r="Y38" s="142">
        <v>0</v>
      </c>
      <c r="Z38" s="142">
        <v>0</v>
      </c>
      <c r="AA38" s="142">
        <v>171.03941738846501</v>
      </c>
      <c r="AB38" s="142">
        <v>-11.2939629847245</v>
      </c>
      <c r="AC38" s="142">
        <v>0</v>
      </c>
      <c r="AD38" s="142">
        <v>0</v>
      </c>
      <c r="AE38" s="142">
        <v>29.399896693110499</v>
      </c>
      <c r="AF38" s="142">
        <v>1.0369609023336299</v>
      </c>
      <c r="AG38" s="142">
        <v>3.9449048429219502</v>
      </c>
      <c r="AH38" s="142">
        <v>0.47257196872373702</v>
      </c>
      <c r="AI38" s="142">
        <v>10.778285009151899</v>
      </c>
      <c r="AJ38" s="142">
        <v>-15.555802892966</v>
      </c>
      <c r="AK38" s="142">
        <v>2.9845372345643999</v>
      </c>
      <c r="AL38" s="142">
        <v>32.350455262337</v>
      </c>
      <c r="AM38" s="142">
        <v>0</v>
      </c>
      <c r="AN38" s="142">
        <v>257.65837819920199</v>
      </c>
      <c r="AO38" s="142">
        <v>8.0542660166205309</v>
      </c>
      <c r="AP38" s="142">
        <v>4.97652836898156</v>
      </c>
      <c r="AQ38" s="142">
        <v>0</v>
      </c>
      <c r="AR38" s="142">
        <v>-8.4222339728206599</v>
      </c>
      <c r="AS38" s="142">
        <v>0</v>
      </c>
      <c r="AT38" s="143">
        <v>7.9324282666940897</v>
      </c>
    </row>
    <row r="39" spans="2:46" ht="12" customHeight="1" x14ac:dyDescent="0.25">
      <c r="B39" s="141" t="s">
        <v>43</v>
      </c>
      <c r="C39" s="142" t="s">
        <v>23</v>
      </c>
      <c r="D39" s="142" t="s">
        <v>44</v>
      </c>
      <c r="E39" s="142" t="s">
        <v>55</v>
      </c>
      <c r="F39" s="142" t="s">
        <v>25</v>
      </c>
      <c r="G39" s="142" t="s">
        <v>25</v>
      </c>
      <c r="H39" s="142" t="s">
        <v>80</v>
      </c>
      <c r="I39" s="142" t="s">
        <v>25</v>
      </c>
      <c r="J39" s="142">
        <v>400.02</v>
      </c>
      <c r="K39" s="142">
        <v>294.36</v>
      </c>
      <c r="L39" s="142">
        <v>6.5956969262771104</v>
      </c>
      <c r="M39" s="142">
        <v>0.68152242623676595</v>
      </c>
      <c r="N39" s="142">
        <v>2.9545005492609602</v>
      </c>
      <c r="O39" s="142">
        <v>0</v>
      </c>
      <c r="P39" s="142">
        <v>0</v>
      </c>
      <c r="Q39" s="142">
        <v>112.21829948702199</v>
      </c>
      <c r="R39" s="142">
        <v>18.5614621093175</v>
      </c>
      <c r="S39" s="142">
        <v>0</v>
      </c>
      <c r="T39" s="142">
        <v>25.912343982609901</v>
      </c>
      <c r="U39" s="142">
        <v>3.41507763547513</v>
      </c>
      <c r="V39" s="142">
        <v>1.0403405335638001</v>
      </c>
      <c r="W39" s="142">
        <v>0</v>
      </c>
      <c r="X39" s="142">
        <v>38.180249089802402</v>
      </c>
      <c r="Y39" s="142">
        <v>0</v>
      </c>
      <c r="Z39" s="142">
        <v>0</v>
      </c>
      <c r="AA39" s="142">
        <v>167.40028084828401</v>
      </c>
      <c r="AB39" s="142">
        <v>-11.0536658999431</v>
      </c>
      <c r="AC39" s="142">
        <v>0</v>
      </c>
      <c r="AD39" s="142">
        <v>0</v>
      </c>
      <c r="AE39" s="142">
        <v>28.7743669762358</v>
      </c>
      <c r="AF39" s="142">
        <v>1.01489790441164</v>
      </c>
      <c r="AG39" s="142">
        <v>3.8609706973278701</v>
      </c>
      <c r="AH39" s="142">
        <v>0.46251724598493399</v>
      </c>
      <c r="AI39" s="142">
        <v>10.5489597961912</v>
      </c>
      <c r="AJ39" s="142">
        <v>-15.224828363328401</v>
      </c>
      <c r="AK39" s="142">
        <v>2.92103644233962</v>
      </c>
      <c r="AL39" s="142">
        <v>31.6621477035639</v>
      </c>
      <c r="AM39" s="142">
        <v>0</v>
      </c>
      <c r="AN39" s="142">
        <v>252.176285046028</v>
      </c>
      <c r="AO39" s="142">
        <v>7.8828986545647801</v>
      </c>
      <c r="AP39" s="142">
        <v>4.8706447866628002</v>
      </c>
      <c r="AQ39" s="142">
        <v>0</v>
      </c>
      <c r="AR39" s="142">
        <v>-8.2430375053138398</v>
      </c>
      <c r="AS39" s="142">
        <v>0</v>
      </c>
      <c r="AT39" s="143">
        <v>7.7636531971899601</v>
      </c>
    </row>
    <row r="40" spans="2:46" ht="12" customHeight="1" x14ac:dyDescent="0.25">
      <c r="B40" s="141" t="s">
        <v>43</v>
      </c>
      <c r="C40" s="142" t="s">
        <v>94</v>
      </c>
      <c r="D40" s="142" t="s">
        <v>44</v>
      </c>
      <c r="E40" s="142" t="s">
        <v>95</v>
      </c>
      <c r="F40" s="142" t="s">
        <v>25</v>
      </c>
      <c r="G40" s="142" t="s">
        <v>25</v>
      </c>
      <c r="H40" s="142" t="s">
        <v>80</v>
      </c>
      <c r="I40" s="142" t="s">
        <v>25</v>
      </c>
      <c r="J40" s="142">
        <v>408.71</v>
      </c>
      <c r="K40" s="142">
        <v>300.76</v>
      </c>
      <c r="L40" s="142">
        <v>6.7390816420657504</v>
      </c>
      <c r="M40" s="142">
        <v>0.69633813115495602</v>
      </c>
      <c r="N40" s="142">
        <v>3.01872882207098</v>
      </c>
      <c r="O40" s="142">
        <v>0</v>
      </c>
      <c r="P40" s="142">
        <v>0</v>
      </c>
      <c r="Q40" s="142">
        <v>114.65782773674</v>
      </c>
      <c r="R40" s="142">
        <v>18.964972155172202</v>
      </c>
      <c r="S40" s="142">
        <v>0</v>
      </c>
      <c r="T40" s="142">
        <v>26.475655808318798</v>
      </c>
      <c r="U40" s="142">
        <v>3.48931845363763</v>
      </c>
      <c r="V40" s="142">
        <v>1.0629566321195401</v>
      </c>
      <c r="W40" s="142">
        <v>0</v>
      </c>
      <c r="X40" s="142">
        <v>39.010254504798098</v>
      </c>
      <c r="Y40" s="142">
        <v>0</v>
      </c>
      <c r="Z40" s="142">
        <v>0</v>
      </c>
      <c r="AA40" s="142">
        <v>171.03941738846501</v>
      </c>
      <c r="AB40" s="142">
        <v>-11.2939629847245</v>
      </c>
      <c r="AC40" s="142">
        <v>0</v>
      </c>
      <c r="AD40" s="142">
        <v>0</v>
      </c>
      <c r="AE40" s="142">
        <v>29.399896693110499</v>
      </c>
      <c r="AF40" s="142">
        <v>1.0369609023336299</v>
      </c>
      <c r="AG40" s="142">
        <v>3.9449048429219502</v>
      </c>
      <c r="AH40" s="142">
        <v>0.47257196872373702</v>
      </c>
      <c r="AI40" s="142">
        <v>10.778285009151899</v>
      </c>
      <c r="AJ40" s="142">
        <v>-15.555802892966</v>
      </c>
      <c r="AK40" s="142">
        <v>2.9845372345643999</v>
      </c>
      <c r="AL40" s="142">
        <v>32.350455262337</v>
      </c>
      <c r="AM40" s="142">
        <v>0</v>
      </c>
      <c r="AN40" s="142">
        <v>257.65837819920199</v>
      </c>
      <c r="AO40" s="142">
        <v>8.0542660166205309</v>
      </c>
      <c r="AP40" s="142">
        <v>4.97652836898156</v>
      </c>
      <c r="AQ40" s="142">
        <v>0</v>
      </c>
      <c r="AR40" s="142">
        <v>-8.4222339728206599</v>
      </c>
      <c r="AS40" s="142">
        <v>0</v>
      </c>
      <c r="AT40" s="143">
        <v>7.9324282666940897</v>
      </c>
    </row>
    <row r="41" spans="2:46" ht="12" customHeight="1" x14ac:dyDescent="0.25">
      <c r="B41" s="141" t="s">
        <v>43</v>
      </c>
      <c r="C41" s="142" t="s">
        <v>94</v>
      </c>
      <c r="D41" s="142" t="s">
        <v>44</v>
      </c>
      <c r="E41" s="142" t="s">
        <v>25</v>
      </c>
      <c r="F41" s="142" t="s">
        <v>25</v>
      </c>
      <c r="G41" s="142" t="s">
        <v>25</v>
      </c>
      <c r="H41" s="142" t="s">
        <v>80</v>
      </c>
      <c r="I41" s="142" t="s">
        <v>25</v>
      </c>
      <c r="J41" s="142">
        <v>408.71</v>
      </c>
      <c r="K41" s="142">
        <v>300.76</v>
      </c>
      <c r="L41" s="142">
        <v>6.7390816420657504</v>
      </c>
      <c r="M41" s="142">
        <v>0.69633813115495602</v>
      </c>
      <c r="N41" s="142">
        <v>3.01872882207098</v>
      </c>
      <c r="O41" s="142">
        <v>0</v>
      </c>
      <c r="P41" s="142">
        <v>0</v>
      </c>
      <c r="Q41" s="142">
        <v>114.65782773674</v>
      </c>
      <c r="R41" s="142">
        <v>18.964972155172202</v>
      </c>
      <c r="S41" s="142">
        <v>0</v>
      </c>
      <c r="T41" s="142">
        <v>26.475655808318798</v>
      </c>
      <c r="U41" s="142">
        <v>3.48931845363763</v>
      </c>
      <c r="V41" s="142">
        <v>1.0629566321195401</v>
      </c>
      <c r="W41" s="142">
        <v>0</v>
      </c>
      <c r="X41" s="142">
        <v>39.010254504798098</v>
      </c>
      <c r="Y41" s="142">
        <v>0</v>
      </c>
      <c r="Z41" s="142">
        <v>0</v>
      </c>
      <c r="AA41" s="142">
        <v>171.03941738846501</v>
      </c>
      <c r="AB41" s="142">
        <v>-11.2939629847245</v>
      </c>
      <c r="AC41" s="142">
        <v>0</v>
      </c>
      <c r="AD41" s="142">
        <v>0</v>
      </c>
      <c r="AE41" s="142">
        <v>29.399896693110499</v>
      </c>
      <c r="AF41" s="142">
        <v>1.0369609023336299</v>
      </c>
      <c r="AG41" s="142">
        <v>3.9449048429219502</v>
      </c>
      <c r="AH41" s="142">
        <v>0.47257196872373702</v>
      </c>
      <c r="AI41" s="142">
        <v>10.778285009151899</v>
      </c>
      <c r="AJ41" s="142">
        <v>-15.555802892966</v>
      </c>
      <c r="AK41" s="142">
        <v>2.9845372345643999</v>
      </c>
      <c r="AL41" s="142">
        <v>32.350455262337</v>
      </c>
      <c r="AM41" s="142">
        <v>0</v>
      </c>
      <c r="AN41" s="142">
        <v>257.65837819920199</v>
      </c>
      <c r="AO41" s="142">
        <v>8.0542660166205309</v>
      </c>
      <c r="AP41" s="142">
        <v>4.97652836898156</v>
      </c>
      <c r="AQ41" s="142">
        <v>0</v>
      </c>
      <c r="AR41" s="142">
        <v>-8.4222339728206599</v>
      </c>
      <c r="AS41" s="142">
        <v>0</v>
      </c>
      <c r="AT41" s="143">
        <v>7.9324282666940897</v>
      </c>
    </row>
    <row r="42" spans="2:46" ht="12" customHeight="1" x14ac:dyDescent="0.25">
      <c r="B42" s="141" t="s">
        <v>43</v>
      </c>
      <c r="C42" s="142" t="s">
        <v>94</v>
      </c>
      <c r="D42" s="142" t="s">
        <v>44</v>
      </c>
      <c r="E42" s="142" t="s">
        <v>55</v>
      </c>
      <c r="F42" s="142" t="s">
        <v>25</v>
      </c>
      <c r="G42" s="142" t="s">
        <v>25</v>
      </c>
      <c r="H42" s="142" t="s">
        <v>80</v>
      </c>
      <c r="I42" s="142" t="s">
        <v>25</v>
      </c>
      <c r="J42" s="142">
        <v>400.02</v>
      </c>
      <c r="K42" s="142">
        <v>294.36</v>
      </c>
      <c r="L42" s="142">
        <v>6.5956969262771104</v>
      </c>
      <c r="M42" s="142">
        <v>0.68152242623676595</v>
      </c>
      <c r="N42" s="142">
        <v>2.9545005492609602</v>
      </c>
      <c r="O42" s="142">
        <v>0</v>
      </c>
      <c r="P42" s="142">
        <v>0</v>
      </c>
      <c r="Q42" s="142">
        <v>112.21829948702199</v>
      </c>
      <c r="R42" s="142">
        <v>18.5614621093175</v>
      </c>
      <c r="S42" s="142">
        <v>0</v>
      </c>
      <c r="T42" s="142">
        <v>25.912343982609901</v>
      </c>
      <c r="U42" s="142">
        <v>3.41507763547513</v>
      </c>
      <c r="V42" s="142">
        <v>1.0403405335638001</v>
      </c>
      <c r="W42" s="142">
        <v>0</v>
      </c>
      <c r="X42" s="142">
        <v>38.180249089802402</v>
      </c>
      <c r="Y42" s="142">
        <v>0</v>
      </c>
      <c r="Z42" s="142">
        <v>0</v>
      </c>
      <c r="AA42" s="142">
        <v>167.40028084828401</v>
      </c>
      <c r="AB42" s="142">
        <v>-11.0536658999431</v>
      </c>
      <c r="AC42" s="142">
        <v>0</v>
      </c>
      <c r="AD42" s="142">
        <v>0</v>
      </c>
      <c r="AE42" s="142">
        <v>28.7743669762358</v>
      </c>
      <c r="AF42" s="142">
        <v>1.01489790441164</v>
      </c>
      <c r="AG42" s="142">
        <v>3.8609706973278701</v>
      </c>
      <c r="AH42" s="142">
        <v>0.46251724598493399</v>
      </c>
      <c r="AI42" s="142">
        <v>10.5489597961912</v>
      </c>
      <c r="AJ42" s="142">
        <v>-15.224828363328401</v>
      </c>
      <c r="AK42" s="142">
        <v>2.92103644233962</v>
      </c>
      <c r="AL42" s="142">
        <v>31.6621477035639</v>
      </c>
      <c r="AM42" s="142">
        <v>0</v>
      </c>
      <c r="AN42" s="142">
        <v>252.176285046028</v>
      </c>
      <c r="AO42" s="142">
        <v>7.8828986545647801</v>
      </c>
      <c r="AP42" s="142">
        <v>4.8706447866628002</v>
      </c>
      <c r="AQ42" s="142">
        <v>0</v>
      </c>
      <c r="AR42" s="142">
        <v>-8.2430375053138398</v>
      </c>
      <c r="AS42" s="142">
        <v>0</v>
      </c>
      <c r="AT42" s="143">
        <v>7.7636531971899601</v>
      </c>
    </row>
    <row r="43" spans="2:46" ht="12" customHeight="1" x14ac:dyDescent="0.25">
      <c r="B43" s="141" t="s">
        <v>37</v>
      </c>
      <c r="C43" s="142" t="s">
        <v>33</v>
      </c>
      <c r="D43" s="142" t="s">
        <v>25</v>
      </c>
      <c r="E43" s="142" t="s">
        <v>25</v>
      </c>
      <c r="F43" s="142" t="s">
        <v>25</v>
      </c>
      <c r="G43" s="142" t="s">
        <v>34</v>
      </c>
      <c r="H43" s="142" t="s">
        <v>80</v>
      </c>
      <c r="I43" s="142" t="s">
        <v>25</v>
      </c>
      <c r="J43" s="142">
        <v>1070.1199999999999</v>
      </c>
      <c r="K43" s="142">
        <v>485.88</v>
      </c>
      <c r="L43" s="142">
        <v>7.1692357894316503</v>
      </c>
      <c r="M43" s="142">
        <v>0.74078524590952799</v>
      </c>
      <c r="N43" s="142">
        <v>3.5587700716278801</v>
      </c>
      <c r="O43" s="142">
        <v>0</v>
      </c>
      <c r="P43" s="142">
        <v>0</v>
      </c>
      <c r="Q43" s="142">
        <v>121.976412485894</v>
      </c>
      <c r="R43" s="142">
        <v>20.1755022927364</v>
      </c>
      <c r="S43" s="142">
        <v>0</v>
      </c>
      <c r="T43" s="142">
        <v>99.987862528223502</v>
      </c>
      <c r="U43" s="142">
        <v>13.1776051376353</v>
      </c>
      <c r="V43" s="142">
        <v>4.0143574936429296</v>
      </c>
      <c r="W43" s="142">
        <v>0</v>
      </c>
      <c r="X43" s="142">
        <v>147.32584285994</v>
      </c>
      <c r="Y43" s="142">
        <v>0</v>
      </c>
      <c r="Z43" s="142">
        <v>0</v>
      </c>
      <c r="AA43" s="142">
        <v>645.94682376449896</v>
      </c>
      <c r="AB43" s="142">
        <v>-31.0304341350122</v>
      </c>
      <c r="AC43" s="142">
        <v>0</v>
      </c>
      <c r="AD43" s="142">
        <v>0</v>
      </c>
      <c r="AE43" s="142">
        <v>31.276485843734601</v>
      </c>
      <c r="AF43" s="142">
        <v>1.1031498960996</v>
      </c>
      <c r="AG43" s="142">
        <v>4.1967072797042002</v>
      </c>
      <c r="AH43" s="142">
        <v>0.50273613694014596</v>
      </c>
      <c r="AI43" s="142">
        <v>11.466260648034</v>
      </c>
      <c r="AJ43" s="142">
        <v>-16.548726481878699</v>
      </c>
      <c r="AK43" s="142">
        <v>3.17503961123872</v>
      </c>
      <c r="AL43" s="142">
        <v>34.415377938656398</v>
      </c>
      <c r="AM43" s="142">
        <v>0</v>
      </c>
      <c r="AN43" s="142">
        <v>444.77359544623403</v>
      </c>
      <c r="AO43" s="142">
        <v>8.5683681027877991</v>
      </c>
      <c r="AP43" s="142">
        <v>5.2941791159378297</v>
      </c>
      <c r="AQ43" s="142">
        <v>0</v>
      </c>
      <c r="AR43" s="142">
        <v>-13.706871437682301</v>
      </c>
      <c r="AS43" s="142">
        <v>0</v>
      </c>
      <c r="AT43" s="143">
        <v>8.4387534752064806</v>
      </c>
    </row>
    <row r="44" spans="2:46" ht="12" customHeight="1" x14ac:dyDescent="0.25">
      <c r="B44" s="141" t="s">
        <v>37</v>
      </c>
      <c r="C44" s="142" t="s">
        <v>33</v>
      </c>
      <c r="D44" s="142" t="s">
        <v>25</v>
      </c>
      <c r="E44" s="142" t="s">
        <v>25</v>
      </c>
      <c r="F44" s="142" t="s">
        <v>25</v>
      </c>
      <c r="G44" s="142" t="s">
        <v>36</v>
      </c>
      <c r="H44" s="142" t="s">
        <v>80</v>
      </c>
      <c r="I44" s="142" t="s">
        <v>25</v>
      </c>
      <c r="J44" s="142">
        <v>716.34</v>
      </c>
      <c r="K44" s="142">
        <v>304.87</v>
      </c>
      <c r="L44" s="142">
        <v>7.1692357894316503</v>
      </c>
      <c r="M44" s="142">
        <v>0.74078524590952799</v>
      </c>
      <c r="N44" s="142">
        <v>3.36534017987413</v>
      </c>
      <c r="O44" s="142">
        <v>0</v>
      </c>
      <c r="P44" s="142">
        <v>0</v>
      </c>
      <c r="Q44" s="142">
        <v>121.976412485894</v>
      </c>
      <c r="R44" s="142">
        <v>20.1755022927364</v>
      </c>
      <c r="S44" s="142">
        <v>0</v>
      </c>
      <c r="T44" s="142">
        <v>59.992690587150598</v>
      </c>
      <c r="U44" s="142">
        <v>7.9065874454001399</v>
      </c>
      <c r="V44" s="142">
        <v>2.4085902819474798</v>
      </c>
      <c r="W44" s="142">
        <v>0</v>
      </c>
      <c r="X44" s="142">
        <v>88.395458395244503</v>
      </c>
      <c r="Y44" s="142">
        <v>0</v>
      </c>
      <c r="Z44" s="142">
        <v>0</v>
      </c>
      <c r="AA44" s="142">
        <v>387.56811622933202</v>
      </c>
      <c r="AB44" s="142">
        <v>-20.4413639592781</v>
      </c>
      <c r="AC44" s="142">
        <v>0</v>
      </c>
      <c r="AD44" s="142">
        <v>0</v>
      </c>
      <c r="AE44" s="142">
        <v>31.276485843734601</v>
      </c>
      <c r="AF44" s="142">
        <v>1.1031498960996</v>
      </c>
      <c r="AG44" s="142">
        <v>4.1967072797042002</v>
      </c>
      <c r="AH44" s="142">
        <v>0.50273613694014596</v>
      </c>
      <c r="AI44" s="142">
        <v>11.466260648034</v>
      </c>
      <c r="AJ44" s="142">
        <v>-16.548726481878699</v>
      </c>
      <c r="AK44" s="142">
        <v>3.17503961123872</v>
      </c>
      <c r="AL44" s="142">
        <v>34.415377938656398</v>
      </c>
      <c r="AM44" s="142">
        <v>0</v>
      </c>
      <c r="AN44" s="142">
        <v>258.58929967804301</v>
      </c>
      <c r="AO44" s="142">
        <v>8.5683681027877991</v>
      </c>
      <c r="AP44" s="142">
        <v>5.2941791159378297</v>
      </c>
      <c r="AQ44" s="142">
        <v>0</v>
      </c>
      <c r="AR44" s="142">
        <v>-8.5282735514919299</v>
      </c>
      <c r="AS44" s="142">
        <v>0</v>
      </c>
      <c r="AT44" s="143">
        <v>8.4387534752064806</v>
      </c>
    </row>
    <row r="45" spans="2:46" ht="12" customHeight="1" x14ac:dyDescent="0.25">
      <c r="B45" s="141" t="s">
        <v>37</v>
      </c>
      <c r="C45" s="142" t="s">
        <v>33</v>
      </c>
      <c r="D45" s="142" t="s">
        <v>25</v>
      </c>
      <c r="E45" s="142" t="s">
        <v>25</v>
      </c>
      <c r="F45" s="142" t="s">
        <v>25</v>
      </c>
      <c r="G45" s="142" t="s">
        <v>35</v>
      </c>
      <c r="H45" s="142" t="s">
        <v>80</v>
      </c>
      <c r="I45" s="142" t="s">
        <v>25</v>
      </c>
      <c r="J45" s="142">
        <v>362.55</v>
      </c>
      <c r="K45" s="142">
        <v>304.87</v>
      </c>
      <c r="L45" s="142">
        <v>7.1692357894316503</v>
      </c>
      <c r="M45" s="142">
        <v>0.74078524590952799</v>
      </c>
      <c r="N45" s="142">
        <v>3.17191034849666</v>
      </c>
      <c r="O45" s="142">
        <v>0</v>
      </c>
      <c r="P45" s="142">
        <v>0</v>
      </c>
      <c r="Q45" s="142">
        <v>121.976412485894</v>
      </c>
      <c r="R45" s="142">
        <v>20.1755022927364</v>
      </c>
      <c r="S45" s="142">
        <v>0</v>
      </c>
      <c r="T45" s="142">
        <v>19.997518646077701</v>
      </c>
      <c r="U45" s="142">
        <v>2.6355697531649498</v>
      </c>
      <c r="V45" s="142">
        <v>0.80282307025202204</v>
      </c>
      <c r="W45" s="142">
        <v>0</v>
      </c>
      <c r="X45" s="142">
        <v>29.465192232347501</v>
      </c>
      <c r="Y45" s="142">
        <v>0</v>
      </c>
      <c r="Z45" s="142">
        <v>0</v>
      </c>
      <c r="AA45" s="142">
        <v>129.18940869416599</v>
      </c>
      <c r="AB45" s="142">
        <v>-9.8522972188327298</v>
      </c>
      <c r="AC45" s="142">
        <v>0</v>
      </c>
      <c r="AD45" s="142">
        <v>0</v>
      </c>
      <c r="AE45" s="142">
        <v>31.276485843734601</v>
      </c>
      <c r="AF45" s="142">
        <v>1.1031498960996</v>
      </c>
      <c r="AG45" s="142">
        <v>4.1967072797042002</v>
      </c>
      <c r="AH45" s="142">
        <v>0.50273613694014596</v>
      </c>
      <c r="AI45" s="142">
        <v>11.466260648034</v>
      </c>
      <c r="AJ45" s="142">
        <v>-16.548726481878699</v>
      </c>
      <c r="AK45" s="142">
        <v>3.17503961123872</v>
      </c>
      <c r="AL45" s="142">
        <v>34.415377938656398</v>
      </c>
      <c r="AM45" s="142">
        <v>0</v>
      </c>
      <c r="AN45" s="142">
        <v>258.58929967804301</v>
      </c>
      <c r="AO45" s="142">
        <v>8.5683681027877991</v>
      </c>
      <c r="AP45" s="142">
        <v>5.2941791159378297</v>
      </c>
      <c r="AQ45" s="142">
        <v>0</v>
      </c>
      <c r="AR45" s="142">
        <v>-8.5282735514919299</v>
      </c>
      <c r="AS45" s="142">
        <v>0</v>
      </c>
      <c r="AT45" s="143">
        <v>8.4387534752064806</v>
      </c>
    </row>
    <row r="46" spans="2:46" ht="12" customHeight="1" x14ac:dyDescent="0.25">
      <c r="B46" s="141" t="s">
        <v>37</v>
      </c>
      <c r="C46" s="142" t="s">
        <v>23</v>
      </c>
      <c r="D46" s="142" t="s">
        <v>25</v>
      </c>
      <c r="E46" s="142" t="s">
        <v>25</v>
      </c>
      <c r="F46" s="142" t="s">
        <v>25</v>
      </c>
      <c r="G46" s="142" t="s">
        <v>25</v>
      </c>
      <c r="H46" s="142" t="s">
        <v>80</v>
      </c>
      <c r="I46" s="142" t="s">
        <v>25</v>
      </c>
      <c r="J46" s="142">
        <v>434.8</v>
      </c>
      <c r="K46" s="142">
        <v>319.95</v>
      </c>
      <c r="L46" s="142">
        <v>7.1692357894316503</v>
      </c>
      <c r="M46" s="142">
        <v>0.74078524590952799</v>
      </c>
      <c r="N46" s="142">
        <v>3.2114136405010401</v>
      </c>
      <c r="O46" s="142">
        <v>0</v>
      </c>
      <c r="P46" s="142">
        <v>0</v>
      </c>
      <c r="Q46" s="142">
        <v>121.976412485894</v>
      </c>
      <c r="R46" s="142">
        <v>20.1755022927364</v>
      </c>
      <c r="S46" s="142">
        <v>0</v>
      </c>
      <c r="T46" s="142">
        <v>28.165591285445601</v>
      </c>
      <c r="U46" s="142">
        <v>3.71204090812514</v>
      </c>
      <c r="V46" s="142">
        <v>1.13080492778674</v>
      </c>
      <c r="W46" s="142">
        <v>0</v>
      </c>
      <c r="X46" s="142">
        <v>41.500270749785201</v>
      </c>
      <c r="Y46" s="142">
        <v>0</v>
      </c>
      <c r="Z46" s="142">
        <v>0</v>
      </c>
      <c r="AA46" s="142">
        <v>181.956827009005</v>
      </c>
      <c r="AB46" s="142">
        <v>-12.014854239068599</v>
      </c>
      <c r="AC46" s="142">
        <v>0</v>
      </c>
      <c r="AD46" s="142">
        <v>0</v>
      </c>
      <c r="AE46" s="142">
        <v>31.276485843734601</v>
      </c>
      <c r="AF46" s="142">
        <v>1.1031498960996</v>
      </c>
      <c r="AG46" s="142">
        <v>4.1967072797042002</v>
      </c>
      <c r="AH46" s="142">
        <v>0.50273613694014596</v>
      </c>
      <c r="AI46" s="142">
        <v>11.466260648034</v>
      </c>
      <c r="AJ46" s="142">
        <v>-16.548726481878699</v>
      </c>
      <c r="AK46" s="142">
        <v>3.17503961123872</v>
      </c>
      <c r="AL46" s="142">
        <v>34.415377938656398</v>
      </c>
      <c r="AM46" s="142">
        <v>0</v>
      </c>
      <c r="AN46" s="142">
        <v>274.10465765872601</v>
      </c>
      <c r="AO46" s="142">
        <v>8.5683681027877991</v>
      </c>
      <c r="AP46" s="142">
        <v>5.2941791159378297</v>
      </c>
      <c r="AQ46" s="142">
        <v>0</v>
      </c>
      <c r="AR46" s="142">
        <v>-8.9598233753411307</v>
      </c>
      <c r="AS46" s="142">
        <v>0</v>
      </c>
      <c r="AT46" s="143">
        <v>8.4387534752064806</v>
      </c>
    </row>
    <row r="47" spans="2:46" ht="12" customHeight="1" x14ac:dyDescent="0.25">
      <c r="B47" s="141" t="s">
        <v>37</v>
      </c>
      <c r="C47" s="142" t="s">
        <v>94</v>
      </c>
      <c r="D47" s="142" t="s">
        <v>25</v>
      </c>
      <c r="E47" s="142" t="s">
        <v>25</v>
      </c>
      <c r="F47" s="142" t="s">
        <v>25</v>
      </c>
      <c r="G47" s="142" t="s">
        <v>25</v>
      </c>
      <c r="H47" s="142" t="s">
        <v>80</v>
      </c>
      <c r="I47" s="142" t="s">
        <v>25</v>
      </c>
      <c r="J47" s="142">
        <v>434.8</v>
      </c>
      <c r="K47" s="142">
        <v>319.95</v>
      </c>
      <c r="L47" s="142">
        <v>7.1692357894316503</v>
      </c>
      <c r="M47" s="142">
        <v>0.74078524590952799</v>
      </c>
      <c r="N47" s="142">
        <v>3.2114136405010401</v>
      </c>
      <c r="O47" s="142">
        <v>0</v>
      </c>
      <c r="P47" s="142">
        <v>0</v>
      </c>
      <c r="Q47" s="142">
        <v>121.976412485894</v>
      </c>
      <c r="R47" s="142">
        <v>20.1755022927364</v>
      </c>
      <c r="S47" s="142">
        <v>0</v>
      </c>
      <c r="T47" s="142">
        <v>28.165591285445601</v>
      </c>
      <c r="U47" s="142">
        <v>3.71204090812514</v>
      </c>
      <c r="V47" s="142">
        <v>1.13080492778674</v>
      </c>
      <c r="W47" s="142">
        <v>0</v>
      </c>
      <c r="X47" s="142">
        <v>41.500270749785201</v>
      </c>
      <c r="Y47" s="142">
        <v>0</v>
      </c>
      <c r="Z47" s="142">
        <v>0</v>
      </c>
      <c r="AA47" s="142">
        <v>181.956827009005</v>
      </c>
      <c r="AB47" s="142">
        <v>-12.014854239068599</v>
      </c>
      <c r="AC47" s="142">
        <v>0</v>
      </c>
      <c r="AD47" s="142">
        <v>0</v>
      </c>
      <c r="AE47" s="142">
        <v>31.276485843734601</v>
      </c>
      <c r="AF47" s="142">
        <v>1.1031498960996</v>
      </c>
      <c r="AG47" s="142">
        <v>4.1967072797042002</v>
      </c>
      <c r="AH47" s="142">
        <v>0.50273613694014596</v>
      </c>
      <c r="AI47" s="142">
        <v>11.466260648034</v>
      </c>
      <c r="AJ47" s="142">
        <v>-16.548726481878699</v>
      </c>
      <c r="AK47" s="142">
        <v>3.17503961123872</v>
      </c>
      <c r="AL47" s="142">
        <v>34.415377938656398</v>
      </c>
      <c r="AM47" s="142">
        <v>0</v>
      </c>
      <c r="AN47" s="142">
        <v>274.10465765872601</v>
      </c>
      <c r="AO47" s="142">
        <v>8.5683681027877991</v>
      </c>
      <c r="AP47" s="142">
        <v>5.2941791159378297</v>
      </c>
      <c r="AQ47" s="142">
        <v>0</v>
      </c>
      <c r="AR47" s="142">
        <v>-8.9598233753411307</v>
      </c>
      <c r="AS47" s="142">
        <v>0</v>
      </c>
      <c r="AT47" s="143">
        <v>8.4387534752064806</v>
      </c>
    </row>
    <row r="48" spans="2:46" ht="12" customHeight="1" x14ac:dyDescent="0.25">
      <c r="B48" s="141" t="s">
        <v>46</v>
      </c>
      <c r="C48" s="142" t="s">
        <v>23</v>
      </c>
      <c r="D48" s="142" t="s">
        <v>47</v>
      </c>
      <c r="E48" s="142" t="s">
        <v>48</v>
      </c>
      <c r="F48" s="142" t="s">
        <v>25</v>
      </c>
      <c r="G48" s="142" t="s">
        <v>25</v>
      </c>
      <c r="H48" s="142" t="s">
        <v>80</v>
      </c>
      <c r="I48" s="142" t="s">
        <v>25</v>
      </c>
      <c r="J48" s="142">
        <v>239.14</v>
      </c>
      <c r="K48" s="142">
        <v>175.97</v>
      </c>
      <c r="L48" s="142">
        <v>3.9430796841874098</v>
      </c>
      <c r="M48" s="142">
        <v>0.40743188525024099</v>
      </c>
      <c r="N48" s="142">
        <v>1.7662775022755699</v>
      </c>
      <c r="O48" s="142">
        <v>0</v>
      </c>
      <c r="P48" s="142">
        <v>0</v>
      </c>
      <c r="Q48" s="142">
        <v>67.087026867241406</v>
      </c>
      <c r="R48" s="142">
        <v>11.096526261005</v>
      </c>
      <c r="S48" s="142">
        <v>0</v>
      </c>
      <c r="T48" s="142">
        <v>15.491075206995101</v>
      </c>
      <c r="U48" s="142">
        <v>2.0416224994688301</v>
      </c>
      <c r="V48" s="142">
        <v>0.62194271028270798</v>
      </c>
      <c r="W48" s="142">
        <v>0</v>
      </c>
      <c r="X48" s="142">
        <v>22.825148912381898</v>
      </c>
      <c r="Y48" s="142">
        <v>0</v>
      </c>
      <c r="Z48" s="142">
        <v>0</v>
      </c>
      <c r="AA48" s="142">
        <v>100.07625485495301</v>
      </c>
      <c r="AB48" s="142">
        <v>-6.6081698314877197</v>
      </c>
      <c r="AC48" s="142">
        <v>0</v>
      </c>
      <c r="AD48" s="142">
        <v>0</v>
      </c>
      <c r="AE48" s="142">
        <v>17.202067214054001</v>
      </c>
      <c r="AF48" s="142">
        <v>0.60673244285478301</v>
      </c>
      <c r="AG48" s="142">
        <v>2.3081890038373101</v>
      </c>
      <c r="AH48" s="142">
        <v>0.27650487531708001</v>
      </c>
      <c r="AI48" s="142">
        <v>6.3064433564186704</v>
      </c>
      <c r="AJ48" s="142">
        <v>-9.1017995650332999</v>
      </c>
      <c r="AK48" s="142">
        <v>1.7462717861813</v>
      </c>
      <c r="AL48" s="142">
        <v>18.928457866260999</v>
      </c>
      <c r="AM48" s="142">
        <v>0</v>
      </c>
      <c r="AN48" s="142">
        <v>150.75756171229901</v>
      </c>
      <c r="AO48" s="142">
        <v>4.7126024565332898</v>
      </c>
      <c r="AP48" s="142">
        <v>2.91179851376581</v>
      </c>
      <c r="AQ48" s="142">
        <v>0</v>
      </c>
      <c r="AR48" s="142">
        <v>-4.9279028564376199</v>
      </c>
      <c r="AS48" s="142">
        <v>0</v>
      </c>
      <c r="AT48" s="143">
        <v>4.6413144113635703</v>
      </c>
    </row>
    <row r="49" spans="2:46" ht="12" customHeight="1" x14ac:dyDescent="0.25">
      <c r="B49" s="144" t="s">
        <v>46</v>
      </c>
      <c r="C49" s="145" t="s">
        <v>23</v>
      </c>
      <c r="D49" s="145" t="s">
        <v>47</v>
      </c>
      <c r="E49" s="145" t="s">
        <v>96</v>
      </c>
      <c r="F49" s="145" t="s">
        <v>25</v>
      </c>
      <c r="G49" s="145" t="s">
        <v>25</v>
      </c>
      <c r="H49" s="145" t="s">
        <v>80</v>
      </c>
      <c r="I49" s="145" t="s">
        <v>25</v>
      </c>
      <c r="J49" s="145">
        <v>260.88</v>
      </c>
      <c r="K49" s="145">
        <v>191.97</v>
      </c>
      <c r="L49" s="145">
        <v>4.3015414736589896</v>
      </c>
      <c r="M49" s="145">
        <v>0.44447114754571698</v>
      </c>
      <c r="N49" s="145">
        <v>1.92684818430062</v>
      </c>
      <c r="O49" s="145">
        <v>0</v>
      </c>
      <c r="P49" s="145">
        <v>0</v>
      </c>
      <c r="Q49" s="145">
        <v>73.185847491536094</v>
      </c>
      <c r="R49" s="145">
        <v>12.105301375641799</v>
      </c>
      <c r="S49" s="145">
        <v>0</v>
      </c>
      <c r="T49" s="145">
        <v>16.899354771267301</v>
      </c>
      <c r="U49" s="145">
        <v>2.2272245448750798</v>
      </c>
      <c r="V49" s="145">
        <v>0.67848295667204495</v>
      </c>
      <c r="W49" s="145">
        <v>0</v>
      </c>
      <c r="X49" s="145">
        <v>24.9001624498711</v>
      </c>
      <c r="Y49" s="145">
        <v>0</v>
      </c>
      <c r="Z49" s="145">
        <v>0</v>
      </c>
      <c r="AA49" s="145">
        <v>109.174096205403</v>
      </c>
      <c r="AB49" s="145">
        <v>-7.2089125434411399</v>
      </c>
      <c r="AC49" s="145">
        <v>0</v>
      </c>
      <c r="AD49" s="145">
        <v>0</v>
      </c>
      <c r="AE49" s="145">
        <v>18.765891506240699</v>
      </c>
      <c r="AF49" s="145">
        <v>0.66188993765976301</v>
      </c>
      <c r="AG49" s="145">
        <v>2.51802436782252</v>
      </c>
      <c r="AH49" s="145">
        <v>0.30164168216408699</v>
      </c>
      <c r="AI49" s="145">
        <v>6.8797563888203701</v>
      </c>
      <c r="AJ49" s="145">
        <v>-9.9292358891272308</v>
      </c>
      <c r="AK49" s="145">
        <v>1.9050237667432299</v>
      </c>
      <c r="AL49" s="145">
        <v>20.649226763193901</v>
      </c>
      <c r="AM49" s="145">
        <v>0</v>
      </c>
      <c r="AN49" s="145">
        <v>164.46279459523501</v>
      </c>
      <c r="AO49" s="145">
        <v>5.14102086167268</v>
      </c>
      <c r="AP49" s="145">
        <v>3.1765074695626998</v>
      </c>
      <c r="AQ49" s="145">
        <v>0</v>
      </c>
      <c r="AR49" s="145">
        <v>-5.3758940252046798</v>
      </c>
      <c r="AS49" s="145">
        <v>0</v>
      </c>
      <c r="AT49" s="146">
        <v>5.0632520851238896</v>
      </c>
    </row>
  </sheetData>
  <mergeCells count="7">
    <mergeCell ref="L1:AT1"/>
    <mergeCell ref="L2:S2"/>
    <mergeCell ref="T2:Z2"/>
    <mergeCell ref="AB2:AD2"/>
    <mergeCell ref="AE2:AH2"/>
    <mergeCell ref="AI2:AM2"/>
    <mergeCell ref="AO2:AS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F966-1622-453D-86CB-15899E9B8A6E}">
  <dimension ref="B1:AT49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" bestFit="1" customWidth="1"/>
    <col min="32" max="32" width="17.7109375" bestFit="1" customWidth="1"/>
    <col min="33" max="33" width="12.5703125" bestFit="1" customWidth="1"/>
    <col min="34" max="34" width="12" bestFit="1" customWidth="1"/>
    <col min="35" max="35" width="16.5703125" bestFit="1" customWidth="1"/>
    <col min="36" max="36" width="14.5703125" bestFit="1" customWidth="1"/>
    <col min="37" max="37" width="12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47" t="s">
        <v>1320</v>
      </c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</row>
    <row r="2" spans="2:46" ht="12" customHeight="1" x14ac:dyDescent="0.25">
      <c r="L2" s="148" t="s">
        <v>645</v>
      </c>
      <c r="M2" s="148"/>
      <c r="N2" s="148"/>
      <c r="O2" s="148"/>
      <c r="P2" s="148"/>
      <c r="Q2" s="148"/>
      <c r="R2" s="148"/>
      <c r="S2" s="149"/>
      <c r="T2" s="148" t="s">
        <v>654</v>
      </c>
      <c r="U2" s="148"/>
      <c r="V2" s="148"/>
      <c r="W2" s="148"/>
      <c r="X2" s="148"/>
      <c r="Y2" s="148"/>
      <c r="Z2" s="149"/>
      <c r="AA2" s="150" t="s">
        <v>662</v>
      </c>
      <c r="AB2" s="148" t="s">
        <v>25</v>
      </c>
      <c r="AC2" s="148"/>
      <c r="AD2" s="149"/>
      <c r="AE2" s="148" t="s">
        <v>1319</v>
      </c>
      <c r="AF2" s="148"/>
      <c r="AG2" s="148"/>
      <c r="AH2" s="149"/>
      <c r="AI2" s="148" t="s">
        <v>645</v>
      </c>
      <c r="AJ2" s="148"/>
      <c r="AK2" s="148"/>
      <c r="AL2" s="148"/>
      <c r="AM2" s="149"/>
      <c r="AN2" s="150" t="s">
        <v>676</v>
      </c>
      <c r="AO2" s="148" t="s">
        <v>654</v>
      </c>
      <c r="AP2" s="148"/>
      <c r="AQ2" s="148"/>
      <c r="AR2" s="148"/>
      <c r="AS2" s="149"/>
      <c r="AT2" s="151" t="s">
        <v>1319</v>
      </c>
    </row>
    <row r="3" spans="2:46" ht="12" customHeight="1" x14ac:dyDescent="0.25">
      <c r="B3" s="138" t="s">
        <v>70</v>
      </c>
      <c r="C3" s="139" t="s">
        <v>71</v>
      </c>
      <c r="D3" s="139" t="s">
        <v>72</v>
      </c>
      <c r="E3" s="139" t="s">
        <v>73</v>
      </c>
      <c r="F3" s="139" t="s">
        <v>74</v>
      </c>
      <c r="G3" s="139" t="s">
        <v>76</v>
      </c>
      <c r="H3" s="139" t="s">
        <v>77</v>
      </c>
      <c r="I3" s="139" t="s">
        <v>922</v>
      </c>
      <c r="J3" s="139" t="s">
        <v>1281</v>
      </c>
      <c r="K3" s="139" t="s">
        <v>1282</v>
      </c>
      <c r="L3" s="139" t="s">
        <v>1283</v>
      </c>
      <c r="M3" s="139" t="s">
        <v>1284</v>
      </c>
      <c r="N3" s="139" t="s">
        <v>1285</v>
      </c>
      <c r="O3" s="139" t="s">
        <v>1286</v>
      </c>
      <c r="P3" s="139" t="s">
        <v>1287</v>
      </c>
      <c r="Q3" s="139" t="s">
        <v>1288</v>
      </c>
      <c r="R3" s="139" t="s">
        <v>1289</v>
      </c>
      <c r="S3" s="139" t="s">
        <v>1290</v>
      </c>
      <c r="T3" s="139" t="s">
        <v>1291</v>
      </c>
      <c r="U3" s="139" t="s">
        <v>1292</v>
      </c>
      <c r="V3" s="139" t="s">
        <v>1293</v>
      </c>
      <c r="W3" s="139" t="s">
        <v>1294</v>
      </c>
      <c r="X3" s="139" t="s">
        <v>1295</v>
      </c>
      <c r="Y3" s="139" t="s">
        <v>1296</v>
      </c>
      <c r="Z3" s="139" t="s">
        <v>1297</v>
      </c>
      <c r="AA3" s="139" t="s">
        <v>1298</v>
      </c>
      <c r="AB3" s="139" t="s">
        <v>1299</v>
      </c>
      <c r="AC3" s="139" t="s">
        <v>1300</v>
      </c>
      <c r="AD3" s="139" t="s">
        <v>1301</v>
      </c>
      <c r="AE3" s="139" t="s">
        <v>1302</v>
      </c>
      <c r="AF3" s="139" t="s">
        <v>1303</v>
      </c>
      <c r="AG3" s="139" t="s">
        <v>1304</v>
      </c>
      <c r="AH3" s="139" t="s">
        <v>1305</v>
      </c>
      <c r="AI3" s="139" t="s">
        <v>1306</v>
      </c>
      <c r="AJ3" s="139" t="s">
        <v>1307</v>
      </c>
      <c r="AK3" s="139" t="s">
        <v>1308</v>
      </c>
      <c r="AL3" s="139" t="s">
        <v>1309</v>
      </c>
      <c r="AM3" s="139" t="s">
        <v>1310</v>
      </c>
      <c r="AN3" s="139" t="s">
        <v>1311</v>
      </c>
      <c r="AO3" s="139" t="s">
        <v>1312</v>
      </c>
      <c r="AP3" s="139" t="s">
        <v>1313</v>
      </c>
      <c r="AQ3" s="139" t="s">
        <v>1314</v>
      </c>
      <c r="AR3" s="139" t="s">
        <v>1315</v>
      </c>
      <c r="AS3" s="139" t="s">
        <v>1316</v>
      </c>
      <c r="AT3" s="140" t="s">
        <v>1317</v>
      </c>
    </row>
    <row r="4" spans="2:46" ht="12" customHeight="1" x14ac:dyDescent="0.25">
      <c r="B4" s="141" t="s">
        <v>39</v>
      </c>
      <c r="C4" s="142" t="s">
        <v>42</v>
      </c>
      <c r="D4" s="142" t="s">
        <v>25</v>
      </c>
      <c r="E4" s="142" t="s">
        <v>25</v>
      </c>
      <c r="F4" s="142" t="s">
        <v>87</v>
      </c>
      <c r="G4" s="142" t="s">
        <v>34</v>
      </c>
      <c r="H4" s="142" t="s">
        <v>80</v>
      </c>
      <c r="I4" s="142" t="s">
        <v>25</v>
      </c>
      <c r="J4" s="142">
        <v>21.73</v>
      </c>
      <c r="K4" s="142">
        <v>0</v>
      </c>
      <c r="L4" s="142">
        <v>0</v>
      </c>
      <c r="M4" s="142">
        <v>0.48688402680007797</v>
      </c>
      <c r="N4" s="142">
        <v>1.63713607262275</v>
      </c>
      <c r="O4" s="142">
        <v>0</v>
      </c>
      <c r="P4" s="142">
        <v>0</v>
      </c>
      <c r="Q4" s="142">
        <v>0</v>
      </c>
      <c r="R4" s="142">
        <v>0</v>
      </c>
      <c r="S4" s="142">
        <v>0</v>
      </c>
      <c r="T4" s="142">
        <v>0</v>
      </c>
      <c r="U4" s="142">
        <v>0</v>
      </c>
      <c r="V4" s="142">
        <v>0</v>
      </c>
      <c r="W4" s="142">
        <v>0</v>
      </c>
      <c r="X4" s="142">
        <v>0</v>
      </c>
      <c r="Y4" s="142">
        <v>0</v>
      </c>
      <c r="Z4" s="142">
        <v>0</v>
      </c>
      <c r="AA4" s="142">
        <v>0</v>
      </c>
      <c r="AB4" s="142">
        <v>0</v>
      </c>
      <c r="AC4" s="142">
        <v>0</v>
      </c>
      <c r="AD4" s="142">
        <v>0</v>
      </c>
      <c r="AE4" s="142">
        <v>15.6864114845293</v>
      </c>
      <c r="AF4" s="142">
        <v>0.55327389674759697</v>
      </c>
      <c r="AG4" s="142">
        <v>3.0008012525748899</v>
      </c>
      <c r="AH4" s="142">
        <v>0.368088080113882</v>
      </c>
      <c r="AI4" s="142">
        <v>0</v>
      </c>
      <c r="AJ4" s="142">
        <v>0</v>
      </c>
      <c r="AK4" s="142">
        <v>0</v>
      </c>
      <c r="AL4" s="142">
        <v>0</v>
      </c>
      <c r="AM4" s="142">
        <v>0</v>
      </c>
      <c r="AN4" s="142">
        <v>0</v>
      </c>
      <c r="AO4" s="142">
        <v>0</v>
      </c>
      <c r="AP4" s="142">
        <v>0</v>
      </c>
      <c r="AQ4" s="142">
        <v>0</v>
      </c>
      <c r="AR4" s="142">
        <v>0</v>
      </c>
      <c r="AS4" s="142">
        <v>0</v>
      </c>
      <c r="AT4" s="143">
        <v>0</v>
      </c>
    </row>
    <row r="5" spans="2:46" ht="12" customHeight="1" x14ac:dyDescent="0.25">
      <c r="B5" s="141" t="s">
        <v>39</v>
      </c>
      <c r="C5" s="142" t="s">
        <v>42</v>
      </c>
      <c r="D5" s="142" t="s">
        <v>25</v>
      </c>
      <c r="E5" s="142" t="s">
        <v>25</v>
      </c>
      <c r="F5" s="142" t="s">
        <v>87</v>
      </c>
      <c r="G5" s="142" t="s">
        <v>34</v>
      </c>
      <c r="H5" s="142" t="s">
        <v>83</v>
      </c>
      <c r="I5" s="142" t="s">
        <v>25</v>
      </c>
      <c r="J5" s="142">
        <v>58.29</v>
      </c>
      <c r="K5" s="142">
        <v>0</v>
      </c>
      <c r="L5" s="142">
        <v>0</v>
      </c>
      <c r="M5" s="142">
        <v>0</v>
      </c>
      <c r="N5" s="142">
        <v>0</v>
      </c>
      <c r="O5" s="142">
        <v>0</v>
      </c>
      <c r="P5" s="142">
        <v>0</v>
      </c>
      <c r="Q5" s="142">
        <v>0</v>
      </c>
      <c r="R5" s="142">
        <v>0</v>
      </c>
      <c r="S5" s="142">
        <v>0</v>
      </c>
      <c r="T5" s="142">
        <v>5.8590432604242402</v>
      </c>
      <c r="U5" s="142">
        <v>0.75059242401305004</v>
      </c>
      <c r="V5" s="142">
        <v>0.25319907894456301</v>
      </c>
      <c r="W5" s="142">
        <v>0</v>
      </c>
      <c r="X5" s="142">
        <v>13.076850735081701</v>
      </c>
      <c r="Y5" s="142">
        <v>0</v>
      </c>
      <c r="Z5" s="142">
        <v>0</v>
      </c>
      <c r="AA5" s="142">
        <v>38.347762379499599</v>
      </c>
      <c r="AB5" s="142">
        <v>0</v>
      </c>
      <c r="AC5" s="142">
        <v>0</v>
      </c>
      <c r="AD5" s="142">
        <v>0</v>
      </c>
      <c r="AE5" s="142">
        <v>0</v>
      </c>
      <c r="AF5" s="142">
        <v>0</v>
      </c>
      <c r="AG5" s="142">
        <v>0</v>
      </c>
      <c r="AH5" s="142">
        <v>0</v>
      </c>
      <c r="AI5" s="142">
        <v>0</v>
      </c>
      <c r="AJ5" s="142">
        <v>0</v>
      </c>
      <c r="AK5" s="142">
        <v>0</v>
      </c>
      <c r="AL5" s="142">
        <v>0</v>
      </c>
      <c r="AM5" s="142">
        <v>0</v>
      </c>
      <c r="AN5" s="142">
        <v>0</v>
      </c>
      <c r="AO5" s="142">
        <v>0</v>
      </c>
      <c r="AP5" s="142">
        <v>0</v>
      </c>
      <c r="AQ5" s="142">
        <v>0</v>
      </c>
      <c r="AR5" s="142">
        <v>0</v>
      </c>
      <c r="AS5" s="142">
        <v>0</v>
      </c>
      <c r="AT5" s="143">
        <v>0</v>
      </c>
    </row>
    <row r="6" spans="2:46" ht="12" customHeight="1" x14ac:dyDescent="0.25">
      <c r="B6" s="141" t="s">
        <v>39</v>
      </c>
      <c r="C6" s="142" t="s">
        <v>42</v>
      </c>
      <c r="D6" s="142" t="s">
        <v>25</v>
      </c>
      <c r="E6" s="142" t="s">
        <v>25</v>
      </c>
      <c r="F6" s="142" t="s">
        <v>87</v>
      </c>
      <c r="G6" s="142" t="s">
        <v>35</v>
      </c>
      <c r="H6" s="142" t="s">
        <v>80</v>
      </c>
      <c r="I6" s="142" t="s">
        <v>25</v>
      </c>
      <c r="J6" s="142">
        <v>21.73</v>
      </c>
      <c r="K6" s="142">
        <v>0</v>
      </c>
      <c r="L6" s="142">
        <v>0</v>
      </c>
      <c r="M6" s="142">
        <v>0.48688402680007797</v>
      </c>
      <c r="N6" s="142">
        <v>1.63713607262275</v>
      </c>
      <c r="O6" s="142">
        <v>0</v>
      </c>
      <c r="P6" s="142">
        <v>0</v>
      </c>
      <c r="Q6" s="142">
        <v>0</v>
      </c>
      <c r="R6" s="142">
        <v>0</v>
      </c>
      <c r="S6" s="142">
        <v>0</v>
      </c>
      <c r="T6" s="142">
        <v>0</v>
      </c>
      <c r="U6" s="142">
        <v>0</v>
      </c>
      <c r="V6" s="142">
        <v>0</v>
      </c>
      <c r="W6" s="142">
        <v>0</v>
      </c>
      <c r="X6" s="142">
        <v>0</v>
      </c>
      <c r="Y6" s="142">
        <v>0</v>
      </c>
      <c r="Z6" s="142">
        <v>0</v>
      </c>
      <c r="AA6" s="142">
        <v>0</v>
      </c>
      <c r="AB6" s="142">
        <v>0</v>
      </c>
      <c r="AC6" s="142">
        <v>0</v>
      </c>
      <c r="AD6" s="142">
        <v>0</v>
      </c>
      <c r="AE6" s="142">
        <v>15.6864114845293</v>
      </c>
      <c r="AF6" s="142">
        <v>0.55327389674759697</v>
      </c>
      <c r="AG6" s="142">
        <v>3.0008012525748899</v>
      </c>
      <c r="AH6" s="142">
        <v>0.368088080113882</v>
      </c>
      <c r="AI6" s="142">
        <v>0</v>
      </c>
      <c r="AJ6" s="142">
        <v>0</v>
      </c>
      <c r="AK6" s="142">
        <v>0</v>
      </c>
      <c r="AL6" s="142">
        <v>0</v>
      </c>
      <c r="AM6" s="142">
        <v>0</v>
      </c>
      <c r="AN6" s="142">
        <v>0</v>
      </c>
      <c r="AO6" s="142">
        <v>0</v>
      </c>
      <c r="AP6" s="142">
        <v>0</v>
      </c>
      <c r="AQ6" s="142">
        <v>0</v>
      </c>
      <c r="AR6" s="142">
        <v>0</v>
      </c>
      <c r="AS6" s="142">
        <v>0</v>
      </c>
      <c r="AT6" s="143">
        <v>0</v>
      </c>
    </row>
    <row r="7" spans="2:46" ht="12" customHeight="1" x14ac:dyDescent="0.25">
      <c r="B7" s="141" t="s">
        <v>39</v>
      </c>
      <c r="C7" s="142" t="s">
        <v>42</v>
      </c>
      <c r="D7" s="142" t="s">
        <v>25</v>
      </c>
      <c r="E7" s="142" t="s">
        <v>25</v>
      </c>
      <c r="F7" s="142" t="s">
        <v>87</v>
      </c>
      <c r="G7" s="142" t="s">
        <v>35</v>
      </c>
      <c r="H7" s="142" t="s">
        <v>83</v>
      </c>
      <c r="I7" s="142" t="s">
        <v>25</v>
      </c>
      <c r="J7" s="142">
        <v>18.61</v>
      </c>
      <c r="K7" s="142">
        <v>0</v>
      </c>
      <c r="L7" s="142">
        <v>0</v>
      </c>
      <c r="M7" s="142">
        <v>0</v>
      </c>
      <c r="N7" s="142">
        <v>0</v>
      </c>
      <c r="O7" s="142">
        <v>0</v>
      </c>
      <c r="P7" s="142">
        <v>0</v>
      </c>
      <c r="Q7" s="142">
        <v>0</v>
      </c>
      <c r="R7" s="142">
        <v>0</v>
      </c>
      <c r="S7" s="142">
        <v>0</v>
      </c>
      <c r="T7" s="142">
        <v>2.0787493001099402</v>
      </c>
      <c r="U7" s="142">
        <v>0.28062096039703599</v>
      </c>
      <c r="V7" s="142">
        <v>9.1845559842396493E-2</v>
      </c>
      <c r="W7" s="142">
        <v>0</v>
      </c>
      <c r="X7" s="142">
        <v>3.2509713550225698</v>
      </c>
      <c r="Y7" s="142">
        <v>0</v>
      </c>
      <c r="Z7" s="142">
        <v>0</v>
      </c>
      <c r="AA7" s="142">
        <v>12.9033527053701</v>
      </c>
      <c r="AB7" s="142">
        <v>0</v>
      </c>
      <c r="AC7" s="142">
        <v>0</v>
      </c>
      <c r="AD7" s="142">
        <v>0</v>
      </c>
      <c r="AE7" s="142">
        <v>0</v>
      </c>
      <c r="AF7" s="142">
        <v>0</v>
      </c>
      <c r="AG7" s="142">
        <v>0</v>
      </c>
      <c r="AH7" s="142">
        <v>0</v>
      </c>
      <c r="AI7" s="142">
        <v>0</v>
      </c>
      <c r="AJ7" s="142">
        <v>0</v>
      </c>
      <c r="AK7" s="142">
        <v>0</v>
      </c>
      <c r="AL7" s="142">
        <v>0</v>
      </c>
      <c r="AM7" s="142">
        <v>0</v>
      </c>
      <c r="AN7" s="142">
        <v>0</v>
      </c>
      <c r="AO7" s="142">
        <v>0</v>
      </c>
      <c r="AP7" s="142">
        <v>0</v>
      </c>
      <c r="AQ7" s="142">
        <v>0</v>
      </c>
      <c r="AR7" s="142">
        <v>0</v>
      </c>
      <c r="AS7" s="142">
        <v>0</v>
      </c>
      <c r="AT7" s="143">
        <v>0</v>
      </c>
    </row>
    <row r="8" spans="2:46" ht="12" customHeight="1" x14ac:dyDescent="0.25">
      <c r="B8" s="141" t="s">
        <v>39</v>
      </c>
      <c r="C8" s="142" t="s">
        <v>42</v>
      </c>
      <c r="D8" s="142" t="s">
        <v>25</v>
      </c>
      <c r="E8" s="142" t="s">
        <v>25</v>
      </c>
      <c r="F8" s="142" t="s">
        <v>25</v>
      </c>
      <c r="G8" s="142" t="s">
        <v>34</v>
      </c>
      <c r="H8" s="142" t="s">
        <v>80</v>
      </c>
      <c r="I8" s="142" t="s">
        <v>25</v>
      </c>
      <c r="J8" s="142">
        <v>121.3</v>
      </c>
      <c r="K8" s="142">
        <v>464.57</v>
      </c>
      <c r="L8" s="142">
        <v>5.5431412130102604</v>
      </c>
      <c r="M8" s="142">
        <v>0.48688402680007797</v>
      </c>
      <c r="N8" s="142">
        <v>1.63773983475258</v>
      </c>
      <c r="O8" s="142">
        <v>0</v>
      </c>
      <c r="P8" s="142">
        <v>0</v>
      </c>
      <c r="Q8" s="142">
        <v>79.122600656179401</v>
      </c>
      <c r="R8" s="142">
        <v>14.901352205087999</v>
      </c>
      <c r="S8" s="142">
        <v>0</v>
      </c>
      <c r="T8" s="142">
        <v>0</v>
      </c>
      <c r="U8" s="142">
        <v>0</v>
      </c>
      <c r="V8" s="142">
        <v>0</v>
      </c>
      <c r="W8" s="142">
        <v>0</v>
      </c>
      <c r="X8" s="142">
        <v>0</v>
      </c>
      <c r="Y8" s="142">
        <v>0</v>
      </c>
      <c r="Z8" s="142">
        <v>0</v>
      </c>
      <c r="AA8" s="142">
        <v>0</v>
      </c>
      <c r="AB8" s="142">
        <v>0</v>
      </c>
      <c r="AC8" s="142">
        <v>0</v>
      </c>
      <c r="AD8" s="142">
        <v>0</v>
      </c>
      <c r="AE8" s="142">
        <v>15.6864114845293</v>
      </c>
      <c r="AF8" s="142">
        <v>0.55327389674759697</v>
      </c>
      <c r="AG8" s="142">
        <v>3.0008012525748899</v>
      </c>
      <c r="AH8" s="142">
        <v>0.368088080113882</v>
      </c>
      <c r="AI8" s="142">
        <v>10.584446429772701</v>
      </c>
      <c r="AJ8" s="142">
        <v>-16.548726481878699</v>
      </c>
      <c r="AK8" s="142">
        <v>3.1750362762758901</v>
      </c>
      <c r="AL8" s="142">
        <v>28.637422673001499</v>
      </c>
      <c r="AM8" s="142">
        <v>0</v>
      </c>
      <c r="AN8" s="142">
        <v>419.29442538004099</v>
      </c>
      <c r="AO8" s="142">
        <v>6.7912908913749597</v>
      </c>
      <c r="AP8" s="142">
        <v>4.6787668189320897</v>
      </c>
      <c r="AQ8" s="142">
        <v>0</v>
      </c>
      <c r="AR8" s="142">
        <v>0</v>
      </c>
      <c r="AS8" s="142">
        <v>0</v>
      </c>
      <c r="AT8" s="143">
        <v>7.9553335124595002</v>
      </c>
    </row>
    <row r="9" spans="2:46" ht="12" customHeight="1" x14ac:dyDescent="0.25">
      <c r="B9" s="141" t="s">
        <v>39</v>
      </c>
      <c r="C9" s="142" t="s">
        <v>42</v>
      </c>
      <c r="D9" s="142" t="s">
        <v>25</v>
      </c>
      <c r="E9" s="142" t="s">
        <v>25</v>
      </c>
      <c r="F9" s="142" t="s">
        <v>25</v>
      </c>
      <c r="G9" s="142" t="s">
        <v>34</v>
      </c>
      <c r="H9" s="142" t="s">
        <v>83</v>
      </c>
      <c r="I9" s="142" t="s">
        <v>25</v>
      </c>
      <c r="J9" s="142">
        <v>58.29</v>
      </c>
      <c r="K9" s="142">
        <v>0</v>
      </c>
      <c r="L9" s="142">
        <v>0</v>
      </c>
      <c r="M9" s="142">
        <v>0</v>
      </c>
      <c r="N9" s="142">
        <v>0</v>
      </c>
      <c r="O9" s="142">
        <v>0</v>
      </c>
      <c r="P9" s="142">
        <v>0</v>
      </c>
      <c r="Q9" s="142">
        <v>0</v>
      </c>
      <c r="R9" s="142">
        <v>0</v>
      </c>
      <c r="S9" s="142">
        <v>0</v>
      </c>
      <c r="T9" s="142">
        <v>5.8590432604242402</v>
      </c>
      <c r="U9" s="142">
        <v>0.75059242401305004</v>
      </c>
      <c r="V9" s="142">
        <v>0.25319907894456301</v>
      </c>
      <c r="W9" s="142">
        <v>0</v>
      </c>
      <c r="X9" s="142">
        <v>13.076850735081701</v>
      </c>
      <c r="Y9" s="142">
        <v>0</v>
      </c>
      <c r="Z9" s="142">
        <v>0</v>
      </c>
      <c r="AA9" s="142">
        <v>38.347762379499599</v>
      </c>
      <c r="AB9" s="142">
        <v>0</v>
      </c>
      <c r="AC9" s="142">
        <v>0</v>
      </c>
      <c r="AD9" s="142">
        <v>0</v>
      </c>
      <c r="AE9" s="142">
        <v>0</v>
      </c>
      <c r="AF9" s="142">
        <v>0</v>
      </c>
      <c r="AG9" s="142">
        <v>0</v>
      </c>
      <c r="AH9" s="142">
        <v>0</v>
      </c>
      <c r="AI9" s="142">
        <v>0</v>
      </c>
      <c r="AJ9" s="142">
        <v>0</v>
      </c>
      <c r="AK9" s="142">
        <v>0</v>
      </c>
      <c r="AL9" s="142">
        <v>0</v>
      </c>
      <c r="AM9" s="142">
        <v>0</v>
      </c>
      <c r="AN9" s="142">
        <v>0</v>
      </c>
      <c r="AO9" s="142">
        <v>0</v>
      </c>
      <c r="AP9" s="142">
        <v>0</v>
      </c>
      <c r="AQ9" s="142">
        <v>0</v>
      </c>
      <c r="AR9" s="142">
        <v>0</v>
      </c>
      <c r="AS9" s="142">
        <v>0</v>
      </c>
      <c r="AT9" s="143">
        <v>0</v>
      </c>
    </row>
    <row r="10" spans="2:46" ht="12" customHeight="1" x14ac:dyDescent="0.25">
      <c r="B10" s="141" t="s">
        <v>39</v>
      </c>
      <c r="C10" s="142" t="s">
        <v>42</v>
      </c>
      <c r="D10" s="142" t="s">
        <v>25</v>
      </c>
      <c r="E10" s="142" t="s">
        <v>25</v>
      </c>
      <c r="F10" s="142" t="s">
        <v>25</v>
      </c>
      <c r="G10" s="142" t="s">
        <v>35</v>
      </c>
      <c r="H10" s="142" t="s">
        <v>80</v>
      </c>
      <c r="I10" s="142" t="s">
        <v>25</v>
      </c>
      <c r="J10" s="142">
        <v>121.3</v>
      </c>
      <c r="K10" s="142">
        <v>289.05</v>
      </c>
      <c r="L10" s="142">
        <v>5.5431412130102604</v>
      </c>
      <c r="M10" s="142">
        <v>0.48688402680007797</v>
      </c>
      <c r="N10" s="142">
        <v>1.63773983475258</v>
      </c>
      <c r="O10" s="142">
        <v>0</v>
      </c>
      <c r="P10" s="142">
        <v>0</v>
      </c>
      <c r="Q10" s="142">
        <v>79.122600656179401</v>
      </c>
      <c r="R10" s="142">
        <v>14.901352205087999</v>
      </c>
      <c r="S10" s="142">
        <v>0</v>
      </c>
      <c r="T10" s="142">
        <v>0</v>
      </c>
      <c r="U10" s="142">
        <v>0</v>
      </c>
      <c r="V10" s="142">
        <v>0</v>
      </c>
      <c r="W10" s="142">
        <v>0</v>
      </c>
      <c r="X10" s="142">
        <v>0</v>
      </c>
      <c r="Y10" s="142">
        <v>0</v>
      </c>
      <c r="Z10" s="142">
        <v>0</v>
      </c>
      <c r="AA10" s="142">
        <v>0</v>
      </c>
      <c r="AB10" s="142">
        <v>0</v>
      </c>
      <c r="AC10" s="142">
        <v>0</v>
      </c>
      <c r="AD10" s="142">
        <v>0</v>
      </c>
      <c r="AE10" s="142">
        <v>15.6864114845293</v>
      </c>
      <c r="AF10" s="142">
        <v>0.55327389674759697</v>
      </c>
      <c r="AG10" s="142">
        <v>3.0008012525748899</v>
      </c>
      <c r="AH10" s="142">
        <v>0.368088080113882</v>
      </c>
      <c r="AI10" s="142">
        <v>10.584446429772701</v>
      </c>
      <c r="AJ10" s="142">
        <v>-16.548726481878699</v>
      </c>
      <c r="AK10" s="142">
        <v>3.1750362762758901</v>
      </c>
      <c r="AL10" s="142">
        <v>28.637422673001499</v>
      </c>
      <c r="AM10" s="142">
        <v>0</v>
      </c>
      <c r="AN10" s="142">
        <v>243.77582870932599</v>
      </c>
      <c r="AO10" s="142">
        <v>6.7912908913749597</v>
      </c>
      <c r="AP10" s="142">
        <v>4.6787668189320897</v>
      </c>
      <c r="AQ10" s="142">
        <v>0</v>
      </c>
      <c r="AR10" s="142">
        <v>0</v>
      </c>
      <c r="AS10" s="142">
        <v>0</v>
      </c>
      <c r="AT10" s="143">
        <v>7.9553335124595002</v>
      </c>
    </row>
    <row r="11" spans="2:46" ht="12" customHeight="1" x14ac:dyDescent="0.25">
      <c r="B11" s="141" t="s">
        <v>39</v>
      </c>
      <c r="C11" s="142" t="s">
        <v>42</v>
      </c>
      <c r="D11" s="142" t="s">
        <v>25</v>
      </c>
      <c r="E11" s="142" t="s">
        <v>25</v>
      </c>
      <c r="F11" s="142" t="s">
        <v>25</v>
      </c>
      <c r="G11" s="142" t="s">
        <v>35</v>
      </c>
      <c r="H11" s="142" t="s">
        <v>83</v>
      </c>
      <c r="I11" s="142" t="s">
        <v>25</v>
      </c>
      <c r="J11" s="142">
        <v>18.61</v>
      </c>
      <c r="K11" s="142">
        <v>0</v>
      </c>
      <c r="L11" s="142">
        <v>0</v>
      </c>
      <c r="M11" s="142">
        <v>0</v>
      </c>
      <c r="N11" s="142">
        <v>0</v>
      </c>
      <c r="O11" s="142">
        <v>0</v>
      </c>
      <c r="P11" s="142">
        <v>0</v>
      </c>
      <c r="Q11" s="142">
        <v>0</v>
      </c>
      <c r="R11" s="142">
        <v>0</v>
      </c>
      <c r="S11" s="142">
        <v>0</v>
      </c>
      <c r="T11" s="142">
        <v>2.0787493001099402</v>
      </c>
      <c r="U11" s="142">
        <v>0.28062096039703599</v>
      </c>
      <c r="V11" s="142">
        <v>9.1845559842396493E-2</v>
      </c>
      <c r="W11" s="142">
        <v>0</v>
      </c>
      <c r="X11" s="142">
        <v>3.2509713550225698</v>
      </c>
      <c r="Y11" s="142">
        <v>0</v>
      </c>
      <c r="Z11" s="142">
        <v>0</v>
      </c>
      <c r="AA11" s="142">
        <v>12.9033527053701</v>
      </c>
      <c r="AB11" s="142">
        <v>0</v>
      </c>
      <c r="AC11" s="142">
        <v>0</v>
      </c>
      <c r="AD11" s="142">
        <v>0</v>
      </c>
      <c r="AE11" s="142">
        <v>0</v>
      </c>
      <c r="AF11" s="142">
        <v>0</v>
      </c>
      <c r="AG11" s="142">
        <v>0</v>
      </c>
      <c r="AH11" s="142">
        <v>0</v>
      </c>
      <c r="AI11" s="142">
        <v>0</v>
      </c>
      <c r="AJ11" s="142">
        <v>0</v>
      </c>
      <c r="AK11" s="142">
        <v>0</v>
      </c>
      <c r="AL11" s="142">
        <v>0</v>
      </c>
      <c r="AM11" s="142">
        <v>0</v>
      </c>
      <c r="AN11" s="142">
        <v>0</v>
      </c>
      <c r="AO11" s="142">
        <v>0</v>
      </c>
      <c r="AP11" s="142">
        <v>0</v>
      </c>
      <c r="AQ11" s="142">
        <v>0</v>
      </c>
      <c r="AR11" s="142">
        <v>0</v>
      </c>
      <c r="AS11" s="142">
        <v>0</v>
      </c>
      <c r="AT11" s="143">
        <v>0</v>
      </c>
    </row>
    <row r="12" spans="2:46" ht="12" customHeight="1" x14ac:dyDescent="0.25">
      <c r="B12" s="141" t="s">
        <v>39</v>
      </c>
      <c r="C12" s="142" t="s">
        <v>59</v>
      </c>
      <c r="D12" s="142" t="s">
        <v>25</v>
      </c>
      <c r="E12" s="142" t="s">
        <v>25</v>
      </c>
      <c r="F12" s="142" t="s">
        <v>25</v>
      </c>
      <c r="G12" s="142" t="s">
        <v>25</v>
      </c>
      <c r="H12" s="142" t="s">
        <v>83</v>
      </c>
      <c r="I12" s="142" t="s">
        <v>25</v>
      </c>
      <c r="J12" s="142">
        <v>12.16</v>
      </c>
      <c r="K12" s="142">
        <v>0</v>
      </c>
      <c r="L12" s="142">
        <v>0</v>
      </c>
      <c r="M12" s="142">
        <v>4.4739334800856102E-2</v>
      </c>
      <c r="N12" s="142">
        <v>7.0700545402673102E-3</v>
      </c>
      <c r="O12" s="142">
        <v>0</v>
      </c>
      <c r="P12" s="142">
        <v>0</v>
      </c>
      <c r="Q12" s="142">
        <v>0</v>
      </c>
      <c r="R12" s="142">
        <v>0</v>
      </c>
      <c r="S12" s="142">
        <v>0</v>
      </c>
      <c r="T12" s="142">
        <v>0</v>
      </c>
      <c r="U12" s="142">
        <v>0</v>
      </c>
      <c r="V12" s="142">
        <v>0</v>
      </c>
      <c r="W12" s="142">
        <v>0</v>
      </c>
      <c r="X12" s="142">
        <v>0</v>
      </c>
      <c r="Y12" s="142">
        <v>0</v>
      </c>
      <c r="Z12" s="142">
        <v>0</v>
      </c>
      <c r="AA12" s="142">
        <v>12.099557100524301</v>
      </c>
      <c r="AB12" s="142">
        <v>0</v>
      </c>
      <c r="AC12" s="142">
        <v>0</v>
      </c>
      <c r="AD12" s="142">
        <v>0</v>
      </c>
      <c r="AE12" s="142">
        <v>7.5828335593952304E-3</v>
      </c>
      <c r="AF12" s="142">
        <v>0</v>
      </c>
      <c r="AG12" s="142">
        <v>0</v>
      </c>
      <c r="AH12" s="142">
        <v>0</v>
      </c>
      <c r="AI12" s="142">
        <v>0</v>
      </c>
      <c r="AJ12" s="142">
        <v>0</v>
      </c>
      <c r="AK12" s="142">
        <v>0</v>
      </c>
      <c r="AL12" s="142">
        <v>0</v>
      </c>
      <c r="AM12" s="142">
        <v>0</v>
      </c>
      <c r="AN12" s="142">
        <v>0</v>
      </c>
      <c r="AO12" s="142">
        <v>0</v>
      </c>
      <c r="AP12" s="142">
        <v>0</v>
      </c>
      <c r="AQ12" s="142">
        <v>0</v>
      </c>
      <c r="AR12" s="142">
        <v>0</v>
      </c>
      <c r="AS12" s="142">
        <v>0</v>
      </c>
      <c r="AT12" s="143">
        <v>0</v>
      </c>
    </row>
    <row r="13" spans="2:46" ht="12" customHeight="1" x14ac:dyDescent="0.25">
      <c r="B13" s="141" t="s">
        <v>39</v>
      </c>
      <c r="C13" s="142" t="s">
        <v>40</v>
      </c>
      <c r="D13" s="142" t="s">
        <v>25</v>
      </c>
      <c r="E13" s="142" t="s">
        <v>25</v>
      </c>
      <c r="F13" s="142" t="s">
        <v>87</v>
      </c>
      <c r="G13" s="142" t="s">
        <v>34</v>
      </c>
      <c r="H13" s="142" t="s">
        <v>80</v>
      </c>
      <c r="I13" s="142" t="s">
        <v>25</v>
      </c>
      <c r="J13" s="142">
        <v>1424.3</v>
      </c>
      <c r="K13" s="142">
        <v>0</v>
      </c>
      <c r="L13" s="142">
        <v>0</v>
      </c>
      <c r="M13" s="142">
        <v>0.48688402680007797</v>
      </c>
      <c r="N13" s="142">
        <v>2.3903499782460398</v>
      </c>
      <c r="O13" s="142">
        <v>0</v>
      </c>
      <c r="P13" s="142">
        <v>0</v>
      </c>
      <c r="Q13" s="142">
        <v>0</v>
      </c>
      <c r="R13" s="142">
        <v>0</v>
      </c>
      <c r="S13" s="142">
        <v>0</v>
      </c>
      <c r="T13" s="142">
        <v>140.91043311318199</v>
      </c>
      <c r="U13" s="142">
        <v>18.053098732078599</v>
      </c>
      <c r="V13" s="142">
        <v>6.0886595971070703</v>
      </c>
      <c r="W13" s="142">
        <v>0</v>
      </c>
      <c r="X13" s="142">
        <v>314.49749794137301</v>
      </c>
      <c r="Y13" s="142">
        <v>0</v>
      </c>
      <c r="Z13" s="142">
        <v>0</v>
      </c>
      <c r="AA13" s="142">
        <v>922.26400380114205</v>
      </c>
      <c r="AB13" s="142">
        <v>0</v>
      </c>
      <c r="AC13" s="142">
        <v>0</v>
      </c>
      <c r="AD13" s="142">
        <v>0</v>
      </c>
      <c r="AE13" s="142">
        <v>15.6864114845293</v>
      </c>
      <c r="AF13" s="142">
        <v>0.55327389674759697</v>
      </c>
      <c r="AG13" s="142">
        <v>3.0008012525748899</v>
      </c>
      <c r="AH13" s="142">
        <v>0.368088080113882</v>
      </c>
      <c r="AI13" s="142">
        <v>0</v>
      </c>
      <c r="AJ13" s="142">
        <v>0</v>
      </c>
      <c r="AK13" s="142">
        <v>0</v>
      </c>
      <c r="AL13" s="142">
        <v>0</v>
      </c>
      <c r="AM13" s="142">
        <v>0</v>
      </c>
      <c r="AN13" s="142">
        <v>0</v>
      </c>
      <c r="AO13" s="142">
        <v>0</v>
      </c>
      <c r="AP13" s="142">
        <v>0</v>
      </c>
      <c r="AQ13" s="142">
        <v>0</v>
      </c>
      <c r="AR13" s="142">
        <v>0</v>
      </c>
      <c r="AS13" s="142">
        <v>0</v>
      </c>
      <c r="AT13" s="143">
        <v>0</v>
      </c>
    </row>
    <row r="14" spans="2:46" ht="12" customHeight="1" x14ac:dyDescent="0.25">
      <c r="B14" s="141" t="s">
        <v>39</v>
      </c>
      <c r="C14" s="142" t="s">
        <v>40</v>
      </c>
      <c r="D14" s="142" t="s">
        <v>25</v>
      </c>
      <c r="E14" s="142" t="s">
        <v>25</v>
      </c>
      <c r="F14" s="142" t="s">
        <v>87</v>
      </c>
      <c r="G14" s="142" t="s">
        <v>25</v>
      </c>
      <c r="H14" s="142" t="s">
        <v>83</v>
      </c>
      <c r="I14" s="142" t="s">
        <v>25</v>
      </c>
      <c r="J14" s="142">
        <v>18.61</v>
      </c>
      <c r="K14" s="142">
        <v>0</v>
      </c>
      <c r="L14" s="142">
        <v>0</v>
      </c>
      <c r="M14" s="142">
        <v>0</v>
      </c>
      <c r="N14" s="142">
        <v>0</v>
      </c>
      <c r="O14" s="142">
        <v>0</v>
      </c>
      <c r="P14" s="142">
        <v>0</v>
      </c>
      <c r="Q14" s="142">
        <v>0</v>
      </c>
      <c r="R14" s="142">
        <v>0</v>
      </c>
      <c r="S14" s="142">
        <v>0</v>
      </c>
      <c r="T14" s="142">
        <v>2.0787493001099402</v>
      </c>
      <c r="U14" s="142">
        <v>0.28062096039703599</v>
      </c>
      <c r="V14" s="142">
        <v>9.1845559842396493E-2</v>
      </c>
      <c r="W14" s="142">
        <v>0</v>
      </c>
      <c r="X14" s="142">
        <v>3.2509713550225698</v>
      </c>
      <c r="Y14" s="142">
        <v>0</v>
      </c>
      <c r="Z14" s="142">
        <v>0</v>
      </c>
      <c r="AA14" s="142">
        <v>12.9033527053701</v>
      </c>
      <c r="AB14" s="142">
        <v>0</v>
      </c>
      <c r="AC14" s="142">
        <v>0</v>
      </c>
      <c r="AD14" s="142">
        <v>0</v>
      </c>
      <c r="AE14" s="142">
        <v>0</v>
      </c>
      <c r="AF14" s="142">
        <v>0</v>
      </c>
      <c r="AG14" s="142">
        <v>0</v>
      </c>
      <c r="AH14" s="142">
        <v>0</v>
      </c>
      <c r="AI14" s="142">
        <v>0</v>
      </c>
      <c r="AJ14" s="142">
        <v>0</v>
      </c>
      <c r="AK14" s="142">
        <v>0</v>
      </c>
      <c r="AL14" s="142">
        <v>0</v>
      </c>
      <c r="AM14" s="142">
        <v>0</v>
      </c>
      <c r="AN14" s="142">
        <v>0</v>
      </c>
      <c r="AO14" s="142">
        <v>0</v>
      </c>
      <c r="AP14" s="142">
        <v>0</v>
      </c>
      <c r="AQ14" s="142">
        <v>0</v>
      </c>
      <c r="AR14" s="142">
        <v>0</v>
      </c>
      <c r="AS14" s="142">
        <v>0</v>
      </c>
      <c r="AT14" s="143">
        <v>0</v>
      </c>
    </row>
    <row r="15" spans="2:46" ht="12" customHeight="1" x14ac:dyDescent="0.25">
      <c r="B15" s="141" t="s">
        <v>39</v>
      </c>
      <c r="C15" s="142" t="s">
        <v>40</v>
      </c>
      <c r="D15" s="142" t="s">
        <v>25</v>
      </c>
      <c r="E15" s="142" t="s">
        <v>25</v>
      </c>
      <c r="F15" s="142" t="s">
        <v>87</v>
      </c>
      <c r="G15" s="142" t="s">
        <v>35</v>
      </c>
      <c r="H15" s="142" t="s">
        <v>80</v>
      </c>
      <c r="I15" s="142" t="s">
        <v>25</v>
      </c>
      <c r="J15" s="142">
        <v>21.73</v>
      </c>
      <c r="K15" s="142">
        <v>0</v>
      </c>
      <c r="L15" s="142">
        <v>0</v>
      </c>
      <c r="M15" s="142">
        <v>0.48688402680007797</v>
      </c>
      <c r="N15" s="142">
        <v>1.63713607262275</v>
      </c>
      <c r="O15" s="142">
        <v>0</v>
      </c>
      <c r="P15" s="142">
        <v>0</v>
      </c>
      <c r="Q15" s="142">
        <v>0</v>
      </c>
      <c r="R15" s="142">
        <v>0</v>
      </c>
      <c r="S15" s="142">
        <v>0</v>
      </c>
      <c r="T15" s="142">
        <v>0</v>
      </c>
      <c r="U15" s="142">
        <v>0</v>
      </c>
      <c r="V15" s="142">
        <v>0</v>
      </c>
      <c r="W15" s="142">
        <v>0</v>
      </c>
      <c r="X15" s="142">
        <v>0</v>
      </c>
      <c r="Y15" s="142">
        <v>0</v>
      </c>
      <c r="Z15" s="142">
        <v>0</v>
      </c>
      <c r="AA15" s="142">
        <v>0</v>
      </c>
      <c r="AB15" s="142">
        <v>0</v>
      </c>
      <c r="AC15" s="142">
        <v>0</v>
      </c>
      <c r="AD15" s="142">
        <v>0</v>
      </c>
      <c r="AE15" s="142">
        <v>15.6864114845293</v>
      </c>
      <c r="AF15" s="142">
        <v>0.55327389674759697</v>
      </c>
      <c r="AG15" s="142">
        <v>3.0008012525748899</v>
      </c>
      <c r="AH15" s="142">
        <v>0.368088080113882</v>
      </c>
      <c r="AI15" s="142">
        <v>0</v>
      </c>
      <c r="AJ15" s="142">
        <v>0</v>
      </c>
      <c r="AK15" s="142">
        <v>0</v>
      </c>
      <c r="AL15" s="142">
        <v>0</v>
      </c>
      <c r="AM15" s="142">
        <v>0</v>
      </c>
      <c r="AN15" s="142">
        <v>0</v>
      </c>
      <c r="AO15" s="142">
        <v>0</v>
      </c>
      <c r="AP15" s="142">
        <v>0</v>
      </c>
      <c r="AQ15" s="142">
        <v>0</v>
      </c>
      <c r="AR15" s="142">
        <v>0</v>
      </c>
      <c r="AS15" s="142">
        <v>0</v>
      </c>
      <c r="AT15" s="143">
        <v>0</v>
      </c>
    </row>
    <row r="16" spans="2:46" ht="12" customHeight="1" x14ac:dyDescent="0.25">
      <c r="B16" s="141" t="s">
        <v>39</v>
      </c>
      <c r="C16" s="142" t="s">
        <v>40</v>
      </c>
      <c r="D16" s="142" t="s">
        <v>25</v>
      </c>
      <c r="E16" s="142" t="s">
        <v>25</v>
      </c>
      <c r="F16" s="142" t="s">
        <v>25</v>
      </c>
      <c r="G16" s="142" t="s">
        <v>34</v>
      </c>
      <c r="H16" s="142" t="s">
        <v>80</v>
      </c>
      <c r="I16" s="142" t="s">
        <v>25</v>
      </c>
      <c r="J16" s="142">
        <v>1523.87</v>
      </c>
      <c r="K16" s="142">
        <v>464.57</v>
      </c>
      <c r="L16" s="142">
        <v>5.5431412130102604</v>
      </c>
      <c r="M16" s="142">
        <v>0.48688402680007797</v>
      </c>
      <c r="N16" s="142">
        <v>2.3909537403758701</v>
      </c>
      <c r="O16" s="142">
        <v>0</v>
      </c>
      <c r="P16" s="142">
        <v>0</v>
      </c>
      <c r="Q16" s="142">
        <v>79.122600656179401</v>
      </c>
      <c r="R16" s="142">
        <v>14.901352205087999</v>
      </c>
      <c r="S16" s="142">
        <v>0</v>
      </c>
      <c r="T16" s="142">
        <v>140.91043311318199</v>
      </c>
      <c r="U16" s="142">
        <v>18.053098732078599</v>
      </c>
      <c r="V16" s="142">
        <v>6.0886595971070703</v>
      </c>
      <c r="W16" s="142">
        <v>0</v>
      </c>
      <c r="X16" s="142">
        <v>314.49749794137301</v>
      </c>
      <c r="Y16" s="142">
        <v>0</v>
      </c>
      <c r="Z16" s="142">
        <v>0</v>
      </c>
      <c r="AA16" s="142">
        <v>922.26400380114205</v>
      </c>
      <c r="AB16" s="142">
        <v>0</v>
      </c>
      <c r="AC16" s="142">
        <v>0</v>
      </c>
      <c r="AD16" s="142">
        <v>0</v>
      </c>
      <c r="AE16" s="142">
        <v>15.6864114845293</v>
      </c>
      <c r="AF16" s="142">
        <v>0.55327389674759697</v>
      </c>
      <c r="AG16" s="142">
        <v>3.0008012525748899</v>
      </c>
      <c r="AH16" s="142">
        <v>0.368088080113882</v>
      </c>
      <c r="AI16" s="142">
        <v>10.584446429772701</v>
      </c>
      <c r="AJ16" s="142">
        <v>-16.548726481878699</v>
      </c>
      <c r="AK16" s="142">
        <v>3.1750362762758901</v>
      </c>
      <c r="AL16" s="142">
        <v>28.637422673001499</v>
      </c>
      <c r="AM16" s="142">
        <v>0</v>
      </c>
      <c r="AN16" s="142">
        <v>419.29442538004099</v>
      </c>
      <c r="AO16" s="142">
        <v>6.7912908913749597</v>
      </c>
      <c r="AP16" s="142">
        <v>4.6787668189320897</v>
      </c>
      <c r="AQ16" s="142">
        <v>0</v>
      </c>
      <c r="AR16" s="142">
        <v>0</v>
      </c>
      <c r="AS16" s="142">
        <v>0</v>
      </c>
      <c r="AT16" s="143">
        <v>7.9553335124595002</v>
      </c>
    </row>
    <row r="17" spans="2:46" ht="12" customHeight="1" x14ac:dyDescent="0.25">
      <c r="B17" s="141" t="s">
        <v>39</v>
      </c>
      <c r="C17" s="142" t="s">
        <v>40</v>
      </c>
      <c r="D17" s="142" t="s">
        <v>25</v>
      </c>
      <c r="E17" s="142" t="s">
        <v>25</v>
      </c>
      <c r="F17" s="142" t="s">
        <v>25</v>
      </c>
      <c r="G17" s="142" t="s">
        <v>25</v>
      </c>
      <c r="H17" s="142" t="s">
        <v>83</v>
      </c>
      <c r="I17" s="142" t="s">
        <v>25</v>
      </c>
      <c r="J17" s="142">
        <v>18.61</v>
      </c>
      <c r="K17" s="142">
        <v>0</v>
      </c>
      <c r="L17" s="142">
        <v>0</v>
      </c>
      <c r="M17" s="142">
        <v>0</v>
      </c>
      <c r="N17" s="142">
        <v>0</v>
      </c>
      <c r="O17" s="142">
        <v>0</v>
      </c>
      <c r="P17" s="142">
        <v>0</v>
      </c>
      <c r="Q17" s="142">
        <v>0</v>
      </c>
      <c r="R17" s="142">
        <v>0</v>
      </c>
      <c r="S17" s="142">
        <v>0</v>
      </c>
      <c r="T17" s="142">
        <v>2.0787493001099402</v>
      </c>
      <c r="U17" s="142">
        <v>0.28062096039703599</v>
      </c>
      <c r="V17" s="142">
        <v>9.1845559842396493E-2</v>
      </c>
      <c r="W17" s="142">
        <v>0</v>
      </c>
      <c r="X17" s="142">
        <v>3.2509713550225698</v>
      </c>
      <c r="Y17" s="142">
        <v>0</v>
      </c>
      <c r="Z17" s="142">
        <v>0</v>
      </c>
      <c r="AA17" s="142">
        <v>12.9033527053701</v>
      </c>
      <c r="AB17" s="142">
        <v>0</v>
      </c>
      <c r="AC17" s="142">
        <v>0</v>
      </c>
      <c r="AD17" s="142">
        <v>0</v>
      </c>
      <c r="AE17" s="142">
        <v>0</v>
      </c>
      <c r="AF17" s="142">
        <v>0</v>
      </c>
      <c r="AG17" s="142">
        <v>0</v>
      </c>
      <c r="AH17" s="142">
        <v>0</v>
      </c>
      <c r="AI17" s="142">
        <v>0</v>
      </c>
      <c r="AJ17" s="142">
        <v>0</v>
      </c>
      <c r="AK17" s="142">
        <v>0</v>
      </c>
      <c r="AL17" s="142">
        <v>0</v>
      </c>
      <c r="AM17" s="142">
        <v>0</v>
      </c>
      <c r="AN17" s="142">
        <v>0</v>
      </c>
      <c r="AO17" s="142">
        <v>0</v>
      </c>
      <c r="AP17" s="142">
        <v>0</v>
      </c>
      <c r="AQ17" s="142">
        <v>0</v>
      </c>
      <c r="AR17" s="142">
        <v>0</v>
      </c>
      <c r="AS17" s="142">
        <v>0</v>
      </c>
      <c r="AT17" s="143">
        <v>0</v>
      </c>
    </row>
    <row r="18" spans="2:46" ht="12" customHeight="1" x14ac:dyDescent="0.25">
      <c r="B18" s="141" t="s">
        <v>39</v>
      </c>
      <c r="C18" s="142" t="s">
        <v>40</v>
      </c>
      <c r="D18" s="142" t="s">
        <v>25</v>
      </c>
      <c r="E18" s="142" t="s">
        <v>25</v>
      </c>
      <c r="F18" s="142" t="s">
        <v>25</v>
      </c>
      <c r="G18" s="142" t="s">
        <v>35</v>
      </c>
      <c r="H18" s="142" t="s">
        <v>80</v>
      </c>
      <c r="I18" s="142" t="s">
        <v>25</v>
      </c>
      <c r="J18" s="142">
        <v>121.3</v>
      </c>
      <c r="K18" s="142">
        <v>289.05</v>
      </c>
      <c r="L18" s="142">
        <v>5.5431412130102604</v>
      </c>
      <c r="M18" s="142">
        <v>0.48688402680007797</v>
      </c>
      <c r="N18" s="142">
        <v>1.63773983475258</v>
      </c>
      <c r="O18" s="142">
        <v>0</v>
      </c>
      <c r="P18" s="142">
        <v>0</v>
      </c>
      <c r="Q18" s="142">
        <v>79.122600656179401</v>
      </c>
      <c r="R18" s="142">
        <v>14.901352205087999</v>
      </c>
      <c r="S18" s="142">
        <v>0</v>
      </c>
      <c r="T18" s="142">
        <v>0</v>
      </c>
      <c r="U18" s="142">
        <v>0</v>
      </c>
      <c r="V18" s="142">
        <v>0</v>
      </c>
      <c r="W18" s="142">
        <v>0</v>
      </c>
      <c r="X18" s="142">
        <v>0</v>
      </c>
      <c r="Y18" s="142">
        <v>0</v>
      </c>
      <c r="Z18" s="142">
        <v>0</v>
      </c>
      <c r="AA18" s="142">
        <v>0</v>
      </c>
      <c r="AB18" s="142">
        <v>0</v>
      </c>
      <c r="AC18" s="142">
        <v>0</v>
      </c>
      <c r="AD18" s="142">
        <v>0</v>
      </c>
      <c r="AE18" s="142">
        <v>15.6864114845293</v>
      </c>
      <c r="AF18" s="142">
        <v>0.55327389674759697</v>
      </c>
      <c r="AG18" s="142">
        <v>3.0008012525748899</v>
      </c>
      <c r="AH18" s="142">
        <v>0.368088080113882</v>
      </c>
      <c r="AI18" s="142">
        <v>10.584446429772701</v>
      </c>
      <c r="AJ18" s="142">
        <v>-16.548726481878699</v>
      </c>
      <c r="AK18" s="142">
        <v>3.1750362762758901</v>
      </c>
      <c r="AL18" s="142">
        <v>28.637422673001499</v>
      </c>
      <c r="AM18" s="142">
        <v>0</v>
      </c>
      <c r="AN18" s="142">
        <v>243.77582870932599</v>
      </c>
      <c r="AO18" s="142">
        <v>6.7912908913749597</v>
      </c>
      <c r="AP18" s="142">
        <v>4.6787668189320897</v>
      </c>
      <c r="AQ18" s="142">
        <v>0</v>
      </c>
      <c r="AR18" s="142">
        <v>0</v>
      </c>
      <c r="AS18" s="142">
        <v>0</v>
      </c>
      <c r="AT18" s="143">
        <v>7.9553335124595002</v>
      </c>
    </row>
    <row r="19" spans="2:46" ht="12" customHeight="1" x14ac:dyDescent="0.25">
      <c r="B19" s="141" t="s">
        <v>88</v>
      </c>
      <c r="C19" s="142" t="s">
        <v>59</v>
      </c>
      <c r="D19" s="142" t="s">
        <v>25</v>
      </c>
      <c r="E19" s="142" t="s">
        <v>25</v>
      </c>
      <c r="F19" s="142" t="s">
        <v>89</v>
      </c>
      <c r="G19" s="142" t="s">
        <v>25</v>
      </c>
      <c r="H19" s="142" t="s">
        <v>83</v>
      </c>
      <c r="I19" s="142" t="s">
        <v>25</v>
      </c>
      <c r="J19" s="142">
        <v>1.75</v>
      </c>
      <c r="K19" s="142">
        <v>0</v>
      </c>
      <c r="L19" s="142">
        <v>0</v>
      </c>
      <c r="M19" s="142">
        <v>6.4927832817569002E-3</v>
      </c>
      <c r="N19" s="142">
        <v>9.59981786423999E-4</v>
      </c>
      <c r="O19" s="142">
        <v>0</v>
      </c>
      <c r="P19" s="142">
        <v>0</v>
      </c>
      <c r="Q19" s="142">
        <v>0</v>
      </c>
      <c r="R19" s="142">
        <v>0</v>
      </c>
      <c r="S19" s="142">
        <v>0</v>
      </c>
      <c r="T19" s="142">
        <v>0</v>
      </c>
      <c r="U19" s="142">
        <v>0</v>
      </c>
      <c r="V19" s="142">
        <v>0</v>
      </c>
      <c r="W19" s="142">
        <v>0</v>
      </c>
      <c r="X19" s="142">
        <v>0</v>
      </c>
      <c r="Y19" s="142">
        <v>0</v>
      </c>
      <c r="Z19" s="142">
        <v>0</v>
      </c>
      <c r="AA19" s="142">
        <v>1.74479781218623</v>
      </c>
      <c r="AB19" s="142">
        <v>0</v>
      </c>
      <c r="AC19" s="142">
        <v>0</v>
      </c>
      <c r="AD19" s="142">
        <v>0</v>
      </c>
      <c r="AE19" s="142">
        <v>0</v>
      </c>
      <c r="AF19" s="142">
        <v>0</v>
      </c>
      <c r="AG19" s="142">
        <v>0</v>
      </c>
      <c r="AH19" s="142">
        <v>0</v>
      </c>
      <c r="AI19" s="142">
        <v>0</v>
      </c>
      <c r="AJ19" s="142">
        <v>0</v>
      </c>
      <c r="AK19" s="142">
        <v>0</v>
      </c>
      <c r="AL19" s="142">
        <v>0</v>
      </c>
      <c r="AM19" s="142">
        <v>0</v>
      </c>
      <c r="AN19" s="142">
        <v>0</v>
      </c>
      <c r="AO19" s="142">
        <v>0</v>
      </c>
      <c r="AP19" s="142">
        <v>0</v>
      </c>
      <c r="AQ19" s="142">
        <v>0</v>
      </c>
      <c r="AR19" s="142">
        <v>0</v>
      </c>
      <c r="AS19" s="142">
        <v>0</v>
      </c>
      <c r="AT19" s="143">
        <v>0</v>
      </c>
    </row>
    <row r="20" spans="2:46" ht="12" customHeight="1" x14ac:dyDescent="0.25">
      <c r="B20" s="141" t="s">
        <v>88</v>
      </c>
      <c r="C20" s="142" t="s">
        <v>59</v>
      </c>
      <c r="D20" s="142" t="s">
        <v>25</v>
      </c>
      <c r="E20" s="142" t="s">
        <v>25</v>
      </c>
      <c r="F20" s="142" t="s">
        <v>90</v>
      </c>
      <c r="G20" s="142" t="s">
        <v>25</v>
      </c>
      <c r="H20" s="142" t="s">
        <v>83</v>
      </c>
      <c r="I20" s="142" t="s">
        <v>25</v>
      </c>
      <c r="J20" s="142">
        <v>15.67</v>
      </c>
      <c r="K20" s="142">
        <v>0</v>
      </c>
      <c r="L20" s="142">
        <v>0</v>
      </c>
      <c r="M20" s="142">
        <v>6.4927832817569002E-3</v>
      </c>
      <c r="N20" s="142">
        <v>9.59981786423999E-4</v>
      </c>
      <c r="O20" s="142">
        <v>0</v>
      </c>
      <c r="P20" s="142">
        <v>0</v>
      </c>
      <c r="Q20" s="142">
        <v>0</v>
      </c>
      <c r="R20" s="142">
        <v>0</v>
      </c>
      <c r="S20" s="142">
        <v>0</v>
      </c>
      <c r="T20" s="142">
        <v>0</v>
      </c>
      <c r="U20" s="142">
        <v>0</v>
      </c>
      <c r="V20" s="142">
        <v>0</v>
      </c>
      <c r="W20" s="142">
        <v>0</v>
      </c>
      <c r="X20" s="142">
        <v>0</v>
      </c>
      <c r="Y20" s="142">
        <v>0</v>
      </c>
      <c r="Z20" s="142">
        <v>0</v>
      </c>
      <c r="AA20" s="142">
        <v>15.666709059053</v>
      </c>
      <c r="AB20" s="142">
        <v>0</v>
      </c>
      <c r="AC20" s="142">
        <v>0</v>
      </c>
      <c r="AD20" s="142">
        <v>0</v>
      </c>
      <c r="AE20" s="142">
        <v>0</v>
      </c>
      <c r="AF20" s="142">
        <v>0</v>
      </c>
      <c r="AG20" s="142">
        <v>0</v>
      </c>
      <c r="AH20" s="142">
        <v>0</v>
      </c>
      <c r="AI20" s="142">
        <v>0</v>
      </c>
      <c r="AJ20" s="142">
        <v>0</v>
      </c>
      <c r="AK20" s="142">
        <v>0</v>
      </c>
      <c r="AL20" s="142">
        <v>0</v>
      </c>
      <c r="AM20" s="142">
        <v>0</v>
      </c>
      <c r="AN20" s="142">
        <v>0</v>
      </c>
      <c r="AO20" s="142">
        <v>0</v>
      </c>
      <c r="AP20" s="142">
        <v>0</v>
      </c>
      <c r="AQ20" s="142">
        <v>0</v>
      </c>
      <c r="AR20" s="142">
        <v>0</v>
      </c>
      <c r="AS20" s="142">
        <v>0</v>
      </c>
      <c r="AT20" s="143">
        <v>0</v>
      </c>
    </row>
    <row r="21" spans="2:46" ht="12" customHeight="1" x14ac:dyDescent="0.25">
      <c r="B21" s="141" t="s">
        <v>22</v>
      </c>
      <c r="C21" s="142" t="s">
        <v>33</v>
      </c>
      <c r="D21" s="142" t="s">
        <v>24</v>
      </c>
      <c r="E21" s="142" t="s">
        <v>24</v>
      </c>
      <c r="F21" s="142" t="s">
        <v>25</v>
      </c>
      <c r="G21" s="142" t="s">
        <v>34</v>
      </c>
      <c r="H21" s="142" t="s">
        <v>80</v>
      </c>
      <c r="I21" s="142" t="s">
        <v>25</v>
      </c>
      <c r="J21" s="142">
        <v>950.62</v>
      </c>
      <c r="K21" s="142">
        <v>464.57</v>
      </c>
      <c r="L21" s="142">
        <v>6.5989776345360198</v>
      </c>
      <c r="M21" s="142">
        <v>0.74114751679643198</v>
      </c>
      <c r="N21" s="142">
        <v>3.5042790956857801</v>
      </c>
      <c r="O21" s="142">
        <v>0</v>
      </c>
      <c r="P21" s="142">
        <v>0</v>
      </c>
      <c r="Q21" s="142">
        <v>94.193572209737397</v>
      </c>
      <c r="R21" s="142">
        <v>14.901352205087999</v>
      </c>
      <c r="S21" s="142">
        <v>0</v>
      </c>
      <c r="T21" s="142">
        <v>79.917777004769405</v>
      </c>
      <c r="U21" s="142">
        <v>10.542671376732301</v>
      </c>
      <c r="V21" s="142">
        <v>3.4957156741567199</v>
      </c>
      <c r="W21" s="142">
        <v>0</v>
      </c>
      <c r="X21" s="142">
        <v>128.59339618254899</v>
      </c>
      <c r="Y21" s="142">
        <v>0</v>
      </c>
      <c r="Z21" s="142">
        <v>0</v>
      </c>
      <c r="AA21" s="142">
        <v>573.16404901963097</v>
      </c>
      <c r="AB21" s="142">
        <v>0</v>
      </c>
      <c r="AC21" s="142">
        <v>0</v>
      </c>
      <c r="AD21" s="142">
        <v>0</v>
      </c>
      <c r="AE21" s="142">
        <v>29.4847902259094</v>
      </c>
      <c r="AF21" s="142">
        <v>1.0399551738881301</v>
      </c>
      <c r="AG21" s="142">
        <v>3.95629593426376</v>
      </c>
      <c r="AH21" s="142">
        <v>0.485292177732841</v>
      </c>
      <c r="AI21" s="142">
        <v>10.584446429772701</v>
      </c>
      <c r="AJ21" s="142">
        <v>-16.548726481878699</v>
      </c>
      <c r="AK21" s="142">
        <v>3.1750362762758901</v>
      </c>
      <c r="AL21" s="142">
        <v>28.637422673001499</v>
      </c>
      <c r="AM21" s="142">
        <v>0</v>
      </c>
      <c r="AN21" s="142">
        <v>419.29442538004099</v>
      </c>
      <c r="AO21" s="142">
        <v>6.7912908913749597</v>
      </c>
      <c r="AP21" s="142">
        <v>4.6787668189320897</v>
      </c>
      <c r="AQ21" s="142">
        <v>0</v>
      </c>
      <c r="AR21" s="142">
        <v>0</v>
      </c>
      <c r="AS21" s="142">
        <v>0</v>
      </c>
      <c r="AT21" s="143">
        <v>7.9553335124595002</v>
      </c>
    </row>
    <row r="22" spans="2:46" ht="12" customHeight="1" x14ac:dyDescent="0.25">
      <c r="B22" s="141" t="s">
        <v>22</v>
      </c>
      <c r="C22" s="142" t="s">
        <v>33</v>
      </c>
      <c r="D22" s="142" t="s">
        <v>24</v>
      </c>
      <c r="E22" s="142" t="s">
        <v>24</v>
      </c>
      <c r="F22" s="142" t="s">
        <v>25</v>
      </c>
      <c r="G22" s="142" t="s">
        <v>36</v>
      </c>
      <c r="H22" s="142" t="s">
        <v>80</v>
      </c>
      <c r="I22" s="142" t="s">
        <v>25</v>
      </c>
      <c r="J22" s="142">
        <v>632.16</v>
      </c>
      <c r="K22" s="142">
        <v>289.05</v>
      </c>
      <c r="L22" s="142">
        <v>6.5989776345360198</v>
      </c>
      <c r="M22" s="142">
        <v>0.74114751679643198</v>
      </c>
      <c r="N22" s="142">
        <v>3.3326441935958799</v>
      </c>
      <c r="O22" s="142">
        <v>0</v>
      </c>
      <c r="P22" s="142">
        <v>0</v>
      </c>
      <c r="Q22" s="142">
        <v>94.193572209737397</v>
      </c>
      <c r="R22" s="142">
        <v>14.901352205087999</v>
      </c>
      <c r="S22" s="142">
        <v>0</v>
      </c>
      <c r="T22" s="142">
        <v>47.950593430262302</v>
      </c>
      <c r="U22" s="142">
        <v>6.3255588932080196</v>
      </c>
      <c r="V22" s="142">
        <v>2.0973581142794102</v>
      </c>
      <c r="W22" s="142">
        <v>0</v>
      </c>
      <c r="X22" s="142">
        <v>77.155991160684096</v>
      </c>
      <c r="Y22" s="142">
        <v>0</v>
      </c>
      <c r="Z22" s="142">
        <v>0</v>
      </c>
      <c r="AA22" s="142">
        <v>343.89840744114599</v>
      </c>
      <c r="AB22" s="142">
        <v>0</v>
      </c>
      <c r="AC22" s="142">
        <v>0</v>
      </c>
      <c r="AD22" s="142">
        <v>0</v>
      </c>
      <c r="AE22" s="142">
        <v>29.4847902259094</v>
      </c>
      <c r="AF22" s="142">
        <v>1.0399551738881301</v>
      </c>
      <c r="AG22" s="142">
        <v>3.95629593426376</v>
      </c>
      <c r="AH22" s="142">
        <v>0.485292177732841</v>
      </c>
      <c r="AI22" s="142">
        <v>10.584446429772701</v>
      </c>
      <c r="AJ22" s="142">
        <v>-16.548726481878699</v>
      </c>
      <c r="AK22" s="142">
        <v>3.1750362762758901</v>
      </c>
      <c r="AL22" s="142">
        <v>28.637422673001499</v>
      </c>
      <c r="AM22" s="142">
        <v>0</v>
      </c>
      <c r="AN22" s="142">
        <v>243.77582870932599</v>
      </c>
      <c r="AO22" s="142">
        <v>6.7912908913749597</v>
      </c>
      <c r="AP22" s="142">
        <v>4.6787668189320897</v>
      </c>
      <c r="AQ22" s="142">
        <v>0</v>
      </c>
      <c r="AR22" s="142">
        <v>0</v>
      </c>
      <c r="AS22" s="142">
        <v>0</v>
      </c>
      <c r="AT22" s="143">
        <v>7.9553335124595002</v>
      </c>
    </row>
    <row r="23" spans="2:46" ht="12" customHeight="1" x14ac:dyDescent="0.25">
      <c r="B23" s="141" t="s">
        <v>22</v>
      </c>
      <c r="C23" s="142" t="s">
        <v>33</v>
      </c>
      <c r="D23" s="142" t="s">
        <v>24</v>
      </c>
      <c r="E23" s="142" t="s">
        <v>24</v>
      </c>
      <c r="F23" s="142" t="s">
        <v>25</v>
      </c>
      <c r="G23" s="142" t="s">
        <v>35</v>
      </c>
      <c r="H23" s="142" t="s">
        <v>80</v>
      </c>
      <c r="I23" s="142" t="s">
        <v>25</v>
      </c>
      <c r="J23" s="142">
        <v>313.70999999999998</v>
      </c>
      <c r="K23" s="142">
        <v>289.05</v>
      </c>
      <c r="L23" s="142">
        <v>6.5989776345360198</v>
      </c>
      <c r="M23" s="142">
        <v>0.74114751679643198</v>
      </c>
      <c r="N23" s="142">
        <v>3.1610095330108399</v>
      </c>
      <c r="O23" s="142">
        <v>0</v>
      </c>
      <c r="P23" s="142">
        <v>0</v>
      </c>
      <c r="Q23" s="142">
        <v>94.193572209737397</v>
      </c>
      <c r="R23" s="142">
        <v>14.901352205087999</v>
      </c>
      <c r="S23" s="142">
        <v>0</v>
      </c>
      <c r="T23" s="142">
        <v>15.9835311434208</v>
      </c>
      <c r="U23" s="142">
        <v>2.10855624176215</v>
      </c>
      <c r="V23" s="142">
        <v>0.69911937142646996</v>
      </c>
      <c r="W23" s="142">
        <v>0</v>
      </c>
      <c r="X23" s="142">
        <v>25.718702510932498</v>
      </c>
      <c r="Y23" s="142">
        <v>0</v>
      </c>
      <c r="Z23" s="142">
        <v>0</v>
      </c>
      <c r="AA23" s="142">
        <v>114.63276586265999</v>
      </c>
      <c r="AB23" s="142">
        <v>0</v>
      </c>
      <c r="AC23" s="142">
        <v>0</v>
      </c>
      <c r="AD23" s="142">
        <v>0</v>
      </c>
      <c r="AE23" s="142">
        <v>29.4847902259094</v>
      </c>
      <c r="AF23" s="142">
        <v>1.0399551738881301</v>
      </c>
      <c r="AG23" s="142">
        <v>3.95629593426376</v>
      </c>
      <c r="AH23" s="142">
        <v>0.485292177732841</v>
      </c>
      <c r="AI23" s="142">
        <v>10.584446429772701</v>
      </c>
      <c r="AJ23" s="142">
        <v>-16.548726481878699</v>
      </c>
      <c r="AK23" s="142">
        <v>3.1750362762758901</v>
      </c>
      <c r="AL23" s="142">
        <v>28.637422673001499</v>
      </c>
      <c r="AM23" s="142">
        <v>0</v>
      </c>
      <c r="AN23" s="142">
        <v>243.77582870932599</v>
      </c>
      <c r="AO23" s="142">
        <v>6.7912908913749597</v>
      </c>
      <c r="AP23" s="142">
        <v>4.6787668189320897</v>
      </c>
      <c r="AQ23" s="142">
        <v>0</v>
      </c>
      <c r="AR23" s="142">
        <v>0</v>
      </c>
      <c r="AS23" s="142">
        <v>0</v>
      </c>
      <c r="AT23" s="143">
        <v>7.9553335124595002</v>
      </c>
    </row>
    <row r="24" spans="2:46" ht="12" customHeight="1" x14ac:dyDescent="0.25">
      <c r="B24" s="141" t="s">
        <v>22</v>
      </c>
      <c r="C24" s="142" t="s">
        <v>23</v>
      </c>
      <c r="D24" s="142" t="s">
        <v>24</v>
      </c>
      <c r="E24" s="142" t="s">
        <v>1318</v>
      </c>
      <c r="F24" s="142" t="s">
        <v>25</v>
      </c>
      <c r="G24" s="142" t="s">
        <v>25</v>
      </c>
      <c r="H24" s="142" t="s">
        <v>80</v>
      </c>
      <c r="I24" s="142" t="s">
        <v>25</v>
      </c>
      <c r="J24" s="142">
        <v>291.52999999999997</v>
      </c>
      <c r="K24" s="142">
        <v>303.68</v>
      </c>
      <c r="L24" s="142">
        <v>0</v>
      </c>
      <c r="M24" s="142">
        <v>0.74114751679643198</v>
      </c>
      <c r="N24" s="142">
        <v>3.2108065052022399</v>
      </c>
      <c r="O24" s="142">
        <v>0</v>
      </c>
      <c r="P24" s="142">
        <v>0</v>
      </c>
      <c r="Q24" s="142">
        <v>0</v>
      </c>
      <c r="R24" s="142">
        <v>0</v>
      </c>
      <c r="S24" s="142">
        <v>0</v>
      </c>
      <c r="T24" s="142">
        <v>25.370711307450701</v>
      </c>
      <c r="U24" s="142">
        <v>3.34691292609741</v>
      </c>
      <c r="V24" s="142">
        <v>1.1097510076688</v>
      </c>
      <c r="W24" s="142">
        <v>0</v>
      </c>
      <c r="X24" s="142">
        <v>40.823337318940403</v>
      </c>
      <c r="Y24" s="142">
        <v>0</v>
      </c>
      <c r="Z24" s="142">
        <v>0</v>
      </c>
      <c r="AA24" s="142">
        <v>181.956827009005</v>
      </c>
      <c r="AB24" s="142">
        <v>0</v>
      </c>
      <c r="AC24" s="142">
        <v>0</v>
      </c>
      <c r="AD24" s="142">
        <v>0</v>
      </c>
      <c r="AE24" s="142">
        <v>29.4847902259094</v>
      </c>
      <c r="AF24" s="142">
        <v>1.0399551738881301</v>
      </c>
      <c r="AG24" s="142">
        <v>3.95629593426376</v>
      </c>
      <c r="AH24" s="142">
        <v>0.485292177732841</v>
      </c>
      <c r="AI24" s="142">
        <v>10.584446429772701</v>
      </c>
      <c r="AJ24" s="142">
        <v>-16.548726481878699</v>
      </c>
      <c r="AK24" s="142">
        <v>3.1750362762758901</v>
      </c>
      <c r="AL24" s="142">
        <v>28.637422673001499</v>
      </c>
      <c r="AM24" s="142">
        <v>0</v>
      </c>
      <c r="AN24" s="142">
        <v>258.40237843188601</v>
      </c>
      <c r="AO24" s="142">
        <v>6.7912908913749597</v>
      </c>
      <c r="AP24" s="142">
        <v>4.6787668189320897</v>
      </c>
      <c r="AQ24" s="142">
        <v>0</v>
      </c>
      <c r="AR24" s="142">
        <v>0</v>
      </c>
      <c r="AS24" s="142">
        <v>0</v>
      </c>
      <c r="AT24" s="143">
        <v>7.9553335124595002</v>
      </c>
    </row>
    <row r="25" spans="2:46" ht="12" customHeight="1" x14ac:dyDescent="0.25">
      <c r="B25" s="141" t="s">
        <v>22</v>
      </c>
      <c r="C25" s="142" t="s">
        <v>23</v>
      </c>
      <c r="D25" s="142" t="s">
        <v>24</v>
      </c>
      <c r="E25" s="142" t="s">
        <v>24</v>
      </c>
      <c r="F25" s="142" t="s">
        <v>25</v>
      </c>
      <c r="G25" s="142" t="s">
        <v>25</v>
      </c>
      <c r="H25" s="142" t="s">
        <v>80</v>
      </c>
      <c r="I25" s="142" t="s">
        <v>25</v>
      </c>
      <c r="J25" s="142">
        <v>407.22</v>
      </c>
      <c r="K25" s="142">
        <v>303.68</v>
      </c>
      <c r="L25" s="142">
        <v>6.5989776345360198</v>
      </c>
      <c r="M25" s="142">
        <v>0.74114751679643198</v>
      </c>
      <c r="N25" s="142">
        <v>3.2114102673320599</v>
      </c>
      <c r="O25" s="142">
        <v>0</v>
      </c>
      <c r="P25" s="142">
        <v>0</v>
      </c>
      <c r="Q25" s="142">
        <v>94.193572209737397</v>
      </c>
      <c r="R25" s="142">
        <v>14.901352205087999</v>
      </c>
      <c r="S25" s="142">
        <v>0</v>
      </c>
      <c r="T25" s="142">
        <v>25.370711307450701</v>
      </c>
      <c r="U25" s="142">
        <v>3.34691292609741</v>
      </c>
      <c r="V25" s="142">
        <v>1.1097510076688</v>
      </c>
      <c r="W25" s="142">
        <v>0</v>
      </c>
      <c r="X25" s="142">
        <v>40.823337318940403</v>
      </c>
      <c r="Y25" s="142">
        <v>0</v>
      </c>
      <c r="Z25" s="142">
        <v>0</v>
      </c>
      <c r="AA25" s="142">
        <v>181.956827009005</v>
      </c>
      <c r="AB25" s="142">
        <v>0</v>
      </c>
      <c r="AC25" s="142">
        <v>0</v>
      </c>
      <c r="AD25" s="142">
        <v>0</v>
      </c>
      <c r="AE25" s="142">
        <v>29.4847902259094</v>
      </c>
      <c r="AF25" s="142">
        <v>1.0399551738881301</v>
      </c>
      <c r="AG25" s="142">
        <v>3.95629593426376</v>
      </c>
      <c r="AH25" s="142">
        <v>0.485292177732841</v>
      </c>
      <c r="AI25" s="142">
        <v>10.584446429772701</v>
      </c>
      <c r="AJ25" s="142">
        <v>-16.548726481878699</v>
      </c>
      <c r="AK25" s="142">
        <v>3.1750362762758901</v>
      </c>
      <c r="AL25" s="142">
        <v>28.637422673001499</v>
      </c>
      <c r="AM25" s="142">
        <v>0</v>
      </c>
      <c r="AN25" s="142">
        <v>258.40237843188601</v>
      </c>
      <c r="AO25" s="142">
        <v>6.7912908913749597</v>
      </c>
      <c r="AP25" s="142">
        <v>4.6787668189320897</v>
      </c>
      <c r="AQ25" s="142">
        <v>0</v>
      </c>
      <c r="AR25" s="142">
        <v>0</v>
      </c>
      <c r="AS25" s="142">
        <v>0</v>
      </c>
      <c r="AT25" s="143">
        <v>7.9553335124595002</v>
      </c>
    </row>
    <row r="26" spans="2:46" ht="12" customHeight="1" x14ac:dyDescent="0.25">
      <c r="B26" s="141" t="s">
        <v>22</v>
      </c>
      <c r="C26" s="142" t="s">
        <v>94</v>
      </c>
      <c r="D26" s="142" t="s">
        <v>24</v>
      </c>
      <c r="E26" s="142" t="s">
        <v>1318</v>
      </c>
      <c r="F26" s="142" t="s">
        <v>25</v>
      </c>
      <c r="G26" s="142" t="s">
        <v>25</v>
      </c>
      <c r="H26" s="142" t="s">
        <v>80</v>
      </c>
      <c r="I26" s="142" t="s">
        <v>25</v>
      </c>
      <c r="J26" s="142">
        <v>291.52999999999997</v>
      </c>
      <c r="K26" s="142">
        <v>303.68</v>
      </c>
      <c r="L26" s="142">
        <v>0</v>
      </c>
      <c r="M26" s="142">
        <v>0.74114751679643198</v>
      </c>
      <c r="N26" s="142">
        <v>3.2108065052022399</v>
      </c>
      <c r="O26" s="142">
        <v>0</v>
      </c>
      <c r="P26" s="142">
        <v>0</v>
      </c>
      <c r="Q26" s="142">
        <v>0</v>
      </c>
      <c r="R26" s="142">
        <v>0</v>
      </c>
      <c r="S26" s="142">
        <v>0</v>
      </c>
      <c r="T26" s="142">
        <v>25.370711307450701</v>
      </c>
      <c r="U26" s="142">
        <v>3.34691292609741</v>
      </c>
      <c r="V26" s="142">
        <v>1.1097510076688</v>
      </c>
      <c r="W26" s="142">
        <v>0</v>
      </c>
      <c r="X26" s="142">
        <v>40.823337318940403</v>
      </c>
      <c r="Y26" s="142">
        <v>0</v>
      </c>
      <c r="Z26" s="142">
        <v>0</v>
      </c>
      <c r="AA26" s="142">
        <v>181.956827009005</v>
      </c>
      <c r="AB26" s="142">
        <v>0</v>
      </c>
      <c r="AC26" s="142">
        <v>0</v>
      </c>
      <c r="AD26" s="142">
        <v>0</v>
      </c>
      <c r="AE26" s="142">
        <v>29.4847902259094</v>
      </c>
      <c r="AF26" s="142">
        <v>1.0399551738881301</v>
      </c>
      <c r="AG26" s="142">
        <v>3.95629593426376</v>
      </c>
      <c r="AH26" s="142">
        <v>0.485292177732841</v>
      </c>
      <c r="AI26" s="142">
        <v>10.584446429772701</v>
      </c>
      <c r="AJ26" s="142">
        <v>-16.548726481878699</v>
      </c>
      <c r="AK26" s="142">
        <v>3.1750362762758901</v>
      </c>
      <c r="AL26" s="142">
        <v>28.637422673001499</v>
      </c>
      <c r="AM26" s="142">
        <v>0</v>
      </c>
      <c r="AN26" s="142">
        <v>258.40237843188601</v>
      </c>
      <c r="AO26" s="142">
        <v>6.7912908913749597</v>
      </c>
      <c r="AP26" s="142">
        <v>4.6787668189320897</v>
      </c>
      <c r="AQ26" s="142">
        <v>0</v>
      </c>
      <c r="AR26" s="142">
        <v>0</v>
      </c>
      <c r="AS26" s="142">
        <v>0</v>
      </c>
      <c r="AT26" s="143">
        <v>7.9553335124595002</v>
      </c>
    </row>
    <row r="27" spans="2:46" ht="12" customHeight="1" x14ac:dyDescent="0.25">
      <c r="B27" s="141" t="s">
        <v>22</v>
      </c>
      <c r="C27" s="142" t="s">
        <v>94</v>
      </c>
      <c r="D27" s="142" t="s">
        <v>24</v>
      </c>
      <c r="E27" s="142" t="s">
        <v>24</v>
      </c>
      <c r="F27" s="142" t="s">
        <v>25</v>
      </c>
      <c r="G27" s="142" t="s">
        <v>25</v>
      </c>
      <c r="H27" s="142" t="s">
        <v>80</v>
      </c>
      <c r="I27" s="142" t="s">
        <v>25</v>
      </c>
      <c r="J27" s="142">
        <v>407.22</v>
      </c>
      <c r="K27" s="142">
        <v>303.68</v>
      </c>
      <c r="L27" s="142">
        <v>6.5989776345360198</v>
      </c>
      <c r="M27" s="142">
        <v>0.74114751679643198</v>
      </c>
      <c r="N27" s="142">
        <v>3.2114102673320599</v>
      </c>
      <c r="O27" s="142">
        <v>0</v>
      </c>
      <c r="P27" s="142">
        <v>0</v>
      </c>
      <c r="Q27" s="142">
        <v>94.193572209737397</v>
      </c>
      <c r="R27" s="142">
        <v>14.901352205087999</v>
      </c>
      <c r="S27" s="142">
        <v>0</v>
      </c>
      <c r="T27" s="142">
        <v>25.370711307450701</v>
      </c>
      <c r="U27" s="142">
        <v>3.34691292609741</v>
      </c>
      <c r="V27" s="142">
        <v>1.1097510076688</v>
      </c>
      <c r="W27" s="142">
        <v>0</v>
      </c>
      <c r="X27" s="142">
        <v>40.823337318940403</v>
      </c>
      <c r="Y27" s="142">
        <v>0</v>
      </c>
      <c r="Z27" s="142">
        <v>0</v>
      </c>
      <c r="AA27" s="142">
        <v>181.956827009005</v>
      </c>
      <c r="AB27" s="142">
        <v>0</v>
      </c>
      <c r="AC27" s="142">
        <v>0</v>
      </c>
      <c r="AD27" s="142">
        <v>0</v>
      </c>
      <c r="AE27" s="142">
        <v>29.4847902259094</v>
      </c>
      <c r="AF27" s="142">
        <v>1.0399551738881301</v>
      </c>
      <c r="AG27" s="142">
        <v>3.95629593426376</v>
      </c>
      <c r="AH27" s="142">
        <v>0.485292177732841</v>
      </c>
      <c r="AI27" s="142">
        <v>10.584446429772701</v>
      </c>
      <c r="AJ27" s="142">
        <v>-16.548726481878699</v>
      </c>
      <c r="AK27" s="142">
        <v>3.1750362762758901</v>
      </c>
      <c r="AL27" s="142">
        <v>28.637422673001499</v>
      </c>
      <c r="AM27" s="142">
        <v>0</v>
      </c>
      <c r="AN27" s="142">
        <v>258.40237843188601</v>
      </c>
      <c r="AO27" s="142">
        <v>6.7912908913749597</v>
      </c>
      <c r="AP27" s="142">
        <v>4.6787668189320897</v>
      </c>
      <c r="AQ27" s="142">
        <v>0</v>
      </c>
      <c r="AR27" s="142">
        <v>0</v>
      </c>
      <c r="AS27" s="142">
        <v>0</v>
      </c>
      <c r="AT27" s="143">
        <v>7.9553335124595002</v>
      </c>
    </row>
    <row r="28" spans="2:46" ht="12" customHeight="1" x14ac:dyDescent="0.25">
      <c r="B28" s="141" t="s">
        <v>43</v>
      </c>
      <c r="C28" s="142" t="s">
        <v>33</v>
      </c>
      <c r="D28" s="142" t="s">
        <v>44</v>
      </c>
      <c r="E28" s="142" t="s">
        <v>95</v>
      </c>
      <c r="F28" s="142" t="s">
        <v>25</v>
      </c>
      <c r="G28" s="142" t="s">
        <v>34</v>
      </c>
      <c r="H28" s="142" t="s">
        <v>80</v>
      </c>
      <c r="I28" s="142" t="s">
        <v>25</v>
      </c>
      <c r="J28" s="142">
        <v>988.61</v>
      </c>
      <c r="K28" s="142">
        <v>436.69</v>
      </c>
      <c r="L28" s="142">
        <v>6.2030389764638603</v>
      </c>
      <c r="M28" s="142">
        <v>0.69667866578864601</v>
      </c>
      <c r="N28" s="142">
        <v>3.3452403535901301</v>
      </c>
      <c r="O28" s="142">
        <v>0</v>
      </c>
      <c r="P28" s="142">
        <v>0</v>
      </c>
      <c r="Q28" s="142">
        <v>88.541957877153195</v>
      </c>
      <c r="R28" s="142">
        <v>14.0072710727828</v>
      </c>
      <c r="S28" s="142">
        <v>0</v>
      </c>
      <c r="T28" s="142">
        <v>84.662075034003607</v>
      </c>
      <c r="U28" s="142">
        <v>11.1685297059103</v>
      </c>
      <c r="V28" s="142">
        <v>3.70323911259079</v>
      </c>
      <c r="W28" s="142">
        <v>0</v>
      </c>
      <c r="X28" s="142">
        <v>136.22736724351799</v>
      </c>
      <c r="Y28" s="142">
        <v>0</v>
      </c>
      <c r="Z28" s="142">
        <v>0</v>
      </c>
      <c r="AA28" s="142">
        <v>607.190014338629</v>
      </c>
      <c r="AB28" s="142">
        <v>0</v>
      </c>
      <c r="AC28" s="142">
        <v>0</v>
      </c>
      <c r="AD28" s="142">
        <v>0</v>
      </c>
      <c r="AE28" s="142">
        <v>27.715702812354799</v>
      </c>
      <c r="AF28" s="142">
        <v>0.97755786345483997</v>
      </c>
      <c r="AG28" s="142">
        <v>3.7189181782079301</v>
      </c>
      <c r="AH28" s="142">
        <v>0.45617464706887001</v>
      </c>
      <c r="AI28" s="142">
        <v>9.9493796439863598</v>
      </c>
      <c r="AJ28" s="142">
        <v>-15.555802892966</v>
      </c>
      <c r="AK28" s="142">
        <v>2.9845340996993399</v>
      </c>
      <c r="AL28" s="142">
        <v>26.9191773126215</v>
      </c>
      <c r="AM28" s="142">
        <v>0</v>
      </c>
      <c r="AN28" s="142">
        <v>394.13675985723899</v>
      </c>
      <c r="AO28" s="142">
        <v>6.3838134378924698</v>
      </c>
      <c r="AP28" s="142">
        <v>4.3980408097961599</v>
      </c>
      <c r="AQ28" s="142">
        <v>0</v>
      </c>
      <c r="AR28" s="142">
        <v>0</v>
      </c>
      <c r="AS28" s="142">
        <v>0</v>
      </c>
      <c r="AT28" s="143">
        <v>7.4780135017119296</v>
      </c>
    </row>
    <row r="29" spans="2:46" ht="12" customHeight="1" x14ac:dyDescent="0.25">
      <c r="B29" s="141" t="s">
        <v>43</v>
      </c>
      <c r="C29" s="142" t="s">
        <v>33</v>
      </c>
      <c r="D29" s="142" t="s">
        <v>44</v>
      </c>
      <c r="E29" s="142" t="s">
        <v>95</v>
      </c>
      <c r="F29" s="142" t="s">
        <v>25</v>
      </c>
      <c r="G29" s="142" t="s">
        <v>36</v>
      </c>
      <c r="H29" s="142" t="s">
        <v>80</v>
      </c>
      <c r="I29" s="142" t="s">
        <v>25</v>
      </c>
      <c r="J29" s="142">
        <v>651.25</v>
      </c>
      <c r="K29" s="142">
        <v>271.70999999999998</v>
      </c>
      <c r="L29" s="142">
        <v>6.2030389764638603</v>
      </c>
      <c r="M29" s="142">
        <v>0.69667866578864601</v>
      </c>
      <c r="N29" s="142">
        <v>3.1634164463239798</v>
      </c>
      <c r="O29" s="142">
        <v>0</v>
      </c>
      <c r="P29" s="142">
        <v>0</v>
      </c>
      <c r="Q29" s="142">
        <v>88.541957877153195</v>
      </c>
      <c r="R29" s="142">
        <v>14.0072710727828</v>
      </c>
      <c r="S29" s="142">
        <v>0</v>
      </c>
      <c r="T29" s="142">
        <v>50.797222218321103</v>
      </c>
      <c r="U29" s="142">
        <v>6.7011384719768996</v>
      </c>
      <c r="V29" s="142">
        <v>2.2219211299538899</v>
      </c>
      <c r="W29" s="142">
        <v>0</v>
      </c>
      <c r="X29" s="142">
        <v>81.736376590196002</v>
      </c>
      <c r="Y29" s="142">
        <v>0</v>
      </c>
      <c r="Z29" s="142">
        <v>0</v>
      </c>
      <c r="AA29" s="142">
        <v>364.314029255572</v>
      </c>
      <c r="AB29" s="142">
        <v>0</v>
      </c>
      <c r="AC29" s="142">
        <v>0</v>
      </c>
      <c r="AD29" s="142">
        <v>0</v>
      </c>
      <c r="AE29" s="142">
        <v>27.715702812354799</v>
      </c>
      <c r="AF29" s="142">
        <v>0.97755786345483997</v>
      </c>
      <c r="AG29" s="142">
        <v>3.7189181782079301</v>
      </c>
      <c r="AH29" s="142">
        <v>0.45617464706887001</v>
      </c>
      <c r="AI29" s="142">
        <v>9.9493796439863598</v>
      </c>
      <c r="AJ29" s="142">
        <v>-15.555802892966</v>
      </c>
      <c r="AK29" s="142">
        <v>2.9845340996993399</v>
      </c>
      <c r="AL29" s="142">
        <v>26.9191773126215</v>
      </c>
      <c r="AM29" s="142">
        <v>0</v>
      </c>
      <c r="AN29" s="142">
        <v>229.149278986767</v>
      </c>
      <c r="AO29" s="142">
        <v>6.3838134378924698</v>
      </c>
      <c r="AP29" s="142">
        <v>4.3980408097961599</v>
      </c>
      <c r="AQ29" s="142">
        <v>0</v>
      </c>
      <c r="AR29" s="142">
        <v>0</v>
      </c>
      <c r="AS29" s="142">
        <v>0</v>
      </c>
      <c r="AT29" s="143">
        <v>7.4780135017119296</v>
      </c>
    </row>
    <row r="30" spans="2:46" ht="12" customHeight="1" x14ac:dyDescent="0.25">
      <c r="B30" s="141" t="s">
        <v>43</v>
      </c>
      <c r="C30" s="142" t="s">
        <v>33</v>
      </c>
      <c r="D30" s="142" t="s">
        <v>44</v>
      </c>
      <c r="E30" s="142" t="s">
        <v>95</v>
      </c>
      <c r="F30" s="142" t="s">
        <v>25</v>
      </c>
      <c r="G30" s="142" t="s">
        <v>35</v>
      </c>
      <c r="H30" s="142" t="s">
        <v>80</v>
      </c>
      <c r="I30" s="142" t="s">
        <v>25</v>
      </c>
      <c r="J30" s="142">
        <v>313.89</v>
      </c>
      <c r="K30" s="142">
        <v>271.70999999999998</v>
      </c>
      <c r="L30" s="142">
        <v>6.2030389764638603</v>
      </c>
      <c r="M30" s="142">
        <v>0.69667866578864601</v>
      </c>
      <c r="N30" s="142">
        <v>2.98159259581147</v>
      </c>
      <c r="O30" s="142">
        <v>0</v>
      </c>
      <c r="P30" s="142">
        <v>0</v>
      </c>
      <c r="Q30" s="142">
        <v>88.541957877153195</v>
      </c>
      <c r="R30" s="142">
        <v>14.0072710727828</v>
      </c>
      <c r="S30" s="142">
        <v>0</v>
      </c>
      <c r="T30" s="142">
        <v>16.9323694026385</v>
      </c>
      <c r="U30" s="142">
        <v>2.2337472380435401</v>
      </c>
      <c r="V30" s="142">
        <v>0.74060314731699295</v>
      </c>
      <c r="W30" s="142">
        <v>0</v>
      </c>
      <c r="X30" s="142">
        <v>27.245495326660802</v>
      </c>
      <c r="Y30" s="142">
        <v>0</v>
      </c>
      <c r="Z30" s="142">
        <v>0</v>
      </c>
      <c r="AA30" s="142">
        <v>121.438044172516</v>
      </c>
      <c r="AB30" s="142">
        <v>0</v>
      </c>
      <c r="AC30" s="142">
        <v>0</v>
      </c>
      <c r="AD30" s="142">
        <v>0</v>
      </c>
      <c r="AE30" s="142">
        <v>27.715702812354799</v>
      </c>
      <c r="AF30" s="142">
        <v>0.97755786345483997</v>
      </c>
      <c r="AG30" s="142">
        <v>3.7189181782079301</v>
      </c>
      <c r="AH30" s="142">
        <v>0.45617464706887001</v>
      </c>
      <c r="AI30" s="142">
        <v>9.9493796439863598</v>
      </c>
      <c r="AJ30" s="142">
        <v>-15.555802892966</v>
      </c>
      <c r="AK30" s="142">
        <v>2.9845340996993399</v>
      </c>
      <c r="AL30" s="142">
        <v>26.9191773126215</v>
      </c>
      <c r="AM30" s="142">
        <v>0</v>
      </c>
      <c r="AN30" s="142">
        <v>229.149278986767</v>
      </c>
      <c r="AO30" s="142">
        <v>6.3838134378924698</v>
      </c>
      <c r="AP30" s="142">
        <v>4.3980408097961599</v>
      </c>
      <c r="AQ30" s="142">
        <v>0</v>
      </c>
      <c r="AR30" s="142">
        <v>0</v>
      </c>
      <c r="AS30" s="142">
        <v>0</v>
      </c>
      <c r="AT30" s="143">
        <v>7.4780135017119296</v>
      </c>
    </row>
    <row r="31" spans="2:46" ht="12" customHeight="1" x14ac:dyDescent="0.25">
      <c r="B31" s="141" t="s">
        <v>43</v>
      </c>
      <c r="C31" s="142" t="s">
        <v>33</v>
      </c>
      <c r="D31" s="142" t="s">
        <v>44</v>
      </c>
      <c r="E31" s="142" t="s">
        <v>25</v>
      </c>
      <c r="F31" s="142" t="s">
        <v>25</v>
      </c>
      <c r="G31" s="142" t="s">
        <v>34</v>
      </c>
      <c r="H31" s="142" t="s">
        <v>80</v>
      </c>
      <c r="I31" s="142" t="s">
        <v>25</v>
      </c>
      <c r="J31" s="142">
        <v>988.61</v>
      </c>
      <c r="K31" s="142">
        <v>436.69</v>
      </c>
      <c r="L31" s="142">
        <v>6.2030389764638603</v>
      </c>
      <c r="M31" s="142">
        <v>0.69667866578864601</v>
      </c>
      <c r="N31" s="142">
        <v>3.3452403535901301</v>
      </c>
      <c r="O31" s="142">
        <v>0</v>
      </c>
      <c r="P31" s="142">
        <v>0</v>
      </c>
      <c r="Q31" s="142">
        <v>88.541957877153195</v>
      </c>
      <c r="R31" s="142">
        <v>14.0072710727828</v>
      </c>
      <c r="S31" s="142">
        <v>0</v>
      </c>
      <c r="T31" s="142">
        <v>84.662075034003607</v>
      </c>
      <c r="U31" s="142">
        <v>11.1685297059103</v>
      </c>
      <c r="V31" s="142">
        <v>3.70323911259079</v>
      </c>
      <c r="W31" s="142">
        <v>0</v>
      </c>
      <c r="X31" s="142">
        <v>136.22736724351799</v>
      </c>
      <c r="Y31" s="142">
        <v>0</v>
      </c>
      <c r="Z31" s="142">
        <v>0</v>
      </c>
      <c r="AA31" s="142">
        <v>607.190014338629</v>
      </c>
      <c r="AB31" s="142">
        <v>0</v>
      </c>
      <c r="AC31" s="142">
        <v>0</v>
      </c>
      <c r="AD31" s="142">
        <v>0</v>
      </c>
      <c r="AE31" s="142">
        <v>27.715702812354799</v>
      </c>
      <c r="AF31" s="142">
        <v>0.97755786345483997</v>
      </c>
      <c r="AG31" s="142">
        <v>3.7189181782079301</v>
      </c>
      <c r="AH31" s="142">
        <v>0.45617464706887001</v>
      </c>
      <c r="AI31" s="142">
        <v>9.9493796439863598</v>
      </c>
      <c r="AJ31" s="142">
        <v>-15.555802892966</v>
      </c>
      <c r="AK31" s="142">
        <v>2.9845340996993399</v>
      </c>
      <c r="AL31" s="142">
        <v>26.9191773126215</v>
      </c>
      <c r="AM31" s="142">
        <v>0</v>
      </c>
      <c r="AN31" s="142">
        <v>394.13675985723899</v>
      </c>
      <c r="AO31" s="142">
        <v>6.3838134378924698</v>
      </c>
      <c r="AP31" s="142">
        <v>4.3980408097961599</v>
      </c>
      <c r="AQ31" s="142">
        <v>0</v>
      </c>
      <c r="AR31" s="142">
        <v>0</v>
      </c>
      <c r="AS31" s="142">
        <v>0</v>
      </c>
      <c r="AT31" s="143">
        <v>7.4780135017119296</v>
      </c>
    </row>
    <row r="32" spans="2:46" ht="12" customHeight="1" x14ac:dyDescent="0.25">
      <c r="B32" s="141" t="s">
        <v>43</v>
      </c>
      <c r="C32" s="142" t="s">
        <v>33</v>
      </c>
      <c r="D32" s="142" t="s">
        <v>44</v>
      </c>
      <c r="E32" s="142" t="s">
        <v>25</v>
      </c>
      <c r="F32" s="142" t="s">
        <v>25</v>
      </c>
      <c r="G32" s="142" t="s">
        <v>36</v>
      </c>
      <c r="H32" s="142" t="s">
        <v>80</v>
      </c>
      <c r="I32" s="142" t="s">
        <v>25</v>
      </c>
      <c r="J32" s="142">
        <v>651.25</v>
      </c>
      <c r="K32" s="142">
        <v>271.70999999999998</v>
      </c>
      <c r="L32" s="142">
        <v>6.2030389764638603</v>
      </c>
      <c r="M32" s="142">
        <v>0.69667866578864601</v>
      </c>
      <c r="N32" s="142">
        <v>3.1634164463239798</v>
      </c>
      <c r="O32" s="142">
        <v>0</v>
      </c>
      <c r="P32" s="142">
        <v>0</v>
      </c>
      <c r="Q32" s="142">
        <v>88.541957877153195</v>
      </c>
      <c r="R32" s="142">
        <v>14.0072710727828</v>
      </c>
      <c r="S32" s="142">
        <v>0</v>
      </c>
      <c r="T32" s="142">
        <v>50.797222218321103</v>
      </c>
      <c r="U32" s="142">
        <v>6.7011384719768996</v>
      </c>
      <c r="V32" s="142">
        <v>2.2219211299538899</v>
      </c>
      <c r="W32" s="142">
        <v>0</v>
      </c>
      <c r="X32" s="142">
        <v>81.736376590196002</v>
      </c>
      <c r="Y32" s="142">
        <v>0</v>
      </c>
      <c r="Z32" s="142">
        <v>0</v>
      </c>
      <c r="AA32" s="142">
        <v>364.314029255572</v>
      </c>
      <c r="AB32" s="142">
        <v>0</v>
      </c>
      <c r="AC32" s="142">
        <v>0</v>
      </c>
      <c r="AD32" s="142">
        <v>0</v>
      </c>
      <c r="AE32" s="142">
        <v>27.715702812354799</v>
      </c>
      <c r="AF32" s="142">
        <v>0.97755786345483997</v>
      </c>
      <c r="AG32" s="142">
        <v>3.7189181782079301</v>
      </c>
      <c r="AH32" s="142">
        <v>0.45617464706887001</v>
      </c>
      <c r="AI32" s="142">
        <v>9.9493796439863598</v>
      </c>
      <c r="AJ32" s="142">
        <v>-15.555802892966</v>
      </c>
      <c r="AK32" s="142">
        <v>2.9845340996993399</v>
      </c>
      <c r="AL32" s="142">
        <v>26.9191773126215</v>
      </c>
      <c r="AM32" s="142">
        <v>0</v>
      </c>
      <c r="AN32" s="142">
        <v>229.149278986767</v>
      </c>
      <c r="AO32" s="142">
        <v>6.3838134378924698</v>
      </c>
      <c r="AP32" s="142">
        <v>4.3980408097961599</v>
      </c>
      <c r="AQ32" s="142">
        <v>0</v>
      </c>
      <c r="AR32" s="142">
        <v>0</v>
      </c>
      <c r="AS32" s="142">
        <v>0</v>
      </c>
      <c r="AT32" s="143">
        <v>7.4780135017119296</v>
      </c>
    </row>
    <row r="33" spans="2:46" ht="12" customHeight="1" x14ac:dyDescent="0.25">
      <c r="B33" s="141" t="s">
        <v>43</v>
      </c>
      <c r="C33" s="142" t="s">
        <v>33</v>
      </c>
      <c r="D33" s="142" t="s">
        <v>44</v>
      </c>
      <c r="E33" s="142" t="s">
        <v>25</v>
      </c>
      <c r="F33" s="142" t="s">
        <v>25</v>
      </c>
      <c r="G33" s="142" t="s">
        <v>35</v>
      </c>
      <c r="H33" s="142" t="s">
        <v>80</v>
      </c>
      <c r="I33" s="142" t="s">
        <v>25</v>
      </c>
      <c r="J33" s="142">
        <v>313.89</v>
      </c>
      <c r="K33" s="142">
        <v>271.70999999999998</v>
      </c>
      <c r="L33" s="142">
        <v>6.2030389764638603</v>
      </c>
      <c r="M33" s="142">
        <v>0.69667866578864601</v>
      </c>
      <c r="N33" s="142">
        <v>2.98159259581147</v>
      </c>
      <c r="O33" s="142">
        <v>0</v>
      </c>
      <c r="P33" s="142">
        <v>0</v>
      </c>
      <c r="Q33" s="142">
        <v>88.541957877153195</v>
      </c>
      <c r="R33" s="142">
        <v>14.0072710727828</v>
      </c>
      <c r="S33" s="142">
        <v>0</v>
      </c>
      <c r="T33" s="142">
        <v>16.9323694026385</v>
      </c>
      <c r="U33" s="142">
        <v>2.2337472380435401</v>
      </c>
      <c r="V33" s="142">
        <v>0.74060314731699295</v>
      </c>
      <c r="W33" s="142">
        <v>0</v>
      </c>
      <c r="X33" s="142">
        <v>27.245495326660802</v>
      </c>
      <c r="Y33" s="142">
        <v>0</v>
      </c>
      <c r="Z33" s="142">
        <v>0</v>
      </c>
      <c r="AA33" s="142">
        <v>121.438044172516</v>
      </c>
      <c r="AB33" s="142">
        <v>0</v>
      </c>
      <c r="AC33" s="142">
        <v>0</v>
      </c>
      <c r="AD33" s="142">
        <v>0</v>
      </c>
      <c r="AE33" s="142">
        <v>27.715702812354799</v>
      </c>
      <c r="AF33" s="142">
        <v>0.97755786345483997</v>
      </c>
      <c r="AG33" s="142">
        <v>3.7189181782079301</v>
      </c>
      <c r="AH33" s="142">
        <v>0.45617464706887001</v>
      </c>
      <c r="AI33" s="142">
        <v>9.9493796439863598</v>
      </c>
      <c r="AJ33" s="142">
        <v>-15.555802892966</v>
      </c>
      <c r="AK33" s="142">
        <v>2.9845340996993399</v>
      </c>
      <c r="AL33" s="142">
        <v>26.9191773126215</v>
      </c>
      <c r="AM33" s="142">
        <v>0</v>
      </c>
      <c r="AN33" s="142">
        <v>229.149278986767</v>
      </c>
      <c r="AO33" s="142">
        <v>6.3838134378924698</v>
      </c>
      <c r="AP33" s="142">
        <v>4.3980408097961599</v>
      </c>
      <c r="AQ33" s="142">
        <v>0</v>
      </c>
      <c r="AR33" s="142">
        <v>0</v>
      </c>
      <c r="AS33" s="142">
        <v>0</v>
      </c>
      <c r="AT33" s="143">
        <v>7.4780135017119296</v>
      </c>
    </row>
    <row r="34" spans="2:46" ht="12" customHeight="1" x14ac:dyDescent="0.25">
      <c r="B34" s="141" t="s">
        <v>43</v>
      </c>
      <c r="C34" s="142" t="s">
        <v>33</v>
      </c>
      <c r="D34" s="142" t="s">
        <v>44</v>
      </c>
      <c r="E34" s="142" t="s">
        <v>55</v>
      </c>
      <c r="F34" s="142" t="s">
        <v>25</v>
      </c>
      <c r="G34" s="142" t="s">
        <v>34</v>
      </c>
      <c r="H34" s="142" t="s">
        <v>80</v>
      </c>
      <c r="I34" s="142" t="s">
        <v>25</v>
      </c>
      <c r="J34" s="142">
        <v>967.58</v>
      </c>
      <c r="K34" s="142">
        <v>427.4</v>
      </c>
      <c r="L34" s="142">
        <v>6.0710594237731401</v>
      </c>
      <c r="M34" s="142">
        <v>0.68185571545271795</v>
      </c>
      <c r="N34" s="142">
        <v>3.2740650269180001</v>
      </c>
      <c r="O34" s="142">
        <v>0</v>
      </c>
      <c r="P34" s="142">
        <v>0</v>
      </c>
      <c r="Q34" s="142">
        <v>86.658086432958399</v>
      </c>
      <c r="R34" s="142">
        <v>13.709244028681001</v>
      </c>
      <c r="S34" s="142">
        <v>0</v>
      </c>
      <c r="T34" s="142">
        <v>82.860754288599296</v>
      </c>
      <c r="U34" s="142">
        <v>10.9309014142951</v>
      </c>
      <c r="V34" s="142">
        <v>3.6244467910463101</v>
      </c>
      <c r="W34" s="142">
        <v>0</v>
      </c>
      <c r="X34" s="142">
        <v>133.328912621315</v>
      </c>
      <c r="Y34" s="142">
        <v>0</v>
      </c>
      <c r="Z34" s="142">
        <v>0</v>
      </c>
      <c r="AA34" s="142">
        <v>594.27107786333897</v>
      </c>
      <c r="AB34" s="142">
        <v>0</v>
      </c>
      <c r="AC34" s="142">
        <v>0</v>
      </c>
      <c r="AD34" s="142">
        <v>0</v>
      </c>
      <c r="AE34" s="142">
        <v>27.126007007836598</v>
      </c>
      <c r="AF34" s="142">
        <v>0.95675875997707804</v>
      </c>
      <c r="AG34" s="142">
        <v>3.6397922595226602</v>
      </c>
      <c r="AH34" s="142">
        <v>0.44646880351421298</v>
      </c>
      <c r="AI34" s="142">
        <v>9.7376907153909098</v>
      </c>
      <c r="AJ34" s="142">
        <v>-15.224828363328401</v>
      </c>
      <c r="AK34" s="142">
        <v>2.9210333741738199</v>
      </c>
      <c r="AL34" s="142">
        <v>26.346428859161399</v>
      </c>
      <c r="AM34" s="142">
        <v>0</v>
      </c>
      <c r="AN34" s="142">
        <v>385.75087134963798</v>
      </c>
      <c r="AO34" s="142">
        <v>6.2479876200649702</v>
      </c>
      <c r="AP34" s="142">
        <v>4.3044654734175198</v>
      </c>
      <c r="AQ34" s="142">
        <v>0</v>
      </c>
      <c r="AR34" s="142">
        <v>0</v>
      </c>
      <c r="AS34" s="142">
        <v>0</v>
      </c>
      <c r="AT34" s="143">
        <v>7.3189068314627397</v>
      </c>
    </row>
    <row r="35" spans="2:46" ht="12" customHeight="1" x14ac:dyDescent="0.25">
      <c r="B35" s="141" t="s">
        <v>43</v>
      </c>
      <c r="C35" s="142" t="s">
        <v>33</v>
      </c>
      <c r="D35" s="142" t="s">
        <v>44</v>
      </c>
      <c r="E35" s="142" t="s">
        <v>55</v>
      </c>
      <c r="F35" s="142" t="s">
        <v>25</v>
      </c>
      <c r="G35" s="142" t="s">
        <v>36</v>
      </c>
      <c r="H35" s="142" t="s">
        <v>80</v>
      </c>
      <c r="I35" s="142" t="s">
        <v>25</v>
      </c>
      <c r="J35" s="142">
        <v>637.39</v>
      </c>
      <c r="K35" s="142">
        <v>265.93</v>
      </c>
      <c r="L35" s="142">
        <v>6.0710594237731401</v>
      </c>
      <c r="M35" s="142">
        <v>0.68185571545271795</v>
      </c>
      <c r="N35" s="142">
        <v>3.0961097134234699</v>
      </c>
      <c r="O35" s="142">
        <v>0</v>
      </c>
      <c r="P35" s="142">
        <v>0</v>
      </c>
      <c r="Q35" s="142">
        <v>86.658086432958399</v>
      </c>
      <c r="R35" s="142">
        <v>13.709244028681001</v>
      </c>
      <c r="S35" s="142">
        <v>0</v>
      </c>
      <c r="T35" s="142">
        <v>49.716430256229103</v>
      </c>
      <c r="U35" s="142">
        <v>6.5585610576795199</v>
      </c>
      <c r="V35" s="142">
        <v>2.1746462122953001</v>
      </c>
      <c r="W35" s="142">
        <v>0</v>
      </c>
      <c r="X35" s="142">
        <v>79.997304747851402</v>
      </c>
      <c r="Y35" s="142">
        <v>0</v>
      </c>
      <c r="Z35" s="142">
        <v>0</v>
      </c>
      <c r="AA35" s="142">
        <v>356.56266693098598</v>
      </c>
      <c r="AB35" s="142">
        <v>0</v>
      </c>
      <c r="AC35" s="142">
        <v>0</v>
      </c>
      <c r="AD35" s="142">
        <v>0</v>
      </c>
      <c r="AE35" s="142">
        <v>27.126007007836598</v>
      </c>
      <c r="AF35" s="142">
        <v>0.95675875997707804</v>
      </c>
      <c r="AG35" s="142">
        <v>3.6397922595226602</v>
      </c>
      <c r="AH35" s="142">
        <v>0.44646880351421298</v>
      </c>
      <c r="AI35" s="142">
        <v>9.7376907153909098</v>
      </c>
      <c r="AJ35" s="142">
        <v>-15.224828363328401</v>
      </c>
      <c r="AK35" s="142">
        <v>2.9210333741738199</v>
      </c>
      <c r="AL35" s="142">
        <v>26.346428859161399</v>
      </c>
      <c r="AM35" s="142">
        <v>0</v>
      </c>
      <c r="AN35" s="142">
        <v>224.27376241258</v>
      </c>
      <c r="AO35" s="142">
        <v>6.2479876200649702</v>
      </c>
      <c r="AP35" s="142">
        <v>4.3044654734175198</v>
      </c>
      <c r="AQ35" s="142">
        <v>0</v>
      </c>
      <c r="AR35" s="142">
        <v>0</v>
      </c>
      <c r="AS35" s="142">
        <v>0</v>
      </c>
      <c r="AT35" s="143">
        <v>7.3189068314627397</v>
      </c>
    </row>
    <row r="36" spans="2:46" ht="12" customHeight="1" x14ac:dyDescent="0.25">
      <c r="B36" s="141" t="s">
        <v>43</v>
      </c>
      <c r="C36" s="142" t="s">
        <v>33</v>
      </c>
      <c r="D36" s="142" t="s">
        <v>44</v>
      </c>
      <c r="E36" s="142" t="s">
        <v>55</v>
      </c>
      <c r="F36" s="142" t="s">
        <v>25</v>
      </c>
      <c r="G36" s="142" t="s">
        <v>35</v>
      </c>
      <c r="H36" s="142" t="s">
        <v>80</v>
      </c>
      <c r="I36" s="142" t="s">
        <v>25</v>
      </c>
      <c r="J36" s="142">
        <v>307.20999999999998</v>
      </c>
      <c r="K36" s="142">
        <v>265.93</v>
      </c>
      <c r="L36" s="142">
        <v>6.0710594237731401</v>
      </c>
      <c r="M36" s="142">
        <v>0.68185571545271795</v>
      </c>
      <c r="N36" s="142">
        <v>2.9181544554750598</v>
      </c>
      <c r="O36" s="142">
        <v>0</v>
      </c>
      <c r="P36" s="142">
        <v>0</v>
      </c>
      <c r="Q36" s="142">
        <v>86.658086432958399</v>
      </c>
      <c r="R36" s="142">
        <v>13.709244028681001</v>
      </c>
      <c r="S36" s="142">
        <v>0</v>
      </c>
      <c r="T36" s="142">
        <v>16.572106223858899</v>
      </c>
      <c r="U36" s="142">
        <v>2.1862207010638901</v>
      </c>
      <c r="V36" s="142">
        <v>0.72484563354429099</v>
      </c>
      <c r="W36" s="142">
        <v>0</v>
      </c>
      <c r="X36" s="142">
        <v>26.665803936731901</v>
      </c>
      <c r="Y36" s="142">
        <v>0</v>
      </c>
      <c r="Z36" s="142">
        <v>0</v>
      </c>
      <c r="AA36" s="142">
        <v>118.854255998632</v>
      </c>
      <c r="AB36" s="142">
        <v>0</v>
      </c>
      <c r="AC36" s="142">
        <v>0</v>
      </c>
      <c r="AD36" s="142">
        <v>0</v>
      </c>
      <c r="AE36" s="142">
        <v>27.126007007836598</v>
      </c>
      <c r="AF36" s="142">
        <v>0.95675875997707804</v>
      </c>
      <c r="AG36" s="142">
        <v>3.6397922595226602</v>
      </c>
      <c r="AH36" s="142">
        <v>0.44646880351421298</v>
      </c>
      <c r="AI36" s="142">
        <v>9.7376907153909098</v>
      </c>
      <c r="AJ36" s="142">
        <v>-15.224828363328401</v>
      </c>
      <c r="AK36" s="142">
        <v>2.9210333741738199</v>
      </c>
      <c r="AL36" s="142">
        <v>26.346428859161399</v>
      </c>
      <c r="AM36" s="142">
        <v>0</v>
      </c>
      <c r="AN36" s="142">
        <v>224.27376241258</v>
      </c>
      <c r="AO36" s="142">
        <v>6.2479876200649702</v>
      </c>
      <c r="AP36" s="142">
        <v>4.3044654734175198</v>
      </c>
      <c r="AQ36" s="142">
        <v>0</v>
      </c>
      <c r="AR36" s="142">
        <v>0</v>
      </c>
      <c r="AS36" s="142">
        <v>0</v>
      </c>
      <c r="AT36" s="143">
        <v>7.3189068314627397</v>
      </c>
    </row>
    <row r="37" spans="2:46" ht="12" customHeight="1" x14ac:dyDescent="0.25">
      <c r="B37" s="141" t="s">
        <v>43</v>
      </c>
      <c r="C37" s="142" t="s">
        <v>23</v>
      </c>
      <c r="D37" s="142" t="s">
        <v>44</v>
      </c>
      <c r="E37" s="142" t="s">
        <v>95</v>
      </c>
      <c r="F37" s="142" t="s">
        <v>25</v>
      </c>
      <c r="G37" s="142" t="s">
        <v>25</v>
      </c>
      <c r="H37" s="142" t="s">
        <v>80</v>
      </c>
      <c r="I37" s="142" t="s">
        <v>25</v>
      </c>
      <c r="J37" s="142">
        <v>382.79</v>
      </c>
      <c r="K37" s="142">
        <v>285.45999999999998</v>
      </c>
      <c r="L37" s="142">
        <v>6.2030389764638603</v>
      </c>
      <c r="M37" s="142">
        <v>0.69667866578864601</v>
      </c>
      <c r="N37" s="142">
        <v>3.0187256512921401</v>
      </c>
      <c r="O37" s="142">
        <v>0</v>
      </c>
      <c r="P37" s="142">
        <v>0</v>
      </c>
      <c r="Q37" s="142">
        <v>88.541957877153195</v>
      </c>
      <c r="R37" s="142">
        <v>14.0072710727828</v>
      </c>
      <c r="S37" s="142">
        <v>0</v>
      </c>
      <c r="T37" s="142">
        <v>23.848468629003701</v>
      </c>
      <c r="U37" s="142">
        <v>3.1460981505315599</v>
      </c>
      <c r="V37" s="142">
        <v>1.0431659472086701</v>
      </c>
      <c r="W37" s="142">
        <v>0</v>
      </c>
      <c r="X37" s="142">
        <v>38.373937079804001</v>
      </c>
      <c r="Y37" s="142">
        <v>0</v>
      </c>
      <c r="Z37" s="142">
        <v>0</v>
      </c>
      <c r="AA37" s="142">
        <v>171.03941738846501</v>
      </c>
      <c r="AB37" s="142">
        <v>0</v>
      </c>
      <c r="AC37" s="142">
        <v>0</v>
      </c>
      <c r="AD37" s="142">
        <v>0</v>
      </c>
      <c r="AE37" s="142">
        <v>27.715702812354799</v>
      </c>
      <c r="AF37" s="142">
        <v>0.97755786345483997</v>
      </c>
      <c r="AG37" s="142">
        <v>3.7189181782079301</v>
      </c>
      <c r="AH37" s="142">
        <v>0.45617464706887001</v>
      </c>
      <c r="AI37" s="142">
        <v>9.9493796439863598</v>
      </c>
      <c r="AJ37" s="142">
        <v>-15.555802892966</v>
      </c>
      <c r="AK37" s="142">
        <v>2.9845340996993399</v>
      </c>
      <c r="AL37" s="142">
        <v>26.9191773126215</v>
      </c>
      <c r="AM37" s="142">
        <v>0</v>
      </c>
      <c r="AN37" s="142">
        <v>242.898235725973</v>
      </c>
      <c r="AO37" s="142">
        <v>6.3838134378924698</v>
      </c>
      <c r="AP37" s="142">
        <v>4.3980408097961599</v>
      </c>
      <c r="AQ37" s="142">
        <v>0</v>
      </c>
      <c r="AR37" s="142">
        <v>0</v>
      </c>
      <c r="AS37" s="142">
        <v>0</v>
      </c>
      <c r="AT37" s="143">
        <v>7.4780135017119296</v>
      </c>
    </row>
    <row r="38" spans="2:46" ht="12" customHeight="1" x14ac:dyDescent="0.25">
      <c r="B38" s="141" t="s">
        <v>43</v>
      </c>
      <c r="C38" s="142" t="s">
        <v>23</v>
      </c>
      <c r="D38" s="142" t="s">
        <v>44</v>
      </c>
      <c r="E38" s="142" t="s">
        <v>25</v>
      </c>
      <c r="F38" s="142" t="s">
        <v>25</v>
      </c>
      <c r="G38" s="142" t="s">
        <v>25</v>
      </c>
      <c r="H38" s="142" t="s">
        <v>80</v>
      </c>
      <c r="I38" s="142" t="s">
        <v>25</v>
      </c>
      <c r="J38" s="142">
        <v>382.79</v>
      </c>
      <c r="K38" s="142">
        <v>285.45999999999998</v>
      </c>
      <c r="L38" s="142">
        <v>6.2030389764638603</v>
      </c>
      <c r="M38" s="142">
        <v>0.69667866578864601</v>
      </c>
      <c r="N38" s="142">
        <v>3.0187256512921401</v>
      </c>
      <c r="O38" s="142">
        <v>0</v>
      </c>
      <c r="P38" s="142">
        <v>0</v>
      </c>
      <c r="Q38" s="142">
        <v>88.541957877153195</v>
      </c>
      <c r="R38" s="142">
        <v>14.0072710727828</v>
      </c>
      <c r="S38" s="142">
        <v>0</v>
      </c>
      <c r="T38" s="142">
        <v>23.848468629003701</v>
      </c>
      <c r="U38" s="142">
        <v>3.1460981505315599</v>
      </c>
      <c r="V38" s="142">
        <v>1.0431659472086701</v>
      </c>
      <c r="W38" s="142">
        <v>0</v>
      </c>
      <c r="X38" s="142">
        <v>38.373937079804001</v>
      </c>
      <c r="Y38" s="142">
        <v>0</v>
      </c>
      <c r="Z38" s="142">
        <v>0</v>
      </c>
      <c r="AA38" s="142">
        <v>171.03941738846501</v>
      </c>
      <c r="AB38" s="142">
        <v>0</v>
      </c>
      <c r="AC38" s="142">
        <v>0</v>
      </c>
      <c r="AD38" s="142">
        <v>0</v>
      </c>
      <c r="AE38" s="142">
        <v>27.715702812354799</v>
      </c>
      <c r="AF38" s="142">
        <v>0.97755786345483997</v>
      </c>
      <c r="AG38" s="142">
        <v>3.7189181782079301</v>
      </c>
      <c r="AH38" s="142">
        <v>0.45617464706887001</v>
      </c>
      <c r="AI38" s="142">
        <v>9.9493796439863598</v>
      </c>
      <c r="AJ38" s="142">
        <v>-15.555802892966</v>
      </c>
      <c r="AK38" s="142">
        <v>2.9845340996993399</v>
      </c>
      <c r="AL38" s="142">
        <v>26.9191773126215</v>
      </c>
      <c r="AM38" s="142">
        <v>0</v>
      </c>
      <c r="AN38" s="142">
        <v>242.898235725973</v>
      </c>
      <c r="AO38" s="142">
        <v>6.3838134378924698</v>
      </c>
      <c r="AP38" s="142">
        <v>4.3980408097961599</v>
      </c>
      <c r="AQ38" s="142">
        <v>0</v>
      </c>
      <c r="AR38" s="142">
        <v>0</v>
      </c>
      <c r="AS38" s="142">
        <v>0</v>
      </c>
      <c r="AT38" s="143">
        <v>7.4780135017119296</v>
      </c>
    </row>
    <row r="39" spans="2:46" ht="12" customHeight="1" x14ac:dyDescent="0.25">
      <c r="B39" s="141" t="s">
        <v>43</v>
      </c>
      <c r="C39" s="142" t="s">
        <v>23</v>
      </c>
      <c r="D39" s="142" t="s">
        <v>44</v>
      </c>
      <c r="E39" s="142" t="s">
        <v>55</v>
      </c>
      <c r="F39" s="142" t="s">
        <v>25</v>
      </c>
      <c r="G39" s="142" t="s">
        <v>25</v>
      </c>
      <c r="H39" s="142" t="s">
        <v>80</v>
      </c>
      <c r="I39" s="142" t="s">
        <v>25</v>
      </c>
      <c r="J39" s="142">
        <v>374.64</v>
      </c>
      <c r="K39" s="142">
        <v>279.38</v>
      </c>
      <c r="L39" s="142">
        <v>6.0710594237731401</v>
      </c>
      <c r="M39" s="142">
        <v>0.68185571545271795</v>
      </c>
      <c r="N39" s="142">
        <v>2.9544974459455</v>
      </c>
      <c r="O39" s="142">
        <v>0</v>
      </c>
      <c r="P39" s="142">
        <v>0</v>
      </c>
      <c r="Q39" s="142">
        <v>86.658086432958399</v>
      </c>
      <c r="R39" s="142">
        <v>13.709244028681001</v>
      </c>
      <c r="S39" s="142">
        <v>0</v>
      </c>
      <c r="T39" s="142">
        <v>23.341054402854699</v>
      </c>
      <c r="U39" s="142">
        <v>3.0791598920096099</v>
      </c>
      <c r="V39" s="142">
        <v>1.0209709270553</v>
      </c>
      <c r="W39" s="142">
        <v>0</v>
      </c>
      <c r="X39" s="142">
        <v>37.557470333425201</v>
      </c>
      <c r="Y39" s="142">
        <v>0</v>
      </c>
      <c r="Z39" s="142">
        <v>0</v>
      </c>
      <c r="AA39" s="142">
        <v>167.40028084828401</v>
      </c>
      <c r="AB39" s="142">
        <v>0</v>
      </c>
      <c r="AC39" s="142">
        <v>0</v>
      </c>
      <c r="AD39" s="142">
        <v>0</v>
      </c>
      <c r="AE39" s="142">
        <v>27.126007007836598</v>
      </c>
      <c r="AF39" s="142">
        <v>0.95675875997707804</v>
      </c>
      <c r="AG39" s="142">
        <v>3.6397922595226602</v>
      </c>
      <c r="AH39" s="142">
        <v>0.44646880351421298</v>
      </c>
      <c r="AI39" s="142">
        <v>9.7376907153909098</v>
      </c>
      <c r="AJ39" s="142">
        <v>-15.224828363328401</v>
      </c>
      <c r="AK39" s="142">
        <v>2.9210333741738199</v>
      </c>
      <c r="AL39" s="142">
        <v>26.346428859161399</v>
      </c>
      <c r="AM39" s="142">
        <v>0</v>
      </c>
      <c r="AN39" s="142">
        <v>237.73018815733499</v>
      </c>
      <c r="AO39" s="142">
        <v>6.2479876200649702</v>
      </c>
      <c r="AP39" s="142">
        <v>4.3044654734175198</v>
      </c>
      <c r="AQ39" s="142">
        <v>0</v>
      </c>
      <c r="AR39" s="142">
        <v>0</v>
      </c>
      <c r="AS39" s="142">
        <v>0</v>
      </c>
      <c r="AT39" s="143">
        <v>7.3189068314627397</v>
      </c>
    </row>
    <row r="40" spans="2:46" ht="12" customHeight="1" x14ac:dyDescent="0.25">
      <c r="B40" s="141" t="s">
        <v>43</v>
      </c>
      <c r="C40" s="142" t="s">
        <v>94</v>
      </c>
      <c r="D40" s="142" t="s">
        <v>44</v>
      </c>
      <c r="E40" s="142" t="s">
        <v>95</v>
      </c>
      <c r="F40" s="142" t="s">
        <v>25</v>
      </c>
      <c r="G40" s="142" t="s">
        <v>25</v>
      </c>
      <c r="H40" s="142" t="s">
        <v>80</v>
      </c>
      <c r="I40" s="142" t="s">
        <v>25</v>
      </c>
      <c r="J40" s="142">
        <v>382.79</v>
      </c>
      <c r="K40" s="142">
        <v>285.45999999999998</v>
      </c>
      <c r="L40" s="142">
        <v>6.2030389764638603</v>
      </c>
      <c r="M40" s="142">
        <v>0.69667866578864601</v>
      </c>
      <c r="N40" s="142">
        <v>3.0187256512921401</v>
      </c>
      <c r="O40" s="142">
        <v>0</v>
      </c>
      <c r="P40" s="142">
        <v>0</v>
      </c>
      <c r="Q40" s="142">
        <v>88.541957877153195</v>
      </c>
      <c r="R40" s="142">
        <v>14.0072710727828</v>
      </c>
      <c r="S40" s="142">
        <v>0</v>
      </c>
      <c r="T40" s="142">
        <v>23.848468629003701</v>
      </c>
      <c r="U40" s="142">
        <v>3.1460981505315599</v>
      </c>
      <c r="V40" s="142">
        <v>1.0431659472086701</v>
      </c>
      <c r="W40" s="142">
        <v>0</v>
      </c>
      <c r="X40" s="142">
        <v>38.373937079804001</v>
      </c>
      <c r="Y40" s="142">
        <v>0</v>
      </c>
      <c r="Z40" s="142">
        <v>0</v>
      </c>
      <c r="AA40" s="142">
        <v>171.03941738846501</v>
      </c>
      <c r="AB40" s="142">
        <v>0</v>
      </c>
      <c r="AC40" s="142">
        <v>0</v>
      </c>
      <c r="AD40" s="142">
        <v>0</v>
      </c>
      <c r="AE40" s="142">
        <v>27.715702812354799</v>
      </c>
      <c r="AF40" s="142">
        <v>0.97755786345483997</v>
      </c>
      <c r="AG40" s="142">
        <v>3.7189181782079301</v>
      </c>
      <c r="AH40" s="142">
        <v>0.45617464706887001</v>
      </c>
      <c r="AI40" s="142">
        <v>9.9493796439863598</v>
      </c>
      <c r="AJ40" s="142">
        <v>-15.555802892966</v>
      </c>
      <c r="AK40" s="142">
        <v>2.9845340996993399</v>
      </c>
      <c r="AL40" s="142">
        <v>26.9191773126215</v>
      </c>
      <c r="AM40" s="142">
        <v>0</v>
      </c>
      <c r="AN40" s="142">
        <v>242.898235725973</v>
      </c>
      <c r="AO40" s="142">
        <v>6.3838134378924698</v>
      </c>
      <c r="AP40" s="142">
        <v>4.3980408097961599</v>
      </c>
      <c r="AQ40" s="142">
        <v>0</v>
      </c>
      <c r="AR40" s="142">
        <v>0</v>
      </c>
      <c r="AS40" s="142">
        <v>0</v>
      </c>
      <c r="AT40" s="143">
        <v>7.4780135017119296</v>
      </c>
    </row>
    <row r="41" spans="2:46" ht="12" customHeight="1" x14ac:dyDescent="0.25">
      <c r="B41" s="141" t="s">
        <v>43</v>
      </c>
      <c r="C41" s="142" t="s">
        <v>94</v>
      </c>
      <c r="D41" s="142" t="s">
        <v>44</v>
      </c>
      <c r="E41" s="142" t="s">
        <v>25</v>
      </c>
      <c r="F41" s="142" t="s">
        <v>25</v>
      </c>
      <c r="G41" s="142" t="s">
        <v>25</v>
      </c>
      <c r="H41" s="142" t="s">
        <v>80</v>
      </c>
      <c r="I41" s="142" t="s">
        <v>25</v>
      </c>
      <c r="J41" s="142">
        <v>382.79</v>
      </c>
      <c r="K41" s="142">
        <v>285.45999999999998</v>
      </c>
      <c r="L41" s="142">
        <v>6.2030389764638603</v>
      </c>
      <c r="M41" s="142">
        <v>0.69667866578864601</v>
      </c>
      <c r="N41" s="142">
        <v>3.0187256512921401</v>
      </c>
      <c r="O41" s="142">
        <v>0</v>
      </c>
      <c r="P41" s="142">
        <v>0</v>
      </c>
      <c r="Q41" s="142">
        <v>88.541957877153195</v>
      </c>
      <c r="R41" s="142">
        <v>14.0072710727828</v>
      </c>
      <c r="S41" s="142">
        <v>0</v>
      </c>
      <c r="T41" s="142">
        <v>23.848468629003701</v>
      </c>
      <c r="U41" s="142">
        <v>3.1460981505315599</v>
      </c>
      <c r="V41" s="142">
        <v>1.0431659472086701</v>
      </c>
      <c r="W41" s="142">
        <v>0</v>
      </c>
      <c r="X41" s="142">
        <v>38.373937079804001</v>
      </c>
      <c r="Y41" s="142">
        <v>0</v>
      </c>
      <c r="Z41" s="142">
        <v>0</v>
      </c>
      <c r="AA41" s="142">
        <v>171.03941738846501</v>
      </c>
      <c r="AB41" s="142">
        <v>0</v>
      </c>
      <c r="AC41" s="142">
        <v>0</v>
      </c>
      <c r="AD41" s="142">
        <v>0</v>
      </c>
      <c r="AE41" s="142">
        <v>27.715702812354799</v>
      </c>
      <c r="AF41" s="142">
        <v>0.97755786345483997</v>
      </c>
      <c r="AG41" s="142">
        <v>3.7189181782079301</v>
      </c>
      <c r="AH41" s="142">
        <v>0.45617464706887001</v>
      </c>
      <c r="AI41" s="142">
        <v>9.9493796439863598</v>
      </c>
      <c r="AJ41" s="142">
        <v>-15.555802892966</v>
      </c>
      <c r="AK41" s="142">
        <v>2.9845340996993399</v>
      </c>
      <c r="AL41" s="142">
        <v>26.9191773126215</v>
      </c>
      <c r="AM41" s="142">
        <v>0</v>
      </c>
      <c r="AN41" s="142">
        <v>242.898235725973</v>
      </c>
      <c r="AO41" s="142">
        <v>6.3838134378924698</v>
      </c>
      <c r="AP41" s="142">
        <v>4.3980408097961599</v>
      </c>
      <c r="AQ41" s="142">
        <v>0</v>
      </c>
      <c r="AR41" s="142">
        <v>0</v>
      </c>
      <c r="AS41" s="142">
        <v>0</v>
      </c>
      <c r="AT41" s="143">
        <v>7.4780135017119296</v>
      </c>
    </row>
    <row r="42" spans="2:46" ht="12" customHeight="1" x14ac:dyDescent="0.25">
      <c r="B42" s="141" t="s">
        <v>43</v>
      </c>
      <c r="C42" s="142" t="s">
        <v>94</v>
      </c>
      <c r="D42" s="142" t="s">
        <v>44</v>
      </c>
      <c r="E42" s="142" t="s">
        <v>55</v>
      </c>
      <c r="F42" s="142" t="s">
        <v>25</v>
      </c>
      <c r="G42" s="142" t="s">
        <v>25</v>
      </c>
      <c r="H42" s="142" t="s">
        <v>80</v>
      </c>
      <c r="I42" s="142" t="s">
        <v>25</v>
      </c>
      <c r="J42" s="142">
        <v>374.64</v>
      </c>
      <c r="K42" s="142">
        <v>279.38</v>
      </c>
      <c r="L42" s="142">
        <v>6.0710594237731401</v>
      </c>
      <c r="M42" s="142">
        <v>0.68185571545271795</v>
      </c>
      <c r="N42" s="142">
        <v>2.9544974459455</v>
      </c>
      <c r="O42" s="142">
        <v>0</v>
      </c>
      <c r="P42" s="142">
        <v>0</v>
      </c>
      <c r="Q42" s="142">
        <v>86.658086432958399</v>
      </c>
      <c r="R42" s="142">
        <v>13.709244028681001</v>
      </c>
      <c r="S42" s="142">
        <v>0</v>
      </c>
      <c r="T42" s="142">
        <v>23.341054402854699</v>
      </c>
      <c r="U42" s="142">
        <v>3.0791598920096099</v>
      </c>
      <c r="V42" s="142">
        <v>1.0209709270553</v>
      </c>
      <c r="W42" s="142">
        <v>0</v>
      </c>
      <c r="X42" s="142">
        <v>37.557470333425201</v>
      </c>
      <c r="Y42" s="142">
        <v>0</v>
      </c>
      <c r="Z42" s="142">
        <v>0</v>
      </c>
      <c r="AA42" s="142">
        <v>167.40028084828401</v>
      </c>
      <c r="AB42" s="142">
        <v>0</v>
      </c>
      <c r="AC42" s="142">
        <v>0</v>
      </c>
      <c r="AD42" s="142">
        <v>0</v>
      </c>
      <c r="AE42" s="142">
        <v>27.126007007836598</v>
      </c>
      <c r="AF42" s="142">
        <v>0.95675875997707804</v>
      </c>
      <c r="AG42" s="142">
        <v>3.6397922595226602</v>
      </c>
      <c r="AH42" s="142">
        <v>0.44646880351421298</v>
      </c>
      <c r="AI42" s="142">
        <v>9.7376907153909098</v>
      </c>
      <c r="AJ42" s="142">
        <v>-15.224828363328401</v>
      </c>
      <c r="AK42" s="142">
        <v>2.9210333741738199</v>
      </c>
      <c r="AL42" s="142">
        <v>26.346428859161399</v>
      </c>
      <c r="AM42" s="142">
        <v>0</v>
      </c>
      <c r="AN42" s="142">
        <v>237.73018815733499</v>
      </c>
      <c r="AO42" s="142">
        <v>6.2479876200649702</v>
      </c>
      <c r="AP42" s="142">
        <v>4.3044654734175198</v>
      </c>
      <c r="AQ42" s="142">
        <v>0</v>
      </c>
      <c r="AR42" s="142">
        <v>0</v>
      </c>
      <c r="AS42" s="142">
        <v>0</v>
      </c>
      <c r="AT42" s="143">
        <v>7.3189068314627397</v>
      </c>
    </row>
    <row r="43" spans="2:46" ht="12" customHeight="1" x14ac:dyDescent="0.25">
      <c r="B43" s="141" t="s">
        <v>37</v>
      </c>
      <c r="C43" s="142" t="s">
        <v>33</v>
      </c>
      <c r="D43" s="142" t="s">
        <v>25</v>
      </c>
      <c r="E43" s="142" t="s">
        <v>25</v>
      </c>
      <c r="F43" s="142" t="s">
        <v>25</v>
      </c>
      <c r="G43" s="142" t="s">
        <v>34</v>
      </c>
      <c r="H43" s="142" t="s">
        <v>80</v>
      </c>
      <c r="I43" s="142" t="s">
        <v>25</v>
      </c>
      <c r="J43" s="142">
        <v>1051.72</v>
      </c>
      <c r="K43" s="142">
        <v>464.57</v>
      </c>
      <c r="L43" s="142">
        <v>6.5989776345360198</v>
      </c>
      <c r="M43" s="142">
        <v>0.74114751679643198</v>
      </c>
      <c r="N43" s="142">
        <v>3.5587663336065201</v>
      </c>
      <c r="O43" s="142">
        <v>0</v>
      </c>
      <c r="P43" s="142">
        <v>0</v>
      </c>
      <c r="Q43" s="142">
        <v>94.193572209737397</v>
      </c>
      <c r="R43" s="142">
        <v>14.901352205087999</v>
      </c>
      <c r="S43" s="142">
        <v>0</v>
      </c>
      <c r="T43" s="142">
        <v>90.066037270216597</v>
      </c>
      <c r="U43" s="142">
        <v>11.8814145807556</v>
      </c>
      <c r="V43" s="142">
        <v>3.9396160772242501</v>
      </c>
      <c r="W43" s="142">
        <v>0</v>
      </c>
      <c r="X43" s="142">
        <v>144.922731110125</v>
      </c>
      <c r="Y43" s="142">
        <v>0</v>
      </c>
      <c r="Z43" s="142">
        <v>0</v>
      </c>
      <c r="AA43" s="142">
        <v>645.94682376449896</v>
      </c>
      <c r="AB43" s="142">
        <v>0</v>
      </c>
      <c r="AC43" s="142">
        <v>0</v>
      </c>
      <c r="AD43" s="142">
        <v>0</v>
      </c>
      <c r="AE43" s="142">
        <v>29.4847902259094</v>
      </c>
      <c r="AF43" s="142">
        <v>1.0399551738881301</v>
      </c>
      <c r="AG43" s="142">
        <v>3.95629593426376</v>
      </c>
      <c r="AH43" s="142">
        <v>0.485292177732841</v>
      </c>
      <c r="AI43" s="142">
        <v>10.584446429772701</v>
      </c>
      <c r="AJ43" s="142">
        <v>-16.548726481878699</v>
      </c>
      <c r="AK43" s="142">
        <v>3.1750362762758901</v>
      </c>
      <c r="AL43" s="142">
        <v>28.637422673001499</v>
      </c>
      <c r="AM43" s="142">
        <v>0</v>
      </c>
      <c r="AN43" s="142">
        <v>419.29442538004099</v>
      </c>
      <c r="AO43" s="142">
        <v>6.7912908913749597</v>
      </c>
      <c r="AP43" s="142">
        <v>4.6787668189320897</v>
      </c>
      <c r="AQ43" s="142">
        <v>0</v>
      </c>
      <c r="AR43" s="142">
        <v>0</v>
      </c>
      <c r="AS43" s="142">
        <v>0</v>
      </c>
      <c r="AT43" s="143">
        <v>7.9553335124595002</v>
      </c>
    </row>
    <row r="44" spans="2:46" ht="12" customHeight="1" x14ac:dyDescent="0.25">
      <c r="B44" s="141" t="s">
        <v>37</v>
      </c>
      <c r="C44" s="142" t="s">
        <v>33</v>
      </c>
      <c r="D44" s="142" t="s">
        <v>25</v>
      </c>
      <c r="E44" s="142" t="s">
        <v>25</v>
      </c>
      <c r="F44" s="142" t="s">
        <v>25</v>
      </c>
      <c r="G44" s="142" t="s">
        <v>36</v>
      </c>
      <c r="H44" s="142" t="s">
        <v>80</v>
      </c>
      <c r="I44" s="142" t="s">
        <v>25</v>
      </c>
      <c r="J44" s="142">
        <v>692.82</v>
      </c>
      <c r="K44" s="142">
        <v>289.05</v>
      </c>
      <c r="L44" s="142">
        <v>6.5989776345360198</v>
      </c>
      <c r="M44" s="142">
        <v>0.74114751679643198</v>
      </c>
      <c r="N44" s="142">
        <v>3.36533664502551</v>
      </c>
      <c r="O44" s="142">
        <v>0</v>
      </c>
      <c r="P44" s="142">
        <v>0</v>
      </c>
      <c r="Q44" s="142">
        <v>94.193572209737397</v>
      </c>
      <c r="R44" s="142">
        <v>14.901352205087999</v>
      </c>
      <c r="S44" s="142">
        <v>0</v>
      </c>
      <c r="T44" s="142">
        <v>54.039598104596898</v>
      </c>
      <c r="U44" s="142">
        <v>7.1288707148690396</v>
      </c>
      <c r="V44" s="142">
        <v>2.36374588292967</v>
      </c>
      <c r="W44" s="142">
        <v>0</v>
      </c>
      <c r="X44" s="142">
        <v>86.953592117229803</v>
      </c>
      <c r="Y44" s="142">
        <v>0</v>
      </c>
      <c r="Z44" s="142">
        <v>0</v>
      </c>
      <c r="AA44" s="142">
        <v>387.56811622933202</v>
      </c>
      <c r="AB44" s="142">
        <v>0</v>
      </c>
      <c r="AC44" s="142">
        <v>0</v>
      </c>
      <c r="AD44" s="142">
        <v>0</v>
      </c>
      <c r="AE44" s="142">
        <v>29.4847902259094</v>
      </c>
      <c r="AF44" s="142">
        <v>1.0399551738881301</v>
      </c>
      <c r="AG44" s="142">
        <v>3.95629593426376</v>
      </c>
      <c r="AH44" s="142">
        <v>0.485292177732841</v>
      </c>
      <c r="AI44" s="142">
        <v>10.584446429772701</v>
      </c>
      <c r="AJ44" s="142">
        <v>-16.548726481878699</v>
      </c>
      <c r="AK44" s="142">
        <v>3.1750362762758901</v>
      </c>
      <c r="AL44" s="142">
        <v>28.637422673001499</v>
      </c>
      <c r="AM44" s="142">
        <v>0</v>
      </c>
      <c r="AN44" s="142">
        <v>243.77582870932599</v>
      </c>
      <c r="AO44" s="142">
        <v>6.7912908913749597</v>
      </c>
      <c r="AP44" s="142">
        <v>4.6787668189320897</v>
      </c>
      <c r="AQ44" s="142">
        <v>0</v>
      </c>
      <c r="AR44" s="142">
        <v>0</v>
      </c>
      <c r="AS44" s="142">
        <v>0</v>
      </c>
      <c r="AT44" s="143">
        <v>7.9553335124595002</v>
      </c>
    </row>
    <row r="45" spans="2:46" ht="12" customHeight="1" x14ac:dyDescent="0.25">
      <c r="B45" s="141" t="s">
        <v>37</v>
      </c>
      <c r="C45" s="142" t="s">
        <v>33</v>
      </c>
      <c r="D45" s="142" t="s">
        <v>25</v>
      </c>
      <c r="E45" s="142" t="s">
        <v>25</v>
      </c>
      <c r="F45" s="142" t="s">
        <v>25</v>
      </c>
      <c r="G45" s="142" t="s">
        <v>35</v>
      </c>
      <c r="H45" s="142" t="s">
        <v>80</v>
      </c>
      <c r="I45" s="142" t="s">
        <v>25</v>
      </c>
      <c r="J45" s="142">
        <v>333.92</v>
      </c>
      <c r="K45" s="142">
        <v>289.05</v>
      </c>
      <c r="L45" s="142">
        <v>6.5989776345360198</v>
      </c>
      <c r="M45" s="142">
        <v>0.74114751679643198</v>
      </c>
      <c r="N45" s="142">
        <v>3.17190701682072</v>
      </c>
      <c r="O45" s="142">
        <v>0</v>
      </c>
      <c r="P45" s="142">
        <v>0</v>
      </c>
      <c r="Q45" s="142">
        <v>94.193572209737397</v>
      </c>
      <c r="R45" s="142">
        <v>14.901352205087999</v>
      </c>
      <c r="S45" s="142">
        <v>0</v>
      </c>
      <c r="T45" s="142">
        <v>18.013158938977099</v>
      </c>
      <c r="U45" s="142">
        <v>2.3763268489824898</v>
      </c>
      <c r="V45" s="142">
        <v>0.78787568863509905</v>
      </c>
      <c r="W45" s="142">
        <v>0</v>
      </c>
      <c r="X45" s="142">
        <v>28.984569496447701</v>
      </c>
      <c r="Y45" s="142">
        <v>0</v>
      </c>
      <c r="Z45" s="142">
        <v>0</v>
      </c>
      <c r="AA45" s="142">
        <v>129.18940869416599</v>
      </c>
      <c r="AB45" s="142">
        <v>0</v>
      </c>
      <c r="AC45" s="142">
        <v>0</v>
      </c>
      <c r="AD45" s="142">
        <v>0</v>
      </c>
      <c r="AE45" s="142">
        <v>29.4847902259094</v>
      </c>
      <c r="AF45" s="142">
        <v>1.0399551738881301</v>
      </c>
      <c r="AG45" s="142">
        <v>3.95629593426376</v>
      </c>
      <c r="AH45" s="142">
        <v>0.485292177732841</v>
      </c>
      <c r="AI45" s="142">
        <v>10.584446429772701</v>
      </c>
      <c r="AJ45" s="142">
        <v>-16.548726481878699</v>
      </c>
      <c r="AK45" s="142">
        <v>3.1750362762758901</v>
      </c>
      <c r="AL45" s="142">
        <v>28.637422673001499</v>
      </c>
      <c r="AM45" s="142">
        <v>0</v>
      </c>
      <c r="AN45" s="142">
        <v>243.77582870932599</v>
      </c>
      <c r="AO45" s="142">
        <v>6.7912908913749597</v>
      </c>
      <c r="AP45" s="142">
        <v>4.6787668189320897</v>
      </c>
      <c r="AQ45" s="142">
        <v>0</v>
      </c>
      <c r="AR45" s="142">
        <v>0</v>
      </c>
      <c r="AS45" s="142">
        <v>0</v>
      </c>
      <c r="AT45" s="143">
        <v>7.9553335124595002</v>
      </c>
    </row>
    <row r="46" spans="2:46" ht="12" customHeight="1" x14ac:dyDescent="0.25">
      <c r="B46" s="141" t="s">
        <v>37</v>
      </c>
      <c r="C46" s="142" t="s">
        <v>23</v>
      </c>
      <c r="D46" s="142" t="s">
        <v>25</v>
      </c>
      <c r="E46" s="142" t="s">
        <v>25</v>
      </c>
      <c r="F46" s="142" t="s">
        <v>25</v>
      </c>
      <c r="G46" s="142" t="s">
        <v>25</v>
      </c>
      <c r="H46" s="142" t="s">
        <v>80</v>
      </c>
      <c r="I46" s="142" t="s">
        <v>25</v>
      </c>
      <c r="J46" s="142">
        <v>407.22</v>
      </c>
      <c r="K46" s="142">
        <v>303.68</v>
      </c>
      <c r="L46" s="142">
        <v>6.5989776345360198</v>
      </c>
      <c r="M46" s="142">
        <v>0.74114751679643198</v>
      </c>
      <c r="N46" s="142">
        <v>3.2114102673320599</v>
      </c>
      <c r="O46" s="142">
        <v>0</v>
      </c>
      <c r="P46" s="142">
        <v>0</v>
      </c>
      <c r="Q46" s="142">
        <v>94.193572209737397</v>
      </c>
      <c r="R46" s="142">
        <v>14.901352205087999</v>
      </c>
      <c r="S46" s="142">
        <v>0</v>
      </c>
      <c r="T46" s="142">
        <v>25.370711307450701</v>
      </c>
      <c r="U46" s="142">
        <v>3.34691292609741</v>
      </c>
      <c r="V46" s="142">
        <v>1.1097510076688</v>
      </c>
      <c r="W46" s="142">
        <v>0</v>
      </c>
      <c r="X46" s="142">
        <v>40.823337318940403</v>
      </c>
      <c r="Y46" s="142">
        <v>0</v>
      </c>
      <c r="Z46" s="142">
        <v>0</v>
      </c>
      <c r="AA46" s="142">
        <v>181.956827009005</v>
      </c>
      <c r="AB46" s="142">
        <v>0</v>
      </c>
      <c r="AC46" s="142">
        <v>0</v>
      </c>
      <c r="AD46" s="142">
        <v>0</v>
      </c>
      <c r="AE46" s="142">
        <v>29.4847902259094</v>
      </c>
      <c r="AF46" s="142">
        <v>1.0399551738881301</v>
      </c>
      <c r="AG46" s="142">
        <v>3.95629593426376</v>
      </c>
      <c r="AH46" s="142">
        <v>0.485292177732841</v>
      </c>
      <c r="AI46" s="142">
        <v>10.584446429772701</v>
      </c>
      <c r="AJ46" s="142">
        <v>-16.548726481878699</v>
      </c>
      <c r="AK46" s="142">
        <v>3.1750362762758901</v>
      </c>
      <c r="AL46" s="142">
        <v>28.637422673001499</v>
      </c>
      <c r="AM46" s="142">
        <v>0</v>
      </c>
      <c r="AN46" s="142">
        <v>258.40237843188601</v>
      </c>
      <c r="AO46" s="142">
        <v>6.7912908913749597</v>
      </c>
      <c r="AP46" s="142">
        <v>4.6787668189320897</v>
      </c>
      <c r="AQ46" s="142">
        <v>0</v>
      </c>
      <c r="AR46" s="142">
        <v>0</v>
      </c>
      <c r="AS46" s="142">
        <v>0</v>
      </c>
      <c r="AT46" s="143">
        <v>7.9553335124595002</v>
      </c>
    </row>
    <row r="47" spans="2:46" ht="12" customHeight="1" x14ac:dyDescent="0.25">
      <c r="B47" s="141" t="s">
        <v>37</v>
      </c>
      <c r="C47" s="142" t="s">
        <v>94</v>
      </c>
      <c r="D47" s="142" t="s">
        <v>25</v>
      </c>
      <c r="E47" s="142" t="s">
        <v>25</v>
      </c>
      <c r="F47" s="142" t="s">
        <v>25</v>
      </c>
      <c r="G47" s="142" t="s">
        <v>25</v>
      </c>
      <c r="H47" s="142" t="s">
        <v>80</v>
      </c>
      <c r="I47" s="142" t="s">
        <v>25</v>
      </c>
      <c r="J47" s="142">
        <v>407.22</v>
      </c>
      <c r="K47" s="142">
        <v>303.68</v>
      </c>
      <c r="L47" s="142">
        <v>6.5989776345360198</v>
      </c>
      <c r="M47" s="142">
        <v>0.74114751679643198</v>
      </c>
      <c r="N47" s="142">
        <v>3.2114102673320599</v>
      </c>
      <c r="O47" s="142">
        <v>0</v>
      </c>
      <c r="P47" s="142">
        <v>0</v>
      </c>
      <c r="Q47" s="142">
        <v>94.193572209737397</v>
      </c>
      <c r="R47" s="142">
        <v>14.901352205087999</v>
      </c>
      <c r="S47" s="142">
        <v>0</v>
      </c>
      <c r="T47" s="142">
        <v>25.370711307450701</v>
      </c>
      <c r="U47" s="142">
        <v>3.34691292609741</v>
      </c>
      <c r="V47" s="142">
        <v>1.1097510076688</v>
      </c>
      <c r="W47" s="142">
        <v>0</v>
      </c>
      <c r="X47" s="142">
        <v>40.823337318940403</v>
      </c>
      <c r="Y47" s="142">
        <v>0</v>
      </c>
      <c r="Z47" s="142">
        <v>0</v>
      </c>
      <c r="AA47" s="142">
        <v>181.956827009005</v>
      </c>
      <c r="AB47" s="142">
        <v>0</v>
      </c>
      <c r="AC47" s="142">
        <v>0</v>
      </c>
      <c r="AD47" s="142">
        <v>0</v>
      </c>
      <c r="AE47" s="142">
        <v>29.4847902259094</v>
      </c>
      <c r="AF47" s="142">
        <v>1.0399551738881301</v>
      </c>
      <c r="AG47" s="142">
        <v>3.95629593426376</v>
      </c>
      <c r="AH47" s="142">
        <v>0.485292177732841</v>
      </c>
      <c r="AI47" s="142">
        <v>10.584446429772701</v>
      </c>
      <c r="AJ47" s="142">
        <v>-16.548726481878699</v>
      </c>
      <c r="AK47" s="142">
        <v>3.1750362762758901</v>
      </c>
      <c r="AL47" s="142">
        <v>28.637422673001499</v>
      </c>
      <c r="AM47" s="142">
        <v>0</v>
      </c>
      <c r="AN47" s="142">
        <v>258.40237843188601</v>
      </c>
      <c r="AO47" s="142">
        <v>6.7912908913749597</v>
      </c>
      <c r="AP47" s="142">
        <v>4.6787668189320897</v>
      </c>
      <c r="AQ47" s="142">
        <v>0</v>
      </c>
      <c r="AR47" s="142">
        <v>0</v>
      </c>
      <c r="AS47" s="142">
        <v>0</v>
      </c>
      <c r="AT47" s="143">
        <v>7.9553335124595002</v>
      </c>
    </row>
    <row r="48" spans="2:46" ht="12" customHeight="1" x14ac:dyDescent="0.25">
      <c r="B48" s="141" t="s">
        <v>46</v>
      </c>
      <c r="C48" s="142" t="s">
        <v>23</v>
      </c>
      <c r="D48" s="142" t="s">
        <v>47</v>
      </c>
      <c r="E48" s="142" t="s">
        <v>48</v>
      </c>
      <c r="F48" s="142" t="s">
        <v>25</v>
      </c>
      <c r="G48" s="142" t="s">
        <v>25</v>
      </c>
      <c r="H48" s="142" t="s">
        <v>80</v>
      </c>
      <c r="I48" s="142" t="s">
        <v>25</v>
      </c>
      <c r="J48" s="142">
        <v>223.97</v>
      </c>
      <c r="K48" s="142">
        <v>167.02</v>
      </c>
      <c r="L48" s="142">
        <v>3.6294376989948098</v>
      </c>
      <c r="M48" s="142">
        <v>0.40763113423803798</v>
      </c>
      <c r="N48" s="142">
        <v>1.76627564703264</v>
      </c>
      <c r="O48" s="142">
        <v>0</v>
      </c>
      <c r="P48" s="142">
        <v>0</v>
      </c>
      <c r="Q48" s="142">
        <v>51.806464715355602</v>
      </c>
      <c r="R48" s="142">
        <v>8.1957437127984303</v>
      </c>
      <c r="S48" s="142">
        <v>0</v>
      </c>
      <c r="T48" s="142">
        <v>13.953891219097899</v>
      </c>
      <c r="U48" s="142">
        <v>1.84080210935357</v>
      </c>
      <c r="V48" s="142">
        <v>0.61036305421784098</v>
      </c>
      <c r="W48" s="142">
        <v>0</v>
      </c>
      <c r="X48" s="142">
        <v>22.4528355254172</v>
      </c>
      <c r="Y48" s="142">
        <v>0</v>
      </c>
      <c r="Z48" s="142">
        <v>0</v>
      </c>
      <c r="AA48" s="142">
        <v>100.07625485495301</v>
      </c>
      <c r="AB48" s="142">
        <v>0</v>
      </c>
      <c r="AC48" s="142">
        <v>0</v>
      </c>
      <c r="AD48" s="142">
        <v>0</v>
      </c>
      <c r="AE48" s="142">
        <v>16.216634624250201</v>
      </c>
      <c r="AF48" s="142">
        <v>0.57197534563846997</v>
      </c>
      <c r="AG48" s="142">
        <v>2.17596276384507</v>
      </c>
      <c r="AH48" s="142">
        <v>0.26691069775306198</v>
      </c>
      <c r="AI48" s="142">
        <v>5.8214455363750002</v>
      </c>
      <c r="AJ48" s="142">
        <v>-9.1017995650332999</v>
      </c>
      <c r="AK48" s="142">
        <v>1.74626995195174</v>
      </c>
      <c r="AL48" s="142">
        <v>15.750582470150899</v>
      </c>
      <c r="AM48" s="142">
        <v>0</v>
      </c>
      <c r="AN48" s="142">
        <v>142.121308137537</v>
      </c>
      <c r="AO48" s="142">
        <v>3.7352099902562301</v>
      </c>
      <c r="AP48" s="142">
        <v>2.5733217504126502</v>
      </c>
      <c r="AQ48" s="142">
        <v>0</v>
      </c>
      <c r="AR48" s="142">
        <v>0</v>
      </c>
      <c r="AS48" s="142">
        <v>0</v>
      </c>
      <c r="AT48" s="143">
        <v>4.3754334318527297</v>
      </c>
    </row>
    <row r="49" spans="2:46" ht="12" customHeight="1" x14ac:dyDescent="0.25">
      <c r="B49" s="144" t="s">
        <v>46</v>
      </c>
      <c r="C49" s="145" t="s">
        <v>23</v>
      </c>
      <c r="D49" s="145" t="s">
        <v>47</v>
      </c>
      <c r="E49" s="145" t="s">
        <v>96</v>
      </c>
      <c r="F49" s="145" t="s">
        <v>25</v>
      </c>
      <c r="G49" s="145" t="s">
        <v>25</v>
      </c>
      <c r="H49" s="145" t="s">
        <v>80</v>
      </c>
      <c r="I49" s="145" t="s">
        <v>25</v>
      </c>
      <c r="J49" s="145">
        <v>244.33</v>
      </c>
      <c r="K49" s="145">
        <v>182.21</v>
      </c>
      <c r="L49" s="145">
        <v>3.9593865807216102</v>
      </c>
      <c r="M49" s="145">
        <v>0.44468851007785898</v>
      </c>
      <c r="N49" s="145">
        <v>1.9268461603992399</v>
      </c>
      <c r="O49" s="145">
        <v>0</v>
      </c>
      <c r="P49" s="145">
        <v>0</v>
      </c>
      <c r="Q49" s="145">
        <v>56.5161433258424</v>
      </c>
      <c r="R49" s="145">
        <v>8.9408113230528308</v>
      </c>
      <c r="S49" s="145">
        <v>0</v>
      </c>
      <c r="T49" s="145">
        <v>15.2224267844704</v>
      </c>
      <c r="U49" s="145">
        <v>2.0081477556584399</v>
      </c>
      <c r="V49" s="145">
        <v>0.66585060460128098</v>
      </c>
      <c r="W49" s="145">
        <v>0</v>
      </c>
      <c r="X49" s="145">
        <v>24.494002391364202</v>
      </c>
      <c r="Y49" s="145">
        <v>0</v>
      </c>
      <c r="Z49" s="145">
        <v>0</v>
      </c>
      <c r="AA49" s="145">
        <v>109.174096205403</v>
      </c>
      <c r="AB49" s="145">
        <v>0</v>
      </c>
      <c r="AC49" s="145">
        <v>0</v>
      </c>
      <c r="AD49" s="145">
        <v>0</v>
      </c>
      <c r="AE49" s="145">
        <v>17.690874135545599</v>
      </c>
      <c r="AF49" s="145">
        <v>0.623973104332877</v>
      </c>
      <c r="AG49" s="145">
        <v>2.3737775605582598</v>
      </c>
      <c r="AH49" s="145">
        <v>0.29117530663970398</v>
      </c>
      <c r="AI49" s="145">
        <v>6.3506678578636304</v>
      </c>
      <c r="AJ49" s="145">
        <v>-9.9292358891272308</v>
      </c>
      <c r="AK49" s="145">
        <v>1.90502176576553</v>
      </c>
      <c r="AL49" s="145">
        <v>17.182453603800901</v>
      </c>
      <c r="AM49" s="145">
        <v>0</v>
      </c>
      <c r="AN49" s="145">
        <v>155.04142705913199</v>
      </c>
      <c r="AO49" s="145">
        <v>4.0747745348249804</v>
      </c>
      <c r="AP49" s="145">
        <v>2.8072600913592498</v>
      </c>
      <c r="AQ49" s="145">
        <v>0</v>
      </c>
      <c r="AR49" s="145">
        <v>0</v>
      </c>
      <c r="AS49" s="145">
        <v>0</v>
      </c>
      <c r="AT49" s="146">
        <v>4.7732001074756996</v>
      </c>
    </row>
  </sheetData>
  <mergeCells count="7">
    <mergeCell ref="L1:AT1"/>
    <mergeCell ref="L2:S2"/>
    <mergeCell ref="T2:Z2"/>
    <mergeCell ref="AB2:AD2"/>
    <mergeCell ref="AE2:AH2"/>
    <mergeCell ref="AI2:AM2"/>
    <mergeCell ref="AO2:AS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EAB7A-DAEB-4C49-BDE1-AA9C2E76F137}">
  <dimension ref="B1:AT49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" bestFit="1" customWidth="1"/>
    <col min="32" max="32" width="17.7109375" bestFit="1" customWidth="1"/>
    <col min="33" max="33" width="12.5703125" bestFit="1" customWidth="1"/>
    <col min="34" max="34" width="10.7109375" bestFit="1" customWidth="1"/>
    <col min="35" max="35" width="16.5703125" bestFit="1" customWidth="1"/>
    <col min="36" max="36" width="14.5703125" bestFit="1" customWidth="1"/>
    <col min="37" max="37" width="9.85546875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47" t="s">
        <v>1320</v>
      </c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</row>
    <row r="2" spans="2:46" ht="12" customHeight="1" x14ac:dyDescent="0.25">
      <c r="L2" s="148" t="s">
        <v>645</v>
      </c>
      <c r="M2" s="148"/>
      <c r="N2" s="148"/>
      <c r="O2" s="148"/>
      <c r="P2" s="148"/>
      <c r="Q2" s="148"/>
      <c r="R2" s="148"/>
      <c r="S2" s="149"/>
      <c r="T2" s="148" t="s">
        <v>654</v>
      </c>
      <c r="U2" s="148"/>
      <c r="V2" s="148"/>
      <c r="W2" s="148"/>
      <c r="X2" s="148"/>
      <c r="Y2" s="148"/>
      <c r="Z2" s="149"/>
      <c r="AA2" s="150" t="s">
        <v>662</v>
      </c>
      <c r="AB2" s="148" t="s">
        <v>25</v>
      </c>
      <c r="AC2" s="148"/>
      <c r="AD2" s="149"/>
      <c r="AE2" s="148" t="s">
        <v>1319</v>
      </c>
      <c r="AF2" s="148"/>
      <c r="AG2" s="148"/>
      <c r="AH2" s="149"/>
      <c r="AI2" s="148" t="s">
        <v>645</v>
      </c>
      <c r="AJ2" s="148"/>
      <c r="AK2" s="148"/>
      <c r="AL2" s="148"/>
      <c r="AM2" s="149"/>
      <c r="AN2" s="150" t="s">
        <v>676</v>
      </c>
      <c r="AO2" s="148" t="s">
        <v>654</v>
      </c>
      <c r="AP2" s="148"/>
      <c r="AQ2" s="148"/>
      <c r="AR2" s="148"/>
      <c r="AS2" s="149"/>
      <c r="AT2" s="151" t="s">
        <v>1319</v>
      </c>
    </row>
    <row r="3" spans="2:46" ht="12" customHeight="1" x14ac:dyDescent="0.25">
      <c r="B3" s="138" t="s">
        <v>70</v>
      </c>
      <c r="C3" s="139" t="s">
        <v>71</v>
      </c>
      <c r="D3" s="139" t="s">
        <v>72</v>
      </c>
      <c r="E3" s="139" t="s">
        <v>73</v>
      </c>
      <c r="F3" s="139" t="s">
        <v>74</v>
      </c>
      <c r="G3" s="139" t="s">
        <v>76</v>
      </c>
      <c r="H3" s="139" t="s">
        <v>77</v>
      </c>
      <c r="I3" s="139" t="s">
        <v>922</v>
      </c>
      <c r="J3" s="139" t="s">
        <v>1281</v>
      </c>
      <c r="K3" s="139" t="s">
        <v>1282</v>
      </c>
      <c r="L3" s="139" t="s">
        <v>1283</v>
      </c>
      <c r="M3" s="139" t="s">
        <v>1284</v>
      </c>
      <c r="N3" s="139" t="s">
        <v>1285</v>
      </c>
      <c r="O3" s="139" t="s">
        <v>1286</v>
      </c>
      <c r="P3" s="139" t="s">
        <v>1287</v>
      </c>
      <c r="Q3" s="139" t="s">
        <v>1288</v>
      </c>
      <c r="R3" s="139" t="s">
        <v>1289</v>
      </c>
      <c r="S3" s="139" t="s">
        <v>1290</v>
      </c>
      <c r="T3" s="139" t="s">
        <v>1291</v>
      </c>
      <c r="U3" s="139" t="s">
        <v>1292</v>
      </c>
      <c r="V3" s="139" t="s">
        <v>1293</v>
      </c>
      <c r="W3" s="139" t="s">
        <v>1294</v>
      </c>
      <c r="X3" s="139" t="s">
        <v>1295</v>
      </c>
      <c r="Y3" s="139" t="s">
        <v>1296</v>
      </c>
      <c r="Z3" s="139" t="s">
        <v>1297</v>
      </c>
      <c r="AA3" s="139" t="s">
        <v>1298</v>
      </c>
      <c r="AB3" s="139" t="s">
        <v>1299</v>
      </c>
      <c r="AC3" s="139" t="s">
        <v>1300</v>
      </c>
      <c r="AD3" s="139" t="s">
        <v>1301</v>
      </c>
      <c r="AE3" s="139" t="s">
        <v>1302</v>
      </c>
      <c r="AF3" s="139" t="s">
        <v>1303</v>
      </c>
      <c r="AG3" s="139" t="s">
        <v>1304</v>
      </c>
      <c r="AH3" s="139" t="s">
        <v>1305</v>
      </c>
      <c r="AI3" s="139" t="s">
        <v>1306</v>
      </c>
      <c r="AJ3" s="139" t="s">
        <v>1307</v>
      </c>
      <c r="AK3" s="139" t="s">
        <v>1308</v>
      </c>
      <c r="AL3" s="139" t="s">
        <v>1309</v>
      </c>
      <c r="AM3" s="139" t="s">
        <v>1310</v>
      </c>
      <c r="AN3" s="139" t="s">
        <v>1311</v>
      </c>
      <c r="AO3" s="139" t="s">
        <v>1312</v>
      </c>
      <c r="AP3" s="139" t="s">
        <v>1313</v>
      </c>
      <c r="AQ3" s="139" t="s">
        <v>1314</v>
      </c>
      <c r="AR3" s="139" t="s">
        <v>1315</v>
      </c>
      <c r="AS3" s="139" t="s">
        <v>1316</v>
      </c>
      <c r="AT3" s="140" t="s">
        <v>1317</v>
      </c>
    </row>
    <row r="4" spans="2:46" ht="12" customHeight="1" x14ac:dyDescent="0.25">
      <c r="B4" s="141" t="s">
        <v>39</v>
      </c>
      <c r="C4" s="142" t="s">
        <v>42</v>
      </c>
      <c r="D4" s="142" t="s">
        <v>25</v>
      </c>
      <c r="E4" s="142" t="s">
        <v>25</v>
      </c>
      <c r="F4" s="142" t="s">
        <v>87</v>
      </c>
      <c r="G4" s="142" t="s">
        <v>34</v>
      </c>
      <c r="H4" s="142" t="s">
        <v>80</v>
      </c>
      <c r="I4" s="142" t="s">
        <v>25</v>
      </c>
      <c r="J4" s="142">
        <v>0.32</v>
      </c>
      <c r="K4" s="142">
        <v>0</v>
      </c>
      <c r="L4" s="142">
        <v>0</v>
      </c>
      <c r="M4" s="142">
        <v>0</v>
      </c>
      <c r="N4" s="142">
        <v>0</v>
      </c>
      <c r="O4" s="142">
        <v>0</v>
      </c>
      <c r="P4" s="142">
        <v>0</v>
      </c>
      <c r="Q4" s="142">
        <v>0</v>
      </c>
      <c r="R4" s="142">
        <v>0</v>
      </c>
      <c r="S4" s="142">
        <v>0</v>
      </c>
      <c r="T4" s="142">
        <v>0</v>
      </c>
      <c r="U4" s="142">
        <v>0</v>
      </c>
      <c r="V4" s="142">
        <v>0</v>
      </c>
      <c r="W4" s="142">
        <v>0</v>
      </c>
      <c r="X4" s="142">
        <v>0</v>
      </c>
      <c r="Y4" s="142">
        <v>0</v>
      </c>
      <c r="Z4" s="142">
        <v>0</v>
      </c>
      <c r="AA4" s="142">
        <v>0</v>
      </c>
      <c r="AB4" s="142">
        <v>0</v>
      </c>
      <c r="AC4" s="142">
        <v>0</v>
      </c>
      <c r="AD4" s="142">
        <v>0</v>
      </c>
      <c r="AE4" s="142">
        <v>0.26314621594237098</v>
      </c>
      <c r="AF4" s="142">
        <v>9.2814046381742808E-3</v>
      </c>
      <c r="AG4" s="142">
        <v>5.0339715695269197E-2</v>
      </c>
      <c r="AH4" s="142">
        <v>0</v>
      </c>
      <c r="AI4" s="142">
        <v>0</v>
      </c>
      <c r="AJ4" s="142">
        <v>0</v>
      </c>
      <c r="AK4" s="142">
        <v>0</v>
      </c>
      <c r="AL4" s="142">
        <v>0</v>
      </c>
      <c r="AM4" s="142">
        <v>0</v>
      </c>
      <c r="AN4" s="142">
        <v>0</v>
      </c>
      <c r="AO4" s="142">
        <v>0</v>
      </c>
      <c r="AP4" s="142">
        <v>0</v>
      </c>
      <c r="AQ4" s="142">
        <v>0</v>
      </c>
      <c r="AR4" s="142">
        <v>0</v>
      </c>
      <c r="AS4" s="142">
        <v>0</v>
      </c>
      <c r="AT4" s="143">
        <v>0</v>
      </c>
    </row>
    <row r="5" spans="2:46" ht="12" customHeight="1" x14ac:dyDescent="0.25">
      <c r="B5" s="141" t="s">
        <v>39</v>
      </c>
      <c r="C5" s="142" t="s">
        <v>42</v>
      </c>
      <c r="D5" s="142" t="s">
        <v>25</v>
      </c>
      <c r="E5" s="142" t="s">
        <v>25</v>
      </c>
      <c r="F5" s="142" t="s">
        <v>87</v>
      </c>
      <c r="G5" s="142" t="s">
        <v>34</v>
      </c>
      <c r="H5" s="142" t="s">
        <v>83</v>
      </c>
      <c r="I5" s="142" t="s">
        <v>25</v>
      </c>
      <c r="J5" s="142">
        <v>0.32</v>
      </c>
      <c r="K5" s="142">
        <v>0</v>
      </c>
      <c r="L5" s="142">
        <v>0</v>
      </c>
      <c r="M5" s="142">
        <v>0</v>
      </c>
      <c r="N5" s="142">
        <v>0</v>
      </c>
      <c r="O5" s="142">
        <v>0</v>
      </c>
      <c r="P5" s="142">
        <v>0</v>
      </c>
      <c r="Q5" s="142">
        <v>0</v>
      </c>
      <c r="R5" s="142">
        <v>0</v>
      </c>
      <c r="S5" s="142">
        <v>0</v>
      </c>
      <c r="T5" s="142">
        <v>0.28035528228346002</v>
      </c>
      <c r="U5" s="142">
        <v>3.5915855466608797E-2</v>
      </c>
      <c r="V5" s="142">
        <v>0</v>
      </c>
      <c r="W5" s="142">
        <v>0</v>
      </c>
      <c r="X5" s="142">
        <v>0</v>
      </c>
      <c r="Y5" s="142">
        <v>0</v>
      </c>
      <c r="Z5" s="142">
        <v>0</v>
      </c>
      <c r="AA5" s="142">
        <v>0</v>
      </c>
      <c r="AB5" s="142">
        <v>0</v>
      </c>
      <c r="AC5" s="142">
        <v>0</v>
      </c>
      <c r="AD5" s="142">
        <v>0</v>
      </c>
      <c r="AE5" s="142">
        <v>0</v>
      </c>
      <c r="AF5" s="142">
        <v>0</v>
      </c>
      <c r="AG5" s="142">
        <v>0</v>
      </c>
      <c r="AH5" s="142">
        <v>0</v>
      </c>
      <c r="AI5" s="142">
        <v>0</v>
      </c>
      <c r="AJ5" s="142">
        <v>0</v>
      </c>
      <c r="AK5" s="142">
        <v>0</v>
      </c>
      <c r="AL5" s="142">
        <v>0</v>
      </c>
      <c r="AM5" s="142">
        <v>0</v>
      </c>
      <c r="AN5" s="142">
        <v>0</v>
      </c>
      <c r="AO5" s="142">
        <v>0</v>
      </c>
      <c r="AP5" s="142">
        <v>0</v>
      </c>
      <c r="AQ5" s="142">
        <v>0</v>
      </c>
      <c r="AR5" s="142">
        <v>0</v>
      </c>
      <c r="AS5" s="142">
        <v>0</v>
      </c>
      <c r="AT5" s="143">
        <v>0</v>
      </c>
    </row>
    <row r="6" spans="2:46" ht="12" customHeight="1" x14ac:dyDescent="0.25">
      <c r="B6" s="141" t="s">
        <v>39</v>
      </c>
      <c r="C6" s="142" t="s">
        <v>42</v>
      </c>
      <c r="D6" s="142" t="s">
        <v>25</v>
      </c>
      <c r="E6" s="142" t="s">
        <v>25</v>
      </c>
      <c r="F6" s="142" t="s">
        <v>87</v>
      </c>
      <c r="G6" s="142" t="s">
        <v>35</v>
      </c>
      <c r="H6" s="142" t="s">
        <v>80</v>
      </c>
      <c r="I6" s="142" t="s">
        <v>25</v>
      </c>
      <c r="J6" s="142">
        <v>0.32</v>
      </c>
      <c r="K6" s="142">
        <v>0</v>
      </c>
      <c r="L6" s="142">
        <v>0</v>
      </c>
      <c r="M6" s="142">
        <v>0</v>
      </c>
      <c r="N6" s="142">
        <v>0</v>
      </c>
      <c r="O6" s="142">
        <v>0</v>
      </c>
      <c r="P6" s="142">
        <v>0</v>
      </c>
      <c r="Q6" s="142">
        <v>0</v>
      </c>
      <c r="R6" s="142">
        <v>0</v>
      </c>
      <c r="S6" s="142">
        <v>0</v>
      </c>
      <c r="T6" s="142">
        <v>0</v>
      </c>
      <c r="U6" s="142">
        <v>0</v>
      </c>
      <c r="V6" s="142">
        <v>0</v>
      </c>
      <c r="W6" s="142">
        <v>0</v>
      </c>
      <c r="X6" s="142">
        <v>0</v>
      </c>
      <c r="Y6" s="142">
        <v>0</v>
      </c>
      <c r="Z6" s="142">
        <v>0</v>
      </c>
      <c r="AA6" s="142">
        <v>0</v>
      </c>
      <c r="AB6" s="142">
        <v>0</v>
      </c>
      <c r="AC6" s="142">
        <v>0</v>
      </c>
      <c r="AD6" s="142">
        <v>0</v>
      </c>
      <c r="AE6" s="142">
        <v>0.26314621594237098</v>
      </c>
      <c r="AF6" s="142">
        <v>9.2814046381742808E-3</v>
      </c>
      <c r="AG6" s="142">
        <v>5.0339715695269197E-2</v>
      </c>
      <c r="AH6" s="142">
        <v>0</v>
      </c>
      <c r="AI6" s="142">
        <v>0</v>
      </c>
      <c r="AJ6" s="142">
        <v>0</v>
      </c>
      <c r="AK6" s="142">
        <v>0</v>
      </c>
      <c r="AL6" s="142">
        <v>0</v>
      </c>
      <c r="AM6" s="142">
        <v>0</v>
      </c>
      <c r="AN6" s="142">
        <v>0</v>
      </c>
      <c r="AO6" s="142">
        <v>0</v>
      </c>
      <c r="AP6" s="142">
        <v>0</v>
      </c>
      <c r="AQ6" s="142">
        <v>0</v>
      </c>
      <c r="AR6" s="142">
        <v>0</v>
      </c>
      <c r="AS6" s="142">
        <v>0</v>
      </c>
      <c r="AT6" s="143">
        <v>0</v>
      </c>
    </row>
    <row r="7" spans="2:46" ht="12" customHeight="1" x14ac:dyDescent="0.25">
      <c r="B7" s="141" t="s">
        <v>39</v>
      </c>
      <c r="C7" s="142" t="s">
        <v>42</v>
      </c>
      <c r="D7" s="142" t="s">
        <v>25</v>
      </c>
      <c r="E7" s="142" t="s">
        <v>25</v>
      </c>
      <c r="F7" s="142" t="s">
        <v>87</v>
      </c>
      <c r="G7" s="142" t="s">
        <v>35</v>
      </c>
      <c r="H7" s="142" t="s">
        <v>83</v>
      </c>
      <c r="I7" s="142" t="s">
        <v>25</v>
      </c>
      <c r="J7" s="142">
        <v>0.11</v>
      </c>
      <c r="K7" s="142">
        <v>0</v>
      </c>
      <c r="L7" s="142">
        <v>0</v>
      </c>
      <c r="M7" s="142">
        <v>0</v>
      </c>
      <c r="N7" s="142">
        <v>0</v>
      </c>
      <c r="O7" s="142">
        <v>0</v>
      </c>
      <c r="P7" s="142">
        <v>0</v>
      </c>
      <c r="Q7" s="142">
        <v>0</v>
      </c>
      <c r="R7" s="142">
        <v>0</v>
      </c>
      <c r="S7" s="142">
        <v>0</v>
      </c>
      <c r="T7" s="142">
        <v>9.9468176104006101E-2</v>
      </c>
      <c r="U7" s="142">
        <v>1.34277159375454E-2</v>
      </c>
      <c r="V7" s="142">
        <v>0</v>
      </c>
      <c r="W7" s="142">
        <v>0</v>
      </c>
      <c r="X7" s="142">
        <v>0</v>
      </c>
      <c r="Y7" s="142">
        <v>0</v>
      </c>
      <c r="Z7" s="142">
        <v>0</v>
      </c>
      <c r="AA7" s="142">
        <v>0</v>
      </c>
      <c r="AB7" s="142">
        <v>0</v>
      </c>
      <c r="AC7" s="142">
        <v>0</v>
      </c>
      <c r="AD7" s="142">
        <v>0</v>
      </c>
      <c r="AE7" s="142">
        <v>0</v>
      </c>
      <c r="AF7" s="142">
        <v>0</v>
      </c>
      <c r="AG7" s="142">
        <v>0</v>
      </c>
      <c r="AH7" s="142">
        <v>0</v>
      </c>
      <c r="AI7" s="142">
        <v>0</v>
      </c>
      <c r="AJ7" s="142">
        <v>0</v>
      </c>
      <c r="AK7" s="142">
        <v>0</v>
      </c>
      <c r="AL7" s="142">
        <v>0</v>
      </c>
      <c r="AM7" s="142">
        <v>0</v>
      </c>
      <c r="AN7" s="142">
        <v>0</v>
      </c>
      <c r="AO7" s="142">
        <v>0</v>
      </c>
      <c r="AP7" s="142">
        <v>0</v>
      </c>
      <c r="AQ7" s="142">
        <v>0</v>
      </c>
      <c r="AR7" s="142">
        <v>0</v>
      </c>
      <c r="AS7" s="142">
        <v>0</v>
      </c>
      <c r="AT7" s="143">
        <v>0</v>
      </c>
    </row>
    <row r="8" spans="2:46" ht="12" customHeight="1" x14ac:dyDescent="0.25">
      <c r="B8" s="141" t="s">
        <v>39</v>
      </c>
      <c r="C8" s="142" t="s">
        <v>42</v>
      </c>
      <c r="D8" s="142" t="s">
        <v>25</v>
      </c>
      <c r="E8" s="142" t="s">
        <v>25</v>
      </c>
      <c r="F8" s="142" t="s">
        <v>25</v>
      </c>
      <c r="G8" s="142" t="s">
        <v>34</v>
      </c>
      <c r="H8" s="142" t="s">
        <v>80</v>
      </c>
      <c r="I8" s="142" t="s">
        <v>25</v>
      </c>
      <c r="J8" s="142">
        <v>27.63</v>
      </c>
      <c r="K8" s="142">
        <v>19.16</v>
      </c>
      <c r="L8" s="142">
        <v>0.38119237254600102</v>
      </c>
      <c r="M8" s="142">
        <v>0</v>
      </c>
      <c r="N8" s="142">
        <v>0</v>
      </c>
      <c r="O8" s="142">
        <v>0</v>
      </c>
      <c r="P8" s="142">
        <v>0</v>
      </c>
      <c r="Q8" s="142">
        <v>21.943018261352002</v>
      </c>
      <c r="R8" s="142">
        <v>4.9842864118200296</v>
      </c>
      <c r="S8" s="142">
        <v>0</v>
      </c>
      <c r="T8" s="142">
        <v>0</v>
      </c>
      <c r="U8" s="142">
        <v>0</v>
      </c>
      <c r="V8" s="142">
        <v>0</v>
      </c>
      <c r="W8" s="142">
        <v>0</v>
      </c>
      <c r="X8" s="142">
        <v>0</v>
      </c>
      <c r="Y8" s="142">
        <v>0</v>
      </c>
      <c r="Z8" s="142">
        <v>0</v>
      </c>
      <c r="AA8" s="142">
        <v>0</v>
      </c>
      <c r="AB8" s="142">
        <v>0</v>
      </c>
      <c r="AC8" s="142">
        <v>0</v>
      </c>
      <c r="AD8" s="142">
        <v>0</v>
      </c>
      <c r="AE8" s="142">
        <v>0.26314621594237098</v>
      </c>
      <c r="AF8" s="142">
        <v>9.2814046381742808E-3</v>
      </c>
      <c r="AG8" s="142">
        <v>5.0339715695269197E-2</v>
      </c>
      <c r="AH8" s="142">
        <v>0</v>
      </c>
      <c r="AI8" s="142">
        <v>0.72787433904467103</v>
      </c>
      <c r="AJ8" s="142">
        <v>0</v>
      </c>
      <c r="AK8" s="142">
        <v>0</v>
      </c>
      <c r="AL8" s="142">
        <v>9.7329561648980505</v>
      </c>
      <c r="AM8" s="142">
        <v>0</v>
      </c>
      <c r="AN8" s="142">
        <v>7.0338420940511002</v>
      </c>
      <c r="AO8" s="142">
        <v>1.30709160742287</v>
      </c>
      <c r="AP8" s="142">
        <v>0.22387904201362999</v>
      </c>
      <c r="AQ8" s="142">
        <v>0</v>
      </c>
      <c r="AR8" s="142">
        <v>0</v>
      </c>
      <c r="AS8" s="142">
        <v>0</v>
      </c>
      <c r="AT8" s="143">
        <v>0.13345409894594901</v>
      </c>
    </row>
    <row r="9" spans="2:46" ht="12" customHeight="1" x14ac:dyDescent="0.25">
      <c r="B9" s="141" t="s">
        <v>39</v>
      </c>
      <c r="C9" s="142" t="s">
        <v>42</v>
      </c>
      <c r="D9" s="142" t="s">
        <v>25</v>
      </c>
      <c r="E9" s="142" t="s">
        <v>25</v>
      </c>
      <c r="F9" s="142" t="s">
        <v>25</v>
      </c>
      <c r="G9" s="142" t="s">
        <v>34</v>
      </c>
      <c r="H9" s="142" t="s">
        <v>83</v>
      </c>
      <c r="I9" s="142" t="s">
        <v>25</v>
      </c>
      <c r="J9" s="142">
        <v>0.32</v>
      </c>
      <c r="K9" s="142">
        <v>0</v>
      </c>
      <c r="L9" s="142">
        <v>0</v>
      </c>
      <c r="M9" s="142">
        <v>0</v>
      </c>
      <c r="N9" s="142">
        <v>0</v>
      </c>
      <c r="O9" s="142">
        <v>0</v>
      </c>
      <c r="P9" s="142">
        <v>0</v>
      </c>
      <c r="Q9" s="142">
        <v>0</v>
      </c>
      <c r="R9" s="142">
        <v>0</v>
      </c>
      <c r="S9" s="142">
        <v>0</v>
      </c>
      <c r="T9" s="142">
        <v>0.28035528228346002</v>
      </c>
      <c r="U9" s="142">
        <v>3.5915855466608797E-2</v>
      </c>
      <c r="V9" s="142">
        <v>0</v>
      </c>
      <c r="W9" s="142">
        <v>0</v>
      </c>
      <c r="X9" s="142">
        <v>0</v>
      </c>
      <c r="Y9" s="142">
        <v>0</v>
      </c>
      <c r="Z9" s="142">
        <v>0</v>
      </c>
      <c r="AA9" s="142">
        <v>0</v>
      </c>
      <c r="AB9" s="142">
        <v>0</v>
      </c>
      <c r="AC9" s="142">
        <v>0</v>
      </c>
      <c r="AD9" s="142">
        <v>0</v>
      </c>
      <c r="AE9" s="142">
        <v>0</v>
      </c>
      <c r="AF9" s="142">
        <v>0</v>
      </c>
      <c r="AG9" s="142">
        <v>0</v>
      </c>
      <c r="AH9" s="142">
        <v>0</v>
      </c>
      <c r="AI9" s="142">
        <v>0</v>
      </c>
      <c r="AJ9" s="142">
        <v>0</v>
      </c>
      <c r="AK9" s="142">
        <v>0</v>
      </c>
      <c r="AL9" s="142">
        <v>0</v>
      </c>
      <c r="AM9" s="142">
        <v>0</v>
      </c>
      <c r="AN9" s="142">
        <v>0</v>
      </c>
      <c r="AO9" s="142">
        <v>0</v>
      </c>
      <c r="AP9" s="142">
        <v>0</v>
      </c>
      <c r="AQ9" s="142">
        <v>0</v>
      </c>
      <c r="AR9" s="142">
        <v>0</v>
      </c>
      <c r="AS9" s="142">
        <v>0</v>
      </c>
      <c r="AT9" s="143">
        <v>0</v>
      </c>
    </row>
    <row r="10" spans="2:46" ht="12" customHeight="1" x14ac:dyDescent="0.25">
      <c r="B10" s="141" t="s">
        <v>39</v>
      </c>
      <c r="C10" s="142" t="s">
        <v>42</v>
      </c>
      <c r="D10" s="142" t="s">
        <v>25</v>
      </c>
      <c r="E10" s="142" t="s">
        <v>25</v>
      </c>
      <c r="F10" s="142" t="s">
        <v>25</v>
      </c>
      <c r="G10" s="142" t="s">
        <v>35</v>
      </c>
      <c r="H10" s="142" t="s">
        <v>80</v>
      </c>
      <c r="I10" s="142" t="s">
        <v>25</v>
      </c>
      <c r="J10" s="142">
        <v>27.63</v>
      </c>
      <c r="K10" s="142">
        <v>16.21</v>
      </c>
      <c r="L10" s="142">
        <v>0.38119237254600102</v>
      </c>
      <c r="M10" s="142">
        <v>0</v>
      </c>
      <c r="N10" s="142">
        <v>0</v>
      </c>
      <c r="O10" s="142">
        <v>0</v>
      </c>
      <c r="P10" s="142">
        <v>0</v>
      </c>
      <c r="Q10" s="142">
        <v>21.943018261352002</v>
      </c>
      <c r="R10" s="142">
        <v>4.9842864118200296</v>
      </c>
      <c r="S10" s="142">
        <v>0</v>
      </c>
      <c r="T10" s="142">
        <v>0</v>
      </c>
      <c r="U10" s="142">
        <v>0</v>
      </c>
      <c r="V10" s="142">
        <v>0</v>
      </c>
      <c r="W10" s="142">
        <v>0</v>
      </c>
      <c r="X10" s="142">
        <v>0</v>
      </c>
      <c r="Y10" s="142">
        <v>0</v>
      </c>
      <c r="Z10" s="142">
        <v>0</v>
      </c>
      <c r="AA10" s="142">
        <v>0</v>
      </c>
      <c r="AB10" s="142">
        <v>0</v>
      </c>
      <c r="AC10" s="142">
        <v>0</v>
      </c>
      <c r="AD10" s="142">
        <v>0</v>
      </c>
      <c r="AE10" s="142">
        <v>0.26314621594237098</v>
      </c>
      <c r="AF10" s="142">
        <v>9.2814046381742808E-3</v>
      </c>
      <c r="AG10" s="142">
        <v>5.0339715695269197E-2</v>
      </c>
      <c r="AH10" s="142">
        <v>0</v>
      </c>
      <c r="AI10" s="142">
        <v>0.72787433904467103</v>
      </c>
      <c r="AJ10" s="142">
        <v>0</v>
      </c>
      <c r="AK10" s="142">
        <v>0</v>
      </c>
      <c r="AL10" s="142">
        <v>9.7329561648980505</v>
      </c>
      <c r="AM10" s="142">
        <v>0</v>
      </c>
      <c r="AN10" s="142">
        <v>4.0894430779366902</v>
      </c>
      <c r="AO10" s="142">
        <v>1.30709160742287</v>
      </c>
      <c r="AP10" s="142">
        <v>0.22387904201362999</v>
      </c>
      <c r="AQ10" s="142">
        <v>0</v>
      </c>
      <c r="AR10" s="142">
        <v>0</v>
      </c>
      <c r="AS10" s="142">
        <v>0</v>
      </c>
      <c r="AT10" s="143">
        <v>0.13345409894594901</v>
      </c>
    </row>
    <row r="11" spans="2:46" ht="12" customHeight="1" x14ac:dyDescent="0.25">
      <c r="B11" s="141" t="s">
        <v>39</v>
      </c>
      <c r="C11" s="142" t="s">
        <v>42</v>
      </c>
      <c r="D11" s="142" t="s">
        <v>25</v>
      </c>
      <c r="E11" s="142" t="s">
        <v>25</v>
      </c>
      <c r="F11" s="142" t="s">
        <v>25</v>
      </c>
      <c r="G11" s="142" t="s">
        <v>35</v>
      </c>
      <c r="H11" s="142" t="s">
        <v>83</v>
      </c>
      <c r="I11" s="142" t="s">
        <v>25</v>
      </c>
      <c r="J11" s="142">
        <v>0.11</v>
      </c>
      <c r="K11" s="142">
        <v>0</v>
      </c>
      <c r="L11" s="142">
        <v>0</v>
      </c>
      <c r="M11" s="142">
        <v>0</v>
      </c>
      <c r="N11" s="142">
        <v>0</v>
      </c>
      <c r="O11" s="142">
        <v>0</v>
      </c>
      <c r="P11" s="142">
        <v>0</v>
      </c>
      <c r="Q11" s="142">
        <v>0</v>
      </c>
      <c r="R11" s="142">
        <v>0</v>
      </c>
      <c r="S11" s="142">
        <v>0</v>
      </c>
      <c r="T11" s="142">
        <v>9.9468176104006101E-2</v>
      </c>
      <c r="U11" s="142">
        <v>1.34277159375454E-2</v>
      </c>
      <c r="V11" s="142">
        <v>0</v>
      </c>
      <c r="W11" s="142">
        <v>0</v>
      </c>
      <c r="X11" s="142">
        <v>0</v>
      </c>
      <c r="Y11" s="142">
        <v>0</v>
      </c>
      <c r="Z11" s="142">
        <v>0</v>
      </c>
      <c r="AA11" s="142">
        <v>0</v>
      </c>
      <c r="AB11" s="142">
        <v>0</v>
      </c>
      <c r="AC11" s="142">
        <v>0</v>
      </c>
      <c r="AD11" s="142">
        <v>0</v>
      </c>
      <c r="AE11" s="142">
        <v>0</v>
      </c>
      <c r="AF11" s="142">
        <v>0</v>
      </c>
      <c r="AG11" s="142">
        <v>0</v>
      </c>
      <c r="AH11" s="142">
        <v>0</v>
      </c>
      <c r="AI11" s="142">
        <v>0</v>
      </c>
      <c r="AJ11" s="142">
        <v>0</v>
      </c>
      <c r="AK11" s="142">
        <v>0</v>
      </c>
      <c r="AL11" s="142">
        <v>0</v>
      </c>
      <c r="AM11" s="142">
        <v>0</v>
      </c>
      <c r="AN11" s="142">
        <v>0</v>
      </c>
      <c r="AO11" s="142">
        <v>0</v>
      </c>
      <c r="AP11" s="142">
        <v>0</v>
      </c>
      <c r="AQ11" s="142">
        <v>0</v>
      </c>
      <c r="AR11" s="142">
        <v>0</v>
      </c>
      <c r="AS11" s="142">
        <v>0</v>
      </c>
      <c r="AT11" s="143">
        <v>0</v>
      </c>
    </row>
    <row r="12" spans="2:46" ht="12" customHeight="1" x14ac:dyDescent="0.25">
      <c r="B12" s="141" t="s">
        <v>39</v>
      </c>
      <c r="C12" s="142" t="s">
        <v>59</v>
      </c>
      <c r="D12" s="142" t="s">
        <v>25</v>
      </c>
      <c r="E12" s="142" t="s">
        <v>25</v>
      </c>
      <c r="F12" s="142" t="s">
        <v>25</v>
      </c>
      <c r="G12" s="142" t="s">
        <v>25</v>
      </c>
      <c r="H12" s="142" t="s">
        <v>83</v>
      </c>
      <c r="I12" s="142" t="s">
        <v>25</v>
      </c>
      <c r="J12" s="142">
        <v>0</v>
      </c>
      <c r="K12" s="142">
        <v>0</v>
      </c>
      <c r="L12" s="142">
        <v>0</v>
      </c>
      <c r="M12" s="142">
        <v>0</v>
      </c>
      <c r="N12" s="142">
        <v>0</v>
      </c>
      <c r="O12" s="142">
        <v>0</v>
      </c>
      <c r="P12" s="142">
        <v>0</v>
      </c>
      <c r="Q12" s="142">
        <v>0</v>
      </c>
      <c r="R12" s="142">
        <v>0</v>
      </c>
      <c r="S12" s="142">
        <v>0</v>
      </c>
      <c r="T12" s="142">
        <v>0</v>
      </c>
      <c r="U12" s="142">
        <v>0</v>
      </c>
      <c r="V12" s="142">
        <v>0</v>
      </c>
      <c r="W12" s="142">
        <v>0</v>
      </c>
      <c r="X12" s="142">
        <v>0</v>
      </c>
      <c r="Y12" s="142">
        <v>0</v>
      </c>
      <c r="Z12" s="142">
        <v>0</v>
      </c>
      <c r="AA12" s="142">
        <v>0</v>
      </c>
      <c r="AB12" s="142">
        <v>0</v>
      </c>
      <c r="AC12" s="142">
        <v>0</v>
      </c>
      <c r="AD12" s="142">
        <v>0</v>
      </c>
      <c r="AE12" s="142">
        <v>1.27205254002398E-4</v>
      </c>
      <c r="AF12" s="142">
        <v>0</v>
      </c>
      <c r="AG12" s="142">
        <v>0</v>
      </c>
      <c r="AH12" s="142">
        <v>0</v>
      </c>
      <c r="AI12" s="142">
        <v>0</v>
      </c>
      <c r="AJ12" s="142">
        <v>0</v>
      </c>
      <c r="AK12" s="142">
        <v>0</v>
      </c>
      <c r="AL12" s="142">
        <v>0</v>
      </c>
      <c r="AM12" s="142">
        <v>0</v>
      </c>
      <c r="AN12" s="142">
        <v>0</v>
      </c>
      <c r="AO12" s="142">
        <v>0</v>
      </c>
      <c r="AP12" s="142">
        <v>0</v>
      </c>
      <c r="AQ12" s="142">
        <v>0</v>
      </c>
      <c r="AR12" s="142">
        <v>0</v>
      </c>
      <c r="AS12" s="142">
        <v>0</v>
      </c>
      <c r="AT12" s="143">
        <v>0</v>
      </c>
    </row>
    <row r="13" spans="2:46" ht="12" customHeight="1" x14ac:dyDescent="0.25">
      <c r="B13" s="141" t="s">
        <v>39</v>
      </c>
      <c r="C13" s="142" t="s">
        <v>40</v>
      </c>
      <c r="D13" s="142" t="s">
        <v>25</v>
      </c>
      <c r="E13" s="142" t="s">
        <v>25</v>
      </c>
      <c r="F13" s="142" t="s">
        <v>87</v>
      </c>
      <c r="G13" s="142" t="s">
        <v>34</v>
      </c>
      <c r="H13" s="142" t="s">
        <v>80</v>
      </c>
      <c r="I13" s="142" t="s">
        <v>25</v>
      </c>
      <c r="J13" s="142">
        <v>7.93</v>
      </c>
      <c r="K13" s="142">
        <v>0</v>
      </c>
      <c r="L13" s="142">
        <v>0</v>
      </c>
      <c r="M13" s="142">
        <v>0</v>
      </c>
      <c r="N13" s="142">
        <v>0</v>
      </c>
      <c r="O13" s="142">
        <v>0</v>
      </c>
      <c r="P13" s="142">
        <v>0</v>
      </c>
      <c r="Q13" s="142">
        <v>0</v>
      </c>
      <c r="R13" s="142">
        <v>0</v>
      </c>
      <c r="S13" s="142">
        <v>0</v>
      </c>
      <c r="T13" s="142">
        <v>6.7425657221159296</v>
      </c>
      <c r="U13" s="142">
        <v>0.86384096620522199</v>
      </c>
      <c r="V13" s="142">
        <v>0</v>
      </c>
      <c r="W13" s="142">
        <v>0</v>
      </c>
      <c r="X13" s="142">
        <v>0</v>
      </c>
      <c r="Y13" s="142">
        <v>0</v>
      </c>
      <c r="Z13" s="142">
        <v>0</v>
      </c>
      <c r="AA13" s="142">
        <v>0</v>
      </c>
      <c r="AB13" s="142">
        <v>0</v>
      </c>
      <c r="AC13" s="142">
        <v>0</v>
      </c>
      <c r="AD13" s="142">
        <v>0</v>
      </c>
      <c r="AE13" s="142">
        <v>0.26314621594237098</v>
      </c>
      <c r="AF13" s="142">
        <v>9.2814046381742808E-3</v>
      </c>
      <c r="AG13" s="142">
        <v>5.0339715695269197E-2</v>
      </c>
      <c r="AH13" s="142">
        <v>0</v>
      </c>
      <c r="AI13" s="142">
        <v>0</v>
      </c>
      <c r="AJ13" s="142">
        <v>0</v>
      </c>
      <c r="AK13" s="142">
        <v>0</v>
      </c>
      <c r="AL13" s="142">
        <v>0</v>
      </c>
      <c r="AM13" s="142">
        <v>0</v>
      </c>
      <c r="AN13" s="142">
        <v>0</v>
      </c>
      <c r="AO13" s="142">
        <v>0</v>
      </c>
      <c r="AP13" s="142">
        <v>0</v>
      </c>
      <c r="AQ13" s="142">
        <v>0</v>
      </c>
      <c r="AR13" s="142">
        <v>0</v>
      </c>
      <c r="AS13" s="142">
        <v>0</v>
      </c>
      <c r="AT13" s="143">
        <v>0</v>
      </c>
    </row>
    <row r="14" spans="2:46" ht="12" customHeight="1" x14ac:dyDescent="0.25">
      <c r="B14" s="141" t="s">
        <v>39</v>
      </c>
      <c r="C14" s="142" t="s">
        <v>40</v>
      </c>
      <c r="D14" s="142" t="s">
        <v>25</v>
      </c>
      <c r="E14" s="142" t="s">
        <v>25</v>
      </c>
      <c r="F14" s="142" t="s">
        <v>87</v>
      </c>
      <c r="G14" s="142" t="s">
        <v>25</v>
      </c>
      <c r="H14" s="142" t="s">
        <v>83</v>
      </c>
      <c r="I14" s="142" t="s">
        <v>25</v>
      </c>
      <c r="J14" s="142">
        <v>0.11</v>
      </c>
      <c r="K14" s="142">
        <v>0</v>
      </c>
      <c r="L14" s="142">
        <v>0</v>
      </c>
      <c r="M14" s="142">
        <v>0</v>
      </c>
      <c r="N14" s="142">
        <v>0</v>
      </c>
      <c r="O14" s="142">
        <v>0</v>
      </c>
      <c r="P14" s="142">
        <v>0</v>
      </c>
      <c r="Q14" s="142">
        <v>0</v>
      </c>
      <c r="R14" s="142">
        <v>0</v>
      </c>
      <c r="S14" s="142">
        <v>0</v>
      </c>
      <c r="T14" s="142">
        <v>9.9468176104006101E-2</v>
      </c>
      <c r="U14" s="142">
        <v>1.34277159375454E-2</v>
      </c>
      <c r="V14" s="142">
        <v>0</v>
      </c>
      <c r="W14" s="142">
        <v>0</v>
      </c>
      <c r="X14" s="142">
        <v>0</v>
      </c>
      <c r="Y14" s="142">
        <v>0</v>
      </c>
      <c r="Z14" s="142">
        <v>0</v>
      </c>
      <c r="AA14" s="142">
        <v>0</v>
      </c>
      <c r="AB14" s="142">
        <v>0</v>
      </c>
      <c r="AC14" s="142">
        <v>0</v>
      </c>
      <c r="AD14" s="142">
        <v>0</v>
      </c>
      <c r="AE14" s="142">
        <v>0</v>
      </c>
      <c r="AF14" s="142">
        <v>0</v>
      </c>
      <c r="AG14" s="142">
        <v>0</v>
      </c>
      <c r="AH14" s="142">
        <v>0</v>
      </c>
      <c r="AI14" s="142">
        <v>0</v>
      </c>
      <c r="AJ14" s="142">
        <v>0</v>
      </c>
      <c r="AK14" s="142">
        <v>0</v>
      </c>
      <c r="AL14" s="142">
        <v>0</v>
      </c>
      <c r="AM14" s="142">
        <v>0</v>
      </c>
      <c r="AN14" s="142">
        <v>0</v>
      </c>
      <c r="AO14" s="142">
        <v>0</v>
      </c>
      <c r="AP14" s="142">
        <v>0</v>
      </c>
      <c r="AQ14" s="142">
        <v>0</v>
      </c>
      <c r="AR14" s="142">
        <v>0</v>
      </c>
      <c r="AS14" s="142">
        <v>0</v>
      </c>
      <c r="AT14" s="143">
        <v>0</v>
      </c>
    </row>
    <row r="15" spans="2:46" ht="12" customHeight="1" x14ac:dyDescent="0.25">
      <c r="B15" s="141" t="s">
        <v>39</v>
      </c>
      <c r="C15" s="142" t="s">
        <v>40</v>
      </c>
      <c r="D15" s="142" t="s">
        <v>25</v>
      </c>
      <c r="E15" s="142" t="s">
        <v>25</v>
      </c>
      <c r="F15" s="142" t="s">
        <v>87</v>
      </c>
      <c r="G15" s="142" t="s">
        <v>35</v>
      </c>
      <c r="H15" s="142" t="s">
        <v>80</v>
      </c>
      <c r="I15" s="142" t="s">
        <v>25</v>
      </c>
      <c r="J15" s="142">
        <v>0.32</v>
      </c>
      <c r="K15" s="142">
        <v>0</v>
      </c>
      <c r="L15" s="142">
        <v>0</v>
      </c>
      <c r="M15" s="142">
        <v>0</v>
      </c>
      <c r="N15" s="142">
        <v>0</v>
      </c>
      <c r="O15" s="142">
        <v>0</v>
      </c>
      <c r="P15" s="142">
        <v>0</v>
      </c>
      <c r="Q15" s="142">
        <v>0</v>
      </c>
      <c r="R15" s="142">
        <v>0</v>
      </c>
      <c r="S15" s="142">
        <v>0</v>
      </c>
      <c r="T15" s="142">
        <v>0</v>
      </c>
      <c r="U15" s="142">
        <v>0</v>
      </c>
      <c r="V15" s="142">
        <v>0</v>
      </c>
      <c r="W15" s="142">
        <v>0</v>
      </c>
      <c r="X15" s="142">
        <v>0</v>
      </c>
      <c r="Y15" s="142">
        <v>0</v>
      </c>
      <c r="Z15" s="142">
        <v>0</v>
      </c>
      <c r="AA15" s="142">
        <v>0</v>
      </c>
      <c r="AB15" s="142">
        <v>0</v>
      </c>
      <c r="AC15" s="142">
        <v>0</v>
      </c>
      <c r="AD15" s="142">
        <v>0</v>
      </c>
      <c r="AE15" s="142">
        <v>0.26314621594237098</v>
      </c>
      <c r="AF15" s="142">
        <v>9.2814046381742808E-3</v>
      </c>
      <c r="AG15" s="142">
        <v>5.0339715695269197E-2</v>
      </c>
      <c r="AH15" s="142">
        <v>0</v>
      </c>
      <c r="AI15" s="142">
        <v>0</v>
      </c>
      <c r="AJ15" s="142">
        <v>0</v>
      </c>
      <c r="AK15" s="142">
        <v>0</v>
      </c>
      <c r="AL15" s="142">
        <v>0</v>
      </c>
      <c r="AM15" s="142">
        <v>0</v>
      </c>
      <c r="AN15" s="142">
        <v>0</v>
      </c>
      <c r="AO15" s="142">
        <v>0</v>
      </c>
      <c r="AP15" s="142">
        <v>0</v>
      </c>
      <c r="AQ15" s="142">
        <v>0</v>
      </c>
      <c r="AR15" s="142">
        <v>0</v>
      </c>
      <c r="AS15" s="142">
        <v>0</v>
      </c>
      <c r="AT15" s="143">
        <v>0</v>
      </c>
    </row>
    <row r="16" spans="2:46" ht="12" customHeight="1" x14ac:dyDescent="0.25">
      <c r="B16" s="141" t="s">
        <v>39</v>
      </c>
      <c r="C16" s="142" t="s">
        <v>40</v>
      </c>
      <c r="D16" s="142" t="s">
        <v>25</v>
      </c>
      <c r="E16" s="142" t="s">
        <v>25</v>
      </c>
      <c r="F16" s="142" t="s">
        <v>25</v>
      </c>
      <c r="G16" s="142" t="s">
        <v>34</v>
      </c>
      <c r="H16" s="142" t="s">
        <v>80</v>
      </c>
      <c r="I16" s="142" t="s">
        <v>25</v>
      </c>
      <c r="J16" s="142">
        <v>35.24</v>
      </c>
      <c r="K16" s="142">
        <v>19.16</v>
      </c>
      <c r="L16" s="142">
        <v>0.38119237254600102</v>
      </c>
      <c r="M16" s="142">
        <v>0</v>
      </c>
      <c r="N16" s="142">
        <v>0</v>
      </c>
      <c r="O16" s="142">
        <v>0</v>
      </c>
      <c r="P16" s="142">
        <v>0</v>
      </c>
      <c r="Q16" s="142">
        <v>21.943018261352002</v>
      </c>
      <c r="R16" s="142">
        <v>4.9842864118200296</v>
      </c>
      <c r="S16" s="142">
        <v>0</v>
      </c>
      <c r="T16" s="142">
        <v>6.7425657221159296</v>
      </c>
      <c r="U16" s="142">
        <v>0.86384096620522199</v>
      </c>
      <c r="V16" s="142">
        <v>0</v>
      </c>
      <c r="W16" s="142">
        <v>0</v>
      </c>
      <c r="X16" s="142">
        <v>0</v>
      </c>
      <c r="Y16" s="142">
        <v>0</v>
      </c>
      <c r="Z16" s="142">
        <v>0</v>
      </c>
      <c r="AA16" s="142">
        <v>0</v>
      </c>
      <c r="AB16" s="142">
        <v>0</v>
      </c>
      <c r="AC16" s="142">
        <v>0</v>
      </c>
      <c r="AD16" s="142">
        <v>0</v>
      </c>
      <c r="AE16" s="142">
        <v>0.26314621594237098</v>
      </c>
      <c r="AF16" s="142">
        <v>9.2814046381742808E-3</v>
      </c>
      <c r="AG16" s="142">
        <v>5.0339715695269197E-2</v>
      </c>
      <c r="AH16" s="142">
        <v>0</v>
      </c>
      <c r="AI16" s="142">
        <v>0.72787433904467103</v>
      </c>
      <c r="AJ16" s="142">
        <v>0</v>
      </c>
      <c r="AK16" s="142">
        <v>0</v>
      </c>
      <c r="AL16" s="142">
        <v>9.7329561648980505</v>
      </c>
      <c r="AM16" s="142">
        <v>0</v>
      </c>
      <c r="AN16" s="142">
        <v>7.0338420940511002</v>
      </c>
      <c r="AO16" s="142">
        <v>1.30709160742287</v>
      </c>
      <c r="AP16" s="142">
        <v>0.22387904201362999</v>
      </c>
      <c r="AQ16" s="142">
        <v>0</v>
      </c>
      <c r="AR16" s="142">
        <v>0</v>
      </c>
      <c r="AS16" s="142">
        <v>0</v>
      </c>
      <c r="AT16" s="143">
        <v>0.13345409894594901</v>
      </c>
    </row>
    <row r="17" spans="2:46" ht="12" customHeight="1" x14ac:dyDescent="0.25">
      <c r="B17" s="141" t="s">
        <v>39</v>
      </c>
      <c r="C17" s="142" t="s">
        <v>40</v>
      </c>
      <c r="D17" s="142" t="s">
        <v>25</v>
      </c>
      <c r="E17" s="142" t="s">
        <v>25</v>
      </c>
      <c r="F17" s="142" t="s">
        <v>25</v>
      </c>
      <c r="G17" s="142" t="s">
        <v>25</v>
      </c>
      <c r="H17" s="142" t="s">
        <v>83</v>
      </c>
      <c r="I17" s="142" t="s">
        <v>25</v>
      </c>
      <c r="J17" s="142">
        <v>0.11</v>
      </c>
      <c r="K17" s="142">
        <v>0</v>
      </c>
      <c r="L17" s="142">
        <v>0</v>
      </c>
      <c r="M17" s="142">
        <v>0</v>
      </c>
      <c r="N17" s="142">
        <v>0</v>
      </c>
      <c r="O17" s="142">
        <v>0</v>
      </c>
      <c r="P17" s="142">
        <v>0</v>
      </c>
      <c r="Q17" s="142">
        <v>0</v>
      </c>
      <c r="R17" s="142">
        <v>0</v>
      </c>
      <c r="S17" s="142">
        <v>0</v>
      </c>
      <c r="T17" s="142">
        <v>9.9468176104006101E-2</v>
      </c>
      <c r="U17" s="142">
        <v>1.34277159375454E-2</v>
      </c>
      <c r="V17" s="142">
        <v>0</v>
      </c>
      <c r="W17" s="142">
        <v>0</v>
      </c>
      <c r="X17" s="142">
        <v>0</v>
      </c>
      <c r="Y17" s="142">
        <v>0</v>
      </c>
      <c r="Z17" s="142">
        <v>0</v>
      </c>
      <c r="AA17" s="142">
        <v>0</v>
      </c>
      <c r="AB17" s="142">
        <v>0</v>
      </c>
      <c r="AC17" s="142">
        <v>0</v>
      </c>
      <c r="AD17" s="142">
        <v>0</v>
      </c>
      <c r="AE17" s="142">
        <v>0</v>
      </c>
      <c r="AF17" s="142">
        <v>0</v>
      </c>
      <c r="AG17" s="142">
        <v>0</v>
      </c>
      <c r="AH17" s="142">
        <v>0</v>
      </c>
      <c r="AI17" s="142">
        <v>0</v>
      </c>
      <c r="AJ17" s="142">
        <v>0</v>
      </c>
      <c r="AK17" s="142">
        <v>0</v>
      </c>
      <c r="AL17" s="142">
        <v>0</v>
      </c>
      <c r="AM17" s="142">
        <v>0</v>
      </c>
      <c r="AN17" s="142">
        <v>0</v>
      </c>
      <c r="AO17" s="142">
        <v>0</v>
      </c>
      <c r="AP17" s="142">
        <v>0</v>
      </c>
      <c r="AQ17" s="142">
        <v>0</v>
      </c>
      <c r="AR17" s="142">
        <v>0</v>
      </c>
      <c r="AS17" s="142">
        <v>0</v>
      </c>
      <c r="AT17" s="143">
        <v>0</v>
      </c>
    </row>
    <row r="18" spans="2:46" ht="12" customHeight="1" x14ac:dyDescent="0.25">
      <c r="B18" s="141" t="s">
        <v>39</v>
      </c>
      <c r="C18" s="142" t="s">
        <v>40</v>
      </c>
      <c r="D18" s="142" t="s">
        <v>25</v>
      </c>
      <c r="E18" s="142" t="s">
        <v>25</v>
      </c>
      <c r="F18" s="142" t="s">
        <v>25</v>
      </c>
      <c r="G18" s="142" t="s">
        <v>35</v>
      </c>
      <c r="H18" s="142" t="s">
        <v>80</v>
      </c>
      <c r="I18" s="142" t="s">
        <v>25</v>
      </c>
      <c r="J18" s="142">
        <v>27.63</v>
      </c>
      <c r="K18" s="142">
        <v>16.21</v>
      </c>
      <c r="L18" s="142">
        <v>0.38119237254600102</v>
      </c>
      <c r="M18" s="142">
        <v>0</v>
      </c>
      <c r="N18" s="142">
        <v>0</v>
      </c>
      <c r="O18" s="142">
        <v>0</v>
      </c>
      <c r="P18" s="142">
        <v>0</v>
      </c>
      <c r="Q18" s="142">
        <v>21.943018261352002</v>
      </c>
      <c r="R18" s="142">
        <v>4.9842864118200296</v>
      </c>
      <c r="S18" s="142">
        <v>0</v>
      </c>
      <c r="T18" s="142">
        <v>0</v>
      </c>
      <c r="U18" s="142">
        <v>0</v>
      </c>
      <c r="V18" s="142">
        <v>0</v>
      </c>
      <c r="W18" s="142">
        <v>0</v>
      </c>
      <c r="X18" s="142">
        <v>0</v>
      </c>
      <c r="Y18" s="142">
        <v>0</v>
      </c>
      <c r="Z18" s="142">
        <v>0</v>
      </c>
      <c r="AA18" s="142">
        <v>0</v>
      </c>
      <c r="AB18" s="142">
        <v>0</v>
      </c>
      <c r="AC18" s="142">
        <v>0</v>
      </c>
      <c r="AD18" s="142">
        <v>0</v>
      </c>
      <c r="AE18" s="142">
        <v>0.26314621594237098</v>
      </c>
      <c r="AF18" s="142">
        <v>9.2814046381742808E-3</v>
      </c>
      <c r="AG18" s="142">
        <v>5.0339715695269197E-2</v>
      </c>
      <c r="AH18" s="142">
        <v>0</v>
      </c>
      <c r="AI18" s="142">
        <v>0.72787433904467103</v>
      </c>
      <c r="AJ18" s="142">
        <v>0</v>
      </c>
      <c r="AK18" s="142">
        <v>0</v>
      </c>
      <c r="AL18" s="142">
        <v>9.7329561648980505</v>
      </c>
      <c r="AM18" s="142">
        <v>0</v>
      </c>
      <c r="AN18" s="142">
        <v>4.0894430779366902</v>
      </c>
      <c r="AO18" s="142">
        <v>1.30709160742287</v>
      </c>
      <c r="AP18" s="142">
        <v>0.22387904201362999</v>
      </c>
      <c r="AQ18" s="142">
        <v>0</v>
      </c>
      <c r="AR18" s="142">
        <v>0</v>
      </c>
      <c r="AS18" s="142">
        <v>0</v>
      </c>
      <c r="AT18" s="143">
        <v>0.13345409894594901</v>
      </c>
    </row>
    <row r="19" spans="2:46" ht="12" customHeight="1" x14ac:dyDescent="0.25">
      <c r="B19" s="141" t="s">
        <v>88</v>
      </c>
      <c r="C19" s="142" t="s">
        <v>59</v>
      </c>
      <c r="D19" s="142" t="s">
        <v>25</v>
      </c>
      <c r="E19" s="142" t="s">
        <v>25</v>
      </c>
      <c r="F19" s="142" t="s">
        <v>89</v>
      </c>
      <c r="G19" s="142" t="s">
        <v>25</v>
      </c>
      <c r="H19" s="142" t="s">
        <v>83</v>
      </c>
      <c r="I19" s="142" t="s">
        <v>25</v>
      </c>
      <c r="J19" s="142">
        <v>0</v>
      </c>
      <c r="K19" s="142">
        <v>0</v>
      </c>
      <c r="L19" s="142">
        <v>0</v>
      </c>
      <c r="M19" s="142">
        <v>0</v>
      </c>
      <c r="N19" s="142">
        <v>0</v>
      </c>
      <c r="O19" s="142">
        <v>0</v>
      </c>
      <c r="P19" s="142">
        <v>0</v>
      </c>
      <c r="Q19" s="142">
        <v>0</v>
      </c>
      <c r="R19" s="142">
        <v>0</v>
      </c>
      <c r="S19" s="142">
        <v>0</v>
      </c>
      <c r="T19" s="142">
        <v>0</v>
      </c>
      <c r="U19" s="142">
        <v>0</v>
      </c>
      <c r="V19" s="142">
        <v>0</v>
      </c>
      <c r="W19" s="142">
        <v>0</v>
      </c>
      <c r="X19" s="142">
        <v>0</v>
      </c>
      <c r="Y19" s="142">
        <v>0</v>
      </c>
      <c r="Z19" s="142">
        <v>0</v>
      </c>
      <c r="AA19" s="142">
        <v>0</v>
      </c>
      <c r="AB19" s="142">
        <v>0</v>
      </c>
      <c r="AC19" s="142">
        <v>0</v>
      </c>
      <c r="AD19" s="142">
        <v>0</v>
      </c>
      <c r="AE19" s="142">
        <v>0</v>
      </c>
      <c r="AF19" s="142">
        <v>0</v>
      </c>
      <c r="AG19" s="142">
        <v>0</v>
      </c>
      <c r="AH19" s="142">
        <v>0</v>
      </c>
      <c r="AI19" s="142">
        <v>0</v>
      </c>
      <c r="AJ19" s="142">
        <v>0</v>
      </c>
      <c r="AK19" s="142">
        <v>0</v>
      </c>
      <c r="AL19" s="142">
        <v>0</v>
      </c>
      <c r="AM19" s="142">
        <v>0</v>
      </c>
      <c r="AN19" s="142">
        <v>0</v>
      </c>
      <c r="AO19" s="142">
        <v>0</v>
      </c>
      <c r="AP19" s="142">
        <v>0</v>
      </c>
      <c r="AQ19" s="142">
        <v>0</v>
      </c>
      <c r="AR19" s="142">
        <v>0</v>
      </c>
      <c r="AS19" s="142">
        <v>0</v>
      </c>
      <c r="AT19" s="143">
        <v>0</v>
      </c>
    </row>
    <row r="20" spans="2:46" ht="12" customHeight="1" x14ac:dyDescent="0.25">
      <c r="B20" s="141" t="s">
        <v>88</v>
      </c>
      <c r="C20" s="142" t="s">
        <v>59</v>
      </c>
      <c r="D20" s="142" t="s">
        <v>25</v>
      </c>
      <c r="E20" s="142" t="s">
        <v>25</v>
      </c>
      <c r="F20" s="142" t="s">
        <v>90</v>
      </c>
      <c r="G20" s="142" t="s">
        <v>25</v>
      </c>
      <c r="H20" s="142" t="s">
        <v>83</v>
      </c>
      <c r="I20" s="142" t="s">
        <v>25</v>
      </c>
      <c r="J20" s="142">
        <v>0</v>
      </c>
      <c r="K20" s="142">
        <v>0</v>
      </c>
      <c r="L20" s="142">
        <v>0</v>
      </c>
      <c r="M20" s="142">
        <v>0</v>
      </c>
      <c r="N20" s="142">
        <v>0</v>
      </c>
      <c r="O20" s="142">
        <v>0</v>
      </c>
      <c r="P20" s="142">
        <v>0</v>
      </c>
      <c r="Q20" s="142">
        <v>0</v>
      </c>
      <c r="R20" s="142">
        <v>0</v>
      </c>
      <c r="S20" s="142">
        <v>0</v>
      </c>
      <c r="T20" s="142">
        <v>0</v>
      </c>
      <c r="U20" s="142">
        <v>0</v>
      </c>
      <c r="V20" s="142">
        <v>0</v>
      </c>
      <c r="W20" s="142">
        <v>0</v>
      </c>
      <c r="X20" s="142">
        <v>0</v>
      </c>
      <c r="Y20" s="142">
        <v>0</v>
      </c>
      <c r="Z20" s="142">
        <v>0</v>
      </c>
      <c r="AA20" s="142">
        <v>0</v>
      </c>
      <c r="AB20" s="142">
        <v>0</v>
      </c>
      <c r="AC20" s="142">
        <v>0</v>
      </c>
      <c r="AD20" s="142">
        <v>0</v>
      </c>
      <c r="AE20" s="142">
        <v>0</v>
      </c>
      <c r="AF20" s="142">
        <v>0</v>
      </c>
      <c r="AG20" s="142">
        <v>0</v>
      </c>
      <c r="AH20" s="142">
        <v>0</v>
      </c>
      <c r="AI20" s="142">
        <v>0</v>
      </c>
      <c r="AJ20" s="142">
        <v>0</v>
      </c>
      <c r="AK20" s="142">
        <v>0</v>
      </c>
      <c r="AL20" s="142">
        <v>0</v>
      </c>
      <c r="AM20" s="142">
        <v>0</v>
      </c>
      <c r="AN20" s="142">
        <v>0</v>
      </c>
      <c r="AO20" s="142">
        <v>0</v>
      </c>
      <c r="AP20" s="142">
        <v>0</v>
      </c>
      <c r="AQ20" s="142">
        <v>0</v>
      </c>
      <c r="AR20" s="142">
        <v>0</v>
      </c>
      <c r="AS20" s="142">
        <v>0</v>
      </c>
      <c r="AT20" s="143">
        <v>0</v>
      </c>
    </row>
    <row r="21" spans="2:46" ht="12" customHeight="1" x14ac:dyDescent="0.25">
      <c r="B21" s="141" t="s">
        <v>22</v>
      </c>
      <c r="C21" s="142" t="s">
        <v>33</v>
      </c>
      <c r="D21" s="142" t="s">
        <v>24</v>
      </c>
      <c r="E21" s="142" t="s">
        <v>24</v>
      </c>
      <c r="F21" s="142" t="s">
        <v>25</v>
      </c>
      <c r="G21" s="142" t="s">
        <v>34</v>
      </c>
      <c r="H21" s="142" t="s">
        <v>80</v>
      </c>
      <c r="I21" s="142" t="s">
        <v>25</v>
      </c>
      <c r="J21" s="142">
        <v>36.47</v>
      </c>
      <c r="K21" s="142">
        <v>19.16</v>
      </c>
      <c r="L21" s="142">
        <v>0.45380044350714399</v>
      </c>
      <c r="M21" s="142">
        <v>0</v>
      </c>
      <c r="N21" s="142">
        <v>0</v>
      </c>
      <c r="O21" s="142">
        <v>0</v>
      </c>
      <c r="P21" s="142">
        <v>0</v>
      </c>
      <c r="Q21" s="142">
        <v>26.122640787323899</v>
      </c>
      <c r="R21" s="142">
        <v>4.9842864118200296</v>
      </c>
      <c r="S21" s="142">
        <v>0</v>
      </c>
      <c r="T21" s="142">
        <v>3.8240664790750198</v>
      </c>
      <c r="U21" s="142">
        <v>0.50446693742819904</v>
      </c>
      <c r="V21" s="142">
        <v>0</v>
      </c>
      <c r="W21" s="142">
        <v>0</v>
      </c>
      <c r="X21" s="142">
        <v>0</v>
      </c>
      <c r="Y21" s="142">
        <v>0</v>
      </c>
      <c r="Z21" s="142">
        <v>0</v>
      </c>
      <c r="AA21" s="142">
        <v>0</v>
      </c>
      <c r="AB21" s="142">
        <v>0</v>
      </c>
      <c r="AC21" s="142">
        <v>0</v>
      </c>
      <c r="AD21" s="142">
        <v>0</v>
      </c>
      <c r="AE21" s="142">
        <v>0.494619880617998</v>
      </c>
      <c r="AF21" s="142">
        <v>1.7445689795161201E-2</v>
      </c>
      <c r="AG21" s="142">
        <v>6.6368544856576298E-2</v>
      </c>
      <c r="AH21" s="142">
        <v>0</v>
      </c>
      <c r="AI21" s="142">
        <v>0.72787433904467103</v>
      </c>
      <c r="AJ21" s="142">
        <v>0</v>
      </c>
      <c r="AK21" s="142">
        <v>0</v>
      </c>
      <c r="AL21" s="142">
        <v>9.7329561648980505</v>
      </c>
      <c r="AM21" s="142">
        <v>0</v>
      </c>
      <c r="AN21" s="142">
        <v>7.0338420940511002</v>
      </c>
      <c r="AO21" s="142">
        <v>1.30709160742287</v>
      </c>
      <c r="AP21" s="142">
        <v>0.22387904201362999</v>
      </c>
      <c r="AQ21" s="142">
        <v>0</v>
      </c>
      <c r="AR21" s="142">
        <v>0</v>
      </c>
      <c r="AS21" s="142">
        <v>0</v>
      </c>
      <c r="AT21" s="143">
        <v>0.13345409894594901</v>
      </c>
    </row>
    <row r="22" spans="2:46" ht="12" customHeight="1" x14ac:dyDescent="0.25">
      <c r="B22" s="141" t="s">
        <v>22</v>
      </c>
      <c r="C22" s="142" t="s">
        <v>33</v>
      </c>
      <c r="D22" s="142" t="s">
        <v>24</v>
      </c>
      <c r="E22" s="142" t="s">
        <v>24</v>
      </c>
      <c r="F22" s="142" t="s">
        <v>25</v>
      </c>
      <c r="G22" s="142" t="s">
        <v>36</v>
      </c>
      <c r="H22" s="142" t="s">
        <v>80</v>
      </c>
      <c r="I22" s="142" t="s">
        <v>25</v>
      </c>
      <c r="J22" s="142">
        <v>34.74</v>
      </c>
      <c r="K22" s="142">
        <v>16.21</v>
      </c>
      <c r="L22" s="142">
        <v>0.45380044350714399</v>
      </c>
      <c r="M22" s="142">
        <v>0</v>
      </c>
      <c r="N22" s="142">
        <v>0</v>
      </c>
      <c r="O22" s="142">
        <v>0</v>
      </c>
      <c r="P22" s="142">
        <v>0</v>
      </c>
      <c r="Q22" s="142">
        <v>26.122640787323899</v>
      </c>
      <c r="R22" s="142">
        <v>4.9842864118200296</v>
      </c>
      <c r="S22" s="142">
        <v>0</v>
      </c>
      <c r="T22" s="142">
        <v>2.2944364052753601</v>
      </c>
      <c r="U22" s="142">
        <v>0.30267806027047101</v>
      </c>
      <c r="V22" s="142">
        <v>0</v>
      </c>
      <c r="W22" s="142">
        <v>0</v>
      </c>
      <c r="X22" s="142">
        <v>0</v>
      </c>
      <c r="Y22" s="142">
        <v>0</v>
      </c>
      <c r="Z22" s="142">
        <v>0</v>
      </c>
      <c r="AA22" s="142">
        <v>0</v>
      </c>
      <c r="AB22" s="142">
        <v>0</v>
      </c>
      <c r="AC22" s="142">
        <v>0</v>
      </c>
      <c r="AD22" s="142">
        <v>0</v>
      </c>
      <c r="AE22" s="142">
        <v>0.494619880617998</v>
      </c>
      <c r="AF22" s="142">
        <v>1.7445689795161201E-2</v>
      </c>
      <c r="AG22" s="142">
        <v>6.6368544856576298E-2</v>
      </c>
      <c r="AH22" s="142">
        <v>0</v>
      </c>
      <c r="AI22" s="142">
        <v>0.72787433904467103</v>
      </c>
      <c r="AJ22" s="142">
        <v>0</v>
      </c>
      <c r="AK22" s="142">
        <v>0</v>
      </c>
      <c r="AL22" s="142">
        <v>9.7329561648980505</v>
      </c>
      <c r="AM22" s="142">
        <v>0</v>
      </c>
      <c r="AN22" s="142">
        <v>4.0894430779366902</v>
      </c>
      <c r="AO22" s="142">
        <v>1.30709160742287</v>
      </c>
      <c r="AP22" s="142">
        <v>0.22387904201362999</v>
      </c>
      <c r="AQ22" s="142">
        <v>0</v>
      </c>
      <c r="AR22" s="142">
        <v>0</v>
      </c>
      <c r="AS22" s="142">
        <v>0</v>
      </c>
      <c r="AT22" s="143">
        <v>0.13345409894594901</v>
      </c>
    </row>
    <row r="23" spans="2:46" ht="12" customHeight="1" x14ac:dyDescent="0.25">
      <c r="B23" s="141" t="s">
        <v>22</v>
      </c>
      <c r="C23" s="142" t="s">
        <v>33</v>
      </c>
      <c r="D23" s="142" t="s">
        <v>24</v>
      </c>
      <c r="E23" s="142" t="s">
        <v>24</v>
      </c>
      <c r="F23" s="142" t="s">
        <v>25</v>
      </c>
      <c r="G23" s="142" t="s">
        <v>35</v>
      </c>
      <c r="H23" s="142" t="s">
        <v>80</v>
      </c>
      <c r="I23" s="142" t="s">
        <v>25</v>
      </c>
      <c r="J23" s="142">
        <v>33</v>
      </c>
      <c r="K23" s="142">
        <v>16.21</v>
      </c>
      <c r="L23" s="142">
        <v>0.45380044350714399</v>
      </c>
      <c r="M23" s="142">
        <v>0</v>
      </c>
      <c r="N23" s="142">
        <v>0</v>
      </c>
      <c r="O23" s="142">
        <v>0</v>
      </c>
      <c r="P23" s="142">
        <v>0</v>
      </c>
      <c r="Q23" s="142">
        <v>26.122640787323899</v>
      </c>
      <c r="R23" s="142">
        <v>4.9842864118200296</v>
      </c>
      <c r="S23" s="142">
        <v>0</v>
      </c>
      <c r="T23" s="142">
        <v>0.76481213509178703</v>
      </c>
      <c r="U23" s="142">
        <v>0.100894438578864</v>
      </c>
      <c r="V23" s="142">
        <v>0</v>
      </c>
      <c r="W23" s="142">
        <v>0</v>
      </c>
      <c r="X23" s="142">
        <v>0</v>
      </c>
      <c r="Y23" s="142">
        <v>0</v>
      </c>
      <c r="Z23" s="142">
        <v>0</v>
      </c>
      <c r="AA23" s="142">
        <v>0</v>
      </c>
      <c r="AB23" s="142">
        <v>0</v>
      </c>
      <c r="AC23" s="142">
        <v>0</v>
      </c>
      <c r="AD23" s="142">
        <v>0</v>
      </c>
      <c r="AE23" s="142">
        <v>0.494619880617998</v>
      </c>
      <c r="AF23" s="142">
        <v>1.7445689795161201E-2</v>
      </c>
      <c r="AG23" s="142">
        <v>6.6368544856576298E-2</v>
      </c>
      <c r="AH23" s="142">
        <v>0</v>
      </c>
      <c r="AI23" s="142">
        <v>0.72787433904467103</v>
      </c>
      <c r="AJ23" s="142">
        <v>0</v>
      </c>
      <c r="AK23" s="142">
        <v>0</v>
      </c>
      <c r="AL23" s="142">
        <v>9.7329561648980505</v>
      </c>
      <c r="AM23" s="142">
        <v>0</v>
      </c>
      <c r="AN23" s="142">
        <v>4.0894430779366902</v>
      </c>
      <c r="AO23" s="142">
        <v>1.30709160742287</v>
      </c>
      <c r="AP23" s="142">
        <v>0.22387904201362999</v>
      </c>
      <c r="AQ23" s="142">
        <v>0</v>
      </c>
      <c r="AR23" s="142">
        <v>0</v>
      </c>
      <c r="AS23" s="142">
        <v>0</v>
      </c>
      <c r="AT23" s="143">
        <v>0.13345409894594901</v>
      </c>
    </row>
    <row r="24" spans="2:46" ht="12" customHeight="1" x14ac:dyDescent="0.25">
      <c r="B24" s="141" t="s">
        <v>22</v>
      </c>
      <c r="C24" s="142" t="s">
        <v>23</v>
      </c>
      <c r="D24" s="142" t="s">
        <v>24</v>
      </c>
      <c r="E24" s="142" t="s">
        <v>1318</v>
      </c>
      <c r="F24" s="142" t="s">
        <v>25</v>
      </c>
      <c r="G24" s="142" t="s">
        <v>25</v>
      </c>
      <c r="H24" s="142" t="s">
        <v>80</v>
      </c>
      <c r="I24" s="142" t="s">
        <v>25</v>
      </c>
      <c r="J24" s="142">
        <v>1.95</v>
      </c>
      <c r="K24" s="142">
        <v>16.46</v>
      </c>
      <c r="L24" s="142">
        <v>0</v>
      </c>
      <c r="M24" s="142">
        <v>0</v>
      </c>
      <c r="N24" s="142">
        <v>0</v>
      </c>
      <c r="O24" s="142">
        <v>0</v>
      </c>
      <c r="P24" s="142">
        <v>0</v>
      </c>
      <c r="Q24" s="142">
        <v>0</v>
      </c>
      <c r="R24" s="142">
        <v>0</v>
      </c>
      <c r="S24" s="142">
        <v>0</v>
      </c>
      <c r="T24" s="142">
        <v>1.2139888057111701</v>
      </c>
      <c r="U24" s="142">
        <v>0.16014981908603601</v>
      </c>
      <c r="V24" s="142">
        <v>0</v>
      </c>
      <c r="W24" s="142">
        <v>0</v>
      </c>
      <c r="X24" s="142">
        <v>0</v>
      </c>
      <c r="Y24" s="142">
        <v>0</v>
      </c>
      <c r="Z24" s="142">
        <v>0</v>
      </c>
      <c r="AA24" s="142">
        <v>0</v>
      </c>
      <c r="AB24" s="142">
        <v>0</v>
      </c>
      <c r="AC24" s="142">
        <v>0</v>
      </c>
      <c r="AD24" s="142">
        <v>0</v>
      </c>
      <c r="AE24" s="142">
        <v>0.494619880617998</v>
      </c>
      <c r="AF24" s="142">
        <v>1.7445689795161201E-2</v>
      </c>
      <c r="AG24" s="142">
        <v>6.6368544856576298E-2</v>
      </c>
      <c r="AH24" s="142">
        <v>0</v>
      </c>
      <c r="AI24" s="142">
        <v>0.72787433904467103</v>
      </c>
      <c r="AJ24" s="142">
        <v>0</v>
      </c>
      <c r="AK24" s="142">
        <v>0</v>
      </c>
      <c r="AL24" s="142">
        <v>9.7329561648980505</v>
      </c>
      <c r="AM24" s="142">
        <v>0</v>
      </c>
      <c r="AN24" s="142">
        <v>4.3348096626128898</v>
      </c>
      <c r="AO24" s="142">
        <v>1.30709160742287</v>
      </c>
      <c r="AP24" s="142">
        <v>0.22387904201362999</v>
      </c>
      <c r="AQ24" s="142">
        <v>0</v>
      </c>
      <c r="AR24" s="142">
        <v>0</v>
      </c>
      <c r="AS24" s="142">
        <v>0</v>
      </c>
      <c r="AT24" s="143">
        <v>0.13345409894594901</v>
      </c>
    </row>
    <row r="25" spans="2:46" ht="12" customHeight="1" x14ac:dyDescent="0.25">
      <c r="B25" s="141" t="s">
        <v>22</v>
      </c>
      <c r="C25" s="142" t="s">
        <v>23</v>
      </c>
      <c r="D25" s="142" t="s">
        <v>24</v>
      </c>
      <c r="E25" s="142" t="s">
        <v>24</v>
      </c>
      <c r="F25" s="142" t="s">
        <v>25</v>
      </c>
      <c r="G25" s="142" t="s">
        <v>25</v>
      </c>
      <c r="H25" s="142" t="s">
        <v>80</v>
      </c>
      <c r="I25" s="142" t="s">
        <v>25</v>
      </c>
      <c r="J25" s="142">
        <v>33.51</v>
      </c>
      <c r="K25" s="142">
        <v>16.46</v>
      </c>
      <c r="L25" s="142">
        <v>0.45380044350714399</v>
      </c>
      <c r="M25" s="142">
        <v>0</v>
      </c>
      <c r="N25" s="142">
        <v>0</v>
      </c>
      <c r="O25" s="142">
        <v>0</v>
      </c>
      <c r="P25" s="142">
        <v>0</v>
      </c>
      <c r="Q25" s="142">
        <v>26.122640787323899</v>
      </c>
      <c r="R25" s="142">
        <v>4.9842864118200296</v>
      </c>
      <c r="S25" s="142">
        <v>0</v>
      </c>
      <c r="T25" s="142">
        <v>1.2139888057111701</v>
      </c>
      <c r="U25" s="142">
        <v>0.16014981908603601</v>
      </c>
      <c r="V25" s="142">
        <v>0</v>
      </c>
      <c r="W25" s="142">
        <v>0</v>
      </c>
      <c r="X25" s="142">
        <v>0</v>
      </c>
      <c r="Y25" s="142">
        <v>0</v>
      </c>
      <c r="Z25" s="142">
        <v>0</v>
      </c>
      <c r="AA25" s="142">
        <v>0</v>
      </c>
      <c r="AB25" s="142">
        <v>0</v>
      </c>
      <c r="AC25" s="142">
        <v>0</v>
      </c>
      <c r="AD25" s="142">
        <v>0</v>
      </c>
      <c r="AE25" s="142">
        <v>0.494619880617998</v>
      </c>
      <c r="AF25" s="142">
        <v>1.7445689795161201E-2</v>
      </c>
      <c r="AG25" s="142">
        <v>6.6368544856576298E-2</v>
      </c>
      <c r="AH25" s="142">
        <v>0</v>
      </c>
      <c r="AI25" s="142">
        <v>0.72787433904467103</v>
      </c>
      <c r="AJ25" s="142">
        <v>0</v>
      </c>
      <c r="AK25" s="142">
        <v>0</v>
      </c>
      <c r="AL25" s="142">
        <v>9.7329561648980505</v>
      </c>
      <c r="AM25" s="142">
        <v>0</v>
      </c>
      <c r="AN25" s="142">
        <v>4.3348096626128898</v>
      </c>
      <c r="AO25" s="142">
        <v>1.30709160742287</v>
      </c>
      <c r="AP25" s="142">
        <v>0.22387904201362999</v>
      </c>
      <c r="AQ25" s="142">
        <v>0</v>
      </c>
      <c r="AR25" s="142">
        <v>0</v>
      </c>
      <c r="AS25" s="142">
        <v>0</v>
      </c>
      <c r="AT25" s="143">
        <v>0.13345409894594901</v>
      </c>
    </row>
    <row r="26" spans="2:46" ht="12" customHeight="1" x14ac:dyDescent="0.25">
      <c r="B26" s="141" t="s">
        <v>22</v>
      </c>
      <c r="C26" s="142" t="s">
        <v>94</v>
      </c>
      <c r="D26" s="142" t="s">
        <v>24</v>
      </c>
      <c r="E26" s="142" t="s">
        <v>1318</v>
      </c>
      <c r="F26" s="142" t="s">
        <v>25</v>
      </c>
      <c r="G26" s="142" t="s">
        <v>25</v>
      </c>
      <c r="H26" s="142" t="s">
        <v>80</v>
      </c>
      <c r="I26" s="142" t="s">
        <v>25</v>
      </c>
      <c r="J26" s="142">
        <v>1.95</v>
      </c>
      <c r="K26" s="142">
        <v>16.46</v>
      </c>
      <c r="L26" s="142">
        <v>0</v>
      </c>
      <c r="M26" s="142">
        <v>0</v>
      </c>
      <c r="N26" s="142">
        <v>0</v>
      </c>
      <c r="O26" s="142">
        <v>0</v>
      </c>
      <c r="P26" s="142">
        <v>0</v>
      </c>
      <c r="Q26" s="142">
        <v>0</v>
      </c>
      <c r="R26" s="142">
        <v>0</v>
      </c>
      <c r="S26" s="142">
        <v>0</v>
      </c>
      <c r="T26" s="142">
        <v>1.2139888057111701</v>
      </c>
      <c r="U26" s="142">
        <v>0.16014981908603601</v>
      </c>
      <c r="V26" s="142">
        <v>0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0</v>
      </c>
      <c r="AE26" s="142">
        <v>0.494619880617998</v>
      </c>
      <c r="AF26" s="142">
        <v>1.7445689795161201E-2</v>
      </c>
      <c r="AG26" s="142">
        <v>6.6368544856576298E-2</v>
      </c>
      <c r="AH26" s="142">
        <v>0</v>
      </c>
      <c r="AI26" s="142">
        <v>0.72787433904467103</v>
      </c>
      <c r="AJ26" s="142">
        <v>0</v>
      </c>
      <c r="AK26" s="142">
        <v>0</v>
      </c>
      <c r="AL26" s="142">
        <v>9.7329561648980505</v>
      </c>
      <c r="AM26" s="142">
        <v>0</v>
      </c>
      <c r="AN26" s="142">
        <v>4.3348096626128898</v>
      </c>
      <c r="AO26" s="142">
        <v>1.30709160742287</v>
      </c>
      <c r="AP26" s="142">
        <v>0.22387904201362999</v>
      </c>
      <c r="AQ26" s="142">
        <v>0</v>
      </c>
      <c r="AR26" s="142">
        <v>0</v>
      </c>
      <c r="AS26" s="142">
        <v>0</v>
      </c>
      <c r="AT26" s="143">
        <v>0.13345409894594901</v>
      </c>
    </row>
    <row r="27" spans="2:46" ht="12" customHeight="1" x14ac:dyDescent="0.25">
      <c r="B27" s="141" t="s">
        <v>22</v>
      </c>
      <c r="C27" s="142" t="s">
        <v>94</v>
      </c>
      <c r="D27" s="142" t="s">
        <v>24</v>
      </c>
      <c r="E27" s="142" t="s">
        <v>24</v>
      </c>
      <c r="F27" s="142" t="s">
        <v>25</v>
      </c>
      <c r="G27" s="142" t="s">
        <v>25</v>
      </c>
      <c r="H27" s="142" t="s">
        <v>80</v>
      </c>
      <c r="I27" s="142" t="s">
        <v>25</v>
      </c>
      <c r="J27" s="142">
        <v>33.51</v>
      </c>
      <c r="K27" s="142">
        <v>16.46</v>
      </c>
      <c r="L27" s="142">
        <v>0.45380044350714399</v>
      </c>
      <c r="M27" s="142">
        <v>0</v>
      </c>
      <c r="N27" s="142">
        <v>0</v>
      </c>
      <c r="O27" s="142">
        <v>0</v>
      </c>
      <c r="P27" s="142">
        <v>0</v>
      </c>
      <c r="Q27" s="142">
        <v>26.122640787323899</v>
      </c>
      <c r="R27" s="142">
        <v>4.9842864118200296</v>
      </c>
      <c r="S27" s="142">
        <v>0</v>
      </c>
      <c r="T27" s="142">
        <v>1.2139888057111701</v>
      </c>
      <c r="U27" s="142">
        <v>0.16014981908603601</v>
      </c>
      <c r="V27" s="142">
        <v>0</v>
      </c>
      <c r="W27" s="142">
        <v>0</v>
      </c>
      <c r="X27" s="142">
        <v>0</v>
      </c>
      <c r="Y27" s="142">
        <v>0</v>
      </c>
      <c r="Z27" s="142">
        <v>0</v>
      </c>
      <c r="AA27" s="142">
        <v>0</v>
      </c>
      <c r="AB27" s="142">
        <v>0</v>
      </c>
      <c r="AC27" s="142">
        <v>0</v>
      </c>
      <c r="AD27" s="142">
        <v>0</v>
      </c>
      <c r="AE27" s="142">
        <v>0.494619880617998</v>
      </c>
      <c r="AF27" s="142">
        <v>1.7445689795161201E-2</v>
      </c>
      <c r="AG27" s="142">
        <v>6.6368544856576298E-2</v>
      </c>
      <c r="AH27" s="142">
        <v>0</v>
      </c>
      <c r="AI27" s="142">
        <v>0.72787433904467103</v>
      </c>
      <c r="AJ27" s="142">
        <v>0</v>
      </c>
      <c r="AK27" s="142">
        <v>0</v>
      </c>
      <c r="AL27" s="142">
        <v>9.7329561648980505</v>
      </c>
      <c r="AM27" s="142">
        <v>0</v>
      </c>
      <c r="AN27" s="142">
        <v>4.3348096626128898</v>
      </c>
      <c r="AO27" s="142">
        <v>1.30709160742287</v>
      </c>
      <c r="AP27" s="142">
        <v>0.22387904201362999</v>
      </c>
      <c r="AQ27" s="142">
        <v>0</v>
      </c>
      <c r="AR27" s="142">
        <v>0</v>
      </c>
      <c r="AS27" s="142">
        <v>0</v>
      </c>
      <c r="AT27" s="143">
        <v>0.13345409894594901</v>
      </c>
    </row>
    <row r="28" spans="2:46" ht="12" customHeight="1" x14ac:dyDescent="0.25">
      <c r="B28" s="141" t="s">
        <v>43</v>
      </c>
      <c r="C28" s="142" t="s">
        <v>33</v>
      </c>
      <c r="D28" s="142" t="s">
        <v>44</v>
      </c>
      <c r="E28" s="142" t="s">
        <v>95</v>
      </c>
      <c r="F28" s="142" t="s">
        <v>25</v>
      </c>
      <c r="G28" s="142" t="s">
        <v>34</v>
      </c>
      <c r="H28" s="142" t="s">
        <v>80</v>
      </c>
      <c r="I28" s="142" t="s">
        <v>25</v>
      </c>
      <c r="J28" s="142">
        <v>34.799999999999997</v>
      </c>
      <c r="K28" s="142">
        <v>18.010000000000002</v>
      </c>
      <c r="L28" s="142">
        <v>0.42657241689671499</v>
      </c>
      <c r="M28" s="142">
        <v>0</v>
      </c>
      <c r="N28" s="142">
        <v>0</v>
      </c>
      <c r="O28" s="142">
        <v>0</v>
      </c>
      <c r="P28" s="142">
        <v>0</v>
      </c>
      <c r="Q28" s="142">
        <v>24.5552823400844</v>
      </c>
      <c r="R28" s="142">
        <v>4.6852292271108302</v>
      </c>
      <c r="S28" s="142">
        <v>0</v>
      </c>
      <c r="T28" s="142">
        <v>4.0510811901980999</v>
      </c>
      <c r="U28" s="142">
        <v>0.53441426513122603</v>
      </c>
      <c r="V28" s="142">
        <v>0</v>
      </c>
      <c r="W28" s="142">
        <v>0</v>
      </c>
      <c r="X28" s="142">
        <v>0</v>
      </c>
      <c r="Y28" s="142">
        <v>0</v>
      </c>
      <c r="Z28" s="142">
        <v>0</v>
      </c>
      <c r="AA28" s="142">
        <v>0</v>
      </c>
      <c r="AB28" s="142">
        <v>0</v>
      </c>
      <c r="AC28" s="142">
        <v>0</v>
      </c>
      <c r="AD28" s="142">
        <v>0</v>
      </c>
      <c r="AE28" s="142">
        <v>0.46494268778091802</v>
      </c>
      <c r="AF28" s="142">
        <v>1.63989484074515E-2</v>
      </c>
      <c r="AG28" s="142">
        <v>6.23864321651817E-2</v>
      </c>
      <c r="AH28" s="142">
        <v>0</v>
      </c>
      <c r="AI28" s="142">
        <v>0.68420187870199101</v>
      </c>
      <c r="AJ28" s="142">
        <v>0</v>
      </c>
      <c r="AK28" s="142">
        <v>0</v>
      </c>
      <c r="AL28" s="142">
        <v>9.1489787950041705</v>
      </c>
      <c r="AM28" s="142">
        <v>0</v>
      </c>
      <c r="AN28" s="142">
        <v>6.6118115684080401</v>
      </c>
      <c r="AO28" s="142">
        <v>1.2286661109774899</v>
      </c>
      <c r="AP28" s="142">
        <v>0.21044629949281199</v>
      </c>
      <c r="AQ28" s="142">
        <v>0</v>
      </c>
      <c r="AR28" s="142">
        <v>0</v>
      </c>
      <c r="AS28" s="142">
        <v>0</v>
      </c>
      <c r="AT28" s="143">
        <v>0.12544685300919201</v>
      </c>
    </row>
    <row r="29" spans="2:46" ht="12" customHeight="1" x14ac:dyDescent="0.25">
      <c r="B29" s="141" t="s">
        <v>43</v>
      </c>
      <c r="C29" s="142" t="s">
        <v>33</v>
      </c>
      <c r="D29" s="142" t="s">
        <v>44</v>
      </c>
      <c r="E29" s="142" t="s">
        <v>95</v>
      </c>
      <c r="F29" s="142" t="s">
        <v>25</v>
      </c>
      <c r="G29" s="142" t="s">
        <v>36</v>
      </c>
      <c r="H29" s="142" t="s">
        <v>80</v>
      </c>
      <c r="I29" s="142" t="s">
        <v>25</v>
      </c>
      <c r="J29" s="142">
        <v>32.96</v>
      </c>
      <c r="K29" s="142">
        <v>15.24</v>
      </c>
      <c r="L29" s="142">
        <v>0.42657241689671499</v>
      </c>
      <c r="M29" s="142">
        <v>0</v>
      </c>
      <c r="N29" s="142">
        <v>0</v>
      </c>
      <c r="O29" s="142">
        <v>0</v>
      </c>
      <c r="P29" s="142">
        <v>0</v>
      </c>
      <c r="Q29" s="142">
        <v>24.5552823400844</v>
      </c>
      <c r="R29" s="142">
        <v>4.6852292271108302</v>
      </c>
      <c r="S29" s="142">
        <v>0</v>
      </c>
      <c r="T29" s="142">
        <v>2.4306476230390301</v>
      </c>
      <c r="U29" s="142">
        <v>0.32064954710636601</v>
      </c>
      <c r="V29" s="142">
        <v>0</v>
      </c>
      <c r="W29" s="142">
        <v>0</v>
      </c>
      <c r="X29" s="142">
        <v>0</v>
      </c>
      <c r="Y29" s="142">
        <v>0</v>
      </c>
      <c r="Z29" s="142">
        <v>0</v>
      </c>
      <c r="AA29" s="142">
        <v>0</v>
      </c>
      <c r="AB29" s="142">
        <v>0</v>
      </c>
      <c r="AC29" s="142">
        <v>0</v>
      </c>
      <c r="AD29" s="142">
        <v>0</v>
      </c>
      <c r="AE29" s="142">
        <v>0.46494268778091802</v>
      </c>
      <c r="AF29" s="142">
        <v>1.63989484074515E-2</v>
      </c>
      <c r="AG29" s="142">
        <v>6.23864321651817E-2</v>
      </c>
      <c r="AH29" s="142">
        <v>0</v>
      </c>
      <c r="AI29" s="142">
        <v>0.68420187870199101</v>
      </c>
      <c r="AJ29" s="142">
        <v>0</v>
      </c>
      <c r="AK29" s="142">
        <v>0</v>
      </c>
      <c r="AL29" s="142">
        <v>9.1489787950041705</v>
      </c>
      <c r="AM29" s="142">
        <v>0</v>
      </c>
      <c r="AN29" s="142">
        <v>3.8440764932604901</v>
      </c>
      <c r="AO29" s="142">
        <v>1.2286661109774899</v>
      </c>
      <c r="AP29" s="142">
        <v>0.21044629949281199</v>
      </c>
      <c r="AQ29" s="142">
        <v>0</v>
      </c>
      <c r="AR29" s="142">
        <v>0</v>
      </c>
      <c r="AS29" s="142">
        <v>0</v>
      </c>
      <c r="AT29" s="143">
        <v>0.12544685300919201</v>
      </c>
    </row>
    <row r="30" spans="2:46" ht="12" customHeight="1" x14ac:dyDescent="0.25">
      <c r="B30" s="141" t="s">
        <v>43</v>
      </c>
      <c r="C30" s="142" t="s">
        <v>33</v>
      </c>
      <c r="D30" s="142" t="s">
        <v>44</v>
      </c>
      <c r="E30" s="142" t="s">
        <v>95</v>
      </c>
      <c r="F30" s="142" t="s">
        <v>25</v>
      </c>
      <c r="G30" s="142" t="s">
        <v>35</v>
      </c>
      <c r="H30" s="142" t="s">
        <v>80</v>
      </c>
      <c r="I30" s="142" t="s">
        <v>25</v>
      </c>
      <c r="J30" s="142">
        <v>31.13</v>
      </c>
      <c r="K30" s="142">
        <v>15.24</v>
      </c>
      <c r="L30" s="142">
        <v>0.42657241689671499</v>
      </c>
      <c r="M30" s="142">
        <v>0</v>
      </c>
      <c r="N30" s="142">
        <v>0</v>
      </c>
      <c r="O30" s="142">
        <v>0</v>
      </c>
      <c r="P30" s="142">
        <v>0</v>
      </c>
      <c r="Q30" s="142">
        <v>24.5552823400844</v>
      </c>
      <c r="R30" s="142">
        <v>4.6852292271108302</v>
      </c>
      <c r="S30" s="142">
        <v>0</v>
      </c>
      <c r="T30" s="142">
        <v>0.81021405587997097</v>
      </c>
      <c r="U30" s="142">
        <v>0.106884829081506</v>
      </c>
      <c r="V30" s="142">
        <v>0</v>
      </c>
      <c r="W30" s="142">
        <v>0</v>
      </c>
      <c r="X30" s="142">
        <v>0</v>
      </c>
      <c r="Y30" s="142">
        <v>0</v>
      </c>
      <c r="Z30" s="142">
        <v>0</v>
      </c>
      <c r="AA30" s="142">
        <v>0</v>
      </c>
      <c r="AB30" s="142">
        <v>0</v>
      </c>
      <c r="AC30" s="142">
        <v>0</v>
      </c>
      <c r="AD30" s="142">
        <v>0</v>
      </c>
      <c r="AE30" s="142">
        <v>0.46494268778091802</v>
      </c>
      <c r="AF30" s="142">
        <v>1.63989484074515E-2</v>
      </c>
      <c r="AG30" s="142">
        <v>6.23864321651817E-2</v>
      </c>
      <c r="AH30" s="142">
        <v>0</v>
      </c>
      <c r="AI30" s="142">
        <v>0.68420187870199101</v>
      </c>
      <c r="AJ30" s="142">
        <v>0</v>
      </c>
      <c r="AK30" s="142">
        <v>0</v>
      </c>
      <c r="AL30" s="142">
        <v>9.1489787950041705</v>
      </c>
      <c r="AM30" s="142">
        <v>0</v>
      </c>
      <c r="AN30" s="142">
        <v>3.8440764932604901</v>
      </c>
      <c r="AO30" s="142">
        <v>1.2286661109774899</v>
      </c>
      <c r="AP30" s="142">
        <v>0.21044629949281199</v>
      </c>
      <c r="AQ30" s="142">
        <v>0</v>
      </c>
      <c r="AR30" s="142">
        <v>0</v>
      </c>
      <c r="AS30" s="142">
        <v>0</v>
      </c>
      <c r="AT30" s="143">
        <v>0.12544685300919201</v>
      </c>
    </row>
    <row r="31" spans="2:46" ht="12" customHeight="1" x14ac:dyDescent="0.25">
      <c r="B31" s="141" t="s">
        <v>43</v>
      </c>
      <c r="C31" s="142" t="s">
        <v>33</v>
      </c>
      <c r="D31" s="142" t="s">
        <v>44</v>
      </c>
      <c r="E31" s="142" t="s">
        <v>25</v>
      </c>
      <c r="F31" s="142" t="s">
        <v>25</v>
      </c>
      <c r="G31" s="142" t="s">
        <v>34</v>
      </c>
      <c r="H31" s="142" t="s">
        <v>80</v>
      </c>
      <c r="I31" s="142" t="s">
        <v>25</v>
      </c>
      <c r="J31" s="142">
        <v>34.799999999999997</v>
      </c>
      <c r="K31" s="142">
        <v>18.010000000000002</v>
      </c>
      <c r="L31" s="142">
        <v>0.42657241689671499</v>
      </c>
      <c r="M31" s="142">
        <v>0</v>
      </c>
      <c r="N31" s="142">
        <v>0</v>
      </c>
      <c r="O31" s="142">
        <v>0</v>
      </c>
      <c r="P31" s="142">
        <v>0</v>
      </c>
      <c r="Q31" s="142">
        <v>24.5552823400844</v>
      </c>
      <c r="R31" s="142">
        <v>4.6852292271108302</v>
      </c>
      <c r="S31" s="142">
        <v>0</v>
      </c>
      <c r="T31" s="142">
        <v>4.0510811901980999</v>
      </c>
      <c r="U31" s="142">
        <v>0.53441426513122603</v>
      </c>
      <c r="V31" s="142">
        <v>0</v>
      </c>
      <c r="W31" s="142">
        <v>0</v>
      </c>
      <c r="X31" s="142">
        <v>0</v>
      </c>
      <c r="Y31" s="142">
        <v>0</v>
      </c>
      <c r="Z31" s="142">
        <v>0</v>
      </c>
      <c r="AA31" s="142">
        <v>0</v>
      </c>
      <c r="AB31" s="142">
        <v>0</v>
      </c>
      <c r="AC31" s="142">
        <v>0</v>
      </c>
      <c r="AD31" s="142">
        <v>0</v>
      </c>
      <c r="AE31" s="142">
        <v>0.46494268778091802</v>
      </c>
      <c r="AF31" s="142">
        <v>1.63989484074515E-2</v>
      </c>
      <c r="AG31" s="142">
        <v>6.23864321651817E-2</v>
      </c>
      <c r="AH31" s="142">
        <v>0</v>
      </c>
      <c r="AI31" s="142">
        <v>0.68420187870199101</v>
      </c>
      <c r="AJ31" s="142">
        <v>0</v>
      </c>
      <c r="AK31" s="142">
        <v>0</v>
      </c>
      <c r="AL31" s="142">
        <v>9.1489787950041705</v>
      </c>
      <c r="AM31" s="142">
        <v>0</v>
      </c>
      <c r="AN31" s="142">
        <v>6.6118115684080401</v>
      </c>
      <c r="AO31" s="142">
        <v>1.2286661109774899</v>
      </c>
      <c r="AP31" s="142">
        <v>0.21044629949281199</v>
      </c>
      <c r="AQ31" s="142">
        <v>0</v>
      </c>
      <c r="AR31" s="142">
        <v>0</v>
      </c>
      <c r="AS31" s="142">
        <v>0</v>
      </c>
      <c r="AT31" s="143">
        <v>0.12544685300919201</v>
      </c>
    </row>
    <row r="32" spans="2:46" ht="12" customHeight="1" x14ac:dyDescent="0.25">
      <c r="B32" s="141" t="s">
        <v>43</v>
      </c>
      <c r="C32" s="142" t="s">
        <v>33</v>
      </c>
      <c r="D32" s="142" t="s">
        <v>44</v>
      </c>
      <c r="E32" s="142" t="s">
        <v>25</v>
      </c>
      <c r="F32" s="142" t="s">
        <v>25</v>
      </c>
      <c r="G32" s="142" t="s">
        <v>36</v>
      </c>
      <c r="H32" s="142" t="s">
        <v>80</v>
      </c>
      <c r="I32" s="142" t="s">
        <v>25</v>
      </c>
      <c r="J32" s="142">
        <v>32.96</v>
      </c>
      <c r="K32" s="142">
        <v>15.24</v>
      </c>
      <c r="L32" s="142">
        <v>0.42657241689671499</v>
      </c>
      <c r="M32" s="142">
        <v>0</v>
      </c>
      <c r="N32" s="142">
        <v>0</v>
      </c>
      <c r="O32" s="142">
        <v>0</v>
      </c>
      <c r="P32" s="142">
        <v>0</v>
      </c>
      <c r="Q32" s="142">
        <v>24.5552823400844</v>
      </c>
      <c r="R32" s="142">
        <v>4.6852292271108302</v>
      </c>
      <c r="S32" s="142">
        <v>0</v>
      </c>
      <c r="T32" s="142">
        <v>2.4306476230390301</v>
      </c>
      <c r="U32" s="142">
        <v>0.32064954710636601</v>
      </c>
      <c r="V32" s="142">
        <v>0</v>
      </c>
      <c r="W32" s="142">
        <v>0</v>
      </c>
      <c r="X32" s="142">
        <v>0</v>
      </c>
      <c r="Y32" s="142">
        <v>0</v>
      </c>
      <c r="Z32" s="142">
        <v>0</v>
      </c>
      <c r="AA32" s="142">
        <v>0</v>
      </c>
      <c r="AB32" s="142">
        <v>0</v>
      </c>
      <c r="AC32" s="142">
        <v>0</v>
      </c>
      <c r="AD32" s="142">
        <v>0</v>
      </c>
      <c r="AE32" s="142">
        <v>0.46494268778091802</v>
      </c>
      <c r="AF32" s="142">
        <v>1.63989484074515E-2</v>
      </c>
      <c r="AG32" s="142">
        <v>6.23864321651817E-2</v>
      </c>
      <c r="AH32" s="142">
        <v>0</v>
      </c>
      <c r="AI32" s="142">
        <v>0.68420187870199101</v>
      </c>
      <c r="AJ32" s="142">
        <v>0</v>
      </c>
      <c r="AK32" s="142">
        <v>0</v>
      </c>
      <c r="AL32" s="142">
        <v>9.1489787950041705</v>
      </c>
      <c r="AM32" s="142">
        <v>0</v>
      </c>
      <c r="AN32" s="142">
        <v>3.8440764932604901</v>
      </c>
      <c r="AO32" s="142">
        <v>1.2286661109774899</v>
      </c>
      <c r="AP32" s="142">
        <v>0.21044629949281199</v>
      </c>
      <c r="AQ32" s="142">
        <v>0</v>
      </c>
      <c r="AR32" s="142">
        <v>0</v>
      </c>
      <c r="AS32" s="142">
        <v>0</v>
      </c>
      <c r="AT32" s="143">
        <v>0.12544685300919201</v>
      </c>
    </row>
    <row r="33" spans="2:46" ht="12" customHeight="1" x14ac:dyDescent="0.25">
      <c r="B33" s="141" t="s">
        <v>43</v>
      </c>
      <c r="C33" s="142" t="s">
        <v>33</v>
      </c>
      <c r="D33" s="142" t="s">
        <v>44</v>
      </c>
      <c r="E33" s="142" t="s">
        <v>25</v>
      </c>
      <c r="F33" s="142" t="s">
        <v>25</v>
      </c>
      <c r="G33" s="142" t="s">
        <v>35</v>
      </c>
      <c r="H33" s="142" t="s">
        <v>80</v>
      </c>
      <c r="I33" s="142" t="s">
        <v>25</v>
      </c>
      <c r="J33" s="142">
        <v>31.13</v>
      </c>
      <c r="K33" s="142">
        <v>15.24</v>
      </c>
      <c r="L33" s="142">
        <v>0.42657241689671499</v>
      </c>
      <c r="M33" s="142">
        <v>0</v>
      </c>
      <c r="N33" s="142">
        <v>0</v>
      </c>
      <c r="O33" s="142">
        <v>0</v>
      </c>
      <c r="P33" s="142">
        <v>0</v>
      </c>
      <c r="Q33" s="142">
        <v>24.5552823400844</v>
      </c>
      <c r="R33" s="142">
        <v>4.6852292271108302</v>
      </c>
      <c r="S33" s="142">
        <v>0</v>
      </c>
      <c r="T33" s="142">
        <v>0.81021405587997097</v>
      </c>
      <c r="U33" s="142">
        <v>0.106884829081506</v>
      </c>
      <c r="V33" s="142">
        <v>0</v>
      </c>
      <c r="W33" s="142">
        <v>0</v>
      </c>
      <c r="X33" s="142">
        <v>0</v>
      </c>
      <c r="Y33" s="142">
        <v>0</v>
      </c>
      <c r="Z33" s="142">
        <v>0</v>
      </c>
      <c r="AA33" s="142">
        <v>0</v>
      </c>
      <c r="AB33" s="142">
        <v>0</v>
      </c>
      <c r="AC33" s="142">
        <v>0</v>
      </c>
      <c r="AD33" s="142">
        <v>0</v>
      </c>
      <c r="AE33" s="142">
        <v>0.46494268778091802</v>
      </c>
      <c r="AF33" s="142">
        <v>1.63989484074515E-2</v>
      </c>
      <c r="AG33" s="142">
        <v>6.23864321651817E-2</v>
      </c>
      <c r="AH33" s="142">
        <v>0</v>
      </c>
      <c r="AI33" s="142">
        <v>0.68420187870199101</v>
      </c>
      <c r="AJ33" s="142">
        <v>0</v>
      </c>
      <c r="AK33" s="142">
        <v>0</v>
      </c>
      <c r="AL33" s="142">
        <v>9.1489787950041705</v>
      </c>
      <c r="AM33" s="142">
        <v>0</v>
      </c>
      <c r="AN33" s="142">
        <v>3.8440764932604901</v>
      </c>
      <c r="AO33" s="142">
        <v>1.2286661109774899</v>
      </c>
      <c r="AP33" s="142">
        <v>0.21044629949281199</v>
      </c>
      <c r="AQ33" s="142">
        <v>0</v>
      </c>
      <c r="AR33" s="142">
        <v>0</v>
      </c>
      <c r="AS33" s="142">
        <v>0</v>
      </c>
      <c r="AT33" s="143">
        <v>0.12544685300919201</v>
      </c>
    </row>
    <row r="34" spans="2:46" ht="12" customHeight="1" x14ac:dyDescent="0.25">
      <c r="B34" s="141" t="s">
        <v>43</v>
      </c>
      <c r="C34" s="142" t="s">
        <v>33</v>
      </c>
      <c r="D34" s="142" t="s">
        <v>44</v>
      </c>
      <c r="E34" s="142" t="s">
        <v>55</v>
      </c>
      <c r="F34" s="142" t="s">
        <v>25</v>
      </c>
      <c r="G34" s="142" t="s">
        <v>34</v>
      </c>
      <c r="H34" s="142" t="s">
        <v>80</v>
      </c>
      <c r="I34" s="142" t="s">
        <v>25</v>
      </c>
      <c r="J34" s="142">
        <v>34.06</v>
      </c>
      <c r="K34" s="142">
        <v>17.63</v>
      </c>
      <c r="L34" s="142">
        <v>0.41749640802657301</v>
      </c>
      <c r="M34" s="142">
        <v>0</v>
      </c>
      <c r="N34" s="142">
        <v>0</v>
      </c>
      <c r="O34" s="142">
        <v>0</v>
      </c>
      <c r="P34" s="142">
        <v>0</v>
      </c>
      <c r="Q34" s="142">
        <v>24.032829524337998</v>
      </c>
      <c r="R34" s="142">
        <v>4.5855434988744301</v>
      </c>
      <c r="S34" s="142">
        <v>0</v>
      </c>
      <c r="T34" s="142">
        <v>3.9648879733853701</v>
      </c>
      <c r="U34" s="142">
        <v>0.52304374885183802</v>
      </c>
      <c r="V34" s="142">
        <v>0</v>
      </c>
      <c r="W34" s="142">
        <v>0</v>
      </c>
      <c r="X34" s="142">
        <v>0</v>
      </c>
      <c r="Y34" s="142">
        <v>0</v>
      </c>
      <c r="Z34" s="142">
        <v>0</v>
      </c>
      <c r="AA34" s="142">
        <v>0</v>
      </c>
      <c r="AB34" s="142">
        <v>0</v>
      </c>
      <c r="AC34" s="142">
        <v>0</v>
      </c>
      <c r="AD34" s="142">
        <v>0</v>
      </c>
      <c r="AE34" s="142">
        <v>0.45505029016855802</v>
      </c>
      <c r="AF34" s="142">
        <v>1.6050034611548299E-2</v>
      </c>
      <c r="AG34" s="142">
        <v>6.1059061268050198E-2</v>
      </c>
      <c r="AH34" s="142">
        <v>0</v>
      </c>
      <c r="AI34" s="142">
        <v>0.66964439192109704</v>
      </c>
      <c r="AJ34" s="142">
        <v>0</v>
      </c>
      <c r="AK34" s="142">
        <v>0</v>
      </c>
      <c r="AL34" s="142">
        <v>8.9543196717062106</v>
      </c>
      <c r="AM34" s="142">
        <v>0</v>
      </c>
      <c r="AN34" s="142">
        <v>6.4711347265270103</v>
      </c>
      <c r="AO34" s="142">
        <v>1.20252427882904</v>
      </c>
      <c r="AP34" s="142">
        <v>0.20596871865253899</v>
      </c>
      <c r="AQ34" s="142">
        <v>0</v>
      </c>
      <c r="AR34" s="142">
        <v>0</v>
      </c>
      <c r="AS34" s="142">
        <v>0</v>
      </c>
      <c r="AT34" s="143">
        <v>0.122777771030273</v>
      </c>
    </row>
    <row r="35" spans="2:46" ht="12" customHeight="1" x14ac:dyDescent="0.25">
      <c r="B35" s="141" t="s">
        <v>43</v>
      </c>
      <c r="C35" s="142" t="s">
        <v>33</v>
      </c>
      <c r="D35" s="142" t="s">
        <v>44</v>
      </c>
      <c r="E35" s="142" t="s">
        <v>55</v>
      </c>
      <c r="F35" s="142" t="s">
        <v>25</v>
      </c>
      <c r="G35" s="142" t="s">
        <v>36</v>
      </c>
      <c r="H35" s="142" t="s">
        <v>80</v>
      </c>
      <c r="I35" s="142" t="s">
        <v>25</v>
      </c>
      <c r="J35" s="142">
        <v>32.26</v>
      </c>
      <c r="K35" s="142">
        <v>14.92</v>
      </c>
      <c r="L35" s="142">
        <v>0.41749640802657301</v>
      </c>
      <c r="M35" s="142">
        <v>0</v>
      </c>
      <c r="N35" s="142">
        <v>0</v>
      </c>
      <c r="O35" s="142">
        <v>0</v>
      </c>
      <c r="P35" s="142">
        <v>0</v>
      </c>
      <c r="Q35" s="142">
        <v>24.032829524337998</v>
      </c>
      <c r="R35" s="142">
        <v>4.5855434988744301</v>
      </c>
      <c r="S35" s="142">
        <v>0</v>
      </c>
      <c r="T35" s="142">
        <v>2.3789317161658601</v>
      </c>
      <c r="U35" s="142">
        <v>0.313827216316869</v>
      </c>
      <c r="V35" s="142">
        <v>0</v>
      </c>
      <c r="W35" s="142">
        <v>0</v>
      </c>
      <c r="X35" s="142">
        <v>0</v>
      </c>
      <c r="Y35" s="142">
        <v>0</v>
      </c>
      <c r="Z35" s="142">
        <v>0</v>
      </c>
      <c r="AA35" s="142">
        <v>0</v>
      </c>
      <c r="AB35" s="142">
        <v>0</v>
      </c>
      <c r="AC35" s="142">
        <v>0</v>
      </c>
      <c r="AD35" s="142">
        <v>0</v>
      </c>
      <c r="AE35" s="142">
        <v>0.45505029016855802</v>
      </c>
      <c r="AF35" s="142">
        <v>1.6050034611548299E-2</v>
      </c>
      <c r="AG35" s="142">
        <v>6.1059061268050198E-2</v>
      </c>
      <c r="AH35" s="142">
        <v>0</v>
      </c>
      <c r="AI35" s="142">
        <v>0.66964439192109704</v>
      </c>
      <c r="AJ35" s="142">
        <v>0</v>
      </c>
      <c r="AK35" s="142">
        <v>0</v>
      </c>
      <c r="AL35" s="142">
        <v>8.9543196717062106</v>
      </c>
      <c r="AM35" s="142">
        <v>0</v>
      </c>
      <c r="AN35" s="142">
        <v>3.7622876317017502</v>
      </c>
      <c r="AO35" s="142">
        <v>1.20252427882904</v>
      </c>
      <c r="AP35" s="142">
        <v>0.20596871865253899</v>
      </c>
      <c r="AQ35" s="142">
        <v>0</v>
      </c>
      <c r="AR35" s="142">
        <v>0</v>
      </c>
      <c r="AS35" s="142">
        <v>0</v>
      </c>
      <c r="AT35" s="143">
        <v>0.122777771030273</v>
      </c>
    </row>
    <row r="36" spans="2:46" ht="12" customHeight="1" x14ac:dyDescent="0.25">
      <c r="B36" s="141" t="s">
        <v>43</v>
      </c>
      <c r="C36" s="142" t="s">
        <v>33</v>
      </c>
      <c r="D36" s="142" t="s">
        <v>44</v>
      </c>
      <c r="E36" s="142" t="s">
        <v>55</v>
      </c>
      <c r="F36" s="142" t="s">
        <v>25</v>
      </c>
      <c r="G36" s="142" t="s">
        <v>35</v>
      </c>
      <c r="H36" s="142" t="s">
        <v>80</v>
      </c>
      <c r="I36" s="142" t="s">
        <v>25</v>
      </c>
      <c r="J36" s="142">
        <v>30.47</v>
      </c>
      <c r="K36" s="142">
        <v>14.92</v>
      </c>
      <c r="L36" s="142">
        <v>0.41749640802657301</v>
      </c>
      <c r="M36" s="142">
        <v>0</v>
      </c>
      <c r="N36" s="142">
        <v>0</v>
      </c>
      <c r="O36" s="142">
        <v>0</v>
      </c>
      <c r="P36" s="142">
        <v>0</v>
      </c>
      <c r="Q36" s="142">
        <v>24.032829524337998</v>
      </c>
      <c r="R36" s="142">
        <v>4.5855434988744301</v>
      </c>
      <c r="S36" s="142">
        <v>0</v>
      </c>
      <c r="T36" s="142">
        <v>0.79297545894635502</v>
      </c>
      <c r="U36" s="142">
        <v>0.1046106837819</v>
      </c>
      <c r="V36" s="142">
        <v>0</v>
      </c>
      <c r="W36" s="142">
        <v>0</v>
      </c>
      <c r="X36" s="142">
        <v>0</v>
      </c>
      <c r="Y36" s="142">
        <v>0</v>
      </c>
      <c r="Z36" s="142">
        <v>0</v>
      </c>
      <c r="AA36" s="142">
        <v>0</v>
      </c>
      <c r="AB36" s="142">
        <v>0</v>
      </c>
      <c r="AC36" s="142">
        <v>0</v>
      </c>
      <c r="AD36" s="142">
        <v>0</v>
      </c>
      <c r="AE36" s="142">
        <v>0.45505029016855802</v>
      </c>
      <c r="AF36" s="142">
        <v>1.6050034611548299E-2</v>
      </c>
      <c r="AG36" s="142">
        <v>6.1059061268050198E-2</v>
      </c>
      <c r="AH36" s="142">
        <v>0</v>
      </c>
      <c r="AI36" s="142">
        <v>0.66964439192109704</v>
      </c>
      <c r="AJ36" s="142">
        <v>0</v>
      </c>
      <c r="AK36" s="142">
        <v>0</v>
      </c>
      <c r="AL36" s="142">
        <v>8.9543196717062106</v>
      </c>
      <c r="AM36" s="142">
        <v>0</v>
      </c>
      <c r="AN36" s="142">
        <v>3.7622876317017502</v>
      </c>
      <c r="AO36" s="142">
        <v>1.20252427882904</v>
      </c>
      <c r="AP36" s="142">
        <v>0.20596871865253899</v>
      </c>
      <c r="AQ36" s="142">
        <v>0</v>
      </c>
      <c r="AR36" s="142">
        <v>0</v>
      </c>
      <c r="AS36" s="142">
        <v>0</v>
      </c>
      <c r="AT36" s="143">
        <v>0.122777771030273</v>
      </c>
    </row>
    <row r="37" spans="2:46" ht="12" customHeight="1" x14ac:dyDescent="0.25">
      <c r="B37" s="141" t="s">
        <v>43</v>
      </c>
      <c r="C37" s="142" t="s">
        <v>23</v>
      </c>
      <c r="D37" s="142" t="s">
        <v>44</v>
      </c>
      <c r="E37" s="142" t="s">
        <v>95</v>
      </c>
      <c r="F37" s="142" t="s">
        <v>25</v>
      </c>
      <c r="G37" s="142" t="s">
        <v>25</v>
      </c>
      <c r="H37" s="142" t="s">
        <v>80</v>
      </c>
      <c r="I37" s="142" t="s">
        <v>25</v>
      </c>
      <c r="J37" s="142">
        <v>31.5</v>
      </c>
      <c r="K37" s="142">
        <v>15.47</v>
      </c>
      <c r="L37" s="142">
        <v>0.42657241689671499</v>
      </c>
      <c r="M37" s="142">
        <v>0</v>
      </c>
      <c r="N37" s="142">
        <v>0</v>
      </c>
      <c r="O37" s="142">
        <v>0</v>
      </c>
      <c r="P37" s="142">
        <v>0</v>
      </c>
      <c r="Q37" s="142">
        <v>24.5552823400844</v>
      </c>
      <c r="R37" s="142">
        <v>4.6852292271108302</v>
      </c>
      <c r="S37" s="142">
        <v>0</v>
      </c>
      <c r="T37" s="142">
        <v>1.1411494773685</v>
      </c>
      <c r="U37" s="142">
        <v>0.150540829940874</v>
      </c>
      <c r="V37" s="142">
        <v>0</v>
      </c>
      <c r="W37" s="142">
        <v>0</v>
      </c>
      <c r="X37" s="142">
        <v>0</v>
      </c>
      <c r="Y37" s="142">
        <v>0</v>
      </c>
      <c r="Z37" s="142">
        <v>0</v>
      </c>
      <c r="AA37" s="142">
        <v>0</v>
      </c>
      <c r="AB37" s="142">
        <v>0</v>
      </c>
      <c r="AC37" s="142">
        <v>0</v>
      </c>
      <c r="AD37" s="142">
        <v>0</v>
      </c>
      <c r="AE37" s="142">
        <v>0.46494268778091802</v>
      </c>
      <c r="AF37" s="142">
        <v>1.63989484074515E-2</v>
      </c>
      <c r="AG37" s="142">
        <v>6.23864321651817E-2</v>
      </c>
      <c r="AH37" s="142">
        <v>0</v>
      </c>
      <c r="AI37" s="142">
        <v>0.68420187870199101</v>
      </c>
      <c r="AJ37" s="142">
        <v>0</v>
      </c>
      <c r="AK37" s="142">
        <v>0</v>
      </c>
      <c r="AL37" s="142">
        <v>9.1489787950041705</v>
      </c>
      <c r="AM37" s="142">
        <v>0</v>
      </c>
      <c r="AN37" s="142">
        <v>4.0747210828561196</v>
      </c>
      <c r="AO37" s="142">
        <v>1.2286661109774899</v>
      </c>
      <c r="AP37" s="142">
        <v>0.21044629949281199</v>
      </c>
      <c r="AQ37" s="142">
        <v>0</v>
      </c>
      <c r="AR37" s="142">
        <v>0</v>
      </c>
      <c r="AS37" s="142">
        <v>0</v>
      </c>
      <c r="AT37" s="143">
        <v>0.12544685300919201</v>
      </c>
    </row>
    <row r="38" spans="2:46" ht="12" customHeight="1" x14ac:dyDescent="0.25">
      <c r="B38" s="141" t="s">
        <v>43</v>
      </c>
      <c r="C38" s="142" t="s">
        <v>23</v>
      </c>
      <c r="D38" s="142" t="s">
        <v>44</v>
      </c>
      <c r="E38" s="142" t="s">
        <v>25</v>
      </c>
      <c r="F38" s="142" t="s">
        <v>25</v>
      </c>
      <c r="G38" s="142" t="s">
        <v>25</v>
      </c>
      <c r="H38" s="142" t="s">
        <v>80</v>
      </c>
      <c r="I38" s="142" t="s">
        <v>25</v>
      </c>
      <c r="J38" s="142">
        <v>31.5</v>
      </c>
      <c r="K38" s="142">
        <v>15.47</v>
      </c>
      <c r="L38" s="142">
        <v>0.42657241689671499</v>
      </c>
      <c r="M38" s="142">
        <v>0</v>
      </c>
      <c r="N38" s="142">
        <v>0</v>
      </c>
      <c r="O38" s="142">
        <v>0</v>
      </c>
      <c r="P38" s="142">
        <v>0</v>
      </c>
      <c r="Q38" s="142">
        <v>24.5552823400844</v>
      </c>
      <c r="R38" s="142">
        <v>4.6852292271108302</v>
      </c>
      <c r="S38" s="142">
        <v>0</v>
      </c>
      <c r="T38" s="142">
        <v>1.1411494773685</v>
      </c>
      <c r="U38" s="142">
        <v>0.150540829940874</v>
      </c>
      <c r="V38" s="142">
        <v>0</v>
      </c>
      <c r="W38" s="142">
        <v>0</v>
      </c>
      <c r="X38" s="142">
        <v>0</v>
      </c>
      <c r="Y38" s="142">
        <v>0</v>
      </c>
      <c r="Z38" s="142">
        <v>0</v>
      </c>
      <c r="AA38" s="142">
        <v>0</v>
      </c>
      <c r="AB38" s="142">
        <v>0</v>
      </c>
      <c r="AC38" s="142">
        <v>0</v>
      </c>
      <c r="AD38" s="142">
        <v>0</v>
      </c>
      <c r="AE38" s="142">
        <v>0.46494268778091802</v>
      </c>
      <c r="AF38" s="142">
        <v>1.63989484074515E-2</v>
      </c>
      <c r="AG38" s="142">
        <v>6.23864321651817E-2</v>
      </c>
      <c r="AH38" s="142">
        <v>0</v>
      </c>
      <c r="AI38" s="142">
        <v>0.68420187870199101</v>
      </c>
      <c r="AJ38" s="142">
        <v>0</v>
      </c>
      <c r="AK38" s="142">
        <v>0</v>
      </c>
      <c r="AL38" s="142">
        <v>9.1489787950041705</v>
      </c>
      <c r="AM38" s="142">
        <v>0</v>
      </c>
      <c r="AN38" s="142">
        <v>4.0747210828561196</v>
      </c>
      <c r="AO38" s="142">
        <v>1.2286661109774899</v>
      </c>
      <c r="AP38" s="142">
        <v>0.21044629949281199</v>
      </c>
      <c r="AQ38" s="142">
        <v>0</v>
      </c>
      <c r="AR38" s="142">
        <v>0</v>
      </c>
      <c r="AS38" s="142">
        <v>0</v>
      </c>
      <c r="AT38" s="143">
        <v>0.12544685300919201</v>
      </c>
    </row>
    <row r="39" spans="2:46" ht="12" customHeight="1" x14ac:dyDescent="0.25">
      <c r="B39" s="141" t="s">
        <v>43</v>
      </c>
      <c r="C39" s="142" t="s">
        <v>23</v>
      </c>
      <c r="D39" s="142" t="s">
        <v>44</v>
      </c>
      <c r="E39" s="142" t="s">
        <v>55</v>
      </c>
      <c r="F39" s="142" t="s">
        <v>25</v>
      </c>
      <c r="G39" s="142" t="s">
        <v>25</v>
      </c>
      <c r="H39" s="142" t="s">
        <v>80</v>
      </c>
      <c r="I39" s="142" t="s">
        <v>25</v>
      </c>
      <c r="J39" s="142">
        <v>30.83</v>
      </c>
      <c r="K39" s="142">
        <v>15.14</v>
      </c>
      <c r="L39" s="142">
        <v>0.41749640802657301</v>
      </c>
      <c r="M39" s="142">
        <v>0</v>
      </c>
      <c r="N39" s="142">
        <v>0</v>
      </c>
      <c r="O39" s="142">
        <v>0</v>
      </c>
      <c r="P39" s="142">
        <v>0</v>
      </c>
      <c r="Q39" s="142">
        <v>24.032829524337998</v>
      </c>
      <c r="R39" s="142">
        <v>4.5855434988744301</v>
      </c>
      <c r="S39" s="142">
        <v>0</v>
      </c>
      <c r="T39" s="142">
        <v>1.1168697012542801</v>
      </c>
      <c r="U39" s="142">
        <v>0.147337833559153</v>
      </c>
      <c r="V39" s="142">
        <v>0</v>
      </c>
      <c r="W39" s="142">
        <v>0</v>
      </c>
      <c r="X39" s="142">
        <v>0</v>
      </c>
      <c r="Y39" s="142">
        <v>0</v>
      </c>
      <c r="Z39" s="142">
        <v>0</v>
      </c>
      <c r="AA39" s="142">
        <v>0</v>
      </c>
      <c r="AB39" s="142">
        <v>0</v>
      </c>
      <c r="AC39" s="142">
        <v>0</v>
      </c>
      <c r="AD39" s="142">
        <v>0</v>
      </c>
      <c r="AE39" s="142">
        <v>0.45505029016855802</v>
      </c>
      <c r="AF39" s="142">
        <v>1.6050034611548299E-2</v>
      </c>
      <c r="AG39" s="142">
        <v>6.1059061268050198E-2</v>
      </c>
      <c r="AH39" s="142">
        <v>0</v>
      </c>
      <c r="AI39" s="142">
        <v>0.66964439192109704</v>
      </c>
      <c r="AJ39" s="142">
        <v>0</v>
      </c>
      <c r="AK39" s="142">
        <v>0</v>
      </c>
      <c r="AL39" s="142">
        <v>8.9543196717062106</v>
      </c>
      <c r="AM39" s="142">
        <v>0</v>
      </c>
      <c r="AN39" s="142">
        <v>3.9880248896038601</v>
      </c>
      <c r="AO39" s="142">
        <v>1.20252427882904</v>
      </c>
      <c r="AP39" s="142">
        <v>0.20596871865253899</v>
      </c>
      <c r="AQ39" s="142">
        <v>0</v>
      </c>
      <c r="AR39" s="142">
        <v>0</v>
      </c>
      <c r="AS39" s="142">
        <v>0</v>
      </c>
      <c r="AT39" s="143">
        <v>0.122777771030273</v>
      </c>
    </row>
    <row r="40" spans="2:46" ht="12" customHeight="1" x14ac:dyDescent="0.25">
      <c r="B40" s="141" t="s">
        <v>43</v>
      </c>
      <c r="C40" s="142" t="s">
        <v>94</v>
      </c>
      <c r="D40" s="142" t="s">
        <v>44</v>
      </c>
      <c r="E40" s="142" t="s">
        <v>95</v>
      </c>
      <c r="F40" s="142" t="s">
        <v>25</v>
      </c>
      <c r="G40" s="142" t="s">
        <v>25</v>
      </c>
      <c r="H40" s="142" t="s">
        <v>80</v>
      </c>
      <c r="I40" s="142" t="s">
        <v>25</v>
      </c>
      <c r="J40" s="142">
        <v>31.5</v>
      </c>
      <c r="K40" s="142">
        <v>15.47</v>
      </c>
      <c r="L40" s="142">
        <v>0.42657241689671499</v>
      </c>
      <c r="M40" s="142">
        <v>0</v>
      </c>
      <c r="N40" s="142">
        <v>0</v>
      </c>
      <c r="O40" s="142">
        <v>0</v>
      </c>
      <c r="P40" s="142">
        <v>0</v>
      </c>
      <c r="Q40" s="142">
        <v>24.5552823400844</v>
      </c>
      <c r="R40" s="142">
        <v>4.6852292271108302</v>
      </c>
      <c r="S40" s="142">
        <v>0</v>
      </c>
      <c r="T40" s="142">
        <v>1.1411494773685</v>
      </c>
      <c r="U40" s="142">
        <v>0.150540829940874</v>
      </c>
      <c r="V40" s="142">
        <v>0</v>
      </c>
      <c r="W40" s="142">
        <v>0</v>
      </c>
      <c r="X40" s="142">
        <v>0</v>
      </c>
      <c r="Y40" s="142">
        <v>0</v>
      </c>
      <c r="Z40" s="142">
        <v>0</v>
      </c>
      <c r="AA40" s="142">
        <v>0</v>
      </c>
      <c r="AB40" s="142">
        <v>0</v>
      </c>
      <c r="AC40" s="142">
        <v>0</v>
      </c>
      <c r="AD40" s="142">
        <v>0</v>
      </c>
      <c r="AE40" s="142">
        <v>0.46494268778091802</v>
      </c>
      <c r="AF40" s="142">
        <v>1.63989484074515E-2</v>
      </c>
      <c r="AG40" s="142">
        <v>6.23864321651817E-2</v>
      </c>
      <c r="AH40" s="142">
        <v>0</v>
      </c>
      <c r="AI40" s="142">
        <v>0.68420187870199101</v>
      </c>
      <c r="AJ40" s="142">
        <v>0</v>
      </c>
      <c r="AK40" s="142">
        <v>0</v>
      </c>
      <c r="AL40" s="142">
        <v>9.1489787950041705</v>
      </c>
      <c r="AM40" s="142">
        <v>0</v>
      </c>
      <c r="AN40" s="142">
        <v>4.0747210828561196</v>
      </c>
      <c r="AO40" s="142">
        <v>1.2286661109774899</v>
      </c>
      <c r="AP40" s="142">
        <v>0.21044629949281199</v>
      </c>
      <c r="AQ40" s="142">
        <v>0</v>
      </c>
      <c r="AR40" s="142">
        <v>0</v>
      </c>
      <c r="AS40" s="142">
        <v>0</v>
      </c>
      <c r="AT40" s="143">
        <v>0.12544685300919201</v>
      </c>
    </row>
    <row r="41" spans="2:46" ht="12" customHeight="1" x14ac:dyDescent="0.25">
      <c r="B41" s="141" t="s">
        <v>43</v>
      </c>
      <c r="C41" s="142" t="s">
        <v>94</v>
      </c>
      <c r="D41" s="142" t="s">
        <v>44</v>
      </c>
      <c r="E41" s="142" t="s">
        <v>25</v>
      </c>
      <c r="F41" s="142" t="s">
        <v>25</v>
      </c>
      <c r="G41" s="142" t="s">
        <v>25</v>
      </c>
      <c r="H41" s="142" t="s">
        <v>80</v>
      </c>
      <c r="I41" s="142" t="s">
        <v>25</v>
      </c>
      <c r="J41" s="142">
        <v>31.5</v>
      </c>
      <c r="K41" s="142">
        <v>15.47</v>
      </c>
      <c r="L41" s="142">
        <v>0.42657241689671499</v>
      </c>
      <c r="M41" s="142">
        <v>0</v>
      </c>
      <c r="N41" s="142">
        <v>0</v>
      </c>
      <c r="O41" s="142">
        <v>0</v>
      </c>
      <c r="P41" s="142">
        <v>0</v>
      </c>
      <c r="Q41" s="142">
        <v>24.5552823400844</v>
      </c>
      <c r="R41" s="142">
        <v>4.6852292271108302</v>
      </c>
      <c r="S41" s="142">
        <v>0</v>
      </c>
      <c r="T41" s="142">
        <v>1.1411494773685</v>
      </c>
      <c r="U41" s="142">
        <v>0.150540829940874</v>
      </c>
      <c r="V41" s="142">
        <v>0</v>
      </c>
      <c r="W41" s="142">
        <v>0</v>
      </c>
      <c r="X41" s="142">
        <v>0</v>
      </c>
      <c r="Y41" s="142">
        <v>0</v>
      </c>
      <c r="Z41" s="142">
        <v>0</v>
      </c>
      <c r="AA41" s="142">
        <v>0</v>
      </c>
      <c r="AB41" s="142">
        <v>0</v>
      </c>
      <c r="AC41" s="142">
        <v>0</v>
      </c>
      <c r="AD41" s="142">
        <v>0</v>
      </c>
      <c r="AE41" s="142">
        <v>0.46494268778091802</v>
      </c>
      <c r="AF41" s="142">
        <v>1.63989484074515E-2</v>
      </c>
      <c r="AG41" s="142">
        <v>6.23864321651817E-2</v>
      </c>
      <c r="AH41" s="142">
        <v>0</v>
      </c>
      <c r="AI41" s="142">
        <v>0.68420187870199101</v>
      </c>
      <c r="AJ41" s="142">
        <v>0</v>
      </c>
      <c r="AK41" s="142">
        <v>0</v>
      </c>
      <c r="AL41" s="142">
        <v>9.1489787950041705</v>
      </c>
      <c r="AM41" s="142">
        <v>0</v>
      </c>
      <c r="AN41" s="142">
        <v>4.0747210828561196</v>
      </c>
      <c r="AO41" s="142">
        <v>1.2286661109774899</v>
      </c>
      <c r="AP41" s="142">
        <v>0.21044629949281199</v>
      </c>
      <c r="AQ41" s="142">
        <v>0</v>
      </c>
      <c r="AR41" s="142">
        <v>0</v>
      </c>
      <c r="AS41" s="142">
        <v>0</v>
      </c>
      <c r="AT41" s="143">
        <v>0.12544685300919201</v>
      </c>
    </row>
    <row r="42" spans="2:46" ht="12" customHeight="1" x14ac:dyDescent="0.25">
      <c r="B42" s="141" t="s">
        <v>43</v>
      </c>
      <c r="C42" s="142" t="s">
        <v>94</v>
      </c>
      <c r="D42" s="142" t="s">
        <v>44</v>
      </c>
      <c r="E42" s="142" t="s">
        <v>55</v>
      </c>
      <c r="F42" s="142" t="s">
        <v>25</v>
      </c>
      <c r="G42" s="142" t="s">
        <v>25</v>
      </c>
      <c r="H42" s="142" t="s">
        <v>80</v>
      </c>
      <c r="I42" s="142" t="s">
        <v>25</v>
      </c>
      <c r="J42" s="142">
        <v>30.83</v>
      </c>
      <c r="K42" s="142">
        <v>15.14</v>
      </c>
      <c r="L42" s="142">
        <v>0.41749640802657301</v>
      </c>
      <c r="M42" s="142">
        <v>0</v>
      </c>
      <c r="N42" s="142">
        <v>0</v>
      </c>
      <c r="O42" s="142">
        <v>0</v>
      </c>
      <c r="P42" s="142">
        <v>0</v>
      </c>
      <c r="Q42" s="142">
        <v>24.032829524337998</v>
      </c>
      <c r="R42" s="142">
        <v>4.5855434988744301</v>
      </c>
      <c r="S42" s="142">
        <v>0</v>
      </c>
      <c r="T42" s="142">
        <v>1.1168697012542801</v>
      </c>
      <c r="U42" s="142">
        <v>0.147337833559153</v>
      </c>
      <c r="V42" s="142">
        <v>0</v>
      </c>
      <c r="W42" s="142">
        <v>0</v>
      </c>
      <c r="X42" s="142">
        <v>0</v>
      </c>
      <c r="Y42" s="142">
        <v>0</v>
      </c>
      <c r="Z42" s="142">
        <v>0</v>
      </c>
      <c r="AA42" s="142">
        <v>0</v>
      </c>
      <c r="AB42" s="142">
        <v>0</v>
      </c>
      <c r="AC42" s="142">
        <v>0</v>
      </c>
      <c r="AD42" s="142">
        <v>0</v>
      </c>
      <c r="AE42" s="142">
        <v>0.45505029016855802</v>
      </c>
      <c r="AF42" s="142">
        <v>1.6050034611548299E-2</v>
      </c>
      <c r="AG42" s="142">
        <v>6.1059061268050198E-2</v>
      </c>
      <c r="AH42" s="142">
        <v>0</v>
      </c>
      <c r="AI42" s="142">
        <v>0.66964439192109704</v>
      </c>
      <c r="AJ42" s="142">
        <v>0</v>
      </c>
      <c r="AK42" s="142">
        <v>0</v>
      </c>
      <c r="AL42" s="142">
        <v>8.9543196717062106</v>
      </c>
      <c r="AM42" s="142">
        <v>0</v>
      </c>
      <c r="AN42" s="142">
        <v>3.9880248896038601</v>
      </c>
      <c r="AO42" s="142">
        <v>1.20252427882904</v>
      </c>
      <c r="AP42" s="142">
        <v>0.20596871865253899</v>
      </c>
      <c r="AQ42" s="142">
        <v>0</v>
      </c>
      <c r="AR42" s="142">
        <v>0</v>
      </c>
      <c r="AS42" s="142">
        <v>0</v>
      </c>
      <c r="AT42" s="143">
        <v>0.122777771030273</v>
      </c>
    </row>
    <row r="43" spans="2:46" ht="12" customHeight="1" x14ac:dyDescent="0.25">
      <c r="B43" s="141" t="s">
        <v>37</v>
      </c>
      <c r="C43" s="142" t="s">
        <v>33</v>
      </c>
      <c r="D43" s="142" t="s">
        <v>25</v>
      </c>
      <c r="E43" s="142" t="s">
        <v>25</v>
      </c>
      <c r="F43" s="142" t="s">
        <v>25</v>
      </c>
      <c r="G43" s="142" t="s">
        <v>34</v>
      </c>
      <c r="H43" s="142" t="s">
        <v>80</v>
      </c>
      <c r="I43" s="142" t="s">
        <v>25</v>
      </c>
      <c r="J43" s="142">
        <v>37.020000000000003</v>
      </c>
      <c r="K43" s="142">
        <v>19.16</v>
      </c>
      <c r="L43" s="142">
        <v>0.45380044350714399</v>
      </c>
      <c r="M43" s="142">
        <v>0</v>
      </c>
      <c r="N43" s="142">
        <v>0</v>
      </c>
      <c r="O43" s="142">
        <v>0</v>
      </c>
      <c r="P43" s="142">
        <v>0</v>
      </c>
      <c r="Q43" s="142">
        <v>26.122640787323899</v>
      </c>
      <c r="R43" s="142">
        <v>4.9842864118200296</v>
      </c>
      <c r="S43" s="142">
        <v>0</v>
      </c>
      <c r="T43" s="142">
        <v>4.30966084063627</v>
      </c>
      <c r="U43" s="142">
        <v>0.56852581396938895</v>
      </c>
      <c r="V43" s="142">
        <v>0</v>
      </c>
      <c r="W43" s="142">
        <v>0</v>
      </c>
      <c r="X43" s="142">
        <v>0</v>
      </c>
      <c r="Y43" s="142">
        <v>0</v>
      </c>
      <c r="Z43" s="142">
        <v>0</v>
      </c>
      <c r="AA43" s="142">
        <v>0</v>
      </c>
      <c r="AB43" s="142">
        <v>0</v>
      </c>
      <c r="AC43" s="142">
        <v>0</v>
      </c>
      <c r="AD43" s="142">
        <v>0</v>
      </c>
      <c r="AE43" s="142">
        <v>0.494619880617998</v>
      </c>
      <c r="AF43" s="142">
        <v>1.7445689795161201E-2</v>
      </c>
      <c r="AG43" s="142">
        <v>6.6368544856576298E-2</v>
      </c>
      <c r="AH43" s="142">
        <v>0</v>
      </c>
      <c r="AI43" s="142">
        <v>0.72787433904467103</v>
      </c>
      <c r="AJ43" s="142">
        <v>0</v>
      </c>
      <c r="AK43" s="142">
        <v>0</v>
      </c>
      <c r="AL43" s="142">
        <v>9.7329561648980505</v>
      </c>
      <c r="AM43" s="142">
        <v>0</v>
      </c>
      <c r="AN43" s="142">
        <v>7.0338420940511002</v>
      </c>
      <c r="AO43" s="142">
        <v>1.30709160742287</v>
      </c>
      <c r="AP43" s="142">
        <v>0.22387904201362999</v>
      </c>
      <c r="AQ43" s="142">
        <v>0</v>
      </c>
      <c r="AR43" s="142">
        <v>0</v>
      </c>
      <c r="AS43" s="142">
        <v>0</v>
      </c>
      <c r="AT43" s="143">
        <v>0.13345409894594901</v>
      </c>
    </row>
    <row r="44" spans="2:46" ht="12" customHeight="1" x14ac:dyDescent="0.25">
      <c r="B44" s="141" t="s">
        <v>37</v>
      </c>
      <c r="C44" s="142" t="s">
        <v>33</v>
      </c>
      <c r="D44" s="142" t="s">
        <v>25</v>
      </c>
      <c r="E44" s="142" t="s">
        <v>25</v>
      </c>
      <c r="F44" s="142" t="s">
        <v>25</v>
      </c>
      <c r="G44" s="142" t="s">
        <v>36</v>
      </c>
      <c r="H44" s="142" t="s">
        <v>80</v>
      </c>
      <c r="I44" s="142" t="s">
        <v>25</v>
      </c>
      <c r="J44" s="142">
        <v>35.07</v>
      </c>
      <c r="K44" s="142">
        <v>16.21</v>
      </c>
      <c r="L44" s="142">
        <v>0.45380044350714399</v>
      </c>
      <c r="M44" s="142">
        <v>0</v>
      </c>
      <c r="N44" s="142">
        <v>0</v>
      </c>
      <c r="O44" s="142">
        <v>0</v>
      </c>
      <c r="P44" s="142">
        <v>0</v>
      </c>
      <c r="Q44" s="142">
        <v>26.122640787323899</v>
      </c>
      <c r="R44" s="142">
        <v>4.9842864118200296</v>
      </c>
      <c r="S44" s="142">
        <v>0</v>
      </c>
      <c r="T44" s="142">
        <v>2.5857953436585501</v>
      </c>
      <c r="U44" s="142">
        <v>0.34111653947485698</v>
      </c>
      <c r="V44" s="142">
        <v>0</v>
      </c>
      <c r="W44" s="142">
        <v>0</v>
      </c>
      <c r="X44" s="142">
        <v>0</v>
      </c>
      <c r="Y44" s="142">
        <v>0</v>
      </c>
      <c r="Z44" s="142">
        <v>0</v>
      </c>
      <c r="AA44" s="142">
        <v>0</v>
      </c>
      <c r="AB44" s="142">
        <v>0</v>
      </c>
      <c r="AC44" s="142">
        <v>0</v>
      </c>
      <c r="AD44" s="142">
        <v>0</v>
      </c>
      <c r="AE44" s="142">
        <v>0.494619880617998</v>
      </c>
      <c r="AF44" s="142">
        <v>1.7445689795161201E-2</v>
      </c>
      <c r="AG44" s="142">
        <v>6.6368544856576298E-2</v>
      </c>
      <c r="AH44" s="142">
        <v>0</v>
      </c>
      <c r="AI44" s="142">
        <v>0.72787433904467103</v>
      </c>
      <c r="AJ44" s="142">
        <v>0</v>
      </c>
      <c r="AK44" s="142">
        <v>0</v>
      </c>
      <c r="AL44" s="142">
        <v>9.7329561648980505</v>
      </c>
      <c r="AM44" s="142">
        <v>0</v>
      </c>
      <c r="AN44" s="142">
        <v>4.0894430779366902</v>
      </c>
      <c r="AO44" s="142">
        <v>1.30709160742287</v>
      </c>
      <c r="AP44" s="142">
        <v>0.22387904201362999</v>
      </c>
      <c r="AQ44" s="142">
        <v>0</v>
      </c>
      <c r="AR44" s="142">
        <v>0</v>
      </c>
      <c r="AS44" s="142">
        <v>0</v>
      </c>
      <c r="AT44" s="143">
        <v>0.13345409894594901</v>
      </c>
    </row>
    <row r="45" spans="2:46" ht="12" customHeight="1" x14ac:dyDescent="0.25">
      <c r="B45" s="141" t="s">
        <v>37</v>
      </c>
      <c r="C45" s="142" t="s">
        <v>33</v>
      </c>
      <c r="D45" s="142" t="s">
        <v>25</v>
      </c>
      <c r="E45" s="142" t="s">
        <v>25</v>
      </c>
      <c r="F45" s="142" t="s">
        <v>25</v>
      </c>
      <c r="G45" s="142" t="s">
        <v>35</v>
      </c>
      <c r="H45" s="142" t="s">
        <v>80</v>
      </c>
      <c r="I45" s="142" t="s">
        <v>25</v>
      </c>
      <c r="J45" s="142">
        <v>33.11</v>
      </c>
      <c r="K45" s="142">
        <v>16.21</v>
      </c>
      <c r="L45" s="142">
        <v>0.45380044350714399</v>
      </c>
      <c r="M45" s="142">
        <v>0</v>
      </c>
      <c r="N45" s="142">
        <v>0</v>
      </c>
      <c r="O45" s="142">
        <v>0</v>
      </c>
      <c r="P45" s="142">
        <v>0</v>
      </c>
      <c r="Q45" s="142">
        <v>26.122640787323899</v>
      </c>
      <c r="R45" s="142">
        <v>4.9842864118200296</v>
      </c>
      <c r="S45" s="142">
        <v>0</v>
      </c>
      <c r="T45" s="142">
        <v>0.86192984668081996</v>
      </c>
      <c r="U45" s="142">
        <v>0.113707264980326</v>
      </c>
      <c r="V45" s="142">
        <v>0</v>
      </c>
      <c r="W45" s="142">
        <v>0</v>
      </c>
      <c r="X45" s="142">
        <v>0</v>
      </c>
      <c r="Y45" s="142">
        <v>0</v>
      </c>
      <c r="Z45" s="142">
        <v>0</v>
      </c>
      <c r="AA45" s="142">
        <v>0</v>
      </c>
      <c r="AB45" s="142">
        <v>0</v>
      </c>
      <c r="AC45" s="142">
        <v>0</v>
      </c>
      <c r="AD45" s="142">
        <v>0</v>
      </c>
      <c r="AE45" s="142">
        <v>0.494619880617998</v>
      </c>
      <c r="AF45" s="142">
        <v>1.7445689795161201E-2</v>
      </c>
      <c r="AG45" s="142">
        <v>6.6368544856576298E-2</v>
      </c>
      <c r="AH45" s="142">
        <v>0</v>
      </c>
      <c r="AI45" s="142">
        <v>0.72787433904467103</v>
      </c>
      <c r="AJ45" s="142">
        <v>0</v>
      </c>
      <c r="AK45" s="142">
        <v>0</v>
      </c>
      <c r="AL45" s="142">
        <v>9.7329561648980505</v>
      </c>
      <c r="AM45" s="142">
        <v>0</v>
      </c>
      <c r="AN45" s="142">
        <v>4.0894430779366902</v>
      </c>
      <c r="AO45" s="142">
        <v>1.30709160742287</v>
      </c>
      <c r="AP45" s="142">
        <v>0.22387904201362999</v>
      </c>
      <c r="AQ45" s="142">
        <v>0</v>
      </c>
      <c r="AR45" s="142">
        <v>0</v>
      </c>
      <c r="AS45" s="142">
        <v>0</v>
      </c>
      <c r="AT45" s="143">
        <v>0.13345409894594901</v>
      </c>
    </row>
    <row r="46" spans="2:46" ht="12" customHeight="1" x14ac:dyDescent="0.25">
      <c r="B46" s="141" t="s">
        <v>37</v>
      </c>
      <c r="C46" s="142" t="s">
        <v>23</v>
      </c>
      <c r="D46" s="142" t="s">
        <v>25</v>
      </c>
      <c r="E46" s="142" t="s">
        <v>25</v>
      </c>
      <c r="F46" s="142" t="s">
        <v>25</v>
      </c>
      <c r="G46" s="142" t="s">
        <v>25</v>
      </c>
      <c r="H46" s="142" t="s">
        <v>80</v>
      </c>
      <c r="I46" s="142" t="s">
        <v>25</v>
      </c>
      <c r="J46" s="142">
        <v>33.51</v>
      </c>
      <c r="K46" s="142">
        <v>16.46</v>
      </c>
      <c r="L46" s="142">
        <v>0.45380044350714399</v>
      </c>
      <c r="M46" s="142">
        <v>0</v>
      </c>
      <c r="N46" s="142">
        <v>0</v>
      </c>
      <c r="O46" s="142">
        <v>0</v>
      </c>
      <c r="P46" s="142">
        <v>0</v>
      </c>
      <c r="Q46" s="142">
        <v>26.122640787323899</v>
      </c>
      <c r="R46" s="142">
        <v>4.9842864118200296</v>
      </c>
      <c r="S46" s="142">
        <v>0</v>
      </c>
      <c r="T46" s="142">
        <v>1.2139888057111701</v>
      </c>
      <c r="U46" s="142">
        <v>0.16014981908603601</v>
      </c>
      <c r="V46" s="142">
        <v>0</v>
      </c>
      <c r="W46" s="142">
        <v>0</v>
      </c>
      <c r="X46" s="142">
        <v>0</v>
      </c>
      <c r="Y46" s="142">
        <v>0</v>
      </c>
      <c r="Z46" s="142">
        <v>0</v>
      </c>
      <c r="AA46" s="142">
        <v>0</v>
      </c>
      <c r="AB46" s="142">
        <v>0</v>
      </c>
      <c r="AC46" s="142">
        <v>0</v>
      </c>
      <c r="AD46" s="142">
        <v>0</v>
      </c>
      <c r="AE46" s="142">
        <v>0.494619880617998</v>
      </c>
      <c r="AF46" s="142">
        <v>1.7445689795161201E-2</v>
      </c>
      <c r="AG46" s="142">
        <v>6.6368544856576298E-2</v>
      </c>
      <c r="AH46" s="142">
        <v>0</v>
      </c>
      <c r="AI46" s="142">
        <v>0.72787433904467103</v>
      </c>
      <c r="AJ46" s="142">
        <v>0</v>
      </c>
      <c r="AK46" s="142">
        <v>0</v>
      </c>
      <c r="AL46" s="142">
        <v>9.7329561648980505</v>
      </c>
      <c r="AM46" s="142">
        <v>0</v>
      </c>
      <c r="AN46" s="142">
        <v>4.3348096626128898</v>
      </c>
      <c r="AO46" s="142">
        <v>1.30709160742287</v>
      </c>
      <c r="AP46" s="142">
        <v>0.22387904201362999</v>
      </c>
      <c r="AQ46" s="142">
        <v>0</v>
      </c>
      <c r="AR46" s="142">
        <v>0</v>
      </c>
      <c r="AS46" s="142">
        <v>0</v>
      </c>
      <c r="AT46" s="143">
        <v>0.13345409894594901</v>
      </c>
    </row>
    <row r="47" spans="2:46" ht="12" customHeight="1" x14ac:dyDescent="0.25">
      <c r="B47" s="141" t="s">
        <v>37</v>
      </c>
      <c r="C47" s="142" t="s">
        <v>94</v>
      </c>
      <c r="D47" s="142" t="s">
        <v>25</v>
      </c>
      <c r="E47" s="142" t="s">
        <v>25</v>
      </c>
      <c r="F47" s="142" t="s">
        <v>25</v>
      </c>
      <c r="G47" s="142" t="s">
        <v>25</v>
      </c>
      <c r="H47" s="142" t="s">
        <v>80</v>
      </c>
      <c r="I47" s="142" t="s">
        <v>25</v>
      </c>
      <c r="J47" s="142">
        <v>33.51</v>
      </c>
      <c r="K47" s="142">
        <v>16.46</v>
      </c>
      <c r="L47" s="142">
        <v>0.45380044350714399</v>
      </c>
      <c r="M47" s="142">
        <v>0</v>
      </c>
      <c r="N47" s="142">
        <v>0</v>
      </c>
      <c r="O47" s="142">
        <v>0</v>
      </c>
      <c r="P47" s="142">
        <v>0</v>
      </c>
      <c r="Q47" s="142">
        <v>26.122640787323899</v>
      </c>
      <c r="R47" s="142">
        <v>4.9842864118200296</v>
      </c>
      <c r="S47" s="142">
        <v>0</v>
      </c>
      <c r="T47" s="142">
        <v>1.2139888057111701</v>
      </c>
      <c r="U47" s="142">
        <v>0.16014981908603601</v>
      </c>
      <c r="V47" s="142">
        <v>0</v>
      </c>
      <c r="W47" s="142">
        <v>0</v>
      </c>
      <c r="X47" s="142">
        <v>0</v>
      </c>
      <c r="Y47" s="142">
        <v>0</v>
      </c>
      <c r="Z47" s="142">
        <v>0</v>
      </c>
      <c r="AA47" s="142">
        <v>0</v>
      </c>
      <c r="AB47" s="142">
        <v>0</v>
      </c>
      <c r="AC47" s="142">
        <v>0</v>
      </c>
      <c r="AD47" s="142">
        <v>0</v>
      </c>
      <c r="AE47" s="142">
        <v>0.494619880617998</v>
      </c>
      <c r="AF47" s="142">
        <v>1.7445689795161201E-2</v>
      </c>
      <c r="AG47" s="142">
        <v>6.6368544856576298E-2</v>
      </c>
      <c r="AH47" s="142">
        <v>0</v>
      </c>
      <c r="AI47" s="142">
        <v>0.72787433904467103</v>
      </c>
      <c r="AJ47" s="142">
        <v>0</v>
      </c>
      <c r="AK47" s="142">
        <v>0</v>
      </c>
      <c r="AL47" s="142">
        <v>9.7329561648980505</v>
      </c>
      <c r="AM47" s="142">
        <v>0</v>
      </c>
      <c r="AN47" s="142">
        <v>4.3348096626128898</v>
      </c>
      <c r="AO47" s="142">
        <v>1.30709160742287</v>
      </c>
      <c r="AP47" s="142">
        <v>0.22387904201362999</v>
      </c>
      <c r="AQ47" s="142">
        <v>0</v>
      </c>
      <c r="AR47" s="142">
        <v>0</v>
      </c>
      <c r="AS47" s="142">
        <v>0</v>
      </c>
      <c r="AT47" s="143">
        <v>0.13345409894594901</v>
      </c>
    </row>
    <row r="48" spans="2:46" ht="12" customHeight="1" x14ac:dyDescent="0.25">
      <c r="B48" s="141" t="s">
        <v>46</v>
      </c>
      <c r="C48" s="142" t="s">
        <v>23</v>
      </c>
      <c r="D48" s="142" t="s">
        <v>47</v>
      </c>
      <c r="E48" s="142" t="s">
        <v>48</v>
      </c>
      <c r="F48" s="142" t="s">
        <v>25</v>
      </c>
      <c r="G48" s="142" t="s">
        <v>25</v>
      </c>
      <c r="H48" s="142" t="s">
        <v>80</v>
      </c>
      <c r="I48" s="142" t="s">
        <v>25</v>
      </c>
      <c r="J48" s="142">
        <v>18.43</v>
      </c>
      <c r="K48" s="142">
        <v>9.0500000000000007</v>
      </c>
      <c r="L48" s="142">
        <v>0.24959024392892901</v>
      </c>
      <c r="M48" s="142">
        <v>0</v>
      </c>
      <c r="N48" s="142">
        <v>0</v>
      </c>
      <c r="O48" s="142">
        <v>0</v>
      </c>
      <c r="P48" s="142">
        <v>0</v>
      </c>
      <c r="Q48" s="142">
        <v>14.367452433028101</v>
      </c>
      <c r="R48" s="142">
        <v>2.7413575265010199</v>
      </c>
      <c r="S48" s="142">
        <v>0</v>
      </c>
      <c r="T48" s="142">
        <v>0.66769384314114499</v>
      </c>
      <c r="U48" s="142">
        <v>8.8082400497319704E-2</v>
      </c>
      <c r="V48" s="142">
        <v>0</v>
      </c>
      <c r="W48" s="142">
        <v>0</v>
      </c>
      <c r="X48" s="142">
        <v>0</v>
      </c>
      <c r="Y48" s="142">
        <v>0</v>
      </c>
      <c r="Z48" s="142">
        <v>0</v>
      </c>
      <c r="AA48" s="142">
        <v>0</v>
      </c>
      <c r="AB48" s="142">
        <v>0</v>
      </c>
      <c r="AC48" s="142">
        <v>0</v>
      </c>
      <c r="AD48" s="142">
        <v>0</v>
      </c>
      <c r="AE48" s="142">
        <v>0.27204093433989901</v>
      </c>
      <c r="AF48" s="142">
        <v>9.5951293873386394E-3</v>
      </c>
      <c r="AG48" s="142">
        <v>3.6502699671117002E-2</v>
      </c>
      <c r="AH48" s="142">
        <v>0</v>
      </c>
      <c r="AI48" s="142">
        <v>0.40033088647456899</v>
      </c>
      <c r="AJ48" s="142">
        <v>0</v>
      </c>
      <c r="AK48" s="142">
        <v>0</v>
      </c>
      <c r="AL48" s="142">
        <v>5.3531258906939296</v>
      </c>
      <c r="AM48" s="142">
        <v>0</v>
      </c>
      <c r="AN48" s="142">
        <v>2.3841453144370899</v>
      </c>
      <c r="AO48" s="142">
        <v>0.71890038408257695</v>
      </c>
      <c r="AP48" s="142">
        <v>0.12313347310749601</v>
      </c>
      <c r="AQ48" s="142">
        <v>0</v>
      </c>
      <c r="AR48" s="142">
        <v>0</v>
      </c>
      <c r="AS48" s="142">
        <v>0</v>
      </c>
      <c r="AT48" s="143">
        <v>7.3399754420272204E-2</v>
      </c>
    </row>
    <row r="49" spans="2:46" ht="12" customHeight="1" x14ac:dyDescent="0.25">
      <c r="B49" s="144" t="s">
        <v>46</v>
      </c>
      <c r="C49" s="145" t="s">
        <v>23</v>
      </c>
      <c r="D49" s="145" t="s">
        <v>47</v>
      </c>
      <c r="E49" s="145" t="s">
        <v>96</v>
      </c>
      <c r="F49" s="145" t="s">
        <v>25</v>
      </c>
      <c r="G49" s="145" t="s">
        <v>25</v>
      </c>
      <c r="H49" s="145" t="s">
        <v>80</v>
      </c>
      <c r="I49" s="145" t="s">
        <v>25</v>
      </c>
      <c r="J49" s="145">
        <v>20.11</v>
      </c>
      <c r="K49" s="145">
        <v>9.8800000000000008</v>
      </c>
      <c r="L49" s="145">
        <v>0.27228026610428602</v>
      </c>
      <c r="M49" s="145">
        <v>0</v>
      </c>
      <c r="N49" s="145">
        <v>0</v>
      </c>
      <c r="O49" s="145">
        <v>0</v>
      </c>
      <c r="P49" s="145">
        <v>0</v>
      </c>
      <c r="Q49" s="145">
        <v>15.6735844723943</v>
      </c>
      <c r="R49" s="145">
        <v>2.9905718470920202</v>
      </c>
      <c r="S49" s="145">
        <v>0</v>
      </c>
      <c r="T49" s="145">
        <v>0.72839328342670395</v>
      </c>
      <c r="U49" s="145">
        <v>9.6089891451621501E-2</v>
      </c>
      <c r="V49" s="145">
        <v>0</v>
      </c>
      <c r="W49" s="145">
        <v>0</v>
      </c>
      <c r="X49" s="145">
        <v>0</v>
      </c>
      <c r="Y49" s="145">
        <v>0</v>
      </c>
      <c r="Z49" s="145">
        <v>0</v>
      </c>
      <c r="AA49" s="145">
        <v>0</v>
      </c>
      <c r="AB49" s="145">
        <v>0</v>
      </c>
      <c r="AC49" s="145">
        <v>0</v>
      </c>
      <c r="AD49" s="145">
        <v>0</v>
      </c>
      <c r="AE49" s="145">
        <v>0.29677192837079802</v>
      </c>
      <c r="AF49" s="145">
        <v>1.0467413877096699E-2</v>
      </c>
      <c r="AG49" s="145">
        <v>3.9821126913945799E-2</v>
      </c>
      <c r="AH49" s="145">
        <v>0</v>
      </c>
      <c r="AI49" s="145">
        <v>0.43672460342680203</v>
      </c>
      <c r="AJ49" s="145">
        <v>0</v>
      </c>
      <c r="AK49" s="145">
        <v>0</v>
      </c>
      <c r="AL49" s="145">
        <v>5.8397736989388296</v>
      </c>
      <c r="AM49" s="145">
        <v>0</v>
      </c>
      <c r="AN49" s="145">
        <v>2.60088579756773</v>
      </c>
      <c r="AO49" s="145">
        <v>0.78425496445372</v>
      </c>
      <c r="AP49" s="145">
        <v>0.134327425208178</v>
      </c>
      <c r="AQ49" s="145">
        <v>0</v>
      </c>
      <c r="AR49" s="145">
        <v>0</v>
      </c>
      <c r="AS49" s="145">
        <v>0</v>
      </c>
      <c r="AT49" s="146">
        <v>8.0072459367569696E-2</v>
      </c>
    </row>
  </sheetData>
  <mergeCells count="7">
    <mergeCell ref="L1:AT1"/>
    <mergeCell ref="L2:S2"/>
    <mergeCell ref="T2:Z2"/>
    <mergeCell ref="AB2:AD2"/>
    <mergeCell ref="AE2:AH2"/>
    <mergeCell ref="AI2:AM2"/>
    <mergeCell ref="AO2:AS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2022-09-02T18:35:00Z</dcterms:created>
  <dcterms:modified xsi:type="dcterms:W3CDTF">2022-09-13T19:02:59Z</dcterms:modified>
</cp:coreProperties>
</file>